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omments40.xml" ContentType="application/vnd.openxmlformats-officedocument.spreadsheetml.comments+xml"/>
  <Override PartName="/xl/comments41.xml" ContentType="application/vnd.openxmlformats-officedocument.spreadsheetml.comments+xml"/>
  <Override PartName="/xl/comments42.xml" ContentType="application/vnd.openxmlformats-officedocument.spreadsheetml.comments+xml"/>
  <Override PartName="/xl/comments43.xml" ContentType="application/vnd.openxmlformats-officedocument.spreadsheetml.comments+xml"/>
  <Override PartName="/xl/comments44.xml" ContentType="application/vnd.openxmlformats-officedocument.spreadsheetml.comments+xml"/>
  <Override PartName="/xl/comments45.xml" ContentType="application/vnd.openxmlformats-officedocument.spreadsheetml.comments+xml"/>
  <Override PartName="/xl/comments46.xml" ContentType="application/vnd.openxmlformats-officedocument.spreadsheetml.comments+xml"/>
  <Override PartName="/xl/comments47.xml" ContentType="application/vnd.openxmlformats-officedocument.spreadsheetml.comments+xml"/>
  <Override PartName="/xl/comments48.xml" ContentType="application/vnd.openxmlformats-officedocument.spreadsheetml.comments+xml"/>
  <Override PartName="/xl/comments49.xml" ContentType="application/vnd.openxmlformats-officedocument.spreadsheetml.comments+xml"/>
  <Override PartName="/xl/comments50.xml" ContentType="application/vnd.openxmlformats-officedocument.spreadsheetml.comments+xml"/>
  <Override PartName="/xl/comments51.xml" ContentType="application/vnd.openxmlformats-officedocument.spreadsheetml.comments+xml"/>
  <Override PartName="/xl/comments52.xml" ContentType="application/vnd.openxmlformats-officedocument.spreadsheetml.comments+xml"/>
  <Override PartName="/xl/comments53.xml" ContentType="application/vnd.openxmlformats-officedocument.spreadsheetml.comments+xml"/>
  <Override PartName="/xl/comments54.xml" ContentType="application/vnd.openxmlformats-officedocument.spreadsheetml.comments+xml"/>
  <Override PartName="/xl/comments55.xml" ContentType="application/vnd.openxmlformats-officedocument.spreadsheetml.comments+xml"/>
  <Override PartName="/xl/comments56.xml" ContentType="application/vnd.openxmlformats-officedocument.spreadsheetml.comments+xml"/>
  <Override PartName="/xl/comments57.xml" ContentType="application/vnd.openxmlformats-officedocument.spreadsheetml.comments+xml"/>
  <Override PartName="/xl/comments58.xml" ContentType="application/vnd.openxmlformats-officedocument.spreadsheetml.comments+xml"/>
  <Override PartName="/xl/comments59.xml" ContentType="application/vnd.openxmlformats-officedocument.spreadsheetml.comments+xml"/>
  <Override PartName="/xl/comments60.xml" ContentType="application/vnd.openxmlformats-officedocument.spreadsheetml.comments+xml"/>
  <Override PartName="/xl/comments61.xml" ContentType="application/vnd.openxmlformats-officedocument.spreadsheetml.comments+xml"/>
  <Override PartName="/xl/comments62.xml" ContentType="application/vnd.openxmlformats-officedocument.spreadsheetml.comments+xml"/>
  <Override PartName="/xl/comments63.xml" ContentType="application/vnd.openxmlformats-officedocument.spreadsheetml.comments+xml"/>
  <Override PartName="/xl/comments64.xml" ContentType="application/vnd.openxmlformats-officedocument.spreadsheetml.comments+xml"/>
  <Override PartName="/xl/comments65.xml" ContentType="application/vnd.openxmlformats-officedocument.spreadsheetml.comments+xml"/>
  <Override PartName="/xl/comments66.xml" ContentType="application/vnd.openxmlformats-officedocument.spreadsheetml.comments+xml"/>
  <Override PartName="/xl/comments67.xml" ContentType="application/vnd.openxmlformats-officedocument.spreadsheetml.comments+xml"/>
  <Override PartName="/xl/comments68.xml" ContentType="application/vnd.openxmlformats-officedocument.spreadsheetml.comments+xml"/>
  <Override PartName="/xl/comments69.xml" ContentType="application/vnd.openxmlformats-officedocument.spreadsheetml.comments+xml"/>
  <Override PartName="/xl/comments70.xml" ContentType="application/vnd.openxmlformats-officedocument.spreadsheetml.comments+xml"/>
  <Override PartName="/xl/comments71.xml" ContentType="application/vnd.openxmlformats-officedocument.spreadsheetml.comments+xml"/>
  <Override PartName="/xl/comments72.xml" ContentType="application/vnd.openxmlformats-officedocument.spreadsheetml.comments+xml"/>
  <Override PartName="/xl/comments73.xml" ContentType="application/vnd.openxmlformats-officedocument.spreadsheetml.comments+xml"/>
  <Override PartName="/xl/comments74.xml" ContentType="application/vnd.openxmlformats-officedocument.spreadsheetml.comments+xml"/>
  <Override PartName="/xl/comments75.xml" ContentType="application/vnd.openxmlformats-officedocument.spreadsheetml.comments+xml"/>
  <Override PartName="/xl/comments76.xml" ContentType="application/vnd.openxmlformats-officedocument.spreadsheetml.comments+xml"/>
  <Override PartName="/xl/comments77.xml" ContentType="application/vnd.openxmlformats-officedocument.spreadsheetml.comments+xml"/>
  <Override PartName="/xl/comments78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/>
  <mc:AlternateContent xmlns:mc="http://schemas.openxmlformats.org/markup-compatibility/2006">
    <mc:Choice Requires="x15">
      <x15ac:absPath xmlns:x15ac="http://schemas.microsoft.com/office/spreadsheetml/2010/11/ac" url="/Users/Yi/Downloads/"/>
    </mc:Choice>
  </mc:AlternateContent>
  <xr:revisionPtr revIDLastSave="0" documentId="13_ncr:1_{0C6F8788-9643-0243-86DC-DE60C5039923}" xr6:coauthVersionLast="47" xr6:coauthVersionMax="47" xr10:uidLastSave="{00000000-0000-0000-0000-000000000000}"/>
  <bookViews>
    <workbookView xWindow="0" yWindow="500" windowWidth="28800" windowHeight="15700" xr2:uid="{00000000-000D-0000-FFFF-FFFF00000000}"/>
  </bookViews>
  <sheets>
    <sheet name="PL-IFC-103B10" sheetId="1" r:id="rId1"/>
    <sheet name="PL-IFC-103B100" sheetId="2" r:id="rId2"/>
    <sheet name="PL-IFC-103B25" sheetId="3" r:id="rId3"/>
    <sheet name="PL-IFC-103B50" sheetId="4" r:id="rId4"/>
    <sheet name="PL-IFC-103B25P" sheetId="5" r:id="rId5"/>
    <sheet name="PL-IFC-103B50P" sheetId="6" r:id="rId6"/>
    <sheet name="PL-IFC-103N10" sheetId="7" r:id="rId7"/>
    <sheet name="PL-IFC-103N25" sheetId="8" r:id="rId8"/>
    <sheet name="PL-IFC-103N25P" sheetId="9" r:id="rId9"/>
    <sheet name="PL-IFC-103N50" sheetId="10" r:id="rId10"/>
    <sheet name="PL-IFC-103N50P" sheetId="11" r:id="rId11"/>
    <sheet name="PL-IFC-103Y03" sheetId="12" r:id="rId12"/>
    <sheet name="PL-IFC-103Y03P" sheetId="13" r:id="rId13"/>
    <sheet name="PL-IFC-103Y10" sheetId="14" r:id="rId14"/>
    <sheet name="PL-IFC-103Y100" sheetId="15" r:id="rId15"/>
    <sheet name="PL-IFC-103Y100P" sheetId="16" r:id="rId16"/>
    <sheet name="PL-IFC-103Y10-2PK" sheetId="17" r:id="rId17"/>
    <sheet name="PL-IFC-103Y10P" sheetId="18" r:id="rId18"/>
    <sheet name="PL-IFC-103Y10P-2PK" sheetId="19" r:id="rId19"/>
    <sheet name="PL-IFC-103Y200" sheetId="20" r:id="rId20"/>
    <sheet name="PL-IFC-103Y25" sheetId="21" r:id="rId21"/>
    <sheet name="PL-IFC-103Y25P" sheetId="22" r:id="rId22"/>
    <sheet name="PL-IFC-103Y25P-2PK" sheetId="23" r:id="rId23"/>
    <sheet name="PL-IFC-103Y25-PK2" sheetId="24" r:id="rId24"/>
    <sheet name="PL-IFC-103Y50" sheetId="25" r:id="rId25"/>
    <sheet name="PL-IFC-103Y50P" sheetId="26" r:id="rId26"/>
    <sheet name="PL-IFC-103Y75" sheetId="27" r:id="rId27"/>
    <sheet name="PL-IFC-103Y75P" sheetId="28" r:id="rId28"/>
    <sheet name="PL-IFC-123B06" sheetId="29" r:id="rId29"/>
    <sheet name="PL-IFC-123B10" sheetId="30" r:id="rId30"/>
    <sheet name="PL-IFC-123B100" sheetId="31" r:id="rId31"/>
    <sheet name="PL-IFC-123B10-2PK" sheetId="32" r:id="rId32"/>
    <sheet name="PL-IFC-123B10P" sheetId="33" r:id="rId33"/>
    <sheet name="PL-IFC-123B25" sheetId="34" r:id="rId34"/>
    <sheet name="PL-IFC-123B50" sheetId="35" r:id="rId35"/>
    <sheet name="PL-IFC-123B50-2PK" sheetId="36" r:id="rId36"/>
    <sheet name="PL-IFC-123B50P" sheetId="37" r:id="rId37"/>
    <sheet name="PL-IFC-123N06" sheetId="38" r:id="rId38"/>
    <sheet name="PL-IFC-123N10" sheetId="39" r:id="rId39"/>
    <sheet name="PL-IFC-123N100" sheetId="40" r:id="rId40"/>
    <sheet name="PL-IFC-123N25" sheetId="41" r:id="rId41"/>
    <sheet name="PL-IFC-123N50" sheetId="42" r:id="rId42"/>
    <sheet name="PL-IFC-123R06" sheetId="43" r:id="rId43"/>
    <sheet name="PL-IFC-123R10" sheetId="44" r:id="rId44"/>
    <sheet name="PL-IFC-123R100" sheetId="45" r:id="rId45"/>
    <sheet name="PL-IFC-123R25" sheetId="46" r:id="rId46"/>
    <sheet name="PL-IFC-123R50" sheetId="47" r:id="rId47"/>
    <sheet name="PL-IFC-123Y06" sheetId="48" r:id="rId48"/>
    <sheet name="PL-IFC-123Y10" sheetId="49" r:id="rId49"/>
    <sheet name="PL-IFC-123Y100" sheetId="50" r:id="rId50"/>
    <sheet name="PL-IFC-123Y100P" sheetId="51" r:id="rId51"/>
    <sheet name="PL-IFC-123Y100-PK2" sheetId="52" r:id="rId52"/>
    <sheet name="PL-IFC-123Y10-2PK" sheetId="53" r:id="rId53"/>
    <sheet name="PL-IFC-123Y10P" sheetId="54" r:id="rId54"/>
    <sheet name="PL-IFC-123Y15" sheetId="55" r:id="rId55"/>
    <sheet name="PL-IFC-123Y15P" sheetId="56" r:id="rId56"/>
    <sheet name="PL-IFC-123Y200" sheetId="57" r:id="rId57"/>
    <sheet name="PL-IFC-123Y25" sheetId="58" r:id="rId58"/>
    <sheet name="PL-IFC-123Y25P" sheetId="59" r:id="rId59"/>
    <sheet name="PL-IFC-123Y25P-2PK" sheetId="60" r:id="rId60"/>
    <sheet name="PL-IFC-123Y25-PK2" sheetId="61" r:id="rId61"/>
    <sheet name="PL-IFC-123Y2P" sheetId="62" r:id="rId62"/>
    <sheet name="PL-IFC-123Y2P-2PK" sheetId="63" r:id="rId63"/>
    <sheet name="PL-IFC-123Y3GFCI" sheetId="64" r:id="rId64"/>
    <sheet name="PL-IFC-123Y3GFCI-BK" sheetId="65" r:id="rId65"/>
    <sheet name="PL-IFC-123Y3GFCI-SO" sheetId="66" r:id="rId66"/>
    <sheet name="PL-IFC-123Y50" sheetId="67" r:id="rId67"/>
    <sheet name="PL-IFC-123Y50P" sheetId="68" r:id="rId68"/>
    <sheet name="PL-IFC-123Y50-PK2" sheetId="69" r:id="rId69"/>
    <sheet name="PL-IFC-123Y75" sheetId="70" r:id="rId70"/>
    <sheet name="PL-IFC-123Y75P" sheetId="71" r:id="rId71"/>
    <sheet name="PL-IFC-143B10" sheetId="72" r:id="rId72"/>
    <sheet name="PL-IFC-143B10P" sheetId="73" r:id="rId73"/>
    <sheet name="PL-IFC-143B25P" sheetId="74" r:id="rId74"/>
    <sheet name="PL-IFC-143B50" sheetId="75" r:id="rId75"/>
    <sheet name="PL-IFC-143B50P" sheetId="76" r:id="rId76"/>
    <sheet name="PL-IFC-143Y100" sheetId="77" r:id="rId77"/>
    <sheet name="PL-IFC-143Y25" sheetId="78" r:id="rId78"/>
  </sheets>
  <calcPr calcId="191029"/>
</workbook>
</file>

<file path=xl/calcChain.xml><?xml version="1.0" encoding="utf-8"?>
<calcChain xmlns="http://schemas.openxmlformats.org/spreadsheetml/2006/main">
  <c r="R32" i="2" l="1"/>
  <c r="R32" i="3"/>
  <c r="R32" i="4"/>
  <c r="R32" i="5"/>
  <c r="R32" i="6"/>
  <c r="R32" i="7"/>
  <c r="R32" i="8"/>
  <c r="R32" i="9"/>
  <c r="R32" i="10"/>
  <c r="R32" i="11"/>
  <c r="R32" i="12"/>
  <c r="R32" i="13"/>
  <c r="R32" i="14"/>
  <c r="R32" i="15"/>
  <c r="R32" i="16"/>
  <c r="R32" i="17"/>
  <c r="R32" i="18"/>
  <c r="R32" i="19"/>
  <c r="R32" i="20"/>
  <c r="R32" i="21"/>
  <c r="R32" i="22"/>
  <c r="R32" i="23"/>
  <c r="R32" i="24"/>
  <c r="R32" i="25"/>
  <c r="R32" i="26"/>
  <c r="R32" i="27"/>
  <c r="R32" i="28"/>
  <c r="R32" i="29"/>
  <c r="R32" i="30"/>
  <c r="R32" i="31"/>
  <c r="R32" i="32"/>
  <c r="R32" i="33"/>
  <c r="R32" i="34"/>
  <c r="R32" i="35"/>
  <c r="R32" i="36"/>
  <c r="R32" i="37"/>
  <c r="R32" i="38"/>
  <c r="R32" i="39"/>
  <c r="R32" i="40"/>
  <c r="R32" i="41"/>
  <c r="R32" i="42"/>
  <c r="R32" i="43"/>
  <c r="R32" i="44"/>
  <c r="R32" i="45"/>
  <c r="R32" i="46"/>
  <c r="R32" i="47"/>
  <c r="R32" i="48"/>
  <c r="R32" i="49"/>
  <c r="R32" i="50"/>
  <c r="R32" i="51"/>
  <c r="R32" i="52"/>
  <c r="R32" i="53"/>
  <c r="R32" i="54"/>
  <c r="R32" i="55"/>
  <c r="R32" i="56"/>
  <c r="R32" i="57"/>
  <c r="R32" i="58"/>
  <c r="R32" i="59"/>
  <c r="R32" i="60"/>
  <c r="R32" i="61"/>
  <c r="R32" i="62"/>
  <c r="R32" i="63"/>
  <c r="R32" i="64"/>
  <c r="R32" i="65"/>
  <c r="R32" i="66"/>
  <c r="R32" i="67"/>
  <c r="R32" i="68"/>
  <c r="R32" i="69"/>
  <c r="R32" i="70"/>
  <c r="R32" i="71"/>
  <c r="R32" i="72"/>
  <c r="R32" i="73"/>
  <c r="R32" i="74"/>
  <c r="R32" i="75"/>
  <c r="R32" i="76"/>
  <c r="R32" i="77"/>
  <c r="R32" i="78"/>
  <c r="R32" i="1"/>
  <c r="AD32" i="78"/>
  <c r="AB32" i="78"/>
  <c r="Y32" i="78"/>
  <c r="X32" i="78"/>
  <c r="V32" i="78"/>
  <c r="U32" i="78"/>
  <c r="T32" i="78"/>
  <c r="Q32" i="78"/>
  <c r="P32" i="78"/>
  <c r="O32" i="78"/>
  <c r="M32" i="78"/>
  <c r="J32" i="78"/>
  <c r="K32" i="78" s="1"/>
  <c r="I32" i="78"/>
  <c r="H32" i="78"/>
  <c r="C32" i="78"/>
  <c r="AB31" i="78"/>
  <c r="AD31" i="78" s="1"/>
  <c r="J31" i="78" s="1"/>
  <c r="Y31" i="78"/>
  <c r="X31" i="78"/>
  <c r="P31" i="78"/>
  <c r="O31" i="78"/>
  <c r="Q31" i="78" s="1"/>
  <c r="M31" i="78"/>
  <c r="H31" i="78"/>
  <c r="C31" i="78"/>
  <c r="AB30" i="78"/>
  <c r="AD30" i="78" s="1"/>
  <c r="Y30" i="78"/>
  <c r="X30" i="78"/>
  <c r="P30" i="78"/>
  <c r="O30" i="78"/>
  <c r="Q30" i="78" s="1"/>
  <c r="M30" i="78"/>
  <c r="J30" i="78"/>
  <c r="H30" i="78"/>
  <c r="C30" i="78"/>
  <c r="AB29" i="78"/>
  <c r="AD29" i="78" s="1"/>
  <c r="J29" i="78" s="1"/>
  <c r="Y29" i="78"/>
  <c r="X29" i="78"/>
  <c r="Q29" i="78"/>
  <c r="P29" i="78"/>
  <c r="O29" i="78"/>
  <c r="M29" i="78"/>
  <c r="H29" i="78"/>
  <c r="C29" i="78"/>
  <c r="AD28" i="78"/>
  <c r="J28" i="78" s="1"/>
  <c r="AB28" i="78"/>
  <c r="Y28" i="78"/>
  <c r="X28" i="78"/>
  <c r="P28" i="78"/>
  <c r="O28" i="78"/>
  <c r="Q28" i="78" s="1"/>
  <c r="M28" i="78"/>
  <c r="H28" i="78"/>
  <c r="C28" i="78"/>
  <c r="AB27" i="78"/>
  <c r="AD27" i="78" s="1"/>
  <c r="J27" i="78" s="1"/>
  <c r="K27" i="78" s="1"/>
  <c r="Y27" i="78"/>
  <c r="X27" i="78"/>
  <c r="P27" i="78"/>
  <c r="Q27" i="78" s="1"/>
  <c r="O27" i="78"/>
  <c r="M27" i="78"/>
  <c r="I27" i="78"/>
  <c r="H27" i="78"/>
  <c r="C27" i="78"/>
  <c r="AD26" i="78"/>
  <c r="J26" i="78" s="1"/>
  <c r="AB26" i="78"/>
  <c r="Y26" i="78"/>
  <c r="X26" i="78"/>
  <c r="P26" i="78"/>
  <c r="Q26" i="78" s="1"/>
  <c r="O26" i="78"/>
  <c r="M26" i="78"/>
  <c r="H26" i="78"/>
  <c r="C26" i="78"/>
  <c r="AD25" i="78"/>
  <c r="J25" i="78" s="1"/>
  <c r="I25" i="78" s="1"/>
  <c r="AB25" i="78"/>
  <c r="Y25" i="78"/>
  <c r="X25" i="78"/>
  <c r="P25" i="78"/>
  <c r="O25" i="78"/>
  <c r="Q25" i="78" s="1"/>
  <c r="M25" i="78"/>
  <c r="H25" i="78"/>
  <c r="C25" i="78"/>
  <c r="AB24" i="78"/>
  <c r="AD24" i="78" s="1"/>
  <c r="J24" i="78" s="1"/>
  <c r="Y24" i="78"/>
  <c r="X24" i="78"/>
  <c r="Q24" i="78"/>
  <c r="P24" i="78"/>
  <c r="O24" i="78"/>
  <c r="M24" i="78"/>
  <c r="H24" i="78"/>
  <c r="C24" i="78"/>
  <c r="AB23" i="78"/>
  <c r="AD23" i="78" s="1"/>
  <c r="J23" i="78" s="1"/>
  <c r="Y23" i="78"/>
  <c r="X23" i="78"/>
  <c r="P23" i="78"/>
  <c r="O23" i="78"/>
  <c r="Q23" i="78" s="1"/>
  <c r="M23" i="78"/>
  <c r="H23" i="78"/>
  <c r="C23" i="78"/>
  <c r="AB22" i="78"/>
  <c r="AD22" i="78" s="1"/>
  <c r="Y22" i="78"/>
  <c r="X22" i="78"/>
  <c r="P22" i="78"/>
  <c r="O22" i="78"/>
  <c r="Q22" i="78" s="1"/>
  <c r="M22" i="78"/>
  <c r="J22" i="78"/>
  <c r="H22" i="78"/>
  <c r="C22" i="78"/>
  <c r="AB21" i="78"/>
  <c r="AD21" i="78" s="1"/>
  <c r="J21" i="78" s="1"/>
  <c r="Y21" i="78"/>
  <c r="X21" i="78"/>
  <c r="Q21" i="78"/>
  <c r="P21" i="78"/>
  <c r="O21" i="78"/>
  <c r="M21" i="78"/>
  <c r="H21" i="78"/>
  <c r="C21" i="78"/>
  <c r="AD20" i="78"/>
  <c r="J20" i="78" s="1"/>
  <c r="AB20" i="78"/>
  <c r="Y20" i="78"/>
  <c r="X20" i="78"/>
  <c r="P20" i="78"/>
  <c r="O20" i="78"/>
  <c r="Q20" i="78" s="1"/>
  <c r="M20" i="78"/>
  <c r="H20" i="78"/>
  <c r="C20" i="78"/>
  <c r="AB19" i="78"/>
  <c r="AD19" i="78" s="1"/>
  <c r="J19" i="78" s="1"/>
  <c r="K19" i="78" s="1"/>
  <c r="Y19" i="78"/>
  <c r="X19" i="78"/>
  <c r="P19" i="78"/>
  <c r="Q19" i="78" s="1"/>
  <c r="O19" i="78"/>
  <c r="M19" i="78"/>
  <c r="I19" i="78"/>
  <c r="H19" i="78"/>
  <c r="C19" i="78"/>
  <c r="AD18" i="78"/>
  <c r="J18" i="78" s="1"/>
  <c r="AB18" i="78"/>
  <c r="Y18" i="78"/>
  <c r="X18" i="78"/>
  <c r="P18" i="78"/>
  <c r="Q18" i="78" s="1"/>
  <c r="O18" i="78"/>
  <c r="M18" i="78"/>
  <c r="H18" i="78"/>
  <c r="C18" i="78"/>
  <c r="AD17" i="78"/>
  <c r="J17" i="78" s="1"/>
  <c r="I17" i="78" s="1"/>
  <c r="AB17" i="78"/>
  <c r="Y17" i="78"/>
  <c r="X17" i="78"/>
  <c r="P17" i="78"/>
  <c r="O17" i="78"/>
  <c r="Q17" i="78" s="1"/>
  <c r="M17" i="78"/>
  <c r="H17" i="78"/>
  <c r="C17" i="78"/>
  <c r="AB16" i="78"/>
  <c r="AD16" i="78" s="1"/>
  <c r="J16" i="78" s="1"/>
  <c r="Y16" i="78"/>
  <c r="X16" i="78"/>
  <c r="Q16" i="78"/>
  <c r="P16" i="78"/>
  <c r="O16" i="78"/>
  <c r="M16" i="78"/>
  <c r="H16" i="78"/>
  <c r="C16" i="78"/>
  <c r="AB15" i="78"/>
  <c r="AD15" i="78" s="1"/>
  <c r="J15" i="78" s="1"/>
  <c r="Y15" i="78"/>
  <c r="X15" i="78"/>
  <c r="P15" i="78"/>
  <c r="O15" i="78"/>
  <c r="Q15" i="78" s="1"/>
  <c r="M15" i="78"/>
  <c r="H15" i="78"/>
  <c r="C15" i="78"/>
  <c r="AB14" i="78"/>
  <c r="AD14" i="78" s="1"/>
  <c r="Y14" i="78"/>
  <c r="X14" i="78"/>
  <c r="P14" i="78"/>
  <c r="O14" i="78"/>
  <c r="Q14" i="78" s="1"/>
  <c r="M14" i="78"/>
  <c r="J14" i="78"/>
  <c r="H14" i="78"/>
  <c r="C14" i="78"/>
  <c r="AB13" i="78"/>
  <c r="AD13" i="78" s="1"/>
  <c r="J13" i="78" s="1"/>
  <c r="Y13" i="78"/>
  <c r="X13" i="78"/>
  <c r="Q13" i="78"/>
  <c r="P13" i="78"/>
  <c r="O13" i="78"/>
  <c r="M13" i="78"/>
  <c r="H13" i="78"/>
  <c r="C13" i="78"/>
  <c r="AD12" i="78"/>
  <c r="J12" i="78" s="1"/>
  <c r="AB12" i="78"/>
  <c r="Y12" i="78"/>
  <c r="X12" i="78"/>
  <c r="P12" i="78"/>
  <c r="O12" i="78"/>
  <c r="Q12" i="78" s="1"/>
  <c r="M12" i="78"/>
  <c r="H12" i="78"/>
  <c r="C12" i="78"/>
  <c r="AB11" i="78"/>
  <c r="AD11" i="78" s="1"/>
  <c r="J11" i="78" s="1"/>
  <c r="K11" i="78" s="1"/>
  <c r="Y11" i="78"/>
  <c r="X11" i="78"/>
  <c r="P11" i="78"/>
  <c r="O11" i="78"/>
  <c r="Q11" i="78" s="1"/>
  <c r="M11" i="78"/>
  <c r="I11" i="78"/>
  <c r="H11" i="78"/>
  <c r="C11" i="78"/>
  <c r="AD10" i="78"/>
  <c r="J10" i="78" s="1"/>
  <c r="AB10" i="78"/>
  <c r="Y10" i="78"/>
  <c r="X10" i="78"/>
  <c r="P10" i="78"/>
  <c r="Q10" i="78" s="1"/>
  <c r="O10" i="78"/>
  <c r="M10" i="78"/>
  <c r="H10" i="78"/>
  <c r="C10" i="78"/>
  <c r="AD9" i="78"/>
  <c r="J9" i="78" s="1"/>
  <c r="I9" i="78" s="1"/>
  <c r="AB9" i="78"/>
  <c r="Y9" i="78"/>
  <c r="X9" i="78"/>
  <c r="P9" i="78"/>
  <c r="O9" i="78"/>
  <c r="Q9" i="78" s="1"/>
  <c r="M9" i="78"/>
  <c r="H9" i="78"/>
  <c r="C9" i="78"/>
  <c r="AB8" i="78"/>
  <c r="AD8" i="78" s="1"/>
  <c r="J8" i="78" s="1"/>
  <c r="Y8" i="78"/>
  <c r="X8" i="78"/>
  <c r="Q8" i="78"/>
  <c r="P8" i="78"/>
  <c r="O8" i="78"/>
  <c r="M8" i="78"/>
  <c r="H8" i="78"/>
  <c r="C8" i="78"/>
  <c r="AB7" i="78"/>
  <c r="AD7" i="78" s="1"/>
  <c r="J7" i="78" s="1"/>
  <c r="Y7" i="78"/>
  <c r="X7" i="78"/>
  <c r="P7" i="78"/>
  <c r="O7" i="78"/>
  <c r="Q7" i="78" s="1"/>
  <c r="M7" i="78"/>
  <c r="H7" i="78"/>
  <c r="C7" i="78"/>
  <c r="AB6" i="78"/>
  <c r="AD6" i="78" s="1"/>
  <c r="AD3" i="78" s="1"/>
  <c r="Y6" i="78"/>
  <c r="X6" i="78"/>
  <c r="P6" i="78"/>
  <c r="O6" i="78"/>
  <c r="Q6" i="78" s="1"/>
  <c r="M6" i="78"/>
  <c r="J6" i="78"/>
  <c r="H6" i="78"/>
  <c r="C6" i="78"/>
  <c r="AB5" i="78"/>
  <c r="AD5" i="78" s="1"/>
  <c r="J5" i="78" s="1"/>
  <c r="Y5" i="78"/>
  <c r="X5" i="78"/>
  <c r="Q5" i="78"/>
  <c r="P5" i="78"/>
  <c r="O5" i="78"/>
  <c r="M5" i="78"/>
  <c r="H5" i="78"/>
  <c r="C5" i="78"/>
  <c r="AD4" i="78"/>
  <c r="J4" i="78" s="1"/>
  <c r="J3" i="78" s="1"/>
  <c r="AB4" i="78"/>
  <c r="Y4" i="78"/>
  <c r="X4" i="78"/>
  <c r="P4" i="78"/>
  <c r="O4" i="78"/>
  <c r="Q4" i="78" s="1"/>
  <c r="M4" i="78"/>
  <c r="H4" i="78"/>
  <c r="C4" i="78"/>
  <c r="AG3" i="78"/>
  <c r="AF3" i="78"/>
  <c r="W3" i="78"/>
  <c r="V3" i="78"/>
  <c r="U3" i="78"/>
  <c r="T3" i="78"/>
  <c r="O3" i="78"/>
  <c r="G3" i="78"/>
  <c r="H3" i="78" s="1"/>
  <c r="F3" i="78"/>
  <c r="D3" i="78"/>
  <c r="X3" i="78" s="1"/>
  <c r="C3" i="78"/>
  <c r="A2" i="78"/>
  <c r="A1" i="78"/>
  <c r="AD32" i="77"/>
  <c r="AB32" i="77"/>
  <c r="Y32" i="77"/>
  <c r="X32" i="77"/>
  <c r="V32" i="77"/>
  <c r="U32" i="77"/>
  <c r="T32" i="77"/>
  <c r="P32" i="77"/>
  <c r="O32" i="77"/>
  <c r="Q32" i="77" s="1"/>
  <c r="M32" i="77"/>
  <c r="J32" i="77"/>
  <c r="K32" i="77" s="1"/>
  <c r="H32" i="77"/>
  <c r="C32" i="77"/>
  <c r="AB31" i="77"/>
  <c r="AD31" i="77" s="1"/>
  <c r="J31" i="77" s="1"/>
  <c r="Y31" i="77"/>
  <c r="X31" i="77"/>
  <c r="P31" i="77"/>
  <c r="O31" i="77"/>
  <c r="Q31" i="77" s="1"/>
  <c r="M31" i="77"/>
  <c r="H31" i="77"/>
  <c r="C31" i="77"/>
  <c r="AB30" i="77"/>
  <c r="AD30" i="77" s="1"/>
  <c r="Y30" i="77"/>
  <c r="X30" i="77"/>
  <c r="P30" i="77"/>
  <c r="O30" i="77"/>
  <c r="Q30" i="77" s="1"/>
  <c r="M30" i="77"/>
  <c r="J30" i="77"/>
  <c r="H30" i="77"/>
  <c r="C30" i="77"/>
  <c r="AB29" i="77"/>
  <c r="AD29" i="77" s="1"/>
  <c r="J29" i="77" s="1"/>
  <c r="Y29" i="77"/>
  <c r="X29" i="77"/>
  <c r="Q29" i="77"/>
  <c r="P29" i="77"/>
  <c r="O29" i="77"/>
  <c r="M29" i="77"/>
  <c r="H29" i="77"/>
  <c r="C29" i="77"/>
  <c r="AD28" i="77"/>
  <c r="J28" i="77" s="1"/>
  <c r="AB28" i="77"/>
  <c r="Y28" i="77"/>
  <c r="X28" i="77"/>
  <c r="P28" i="77"/>
  <c r="O28" i="77"/>
  <c r="Q28" i="77" s="1"/>
  <c r="M28" i="77"/>
  <c r="H28" i="77"/>
  <c r="C28" i="77"/>
  <c r="AB27" i="77"/>
  <c r="AD27" i="77" s="1"/>
  <c r="J27" i="77" s="1"/>
  <c r="K27" i="77" s="1"/>
  <c r="Y27" i="77"/>
  <c r="X27" i="77"/>
  <c r="P27" i="77"/>
  <c r="Q27" i="77" s="1"/>
  <c r="O27" i="77"/>
  <c r="M27" i="77"/>
  <c r="I27" i="77"/>
  <c r="H27" i="77"/>
  <c r="C27" i="77"/>
  <c r="AD26" i="77"/>
  <c r="J26" i="77" s="1"/>
  <c r="AB26" i="77"/>
  <c r="Y26" i="77"/>
  <c r="X26" i="77"/>
  <c r="P26" i="77"/>
  <c r="Q26" i="77" s="1"/>
  <c r="O26" i="77"/>
  <c r="M26" i="77"/>
  <c r="H26" i="77"/>
  <c r="C26" i="77"/>
  <c r="AD25" i="77"/>
  <c r="J25" i="77" s="1"/>
  <c r="I25" i="77" s="1"/>
  <c r="AB25" i="77"/>
  <c r="Y25" i="77"/>
  <c r="X25" i="77"/>
  <c r="P25" i="77"/>
  <c r="O25" i="77"/>
  <c r="Q25" i="77" s="1"/>
  <c r="M25" i="77"/>
  <c r="K25" i="77"/>
  <c r="H25" i="77"/>
  <c r="C25" i="77"/>
  <c r="AB24" i="77"/>
  <c r="AD24" i="77" s="1"/>
  <c r="J24" i="77" s="1"/>
  <c r="Y24" i="77"/>
  <c r="X24" i="77"/>
  <c r="P24" i="77"/>
  <c r="O24" i="77"/>
  <c r="Q24" i="77" s="1"/>
  <c r="M24" i="77"/>
  <c r="H24" i="77"/>
  <c r="C24" i="77"/>
  <c r="AB23" i="77"/>
  <c r="AD23" i="77" s="1"/>
  <c r="J23" i="77" s="1"/>
  <c r="Y23" i="77"/>
  <c r="X23" i="77"/>
  <c r="P23" i="77"/>
  <c r="O23" i="77"/>
  <c r="Q23" i="77" s="1"/>
  <c r="M23" i="77"/>
  <c r="H23" i="77"/>
  <c r="C23" i="77"/>
  <c r="AB22" i="77"/>
  <c r="AD22" i="77" s="1"/>
  <c r="J22" i="77" s="1"/>
  <c r="Y22" i="77"/>
  <c r="X22" i="77"/>
  <c r="P22" i="77"/>
  <c r="O22" i="77"/>
  <c r="Q22" i="77" s="1"/>
  <c r="M22" i="77"/>
  <c r="H22" i="77"/>
  <c r="C22" i="77"/>
  <c r="AB21" i="77"/>
  <c r="AD21" i="77" s="1"/>
  <c r="J21" i="77" s="1"/>
  <c r="Y21" i="77"/>
  <c r="X21" i="77"/>
  <c r="Q21" i="77"/>
  <c r="P21" i="77"/>
  <c r="O21" i="77"/>
  <c r="M21" i="77"/>
  <c r="H21" i="77"/>
  <c r="C21" i="77"/>
  <c r="AD20" i="77"/>
  <c r="J20" i="77" s="1"/>
  <c r="AB20" i="77"/>
  <c r="Y20" i="77"/>
  <c r="X20" i="77"/>
  <c r="P20" i="77"/>
  <c r="O20" i="77"/>
  <c r="Q20" i="77" s="1"/>
  <c r="M20" i="77"/>
  <c r="H20" i="77"/>
  <c r="C20" i="77"/>
  <c r="AB19" i="77"/>
  <c r="AD19" i="77" s="1"/>
  <c r="J19" i="77" s="1"/>
  <c r="K19" i="77" s="1"/>
  <c r="Y19" i="77"/>
  <c r="X19" i="77"/>
  <c r="P19" i="77"/>
  <c r="Q19" i="77" s="1"/>
  <c r="O19" i="77"/>
  <c r="M19" i="77"/>
  <c r="I19" i="77"/>
  <c r="H19" i="77"/>
  <c r="C19" i="77"/>
  <c r="AD18" i="77"/>
  <c r="J18" i="77" s="1"/>
  <c r="AB18" i="77"/>
  <c r="Y18" i="77"/>
  <c r="X18" i="77"/>
  <c r="P18" i="77"/>
  <c r="Q18" i="77" s="1"/>
  <c r="O18" i="77"/>
  <c r="M18" i="77"/>
  <c r="H18" i="77"/>
  <c r="C18" i="77"/>
  <c r="AD17" i="77"/>
  <c r="J17" i="77" s="1"/>
  <c r="I17" i="77" s="1"/>
  <c r="AB17" i="77"/>
  <c r="Y17" i="77"/>
  <c r="X17" i="77"/>
  <c r="P17" i="77"/>
  <c r="O17" i="77"/>
  <c r="Q17" i="77" s="1"/>
  <c r="M17" i="77"/>
  <c r="H17" i="77"/>
  <c r="C17" i="77"/>
  <c r="AB16" i="77"/>
  <c r="AD16" i="77" s="1"/>
  <c r="J16" i="77" s="1"/>
  <c r="Y16" i="77"/>
  <c r="X16" i="77"/>
  <c r="P16" i="77"/>
  <c r="O16" i="77"/>
  <c r="Q16" i="77" s="1"/>
  <c r="M16" i="77"/>
  <c r="H16" i="77"/>
  <c r="C16" i="77"/>
  <c r="AB15" i="77"/>
  <c r="AD15" i="77" s="1"/>
  <c r="J15" i="77" s="1"/>
  <c r="Y15" i="77"/>
  <c r="X15" i="77"/>
  <c r="P15" i="77"/>
  <c r="O15" i="77"/>
  <c r="Q15" i="77" s="1"/>
  <c r="M15" i="77"/>
  <c r="H15" i="77"/>
  <c r="C15" i="77"/>
  <c r="AB14" i="77"/>
  <c r="AD14" i="77" s="1"/>
  <c r="J14" i="77" s="1"/>
  <c r="Y14" i="77"/>
  <c r="X14" i="77"/>
  <c r="P14" i="77"/>
  <c r="O14" i="77"/>
  <c r="Q14" i="77" s="1"/>
  <c r="M14" i="77"/>
  <c r="H14" i="77"/>
  <c r="C14" i="77"/>
  <c r="AB13" i="77"/>
  <c r="AD13" i="77" s="1"/>
  <c r="J13" i="77" s="1"/>
  <c r="Y13" i="77"/>
  <c r="X13" i="77"/>
  <c r="Q13" i="77"/>
  <c r="P13" i="77"/>
  <c r="O13" i="77"/>
  <c r="M13" i="77"/>
  <c r="H13" i="77"/>
  <c r="C13" i="77"/>
  <c r="AD12" i="77"/>
  <c r="J12" i="77" s="1"/>
  <c r="AB12" i="77"/>
  <c r="Y12" i="77"/>
  <c r="X12" i="77"/>
  <c r="P12" i="77"/>
  <c r="O12" i="77"/>
  <c r="Q12" i="77" s="1"/>
  <c r="M12" i="77"/>
  <c r="H12" i="77"/>
  <c r="C12" i="77"/>
  <c r="AD11" i="77"/>
  <c r="J11" i="77" s="1"/>
  <c r="K11" i="77" s="1"/>
  <c r="AB11" i="77"/>
  <c r="Y11" i="77"/>
  <c r="X11" i="77"/>
  <c r="P11" i="77"/>
  <c r="Q11" i="77" s="1"/>
  <c r="O11" i="77"/>
  <c r="M11" i="77"/>
  <c r="I11" i="77"/>
  <c r="H11" i="77"/>
  <c r="C11" i="77"/>
  <c r="AD10" i="77"/>
  <c r="J10" i="77" s="1"/>
  <c r="AB10" i="77"/>
  <c r="Y10" i="77"/>
  <c r="X10" i="77"/>
  <c r="P10" i="77"/>
  <c r="Q10" i="77" s="1"/>
  <c r="O10" i="77"/>
  <c r="M10" i="77"/>
  <c r="H10" i="77"/>
  <c r="C10" i="77"/>
  <c r="AD9" i="77"/>
  <c r="J9" i="77" s="1"/>
  <c r="I9" i="77" s="1"/>
  <c r="AB9" i="77"/>
  <c r="Y9" i="77"/>
  <c r="X9" i="77"/>
  <c r="P9" i="77"/>
  <c r="O9" i="77"/>
  <c r="Q9" i="77" s="1"/>
  <c r="M9" i="77"/>
  <c r="H9" i="77"/>
  <c r="C9" i="77"/>
  <c r="AB8" i="77"/>
  <c r="AD8" i="77" s="1"/>
  <c r="J8" i="77" s="1"/>
  <c r="Y8" i="77"/>
  <c r="X8" i="77"/>
  <c r="P8" i="77"/>
  <c r="O8" i="77"/>
  <c r="Q8" i="77" s="1"/>
  <c r="M8" i="77"/>
  <c r="H8" i="77"/>
  <c r="C8" i="77"/>
  <c r="AB7" i="77"/>
  <c r="AD7" i="77" s="1"/>
  <c r="J7" i="77" s="1"/>
  <c r="Y7" i="77"/>
  <c r="X7" i="77"/>
  <c r="P7" i="77"/>
  <c r="O7" i="77"/>
  <c r="Q7" i="77" s="1"/>
  <c r="M7" i="77"/>
  <c r="H7" i="77"/>
  <c r="C7" i="77"/>
  <c r="AB6" i="77"/>
  <c r="AD6" i="77" s="1"/>
  <c r="J6" i="77" s="1"/>
  <c r="Y6" i="77"/>
  <c r="X6" i="77"/>
  <c r="P6" i="77"/>
  <c r="O6" i="77"/>
  <c r="Q6" i="77" s="1"/>
  <c r="M6" i="77"/>
  <c r="H6" i="77"/>
  <c r="C6" i="77"/>
  <c r="AB5" i="77"/>
  <c r="AD5" i="77" s="1"/>
  <c r="Y5" i="77"/>
  <c r="X5" i="77"/>
  <c r="Q5" i="77"/>
  <c r="P5" i="77"/>
  <c r="O5" i="77"/>
  <c r="M5" i="77"/>
  <c r="H5" i="77"/>
  <c r="C5" i="77"/>
  <c r="AD4" i="77"/>
  <c r="J4" i="77" s="1"/>
  <c r="AB4" i="77"/>
  <c r="Y4" i="77"/>
  <c r="X4" i="77"/>
  <c r="P4" i="77"/>
  <c r="O4" i="77"/>
  <c r="Q4" i="77" s="1"/>
  <c r="M4" i="77"/>
  <c r="H4" i="77"/>
  <c r="C4" i="77"/>
  <c r="AG3" i="77"/>
  <c r="AF3" i="77"/>
  <c r="W3" i="77"/>
  <c r="V3" i="77"/>
  <c r="U3" i="77"/>
  <c r="T3" i="77"/>
  <c r="O3" i="77"/>
  <c r="G3" i="77"/>
  <c r="H3" i="77" s="1"/>
  <c r="F3" i="77"/>
  <c r="D3" i="77"/>
  <c r="X3" i="77" s="1"/>
  <c r="C3" i="77"/>
  <c r="A2" i="77"/>
  <c r="A1" i="77"/>
  <c r="AB32" i="76"/>
  <c r="AD32" i="76" s="1"/>
  <c r="J32" i="76" s="1"/>
  <c r="Y32" i="76"/>
  <c r="X32" i="76"/>
  <c r="V32" i="76"/>
  <c r="U32" i="76"/>
  <c r="T32" i="76"/>
  <c r="P32" i="76"/>
  <c r="O32" i="76"/>
  <c r="Q32" i="76" s="1"/>
  <c r="M32" i="76"/>
  <c r="H32" i="76"/>
  <c r="C32" i="76"/>
  <c r="AB31" i="76"/>
  <c r="AD31" i="76" s="1"/>
  <c r="J31" i="76" s="1"/>
  <c r="Y31" i="76"/>
  <c r="X31" i="76"/>
  <c r="P31" i="76"/>
  <c r="O31" i="76"/>
  <c r="Q31" i="76" s="1"/>
  <c r="M31" i="76"/>
  <c r="H31" i="76"/>
  <c r="C31" i="76"/>
  <c r="AB30" i="76"/>
  <c r="AD30" i="76" s="1"/>
  <c r="J30" i="76" s="1"/>
  <c r="Y30" i="76"/>
  <c r="X30" i="76"/>
  <c r="P30" i="76"/>
  <c r="O30" i="76"/>
  <c r="Q30" i="76" s="1"/>
  <c r="M30" i="76"/>
  <c r="H30" i="76"/>
  <c r="C30" i="76"/>
  <c r="AB29" i="76"/>
  <c r="AD29" i="76" s="1"/>
  <c r="J29" i="76" s="1"/>
  <c r="Y29" i="76"/>
  <c r="X29" i="76"/>
  <c r="Q29" i="76"/>
  <c r="P29" i="76"/>
  <c r="O29" i="76"/>
  <c r="M29" i="76"/>
  <c r="H29" i="76"/>
  <c r="C29" i="76"/>
  <c r="AB28" i="76"/>
  <c r="AD28" i="76" s="1"/>
  <c r="J28" i="76" s="1"/>
  <c r="Y28" i="76"/>
  <c r="X28" i="76"/>
  <c r="P28" i="76"/>
  <c r="O28" i="76"/>
  <c r="Q28" i="76" s="1"/>
  <c r="M28" i="76"/>
  <c r="H28" i="76"/>
  <c r="C28" i="76"/>
  <c r="AD27" i="76"/>
  <c r="J27" i="76" s="1"/>
  <c r="K27" i="76" s="1"/>
  <c r="AB27" i="76"/>
  <c r="Y27" i="76"/>
  <c r="X27" i="76"/>
  <c r="P27" i="76"/>
  <c r="Q27" i="76" s="1"/>
  <c r="O27" i="76"/>
  <c r="M27" i="76"/>
  <c r="H27" i="76"/>
  <c r="C27" i="76"/>
  <c r="AD26" i="76"/>
  <c r="J26" i="76" s="1"/>
  <c r="AB26" i="76"/>
  <c r="Y26" i="76"/>
  <c r="X26" i="76"/>
  <c r="P26" i="76"/>
  <c r="Q26" i="76" s="1"/>
  <c r="O26" i="76"/>
  <c r="M26" i="76"/>
  <c r="H26" i="76"/>
  <c r="C26" i="76"/>
  <c r="AD25" i="76"/>
  <c r="J25" i="76" s="1"/>
  <c r="I25" i="76" s="1"/>
  <c r="AB25" i="76"/>
  <c r="Y25" i="76"/>
  <c r="X25" i="76"/>
  <c r="P25" i="76"/>
  <c r="O25" i="76"/>
  <c r="Q25" i="76" s="1"/>
  <c r="M25" i="76"/>
  <c r="K25" i="76"/>
  <c r="H25" i="76"/>
  <c r="C25" i="76"/>
  <c r="AB24" i="76"/>
  <c r="AD24" i="76" s="1"/>
  <c r="J24" i="76" s="1"/>
  <c r="Y24" i="76"/>
  <c r="X24" i="76"/>
  <c r="P24" i="76"/>
  <c r="O24" i="76"/>
  <c r="Q24" i="76" s="1"/>
  <c r="M24" i="76"/>
  <c r="H24" i="76"/>
  <c r="C24" i="76"/>
  <c r="AB23" i="76"/>
  <c r="AD23" i="76" s="1"/>
  <c r="J23" i="76" s="1"/>
  <c r="Y23" i="76"/>
  <c r="X23" i="76"/>
  <c r="P23" i="76"/>
  <c r="O23" i="76"/>
  <c r="Q23" i="76" s="1"/>
  <c r="M23" i="76"/>
  <c r="H23" i="76"/>
  <c r="C23" i="76"/>
  <c r="AB22" i="76"/>
  <c r="AD22" i="76" s="1"/>
  <c r="Y22" i="76"/>
  <c r="X22" i="76"/>
  <c r="P22" i="76"/>
  <c r="O22" i="76"/>
  <c r="Q22" i="76" s="1"/>
  <c r="M22" i="76"/>
  <c r="J22" i="76"/>
  <c r="H22" i="76"/>
  <c r="C22" i="76"/>
  <c r="AB21" i="76"/>
  <c r="AD21" i="76" s="1"/>
  <c r="J21" i="76" s="1"/>
  <c r="Y21" i="76"/>
  <c r="X21" i="76"/>
  <c r="Q21" i="76"/>
  <c r="P21" i="76"/>
  <c r="O21" i="76"/>
  <c r="M21" i="76"/>
  <c r="H21" i="76"/>
  <c r="C21" i="76"/>
  <c r="AD20" i="76"/>
  <c r="J20" i="76" s="1"/>
  <c r="AB20" i="76"/>
  <c r="Y20" i="76"/>
  <c r="X20" i="76"/>
  <c r="P20" i="76"/>
  <c r="O20" i="76"/>
  <c r="Q20" i="76" s="1"/>
  <c r="M20" i="76"/>
  <c r="H20" i="76"/>
  <c r="C20" i="76"/>
  <c r="AD19" i="76"/>
  <c r="J19" i="76" s="1"/>
  <c r="K19" i="76" s="1"/>
  <c r="AB19" i="76"/>
  <c r="Y19" i="76"/>
  <c r="X19" i="76"/>
  <c r="P19" i="76"/>
  <c r="Q19" i="76" s="1"/>
  <c r="O19" i="76"/>
  <c r="M19" i="76"/>
  <c r="H19" i="76"/>
  <c r="C19" i="76"/>
  <c r="AD18" i="76"/>
  <c r="J18" i="76" s="1"/>
  <c r="AB18" i="76"/>
  <c r="Y18" i="76"/>
  <c r="X18" i="76"/>
  <c r="P18" i="76"/>
  <c r="Q18" i="76" s="1"/>
  <c r="O18" i="76"/>
  <c r="M18" i="76"/>
  <c r="H18" i="76"/>
  <c r="C18" i="76"/>
  <c r="AD17" i="76"/>
  <c r="J17" i="76" s="1"/>
  <c r="I17" i="76" s="1"/>
  <c r="AB17" i="76"/>
  <c r="Y17" i="76"/>
  <c r="X17" i="76"/>
  <c r="P17" i="76"/>
  <c r="O17" i="76"/>
  <c r="Q17" i="76" s="1"/>
  <c r="M17" i="76"/>
  <c r="K17" i="76"/>
  <c r="H17" i="76"/>
  <c r="C17" i="76"/>
  <c r="AB16" i="76"/>
  <c r="AD16" i="76" s="1"/>
  <c r="J16" i="76" s="1"/>
  <c r="Y16" i="76"/>
  <c r="X16" i="76"/>
  <c r="P16" i="76"/>
  <c r="O16" i="76"/>
  <c r="Q16" i="76" s="1"/>
  <c r="M16" i="76"/>
  <c r="H16" i="76"/>
  <c r="C16" i="76"/>
  <c r="AB15" i="76"/>
  <c r="AD15" i="76" s="1"/>
  <c r="J15" i="76" s="1"/>
  <c r="Y15" i="76"/>
  <c r="X15" i="76"/>
  <c r="P15" i="76"/>
  <c r="O15" i="76"/>
  <c r="Q15" i="76" s="1"/>
  <c r="M15" i="76"/>
  <c r="H15" i="76"/>
  <c r="C15" i="76"/>
  <c r="AB14" i="76"/>
  <c r="AD14" i="76" s="1"/>
  <c r="Y14" i="76"/>
  <c r="X14" i="76"/>
  <c r="P14" i="76"/>
  <c r="O14" i="76"/>
  <c r="Q14" i="76" s="1"/>
  <c r="M14" i="76"/>
  <c r="J14" i="76"/>
  <c r="H14" i="76"/>
  <c r="C14" i="76"/>
  <c r="AG3" i="76"/>
  <c r="AF3" i="76"/>
  <c r="W3" i="76"/>
  <c r="X3" i="76" s="1"/>
  <c r="V3" i="76"/>
  <c r="U3" i="76"/>
  <c r="T3" i="76"/>
  <c r="O3" i="76"/>
  <c r="H3" i="76"/>
  <c r="G3" i="76"/>
  <c r="F3" i="76"/>
  <c r="D3" i="76"/>
  <c r="C3" i="76"/>
  <c r="A2" i="76"/>
  <c r="A1" i="76"/>
  <c r="AB32" i="75"/>
  <c r="AD32" i="75" s="1"/>
  <c r="J32" i="75" s="1"/>
  <c r="Y32" i="75"/>
  <c r="X32" i="75"/>
  <c r="V32" i="75"/>
  <c r="U32" i="75"/>
  <c r="T32" i="75"/>
  <c r="P32" i="75"/>
  <c r="Q32" i="75" s="1"/>
  <c r="O32" i="75"/>
  <c r="M32" i="75"/>
  <c r="H32" i="75"/>
  <c r="C32" i="75"/>
  <c r="AD31" i="75"/>
  <c r="J31" i="75" s="1"/>
  <c r="I31" i="75" s="1"/>
  <c r="AB31" i="75"/>
  <c r="Y31" i="75"/>
  <c r="X31" i="75"/>
  <c r="P31" i="75"/>
  <c r="O31" i="75"/>
  <c r="Q31" i="75" s="1"/>
  <c r="M31" i="75"/>
  <c r="H31" i="75"/>
  <c r="C31" i="75"/>
  <c r="AB30" i="75"/>
  <c r="AD30" i="75" s="1"/>
  <c r="J30" i="75" s="1"/>
  <c r="Y30" i="75"/>
  <c r="X30" i="75"/>
  <c r="P30" i="75"/>
  <c r="O30" i="75"/>
  <c r="Q30" i="75" s="1"/>
  <c r="M30" i="75"/>
  <c r="H30" i="75"/>
  <c r="C30" i="75"/>
  <c r="AB29" i="75"/>
  <c r="AD29" i="75" s="1"/>
  <c r="J29" i="75" s="1"/>
  <c r="Y29" i="75"/>
  <c r="X29" i="75"/>
  <c r="P29" i="75"/>
  <c r="O29" i="75"/>
  <c r="Q29" i="75" s="1"/>
  <c r="M29" i="75"/>
  <c r="H29" i="75"/>
  <c r="C29" i="75"/>
  <c r="AB28" i="75"/>
  <c r="AD28" i="75" s="1"/>
  <c r="Y28" i="75"/>
  <c r="X28" i="75"/>
  <c r="P28" i="75"/>
  <c r="O28" i="75"/>
  <c r="Q28" i="75" s="1"/>
  <c r="M28" i="75"/>
  <c r="J28" i="75"/>
  <c r="H28" i="75"/>
  <c r="C28" i="75"/>
  <c r="AB27" i="75"/>
  <c r="AD27" i="75" s="1"/>
  <c r="J27" i="75" s="1"/>
  <c r="Y27" i="75"/>
  <c r="X27" i="75"/>
  <c r="Q27" i="75"/>
  <c r="P27" i="75"/>
  <c r="O27" i="75"/>
  <c r="M27" i="75"/>
  <c r="H27" i="75"/>
  <c r="C27" i="75"/>
  <c r="AD26" i="75"/>
  <c r="AB26" i="75"/>
  <c r="Y26" i="75"/>
  <c r="X26" i="75"/>
  <c r="P26" i="75"/>
  <c r="O26" i="75"/>
  <c r="Q26" i="75" s="1"/>
  <c r="M26" i="75"/>
  <c r="J26" i="75"/>
  <c r="K26" i="75" s="1"/>
  <c r="I26" i="75"/>
  <c r="H26" i="75"/>
  <c r="C26" i="75"/>
  <c r="AD25" i="75"/>
  <c r="J25" i="75" s="1"/>
  <c r="K25" i="75" s="1"/>
  <c r="AB25" i="75"/>
  <c r="Y25" i="75"/>
  <c r="X25" i="75"/>
  <c r="P25" i="75"/>
  <c r="Q25" i="75" s="1"/>
  <c r="O25" i="75"/>
  <c r="M25" i="75"/>
  <c r="I25" i="75"/>
  <c r="H25" i="75"/>
  <c r="C25" i="75"/>
  <c r="AD24" i="75"/>
  <c r="J24" i="75" s="1"/>
  <c r="AB24" i="75"/>
  <c r="Y24" i="75"/>
  <c r="X24" i="75"/>
  <c r="P24" i="75"/>
  <c r="Q24" i="75" s="1"/>
  <c r="O24" i="75"/>
  <c r="M24" i="75"/>
  <c r="H24" i="75"/>
  <c r="C24" i="75"/>
  <c r="AD23" i="75"/>
  <c r="J23" i="75" s="1"/>
  <c r="I23" i="75" s="1"/>
  <c r="AB23" i="75"/>
  <c r="Y23" i="75"/>
  <c r="X23" i="75"/>
  <c r="P23" i="75"/>
  <c r="O23" i="75"/>
  <c r="Q23" i="75" s="1"/>
  <c r="M23" i="75"/>
  <c r="K23" i="75"/>
  <c r="H23" i="75"/>
  <c r="C23" i="75"/>
  <c r="AB22" i="75"/>
  <c r="AD22" i="75" s="1"/>
  <c r="J22" i="75" s="1"/>
  <c r="Y22" i="75"/>
  <c r="X22" i="75"/>
  <c r="P22" i="75"/>
  <c r="O22" i="75"/>
  <c r="Q22" i="75" s="1"/>
  <c r="M22" i="75"/>
  <c r="H22" i="75"/>
  <c r="C22" i="75"/>
  <c r="AB21" i="75"/>
  <c r="AD21" i="75" s="1"/>
  <c r="J21" i="75" s="1"/>
  <c r="Y21" i="75"/>
  <c r="X21" i="75"/>
  <c r="P21" i="75"/>
  <c r="O21" i="75"/>
  <c r="Q21" i="75" s="1"/>
  <c r="M21" i="75"/>
  <c r="H21" i="75"/>
  <c r="C21" i="75"/>
  <c r="AB20" i="75"/>
  <c r="AD20" i="75" s="1"/>
  <c r="Y20" i="75"/>
  <c r="X20" i="75"/>
  <c r="Q20" i="75"/>
  <c r="P20" i="75"/>
  <c r="O20" i="75"/>
  <c r="M20" i="75"/>
  <c r="J20" i="75"/>
  <c r="H20" i="75"/>
  <c r="C20" i="75"/>
  <c r="AB19" i="75"/>
  <c r="AD19" i="75" s="1"/>
  <c r="J19" i="75" s="1"/>
  <c r="Y19" i="75"/>
  <c r="X19" i="75"/>
  <c r="Q19" i="75"/>
  <c r="P19" i="75"/>
  <c r="O19" i="75"/>
  <c r="M19" i="75"/>
  <c r="H19" i="75"/>
  <c r="C19" i="75"/>
  <c r="AB18" i="75"/>
  <c r="AD18" i="75" s="1"/>
  <c r="J18" i="75" s="1"/>
  <c r="Y18" i="75"/>
  <c r="X18" i="75"/>
  <c r="P18" i="75"/>
  <c r="O18" i="75"/>
  <c r="Q18" i="75" s="1"/>
  <c r="M18" i="75"/>
  <c r="H18" i="75"/>
  <c r="C18" i="75"/>
  <c r="AD17" i="75"/>
  <c r="J17" i="75" s="1"/>
  <c r="K17" i="75" s="1"/>
  <c r="AB17" i="75"/>
  <c r="Y17" i="75"/>
  <c r="X17" i="75"/>
  <c r="P17" i="75"/>
  <c r="Q17" i="75" s="1"/>
  <c r="O17" i="75"/>
  <c r="M17" i="75"/>
  <c r="I17" i="75"/>
  <c r="H17" i="75"/>
  <c r="C17" i="75"/>
  <c r="AD16" i="75"/>
  <c r="J16" i="75" s="1"/>
  <c r="AB16" i="75"/>
  <c r="Y16" i="75"/>
  <c r="X16" i="75"/>
  <c r="P16" i="75"/>
  <c r="Q16" i="75" s="1"/>
  <c r="O16" i="75"/>
  <c r="M16" i="75"/>
  <c r="H16" i="75"/>
  <c r="C16" i="75"/>
  <c r="AD15" i="75"/>
  <c r="J15" i="75" s="1"/>
  <c r="I15" i="75" s="1"/>
  <c r="AB15" i="75"/>
  <c r="Y15" i="75"/>
  <c r="X15" i="75"/>
  <c r="P15" i="75"/>
  <c r="O15" i="75"/>
  <c r="Q15" i="75" s="1"/>
  <c r="M15" i="75"/>
  <c r="K15" i="75"/>
  <c r="H15" i="75"/>
  <c r="C15" i="75"/>
  <c r="AB14" i="75"/>
  <c r="AD14" i="75" s="1"/>
  <c r="J14" i="75" s="1"/>
  <c r="Y14" i="75"/>
  <c r="X14" i="75"/>
  <c r="P14" i="75"/>
  <c r="O14" i="75"/>
  <c r="Q14" i="75" s="1"/>
  <c r="M14" i="75"/>
  <c r="H14" i="75"/>
  <c r="C14" i="75"/>
  <c r="AB13" i="75"/>
  <c r="AD13" i="75" s="1"/>
  <c r="J13" i="75" s="1"/>
  <c r="Y13" i="75"/>
  <c r="X13" i="75"/>
  <c r="P13" i="75"/>
  <c r="O13" i="75"/>
  <c r="Q13" i="75" s="1"/>
  <c r="M13" i="75"/>
  <c r="H13" i="75"/>
  <c r="C13" i="75"/>
  <c r="AB12" i="75"/>
  <c r="AD12" i="75" s="1"/>
  <c r="Y12" i="75"/>
  <c r="X12" i="75"/>
  <c r="Q12" i="75"/>
  <c r="P12" i="75"/>
  <c r="O12" i="75"/>
  <c r="M12" i="75"/>
  <c r="J12" i="75"/>
  <c r="H12" i="75"/>
  <c r="C12" i="75"/>
  <c r="AB11" i="75"/>
  <c r="AD11" i="75" s="1"/>
  <c r="J11" i="75" s="1"/>
  <c r="Y11" i="75"/>
  <c r="X11" i="75"/>
  <c r="Q11" i="75"/>
  <c r="P11" i="75"/>
  <c r="O11" i="75"/>
  <c r="M11" i="75"/>
  <c r="H11" i="75"/>
  <c r="C11" i="75"/>
  <c r="AB10" i="75"/>
  <c r="AD10" i="75" s="1"/>
  <c r="J10" i="75" s="1"/>
  <c r="Y10" i="75"/>
  <c r="X10" i="75"/>
  <c r="P10" i="75"/>
  <c r="O10" i="75"/>
  <c r="Q10" i="75" s="1"/>
  <c r="M10" i="75"/>
  <c r="H10" i="75"/>
  <c r="C10" i="75"/>
  <c r="AD9" i="75"/>
  <c r="J9" i="75" s="1"/>
  <c r="K9" i="75" s="1"/>
  <c r="AB9" i="75"/>
  <c r="Y9" i="75"/>
  <c r="X9" i="75"/>
  <c r="P9" i="75"/>
  <c r="Q9" i="75" s="1"/>
  <c r="O9" i="75"/>
  <c r="M9" i="75"/>
  <c r="I9" i="75"/>
  <c r="H9" i="75"/>
  <c r="C9" i="75"/>
  <c r="AD8" i="75"/>
  <c r="J8" i="75" s="1"/>
  <c r="AB8" i="75"/>
  <c r="Y8" i="75"/>
  <c r="X8" i="75"/>
  <c r="P8" i="75"/>
  <c r="Q8" i="75" s="1"/>
  <c r="O8" i="75"/>
  <c r="M8" i="75"/>
  <c r="H8" i="75"/>
  <c r="C8" i="75"/>
  <c r="AD7" i="75"/>
  <c r="J7" i="75" s="1"/>
  <c r="I7" i="75" s="1"/>
  <c r="AB7" i="75"/>
  <c r="Y7" i="75"/>
  <c r="X7" i="75"/>
  <c r="P7" i="75"/>
  <c r="O7" i="75"/>
  <c r="Q7" i="75" s="1"/>
  <c r="M7" i="75"/>
  <c r="K7" i="75"/>
  <c r="H7" i="75"/>
  <c r="C7" i="75"/>
  <c r="AB6" i="75"/>
  <c r="AD6" i="75" s="1"/>
  <c r="J6" i="75" s="1"/>
  <c r="Y6" i="75"/>
  <c r="X6" i="75"/>
  <c r="P6" i="75"/>
  <c r="O6" i="75"/>
  <c r="Q6" i="75" s="1"/>
  <c r="M6" i="75"/>
  <c r="H6" i="75"/>
  <c r="C6" i="75"/>
  <c r="AB5" i="75"/>
  <c r="AD5" i="75" s="1"/>
  <c r="J5" i="75" s="1"/>
  <c r="Y5" i="75"/>
  <c r="X5" i="75"/>
  <c r="P5" i="75"/>
  <c r="O5" i="75"/>
  <c r="Q5" i="75" s="1"/>
  <c r="M5" i="75"/>
  <c r="H5" i="75"/>
  <c r="C5" i="75"/>
  <c r="AB4" i="75"/>
  <c r="AD4" i="75" s="1"/>
  <c r="Y4" i="75"/>
  <c r="X4" i="75"/>
  <c r="Q4" i="75"/>
  <c r="P4" i="75"/>
  <c r="O4" i="75"/>
  <c r="M4" i="75"/>
  <c r="J4" i="75"/>
  <c r="H4" i="75"/>
  <c r="C4" i="75"/>
  <c r="AG3" i="75"/>
  <c r="AF3" i="75"/>
  <c r="W3" i="75"/>
  <c r="X3" i="75" s="1"/>
  <c r="V3" i="75"/>
  <c r="U3" i="75"/>
  <c r="T3" i="75"/>
  <c r="O3" i="75"/>
  <c r="H3" i="75"/>
  <c r="G3" i="75"/>
  <c r="F3" i="75"/>
  <c r="D3" i="75"/>
  <c r="C3" i="75"/>
  <c r="A2" i="75"/>
  <c r="A1" i="75"/>
  <c r="AB32" i="74"/>
  <c r="AD32" i="74" s="1"/>
  <c r="J32" i="74" s="1"/>
  <c r="Y32" i="74"/>
  <c r="X32" i="74"/>
  <c r="V32" i="74"/>
  <c r="U32" i="74"/>
  <c r="T32" i="74"/>
  <c r="P32" i="74"/>
  <c r="Q32" i="74" s="1"/>
  <c r="O32" i="74"/>
  <c r="M32" i="74"/>
  <c r="H32" i="74"/>
  <c r="C32" i="74"/>
  <c r="AD31" i="74"/>
  <c r="J31" i="74" s="1"/>
  <c r="I31" i="74" s="1"/>
  <c r="AB31" i="74"/>
  <c r="Y31" i="74"/>
  <c r="X31" i="74"/>
  <c r="P31" i="74"/>
  <c r="O31" i="74"/>
  <c r="Q31" i="74" s="1"/>
  <c r="M31" i="74"/>
  <c r="H31" i="74"/>
  <c r="C31" i="74"/>
  <c r="AB30" i="74"/>
  <c r="AD30" i="74" s="1"/>
  <c r="J30" i="74" s="1"/>
  <c r="Y30" i="74"/>
  <c r="X30" i="74"/>
  <c r="P30" i="74"/>
  <c r="O30" i="74"/>
  <c r="Q30" i="74" s="1"/>
  <c r="M30" i="74"/>
  <c r="H30" i="74"/>
  <c r="C30" i="74"/>
  <c r="AB29" i="74"/>
  <c r="AD29" i="74" s="1"/>
  <c r="J29" i="74" s="1"/>
  <c r="Y29" i="74"/>
  <c r="X29" i="74"/>
  <c r="P29" i="74"/>
  <c r="O29" i="74"/>
  <c r="Q29" i="74" s="1"/>
  <c r="M29" i="74"/>
  <c r="H29" i="74"/>
  <c r="C29" i="74"/>
  <c r="AB28" i="74"/>
  <c r="AD28" i="74" s="1"/>
  <c r="Y28" i="74"/>
  <c r="X28" i="74"/>
  <c r="Q28" i="74"/>
  <c r="P28" i="74"/>
  <c r="O28" i="74"/>
  <c r="M28" i="74"/>
  <c r="J28" i="74"/>
  <c r="H28" i="74"/>
  <c r="C28" i="74"/>
  <c r="AD27" i="74"/>
  <c r="J27" i="74" s="1"/>
  <c r="K27" i="74" s="1"/>
  <c r="AB27" i="74"/>
  <c r="Y27" i="74"/>
  <c r="X27" i="74"/>
  <c r="Q27" i="74"/>
  <c r="P27" i="74"/>
  <c r="O27" i="74"/>
  <c r="M27" i="74"/>
  <c r="I27" i="74"/>
  <c r="H27" i="74"/>
  <c r="C27" i="74"/>
  <c r="AB26" i="74"/>
  <c r="AD26" i="74" s="1"/>
  <c r="J26" i="74" s="1"/>
  <c r="Y26" i="74"/>
  <c r="X26" i="74"/>
  <c r="P26" i="74"/>
  <c r="O26" i="74"/>
  <c r="M26" i="74"/>
  <c r="H26" i="74"/>
  <c r="C26" i="74"/>
  <c r="AD25" i="74"/>
  <c r="J25" i="74" s="1"/>
  <c r="K25" i="74" s="1"/>
  <c r="AB25" i="74"/>
  <c r="Y25" i="74"/>
  <c r="X25" i="74"/>
  <c r="P25" i="74"/>
  <c r="O25" i="74"/>
  <c r="Q25" i="74" s="1"/>
  <c r="M25" i="74"/>
  <c r="I25" i="74"/>
  <c r="H25" i="74"/>
  <c r="C25" i="74"/>
  <c r="AD24" i="74"/>
  <c r="J24" i="74" s="1"/>
  <c r="AB24" i="74"/>
  <c r="Y24" i="74"/>
  <c r="X24" i="74"/>
  <c r="P24" i="74"/>
  <c r="Q24" i="74" s="1"/>
  <c r="O24" i="74"/>
  <c r="M24" i="74"/>
  <c r="H24" i="74"/>
  <c r="C24" i="74"/>
  <c r="AD23" i="74"/>
  <c r="J23" i="74" s="1"/>
  <c r="I23" i="74" s="1"/>
  <c r="AB23" i="74"/>
  <c r="Y23" i="74"/>
  <c r="X23" i="74"/>
  <c r="P23" i="74"/>
  <c r="O23" i="74"/>
  <c r="Q23" i="74" s="1"/>
  <c r="M23" i="74"/>
  <c r="K23" i="74"/>
  <c r="H23" i="74"/>
  <c r="C23" i="74"/>
  <c r="AB22" i="74"/>
  <c r="AD22" i="74" s="1"/>
  <c r="J22" i="74" s="1"/>
  <c r="Y22" i="74"/>
  <c r="X22" i="74"/>
  <c r="P22" i="74"/>
  <c r="O22" i="74"/>
  <c r="Q22" i="74" s="1"/>
  <c r="M22" i="74"/>
  <c r="H22" i="74"/>
  <c r="C22" i="74"/>
  <c r="AB21" i="74"/>
  <c r="AD21" i="74" s="1"/>
  <c r="J21" i="74" s="1"/>
  <c r="Y21" i="74"/>
  <c r="X21" i="74"/>
  <c r="Q21" i="74"/>
  <c r="P21" i="74"/>
  <c r="O21" i="74"/>
  <c r="M21" i="74"/>
  <c r="H21" i="74"/>
  <c r="C21" i="74"/>
  <c r="AB20" i="74"/>
  <c r="AD20" i="74" s="1"/>
  <c r="J20" i="74" s="1"/>
  <c r="Y20" i="74"/>
  <c r="X20" i="74"/>
  <c r="Q20" i="74"/>
  <c r="P20" i="74"/>
  <c r="O20" i="74"/>
  <c r="M20" i="74"/>
  <c r="H20" i="74"/>
  <c r="C20" i="74"/>
  <c r="AD19" i="74"/>
  <c r="J19" i="74" s="1"/>
  <c r="K19" i="74" s="1"/>
  <c r="AB19" i="74"/>
  <c r="Y19" i="74"/>
  <c r="X19" i="74"/>
  <c r="Q19" i="74"/>
  <c r="P19" i="74"/>
  <c r="O19" i="74"/>
  <c r="M19" i="74"/>
  <c r="I19" i="74"/>
  <c r="H19" i="74"/>
  <c r="C19" i="74"/>
  <c r="AB18" i="74"/>
  <c r="AD18" i="74" s="1"/>
  <c r="J18" i="74" s="1"/>
  <c r="K18" i="74" s="1"/>
  <c r="Y18" i="74"/>
  <c r="X18" i="74"/>
  <c r="P18" i="74"/>
  <c r="O18" i="74"/>
  <c r="Q18" i="74" s="1"/>
  <c r="M18" i="74"/>
  <c r="I18" i="74"/>
  <c r="H18" i="74"/>
  <c r="C18" i="74"/>
  <c r="AD17" i="74"/>
  <c r="J17" i="74" s="1"/>
  <c r="K17" i="74" s="1"/>
  <c r="AB17" i="74"/>
  <c r="Y17" i="74"/>
  <c r="X17" i="74"/>
  <c r="P17" i="74"/>
  <c r="O17" i="74"/>
  <c r="M17" i="74"/>
  <c r="I17" i="74"/>
  <c r="H17" i="74"/>
  <c r="C17" i="74"/>
  <c r="AD16" i="74"/>
  <c r="J16" i="74" s="1"/>
  <c r="I16" i="74" s="1"/>
  <c r="AB16" i="74"/>
  <c r="Y16" i="74"/>
  <c r="X16" i="74"/>
  <c r="P16" i="74"/>
  <c r="Q16" i="74" s="1"/>
  <c r="O16" i="74"/>
  <c r="M16" i="74"/>
  <c r="K16" i="74"/>
  <c r="H16" i="74"/>
  <c r="C16" i="74"/>
  <c r="AD15" i="74"/>
  <c r="J15" i="74" s="1"/>
  <c r="I15" i="74" s="1"/>
  <c r="AB15" i="74"/>
  <c r="Y15" i="74"/>
  <c r="X15" i="74"/>
  <c r="Q15" i="74"/>
  <c r="P15" i="74"/>
  <c r="O15" i="74"/>
  <c r="M15" i="74"/>
  <c r="K15" i="74"/>
  <c r="H15" i="74"/>
  <c r="C15" i="74"/>
  <c r="AB14" i="74"/>
  <c r="AD14" i="74" s="1"/>
  <c r="J14" i="74" s="1"/>
  <c r="Y14" i="74"/>
  <c r="X14" i="74"/>
  <c r="P14" i="74"/>
  <c r="O14" i="74"/>
  <c r="M14" i="74"/>
  <c r="H14" i="74"/>
  <c r="C14" i="74"/>
  <c r="AD13" i="74"/>
  <c r="J13" i="74" s="1"/>
  <c r="AB13" i="74"/>
  <c r="Y13" i="74"/>
  <c r="X13" i="74"/>
  <c r="P13" i="74"/>
  <c r="O13" i="74"/>
  <c r="Q13" i="74" s="1"/>
  <c r="M13" i="74"/>
  <c r="H13" i="74"/>
  <c r="C13" i="74"/>
  <c r="AB12" i="74"/>
  <c r="AD12" i="74" s="1"/>
  <c r="J12" i="74" s="1"/>
  <c r="Y12" i="74"/>
  <c r="X12" i="74"/>
  <c r="Q12" i="74"/>
  <c r="P12" i="74"/>
  <c r="O12" i="74"/>
  <c r="M12" i="74"/>
  <c r="H12" i="74"/>
  <c r="C12" i="74"/>
  <c r="AD11" i="74"/>
  <c r="J11" i="74" s="1"/>
  <c r="AB11" i="74"/>
  <c r="Y11" i="74"/>
  <c r="X11" i="74"/>
  <c r="P11" i="74"/>
  <c r="Q11" i="74" s="1"/>
  <c r="O11" i="74"/>
  <c r="M11" i="74"/>
  <c r="H11" i="74"/>
  <c r="C11" i="74"/>
  <c r="AD10" i="74"/>
  <c r="J10" i="74" s="1"/>
  <c r="I10" i="74" s="1"/>
  <c r="AB10" i="74"/>
  <c r="Y10" i="74"/>
  <c r="X10" i="74"/>
  <c r="P10" i="74"/>
  <c r="O10" i="74"/>
  <c r="Q10" i="74" s="1"/>
  <c r="M10" i="74"/>
  <c r="H10" i="74"/>
  <c r="C10" i="74"/>
  <c r="AD9" i="74"/>
  <c r="J9" i="74" s="1"/>
  <c r="AB9" i="74"/>
  <c r="Y9" i="74"/>
  <c r="X9" i="74"/>
  <c r="Q9" i="74"/>
  <c r="P9" i="74"/>
  <c r="O9" i="74"/>
  <c r="M9" i="74"/>
  <c r="H9" i="74"/>
  <c r="C9" i="74"/>
  <c r="AD8" i="74"/>
  <c r="J8" i="74" s="1"/>
  <c r="AB8" i="74"/>
  <c r="Y8" i="74"/>
  <c r="X8" i="74"/>
  <c r="P8" i="74"/>
  <c r="O8" i="74"/>
  <c r="Q8" i="74" s="1"/>
  <c r="M8" i="74"/>
  <c r="H8" i="74"/>
  <c r="C8" i="74"/>
  <c r="AB7" i="74"/>
  <c r="AD7" i="74" s="1"/>
  <c r="J7" i="74" s="1"/>
  <c r="Y7" i="74"/>
  <c r="X7" i="74"/>
  <c r="P7" i="74"/>
  <c r="O7" i="74"/>
  <c r="Q7" i="74" s="1"/>
  <c r="M7" i="74"/>
  <c r="H7" i="74"/>
  <c r="C7" i="74"/>
  <c r="AB6" i="74"/>
  <c r="AD6" i="74" s="1"/>
  <c r="J6" i="74" s="1"/>
  <c r="Y6" i="74"/>
  <c r="X6" i="74"/>
  <c r="Q6" i="74"/>
  <c r="P6" i="74"/>
  <c r="O6" i="74"/>
  <c r="M6" i="74"/>
  <c r="H6" i="74"/>
  <c r="C6" i="74"/>
  <c r="AD5" i="74"/>
  <c r="J5" i="74" s="1"/>
  <c r="AB5" i="74"/>
  <c r="Y5" i="74"/>
  <c r="X5" i="74"/>
  <c r="P5" i="74"/>
  <c r="O5" i="74"/>
  <c r="Q5" i="74" s="1"/>
  <c r="M5" i="74"/>
  <c r="H5" i="74"/>
  <c r="C5" i="74"/>
  <c r="AB4" i="74"/>
  <c r="AD4" i="74" s="1"/>
  <c r="Y4" i="74"/>
  <c r="X4" i="74"/>
  <c r="Q4" i="74"/>
  <c r="P4" i="74"/>
  <c r="O4" i="74"/>
  <c r="M4" i="74"/>
  <c r="H4" i="74"/>
  <c r="C4" i="74"/>
  <c r="AG3" i="74"/>
  <c r="AF3" i="74"/>
  <c r="W3" i="74"/>
  <c r="X3" i="74" s="1"/>
  <c r="V3" i="74"/>
  <c r="U3" i="74"/>
  <c r="T3" i="74"/>
  <c r="O3" i="74"/>
  <c r="G3" i="74"/>
  <c r="H3" i="74" s="1"/>
  <c r="F3" i="74"/>
  <c r="D3" i="74"/>
  <c r="C3" i="74"/>
  <c r="A2" i="74"/>
  <c r="A1" i="74"/>
  <c r="AB32" i="73"/>
  <c r="AD32" i="73" s="1"/>
  <c r="J32" i="73" s="1"/>
  <c r="Y32" i="73"/>
  <c r="X32" i="73"/>
  <c r="V32" i="73"/>
  <c r="U32" i="73"/>
  <c r="T32" i="73"/>
  <c r="P32" i="73"/>
  <c r="O32" i="73"/>
  <c r="Q32" i="73" s="1"/>
  <c r="M32" i="73"/>
  <c r="H32" i="73"/>
  <c r="C32" i="73"/>
  <c r="AB31" i="73"/>
  <c r="AD31" i="73" s="1"/>
  <c r="J31" i="73" s="1"/>
  <c r="Y31" i="73"/>
  <c r="X31" i="73"/>
  <c r="P31" i="73"/>
  <c r="O31" i="73"/>
  <c r="Q31" i="73" s="1"/>
  <c r="M31" i="73"/>
  <c r="H31" i="73"/>
  <c r="C31" i="73"/>
  <c r="AB30" i="73"/>
  <c r="AD30" i="73" s="1"/>
  <c r="J30" i="73" s="1"/>
  <c r="Y30" i="73"/>
  <c r="X30" i="73"/>
  <c r="Q30" i="73"/>
  <c r="P30" i="73"/>
  <c r="O30" i="73"/>
  <c r="M30" i="73"/>
  <c r="H30" i="73"/>
  <c r="C30" i="73"/>
  <c r="AD29" i="73"/>
  <c r="J29" i="73" s="1"/>
  <c r="AB29" i="73"/>
  <c r="Y29" i="73"/>
  <c r="X29" i="73"/>
  <c r="P29" i="73"/>
  <c r="O29" i="73"/>
  <c r="Q29" i="73" s="1"/>
  <c r="M29" i="73"/>
  <c r="H29" i="73"/>
  <c r="C29" i="73"/>
  <c r="AB28" i="73"/>
  <c r="AD28" i="73" s="1"/>
  <c r="J28" i="73" s="1"/>
  <c r="K28" i="73" s="1"/>
  <c r="Y28" i="73"/>
  <c r="X28" i="73"/>
  <c r="Q28" i="73"/>
  <c r="P28" i="73"/>
  <c r="O28" i="73"/>
  <c r="M28" i="73"/>
  <c r="I28" i="73"/>
  <c r="H28" i="73"/>
  <c r="C28" i="73"/>
  <c r="AD27" i="73"/>
  <c r="J27" i="73" s="1"/>
  <c r="AB27" i="73"/>
  <c r="Y27" i="73"/>
  <c r="X27" i="73"/>
  <c r="P27" i="73"/>
  <c r="Q27" i="73" s="1"/>
  <c r="O27" i="73"/>
  <c r="M27" i="73"/>
  <c r="H27" i="73"/>
  <c r="C27" i="73"/>
  <c r="AD26" i="73"/>
  <c r="J26" i="73" s="1"/>
  <c r="I26" i="73" s="1"/>
  <c r="AB26" i="73"/>
  <c r="Y26" i="73"/>
  <c r="X26" i="73"/>
  <c r="P26" i="73"/>
  <c r="O26" i="73"/>
  <c r="Q26" i="73" s="1"/>
  <c r="M26" i="73"/>
  <c r="K26" i="73"/>
  <c r="H26" i="73"/>
  <c r="C26" i="73"/>
  <c r="AD25" i="73"/>
  <c r="J25" i="73" s="1"/>
  <c r="AB25" i="73"/>
  <c r="Y25" i="73"/>
  <c r="X25" i="73"/>
  <c r="Q25" i="73"/>
  <c r="P25" i="73"/>
  <c r="O25" i="73"/>
  <c r="M25" i="73"/>
  <c r="H25" i="73"/>
  <c r="C25" i="73"/>
  <c r="AD24" i="73"/>
  <c r="J24" i="73" s="1"/>
  <c r="AB24" i="73"/>
  <c r="Y24" i="73"/>
  <c r="X24" i="73"/>
  <c r="P24" i="73"/>
  <c r="O24" i="73"/>
  <c r="Q24" i="73" s="1"/>
  <c r="M24" i="73"/>
  <c r="H24" i="73"/>
  <c r="C24" i="73"/>
  <c r="AB23" i="73"/>
  <c r="AD23" i="73" s="1"/>
  <c r="Y23" i="73"/>
  <c r="X23" i="73"/>
  <c r="P23" i="73"/>
  <c r="O23" i="73"/>
  <c r="Q23" i="73" s="1"/>
  <c r="M23" i="73"/>
  <c r="J23" i="73"/>
  <c r="H23" i="73"/>
  <c r="C23" i="73"/>
  <c r="AB22" i="73"/>
  <c r="AD22" i="73" s="1"/>
  <c r="J22" i="73" s="1"/>
  <c r="Y22" i="73"/>
  <c r="X22" i="73"/>
  <c r="Q22" i="73"/>
  <c r="P22" i="73"/>
  <c r="O22" i="73"/>
  <c r="M22" i="73"/>
  <c r="H22" i="73"/>
  <c r="C22" i="73"/>
  <c r="AD21" i="73"/>
  <c r="J21" i="73" s="1"/>
  <c r="AB21" i="73"/>
  <c r="Y21" i="73"/>
  <c r="X21" i="73"/>
  <c r="P21" i="73"/>
  <c r="O21" i="73"/>
  <c r="Q21" i="73" s="1"/>
  <c r="M21" i="73"/>
  <c r="H21" i="73"/>
  <c r="C21" i="73"/>
  <c r="AB20" i="73"/>
  <c r="AD20" i="73" s="1"/>
  <c r="J20" i="73" s="1"/>
  <c r="K20" i="73" s="1"/>
  <c r="Y20" i="73"/>
  <c r="X20" i="73"/>
  <c r="Q20" i="73"/>
  <c r="P20" i="73"/>
  <c r="O20" i="73"/>
  <c r="M20" i="73"/>
  <c r="I20" i="73"/>
  <c r="H20" i="73"/>
  <c r="C20" i="73"/>
  <c r="AD19" i="73"/>
  <c r="J19" i="73" s="1"/>
  <c r="AB19" i="73"/>
  <c r="Y19" i="73"/>
  <c r="X19" i="73"/>
  <c r="P19" i="73"/>
  <c r="Q19" i="73" s="1"/>
  <c r="O19" i="73"/>
  <c r="M19" i="73"/>
  <c r="H19" i="73"/>
  <c r="C19" i="73"/>
  <c r="AD18" i="73"/>
  <c r="J18" i="73" s="1"/>
  <c r="I18" i="73" s="1"/>
  <c r="AB18" i="73"/>
  <c r="Y18" i="73"/>
  <c r="X18" i="73"/>
  <c r="P18" i="73"/>
  <c r="O18" i="73"/>
  <c r="Q18" i="73" s="1"/>
  <c r="M18" i="73"/>
  <c r="K18" i="73"/>
  <c r="H18" i="73"/>
  <c r="C18" i="73"/>
  <c r="AD17" i="73"/>
  <c r="J17" i="73" s="1"/>
  <c r="AB17" i="73"/>
  <c r="Y17" i="73"/>
  <c r="X17" i="73"/>
  <c r="Q17" i="73"/>
  <c r="P17" i="73"/>
  <c r="O17" i="73"/>
  <c r="M17" i="73"/>
  <c r="H17" i="73"/>
  <c r="C17" i="73"/>
  <c r="AD16" i="73"/>
  <c r="J16" i="73" s="1"/>
  <c r="AB16" i="73"/>
  <c r="Y16" i="73"/>
  <c r="X16" i="73"/>
  <c r="P16" i="73"/>
  <c r="O16" i="73"/>
  <c r="Q16" i="73" s="1"/>
  <c r="M16" i="73"/>
  <c r="H16" i="73"/>
  <c r="C16" i="73"/>
  <c r="AB15" i="73"/>
  <c r="AD15" i="73" s="1"/>
  <c r="J15" i="73" s="1"/>
  <c r="Y15" i="73"/>
  <c r="X15" i="73"/>
  <c r="P15" i="73"/>
  <c r="O15" i="73"/>
  <c r="Q15" i="73" s="1"/>
  <c r="M15" i="73"/>
  <c r="H15" i="73"/>
  <c r="C15" i="73"/>
  <c r="AB14" i="73"/>
  <c r="AD14" i="73" s="1"/>
  <c r="J14" i="73" s="1"/>
  <c r="Y14" i="73"/>
  <c r="X14" i="73"/>
  <c r="Q14" i="73"/>
  <c r="P14" i="73"/>
  <c r="O14" i="73"/>
  <c r="M14" i="73"/>
  <c r="H14" i="73"/>
  <c r="C14" i="73"/>
  <c r="AD13" i="73"/>
  <c r="J13" i="73" s="1"/>
  <c r="AB13" i="73"/>
  <c r="Y13" i="73"/>
  <c r="X13" i="73"/>
  <c r="P13" i="73"/>
  <c r="O13" i="73"/>
  <c r="Q13" i="73" s="1"/>
  <c r="M13" i="73"/>
  <c r="H13" i="73"/>
  <c r="C13" i="73"/>
  <c r="AB12" i="73"/>
  <c r="AD12" i="73" s="1"/>
  <c r="J12" i="73" s="1"/>
  <c r="K12" i="73" s="1"/>
  <c r="Y12" i="73"/>
  <c r="X12" i="73"/>
  <c r="Q12" i="73"/>
  <c r="P12" i="73"/>
  <c r="O12" i="73"/>
  <c r="M12" i="73"/>
  <c r="H12" i="73"/>
  <c r="C12" i="73"/>
  <c r="AB11" i="73"/>
  <c r="AD11" i="73" s="1"/>
  <c r="J11" i="73" s="1"/>
  <c r="Y11" i="73"/>
  <c r="X11" i="73"/>
  <c r="P11" i="73"/>
  <c r="Q11" i="73" s="1"/>
  <c r="O11" i="73"/>
  <c r="M11" i="73"/>
  <c r="H11" i="73"/>
  <c r="C11" i="73"/>
  <c r="AD10" i="73"/>
  <c r="J10" i="73" s="1"/>
  <c r="I10" i="73" s="1"/>
  <c r="AB10" i="73"/>
  <c r="Y10" i="73"/>
  <c r="X10" i="73"/>
  <c r="P10" i="73"/>
  <c r="O10" i="73"/>
  <c r="Q10" i="73" s="1"/>
  <c r="M10" i="73"/>
  <c r="K10" i="73"/>
  <c r="H10" i="73"/>
  <c r="C10" i="73"/>
  <c r="AD9" i="73"/>
  <c r="J9" i="73" s="1"/>
  <c r="AB9" i="73"/>
  <c r="Y9" i="73"/>
  <c r="X9" i="73"/>
  <c r="Q9" i="73"/>
  <c r="P9" i="73"/>
  <c r="O9" i="73"/>
  <c r="M9" i="73"/>
  <c r="H9" i="73"/>
  <c r="C9" i="73"/>
  <c r="AD8" i="73"/>
  <c r="J8" i="73" s="1"/>
  <c r="AB8" i="73"/>
  <c r="Y8" i="73"/>
  <c r="X8" i="73"/>
  <c r="P8" i="73"/>
  <c r="O8" i="73"/>
  <c r="Q8" i="73" s="1"/>
  <c r="M8" i="73"/>
  <c r="H8" i="73"/>
  <c r="C8" i="73"/>
  <c r="AB7" i="73"/>
  <c r="AD7" i="73" s="1"/>
  <c r="J7" i="73" s="1"/>
  <c r="Y7" i="73"/>
  <c r="X7" i="73"/>
  <c r="P7" i="73"/>
  <c r="O7" i="73"/>
  <c r="Q7" i="73" s="1"/>
  <c r="M7" i="73"/>
  <c r="H7" i="73"/>
  <c r="C7" i="73"/>
  <c r="AB6" i="73"/>
  <c r="AD6" i="73" s="1"/>
  <c r="J6" i="73" s="1"/>
  <c r="Y6" i="73"/>
  <c r="X6" i="73"/>
  <c r="Q6" i="73"/>
  <c r="P6" i="73"/>
  <c r="O6" i="73"/>
  <c r="M6" i="73"/>
  <c r="H6" i="73"/>
  <c r="C6" i="73"/>
  <c r="AD5" i="73"/>
  <c r="J5" i="73" s="1"/>
  <c r="AB5" i="73"/>
  <c r="Y5" i="73"/>
  <c r="X5" i="73"/>
  <c r="P5" i="73"/>
  <c r="O5" i="73"/>
  <c r="Q5" i="73" s="1"/>
  <c r="M5" i="73"/>
  <c r="H5" i="73"/>
  <c r="C5" i="73"/>
  <c r="AB4" i="73"/>
  <c r="AD4" i="73" s="1"/>
  <c r="Y4" i="73"/>
  <c r="X4" i="73"/>
  <c r="Q4" i="73"/>
  <c r="P4" i="73"/>
  <c r="O4" i="73"/>
  <c r="M4" i="73"/>
  <c r="H4" i="73"/>
  <c r="C4" i="73"/>
  <c r="AG3" i="73"/>
  <c r="AF3" i="73"/>
  <c r="W3" i="73"/>
  <c r="X3" i="73" s="1"/>
  <c r="V3" i="73"/>
  <c r="U3" i="73"/>
  <c r="T3" i="73"/>
  <c r="O3" i="73"/>
  <c r="G3" i="73"/>
  <c r="H3" i="73" s="1"/>
  <c r="F3" i="73"/>
  <c r="D3" i="73"/>
  <c r="C3" i="73"/>
  <c r="A2" i="73"/>
  <c r="A1" i="73"/>
  <c r="AB32" i="72"/>
  <c r="AD32" i="72" s="1"/>
  <c r="J32" i="72" s="1"/>
  <c r="Y32" i="72"/>
  <c r="X32" i="72"/>
  <c r="V32" i="72"/>
  <c r="U32" i="72"/>
  <c r="T32" i="72"/>
  <c r="P32" i="72"/>
  <c r="O32" i="72"/>
  <c r="Q32" i="72" s="1"/>
  <c r="M32" i="72"/>
  <c r="H32" i="72"/>
  <c r="C32" i="72"/>
  <c r="AB31" i="72"/>
  <c r="AD31" i="72" s="1"/>
  <c r="Y31" i="72"/>
  <c r="X31" i="72"/>
  <c r="P31" i="72"/>
  <c r="O31" i="72"/>
  <c r="Q31" i="72" s="1"/>
  <c r="M31" i="72"/>
  <c r="J31" i="72"/>
  <c r="H31" i="72"/>
  <c r="C31" i="72"/>
  <c r="AB30" i="72"/>
  <c r="AD30" i="72" s="1"/>
  <c r="J30" i="72" s="1"/>
  <c r="Y30" i="72"/>
  <c r="X30" i="72"/>
  <c r="Q30" i="72"/>
  <c r="P30" i="72"/>
  <c r="O30" i="72"/>
  <c r="M30" i="72"/>
  <c r="H30" i="72"/>
  <c r="C30" i="72"/>
  <c r="AD29" i="72"/>
  <c r="J29" i="72" s="1"/>
  <c r="AB29" i="72"/>
  <c r="Y29" i="72"/>
  <c r="X29" i="72"/>
  <c r="P29" i="72"/>
  <c r="O29" i="72"/>
  <c r="Q29" i="72" s="1"/>
  <c r="M29" i="72"/>
  <c r="H29" i="72"/>
  <c r="C29" i="72"/>
  <c r="AB28" i="72"/>
  <c r="AD28" i="72" s="1"/>
  <c r="J28" i="72" s="1"/>
  <c r="K28" i="72" s="1"/>
  <c r="Y28" i="72"/>
  <c r="X28" i="72"/>
  <c r="Q28" i="72"/>
  <c r="P28" i="72"/>
  <c r="O28" i="72"/>
  <c r="M28" i="72"/>
  <c r="I28" i="72"/>
  <c r="H28" i="72"/>
  <c r="C28" i="72"/>
  <c r="AD27" i="72"/>
  <c r="J27" i="72" s="1"/>
  <c r="AB27" i="72"/>
  <c r="Y27" i="72"/>
  <c r="X27" i="72"/>
  <c r="P27" i="72"/>
  <c r="Q27" i="72" s="1"/>
  <c r="O27" i="72"/>
  <c r="M27" i="72"/>
  <c r="H27" i="72"/>
  <c r="C27" i="72"/>
  <c r="AD26" i="72"/>
  <c r="J26" i="72" s="1"/>
  <c r="I26" i="72" s="1"/>
  <c r="AB26" i="72"/>
  <c r="Y26" i="72"/>
  <c r="X26" i="72"/>
  <c r="P26" i="72"/>
  <c r="O26" i="72"/>
  <c r="Q26" i="72" s="1"/>
  <c r="M26" i="72"/>
  <c r="K26" i="72"/>
  <c r="H26" i="72"/>
  <c r="C26" i="72"/>
  <c r="AD25" i="72"/>
  <c r="J25" i="72" s="1"/>
  <c r="AB25" i="72"/>
  <c r="Y25" i="72"/>
  <c r="X25" i="72"/>
  <c r="Q25" i="72"/>
  <c r="P25" i="72"/>
  <c r="O25" i="72"/>
  <c r="M25" i="72"/>
  <c r="H25" i="72"/>
  <c r="C25" i="72"/>
  <c r="AD24" i="72"/>
  <c r="J24" i="72" s="1"/>
  <c r="AB24" i="72"/>
  <c r="Y24" i="72"/>
  <c r="X24" i="72"/>
  <c r="P24" i="72"/>
  <c r="O24" i="72"/>
  <c r="Q24" i="72" s="1"/>
  <c r="M24" i="72"/>
  <c r="H24" i="72"/>
  <c r="C24" i="72"/>
  <c r="AB23" i="72"/>
  <c r="AD23" i="72" s="1"/>
  <c r="J23" i="72" s="1"/>
  <c r="Y23" i="72"/>
  <c r="X23" i="72"/>
  <c r="P23" i="72"/>
  <c r="O23" i="72"/>
  <c r="Q23" i="72" s="1"/>
  <c r="M23" i="72"/>
  <c r="H23" i="72"/>
  <c r="C23" i="72"/>
  <c r="AB22" i="72"/>
  <c r="AD22" i="72" s="1"/>
  <c r="J22" i="72" s="1"/>
  <c r="Y22" i="72"/>
  <c r="X22" i="72"/>
  <c r="Q22" i="72"/>
  <c r="P22" i="72"/>
  <c r="O22" i="72"/>
  <c r="M22" i="72"/>
  <c r="H22" i="72"/>
  <c r="C22" i="72"/>
  <c r="AD21" i="72"/>
  <c r="J21" i="72" s="1"/>
  <c r="AB21" i="72"/>
  <c r="Y21" i="72"/>
  <c r="X21" i="72"/>
  <c r="P21" i="72"/>
  <c r="O21" i="72"/>
  <c r="Q21" i="72" s="1"/>
  <c r="M21" i="72"/>
  <c r="H21" i="72"/>
  <c r="C21" i="72"/>
  <c r="AB20" i="72"/>
  <c r="AD20" i="72" s="1"/>
  <c r="J20" i="72" s="1"/>
  <c r="K20" i="72" s="1"/>
  <c r="Y20" i="72"/>
  <c r="X20" i="72"/>
  <c r="Q20" i="72"/>
  <c r="P20" i="72"/>
  <c r="O20" i="72"/>
  <c r="M20" i="72"/>
  <c r="I20" i="72"/>
  <c r="H20" i="72"/>
  <c r="C20" i="72"/>
  <c r="AB19" i="72"/>
  <c r="AD19" i="72" s="1"/>
  <c r="J19" i="72" s="1"/>
  <c r="Y19" i="72"/>
  <c r="X19" i="72"/>
  <c r="P19" i="72"/>
  <c r="Q19" i="72" s="1"/>
  <c r="O19" i="72"/>
  <c r="M19" i="72"/>
  <c r="H19" i="72"/>
  <c r="C19" i="72"/>
  <c r="AD18" i="72"/>
  <c r="J18" i="72" s="1"/>
  <c r="I18" i="72" s="1"/>
  <c r="AB18" i="72"/>
  <c r="Y18" i="72"/>
  <c r="X18" i="72"/>
  <c r="P18" i="72"/>
  <c r="O18" i="72"/>
  <c r="Q18" i="72" s="1"/>
  <c r="M18" i="72"/>
  <c r="K18" i="72"/>
  <c r="H18" i="72"/>
  <c r="C18" i="72"/>
  <c r="AD17" i="72"/>
  <c r="J17" i="72" s="1"/>
  <c r="K17" i="72" s="1"/>
  <c r="AB17" i="72"/>
  <c r="Y17" i="72"/>
  <c r="X17" i="72"/>
  <c r="Q17" i="72"/>
  <c r="P17" i="72"/>
  <c r="O17" i="72"/>
  <c r="M17" i="72"/>
  <c r="I17" i="72"/>
  <c r="H17" i="72"/>
  <c r="C17" i="72"/>
  <c r="AD16" i="72"/>
  <c r="J16" i="72" s="1"/>
  <c r="AB16" i="72"/>
  <c r="Y16" i="72"/>
  <c r="X16" i="72"/>
  <c r="P16" i="72"/>
  <c r="O16" i="72"/>
  <c r="Q16" i="72" s="1"/>
  <c r="M16" i="72"/>
  <c r="H16" i="72"/>
  <c r="C16" i="72"/>
  <c r="AB15" i="72"/>
  <c r="AD15" i="72" s="1"/>
  <c r="J15" i="72" s="1"/>
  <c r="Y15" i="72"/>
  <c r="X15" i="72"/>
  <c r="P15" i="72"/>
  <c r="O15" i="72"/>
  <c r="Q15" i="72" s="1"/>
  <c r="M15" i="72"/>
  <c r="H15" i="72"/>
  <c r="C15" i="72"/>
  <c r="AB14" i="72"/>
  <c r="AD14" i="72" s="1"/>
  <c r="J14" i="72" s="1"/>
  <c r="Y14" i="72"/>
  <c r="X14" i="72"/>
  <c r="Q14" i="72"/>
  <c r="P14" i="72"/>
  <c r="O14" i="72"/>
  <c r="M14" i="72"/>
  <c r="H14" i="72"/>
  <c r="C14" i="72"/>
  <c r="AD13" i="72"/>
  <c r="J13" i="72" s="1"/>
  <c r="AB13" i="72"/>
  <c r="Y13" i="72"/>
  <c r="X13" i="72"/>
  <c r="P13" i="72"/>
  <c r="O13" i="72"/>
  <c r="Q13" i="72" s="1"/>
  <c r="M13" i="72"/>
  <c r="H13" i="72"/>
  <c r="C13" i="72"/>
  <c r="AB12" i="72"/>
  <c r="AD12" i="72" s="1"/>
  <c r="J12" i="72" s="1"/>
  <c r="Y12" i="72"/>
  <c r="X12" i="72"/>
  <c r="Q12" i="72"/>
  <c r="P12" i="72"/>
  <c r="O12" i="72"/>
  <c r="M12" i="72"/>
  <c r="H12" i="72"/>
  <c r="C12" i="72"/>
  <c r="AB11" i="72"/>
  <c r="AD11" i="72" s="1"/>
  <c r="J11" i="72" s="1"/>
  <c r="Y11" i="72"/>
  <c r="X11" i="72"/>
  <c r="P11" i="72"/>
  <c r="Q11" i="72" s="1"/>
  <c r="O11" i="72"/>
  <c r="M11" i="72"/>
  <c r="H11" i="72"/>
  <c r="C11" i="72"/>
  <c r="AD10" i="72"/>
  <c r="J10" i="72" s="1"/>
  <c r="I10" i="72" s="1"/>
  <c r="AB10" i="72"/>
  <c r="Y10" i="72"/>
  <c r="X10" i="72"/>
  <c r="P10" i="72"/>
  <c r="O10" i="72"/>
  <c r="Q10" i="72" s="1"/>
  <c r="M10" i="72"/>
  <c r="H10" i="72"/>
  <c r="C10" i="72"/>
  <c r="AD9" i="72"/>
  <c r="J9" i="72" s="1"/>
  <c r="K9" i="72" s="1"/>
  <c r="AB9" i="72"/>
  <c r="Y9" i="72"/>
  <c r="X9" i="72"/>
  <c r="Q9" i="72"/>
  <c r="P9" i="72"/>
  <c r="O9" i="72"/>
  <c r="M9" i="72"/>
  <c r="I9" i="72"/>
  <c r="H9" i="72"/>
  <c r="C9" i="72"/>
  <c r="AD8" i="72"/>
  <c r="J8" i="72" s="1"/>
  <c r="AB8" i="72"/>
  <c r="Y8" i="72"/>
  <c r="X8" i="72"/>
  <c r="P8" i="72"/>
  <c r="O8" i="72"/>
  <c r="Q8" i="72" s="1"/>
  <c r="M8" i="72"/>
  <c r="H8" i="72"/>
  <c r="C8" i="72"/>
  <c r="AD7" i="72"/>
  <c r="AB7" i="72"/>
  <c r="Y7" i="72"/>
  <c r="X7" i="72"/>
  <c r="P7" i="72"/>
  <c r="O7" i="72"/>
  <c r="Q7" i="72" s="1"/>
  <c r="M7" i="72"/>
  <c r="K7" i="72"/>
  <c r="J7" i="72"/>
  <c r="I7" i="72" s="1"/>
  <c r="H7" i="72"/>
  <c r="C7" i="72"/>
  <c r="AB6" i="72"/>
  <c r="AD6" i="72" s="1"/>
  <c r="J6" i="72" s="1"/>
  <c r="Y6" i="72"/>
  <c r="X6" i="72"/>
  <c r="Q6" i="72"/>
  <c r="P6" i="72"/>
  <c r="O6" i="72"/>
  <c r="M6" i="72"/>
  <c r="H6" i="72"/>
  <c r="C6" i="72"/>
  <c r="AD5" i="72"/>
  <c r="J5" i="72" s="1"/>
  <c r="AB5" i="72"/>
  <c r="Y5" i="72"/>
  <c r="X5" i="72"/>
  <c r="P5" i="72"/>
  <c r="O5" i="72"/>
  <c r="Q5" i="72" s="1"/>
  <c r="M5" i="72"/>
  <c r="H5" i="72"/>
  <c r="C5" i="72"/>
  <c r="AB4" i="72"/>
  <c r="AD4" i="72" s="1"/>
  <c r="Y4" i="72"/>
  <c r="X4" i="72"/>
  <c r="Q4" i="72"/>
  <c r="P4" i="72"/>
  <c r="O4" i="72"/>
  <c r="M4" i="72"/>
  <c r="H4" i="72"/>
  <c r="C4" i="72"/>
  <c r="AG3" i="72"/>
  <c r="AF3" i="72"/>
  <c r="W3" i="72"/>
  <c r="X3" i="72" s="1"/>
  <c r="V3" i="72"/>
  <c r="U3" i="72"/>
  <c r="T3" i="72"/>
  <c r="O3" i="72"/>
  <c r="H3" i="72"/>
  <c r="G3" i="72"/>
  <c r="F3" i="72"/>
  <c r="D3" i="72"/>
  <c r="C3" i="72"/>
  <c r="A2" i="72"/>
  <c r="A1" i="72"/>
  <c r="AB32" i="71"/>
  <c r="AD32" i="71" s="1"/>
  <c r="J32" i="71" s="1"/>
  <c r="Y32" i="71"/>
  <c r="X32" i="71"/>
  <c r="V32" i="71"/>
  <c r="U32" i="71"/>
  <c r="T32" i="71"/>
  <c r="P32" i="71"/>
  <c r="O32" i="71"/>
  <c r="Q32" i="71" s="1"/>
  <c r="M32" i="71"/>
  <c r="H32" i="71"/>
  <c r="C32" i="71"/>
  <c r="AD31" i="71"/>
  <c r="AB31" i="71"/>
  <c r="Y31" i="71"/>
  <c r="X31" i="71"/>
  <c r="P31" i="71"/>
  <c r="O31" i="71"/>
  <c r="Q31" i="71" s="1"/>
  <c r="M31" i="71"/>
  <c r="J31" i="71"/>
  <c r="I31" i="71" s="1"/>
  <c r="H31" i="71"/>
  <c r="C31" i="71"/>
  <c r="AB30" i="71"/>
  <c r="AD30" i="71" s="1"/>
  <c r="J30" i="71" s="1"/>
  <c r="Y30" i="71"/>
  <c r="X30" i="71"/>
  <c r="Q30" i="71"/>
  <c r="P30" i="71"/>
  <c r="O30" i="71"/>
  <c r="M30" i="71"/>
  <c r="H30" i="71"/>
  <c r="C30" i="71"/>
  <c r="AD29" i="71"/>
  <c r="J29" i="71" s="1"/>
  <c r="AB29" i="71"/>
  <c r="Y29" i="71"/>
  <c r="X29" i="71"/>
  <c r="P29" i="71"/>
  <c r="O29" i="71"/>
  <c r="Q29" i="71" s="1"/>
  <c r="M29" i="71"/>
  <c r="H29" i="71"/>
  <c r="C29" i="71"/>
  <c r="AB28" i="71"/>
  <c r="AD28" i="71" s="1"/>
  <c r="J28" i="71" s="1"/>
  <c r="K28" i="71" s="1"/>
  <c r="Y28" i="71"/>
  <c r="X28" i="71"/>
  <c r="Q28" i="71"/>
  <c r="P28" i="71"/>
  <c r="O28" i="71"/>
  <c r="M28" i="71"/>
  <c r="H28" i="71"/>
  <c r="C28" i="71"/>
  <c r="AD27" i="71"/>
  <c r="J27" i="71" s="1"/>
  <c r="AB27" i="71"/>
  <c r="Y27" i="71"/>
  <c r="X27" i="71"/>
  <c r="P27" i="71"/>
  <c r="Q27" i="71" s="1"/>
  <c r="O27" i="71"/>
  <c r="M27" i="71"/>
  <c r="H27" i="71"/>
  <c r="C27" i="71"/>
  <c r="AB26" i="71"/>
  <c r="AD26" i="71" s="1"/>
  <c r="J26" i="71" s="1"/>
  <c r="Y26" i="71"/>
  <c r="X26" i="71"/>
  <c r="P26" i="71"/>
  <c r="O26" i="71"/>
  <c r="Q26" i="71" s="1"/>
  <c r="M26" i="71"/>
  <c r="H26" i="71"/>
  <c r="C26" i="71"/>
  <c r="AD25" i="71"/>
  <c r="J25" i="71" s="1"/>
  <c r="K25" i="71" s="1"/>
  <c r="AB25" i="71"/>
  <c r="Y25" i="71"/>
  <c r="X25" i="71"/>
  <c r="Q25" i="71"/>
  <c r="P25" i="71"/>
  <c r="O25" i="71"/>
  <c r="M25" i="71"/>
  <c r="I25" i="71"/>
  <c r="H25" i="71"/>
  <c r="C25" i="71"/>
  <c r="AD24" i="71"/>
  <c r="J24" i="71" s="1"/>
  <c r="I24" i="71" s="1"/>
  <c r="AB24" i="71"/>
  <c r="Y24" i="71"/>
  <c r="X24" i="71"/>
  <c r="P24" i="71"/>
  <c r="O24" i="71"/>
  <c r="Q24" i="71" s="1"/>
  <c r="M24" i="71"/>
  <c r="H24" i="71"/>
  <c r="C24" i="71"/>
  <c r="AB23" i="71"/>
  <c r="AD23" i="71" s="1"/>
  <c r="J23" i="71" s="1"/>
  <c r="Y23" i="71"/>
  <c r="X23" i="71"/>
  <c r="P23" i="71"/>
  <c r="O23" i="71"/>
  <c r="Q23" i="71" s="1"/>
  <c r="M23" i="71"/>
  <c r="H23" i="71"/>
  <c r="C23" i="71"/>
  <c r="AB22" i="71"/>
  <c r="AD22" i="71" s="1"/>
  <c r="J22" i="71" s="1"/>
  <c r="Y22" i="71"/>
  <c r="X22" i="71"/>
  <c r="P22" i="71"/>
  <c r="O22" i="71"/>
  <c r="Q22" i="71" s="1"/>
  <c r="M22" i="71"/>
  <c r="H22" i="71"/>
  <c r="C22" i="71"/>
  <c r="AB21" i="71"/>
  <c r="AD21" i="71" s="1"/>
  <c r="J21" i="71" s="1"/>
  <c r="Y21" i="71"/>
  <c r="X21" i="71"/>
  <c r="P21" i="71"/>
  <c r="O21" i="71"/>
  <c r="Q21" i="71" s="1"/>
  <c r="M21" i="71"/>
  <c r="H21" i="71"/>
  <c r="C21" i="71"/>
  <c r="AB20" i="71"/>
  <c r="AD20" i="71" s="1"/>
  <c r="J20" i="71" s="1"/>
  <c r="Y20" i="71"/>
  <c r="X20" i="71"/>
  <c r="Q20" i="71"/>
  <c r="P20" i="71"/>
  <c r="O20" i="71"/>
  <c r="M20" i="71"/>
  <c r="H20" i="71"/>
  <c r="C20" i="71"/>
  <c r="AD19" i="71"/>
  <c r="J19" i="71" s="1"/>
  <c r="AB19" i="71"/>
  <c r="Y19" i="71"/>
  <c r="X19" i="71"/>
  <c r="P19" i="71"/>
  <c r="O19" i="71"/>
  <c r="Q19" i="71" s="1"/>
  <c r="M19" i="71"/>
  <c r="H19" i="71"/>
  <c r="C19" i="71"/>
  <c r="AB18" i="71"/>
  <c r="AD18" i="71" s="1"/>
  <c r="J18" i="71" s="1"/>
  <c r="Y18" i="71"/>
  <c r="X18" i="71"/>
  <c r="P18" i="71"/>
  <c r="O18" i="71"/>
  <c r="Q18" i="71" s="1"/>
  <c r="M18" i="71"/>
  <c r="H18" i="71"/>
  <c r="C18" i="71"/>
  <c r="AD17" i="71"/>
  <c r="J17" i="71" s="1"/>
  <c r="AB17" i="71"/>
  <c r="Y17" i="71"/>
  <c r="X17" i="71"/>
  <c r="P17" i="71"/>
  <c r="Q17" i="71" s="1"/>
  <c r="O17" i="71"/>
  <c r="M17" i="71"/>
  <c r="K17" i="71"/>
  <c r="I17" i="71"/>
  <c r="H17" i="71"/>
  <c r="C17" i="71"/>
  <c r="AD16" i="71"/>
  <c r="J16" i="71" s="1"/>
  <c r="I16" i="71" s="1"/>
  <c r="AB16" i="71"/>
  <c r="Y16" i="71"/>
  <c r="X16" i="71"/>
  <c r="P16" i="71"/>
  <c r="O16" i="71"/>
  <c r="Q16" i="71" s="1"/>
  <c r="M16" i="71"/>
  <c r="K16" i="71"/>
  <c r="H16" i="71"/>
  <c r="C16" i="71"/>
  <c r="AB15" i="71"/>
  <c r="AD15" i="71" s="1"/>
  <c r="J15" i="71" s="1"/>
  <c r="Y15" i="71"/>
  <c r="X15" i="71"/>
  <c r="P15" i="71"/>
  <c r="O15" i="71"/>
  <c r="Q15" i="71" s="1"/>
  <c r="M15" i="71"/>
  <c r="H15" i="71"/>
  <c r="C15" i="71"/>
  <c r="AB14" i="71"/>
  <c r="AD14" i="71" s="1"/>
  <c r="J14" i="71" s="1"/>
  <c r="Y14" i="71"/>
  <c r="X14" i="71"/>
  <c r="P14" i="71"/>
  <c r="O14" i="71"/>
  <c r="Q14" i="71" s="1"/>
  <c r="M14" i="71"/>
  <c r="H14" i="71"/>
  <c r="C14" i="71"/>
  <c r="AB13" i="71"/>
  <c r="AD13" i="71" s="1"/>
  <c r="J13" i="71" s="1"/>
  <c r="Y13" i="71"/>
  <c r="X13" i="71"/>
  <c r="P13" i="71"/>
  <c r="O13" i="71"/>
  <c r="Q13" i="71" s="1"/>
  <c r="M13" i="71"/>
  <c r="H13" i="71"/>
  <c r="C13" i="71"/>
  <c r="AB12" i="71"/>
  <c r="AD12" i="71" s="1"/>
  <c r="J12" i="71" s="1"/>
  <c r="Y12" i="71"/>
  <c r="X12" i="71"/>
  <c r="Q12" i="71"/>
  <c r="P12" i="71"/>
  <c r="O12" i="71"/>
  <c r="M12" i="71"/>
  <c r="H12" i="71"/>
  <c r="C12" i="71"/>
  <c r="AB11" i="71"/>
  <c r="AD11" i="71" s="1"/>
  <c r="J11" i="71" s="1"/>
  <c r="K11" i="71" s="1"/>
  <c r="Y11" i="71"/>
  <c r="X11" i="71"/>
  <c r="P11" i="71"/>
  <c r="O11" i="71"/>
  <c r="Q11" i="71" s="1"/>
  <c r="M11" i="71"/>
  <c r="I11" i="71"/>
  <c r="H11" i="71"/>
  <c r="C11" i="71"/>
  <c r="AD10" i="71"/>
  <c r="AB10" i="71"/>
  <c r="Y10" i="71"/>
  <c r="X10" i="71"/>
  <c r="P10" i="71"/>
  <c r="O10" i="71"/>
  <c r="Q10" i="71" s="1"/>
  <c r="M10" i="71"/>
  <c r="J10" i="71"/>
  <c r="K10" i="71" s="1"/>
  <c r="H10" i="71"/>
  <c r="C10" i="71"/>
  <c r="AD9" i="71"/>
  <c r="J9" i="71" s="1"/>
  <c r="AB9" i="71"/>
  <c r="Y9" i="71"/>
  <c r="X9" i="71"/>
  <c r="Q9" i="71"/>
  <c r="P9" i="71"/>
  <c r="O9" i="71"/>
  <c r="M9" i="71"/>
  <c r="K9" i="71"/>
  <c r="I9" i="71"/>
  <c r="H9" i="71"/>
  <c r="C9" i="71"/>
  <c r="AD8" i="71"/>
  <c r="J8" i="71" s="1"/>
  <c r="I8" i="71" s="1"/>
  <c r="AB8" i="71"/>
  <c r="Y8" i="71"/>
  <c r="X8" i="71"/>
  <c r="P8" i="71"/>
  <c r="O8" i="71"/>
  <c r="Q8" i="71" s="1"/>
  <c r="M8" i="71"/>
  <c r="H8" i="71"/>
  <c r="C8" i="71"/>
  <c r="AB7" i="71"/>
  <c r="AD7" i="71" s="1"/>
  <c r="J7" i="71" s="1"/>
  <c r="Y7" i="71"/>
  <c r="X7" i="71"/>
  <c r="P7" i="71"/>
  <c r="O7" i="71"/>
  <c r="Q7" i="71" s="1"/>
  <c r="M7" i="71"/>
  <c r="H7" i="71"/>
  <c r="C7" i="71"/>
  <c r="AB6" i="71"/>
  <c r="AD6" i="71" s="1"/>
  <c r="Y6" i="71"/>
  <c r="X6" i="71"/>
  <c r="P6" i="71"/>
  <c r="O6" i="71"/>
  <c r="Q6" i="71" s="1"/>
  <c r="M6" i="71"/>
  <c r="J6" i="71"/>
  <c r="H6" i="71"/>
  <c r="C6" i="71"/>
  <c r="AD5" i="71"/>
  <c r="J5" i="71" s="1"/>
  <c r="AB5" i="71"/>
  <c r="Y5" i="71"/>
  <c r="X5" i="71"/>
  <c r="Q5" i="71"/>
  <c r="P5" i="71"/>
  <c r="O5" i="71"/>
  <c r="M5" i="71"/>
  <c r="H5" i="71"/>
  <c r="C5" i="71"/>
  <c r="AB4" i="71"/>
  <c r="AD4" i="71" s="1"/>
  <c r="Y4" i="71"/>
  <c r="X4" i="71"/>
  <c r="Q4" i="71"/>
  <c r="P4" i="71"/>
  <c r="O4" i="71"/>
  <c r="M4" i="71"/>
  <c r="H4" i="71"/>
  <c r="C4" i="71"/>
  <c r="AG3" i="71"/>
  <c r="AF3" i="71"/>
  <c r="W3" i="71"/>
  <c r="V3" i="71"/>
  <c r="U3" i="71"/>
  <c r="T3" i="71"/>
  <c r="O3" i="71"/>
  <c r="G3" i="71"/>
  <c r="H3" i="71" s="1"/>
  <c r="F3" i="71"/>
  <c r="D3" i="71"/>
  <c r="C3" i="71"/>
  <c r="A2" i="71"/>
  <c r="A1" i="71"/>
  <c r="AD32" i="70"/>
  <c r="J32" i="70" s="1"/>
  <c r="I32" i="70" s="1"/>
  <c r="AB32" i="70"/>
  <c r="Y32" i="70"/>
  <c r="X32" i="70"/>
  <c r="V32" i="70"/>
  <c r="U32" i="70"/>
  <c r="T32" i="70"/>
  <c r="P32" i="70"/>
  <c r="O32" i="70"/>
  <c r="Q32" i="70" s="1"/>
  <c r="M32" i="70"/>
  <c r="K32" i="70"/>
  <c r="H32" i="70"/>
  <c r="C32" i="70"/>
  <c r="AB31" i="70"/>
  <c r="AD31" i="70" s="1"/>
  <c r="J31" i="70" s="1"/>
  <c r="Y31" i="70"/>
  <c r="X31" i="70"/>
  <c r="P31" i="70"/>
  <c r="O31" i="70"/>
  <c r="Q31" i="70" s="1"/>
  <c r="M31" i="70"/>
  <c r="H31" i="70"/>
  <c r="C31" i="70"/>
  <c r="AB30" i="70"/>
  <c r="AD30" i="70" s="1"/>
  <c r="J30" i="70" s="1"/>
  <c r="Y30" i="70"/>
  <c r="X30" i="70"/>
  <c r="P30" i="70"/>
  <c r="O30" i="70"/>
  <c r="Q30" i="70" s="1"/>
  <c r="M30" i="70"/>
  <c r="H30" i="70"/>
  <c r="C30" i="70"/>
  <c r="AD29" i="70"/>
  <c r="J29" i="70" s="1"/>
  <c r="AB29" i="70"/>
  <c r="Y29" i="70"/>
  <c r="X29" i="70"/>
  <c r="P29" i="70"/>
  <c r="O29" i="70"/>
  <c r="Q29" i="70" s="1"/>
  <c r="M29" i="70"/>
  <c r="H29" i="70"/>
  <c r="C29" i="70"/>
  <c r="AB28" i="70"/>
  <c r="AD28" i="70" s="1"/>
  <c r="J28" i="70" s="1"/>
  <c r="K28" i="70" s="1"/>
  <c r="Y28" i="70"/>
  <c r="X28" i="70"/>
  <c r="P28" i="70"/>
  <c r="Q28" i="70" s="1"/>
  <c r="O28" i="70"/>
  <c r="M28" i="70"/>
  <c r="I28" i="70"/>
  <c r="H28" i="70"/>
  <c r="C28" i="70"/>
  <c r="AD27" i="70"/>
  <c r="J27" i="70" s="1"/>
  <c r="I27" i="70" s="1"/>
  <c r="AB27" i="70"/>
  <c r="Y27" i="70"/>
  <c r="X27" i="70"/>
  <c r="P27" i="70"/>
  <c r="Q27" i="70" s="1"/>
  <c r="O27" i="70"/>
  <c r="M27" i="70"/>
  <c r="K27" i="70"/>
  <c r="H27" i="70"/>
  <c r="C27" i="70"/>
  <c r="AB26" i="70"/>
  <c r="AD26" i="70" s="1"/>
  <c r="J26" i="70" s="1"/>
  <c r="K26" i="70" s="1"/>
  <c r="Y26" i="70"/>
  <c r="X26" i="70"/>
  <c r="P26" i="70"/>
  <c r="O26" i="70"/>
  <c r="M26" i="70"/>
  <c r="H26" i="70"/>
  <c r="C26" i="70"/>
  <c r="AD25" i="70"/>
  <c r="J25" i="70" s="1"/>
  <c r="AB25" i="70"/>
  <c r="Y25" i="70"/>
  <c r="X25" i="70"/>
  <c r="P25" i="70"/>
  <c r="Q25" i="70" s="1"/>
  <c r="O25" i="70"/>
  <c r="M25" i="70"/>
  <c r="H25" i="70"/>
  <c r="C25" i="70"/>
  <c r="AD24" i="70"/>
  <c r="J24" i="70" s="1"/>
  <c r="I24" i="70" s="1"/>
  <c r="AB24" i="70"/>
  <c r="Y24" i="70"/>
  <c r="X24" i="70"/>
  <c r="P24" i="70"/>
  <c r="O24" i="70"/>
  <c r="Q24" i="70" s="1"/>
  <c r="M24" i="70"/>
  <c r="K24" i="70"/>
  <c r="H24" i="70"/>
  <c r="C24" i="70"/>
  <c r="AB23" i="70"/>
  <c r="AD23" i="70" s="1"/>
  <c r="J23" i="70" s="1"/>
  <c r="Y23" i="70"/>
  <c r="X23" i="70"/>
  <c r="Q23" i="70"/>
  <c r="P23" i="70"/>
  <c r="O23" i="70"/>
  <c r="M23" i="70"/>
  <c r="H23" i="70"/>
  <c r="C23" i="70"/>
  <c r="AB22" i="70"/>
  <c r="AD22" i="70" s="1"/>
  <c r="J22" i="70" s="1"/>
  <c r="Y22" i="70"/>
  <c r="X22" i="70"/>
  <c r="P22" i="70"/>
  <c r="O22" i="70"/>
  <c r="Q22" i="70" s="1"/>
  <c r="M22" i="70"/>
  <c r="H22" i="70"/>
  <c r="C22" i="70"/>
  <c r="AB21" i="70"/>
  <c r="AD21" i="70" s="1"/>
  <c r="Y21" i="70"/>
  <c r="X21" i="70"/>
  <c r="P21" i="70"/>
  <c r="O21" i="70"/>
  <c r="Q21" i="70" s="1"/>
  <c r="M21" i="70"/>
  <c r="J21" i="70"/>
  <c r="H21" i="70"/>
  <c r="C21" i="70"/>
  <c r="AB20" i="70"/>
  <c r="AD20" i="70" s="1"/>
  <c r="J20" i="70" s="1"/>
  <c r="Y20" i="70"/>
  <c r="X20" i="70"/>
  <c r="Q20" i="70"/>
  <c r="P20" i="70"/>
  <c r="O20" i="70"/>
  <c r="M20" i="70"/>
  <c r="H20" i="70"/>
  <c r="C20" i="70"/>
  <c r="AD19" i="70"/>
  <c r="J19" i="70" s="1"/>
  <c r="AB19" i="70"/>
  <c r="Y19" i="70"/>
  <c r="X19" i="70"/>
  <c r="P19" i="70"/>
  <c r="O19" i="70"/>
  <c r="Q19" i="70" s="1"/>
  <c r="M19" i="70"/>
  <c r="H19" i="70"/>
  <c r="C19" i="70"/>
  <c r="AB18" i="70"/>
  <c r="AD18" i="70" s="1"/>
  <c r="J18" i="70" s="1"/>
  <c r="K18" i="70" s="1"/>
  <c r="Y18" i="70"/>
  <c r="X18" i="70"/>
  <c r="P18" i="70"/>
  <c r="Q18" i="70" s="1"/>
  <c r="O18" i="70"/>
  <c r="M18" i="70"/>
  <c r="H18" i="70"/>
  <c r="C18" i="70"/>
  <c r="AD17" i="70"/>
  <c r="J17" i="70" s="1"/>
  <c r="AB17" i="70"/>
  <c r="Y17" i="70"/>
  <c r="X17" i="70"/>
  <c r="P17" i="70"/>
  <c r="Q17" i="70" s="1"/>
  <c r="O17" i="70"/>
  <c r="M17" i="70"/>
  <c r="H17" i="70"/>
  <c r="C17" i="70"/>
  <c r="AD16" i="70"/>
  <c r="J16" i="70" s="1"/>
  <c r="I16" i="70" s="1"/>
  <c r="AB16" i="70"/>
  <c r="Y16" i="70"/>
  <c r="X16" i="70"/>
  <c r="P16" i="70"/>
  <c r="O16" i="70"/>
  <c r="Q16" i="70" s="1"/>
  <c r="M16" i="70"/>
  <c r="K16" i="70"/>
  <c r="H16" i="70"/>
  <c r="C16" i="70"/>
  <c r="AB15" i="70"/>
  <c r="AD15" i="70" s="1"/>
  <c r="J15" i="70" s="1"/>
  <c r="Y15" i="70"/>
  <c r="X15" i="70"/>
  <c r="Q15" i="70"/>
  <c r="P15" i="70"/>
  <c r="O15" i="70"/>
  <c r="M15" i="70"/>
  <c r="H15" i="70"/>
  <c r="C15" i="70"/>
  <c r="AB14" i="70"/>
  <c r="AD14" i="70" s="1"/>
  <c r="J14" i="70" s="1"/>
  <c r="Y14" i="70"/>
  <c r="X14" i="70"/>
  <c r="P14" i="70"/>
  <c r="O14" i="70"/>
  <c r="Q14" i="70" s="1"/>
  <c r="M14" i="70"/>
  <c r="H14" i="70"/>
  <c r="C14" i="70"/>
  <c r="AB13" i="70"/>
  <c r="AD13" i="70" s="1"/>
  <c r="Y13" i="70"/>
  <c r="X13" i="70"/>
  <c r="Q13" i="70"/>
  <c r="P13" i="70"/>
  <c r="O13" i="70"/>
  <c r="M13" i="70"/>
  <c r="J13" i="70"/>
  <c r="H13" i="70"/>
  <c r="C13" i="70"/>
  <c r="AB12" i="70"/>
  <c r="AD12" i="70" s="1"/>
  <c r="J12" i="70" s="1"/>
  <c r="Y12" i="70"/>
  <c r="X12" i="70"/>
  <c r="Q12" i="70"/>
  <c r="P12" i="70"/>
  <c r="O12" i="70"/>
  <c r="M12" i="70"/>
  <c r="H12" i="70"/>
  <c r="C12" i="70"/>
  <c r="AD11" i="70"/>
  <c r="J11" i="70" s="1"/>
  <c r="AB11" i="70"/>
  <c r="Y11" i="70"/>
  <c r="X11" i="70"/>
  <c r="P11" i="70"/>
  <c r="O11" i="70"/>
  <c r="Q11" i="70" s="1"/>
  <c r="M11" i="70"/>
  <c r="H11" i="70"/>
  <c r="C11" i="70"/>
  <c r="AB10" i="70"/>
  <c r="AD10" i="70" s="1"/>
  <c r="J10" i="70" s="1"/>
  <c r="Y10" i="70"/>
  <c r="X10" i="70"/>
  <c r="P10" i="70"/>
  <c r="Q10" i="70" s="1"/>
  <c r="O10" i="70"/>
  <c r="M10" i="70"/>
  <c r="H10" i="70"/>
  <c r="C10" i="70"/>
  <c r="AD9" i="70"/>
  <c r="J9" i="70" s="1"/>
  <c r="AB9" i="70"/>
  <c r="Y9" i="70"/>
  <c r="X9" i="70"/>
  <c r="P9" i="70"/>
  <c r="Q9" i="70" s="1"/>
  <c r="O9" i="70"/>
  <c r="M9" i="70"/>
  <c r="H9" i="70"/>
  <c r="C9" i="70"/>
  <c r="AD8" i="70"/>
  <c r="J8" i="70" s="1"/>
  <c r="I8" i="70" s="1"/>
  <c r="AB8" i="70"/>
  <c r="Y8" i="70"/>
  <c r="X8" i="70"/>
  <c r="P8" i="70"/>
  <c r="O8" i="70"/>
  <c r="Q8" i="70" s="1"/>
  <c r="M8" i="70"/>
  <c r="K8" i="70"/>
  <c r="H8" i="70"/>
  <c r="C8" i="70"/>
  <c r="AB7" i="70"/>
  <c r="AD7" i="70" s="1"/>
  <c r="J7" i="70" s="1"/>
  <c r="Y7" i="70"/>
  <c r="X7" i="70"/>
  <c r="P7" i="70"/>
  <c r="O7" i="70"/>
  <c r="Q7" i="70" s="1"/>
  <c r="M7" i="70"/>
  <c r="H7" i="70"/>
  <c r="C7" i="70"/>
  <c r="AB6" i="70"/>
  <c r="AD6" i="70" s="1"/>
  <c r="J6" i="70" s="1"/>
  <c r="Y6" i="70"/>
  <c r="X6" i="70"/>
  <c r="P6" i="70"/>
  <c r="O6" i="70"/>
  <c r="Q6" i="70" s="1"/>
  <c r="M6" i="70"/>
  <c r="H6" i="70"/>
  <c r="C6" i="70"/>
  <c r="AB5" i="70"/>
  <c r="AD5" i="70" s="1"/>
  <c r="Y5" i="70"/>
  <c r="X5" i="70"/>
  <c r="Q5" i="70"/>
  <c r="P5" i="70"/>
  <c r="O5" i="70"/>
  <c r="M5" i="70"/>
  <c r="J5" i="70"/>
  <c r="H5" i="70"/>
  <c r="C5" i="70"/>
  <c r="AB4" i="70"/>
  <c r="AD4" i="70" s="1"/>
  <c r="Y4" i="70"/>
  <c r="X4" i="70"/>
  <c r="Q4" i="70"/>
  <c r="P4" i="70"/>
  <c r="O4" i="70"/>
  <c r="M4" i="70"/>
  <c r="H4" i="70"/>
  <c r="C4" i="70"/>
  <c r="AG3" i="70"/>
  <c r="AF3" i="70"/>
  <c r="W3" i="70"/>
  <c r="V3" i="70"/>
  <c r="U3" i="70"/>
  <c r="T3" i="70"/>
  <c r="O3" i="70"/>
  <c r="G3" i="70"/>
  <c r="H3" i="70" s="1"/>
  <c r="F3" i="70"/>
  <c r="D3" i="70"/>
  <c r="C3" i="70"/>
  <c r="A2" i="70"/>
  <c r="A1" i="70"/>
  <c r="AB32" i="69"/>
  <c r="AD32" i="69" s="1"/>
  <c r="J32" i="69" s="1"/>
  <c r="I32" i="69" s="1"/>
  <c r="Y32" i="69"/>
  <c r="X32" i="69"/>
  <c r="V32" i="69"/>
  <c r="U32" i="69"/>
  <c r="T32" i="69"/>
  <c r="P32" i="69"/>
  <c r="O32" i="69"/>
  <c r="Q32" i="69" s="1"/>
  <c r="M32" i="69"/>
  <c r="K32" i="69"/>
  <c r="H32" i="69"/>
  <c r="C32" i="69"/>
  <c r="AB31" i="69"/>
  <c r="AD31" i="69" s="1"/>
  <c r="Y31" i="69"/>
  <c r="X31" i="69"/>
  <c r="Q31" i="69"/>
  <c r="P31" i="69"/>
  <c r="O31" i="69"/>
  <c r="M31" i="69"/>
  <c r="J31" i="69"/>
  <c r="H31" i="69"/>
  <c r="C31" i="69"/>
  <c r="AB30" i="69"/>
  <c r="AD30" i="69" s="1"/>
  <c r="J30" i="69" s="1"/>
  <c r="Y30" i="69"/>
  <c r="X30" i="69"/>
  <c r="P30" i="69"/>
  <c r="Q30" i="69" s="1"/>
  <c r="O30" i="69"/>
  <c r="M30" i="69"/>
  <c r="H30" i="69"/>
  <c r="C30" i="69"/>
  <c r="AB29" i="69"/>
  <c r="AD29" i="69" s="1"/>
  <c r="J29" i="69" s="1"/>
  <c r="Y29" i="69"/>
  <c r="X29" i="69"/>
  <c r="Q29" i="69"/>
  <c r="P29" i="69"/>
  <c r="O29" i="69"/>
  <c r="M29" i="69"/>
  <c r="H29" i="69"/>
  <c r="C29" i="69"/>
  <c r="AB28" i="69"/>
  <c r="AD28" i="69" s="1"/>
  <c r="J28" i="69" s="1"/>
  <c r="K28" i="69" s="1"/>
  <c r="Y28" i="69"/>
  <c r="X28" i="69"/>
  <c r="Q28" i="69"/>
  <c r="P28" i="69"/>
  <c r="O28" i="69"/>
  <c r="M28" i="69"/>
  <c r="I28" i="69"/>
  <c r="H28" i="69"/>
  <c r="C28" i="69"/>
  <c r="AD27" i="69"/>
  <c r="J27" i="69" s="1"/>
  <c r="AB27" i="69"/>
  <c r="Y27" i="69"/>
  <c r="X27" i="69"/>
  <c r="P27" i="69"/>
  <c r="O27" i="69"/>
  <c r="Q27" i="69" s="1"/>
  <c r="M27" i="69"/>
  <c r="H27" i="69"/>
  <c r="C27" i="69"/>
  <c r="AD26" i="69"/>
  <c r="AB26" i="69"/>
  <c r="Y26" i="69"/>
  <c r="X26" i="69"/>
  <c r="P26" i="69"/>
  <c r="Q26" i="69" s="1"/>
  <c r="O26" i="69"/>
  <c r="M26" i="69"/>
  <c r="K26" i="69"/>
  <c r="J26" i="69"/>
  <c r="I26" i="69" s="1"/>
  <c r="H26" i="69"/>
  <c r="C26" i="69"/>
  <c r="AD25" i="69"/>
  <c r="J25" i="69" s="1"/>
  <c r="AB25" i="69"/>
  <c r="Y25" i="69"/>
  <c r="X25" i="69"/>
  <c r="Q25" i="69"/>
  <c r="P25" i="69"/>
  <c r="O25" i="69"/>
  <c r="M25" i="69"/>
  <c r="H25" i="69"/>
  <c r="C25" i="69"/>
  <c r="AD24" i="69"/>
  <c r="J24" i="69" s="1"/>
  <c r="I24" i="69" s="1"/>
  <c r="AB24" i="69"/>
  <c r="Y24" i="69"/>
  <c r="X24" i="69"/>
  <c r="P24" i="69"/>
  <c r="O24" i="69"/>
  <c r="Q24" i="69" s="1"/>
  <c r="M24" i="69"/>
  <c r="K24" i="69"/>
  <c r="H24" i="69"/>
  <c r="C24" i="69"/>
  <c r="AB23" i="69"/>
  <c r="AD23" i="69" s="1"/>
  <c r="Y23" i="69"/>
  <c r="X23" i="69"/>
  <c r="Q23" i="69"/>
  <c r="P23" i="69"/>
  <c r="O23" i="69"/>
  <c r="M23" i="69"/>
  <c r="J23" i="69"/>
  <c r="K23" i="69" s="1"/>
  <c r="H23" i="69"/>
  <c r="C23" i="69"/>
  <c r="AB22" i="69"/>
  <c r="AD22" i="69" s="1"/>
  <c r="J22" i="69" s="1"/>
  <c r="Y22" i="69"/>
  <c r="X22" i="69"/>
  <c r="Q22" i="69"/>
  <c r="P22" i="69"/>
  <c r="O22" i="69"/>
  <c r="M22" i="69"/>
  <c r="H22" i="69"/>
  <c r="C22" i="69"/>
  <c r="AD21" i="69"/>
  <c r="J21" i="69" s="1"/>
  <c r="I21" i="69" s="1"/>
  <c r="AB21" i="69"/>
  <c r="Y21" i="69"/>
  <c r="X21" i="69"/>
  <c r="Q21" i="69"/>
  <c r="P21" i="69"/>
  <c r="O21" i="69"/>
  <c r="M21" i="69"/>
  <c r="K21" i="69"/>
  <c r="H21" i="69"/>
  <c r="C21" i="69"/>
  <c r="AB20" i="69"/>
  <c r="AD20" i="69" s="1"/>
  <c r="J20" i="69" s="1"/>
  <c r="K20" i="69" s="1"/>
  <c r="Y20" i="69"/>
  <c r="X20" i="69"/>
  <c r="Q20" i="69"/>
  <c r="P20" i="69"/>
  <c r="O20" i="69"/>
  <c r="M20" i="69"/>
  <c r="I20" i="69"/>
  <c r="H20" i="69"/>
  <c r="C20" i="69"/>
  <c r="AD19" i="69"/>
  <c r="J19" i="69" s="1"/>
  <c r="AB19" i="69"/>
  <c r="Y19" i="69"/>
  <c r="X19" i="69"/>
  <c r="P19" i="69"/>
  <c r="O19" i="69"/>
  <c r="M19" i="69"/>
  <c r="H19" i="69"/>
  <c r="C19" i="69"/>
  <c r="AB18" i="69"/>
  <c r="AD18" i="69" s="1"/>
  <c r="J18" i="69" s="1"/>
  <c r="K18" i="69" s="1"/>
  <c r="Y18" i="69"/>
  <c r="X18" i="69"/>
  <c r="P18" i="69"/>
  <c r="O18" i="69"/>
  <c r="Q18" i="69" s="1"/>
  <c r="M18" i="69"/>
  <c r="H18" i="69"/>
  <c r="C18" i="69"/>
  <c r="AD17" i="69"/>
  <c r="J17" i="69" s="1"/>
  <c r="AB17" i="69"/>
  <c r="Y17" i="69"/>
  <c r="X17" i="69"/>
  <c r="P17" i="69"/>
  <c r="Q17" i="69" s="1"/>
  <c r="O17" i="69"/>
  <c r="M17" i="69"/>
  <c r="H17" i="69"/>
  <c r="C17" i="69"/>
  <c r="AD16" i="69"/>
  <c r="J16" i="69" s="1"/>
  <c r="I16" i="69" s="1"/>
  <c r="AB16" i="69"/>
  <c r="Y16" i="69"/>
  <c r="X16" i="69"/>
  <c r="P16" i="69"/>
  <c r="O16" i="69"/>
  <c r="Q16" i="69" s="1"/>
  <c r="M16" i="69"/>
  <c r="K16" i="69"/>
  <c r="H16" i="69"/>
  <c r="C16" i="69"/>
  <c r="AB15" i="69"/>
  <c r="AD15" i="69" s="1"/>
  <c r="J15" i="69" s="1"/>
  <c r="Y15" i="69"/>
  <c r="X15" i="69"/>
  <c r="Q15" i="69"/>
  <c r="P15" i="69"/>
  <c r="O15" i="69"/>
  <c r="M15" i="69"/>
  <c r="H15" i="69"/>
  <c r="C15" i="69"/>
  <c r="AB14" i="69"/>
  <c r="AD14" i="69" s="1"/>
  <c r="J14" i="69" s="1"/>
  <c r="Y14" i="69"/>
  <c r="X14" i="69"/>
  <c r="P14" i="69"/>
  <c r="O14" i="69"/>
  <c r="Q14" i="69" s="1"/>
  <c r="M14" i="69"/>
  <c r="H14" i="69"/>
  <c r="C14" i="69"/>
  <c r="AD13" i="69"/>
  <c r="J13" i="69" s="1"/>
  <c r="AB13" i="69"/>
  <c r="Y13" i="69"/>
  <c r="X13" i="69"/>
  <c r="Q13" i="69"/>
  <c r="P13" i="69"/>
  <c r="O13" i="69"/>
  <c r="M13" i="69"/>
  <c r="H13" i="69"/>
  <c r="C13" i="69"/>
  <c r="AB12" i="69"/>
  <c r="AD12" i="69" s="1"/>
  <c r="J12" i="69" s="1"/>
  <c r="K12" i="69" s="1"/>
  <c r="Y12" i="69"/>
  <c r="X12" i="69"/>
  <c r="Q12" i="69"/>
  <c r="P12" i="69"/>
  <c r="O12" i="69"/>
  <c r="M12" i="69"/>
  <c r="H12" i="69"/>
  <c r="C12" i="69"/>
  <c r="AD11" i="69"/>
  <c r="J11" i="69" s="1"/>
  <c r="I11" i="69" s="1"/>
  <c r="AB11" i="69"/>
  <c r="Y11" i="69"/>
  <c r="X11" i="69"/>
  <c r="P11" i="69"/>
  <c r="O11" i="69"/>
  <c r="Q11" i="69" s="1"/>
  <c r="M11" i="69"/>
  <c r="K11" i="69"/>
  <c r="H11" i="69"/>
  <c r="C11" i="69"/>
  <c r="AD10" i="69"/>
  <c r="AB10" i="69"/>
  <c r="Y10" i="69"/>
  <c r="X10" i="69"/>
  <c r="P10" i="69"/>
  <c r="Q10" i="69" s="1"/>
  <c r="O10" i="69"/>
  <c r="M10" i="69"/>
  <c r="K10" i="69"/>
  <c r="J10" i="69"/>
  <c r="I10" i="69" s="1"/>
  <c r="H10" i="69"/>
  <c r="C10" i="69"/>
  <c r="AD9" i="69"/>
  <c r="J9" i="69" s="1"/>
  <c r="I9" i="69" s="1"/>
  <c r="AB9" i="69"/>
  <c r="Y9" i="69"/>
  <c r="X9" i="69"/>
  <c r="Q9" i="69"/>
  <c r="P9" i="69"/>
  <c r="O9" i="69"/>
  <c r="M9" i="69"/>
  <c r="K9" i="69"/>
  <c r="H9" i="69"/>
  <c r="C9" i="69"/>
  <c r="AD8" i="69"/>
  <c r="AB8" i="69"/>
  <c r="Y8" i="69"/>
  <c r="X8" i="69"/>
  <c r="P8" i="69"/>
  <c r="O8" i="69"/>
  <c r="Q8" i="69" s="1"/>
  <c r="M8" i="69"/>
  <c r="J8" i="69"/>
  <c r="I8" i="69" s="1"/>
  <c r="H8" i="69"/>
  <c r="C8" i="69"/>
  <c r="AB7" i="69"/>
  <c r="AD7" i="69" s="1"/>
  <c r="Y7" i="69"/>
  <c r="X7" i="69"/>
  <c r="Q7" i="69"/>
  <c r="P7" i="69"/>
  <c r="O7" i="69"/>
  <c r="M7" i="69"/>
  <c r="J7" i="69"/>
  <c r="K7" i="69" s="1"/>
  <c r="H7" i="69"/>
  <c r="C7" i="69"/>
  <c r="AB6" i="69"/>
  <c r="AD6" i="69" s="1"/>
  <c r="J6" i="69" s="1"/>
  <c r="Y6" i="69"/>
  <c r="X6" i="69"/>
  <c r="Q6" i="69"/>
  <c r="P6" i="69"/>
  <c r="O6" i="69"/>
  <c r="M6" i="69"/>
  <c r="H6" i="69"/>
  <c r="C6" i="69"/>
  <c r="AD5" i="69"/>
  <c r="J5" i="69" s="1"/>
  <c r="AB5" i="69"/>
  <c r="Y5" i="69"/>
  <c r="X5" i="69"/>
  <c r="P5" i="69"/>
  <c r="O5" i="69"/>
  <c r="Q5" i="69" s="1"/>
  <c r="M5" i="69"/>
  <c r="H5" i="69"/>
  <c r="C5" i="69"/>
  <c r="AB4" i="69"/>
  <c r="AD4" i="69" s="1"/>
  <c r="Y4" i="69"/>
  <c r="X4" i="69"/>
  <c r="Q4" i="69"/>
  <c r="P4" i="69"/>
  <c r="O4" i="69"/>
  <c r="M4" i="69"/>
  <c r="H4" i="69"/>
  <c r="C4" i="69"/>
  <c r="AG3" i="69"/>
  <c r="AF3" i="69"/>
  <c r="W3" i="69"/>
  <c r="V3" i="69"/>
  <c r="U3" i="69"/>
  <c r="T3" i="69"/>
  <c r="O3" i="69"/>
  <c r="H3" i="69"/>
  <c r="G3" i="69"/>
  <c r="F3" i="69"/>
  <c r="D3" i="69"/>
  <c r="C3" i="69"/>
  <c r="A2" i="69"/>
  <c r="A1" i="69"/>
  <c r="AB32" i="68"/>
  <c r="AD32" i="68" s="1"/>
  <c r="J32" i="68" s="1"/>
  <c r="Y32" i="68"/>
  <c r="X32" i="68"/>
  <c r="V32" i="68"/>
  <c r="U32" i="68"/>
  <c r="T32" i="68"/>
  <c r="P32" i="68"/>
  <c r="O32" i="68"/>
  <c r="Q32" i="68" s="1"/>
  <c r="M32" i="68"/>
  <c r="H32" i="68"/>
  <c r="C32" i="68"/>
  <c r="AD31" i="68"/>
  <c r="J31" i="68" s="1"/>
  <c r="I31" i="68" s="1"/>
  <c r="AB31" i="68"/>
  <c r="Y31" i="68"/>
  <c r="X31" i="68"/>
  <c r="P31" i="68"/>
  <c r="O31" i="68"/>
  <c r="Q31" i="68" s="1"/>
  <c r="M31" i="68"/>
  <c r="H31" i="68"/>
  <c r="C31" i="68"/>
  <c r="AB30" i="68"/>
  <c r="AD30" i="68" s="1"/>
  <c r="Y30" i="68"/>
  <c r="X30" i="68"/>
  <c r="Q30" i="68"/>
  <c r="P30" i="68"/>
  <c r="O30" i="68"/>
  <c r="M30" i="68"/>
  <c r="J30" i="68"/>
  <c r="H30" i="68"/>
  <c r="C30" i="68"/>
  <c r="AB29" i="68"/>
  <c r="AD29" i="68" s="1"/>
  <c r="Y29" i="68"/>
  <c r="X29" i="68"/>
  <c r="Q29" i="68"/>
  <c r="P29" i="68"/>
  <c r="O29" i="68"/>
  <c r="M29" i="68"/>
  <c r="J29" i="68"/>
  <c r="H29" i="68"/>
  <c r="C29" i="68"/>
  <c r="AB28" i="68"/>
  <c r="AD28" i="68" s="1"/>
  <c r="Y28" i="68"/>
  <c r="X28" i="68"/>
  <c r="P28" i="68"/>
  <c r="Q28" i="68" s="1"/>
  <c r="O28" i="68"/>
  <c r="M28" i="68"/>
  <c r="J28" i="68"/>
  <c r="K28" i="68" s="1"/>
  <c r="H28" i="68"/>
  <c r="C28" i="68"/>
  <c r="AD27" i="68"/>
  <c r="J27" i="68" s="1"/>
  <c r="AB27" i="68"/>
  <c r="Y27" i="68"/>
  <c r="X27" i="68"/>
  <c r="Q27" i="68"/>
  <c r="P27" i="68"/>
  <c r="O27" i="68"/>
  <c r="M27" i="68"/>
  <c r="K27" i="68"/>
  <c r="I27" i="68"/>
  <c r="H27" i="68"/>
  <c r="C27" i="68"/>
  <c r="AD26" i="68"/>
  <c r="AB26" i="68"/>
  <c r="Y26" i="68"/>
  <c r="X26" i="68"/>
  <c r="P26" i="68"/>
  <c r="Q26" i="68" s="1"/>
  <c r="O26" i="68"/>
  <c r="M26" i="68"/>
  <c r="K26" i="68"/>
  <c r="J26" i="68"/>
  <c r="I26" i="68" s="1"/>
  <c r="H26" i="68"/>
  <c r="C26" i="68"/>
  <c r="AD25" i="68"/>
  <c r="J25" i="68" s="1"/>
  <c r="AB25" i="68"/>
  <c r="Y25" i="68"/>
  <c r="X25" i="68"/>
  <c r="Q25" i="68"/>
  <c r="P25" i="68"/>
  <c r="O25" i="68"/>
  <c r="M25" i="68"/>
  <c r="K25" i="68"/>
  <c r="I25" i="68"/>
  <c r="H25" i="68"/>
  <c r="C25" i="68"/>
  <c r="AD24" i="68"/>
  <c r="AB24" i="68"/>
  <c r="Y24" i="68"/>
  <c r="X24" i="68"/>
  <c r="P24" i="68"/>
  <c r="O24" i="68"/>
  <c r="Q24" i="68" s="1"/>
  <c r="M24" i="68"/>
  <c r="K24" i="68"/>
  <c r="J24" i="68"/>
  <c r="I24" i="68" s="1"/>
  <c r="H24" i="68"/>
  <c r="C24" i="68"/>
  <c r="AB23" i="68"/>
  <c r="AD23" i="68" s="1"/>
  <c r="J23" i="68" s="1"/>
  <c r="K23" i="68" s="1"/>
  <c r="Y23" i="68"/>
  <c r="X23" i="68"/>
  <c r="Q23" i="68"/>
  <c r="P23" i="68"/>
  <c r="O23" i="68"/>
  <c r="M23" i="68"/>
  <c r="I23" i="68"/>
  <c r="H23" i="68"/>
  <c r="C23" i="68"/>
  <c r="AB22" i="68"/>
  <c r="AD22" i="68" s="1"/>
  <c r="Y22" i="68"/>
  <c r="X22" i="68"/>
  <c r="P22" i="68"/>
  <c r="O22" i="68"/>
  <c r="Q22" i="68" s="1"/>
  <c r="M22" i="68"/>
  <c r="J22" i="68"/>
  <c r="H22" i="68"/>
  <c r="C22" i="68"/>
  <c r="AB21" i="68"/>
  <c r="AD21" i="68" s="1"/>
  <c r="J21" i="68" s="1"/>
  <c r="Y21" i="68"/>
  <c r="X21" i="68"/>
  <c r="Q21" i="68"/>
  <c r="P21" i="68"/>
  <c r="O21" i="68"/>
  <c r="M21" i="68"/>
  <c r="H21" i="68"/>
  <c r="C21" i="68"/>
  <c r="AB20" i="68"/>
  <c r="AD20" i="68" s="1"/>
  <c r="J20" i="68" s="1"/>
  <c r="Y20" i="68"/>
  <c r="X20" i="68"/>
  <c r="P20" i="68"/>
  <c r="Q20" i="68" s="1"/>
  <c r="O20" i="68"/>
  <c r="M20" i="68"/>
  <c r="H20" i="68"/>
  <c r="C20" i="68"/>
  <c r="AD19" i="68"/>
  <c r="J19" i="68" s="1"/>
  <c r="AB19" i="68"/>
  <c r="Y19" i="68"/>
  <c r="X19" i="68"/>
  <c r="P19" i="68"/>
  <c r="Q19" i="68" s="1"/>
  <c r="O19" i="68"/>
  <c r="M19" i="68"/>
  <c r="K19" i="68"/>
  <c r="I19" i="68"/>
  <c r="H19" i="68"/>
  <c r="C19" i="68"/>
  <c r="AB18" i="68"/>
  <c r="AD18" i="68" s="1"/>
  <c r="J18" i="68" s="1"/>
  <c r="I18" i="68" s="1"/>
  <c r="Y18" i="68"/>
  <c r="X18" i="68"/>
  <c r="P18" i="68"/>
  <c r="Q18" i="68" s="1"/>
  <c r="O18" i="68"/>
  <c r="M18" i="68"/>
  <c r="H18" i="68"/>
  <c r="C18" i="68"/>
  <c r="AD17" i="68"/>
  <c r="J17" i="68" s="1"/>
  <c r="AB17" i="68"/>
  <c r="Y17" i="68"/>
  <c r="X17" i="68"/>
  <c r="P17" i="68"/>
  <c r="Q17" i="68" s="1"/>
  <c r="O17" i="68"/>
  <c r="M17" i="68"/>
  <c r="K17" i="68"/>
  <c r="I17" i="68"/>
  <c r="H17" i="68"/>
  <c r="C17" i="68"/>
  <c r="AB16" i="68"/>
  <c r="AD16" i="68" s="1"/>
  <c r="J16" i="68" s="1"/>
  <c r="I16" i="68" s="1"/>
  <c r="Y16" i="68"/>
  <c r="X16" i="68"/>
  <c r="P16" i="68"/>
  <c r="O16" i="68"/>
  <c r="Q16" i="68" s="1"/>
  <c r="M16" i="68"/>
  <c r="H16" i="68"/>
  <c r="C16" i="68"/>
  <c r="AD15" i="68"/>
  <c r="J15" i="68" s="1"/>
  <c r="AB15" i="68"/>
  <c r="Y15" i="68"/>
  <c r="X15" i="68"/>
  <c r="Q15" i="68"/>
  <c r="P15" i="68"/>
  <c r="O15" i="68"/>
  <c r="M15" i="68"/>
  <c r="H15" i="68"/>
  <c r="C15" i="68"/>
  <c r="AB14" i="68"/>
  <c r="AD14" i="68" s="1"/>
  <c r="Y14" i="68"/>
  <c r="X14" i="68"/>
  <c r="P14" i="68"/>
  <c r="O14" i="68"/>
  <c r="Q14" i="68" s="1"/>
  <c r="M14" i="68"/>
  <c r="J14" i="68"/>
  <c r="H14" i="68"/>
  <c r="C14" i="68"/>
  <c r="AD13" i="68"/>
  <c r="J13" i="68" s="1"/>
  <c r="AB13" i="68"/>
  <c r="Y13" i="68"/>
  <c r="X13" i="68"/>
  <c r="Q13" i="68"/>
  <c r="P13" i="68"/>
  <c r="O13" i="68"/>
  <c r="M13" i="68"/>
  <c r="H13" i="68"/>
  <c r="C13" i="68"/>
  <c r="AB12" i="68"/>
  <c r="AD12" i="68" s="1"/>
  <c r="J12" i="68" s="1"/>
  <c r="K12" i="68" s="1"/>
  <c r="Y12" i="68"/>
  <c r="X12" i="68"/>
  <c r="Q12" i="68"/>
  <c r="P12" i="68"/>
  <c r="O12" i="68"/>
  <c r="M12" i="68"/>
  <c r="I12" i="68"/>
  <c r="H12" i="68"/>
  <c r="C12" i="68"/>
  <c r="AD11" i="68"/>
  <c r="J11" i="68" s="1"/>
  <c r="I11" i="68" s="1"/>
  <c r="AB11" i="68"/>
  <c r="Y11" i="68"/>
  <c r="X11" i="68"/>
  <c r="P11" i="68"/>
  <c r="Q11" i="68" s="1"/>
  <c r="O11" i="68"/>
  <c r="M11" i="68"/>
  <c r="K11" i="68"/>
  <c r="H11" i="68"/>
  <c r="C11" i="68"/>
  <c r="AB10" i="68"/>
  <c r="AD10" i="68" s="1"/>
  <c r="J10" i="68" s="1"/>
  <c r="K10" i="68" s="1"/>
  <c r="Y10" i="68"/>
  <c r="X10" i="68"/>
  <c r="P10" i="68"/>
  <c r="O10" i="68"/>
  <c r="M10" i="68"/>
  <c r="I10" i="68"/>
  <c r="H10" i="68"/>
  <c r="C10" i="68"/>
  <c r="AD9" i="68"/>
  <c r="J9" i="68" s="1"/>
  <c r="I9" i="68" s="1"/>
  <c r="AB9" i="68"/>
  <c r="Y9" i="68"/>
  <c r="X9" i="68"/>
  <c r="P9" i="68"/>
  <c r="Q9" i="68" s="1"/>
  <c r="O9" i="68"/>
  <c r="M9" i="68"/>
  <c r="K9" i="68"/>
  <c r="H9" i="68"/>
  <c r="C9" i="68"/>
  <c r="AB8" i="68"/>
  <c r="AD8" i="68" s="1"/>
  <c r="J8" i="68" s="1"/>
  <c r="Y8" i="68"/>
  <c r="X8" i="68"/>
  <c r="P8" i="68"/>
  <c r="O8" i="68"/>
  <c r="M8" i="68"/>
  <c r="H8" i="68"/>
  <c r="C8" i="68"/>
  <c r="AD7" i="68"/>
  <c r="J7" i="68" s="1"/>
  <c r="AB7" i="68"/>
  <c r="Y7" i="68"/>
  <c r="X7" i="68"/>
  <c r="P7" i="68"/>
  <c r="O7" i="68"/>
  <c r="Q7" i="68" s="1"/>
  <c r="M7" i="68"/>
  <c r="H7" i="68"/>
  <c r="C7" i="68"/>
  <c r="AB6" i="68"/>
  <c r="AD6" i="68" s="1"/>
  <c r="J6" i="68" s="1"/>
  <c r="Y6" i="68"/>
  <c r="X6" i="68"/>
  <c r="Q6" i="68"/>
  <c r="P6" i="68"/>
  <c r="O6" i="68"/>
  <c r="M6" i="68"/>
  <c r="H6" i="68"/>
  <c r="C6" i="68"/>
  <c r="AB5" i="68"/>
  <c r="AD5" i="68" s="1"/>
  <c r="J5" i="68" s="1"/>
  <c r="Y5" i="68"/>
  <c r="X5" i="68"/>
  <c r="P5" i="68"/>
  <c r="O5" i="68"/>
  <c r="Q5" i="68" s="1"/>
  <c r="M5" i="68"/>
  <c r="H5" i="68"/>
  <c r="C5" i="68"/>
  <c r="AB4" i="68"/>
  <c r="AD4" i="68" s="1"/>
  <c r="Y4" i="68"/>
  <c r="X4" i="68"/>
  <c r="P4" i="68"/>
  <c r="Q4" i="68" s="1"/>
  <c r="O4" i="68"/>
  <c r="M4" i="68"/>
  <c r="H4" i="68"/>
  <c r="C4" i="68"/>
  <c r="AG3" i="68"/>
  <c r="AF3" i="68"/>
  <c r="W3" i="68"/>
  <c r="X3" i="68" s="1"/>
  <c r="V3" i="68"/>
  <c r="U3" i="68"/>
  <c r="T3" i="68"/>
  <c r="O3" i="68"/>
  <c r="H3" i="68"/>
  <c r="G3" i="68"/>
  <c r="F3" i="68"/>
  <c r="D3" i="68"/>
  <c r="C3" i="68"/>
  <c r="A2" i="68"/>
  <c r="A1" i="68"/>
  <c r="AB32" i="67"/>
  <c r="AD32" i="67" s="1"/>
  <c r="J32" i="67" s="1"/>
  <c r="Y32" i="67"/>
  <c r="X32" i="67"/>
  <c r="V32" i="67"/>
  <c r="U32" i="67"/>
  <c r="T32" i="67"/>
  <c r="P32" i="67"/>
  <c r="O32" i="67"/>
  <c r="M32" i="67"/>
  <c r="H32" i="67"/>
  <c r="C32" i="67"/>
  <c r="AB31" i="67"/>
  <c r="AD31" i="67" s="1"/>
  <c r="Y31" i="67"/>
  <c r="X31" i="67"/>
  <c r="Q31" i="67"/>
  <c r="P31" i="67"/>
  <c r="O31" i="67"/>
  <c r="M31" i="67"/>
  <c r="J31" i="67"/>
  <c r="H31" i="67"/>
  <c r="C31" i="67"/>
  <c r="AB30" i="67"/>
  <c r="AD30" i="67" s="1"/>
  <c r="Y30" i="67"/>
  <c r="X30" i="67"/>
  <c r="P30" i="67"/>
  <c r="Q30" i="67" s="1"/>
  <c r="O30" i="67"/>
  <c r="M30" i="67"/>
  <c r="J30" i="67"/>
  <c r="H30" i="67"/>
  <c r="C30" i="67"/>
  <c r="AB29" i="67"/>
  <c r="AD29" i="67" s="1"/>
  <c r="J29" i="67" s="1"/>
  <c r="K29" i="67" s="1"/>
  <c r="Y29" i="67"/>
  <c r="X29" i="67"/>
  <c r="Q29" i="67"/>
  <c r="P29" i="67"/>
  <c r="O29" i="67"/>
  <c r="M29" i="67"/>
  <c r="H29" i="67"/>
  <c r="C29" i="67"/>
  <c r="AB28" i="67"/>
  <c r="AD28" i="67" s="1"/>
  <c r="Y28" i="67"/>
  <c r="X28" i="67"/>
  <c r="P28" i="67"/>
  <c r="O28" i="67"/>
  <c r="Q28" i="67" s="1"/>
  <c r="M28" i="67"/>
  <c r="J28" i="67"/>
  <c r="K28" i="67" s="1"/>
  <c r="H28" i="67"/>
  <c r="C28" i="67"/>
  <c r="AB27" i="67"/>
  <c r="AD27" i="67" s="1"/>
  <c r="J27" i="67" s="1"/>
  <c r="K27" i="67" s="1"/>
  <c r="Y27" i="67"/>
  <c r="X27" i="67"/>
  <c r="Q27" i="67"/>
  <c r="P27" i="67"/>
  <c r="O27" i="67"/>
  <c r="M27" i="67"/>
  <c r="H27" i="67"/>
  <c r="C27" i="67"/>
  <c r="AD26" i="67"/>
  <c r="J26" i="67" s="1"/>
  <c r="AB26" i="67"/>
  <c r="Y26" i="67"/>
  <c r="X26" i="67"/>
  <c r="P26" i="67"/>
  <c r="Q26" i="67" s="1"/>
  <c r="O26" i="67"/>
  <c r="M26" i="67"/>
  <c r="H26" i="67"/>
  <c r="C26" i="67"/>
  <c r="AD25" i="67"/>
  <c r="J25" i="67" s="1"/>
  <c r="I25" i="67" s="1"/>
  <c r="AB25" i="67"/>
  <c r="Y25" i="67"/>
  <c r="X25" i="67"/>
  <c r="P25" i="67"/>
  <c r="O25" i="67"/>
  <c r="Q25" i="67" s="1"/>
  <c r="M25" i="67"/>
  <c r="H25" i="67"/>
  <c r="C25" i="67"/>
  <c r="AB24" i="67"/>
  <c r="AD24" i="67" s="1"/>
  <c r="J24" i="67" s="1"/>
  <c r="Y24" i="67"/>
  <c r="X24" i="67"/>
  <c r="P24" i="67"/>
  <c r="Q24" i="67" s="1"/>
  <c r="O24" i="67"/>
  <c r="M24" i="67"/>
  <c r="H24" i="67"/>
  <c r="C24" i="67"/>
  <c r="AD23" i="67"/>
  <c r="J23" i="67" s="1"/>
  <c r="AB23" i="67"/>
  <c r="Y23" i="67"/>
  <c r="X23" i="67"/>
  <c r="P23" i="67"/>
  <c r="O23" i="67"/>
  <c r="Q23" i="67" s="1"/>
  <c r="M23" i="67"/>
  <c r="H23" i="67"/>
  <c r="C23" i="67"/>
  <c r="AB22" i="67"/>
  <c r="AD22" i="67" s="1"/>
  <c r="Y22" i="67"/>
  <c r="X22" i="67"/>
  <c r="Q22" i="67"/>
  <c r="P22" i="67"/>
  <c r="O22" i="67"/>
  <c r="M22" i="67"/>
  <c r="J22" i="67"/>
  <c r="H22" i="67"/>
  <c r="C22" i="67"/>
  <c r="AD21" i="67"/>
  <c r="J21" i="67" s="1"/>
  <c r="AB21" i="67"/>
  <c r="Y21" i="67"/>
  <c r="X21" i="67"/>
  <c r="Q21" i="67"/>
  <c r="P21" i="67"/>
  <c r="O21" i="67"/>
  <c r="M21" i="67"/>
  <c r="H21" i="67"/>
  <c r="C21" i="67"/>
  <c r="AB20" i="67"/>
  <c r="AD20" i="67" s="1"/>
  <c r="J20" i="67" s="1"/>
  <c r="Y20" i="67"/>
  <c r="X20" i="67"/>
  <c r="P20" i="67"/>
  <c r="O20" i="67"/>
  <c r="Q20" i="67" s="1"/>
  <c r="M20" i="67"/>
  <c r="H20" i="67"/>
  <c r="C20" i="67"/>
  <c r="AB19" i="67"/>
  <c r="AD19" i="67" s="1"/>
  <c r="J19" i="67" s="1"/>
  <c r="K19" i="67" s="1"/>
  <c r="Y19" i="67"/>
  <c r="X19" i="67"/>
  <c r="Q19" i="67"/>
  <c r="P19" i="67"/>
  <c r="O19" i="67"/>
  <c r="M19" i="67"/>
  <c r="I19" i="67"/>
  <c r="H19" i="67"/>
  <c r="C19" i="67"/>
  <c r="AD18" i="67"/>
  <c r="J18" i="67" s="1"/>
  <c r="AB18" i="67"/>
  <c r="Y18" i="67"/>
  <c r="X18" i="67"/>
  <c r="P18" i="67"/>
  <c r="Q18" i="67" s="1"/>
  <c r="O18" i="67"/>
  <c r="M18" i="67"/>
  <c r="H18" i="67"/>
  <c r="C18" i="67"/>
  <c r="AD17" i="67"/>
  <c r="J17" i="67" s="1"/>
  <c r="I17" i="67" s="1"/>
  <c r="AB17" i="67"/>
  <c r="Y17" i="67"/>
  <c r="X17" i="67"/>
  <c r="P17" i="67"/>
  <c r="O17" i="67"/>
  <c r="Q17" i="67" s="1"/>
  <c r="M17" i="67"/>
  <c r="H17" i="67"/>
  <c r="C17" i="67"/>
  <c r="AB16" i="67"/>
  <c r="AD16" i="67" s="1"/>
  <c r="J16" i="67" s="1"/>
  <c r="Y16" i="67"/>
  <c r="X16" i="67"/>
  <c r="P16" i="67"/>
  <c r="Q16" i="67" s="1"/>
  <c r="O16" i="67"/>
  <c r="M16" i="67"/>
  <c r="H16" i="67"/>
  <c r="C16" i="67"/>
  <c r="AD15" i="67"/>
  <c r="J15" i="67" s="1"/>
  <c r="AB15" i="67"/>
  <c r="Y15" i="67"/>
  <c r="X15" i="67"/>
  <c r="P15" i="67"/>
  <c r="O15" i="67"/>
  <c r="Q15" i="67" s="1"/>
  <c r="M15" i="67"/>
  <c r="H15" i="67"/>
  <c r="C15" i="67"/>
  <c r="AB14" i="67"/>
  <c r="AD14" i="67" s="1"/>
  <c r="J14" i="67" s="1"/>
  <c r="Y14" i="67"/>
  <c r="X14" i="67"/>
  <c r="Q14" i="67"/>
  <c r="P14" i="67"/>
  <c r="O14" i="67"/>
  <c r="M14" i="67"/>
  <c r="H14" i="67"/>
  <c r="C14" i="67"/>
  <c r="AD13" i="67"/>
  <c r="J13" i="67" s="1"/>
  <c r="AB13" i="67"/>
  <c r="Y13" i="67"/>
  <c r="X13" i="67"/>
  <c r="Q13" i="67"/>
  <c r="P13" i="67"/>
  <c r="O13" i="67"/>
  <c r="M13" i="67"/>
  <c r="H13" i="67"/>
  <c r="C13" i="67"/>
  <c r="AB12" i="67"/>
  <c r="AD12" i="67" s="1"/>
  <c r="J12" i="67" s="1"/>
  <c r="Y12" i="67"/>
  <c r="X12" i="67"/>
  <c r="P12" i="67"/>
  <c r="O12" i="67"/>
  <c r="Q12" i="67" s="1"/>
  <c r="M12" i="67"/>
  <c r="H12" i="67"/>
  <c r="C12" i="67"/>
  <c r="AB11" i="67"/>
  <c r="AD11" i="67" s="1"/>
  <c r="J11" i="67" s="1"/>
  <c r="K11" i="67" s="1"/>
  <c r="Y11" i="67"/>
  <c r="X11" i="67"/>
  <c r="Q11" i="67"/>
  <c r="P11" i="67"/>
  <c r="O11" i="67"/>
  <c r="M11" i="67"/>
  <c r="H11" i="67"/>
  <c r="C11" i="67"/>
  <c r="AD10" i="67"/>
  <c r="J10" i="67" s="1"/>
  <c r="AB10" i="67"/>
  <c r="Y10" i="67"/>
  <c r="X10" i="67"/>
  <c r="P10" i="67"/>
  <c r="Q10" i="67" s="1"/>
  <c r="O10" i="67"/>
  <c r="M10" i="67"/>
  <c r="H10" i="67"/>
  <c r="C10" i="67"/>
  <c r="AD9" i="67"/>
  <c r="J9" i="67" s="1"/>
  <c r="I9" i="67" s="1"/>
  <c r="AB9" i="67"/>
  <c r="Y9" i="67"/>
  <c r="X9" i="67"/>
  <c r="P9" i="67"/>
  <c r="O9" i="67"/>
  <c r="Q9" i="67" s="1"/>
  <c r="M9" i="67"/>
  <c r="K9" i="67"/>
  <c r="H9" i="67"/>
  <c r="C9" i="67"/>
  <c r="AB8" i="67"/>
  <c r="AD8" i="67" s="1"/>
  <c r="J8" i="67" s="1"/>
  <c r="Y8" i="67"/>
  <c r="X8" i="67"/>
  <c r="P8" i="67"/>
  <c r="Q8" i="67" s="1"/>
  <c r="O8" i="67"/>
  <c r="M8" i="67"/>
  <c r="H8" i="67"/>
  <c r="C8" i="67"/>
  <c r="AD7" i="67"/>
  <c r="J7" i="67" s="1"/>
  <c r="AB7" i="67"/>
  <c r="Y7" i="67"/>
  <c r="X7" i="67"/>
  <c r="P7" i="67"/>
  <c r="O7" i="67"/>
  <c r="Q7" i="67" s="1"/>
  <c r="M7" i="67"/>
  <c r="H7" i="67"/>
  <c r="C7" i="67"/>
  <c r="AB6" i="67"/>
  <c r="AD6" i="67" s="1"/>
  <c r="Y6" i="67"/>
  <c r="X6" i="67"/>
  <c r="Q6" i="67"/>
  <c r="P6" i="67"/>
  <c r="O6" i="67"/>
  <c r="M6" i="67"/>
  <c r="J6" i="67"/>
  <c r="H6" i="67"/>
  <c r="C6" i="67"/>
  <c r="AD5" i="67"/>
  <c r="J5" i="67" s="1"/>
  <c r="AB5" i="67"/>
  <c r="Y5" i="67"/>
  <c r="X5" i="67"/>
  <c r="Q5" i="67"/>
  <c r="P5" i="67"/>
  <c r="O5" i="67"/>
  <c r="M5" i="67"/>
  <c r="H5" i="67"/>
  <c r="C5" i="67"/>
  <c r="AB4" i="67"/>
  <c r="AD4" i="67" s="1"/>
  <c r="J4" i="67" s="1"/>
  <c r="Y4" i="67"/>
  <c r="X4" i="67"/>
  <c r="P4" i="67"/>
  <c r="O4" i="67"/>
  <c r="Q4" i="67" s="1"/>
  <c r="M4" i="67"/>
  <c r="H4" i="67"/>
  <c r="C4" i="67"/>
  <c r="AG3" i="67"/>
  <c r="AF3" i="67"/>
  <c r="W3" i="67"/>
  <c r="X3" i="67" s="1"/>
  <c r="V3" i="67"/>
  <c r="U3" i="67"/>
  <c r="T3" i="67"/>
  <c r="O3" i="67"/>
  <c r="H3" i="67"/>
  <c r="G3" i="67"/>
  <c r="F3" i="67"/>
  <c r="D3" i="67"/>
  <c r="C3" i="67"/>
  <c r="A2" i="67"/>
  <c r="A1" i="67"/>
  <c r="AB32" i="66"/>
  <c r="AD32" i="66" s="1"/>
  <c r="J32" i="66" s="1"/>
  <c r="Y32" i="66"/>
  <c r="X32" i="66"/>
  <c r="V32" i="66"/>
  <c r="U32" i="66"/>
  <c r="T32" i="66"/>
  <c r="P32" i="66"/>
  <c r="O32" i="66"/>
  <c r="Q32" i="66" s="1"/>
  <c r="M32" i="66"/>
  <c r="H32" i="66"/>
  <c r="C32" i="66"/>
  <c r="AD31" i="66"/>
  <c r="J31" i="66" s="1"/>
  <c r="AB31" i="66"/>
  <c r="Y31" i="66"/>
  <c r="X31" i="66"/>
  <c r="P31" i="66"/>
  <c r="O31" i="66"/>
  <c r="Q31" i="66" s="1"/>
  <c r="M31" i="66"/>
  <c r="H31" i="66"/>
  <c r="C31" i="66"/>
  <c r="AB30" i="66"/>
  <c r="AD30" i="66" s="1"/>
  <c r="Y30" i="66"/>
  <c r="X30" i="66"/>
  <c r="Q30" i="66"/>
  <c r="P30" i="66"/>
  <c r="O30" i="66"/>
  <c r="M30" i="66"/>
  <c r="J30" i="66"/>
  <c r="H30" i="66"/>
  <c r="C30" i="66"/>
  <c r="AB29" i="66"/>
  <c r="AD29" i="66" s="1"/>
  <c r="J29" i="66" s="1"/>
  <c r="Y29" i="66"/>
  <c r="X29" i="66"/>
  <c r="Q29" i="66"/>
  <c r="P29" i="66"/>
  <c r="O29" i="66"/>
  <c r="M29" i="66"/>
  <c r="H29" i="66"/>
  <c r="C29" i="66"/>
  <c r="AB28" i="66"/>
  <c r="AD28" i="66" s="1"/>
  <c r="J28" i="66" s="1"/>
  <c r="Y28" i="66"/>
  <c r="X28" i="66"/>
  <c r="P28" i="66"/>
  <c r="O28" i="66"/>
  <c r="Q28" i="66" s="1"/>
  <c r="M28" i="66"/>
  <c r="H28" i="66"/>
  <c r="C28" i="66"/>
  <c r="AB27" i="66"/>
  <c r="AD27" i="66" s="1"/>
  <c r="J27" i="66" s="1"/>
  <c r="K27" i="66" s="1"/>
  <c r="Y27" i="66"/>
  <c r="X27" i="66"/>
  <c r="Q27" i="66"/>
  <c r="P27" i="66"/>
  <c r="O27" i="66"/>
  <c r="M27" i="66"/>
  <c r="I27" i="66"/>
  <c r="H27" i="66"/>
  <c r="C27" i="66"/>
  <c r="AD26" i="66"/>
  <c r="J26" i="66" s="1"/>
  <c r="AB26" i="66"/>
  <c r="Y26" i="66"/>
  <c r="X26" i="66"/>
  <c r="P26" i="66"/>
  <c r="Q26" i="66" s="1"/>
  <c r="O26" i="66"/>
  <c r="M26" i="66"/>
  <c r="H26" i="66"/>
  <c r="C26" i="66"/>
  <c r="AD25" i="66"/>
  <c r="J25" i="66" s="1"/>
  <c r="I25" i="66" s="1"/>
  <c r="AB25" i="66"/>
  <c r="Y25" i="66"/>
  <c r="X25" i="66"/>
  <c r="P25" i="66"/>
  <c r="O25" i="66"/>
  <c r="Q25" i="66" s="1"/>
  <c r="M25" i="66"/>
  <c r="K25" i="66"/>
  <c r="H25" i="66"/>
  <c r="C25" i="66"/>
  <c r="AB24" i="66"/>
  <c r="AD24" i="66" s="1"/>
  <c r="J24" i="66" s="1"/>
  <c r="Y24" i="66"/>
  <c r="X24" i="66"/>
  <c r="P24" i="66"/>
  <c r="O24" i="66"/>
  <c r="Q24" i="66" s="1"/>
  <c r="M24" i="66"/>
  <c r="H24" i="66"/>
  <c r="C24" i="66"/>
  <c r="AD23" i="66"/>
  <c r="J23" i="66" s="1"/>
  <c r="AB23" i="66"/>
  <c r="Y23" i="66"/>
  <c r="X23" i="66"/>
  <c r="P23" i="66"/>
  <c r="O23" i="66"/>
  <c r="Q23" i="66" s="1"/>
  <c r="M23" i="66"/>
  <c r="H23" i="66"/>
  <c r="C23" i="66"/>
  <c r="AB22" i="66"/>
  <c r="AD22" i="66" s="1"/>
  <c r="J22" i="66" s="1"/>
  <c r="Y22" i="66"/>
  <c r="X22" i="66"/>
  <c r="Q22" i="66"/>
  <c r="P22" i="66"/>
  <c r="O22" i="66"/>
  <c r="M22" i="66"/>
  <c r="H22" i="66"/>
  <c r="C22" i="66"/>
  <c r="AB21" i="66"/>
  <c r="AD21" i="66" s="1"/>
  <c r="J21" i="66" s="1"/>
  <c r="Y21" i="66"/>
  <c r="X21" i="66"/>
  <c r="Q21" i="66"/>
  <c r="P21" i="66"/>
  <c r="O21" i="66"/>
  <c r="M21" i="66"/>
  <c r="H21" i="66"/>
  <c r="C21" i="66"/>
  <c r="AB20" i="66"/>
  <c r="AD20" i="66" s="1"/>
  <c r="J20" i="66" s="1"/>
  <c r="Y20" i="66"/>
  <c r="X20" i="66"/>
  <c r="P20" i="66"/>
  <c r="O20" i="66"/>
  <c r="Q20" i="66" s="1"/>
  <c r="M20" i="66"/>
  <c r="H20" i="66"/>
  <c r="C20" i="66"/>
  <c r="AB19" i="66"/>
  <c r="AD19" i="66" s="1"/>
  <c r="J19" i="66" s="1"/>
  <c r="K19" i="66" s="1"/>
  <c r="Y19" i="66"/>
  <c r="X19" i="66"/>
  <c r="Q19" i="66"/>
  <c r="P19" i="66"/>
  <c r="O19" i="66"/>
  <c r="M19" i="66"/>
  <c r="I19" i="66"/>
  <c r="H19" i="66"/>
  <c r="C19" i="66"/>
  <c r="AD18" i="66"/>
  <c r="J18" i="66" s="1"/>
  <c r="AB18" i="66"/>
  <c r="Y18" i="66"/>
  <c r="X18" i="66"/>
  <c r="P18" i="66"/>
  <c r="Q18" i="66" s="1"/>
  <c r="O18" i="66"/>
  <c r="M18" i="66"/>
  <c r="H18" i="66"/>
  <c r="C18" i="66"/>
  <c r="AD17" i="66"/>
  <c r="J17" i="66" s="1"/>
  <c r="I17" i="66" s="1"/>
  <c r="AB17" i="66"/>
  <c r="Y17" i="66"/>
  <c r="X17" i="66"/>
  <c r="P17" i="66"/>
  <c r="O17" i="66"/>
  <c r="Q17" i="66" s="1"/>
  <c r="M17" i="66"/>
  <c r="K17" i="66"/>
  <c r="H17" i="66"/>
  <c r="C17" i="66"/>
  <c r="AB16" i="66"/>
  <c r="AD16" i="66" s="1"/>
  <c r="J16" i="66" s="1"/>
  <c r="Y16" i="66"/>
  <c r="X16" i="66"/>
  <c r="P16" i="66"/>
  <c r="O16" i="66"/>
  <c r="Q16" i="66" s="1"/>
  <c r="M16" i="66"/>
  <c r="H16" i="66"/>
  <c r="C16" i="66"/>
  <c r="AB15" i="66"/>
  <c r="AD15" i="66" s="1"/>
  <c r="J15" i="66" s="1"/>
  <c r="Y15" i="66"/>
  <c r="X15" i="66"/>
  <c r="P15" i="66"/>
  <c r="O15" i="66"/>
  <c r="Q15" i="66" s="1"/>
  <c r="M15" i="66"/>
  <c r="H15" i="66"/>
  <c r="C15" i="66"/>
  <c r="AB14" i="66"/>
  <c r="AD14" i="66" s="1"/>
  <c r="J14" i="66" s="1"/>
  <c r="Y14" i="66"/>
  <c r="X14" i="66"/>
  <c r="Q14" i="66"/>
  <c r="P14" i="66"/>
  <c r="O14" i="66"/>
  <c r="M14" i="66"/>
  <c r="H14" i="66"/>
  <c r="C14" i="66"/>
  <c r="AB13" i="66"/>
  <c r="AD13" i="66" s="1"/>
  <c r="J13" i="66" s="1"/>
  <c r="Y13" i="66"/>
  <c r="X13" i="66"/>
  <c r="Q13" i="66"/>
  <c r="P13" i="66"/>
  <c r="O13" i="66"/>
  <c r="M13" i="66"/>
  <c r="H13" i="66"/>
  <c r="C13" i="66"/>
  <c r="AB12" i="66"/>
  <c r="AD12" i="66" s="1"/>
  <c r="J12" i="66" s="1"/>
  <c r="K12" i="66" s="1"/>
  <c r="Y12" i="66"/>
  <c r="X12" i="66"/>
  <c r="P12" i="66"/>
  <c r="O12" i="66"/>
  <c r="Q12" i="66" s="1"/>
  <c r="M12" i="66"/>
  <c r="I12" i="66"/>
  <c r="H12" i="66"/>
  <c r="C12" i="66"/>
  <c r="AB11" i="66"/>
  <c r="AD11" i="66" s="1"/>
  <c r="J11" i="66" s="1"/>
  <c r="K11" i="66" s="1"/>
  <c r="Y11" i="66"/>
  <c r="X11" i="66"/>
  <c r="P11" i="66"/>
  <c r="Q11" i="66" s="1"/>
  <c r="O11" i="66"/>
  <c r="M11" i="66"/>
  <c r="H11" i="66"/>
  <c r="C11" i="66"/>
  <c r="AD10" i="66"/>
  <c r="J10" i="66" s="1"/>
  <c r="I10" i="66" s="1"/>
  <c r="AB10" i="66"/>
  <c r="Y10" i="66"/>
  <c r="X10" i="66"/>
  <c r="P10" i="66"/>
  <c r="Q10" i="66" s="1"/>
  <c r="O10" i="66"/>
  <c r="M10" i="66"/>
  <c r="K10" i="66"/>
  <c r="H10" i="66"/>
  <c r="C10" i="66"/>
  <c r="AD9" i="66"/>
  <c r="J9" i="66" s="1"/>
  <c r="I9" i="66" s="1"/>
  <c r="AB9" i="66"/>
  <c r="Y9" i="66"/>
  <c r="X9" i="66"/>
  <c r="P9" i="66"/>
  <c r="O9" i="66"/>
  <c r="Q9" i="66" s="1"/>
  <c r="M9" i="66"/>
  <c r="H9" i="66"/>
  <c r="C9" i="66"/>
  <c r="AB8" i="66"/>
  <c r="AD8" i="66" s="1"/>
  <c r="J8" i="66" s="1"/>
  <c r="Y8" i="66"/>
  <c r="X8" i="66"/>
  <c r="P8" i="66"/>
  <c r="O8" i="66"/>
  <c r="Q8" i="66" s="1"/>
  <c r="M8" i="66"/>
  <c r="H8" i="66"/>
  <c r="C8" i="66"/>
  <c r="AB7" i="66"/>
  <c r="AD7" i="66" s="1"/>
  <c r="Y7" i="66"/>
  <c r="X7" i="66"/>
  <c r="P7" i="66"/>
  <c r="O7" i="66"/>
  <c r="Q7" i="66" s="1"/>
  <c r="M7" i="66"/>
  <c r="J7" i="66"/>
  <c r="H7" i="66"/>
  <c r="C7" i="66"/>
  <c r="AB6" i="66"/>
  <c r="AD6" i="66" s="1"/>
  <c r="Y6" i="66"/>
  <c r="X6" i="66"/>
  <c r="Q6" i="66"/>
  <c r="P6" i="66"/>
  <c r="O6" i="66"/>
  <c r="M6" i="66"/>
  <c r="J6" i="66"/>
  <c r="H6" i="66"/>
  <c r="C6" i="66"/>
  <c r="AB5" i="66"/>
  <c r="AD5" i="66" s="1"/>
  <c r="J5" i="66" s="1"/>
  <c r="Y5" i="66"/>
  <c r="X5" i="66"/>
  <c r="Q5" i="66"/>
  <c r="P5" i="66"/>
  <c r="O5" i="66"/>
  <c r="M5" i="66"/>
  <c r="H5" i="66"/>
  <c r="C5" i="66"/>
  <c r="AB4" i="66"/>
  <c r="AD4" i="66" s="1"/>
  <c r="J4" i="66" s="1"/>
  <c r="K4" i="66" s="1"/>
  <c r="Y4" i="66"/>
  <c r="X4" i="66"/>
  <c r="P4" i="66"/>
  <c r="O4" i="66"/>
  <c r="Q4" i="66" s="1"/>
  <c r="M4" i="66"/>
  <c r="H4" i="66"/>
  <c r="C4" i="66"/>
  <c r="AG3" i="66"/>
  <c r="AF3" i="66"/>
  <c r="W3" i="66"/>
  <c r="X3" i="66" s="1"/>
  <c r="V3" i="66"/>
  <c r="U3" i="66"/>
  <c r="T3" i="66"/>
  <c r="O3" i="66"/>
  <c r="G3" i="66"/>
  <c r="H3" i="66" s="1"/>
  <c r="F3" i="66"/>
  <c r="D3" i="66"/>
  <c r="C3" i="66"/>
  <c r="A2" i="66"/>
  <c r="A1" i="66"/>
  <c r="AB32" i="65"/>
  <c r="AD32" i="65" s="1"/>
  <c r="J32" i="65" s="1"/>
  <c r="Y32" i="65"/>
  <c r="X32" i="65"/>
  <c r="V32" i="65"/>
  <c r="U32" i="65"/>
  <c r="T32" i="65"/>
  <c r="P32" i="65"/>
  <c r="O32" i="65"/>
  <c r="Q32" i="65" s="1"/>
  <c r="M32" i="65"/>
  <c r="H32" i="65"/>
  <c r="C32" i="65"/>
  <c r="AB31" i="65"/>
  <c r="AD31" i="65" s="1"/>
  <c r="Y31" i="65"/>
  <c r="X31" i="65"/>
  <c r="P31" i="65"/>
  <c r="O31" i="65"/>
  <c r="Q31" i="65" s="1"/>
  <c r="M31" i="65"/>
  <c r="J31" i="65"/>
  <c r="H31" i="65"/>
  <c r="C31" i="65"/>
  <c r="AB30" i="65"/>
  <c r="AD30" i="65" s="1"/>
  <c r="Y30" i="65"/>
  <c r="X30" i="65"/>
  <c r="Q30" i="65"/>
  <c r="P30" i="65"/>
  <c r="O30" i="65"/>
  <c r="M30" i="65"/>
  <c r="J30" i="65"/>
  <c r="H30" i="65"/>
  <c r="C30" i="65"/>
  <c r="AB29" i="65"/>
  <c r="AD29" i="65" s="1"/>
  <c r="J29" i="65" s="1"/>
  <c r="Y29" i="65"/>
  <c r="X29" i="65"/>
  <c r="Q29" i="65"/>
  <c r="P29" i="65"/>
  <c r="O29" i="65"/>
  <c r="M29" i="65"/>
  <c r="H29" i="65"/>
  <c r="C29" i="65"/>
  <c r="AB28" i="65"/>
  <c r="AD28" i="65" s="1"/>
  <c r="J28" i="65" s="1"/>
  <c r="K28" i="65" s="1"/>
  <c r="Y28" i="65"/>
  <c r="X28" i="65"/>
  <c r="P28" i="65"/>
  <c r="O28" i="65"/>
  <c r="Q28" i="65" s="1"/>
  <c r="M28" i="65"/>
  <c r="H28" i="65"/>
  <c r="C28" i="65"/>
  <c r="AB27" i="65"/>
  <c r="AD27" i="65" s="1"/>
  <c r="J27" i="65" s="1"/>
  <c r="K27" i="65" s="1"/>
  <c r="Y27" i="65"/>
  <c r="X27" i="65"/>
  <c r="P27" i="65"/>
  <c r="Q27" i="65" s="1"/>
  <c r="O27" i="65"/>
  <c r="M27" i="65"/>
  <c r="I27" i="65"/>
  <c r="H27" i="65"/>
  <c r="C27" i="65"/>
  <c r="AD26" i="65"/>
  <c r="J26" i="65" s="1"/>
  <c r="I26" i="65" s="1"/>
  <c r="AB26" i="65"/>
  <c r="Y26" i="65"/>
  <c r="X26" i="65"/>
  <c r="P26" i="65"/>
  <c r="Q26" i="65" s="1"/>
  <c r="O26" i="65"/>
  <c r="M26" i="65"/>
  <c r="H26" i="65"/>
  <c r="C26" i="65"/>
  <c r="AD25" i="65"/>
  <c r="J25" i="65" s="1"/>
  <c r="I25" i="65" s="1"/>
  <c r="AB25" i="65"/>
  <c r="Y25" i="65"/>
  <c r="X25" i="65"/>
  <c r="P25" i="65"/>
  <c r="O25" i="65"/>
  <c r="Q25" i="65" s="1"/>
  <c r="M25" i="65"/>
  <c r="K25" i="65"/>
  <c r="H25" i="65"/>
  <c r="C25" i="65"/>
  <c r="AB24" i="65"/>
  <c r="AD24" i="65" s="1"/>
  <c r="J24" i="65" s="1"/>
  <c r="Y24" i="65"/>
  <c r="X24" i="65"/>
  <c r="P24" i="65"/>
  <c r="O24" i="65"/>
  <c r="Q24" i="65" s="1"/>
  <c r="M24" i="65"/>
  <c r="H24" i="65"/>
  <c r="C24" i="65"/>
  <c r="AB23" i="65"/>
  <c r="AD23" i="65" s="1"/>
  <c r="Y23" i="65"/>
  <c r="X23" i="65"/>
  <c r="P23" i="65"/>
  <c r="O23" i="65"/>
  <c r="Q23" i="65" s="1"/>
  <c r="M23" i="65"/>
  <c r="J23" i="65"/>
  <c r="H23" i="65"/>
  <c r="C23" i="65"/>
  <c r="AB22" i="65"/>
  <c r="AD22" i="65" s="1"/>
  <c r="J22" i="65" s="1"/>
  <c r="Y22" i="65"/>
  <c r="X22" i="65"/>
  <c r="Q22" i="65"/>
  <c r="P22" i="65"/>
  <c r="O22" i="65"/>
  <c r="M22" i="65"/>
  <c r="H22" i="65"/>
  <c r="C22" i="65"/>
  <c r="AB21" i="65"/>
  <c r="AD21" i="65" s="1"/>
  <c r="J21" i="65" s="1"/>
  <c r="Y21" i="65"/>
  <c r="X21" i="65"/>
  <c r="Q21" i="65"/>
  <c r="P21" i="65"/>
  <c r="O21" i="65"/>
  <c r="M21" i="65"/>
  <c r="H21" i="65"/>
  <c r="C21" i="65"/>
  <c r="AB20" i="65"/>
  <c r="AD20" i="65" s="1"/>
  <c r="J20" i="65" s="1"/>
  <c r="K20" i="65" s="1"/>
  <c r="Y20" i="65"/>
  <c r="X20" i="65"/>
  <c r="P20" i="65"/>
  <c r="O20" i="65"/>
  <c r="Q20" i="65" s="1"/>
  <c r="M20" i="65"/>
  <c r="H20" i="65"/>
  <c r="C20" i="65"/>
  <c r="AB19" i="65"/>
  <c r="AD19" i="65" s="1"/>
  <c r="J19" i="65" s="1"/>
  <c r="K19" i="65" s="1"/>
  <c r="Y19" i="65"/>
  <c r="X19" i="65"/>
  <c r="P19" i="65"/>
  <c r="Q19" i="65" s="1"/>
  <c r="O19" i="65"/>
  <c r="M19" i="65"/>
  <c r="I19" i="65"/>
  <c r="H19" i="65"/>
  <c r="C19" i="65"/>
  <c r="AD18" i="65"/>
  <c r="J18" i="65" s="1"/>
  <c r="I18" i="65" s="1"/>
  <c r="AB18" i="65"/>
  <c r="Y18" i="65"/>
  <c r="X18" i="65"/>
  <c r="P18" i="65"/>
  <c r="Q18" i="65" s="1"/>
  <c r="O18" i="65"/>
  <c r="M18" i="65"/>
  <c r="K18" i="65"/>
  <c r="H18" i="65"/>
  <c r="C18" i="65"/>
  <c r="AD17" i="65"/>
  <c r="J17" i="65" s="1"/>
  <c r="I17" i="65" s="1"/>
  <c r="AB17" i="65"/>
  <c r="Y17" i="65"/>
  <c r="X17" i="65"/>
  <c r="P17" i="65"/>
  <c r="O17" i="65"/>
  <c r="Q17" i="65" s="1"/>
  <c r="M17" i="65"/>
  <c r="H17" i="65"/>
  <c r="C17" i="65"/>
  <c r="AB16" i="65"/>
  <c r="AD16" i="65" s="1"/>
  <c r="J16" i="65" s="1"/>
  <c r="Y16" i="65"/>
  <c r="X16" i="65"/>
  <c r="P16" i="65"/>
  <c r="O16" i="65"/>
  <c r="Q16" i="65" s="1"/>
  <c r="M16" i="65"/>
  <c r="H16" i="65"/>
  <c r="C16" i="65"/>
  <c r="AB15" i="65"/>
  <c r="AD15" i="65" s="1"/>
  <c r="J15" i="65" s="1"/>
  <c r="Y15" i="65"/>
  <c r="X15" i="65"/>
  <c r="P15" i="65"/>
  <c r="O15" i="65"/>
  <c r="Q15" i="65" s="1"/>
  <c r="M15" i="65"/>
  <c r="H15" i="65"/>
  <c r="C15" i="65"/>
  <c r="AB14" i="65"/>
  <c r="AD14" i="65" s="1"/>
  <c r="J14" i="65" s="1"/>
  <c r="Y14" i="65"/>
  <c r="X14" i="65"/>
  <c r="Q14" i="65"/>
  <c r="P14" i="65"/>
  <c r="O14" i="65"/>
  <c r="M14" i="65"/>
  <c r="H14" i="65"/>
  <c r="C14" i="65"/>
  <c r="AB13" i="65"/>
  <c r="AD13" i="65" s="1"/>
  <c r="J13" i="65" s="1"/>
  <c r="Y13" i="65"/>
  <c r="X13" i="65"/>
  <c r="Q13" i="65"/>
  <c r="P13" i="65"/>
  <c r="O13" i="65"/>
  <c r="M13" i="65"/>
  <c r="H13" i="65"/>
  <c r="C13" i="65"/>
  <c r="AB12" i="65"/>
  <c r="AD12" i="65" s="1"/>
  <c r="Y12" i="65"/>
  <c r="X12" i="65"/>
  <c r="P12" i="65"/>
  <c r="O12" i="65"/>
  <c r="Q12" i="65" s="1"/>
  <c r="M12" i="65"/>
  <c r="J12" i="65"/>
  <c r="K12" i="65" s="1"/>
  <c r="H12" i="65"/>
  <c r="C12" i="65"/>
  <c r="AB11" i="65"/>
  <c r="AD11" i="65" s="1"/>
  <c r="J11" i="65" s="1"/>
  <c r="Y11" i="65"/>
  <c r="X11" i="65"/>
  <c r="Q11" i="65"/>
  <c r="P11" i="65"/>
  <c r="O11" i="65"/>
  <c r="M11" i="65"/>
  <c r="H11" i="65"/>
  <c r="C11" i="65"/>
  <c r="AD10" i="65"/>
  <c r="J10" i="65" s="1"/>
  <c r="I10" i="65" s="1"/>
  <c r="AB10" i="65"/>
  <c r="Y10" i="65"/>
  <c r="X10" i="65"/>
  <c r="P10" i="65"/>
  <c r="Q10" i="65" s="1"/>
  <c r="O10" i="65"/>
  <c r="M10" i="65"/>
  <c r="K10" i="65"/>
  <c r="H10" i="65"/>
  <c r="C10" i="65"/>
  <c r="AD9" i="65"/>
  <c r="J9" i="65" s="1"/>
  <c r="K9" i="65" s="1"/>
  <c r="AB9" i="65"/>
  <c r="Y9" i="65"/>
  <c r="X9" i="65"/>
  <c r="P9" i="65"/>
  <c r="O9" i="65"/>
  <c r="Q9" i="65" s="1"/>
  <c r="M9" i="65"/>
  <c r="I9" i="65"/>
  <c r="H9" i="65"/>
  <c r="C9" i="65"/>
  <c r="AB8" i="65"/>
  <c r="AD8" i="65" s="1"/>
  <c r="J8" i="65" s="1"/>
  <c r="Y8" i="65"/>
  <c r="X8" i="65"/>
  <c r="P8" i="65"/>
  <c r="O8" i="65"/>
  <c r="M8" i="65"/>
  <c r="H8" i="65"/>
  <c r="C8" i="65"/>
  <c r="AD7" i="65"/>
  <c r="J7" i="65" s="1"/>
  <c r="AB7" i="65"/>
  <c r="Y7" i="65"/>
  <c r="X7" i="65"/>
  <c r="P7" i="65"/>
  <c r="O7" i="65"/>
  <c r="Q7" i="65" s="1"/>
  <c r="M7" i="65"/>
  <c r="H7" i="65"/>
  <c r="C7" i="65"/>
  <c r="AB6" i="65"/>
  <c r="AD6" i="65" s="1"/>
  <c r="J6" i="65" s="1"/>
  <c r="Y6" i="65"/>
  <c r="X6" i="65"/>
  <c r="Q6" i="65"/>
  <c r="P6" i="65"/>
  <c r="O6" i="65"/>
  <c r="M6" i="65"/>
  <c r="H6" i="65"/>
  <c r="C6" i="65"/>
  <c r="AB5" i="65"/>
  <c r="AD5" i="65" s="1"/>
  <c r="J5" i="65" s="1"/>
  <c r="K5" i="65" s="1"/>
  <c r="Y5" i="65"/>
  <c r="X5" i="65"/>
  <c r="P5" i="65"/>
  <c r="O5" i="65"/>
  <c r="Q5" i="65" s="1"/>
  <c r="M5" i="65"/>
  <c r="I5" i="65"/>
  <c r="H5" i="65"/>
  <c r="C5" i="65"/>
  <c r="AB4" i="65"/>
  <c r="AD4" i="65" s="1"/>
  <c r="Y4" i="65"/>
  <c r="X4" i="65"/>
  <c r="P4" i="65"/>
  <c r="O4" i="65"/>
  <c r="Q4" i="65" s="1"/>
  <c r="M4" i="65"/>
  <c r="J4" i="65"/>
  <c r="K4" i="65" s="1"/>
  <c r="H4" i="65"/>
  <c r="C4" i="65"/>
  <c r="AG3" i="65"/>
  <c r="AF3" i="65"/>
  <c r="W3" i="65"/>
  <c r="X3" i="65" s="1"/>
  <c r="V3" i="65"/>
  <c r="U3" i="65"/>
  <c r="T3" i="65"/>
  <c r="O3" i="65"/>
  <c r="H3" i="65"/>
  <c r="G3" i="65"/>
  <c r="F3" i="65"/>
  <c r="D3" i="65"/>
  <c r="C3" i="65"/>
  <c r="A2" i="65"/>
  <c r="A1" i="65"/>
  <c r="AB32" i="64"/>
  <c r="AD32" i="64" s="1"/>
  <c r="Y32" i="64"/>
  <c r="X32" i="64"/>
  <c r="V32" i="64"/>
  <c r="U32" i="64"/>
  <c r="T32" i="64"/>
  <c r="P32" i="64"/>
  <c r="O32" i="64"/>
  <c r="M32" i="64"/>
  <c r="J32" i="64"/>
  <c r="K32" i="64" s="1"/>
  <c r="H32" i="64"/>
  <c r="C32" i="64"/>
  <c r="AB31" i="64"/>
  <c r="AD31" i="64" s="1"/>
  <c r="J31" i="64" s="1"/>
  <c r="Y31" i="64"/>
  <c r="X31" i="64"/>
  <c r="Q31" i="64"/>
  <c r="P31" i="64"/>
  <c r="O31" i="64"/>
  <c r="M31" i="64"/>
  <c r="H31" i="64"/>
  <c r="C31" i="64"/>
  <c r="AD30" i="64"/>
  <c r="J30" i="64" s="1"/>
  <c r="AB30" i="64"/>
  <c r="Y30" i="64"/>
  <c r="X30" i="64"/>
  <c r="Q30" i="64"/>
  <c r="P30" i="64"/>
  <c r="O30" i="64"/>
  <c r="M30" i="64"/>
  <c r="H30" i="64"/>
  <c r="C30" i="64"/>
  <c r="AB29" i="64"/>
  <c r="AD29" i="64" s="1"/>
  <c r="J29" i="64" s="1"/>
  <c r="K29" i="64" s="1"/>
  <c r="Y29" i="64"/>
  <c r="X29" i="64"/>
  <c r="Q29" i="64"/>
  <c r="P29" i="64"/>
  <c r="O29" i="64"/>
  <c r="M29" i="64"/>
  <c r="H29" i="64"/>
  <c r="C29" i="64"/>
  <c r="AB28" i="64"/>
  <c r="AD28" i="64" s="1"/>
  <c r="Y28" i="64"/>
  <c r="X28" i="64"/>
  <c r="P28" i="64"/>
  <c r="O28" i="64"/>
  <c r="M28" i="64"/>
  <c r="J28" i="64"/>
  <c r="K28" i="64" s="1"/>
  <c r="H28" i="64"/>
  <c r="C28" i="64"/>
  <c r="AD27" i="64"/>
  <c r="J27" i="64" s="1"/>
  <c r="AB27" i="64"/>
  <c r="Y27" i="64"/>
  <c r="X27" i="64"/>
  <c r="Q27" i="64"/>
  <c r="P27" i="64"/>
  <c r="O27" i="64"/>
  <c r="M27" i="64"/>
  <c r="H27" i="64"/>
  <c r="C27" i="64"/>
  <c r="AD26" i="64"/>
  <c r="J26" i="64" s="1"/>
  <c r="I26" i="64" s="1"/>
  <c r="AB26" i="64"/>
  <c r="Y26" i="64"/>
  <c r="X26" i="64"/>
  <c r="Q26" i="64"/>
  <c r="P26" i="64"/>
  <c r="O26" i="64"/>
  <c r="M26" i="64"/>
  <c r="K26" i="64"/>
  <c r="H26" i="64"/>
  <c r="C26" i="64"/>
  <c r="AD25" i="64"/>
  <c r="AB25" i="64"/>
  <c r="Y25" i="64"/>
  <c r="X25" i="64"/>
  <c r="P25" i="64"/>
  <c r="O25" i="64"/>
  <c r="Q25" i="64" s="1"/>
  <c r="M25" i="64"/>
  <c r="K25" i="64"/>
  <c r="J25" i="64"/>
  <c r="I25" i="64" s="1"/>
  <c r="H25" i="64"/>
  <c r="C25" i="64"/>
  <c r="AB24" i="64"/>
  <c r="AD24" i="64" s="1"/>
  <c r="J24" i="64" s="1"/>
  <c r="Y24" i="64"/>
  <c r="X24" i="64"/>
  <c r="Q24" i="64"/>
  <c r="P24" i="64"/>
  <c r="O24" i="64"/>
  <c r="M24" i="64"/>
  <c r="H24" i="64"/>
  <c r="C24" i="64"/>
  <c r="AD23" i="64"/>
  <c r="J23" i="64" s="1"/>
  <c r="AB23" i="64"/>
  <c r="Y23" i="64"/>
  <c r="X23" i="64"/>
  <c r="P23" i="64"/>
  <c r="O23" i="64"/>
  <c r="Q23" i="64" s="1"/>
  <c r="M23" i="64"/>
  <c r="H23" i="64"/>
  <c r="C23" i="64"/>
  <c r="AB22" i="64"/>
  <c r="AD22" i="64" s="1"/>
  <c r="J22" i="64" s="1"/>
  <c r="Y22" i="64"/>
  <c r="X22" i="64"/>
  <c r="Q22" i="64"/>
  <c r="P22" i="64"/>
  <c r="O22" i="64"/>
  <c r="M22" i="64"/>
  <c r="H22" i="64"/>
  <c r="C22" i="64"/>
  <c r="AB21" i="64"/>
  <c r="AD21" i="64" s="1"/>
  <c r="J21" i="64" s="1"/>
  <c r="K21" i="64" s="1"/>
  <c r="Y21" i="64"/>
  <c r="X21" i="64"/>
  <c r="P21" i="64"/>
  <c r="O21" i="64"/>
  <c r="Q21" i="64" s="1"/>
  <c r="M21" i="64"/>
  <c r="I21" i="64"/>
  <c r="H21" i="64"/>
  <c r="C21" i="64"/>
  <c r="AB20" i="64"/>
  <c r="AD20" i="64" s="1"/>
  <c r="J20" i="64" s="1"/>
  <c r="Y20" i="64"/>
  <c r="X20" i="64"/>
  <c r="P20" i="64"/>
  <c r="O20" i="64"/>
  <c r="M20" i="64"/>
  <c r="H20" i="64"/>
  <c r="C20" i="64"/>
  <c r="AD19" i="64"/>
  <c r="J19" i="64" s="1"/>
  <c r="I19" i="64" s="1"/>
  <c r="AB19" i="64"/>
  <c r="Y19" i="64"/>
  <c r="X19" i="64"/>
  <c r="P19" i="64"/>
  <c r="Q19" i="64" s="1"/>
  <c r="O19" i="64"/>
  <c r="M19" i="64"/>
  <c r="H19" i="64"/>
  <c r="C19" i="64"/>
  <c r="AD18" i="64"/>
  <c r="AB18" i="64"/>
  <c r="Y18" i="64"/>
  <c r="X18" i="64"/>
  <c r="Q18" i="64"/>
  <c r="P18" i="64"/>
  <c r="O18" i="64"/>
  <c r="M18" i="64"/>
  <c r="J18" i="64"/>
  <c r="K18" i="64" s="1"/>
  <c r="H18" i="64"/>
  <c r="C18" i="64"/>
  <c r="AD17" i="64"/>
  <c r="J17" i="64" s="1"/>
  <c r="AB17" i="64"/>
  <c r="Y17" i="64"/>
  <c r="X17" i="64"/>
  <c r="P17" i="64"/>
  <c r="O17" i="64"/>
  <c r="Q17" i="64" s="1"/>
  <c r="M17" i="64"/>
  <c r="H17" i="64"/>
  <c r="C17" i="64"/>
  <c r="AB16" i="64"/>
  <c r="AD16" i="64" s="1"/>
  <c r="J16" i="64" s="1"/>
  <c r="Y16" i="64"/>
  <c r="X16" i="64"/>
  <c r="Q16" i="64"/>
  <c r="P16" i="64"/>
  <c r="O16" i="64"/>
  <c r="M16" i="64"/>
  <c r="H16" i="64"/>
  <c r="C16" i="64"/>
  <c r="AB15" i="64"/>
  <c r="AD15" i="64" s="1"/>
  <c r="J15" i="64" s="1"/>
  <c r="Y15" i="64"/>
  <c r="X15" i="64"/>
  <c r="Q15" i="64"/>
  <c r="P15" i="64"/>
  <c r="O15" i="64"/>
  <c r="M15" i="64"/>
  <c r="H15" i="64"/>
  <c r="C15" i="64"/>
  <c r="AD14" i="64"/>
  <c r="J14" i="64" s="1"/>
  <c r="AB14" i="64"/>
  <c r="Y14" i="64"/>
  <c r="X14" i="64"/>
  <c r="P14" i="64"/>
  <c r="O14" i="64"/>
  <c r="Q14" i="64" s="1"/>
  <c r="M14" i="64"/>
  <c r="H14" i="64"/>
  <c r="C14" i="64"/>
  <c r="AD13" i="64"/>
  <c r="J13" i="64" s="1"/>
  <c r="K13" i="64" s="1"/>
  <c r="AB13" i="64"/>
  <c r="Y13" i="64"/>
  <c r="X13" i="64"/>
  <c r="Q13" i="64"/>
  <c r="P13" i="64"/>
  <c r="O13" i="64"/>
  <c r="M13" i="64"/>
  <c r="I13" i="64"/>
  <c r="H13" i="64"/>
  <c r="C13" i="64"/>
  <c r="AD12" i="64"/>
  <c r="J12" i="64" s="1"/>
  <c r="AB12" i="64"/>
  <c r="Y12" i="64"/>
  <c r="X12" i="64"/>
  <c r="P12" i="64"/>
  <c r="O12" i="64"/>
  <c r="Q12" i="64" s="1"/>
  <c r="M12" i="64"/>
  <c r="H12" i="64"/>
  <c r="C12" i="64"/>
  <c r="AD11" i="64"/>
  <c r="J11" i="64" s="1"/>
  <c r="I11" i="64" s="1"/>
  <c r="AB11" i="64"/>
  <c r="Y11" i="64"/>
  <c r="X11" i="64"/>
  <c r="P11" i="64"/>
  <c r="O11" i="64"/>
  <c r="Q11" i="64" s="1"/>
  <c r="M11" i="64"/>
  <c r="H11" i="64"/>
  <c r="C11" i="64"/>
  <c r="AB10" i="64"/>
  <c r="AD10" i="64" s="1"/>
  <c r="J10" i="64" s="1"/>
  <c r="Y10" i="64"/>
  <c r="X10" i="64"/>
  <c r="Q10" i="64"/>
  <c r="P10" i="64"/>
  <c r="O10" i="64"/>
  <c r="M10" i="64"/>
  <c r="H10" i="64"/>
  <c r="C10" i="64"/>
  <c r="AD9" i="64"/>
  <c r="J9" i="64" s="1"/>
  <c r="AB9" i="64"/>
  <c r="Y9" i="64"/>
  <c r="X9" i="64"/>
  <c r="P9" i="64"/>
  <c r="O9" i="64"/>
  <c r="Q9" i="64" s="1"/>
  <c r="M9" i="64"/>
  <c r="H9" i="64"/>
  <c r="C9" i="64"/>
  <c r="AB8" i="64"/>
  <c r="AD8" i="64" s="1"/>
  <c r="J8" i="64" s="1"/>
  <c r="Y8" i="64"/>
  <c r="X8" i="64"/>
  <c r="Q8" i="64"/>
  <c r="P8" i="64"/>
  <c r="O8" i="64"/>
  <c r="M8" i="64"/>
  <c r="H8" i="64"/>
  <c r="C8" i="64"/>
  <c r="AB7" i="64"/>
  <c r="AD7" i="64" s="1"/>
  <c r="J7" i="64" s="1"/>
  <c r="Y7" i="64"/>
  <c r="X7" i="64"/>
  <c r="Q7" i="64"/>
  <c r="P7" i="64"/>
  <c r="O7" i="64"/>
  <c r="M7" i="64"/>
  <c r="H7" i="64"/>
  <c r="C7" i="64"/>
  <c r="AD6" i="64"/>
  <c r="J6" i="64" s="1"/>
  <c r="AB6" i="64"/>
  <c r="Y6" i="64"/>
  <c r="X6" i="64"/>
  <c r="P6" i="64"/>
  <c r="O6" i="64"/>
  <c r="Q6" i="64" s="1"/>
  <c r="M6" i="64"/>
  <c r="H6" i="64"/>
  <c r="C6" i="64"/>
  <c r="AD5" i="64"/>
  <c r="J5" i="64" s="1"/>
  <c r="K5" i="64" s="1"/>
  <c r="AB5" i="64"/>
  <c r="Y5" i="64"/>
  <c r="X5" i="64"/>
  <c r="Q5" i="64"/>
  <c r="P5" i="64"/>
  <c r="O5" i="64"/>
  <c r="M5" i="64"/>
  <c r="I5" i="64"/>
  <c r="H5" i="64"/>
  <c r="C5" i="64"/>
  <c r="AD4" i="64"/>
  <c r="J4" i="64" s="1"/>
  <c r="AB4" i="64"/>
  <c r="Y4" i="64"/>
  <c r="X4" i="64"/>
  <c r="P4" i="64"/>
  <c r="O4" i="64"/>
  <c r="Q4" i="64" s="1"/>
  <c r="M4" i="64"/>
  <c r="H4" i="64"/>
  <c r="C4" i="64"/>
  <c r="AG3" i="64"/>
  <c r="AF3" i="64"/>
  <c r="X3" i="64"/>
  <c r="W3" i="64"/>
  <c r="V3" i="64"/>
  <c r="U3" i="64"/>
  <c r="T3" i="64"/>
  <c r="O3" i="64"/>
  <c r="G3" i="64"/>
  <c r="H3" i="64" s="1"/>
  <c r="F3" i="64"/>
  <c r="D3" i="64"/>
  <c r="C3" i="64"/>
  <c r="A2" i="64"/>
  <c r="A1" i="64"/>
  <c r="AD32" i="63"/>
  <c r="AB32" i="63"/>
  <c r="Y32" i="63"/>
  <c r="X32" i="63"/>
  <c r="V32" i="63"/>
  <c r="U32" i="63"/>
  <c r="T32" i="63"/>
  <c r="Q32" i="63"/>
  <c r="P32" i="63"/>
  <c r="O32" i="63"/>
  <c r="M32" i="63"/>
  <c r="J32" i="63"/>
  <c r="H32" i="63"/>
  <c r="C32" i="63"/>
  <c r="AB31" i="63"/>
  <c r="AD31" i="63" s="1"/>
  <c r="J31" i="63" s="1"/>
  <c r="Y31" i="63"/>
  <c r="X31" i="63"/>
  <c r="Q31" i="63"/>
  <c r="P31" i="63"/>
  <c r="O31" i="63"/>
  <c r="M31" i="63"/>
  <c r="H31" i="63"/>
  <c r="C31" i="63"/>
  <c r="AD30" i="63"/>
  <c r="J30" i="63" s="1"/>
  <c r="AB30" i="63"/>
  <c r="Y30" i="63"/>
  <c r="X30" i="63"/>
  <c r="P30" i="63"/>
  <c r="O30" i="63"/>
  <c r="Q30" i="63" s="1"/>
  <c r="M30" i="63"/>
  <c r="H30" i="63"/>
  <c r="C30" i="63"/>
  <c r="AD29" i="63"/>
  <c r="J29" i="63" s="1"/>
  <c r="K29" i="63" s="1"/>
  <c r="AB29" i="63"/>
  <c r="Y29" i="63"/>
  <c r="X29" i="63"/>
  <c r="Q29" i="63"/>
  <c r="P29" i="63"/>
  <c r="O29" i="63"/>
  <c r="M29" i="63"/>
  <c r="I29" i="63"/>
  <c r="H29" i="63"/>
  <c r="C29" i="63"/>
  <c r="AD28" i="63"/>
  <c r="J28" i="63" s="1"/>
  <c r="AB28" i="63"/>
  <c r="Y28" i="63"/>
  <c r="X28" i="63"/>
  <c r="P28" i="63"/>
  <c r="O28" i="63"/>
  <c r="Q28" i="63" s="1"/>
  <c r="M28" i="63"/>
  <c r="H28" i="63"/>
  <c r="C28" i="63"/>
  <c r="AD27" i="63"/>
  <c r="J27" i="63" s="1"/>
  <c r="I27" i="63" s="1"/>
  <c r="AB27" i="63"/>
  <c r="Y27" i="63"/>
  <c r="X27" i="63"/>
  <c r="P27" i="63"/>
  <c r="O27" i="63"/>
  <c r="Q27" i="63" s="1"/>
  <c r="M27" i="63"/>
  <c r="K27" i="63"/>
  <c r="H27" i="63"/>
  <c r="C27" i="63"/>
  <c r="AB26" i="63"/>
  <c r="AD26" i="63" s="1"/>
  <c r="J26" i="63" s="1"/>
  <c r="Y26" i="63"/>
  <c r="X26" i="63"/>
  <c r="Q26" i="63"/>
  <c r="P26" i="63"/>
  <c r="O26" i="63"/>
  <c r="M26" i="63"/>
  <c r="H26" i="63"/>
  <c r="C26" i="63"/>
  <c r="AD25" i="63"/>
  <c r="J25" i="63" s="1"/>
  <c r="AB25" i="63"/>
  <c r="Y25" i="63"/>
  <c r="X25" i="63"/>
  <c r="P25" i="63"/>
  <c r="O25" i="63"/>
  <c r="Q25" i="63" s="1"/>
  <c r="M25" i="63"/>
  <c r="H25" i="63"/>
  <c r="C25" i="63"/>
  <c r="AB24" i="63"/>
  <c r="AD24" i="63" s="1"/>
  <c r="J24" i="63" s="1"/>
  <c r="Y24" i="63"/>
  <c r="X24" i="63"/>
  <c r="Q24" i="63"/>
  <c r="P24" i="63"/>
  <c r="O24" i="63"/>
  <c r="M24" i="63"/>
  <c r="H24" i="63"/>
  <c r="C24" i="63"/>
  <c r="AB23" i="63"/>
  <c r="AD23" i="63" s="1"/>
  <c r="J23" i="63" s="1"/>
  <c r="Y23" i="63"/>
  <c r="X23" i="63"/>
  <c r="Q23" i="63"/>
  <c r="P23" i="63"/>
  <c r="O23" i="63"/>
  <c r="M23" i="63"/>
  <c r="H23" i="63"/>
  <c r="C23" i="63"/>
  <c r="AD22" i="63"/>
  <c r="J22" i="63" s="1"/>
  <c r="AB22" i="63"/>
  <c r="Y22" i="63"/>
  <c r="X22" i="63"/>
  <c r="P22" i="63"/>
  <c r="O22" i="63"/>
  <c r="Q22" i="63" s="1"/>
  <c r="M22" i="63"/>
  <c r="H22" i="63"/>
  <c r="C22" i="63"/>
  <c r="AD21" i="63"/>
  <c r="J21" i="63" s="1"/>
  <c r="K21" i="63" s="1"/>
  <c r="AB21" i="63"/>
  <c r="Y21" i="63"/>
  <c r="X21" i="63"/>
  <c r="Q21" i="63"/>
  <c r="P21" i="63"/>
  <c r="O21" i="63"/>
  <c r="M21" i="63"/>
  <c r="I21" i="63"/>
  <c r="H21" i="63"/>
  <c r="C21" i="63"/>
  <c r="AD20" i="63"/>
  <c r="J20" i="63" s="1"/>
  <c r="AB20" i="63"/>
  <c r="Y20" i="63"/>
  <c r="X20" i="63"/>
  <c r="P20" i="63"/>
  <c r="O20" i="63"/>
  <c r="M20" i="63"/>
  <c r="H20" i="63"/>
  <c r="C20" i="63"/>
  <c r="AD19" i="63"/>
  <c r="J19" i="63" s="1"/>
  <c r="I19" i="63" s="1"/>
  <c r="AB19" i="63"/>
  <c r="Y19" i="63"/>
  <c r="X19" i="63"/>
  <c r="P19" i="63"/>
  <c r="O19" i="63"/>
  <c r="Q19" i="63" s="1"/>
  <c r="M19" i="63"/>
  <c r="H19" i="63"/>
  <c r="C19" i="63"/>
  <c r="AB18" i="63"/>
  <c r="AD18" i="63" s="1"/>
  <c r="J18" i="63" s="1"/>
  <c r="Y18" i="63"/>
  <c r="X18" i="63"/>
  <c r="Q18" i="63"/>
  <c r="P18" i="63"/>
  <c r="O18" i="63"/>
  <c r="M18" i="63"/>
  <c r="H18" i="63"/>
  <c r="C18" i="63"/>
  <c r="AD17" i="63"/>
  <c r="J17" i="63" s="1"/>
  <c r="AB17" i="63"/>
  <c r="Y17" i="63"/>
  <c r="X17" i="63"/>
  <c r="P17" i="63"/>
  <c r="O17" i="63"/>
  <c r="Q17" i="63" s="1"/>
  <c r="M17" i="63"/>
  <c r="H17" i="63"/>
  <c r="C17" i="63"/>
  <c r="AB16" i="63"/>
  <c r="AD16" i="63" s="1"/>
  <c r="Y16" i="63"/>
  <c r="X16" i="63"/>
  <c r="Q16" i="63"/>
  <c r="P16" i="63"/>
  <c r="O16" i="63"/>
  <c r="M16" i="63"/>
  <c r="J16" i="63"/>
  <c r="H16" i="63"/>
  <c r="C16" i="63"/>
  <c r="AB15" i="63"/>
  <c r="AD15" i="63" s="1"/>
  <c r="J15" i="63" s="1"/>
  <c r="Y15" i="63"/>
  <c r="X15" i="63"/>
  <c r="Q15" i="63"/>
  <c r="P15" i="63"/>
  <c r="O15" i="63"/>
  <c r="M15" i="63"/>
  <c r="H15" i="63"/>
  <c r="C15" i="63"/>
  <c r="AD14" i="63"/>
  <c r="J14" i="63" s="1"/>
  <c r="AB14" i="63"/>
  <c r="Y14" i="63"/>
  <c r="X14" i="63"/>
  <c r="P14" i="63"/>
  <c r="O14" i="63"/>
  <c r="Q14" i="63" s="1"/>
  <c r="M14" i="63"/>
  <c r="H14" i="63"/>
  <c r="C14" i="63"/>
  <c r="AD13" i="63"/>
  <c r="J13" i="63" s="1"/>
  <c r="K13" i="63" s="1"/>
  <c r="AB13" i="63"/>
  <c r="Y13" i="63"/>
  <c r="X13" i="63"/>
  <c r="Q13" i="63"/>
  <c r="P13" i="63"/>
  <c r="O13" i="63"/>
  <c r="M13" i="63"/>
  <c r="I13" i="63"/>
  <c r="H13" i="63"/>
  <c r="C13" i="63"/>
  <c r="AD12" i="63"/>
  <c r="J12" i="63" s="1"/>
  <c r="AB12" i="63"/>
  <c r="Y12" i="63"/>
  <c r="X12" i="63"/>
  <c r="P12" i="63"/>
  <c r="O12" i="63"/>
  <c r="Q12" i="63" s="1"/>
  <c r="M12" i="63"/>
  <c r="H12" i="63"/>
  <c r="C12" i="63"/>
  <c r="AD11" i="63"/>
  <c r="J11" i="63" s="1"/>
  <c r="I11" i="63" s="1"/>
  <c r="AB11" i="63"/>
  <c r="Y11" i="63"/>
  <c r="X11" i="63"/>
  <c r="P11" i="63"/>
  <c r="O11" i="63"/>
  <c r="Q11" i="63" s="1"/>
  <c r="M11" i="63"/>
  <c r="K11" i="63"/>
  <c r="H11" i="63"/>
  <c r="C11" i="63"/>
  <c r="AB10" i="63"/>
  <c r="AD10" i="63" s="1"/>
  <c r="J10" i="63" s="1"/>
  <c r="Y10" i="63"/>
  <c r="X10" i="63"/>
  <c r="Q10" i="63"/>
  <c r="P10" i="63"/>
  <c r="O10" i="63"/>
  <c r="M10" i="63"/>
  <c r="H10" i="63"/>
  <c r="C10" i="63"/>
  <c r="AD9" i="63"/>
  <c r="J9" i="63" s="1"/>
  <c r="AB9" i="63"/>
  <c r="Y9" i="63"/>
  <c r="X9" i="63"/>
  <c r="P9" i="63"/>
  <c r="O9" i="63"/>
  <c r="Q9" i="63" s="1"/>
  <c r="M9" i="63"/>
  <c r="H9" i="63"/>
  <c r="C9" i="63"/>
  <c r="AB8" i="63"/>
  <c r="AD8" i="63" s="1"/>
  <c r="J8" i="63" s="1"/>
  <c r="Y8" i="63"/>
  <c r="X8" i="63"/>
  <c r="Q8" i="63"/>
  <c r="P8" i="63"/>
  <c r="O8" i="63"/>
  <c r="M8" i="63"/>
  <c r="H8" i="63"/>
  <c r="C8" i="63"/>
  <c r="AB7" i="63"/>
  <c r="AD7" i="63" s="1"/>
  <c r="J7" i="63" s="1"/>
  <c r="Y7" i="63"/>
  <c r="X7" i="63"/>
  <c r="Q7" i="63"/>
  <c r="P7" i="63"/>
  <c r="O7" i="63"/>
  <c r="M7" i="63"/>
  <c r="H7" i="63"/>
  <c r="C7" i="63"/>
  <c r="AD6" i="63"/>
  <c r="J6" i="63" s="1"/>
  <c r="AB6" i="63"/>
  <c r="Y6" i="63"/>
  <c r="X6" i="63"/>
  <c r="P6" i="63"/>
  <c r="O6" i="63"/>
  <c r="Q6" i="63" s="1"/>
  <c r="M6" i="63"/>
  <c r="H6" i="63"/>
  <c r="C6" i="63"/>
  <c r="AD5" i="63"/>
  <c r="J5" i="63" s="1"/>
  <c r="K5" i="63" s="1"/>
  <c r="AB5" i="63"/>
  <c r="Y5" i="63"/>
  <c r="X5" i="63"/>
  <c r="Q5" i="63"/>
  <c r="P5" i="63"/>
  <c r="O5" i="63"/>
  <c r="M5" i="63"/>
  <c r="I5" i="63"/>
  <c r="H5" i="63"/>
  <c r="C5" i="63"/>
  <c r="AD4" i="63"/>
  <c r="J4" i="63" s="1"/>
  <c r="AB4" i="63"/>
  <c r="Y4" i="63"/>
  <c r="X4" i="63"/>
  <c r="P4" i="63"/>
  <c r="O4" i="63"/>
  <c r="Q4" i="63" s="1"/>
  <c r="M4" i="63"/>
  <c r="H4" i="63"/>
  <c r="C4" i="63"/>
  <c r="AG3" i="63"/>
  <c r="AF3" i="63"/>
  <c r="X3" i="63"/>
  <c r="W3" i="63"/>
  <c r="V3" i="63"/>
  <c r="U3" i="63"/>
  <c r="T3" i="63"/>
  <c r="O3" i="63"/>
  <c r="G3" i="63"/>
  <c r="H3" i="63" s="1"/>
  <c r="F3" i="63"/>
  <c r="D3" i="63"/>
  <c r="C3" i="63"/>
  <c r="A2" i="63"/>
  <c r="A1" i="63"/>
  <c r="AD32" i="62"/>
  <c r="AB32" i="62"/>
  <c r="Y32" i="62"/>
  <c r="X32" i="62"/>
  <c r="V32" i="62"/>
  <c r="U32" i="62"/>
  <c r="T32" i="62"/>
  <c r="Q32" i="62"/>
  <c r="P32" i="62"/>
  <c r="O32" i="62"/>
  <c r="M32" i="62"/>
  <c r="J32" i="62"/>
  <c r="K32" i="62" s="1"/>
  <c r="I32" i="62"/>
  <c r="H32" i="62"/>
  <c r="C32" i="62"/>
  <c r="AB31" i="62"/>
  <c r="AD31" i="62" s="1"/>
  <c r="J31" i="62" s="1"/>
  <c r="Y31" i="62"/>
  <c r="X31" i="62"/>
  <c r="Q31" i="62"/>
  <c r="P31" i="62"/>
  <c r="O31" i="62"/>
  <c r="M31" i="62"/>
  <c r="H31" i="62"/>
  <c r="C31" i="62"/>
  <c r="AD30" i="62"/>
  <c r="AB30" i="62"/>
  <c r="Y30" i="62"/>
  <c r="X30" i="62"/>
  <c r="P30" i="62"/>
  <c r="O30" i="62"/>
  <c r="Q30" i="62" s="1"/>
  <c r="M30" i="62"/>
  <c r="J30" i="62"/>
  <c r="I30" i="62" s="1"/>
  <c r="H30" i="62"/>
  <c r="C30" i="62"/>
  <c r="AD29" i="62"/>
  <c r="J29" i="62" s="1"/>
  <c r="K29" i="62" s="1"/>
  <c r="AB29" i="62"/>
  <c r="Y29" i="62"/>
  <c r="X29" i="62"/>
  <c r="Q29" i="62"/>
  <c r="P29" i="62"/>
  <c r="O29" i="62"/>
  <c r="M29" i="62"/>
  <c r="I29" i="62"/>
  <c r="H29" i="62"/>
  <c r="C29" i="62"/>
  <c r="AD28" i="62"/>
  <c r="J28" i="62" s="1"/>
  <c r="AB28" i="62"/>
  <c r="Y28" i="62"/>
  <c r="X28" i="62"/>
  <c r="P28" i="62"/>
  <c r="O28" i="62"/>
  <c r="M28" i="62"/>
  <c r="H28" i="62"/>
  <c r="C28" i="62"/>
  <c r="AB27" i="62"/>
  <c r="AD27" i="62" s="1"/>
  <c r="J27" i="62" s="1"/>
  <c r="Y27" i="62"/>
  <c r="X27" i="62"/>
  <c r="P27" i="62"/>
  <c r="O27" i="62"/>
  <c r="Q27" i="62" s="1"/>
  <c r="M27" i="62"/>
  <c r="H27" i="62"/>
  <c r="C27" i="62"/>
  <c r="AB26" i="62"/>
  <c r="AD26" i="62" s="1"/>
  <c r="J26" i="62" s="1"/>
  <c r="Y26" i="62"/>
  <c r="X26" i="62"/>
  <c r="P26" i="62"/>
  <c r="Q26" i="62" s="1"/>
  <c r="O26" i="62"/>
  <c r="M26" i="62"/>
  <c r="H26" i="62"/>
  <c r="C26" i="62"/>
  <c r="AD25" i="62"/>
  <c r="J25" i="62" s="1"/>
  <c r="I25" i="62" s="1"/>
  <c r="AB25" i="62"/>
  <c r="Y25" i="62"/>
  <c r="X25" i="62"/>
  <c r="P25" i="62"/>
  <c r="O25" i="62"/>
  <c r="Q25" i="62" s="1"/>
  <c r="M25" i="62"/>
  <c r="H25" i="62"/>
  <c r="C25" i="62"/>
  <c r="AB24" i="62"/>
  <c r="AD24" i="62" s="1"/>
  <c r="J24" i="62" s="1"/>
  <c r="Y24" i="62"/>
  <c r="X24" i="62"/>
  <c r="Q24" i="62"/>
  <c r="P24" i="62"/>
  <c r="O24" i="62"/>
  <c r="M24" i="62"/>
  <c r="H24" i="62"/>
  <c r="C24" i="62"/>
  <c r="AB23" i="62"/>
  <c r="AD23" i="62" s="1"/>
  <c r="J23" i="62" s="1"/>
  <c r="Y23" i="62"/>
  <c r="X23" i="62"/>
  <c r="Q23" i="62"/>
  <c r="P23" i="62"/>
  <c r="O23" i="62"/>
  <c r="M23" i="62"/>
  <c r="H23" i="62"/>
  <c r="C23" i="62"/>
  <c r="AD22" i="62"/>
  <c r="J22" i="62" s="1"/>
  <c r="AB22" i="62"/>
  <c r="Y22" i="62"/>
  <c r="X22" i="62"/>
  <c r="P22" i="62"/>
  <c r="O22" i="62"/>
  <c r="Q22" i="62" s="1"/>
  <c r="M22" i="62"/>
  <c r="H22" i="62"/>
  <c r="C22" i="62"/>
  <c r="AD21" i="62"/>
  <c r="J21" i="62" s="1"/>
  <c r="K21" i="62" s="1"/>
  <c r="AB21" i="62"/>
  <c r="Y21" i="62"/>
  <c r="X21" i="62"/>
  <c r="Q21" i="62"/>
  <c r="P21" i="62"/>
  <c r="O21" i="62"/>
  <c r="M21" i="62"/>
  <c r="I21" i="62"/>
  <c r="H21" i="62"/>
  <c r="C21" i="62"/>
  <c r="AD20" i="62"/>
  <c r="J20" i="62" s="1"/>
  <c r="AB20" i="62"/>
  <c r="Y20" i="62"/>
  <c r="X20" i="62"/>
  <c r="P20" i="62"/>
  <c r="O20" i="62"/>
  <c r="M20" i="62"/>
  <c r="H20" i="62"/>
  <c r="C20" i="62"/>
  <c r="AB19" i="62"/>
  <c r="AD19" i="62" s="1"/>
  <c r="J19" i="62" s="1"/>
  <c r="K19" i="62" s="1"/>
  <c r="Y19" i="62"/>
  <c r="X19" i="62"/>
  <c r="P19" i="62"/>
  <c r="O19" i="62"/>
  <c r="Q19" i="62" s="1"/>
  <c r="M19" i="62"/>
  <c r="H19" i="62"/>
  <c r="C19" i="62"/>
  <c r="AB18" i="62"/>
  <c r="AD18" i="62" s="1"/>
  <c r="J18" i="62" s="1"/>
  <c r="Y18" i="62"/>
  <c r="X18" i="62"/>
  <c r="Q18" i="62"/>
  <c r="P18" i="62"/>
  <c r="O18" i="62"/>
  <c r="M18" i="62"/>
  <c r="H18" i="62"/>
  <c r="C18" i="62"/>
  <c r="AD17" i="62"/>
  <c r="J17" i="62" s="1"/>
  <c r="I17" i="62" s="1"/>
  <c r="AB17" i="62"/>
  <c r="Y17" i="62"/>
  <c r="X17" i="62"/>
  <c r="P17" i="62"/>
  <c r="O17" i="62"/>
  <c r="Q17" i="62" s="1"/>
  <c r="M17" i="62"/>
  <c r="H17" i="62"/>
  <c r="C17" i="62"/>
  <c r="AB16" i="62"/>
  <c r="AD16" i="62" s="1"/>
  <c r="J16" i="62" s="1"/>
  <c r="Y16" i="62"/>
  <c r="X16" i="62"/>
  <c r="Q16" i="62"/>
  <c r="P16" i="62"/>
  <c r="O16" i="62"/>
  <c r="M16" i="62"/>
  <c r="H16" i="62"/>
  <c r="C16" i="62"/>
  <c r="AB15" i="62"/>
  <c r="AD15" i="62" s="1"/>
  <c r="J15" i="62" s="1"/>
  <c r="Y15" i="62"/>
  <c r="X15" i="62"/>
  <c r="P15" i="62"/>
  <c r="O15" i="62"/>
  <c r="Q15" i="62" s="1"/>
  <c r="M15" i="62"/>
  <c r="H15" i="62"/>
  <c r="C15" i="62"/>
  <c r="AD14" i="62"/>
  <c r="AB14" i="62"/>
  <c r="Y14" i="62"/>
  <c r="X14" i="62"/>
  <c r="P14" i="62"/>
  <c r="O14" i="62"/>
  <c r="Q14" i="62" s="1"/>
  <c r="M14" i="62"/>
  <c r="J14" i="62"/>
  <c r="I14" i="62" s="1"/>
  <c r="H14" i="62"/>
  <c r="C14" i="62"/>
  <c r="AD13" i="62"/>
  <c r="J13" i="62" s="1"/>
  <c r="K13" i="62" s="1"/>
  <c r="AB13" i="62"/>
  <c r="Y13" i="62"/>
  <c r="X13" i="62"/>
  <c r="Q13" i="62"/>
  <c r="P13" i="62"/>
  <c r="O13" i="62"/>
  <c r="M13" i="62"/>
  <c r="I13" i="62"/>
  <c r="H13" i="62"/>
  <c r="C13" i="62"/>
  <c r="AD12" i="62"/>
  <c r="J12" i="62" s="1"/>
  <c r="AB12" i="62"/>
  <c r="Y12" i="62"/>
  <c r="X12" i="62"/>
  <c r="P12" i="62"/>
  <c r="O12" i="62"/>
  <c r="Q12" i="62" s="1"/>
  <c r="M12" i="62"/>
  <c r="H12" i="62"/>
  <c r="C12" i="62"/>
  <c r="AB11" i="62"/>
  <c r="AD11" i="62" s="1"/>
  <c r="J11" i="62" s="1"/>
  <c r="I11" i="62" s="1"/>
  <c r="Y11" i="62"/>
  <c r="X11" i="62"/>
  <c r="P11" i="62"/>
  <c r="O11" i="62"/>
  <c r="Q11" i="62" s="1"/>
  <c r="M11" i="62"/>
  <c r="K11" i="62"/>
  <c r="H11" i="62"/>
  <c r="C11" i="62"/>
  <c r="AB10" i="62"/>
  <c r="AD10" i="62" s="1"/>
  <c r="J10" i="62" s="1"/>
  <c r="Y10" i="62"/>
  <c r="X10" i="62"/>
  <c r="Q10" i="62"/>
  <c r="P10" i="62"/>
  <c r="O10" i="62"/>
  <c r="M10" i="62"/>
  <c r="H10" i="62"/>
  <c r="C10" i="62"/>
  <c r="AD9" i="62"/>
  <c r="J9" i="62" s="1"/>
  <c r="I9" i="62" s="1"/>
  <c r="AB9" i="62"/>
  <c r="Y9" i="62"/>
  <c r="X9" i="62"/>
  <c r="P9" i="62"/>
  <c r="O9" i="62"/>
  <c r="Q9" i="62" s="1"/>
  <c r="M9" i="62"/>
  <c r="H9" i="62"/>
  <c r="C9" i="62"/>
  <c r="AB8" i="62"/>
  <c r="AD8" i="62" s="1"/>
  <c r="J8" i="62" s="1"/>
  <c r="Y8" i="62"/>
  <c r="X8" i="62"/>
  <c r="Q8" i="62"/>
  <c r="P8" i="62"/>
  <c r="O8" i="62"/>
  <c r="M8" i="62"/>
  <c r="H8" i="62"/>
  <c r="C8" i="62"/>
  <c r="AB7" i="62"/>
  <c r="AD7" i="62" s="1"/>
  <c r="J7" i="62" s="1"/>
  <c r="Y7" i="62"/>
  <c r="X7" i="62"/>
  <c r="P7" i="62"/>
  <c r="O7" i="62"/>
  <c r="Q7" i="62" s="1"/>
  <c r="M7" i="62"/>
  <c r="H7" i="62"/>
  <c r="C7" i="62"/>
  <c r="AB6" i="62"/>
  <c r="AD6" i="62" s="1"/>
  <c r="Y6" i="62"/>
  <c r="X6" i="62"/>
  <c r="P6" i="62"/>
  <c r="O6" i="62"/>
  <c r="Q6" i="62" s="1"/>
  <c r="M6" i="62"/>
  <c r="H6" i="62"/>
  <c r="C6" i="62"/>
  <c r="AD5" i="62"/>
  <c r="J5" i="62" s="1"/>
  <c r="K5" i="62" s="1"/>
  <c r="AB5" i="62"/>
  <c r="Y5" i="62"/>
  <c r="X5" i="62"/>
  <c r="Q5" i="62"/>
  <c r="P5" i="62"/>
  <c r="O5" i="62"/>
  <c r="M5" i="62"/>
  <c r="I5" i="62"/>
  <c r="H5" i="62"/>
  <c r="C5" i="62"/>
  <c r="AD4" i="62"/>
  <c r="J4" i="62" s="1"/>
  <c r="AB4" i="62"/>
  <c r="Y4" i="62"/>
  <c r="X4" i="62"/>
  <c r="P4" i="62"/>
  <c r="O4" i="62"/>
  <c r="M4" i="62"/>
  <c r="H4" i="62"/>
  <c r="C4" i="62"/>
  <c r="AG3" i="62"/>
  <c r="AF3" i="62"/>
  <c r="W3" i="62"/>
  <c r="V3" i="62"/>
  <c r="U3" i="62"/>
  <c r="T3" i="62"/>
  <c r="O3" i="62"/>
  <c r="G3" i="62"/>
  <c r="H3" i="62" s="1"/>
  <c r="F3" i="62"/>
  <c r="D3" i="62"/>
  <c r="X3" i="62" s="1"/>
  <c r="C3" i="62"/>
  <c r="A2" i="62"/>
  <c r="A1" i="62"/>
  <c r="AD32" i="61"/>
  <c r="AB32" i="61"/>
  <c r="Y32" i="61"/>
  <c r="X32" i="61"/>
  <c r="V32" i="61"/>
  <c r="U32" i="61"/>
  <c r="T32" i="61"/>
  <c r="Q32" i="61"/>
  <c r="P32" i="61"/>
  <c r="O32" i="61"/>
  <c r="M32" i="61"/>
  <c r="J32" i="61"/>
  <c r="K32" i="61" s="1"/>
  <c r="I32" i="61"/>
  <c r="H32" i="61"/>
  <c r="C32" i="61"/>
  <c r="AB31" i="61"/>
  <c r="AD31" i="61" s="1"/>
  <c r="J31" i="61" s="1"/>
  <c r="Y31" i="61"/>
  <c r="X31" i="61"/>
  <c r="P31" i="61"/>
  <c r="O31" i="61"/>
  <c r="Q31" i="61" s="1"/>
  <c r="M31" i="61"/>
  <c r="H31" i="61"/>
  <c r="C31" i="61"/>
  <c r="AB30" i="61"/>
  <c r="AD30" i="61" s="1"/>
  <c r="J30" i="61" s="1"/>
  <c r="Y30" i="61"/>
  <c r="X30" i="61"/>
  <c r="P30" i="61"/>
  <c r="O30" i="61"/>
  <c r="Q30" i="61" s="1"/>
  <c r="M30" i="61"/>
  <c r="H30" i="61"/>
  <c r="C30" i="61"/>
  <c r="AB29" i="61"/>
  <c r="AD29" i="61" s="1"/>
  <c r="J29" i="61" s="1"/>
  <c r="K29" i="61" s="1"/>
  <c r="Y29" i="61"/>
  <c r="X29" i="61"/>
  <c r="Q29" i="61"/>
  <c r="P29" i="61"/>
  <c r="O29" i="61"/>
  <c r="M29" i="61"/>
  <c r="I29" i="61"/>
  <c r="H29" i="61"/>
  <c r="C29" i="61"/>
  <c r="AD28" i="61"/>
  <c r="J28" i="61" s="1"/>
  <c r="AB28" i="61"/>
  <c r="Y28" i="61"/>
  <c r="X28" i="61"/>
  <c r="P28" i="61"/>
  <c r="O28" i="61"/>
  <c r="M28" i="61"/>
  <c r="H28" i="61"/>
  <c r="C28" i="61"/>
  <c r="AD27" i="61"/>
  <c r="AB27" i="61"/>
  <c r="Y27" i="61"/>
  <c r="X27" i="61"/>
  <c r="P27" i="61"/>
  <c r="O27" i="61"/>
  <c r="Q27" i="61" s="1"/>
  <c r="M27" i="61"/>
  <c r="J27" i="61"/>
  <c r="K27" i="61" s="1"/>
  <c r="H27" i="61"/>
  <c r="C27" i="61"/>
  <c r="AB26" i="61"/>
  <c r="AD26" i="61" s="1"/>
  <c r="J26" i="61" s="1"/>
  <c r="Y26" i="61"/>
  <c r="X26" i="61"/>
  <c r="P26" i="61"/>
  <c r="Q26" i="61" s="1"/>
  <c r="O26" i="61"/>
  <c r="M26" i="61"/>
  <c r="H26" i="61"/>
  <c r="C26" i="61"/>
  <c r="AD25" i="61"/>
  <c r="J25" i="61" s="1"/>
  <c r="I25" i="61" s="1"/>
  <c r="AB25" i="61"/>
  <c r="Y25" i="61"/>
  <c r="X25" i="61"/>
  <c r="P25" i="61"/>
  <c r="O25" i="61"/>
  <c r="Q25" i="61" s="1"/>
  <c r="M25" i="61"/>
  <c r="K25" i="61"/>
  <c r="H25" i="61"/>
  <c r="C25" i="61"/>
  <c r="AB24" i="61"/>
  <c r="AD24" i="61" s="1"/>
  <c r="Y24" i="61"/>
  <c r="X24" i="61"/>
  <c r="Q24" i="61"/>
  <c r="P24" i="61"/>
  <c r="O24" i="61"/>
  <c r="M24" i="61"/>
  <c r="J24" i="61"/>
  <c r="H24" i="61"/>
  <c r="C24" i="61"/>
  <c r="AB23" i="61"/>
  <c r="AD23" i="61" s="1"/>
  <c r="J23" i="61" s="1"/>
  <c r="Y23" i="61"/>
  <c r="X23" i="61"/>
  <c r="P23" i="61"/>
  <c r="Q23" i="61" s="1"/>
  <c r="O23" i="61"/>
  <c r="M23" i="61"/>
  <c r="H23" i="61"/>
  <c r="C23" i="61"/>
  <c r="AB22" i="61"/>
  <c r="AD22" i="61" s="1"/>
  <c r="J22" i="61" s="1"/>
  <c r="Y22" i="61"/>
  <c r="X22" i="61"/>
  <c r="P22" i="61"/>
  <c r="O22" i="61"/>
  <c r="Q22" i="61" s="1"/>
  <c r="M22" i="61"/>
  <c r="H22" i="61"/>
  <c r="C22" i="61"/>
  <c r="AB21" i="61"/>
  <c r="AD21" i="61" s="1"/>
  <c r="J21" i="61" s="1"/>
  <c r="Y21" i="61"/>
  <c r="X21" i="61"/>
  <c r="Q21" i="61"/>
  <c r="P21" i="61"/>
  <c r="O21" i="61"/>
  <c r="M21" i="61"/>
  <c r="H21" i="61"/>
  <c r="C21" i="61"/>
  <c r="AD20" i="61"/>
  <c r="J20" i="61" s="1"/>
  <c r="AB20" i="61"/>
  <c r="Y20" i="61"/>
  <c r="X20" i="61"/>
  <c r="P20" i="61"/>
  <c r="O20" i="61"/>
  <c r="M20" i="61"/>
  <c r="H20" i="61"/>
  <c r="C20" i="61"/>
  <c r="AB19" i="61"/>
  <c r="AD19" i="61" s="1"/>
  <c r="J19" i="61" s="1"/>
  <c r="Y19" i="61"/>
  <c r="X19" i="61"/>
  <c r="P19" i="61"/>
  <c r="O19" i="61"/>
  <c r="Q19" i="61" s="1"/>
  <c r="M19" i="61"/>
  <c r="H19" i="61"/>
  <c r="C19" i="61"/>
  <c r="AB18" i="61"/>
  <c r="AD18" i="61" s="1"/>
  <c r="J18" i="61" s="1"/>
  <c r="Y18" i="61"/>
  <c r="X18" i="61"/>
  <c r="Q18" i="61"/>
  <c r="P18" i="61"/>
  <c r="O18" i="61"/>
  <c r="M18" i="61"/>
  <c r="H18" i="61"/>
  <c r="C18" i="61"/>
  <c r="AD17" i="61"/>
  <c r="J17" i="61" s="1"/>
  <c r="AB17" i="61"/>
  <c r="Y17" i="61"/>
  <c r="X17" i="61"/>
  <c r="P17" i="61"/>
  <c r="O17" i="61"/>
  <c r="Q17" i="61" s="1"/>
  <c r="M17" i="61"/>
  <c r="H17" i="61"/>
  <c r="C17" i="61"/>
  <c r="AB16" i="61"/>
  <c r="AD16" i="61" s="1"/>
  <c r="J16" i="61" s="1"/>
  <c r="Y16" i="61"/>
  <c r="X16" i="61"/>
  <c r="Q16" i="61"/>
  <c r="P16" i="61"/>
  <c r="O16" i="61"/>
  <c r="M16" i="61"/>
  <c r="H16" i="61"/>
  <c r="C16" i="61"/>
  <c r="AB15" i="61"/>
  <c r="AD15" i="61" s="1"/>
  <c r="J15" i="61" s="1"/>
  <c r="Y15" i="61"/>
  <c r="X15" i="61"/>
  <c r="Q15" i="61"/>
  <c r="P15" i="61"/>
  <c r="O15" i="61"/>
  <c r="M15" i="61"/>
  <c r="H15" i="61"/>
  <c r="C15" i="61"/>
  <c r="AD14" i="61"/>
  <c r="AB14" i="61"/>
  <c r="Y14" i="61"/>
  <c r="X14" i="61"/>
  <c r="P14" i="61"/>
  <c r="O14" i="61"/>
  <c r="Q14" i="61" s="1"/>
  <c r="M14" i="61"/>
  <c r="K14" i="61"/>
  <c r="J14" i="61"/>
  <c r="I14" i="61" s="1"/>
  <c r="H14" i="61"/>
  <c r="C14" i="61"/>
  <c r="AB13" i="61"/>
  <c r="AD13" i="61" s="1"/>
  <c r="J13" i="61" s="1"/>
  <c r="K13" i="61" s="1"/>
  <c r="Y13" i="61"/>
  <c r="X13" i="61"/>
  <c r="Q13" i="61"/>
  <c r="P13" i="61"/>
  <c r="O13" i="61"/>
  <c r="M13" i="61"/>
  <c r="I13" i="61"/>
  <c r="H13" i="61"/>
  <c r="C13" i="61"/>
  <c r="AD12" i="61"/>
  <c r="J12" i="61" s="1"/>
  <c r="AB12" i="61"/>
  <c r="Y12" i="61"/>
  <c r="X12" i="61"/>
  <c r="P12" i="61"/>
  <c r="O12" i="61"/>
  <c r="Q12" i="61" s="1"/>
  <c r="M12" i="61"/>
  <c r="H12" i="61"/>
  <c r="C12" i="61"/>
  <c r="AB11" i="61"/>
  <c r="AD11" i="61" s="1"/>
  <c r="J11" i="61" s="1"/>
  <c r="Y11" i="61"/>
  <c r="X11" i="61"/>
  <c r="P11" i="61"/>
  <c r="O11" i="61"/>
  <c r="Q11" i="61" s="1"/>
  <c r="M11" i="61"/>
  <c r="H11" i="61"/>
  <c r="C11" i="61"/>
  <c r="AB10" i="61"/>
  <c r="AD10" i="61" s="1"/>
  <c r="J10" i="61" s="1"/>
  <c r="Y10" i="61"/>
  <c r="X10" i="61"/>
  <c r="P10" i="61"/>
  <c r="Q10" i="61" s="1"/>
  <c r="O10" i="61"/>
  <c r="M10" i="61"/>
  <c r="H10" i="61"/>
  <c r="C10" i="61"/>
  <c r="AD9" i="61"/>
  <c r="J9" i="61" s="1"/>
  <c r="I9" i="61" s="1"/>
  <c r="AB9" i="61"/>
  <c r="Y9" i="61"/>
  <c r="X9" i="61"/>
  <c r="P9" i="61"/>
  <c r="O9" i="61"/>
  <c r="Q9" i="61" s="1"/>
  <c r="M9" i="61"/>
  <c r="K9" i="61"/>
  <c r="H9" i="61"/>
  <c r="C9" i="61"/>
  <c r="AB8" i="61"/>
  <c r="AD8" i="61" s="1"/>
  <c r="Y8" i="61"/>
  <c r="X8" i="61"/>
  <c r="Q8" i="61"/>
  <c r="P8" i="61"/>
  <c r="O8" i="61"/>
  <c r="M8" i="61"/>
  <c r="J8" i="61"/>
  <c r="K8" i="61" s="1"/>
  <c r="H8" i="61"/>
  <c r="C8" i="61"/>
  <c r="AB7" i="61"/>
  <c r="AD7" i="61" s="1"/>
  <c r="J7" i="61" s="1"/>
  <c r="Y7" i="61"/>
  <c r="X7" i="61"/>
  <c r="P7" i="61"/>
  <c r="O7" i="61"/>
  <c r="Q7" i="61" s="1"/>
  <c r="M7" i="61"/>
  <c r="H7" i="61"/>
  <c r="C7" i="61"/>
  <c r="AB6" i="61"/>
  <c r="AD6" i="61" s="1"/>
  <c r="Y6" i="61"/>
  <c r="X6" i="61"/>
  <c r="P6" i="61"/>
  <c r="O6" i="61"/>
  <c r="Q6" i="61" s="1"/>
  <c r="M6" i="61"/>
  <c r="H6" i="61"/>
  <c r="C6" i="61"/>
  <c r="AB5" i="61"/>
  <c r="AD5" i="61" s="1"/>
  <c r="J5" i="61" s="1"/>
  <c r="K5" i="61" s="1"/>
  <c r="Y5" i="61"/>
  <c r="X5" i="61"/>
  <c r="Q5" i="61"/>
  <c r="P5" i="61"/>
  <c r="O5" i="61"/>
  <c r="M5" i="61"/>
  <c r="H5" i="61"/>
  <c r="C5" i="61"/>
  <c r="AD4" i="61"/>
  <c r="J4" i="61" s="1"/>
  <c r="AB4" i="61"/>
  <c r="Y4" i="61"/>
  <c r="X4" i="61"/>
  <c r="P4" i="61"/>
  <c r="O4" i="61"/>
  <c r="M4" i="61"/>
  <c r="H4" i="61"/>
  <c r="C4" i="61"/>
  <c r="AG3" i="61"/>
  <c r="AF3" i="61"/>
  <c r="W3" i="61"/>
  <c r="V3" i="61"/>
  <c r="U3" i="61"/>
  <c r="T3" i="61"/>
  <c r="O3" i="61"/>
  <c r="G3" i="61"/>
  <c r="H3" i="61" s="1"/>
  <c r="F3" i="61"/>
  <c r="D3" i="61"/>
  <c r="X3" i="61" s="1"/>
  <c r="C3" i="61"/>
  <c r="A2" i="61"/>
  <c r="A1" i="61"/>
  <c r="AD32" i="60"/>
  <c r="AB32" i="60"/>
  <c r="Y32" i="60"/>
  <c r="X32" i="60"/>
  <c r="V32" i="60"/>
  <c r="U32" i="60"/>
  <c r="T32" i="60"/>
  <c r="P32" i="60"/>
  <c r="O32" i="60"/>
  <c r="Q32" i="60" s="1"/>
  <c r="M32" i="60"/>
  <c r="K32" i="60"/>
  <c r="J32" i="60"/>
  <c r="I32" i="60"/>
  <c r="H32" i="60"/>
  <c r="C32" i="60"/>
  <c r="AB31" i="60"/>
  <c r="AD31" i="60" s="1"/>
  <c r="J31" i="60" s="1"/>
  <c r="Y31" i="60"/>
  <c r="X31" i="60"/>
  <c r="Q31" i="60"/>
  <c r="P31" i="60"/>
  <c r="O31" i="60"/>
  <c r="M31" i="60"/>
  <c r="H31" i="60"/>
  <c r="C31" i="60"/>
  <c r="AD30" i="60"/>
  <c r="J30" i="60" s="1"/>
  <c r="AB30" i="60"/>
  <c r="Y30" i="60"/>
  <c r="X30" i="60"/>
  <c r="Q30" i="60"/>
  <c r="P30" i="60"/>
  <c r="O30" i="60"/>
  <c r="M30" i="60"/>
  <c r="H30" i="60"/>
  <c r="C30" i="60"/>
  <c r="AD29" i="60"/>
  <c r="J29" i="60" s="1"/>
  <c r="AB29" i="60"/>
  <c r="Y29" i="60"/>
  <c r="X29" i="60"/>
  <c r="Q29" i="60"/>
  <c r="P29" i="60"/>
  <c r="O29" i="60"/>
  <c r="M29" i="60"/>
  <c r="H29" i="60"/>
  <c r="C29" i="60"/>
  <c r="AD28" i="60"/>
  <c r="J28" i="60" s="1"/>
  <c r="K28" i="60" s="1"/>
  <c r="AB28" i="60"/>
  <c r="Y28" i="60"/>
  <c r="X28" i="60"/>
  <c r="P28" i="60"/>
  <c r="O28" i="60"/>
  <c r="Q28" i="60" s="1"/>
  <c r="M28" i="60"/>
  <c r="I28" i="60"/>
  <c r="H28" i="60"/>
  <c r="C28" i="60"/>
  <c r="AD27" i="60"/>
  <c r="AB27" i="60"/>
  <c r="Y27" i="60"/>
  <c r="X27" i="60"/>
  <c r="P27" i="60"/>
  <c r="O27" i="60"/>
  <c r="M27" i="60"/>
  <c r="J27" i="60"/>
  <c r="K27" i="60" s="1"/>
  <c r="H27" i="60"/>
  <c r="C27" i="60"/>
  <c r="AD26" i="60"/>
  <c r="J26" i="60" s="1"/>
  <c r="K26" i="60" s="1"/>
  <c r="AB26" i="60"/>
  <c r="Y26" i="60"/>
  <c r="X26" i="60"/>
  <c r="Q26" i="60"/>
  <c r="P26" i="60"/>
  <c r="O26" i="60"/>
  <c r="M26" i="60"/>
  <c r="I26" i="60"/>
  <c r="H26" i="60"/>
  <c r="C26" i="60"/>
  <c r="AB25" i="60"/>
  <c r="AD25" i="60" s="1"/>
  <c r="J25" i="60" s="1"/>
  <c r="Y25" i="60"/>
  <c r="X25" i="60"/>
  <c r="P25" i="60"/>
  <c r="Q25" i="60" s="1"/>
  <c r="O25" i="60"/>
  <c r="M25" i="60"/>
  <c r="H25" i="60"/>
  <c r="C25" i="60"/>
  <c r="AD24" i="60"/>
  <c r="J24" i="60" s="1"/>
  <c r="I24" i="60" s="1"/>
  <c r="AB24" i="60"/>
  <c r="Y24" i="60"/>
  <c r="X24" i="60"/>
  <c r="P24" i="60"/>
  <c r="O24" i="60"/>
  <c r="Q24" i="60" s="1"/>
  <c r="M24" i="60"/>
  <c r="K24" i="60"/>
  <c r="H24" i="60"/>
  <c r="C24" i="60"/>
  <c r="AB23" i="60"/>
  <c r="AD23" i="60" s="1"/>
  <c r="J23" i="60" s="1"/>
  <c r="Y23" i="60"/>
  <c r="X23" i="60"/>
  <c r="P23" i="60"/>
  <c r="Q23" i="60" s="1"/>
  <c r="O23" i="60"/>
  <c r="M23" i="60"/>
  <c r="H23" i="60"/>
  <c r="C23" i="60"/>
  <c r="AD22" i="60"/>
  <c r="J22" i="60" s="1"/>
  <c r="AB22" i="60"/>
  <c r="Y22" i="60"/>
  <c r="X22" i="60"/>
  <c r="P22" i="60"/>
  <c r="O22" i="60"/>
  <c r="Q22" i="60" s="1"/>
  <c r="M22" i="60"/>
  <c r="H22" i="60"/>
  <c r="C22" i="60"/>
  <c r="AB21" i="60"/>
  <c r="AD21" i="60" s="1"/>
  <c r="Y21" i="60"/>
  <c r="X21" i="60"/>
  <c r="P21" i="60"/>
  <c r="O21" i="60"/>
  <c r="Q21" i="60" s="1"/>
  <c r="M21" i="60"/>
  <c r="J21" i="60"/>
  <c r="H21" i="60"/>
  <c r="C21" i="60"/>
  <c r="AB20" i="60"/>
  <c r="AD20" i="60" s="1"/>
  <c r="J20" i="60" s="1"/>
  <c r="Y20" i="60"/>
  <c r="X20" i="60"/>
  <c r="Q20" i="60"/>
  <c r="P20" i="60"/>
  <c r="O20" i="60"/>
  <c r="M20" i="60"/>
  <c r="H20" i="60"/>
  <c r="C20" i="60"/>
  <c r="AB19" i="60"/>
  <c r="AD19" i="60" s="1"/>
  <c r="J19" i="60" s="1"/>
  <c r="Y19" i="60"/>
  <c r="X19" i="60"/>
  <c r="P19" i="60"/>
  <c r="Q19" i="60" s="1"/>
  <c r="O19" i="60"/>
  <c r="M19" i="60"/>
  <c r="H19" i="60"/>
  <c r="C19" i="60"/>
  <c r="AD18" i="60"/>
  <c r="J18" i="60" s="1"/>
  <c r="K18" i="60" s="1"/>
  <c r="AB18" i="60"/>
  <c r="Y18" i="60"/>
  <c r="X18" i="60"/>
  <c r="Q18" i="60"/>
  <c r="P18" i="60"/>
  <c r="O18" i="60"/>
  <c r="M18" i="60"/>
  <c r="I18" i="60"/>
  <c r="H18" i="60"/>
  <c r="C18" i="60"/>
  <c r="AB17" i="60"/>
  <c r="AD17" i="60" s="1"/>
  <c r="J17" i="60" s="1"/>
  <c r="Y17" i="60"/>
  <c r="X17" i="60"/>
  <c r="P17" i="60"/>
  <c r="Q17" i="60" s="1"/>
  <c r="O17" i="60"/>
  <c r="M17" i="60"/>
  <c r="H17" i="60"/>
  <c r="C17" i="60"/>
  <c r="AD16" i="60"/>
  <c r="J16" i="60" s="1"/>
  <c r="I16" i="60" s="1"/>
  <c r="AB16" i="60"/>
  <c r="Y16" i="60"/>
  <c r="X16" i="60"/>
  <c r="P16" i="60"/>
  <c r="O16" i="60"/>
  <c r="Q16" i="60" s="1"/>
  <c r="M16" i="60"/>
  <c r="K16" i="60"/>
  <c r="H16" i="60"/>
  <c r="C16" i="60"/>
  <c r="AB15" i="60"/>
  <c r="AD15" i="60" s="1"/>
  <c r="J15" i="60" s="1"/>
  <c r="Y15" i="60"/>
  <c r="X15" i="60"/>
  <c r="P15" i="60"/>
  <c r="Q15" i="60" s="1"/>
  <c r="O15" i="60"/>
  <c r="M15" i="60"/>
  <c r="H15" i="60"/>
  <c r="C15" i="60"/>
  <c r="AD14" i="60"/>
  <c r="AB14" i="60"/>
  <c r="Y14" i="60"/>
  <c r="X14" i="60"/>
  <c r="P14" i="60"/>
  <c r="O14" i="60"/>
  <c r="Q14" i="60" s="1"/>
  <c r="M14" i="60"/>
  <c r="H14" i="60"/>
  <c r="C14" i="60"/>
  <c r="AG3" i="60"/>
  <c r="AF3" i="60"/>
  <c r="W3" i="60"/>
  <c r="V3" i="60"/>
  <c r="U3" i="60"/>
  <c r="T3" i="60"/>
  <c r="O3" i="60"/>
  <c r="G3" i="60"/>
  <c r="H3" i="60" s="1"/>
  <c r="F3" i="60"/>
  <c r="D3" i="60"/>
  <c r="X3" i="60" s="1"/>
  <c r="C3" i="60"/>
  <c r="A2" i="60"/>
  <c r="A1" i="60"/>
  <c r="AD32" i="59"/>
  <c r="AB32" i="59"/>
  <c r="Y32" i="59"/>
  <c r="X32" i="59"/>
  <c r="V32" i="59"/>
  <c r="U32" i="59"/>
  <c r="T32" i="59"/>
  <c r="P32" i="59"/>
  <c r="O32" i="59"/>
  <c r="Q32" i="59" s="1"/>
  <c r="M32" i="59"/>
  <c r="K32" i="59"/>
  <c r="J32" i="59"/>
  <c r="I32" i="59"/>
  <c r="H32" i="59"/>
  <c r="C32" i="59"/>
  <c r="AB31" i="59"/>
  <c r="AD31" i="59" s="1"/>
  <c r="J31" i="59" s="1"/>
  <c r="Y31" i="59"/>
  <c r="X31" i="59"/>
  <c r="P31" i="59"/>
  <c r="Q31" i="59" s="1"/>
  <c r="O31" i="59"/>
  <c r="M31" i="59"/>
  <c r="H31" i="59"/>
  <c r="C31" i="59"/>
  <c r="AD30" i="59"/>
  <c r="J30" i="59" s="1"/>
  <c r="AB30" i="59"/>
  <c r="Y30" i="59"/>
  <c r="X30" i="59"/>
  <c r="P30" i="59"/>
  <c r="O30" i="59"/>
  <c r="Q30" i="59" s="1"/>
  <c r="M30" i="59"/>
  <c r="H30" i="59"/>
  <c r="C30" i="59"/>
  <c r="AB29" i="59"/>
  <c r="AD29" i="59" s="1"/>
  <c r="J29" i="59" s="1"/>
  <c r="Y29" i="59"/>
  <c r="X29" i="59"/>
  <c r="P29" i="59"/>
  <c r="O29" i="59"/>
  <c r="Q29" i="59" s="1"/>
  <c r="M29" i="59"/>
  <c r="H29" i="59"/>
  <c r="C29" i="59"/>
  <c r="AD28" i="59"/>
  <c r="J28" i="59" s="1"/>
  <c r="AB28" i="59"/>
  <c r="Y28" i="59"/>
  <c r="X28" i="59"/>
  <c r="P28" i="59"/>
  <c r="O28" i="59"/>
  <c r="Q28" i="59" s="1"/>
  <c r="M28" i="59"/>
  <c r="H28" i="59"/>
  <c r="C28" i="59"/>
  <c r="AB27" i="59"/>
  <c r="AD27" i="59" s="1"/>
  <c r="J27" i="59" s="1"/>
  <c r="Y27" i="59"/>
  <c r="X27" i="59"/>
  <c r="P27" i="59"/>
  <c r="O27" i="59"/>
  <c r="Q27" i="59" s="1"/>
  <c r="M27" i="59"/>
  <c r="H27" i="59"/>
  <c r="C27" i="59"/>
  <c r="AB26" i="59"/>
  <c r="AD26" i="59" s="1"/>
  <c r="J26" i="59" s="1"/>
  <c r="Y26" i="59"/>
  <c r="X26" i="59"/>
  <c r="Q26" i="59"/>
  <c r="P26" i="59"/>
  <c r="O26" i="59"/>
  <c r="M26" i="59"/>
  <c r="H26" i="59"/>
  <c r="C26" i="59"/>
  <c r="AB25" i="59"/>
  <c r="AD25" i="59" s="1"/>
  <c r="J25" i="59" s="1"/>
  <c r="Y25" i="59"/>
  <c r="X25" i="59"/>
  <c r="P25" i="59"/>
  <c r="O25" i="59"/>
  <c r="Q25" i="59" s="1"/>
  <c r="M25" i="59"/>
  <c r="H25" i="59"/>
  <c r="C25" i="59"/>
  <c r="AD24" i="59"/>
  <c r="J24" i="59" s="1"/>
  <c r="K24" i="59" s="1"/>
  <c r="AB24" i="59"/>
  <c r="Y24" i="59"/>
  <c r="X24" i="59"/>
  <c r="P24" i="59"/>
  <c r="O24" i="59"/>
  <c r="Q24" i="59" s="1"/>
  <c r="M24" i="59"/>
  <c r="H24" i="59"/>
  <c r="C24" i="59"/>
  <c r="AB23" i="59"/>
  <c r="AD23" i="59" s="1"/>
  <c r="J23" i="59" s="1"/>
  <c r="Y23" i="59"/>
  <c r="X23" i="59"/>
  <c r="P23" i="59"/>
  <c r="Q23" i="59" s="1"/>
  <c r="O23" i="59"/>
  <c r="M23" i="59"/>
  <c r="H23" i="59"/>
  <c r="C23" i="59"/>
  <c r="AD22" i="59"/>
  <c r="J22" i="59" s="1"/>
  <c r="I22" i="59" s="1"/>
  <c r="AB22" i="59"/>
  <c r="Y22" i="59"/>
  <c r="X22" i="59"/>
  <c r="P22" i="59"/>
  <c r="O22" i="59"/>
  <c r="Q22" i="59" s="1"/>
  <c r="M22" i="59"/>
  <c r="H22" i="59"/>
  <c r="C22" i="59"/>
  <c r="AB21" i="59"/>
  <c r="AD21" i="59" s="1"/>
  <c r="J21" i="59" s="1"/>
  <c r="Y21" i="59"/>
  <c r="X21" i="59"/>
  <c r="P21" i="59"/>
  <c r="O21" i="59"/>
  <c r="Q21" i="59" s="1"/>
  <c r="M21" i="59"/>
  <c r="H21" i="59"/>
  <c r="C21" i="59"/>
  <c r="AD20" i="59"/>
  <c r="J20" i="59" s="1"/>
  <c r="AB20" i="59"/>
  <c r="Y20" i="59"/>
  <c r="X20" i="59"/>
  <c r="P20" i="59"/>
  <c r="O20" i="59"/>
  <c r="Q20" i="59" s="1"/>
  <c r="M20" i="59"/>
  <c r="H20" i="59"/>
  <c r="C20" i="59"/>
  <c r="AB19" i="59"/>
  <c r="AD19" i="59" s="1"/>
  <c r="Y19" i="59"/>
  <c r="X19" i="59"/>
  <c r="P19" i="59"/>
  <c r="O19" i="59"/>
  <c r="Q19" i="59" s="1"/>
  <c r="M19" i="59"/>
  <c r="J19" i="59"/>
  <c r="H19" i="59"/>
  <c r="C19" i="59"/>
  <c r="AB18" i="59"/>
  <c r="AD18" i="59" s="1"/>
  <c r="J18" i="59" s="1"/>
  <c r="Y18" i="59"/>
  <c r="X18" i="59"/>
  <c r="Q18" i="59"/>
  <c r="P18" i="59"/>
  <c r="O18" i="59"/>
  <c r="M18" i="59"/>
  <c r="H18" i="59"/>
  <c r="C18" i="59"/>
  <c r="AB17" i="59"/>
  <c r="AD17" i="59" s="1"/>
  <c r="J17" i="59" s="1"/>
  <c r="Y17" i="59"/>
  <c r="X17" i="59"/>
  <c r="P17" i="59"/>
  <c r="O17" i="59"/>
  <c r="Q17" i="59" s="1"/>
  <c r="M17" i="59"/>
  <c r="H17" i="59"/>
  <c r="C17" i="59"/>
  <c r="AB16" i="59"/>
  <c r="AD16" i="59" s="1"/>
  <c r="J16" i="59" s="1"/>
  <c r="K16" i="59" s="1"/>
  <c r="Y16" i="59"/>
  <c r="X16" i="59"/>
  <c r="Q16" i="59"/>
  <c r="P16" i="59"/>
  <c r="O16" i="59"/>
  <c r="M16" i="59"/>
  <c r="I16" i="59"/>
  <c r="H16" i="59"/>
  <c r="C16" i="59"/>
  <c r="AB15" i="59"/>
  <c r="AD15" i="59" s="1"/>
  <c r="J15" i="59" s="1"/>
  <c r="Y15" i="59"/>
  <c r="X15" i="59"/>
  <c r="P15" i="59"/>
  <c r="Q15" i="59" s="1"/>
  <c r="O15" i="59"/>
  <c r="M15" i="59"/>
  <c r="H15" i="59"/>
  <c r="C15" i="59"/>
  <c r="AD14" i="59"/>
  <c r="J14" i="59" s="1"/>
  <c r="I14" i="59" s="1"/>
  <c r="AB14" i="59"/>
  <c r="Y14" i="59"/>
  <c r="X14" i="59"/>
  <c r="P14" i="59"/>
  <c r="O14" i="59"/>
  <c r="Q14" i="59" s="1"/>
  <c r="M14" i="59"/>
  <c r="H14" i="59"/>
  <c r="C14" i="59"/>
  <c r="AB13" i="59"/>
  <c r="AD13" i="59" s="1"/>
  <c r="J13" i="59" s="1"/>
  <c r="Y13" i="59"/>
  <c r="X13" i="59"/>
  <c r="P13" i="59"/>
  <c r="Q13" i="59" s="1"/>
  <c r="O13" i="59"/>
  <c r="M13" i="59"/>
  <c r="H13" i="59"/>
  <c r="C13" i="59"/>
  <c r="AD12" i="59"/>
  <c r="J12" i="59" s="1"/>
  <c r="AB12" i="59"/>
  <c r="Y12" i="59"/>
  <c r="X12" i="59"/>
  <c r="P12" i="59"/>
  <c r="O12" i="59"/>
  <c r="Q12" i="59" s="1"/>
  <c r="M12" i="59"/>
  <c r="H12" i="59"/>
  <c r="C12" i="59"/>
  <c r="AB11" i="59"/>
  <c r="AD11" i="59" s="1"/>
  <c r="Y11" i="59"/>
  <c r="X11" i="59"/>
  <c r="P11" i="59"/>
  <c r="O11" i="59"/>
  <c r="Q11" i="59" s="1"/>
  <c r="M11" i="59"/>
  <c r="J11" i="59"/>
  <c r="H11" i="59"/>
  <c r="C11" i="59"/>
  <c r="AB10" i="59"/>
  <c r="AD10" i="59" s="1"/>
  <c r="J10" i="59" s="1"/>
  <c r="Y10" i="59"/>
  <c r="X10" i="59"/>
  <c r="Q10" i="59"/>
  <c r="P10" i="59"/>
  <c r="O10" i="59"/>
  <c r="M10" i="59"/>
  <c r="H10" i="59"/>
  <c r="C10" i="59"/>
  <c r="AB9" i="59"/>
  <c r="AD9" i="59" s="1"/>
  <c r="J9" i="59" s="1"/>
  <c r="Y9" i="59"/>
  <c r="X9" i="59"/>
  <c r="P9" i="59"/>
  <c r="O9" i="59"/>
  <c r="Q9" i="59" s="1"/>
  <c r="M9" i="59"/>
  <c r="H9" i="59"/>
  <c r="C9" i="59"/>
  <c r="AB8" i="59"/>
  <c r="AD8" i="59" s="1"/>
  <c r="J8" i="59" s="1"/>
  <c r="K8" i="59" s="1"/>
  <c r="Y8" i="59"/>
  <c r="X8" i="59"/>
  <c r="Q8" i="59"/>
  <c r="P8" i="59"/>
  <c r="O8" i="59"/>
  <c r="M8" i="59"/>
  <c r="H8" i="59"/>
  <c r="C8" i="59"/>
  <c r="AB7" i="59"/>
  <c r="AD7" i="59" s="1"/>
  <c r="J7" i="59" s="1"/>
  <c r="Y7" i="59"/>
  <c r="X7" i="59"/>
  <c r="P7" i="59"/>
  <c r="Q7" i="59" s="1"/>
  <c r="O7" i="59"/>
  <c r="M7" i="59"/>
  <c r="H7" i="59"/>
  <c r="C7" i="59"/>
  <c r="AD6" i="59"/>
  <c r="J6" i="59" s="1"/>
  <c r="I6" i="59" s="1"/>
  <c r="AB6" i="59"/>
  <c r="Y6" i="59"/>
  <c r="X6" i="59"/>
  <c r="P6" i="59"/>
  <c r="O6" i="59"/>
  <c r="Q6" i="59" s="1"/>
  <c r="M6" i="59"/>
  <c r="H6" i="59"/>
  <c r="C6" i="59"/>
  <c r="AB5" i="59"/>
  <c r="AD5" i="59" s="1"/>
  <c r="J5" i="59" s="1"/>
  <c r="Y5" i="59"/>
  <c r="X5" i="59"/>
  <c r="P5" i="59"/>
  <c r="Q5" i="59" s="1"/>
  <c r="O5" i="59"/>
  <c r="M5" i="59"/>
  <c r="H5" i="59"/>
  <c r="C5" i="59"/>
  <c r="AD4" i="59"/>
  <c r="AB4" i="59"/>
  <c r="Y4" i="59"/>
  <c r="X4" i="59"/>
  <c r="P4" i="59"/>
  <c r="O4" i="59"/>
  <c r="Q4" i="59" s="1"/>
  <c r="M4" i="59"/>
  <c r="H4" i="59"/>
  <c r="C4" i="59"/>
  <c r="AG3" i="59"/>
  <c r="AF3" i="59"/>
  <c r="W3" i="59"/>
  <c r="V3" i="59"/>
  <c r="U3" i="59"/>
  <c r="T3" i="59"/>
  <c r="O3" i="59"/>
  <c r="G3" i="59"/>
  <c r="H3" i="59" s="1"/>
  <c r="F3" i="59"/>
  <c r="D3" i="59"/>
  <c r="X3" i="59" s="1"/>
  <c r="C3" i="59"/>
  <c r="A2" i="59"/>
  <c r="A1" i="59"/>
  <c r="AD32" i="58"/>
  <c r="AB32" i="58"/>
  <c r="Y32" i="58"/>
  <c r="X32" i="58"/>
  <c r="V32" i="58"/>
  <c r="U32" i="58"/>
  <c r="T32" i="58"/>
  <c r="P32" i="58"/>
  <c r="O32" i="58"/>
  <c r="Q32" i="58" s="1"/>
  <c r="M32" i="58"/>
  <c r="J32" i="58"/>
  <c r="K32" i="58" s="1"/>
  <c r="I32" i="58"/>
  <c r="H32" i="58"/>
  <c r="C32" i="58"/>
  <c r="AB31" i="58"/>
  <c r="AD31" i="58" s="1"/>
  <c r="J31" i="58" s="1"/>
  <c r="Y31" i="58"/>
  <c r="X31" i="58"/>
  <c r="P31" i="58"/>
  <c r="Q31" i="58" s="1"/>
  <c r="O31" i="58"/>
  <c r="M31" i="58"/>
  <c r="H31" i="58"/>
  <c r="C31" i="58"/>
  <c r="AD30" i="58"/>
  <c r="J30" i="58" s="1"/>
  <c r="I30" i="58" s="1"/>
  <c r="AB30" i="58"/>
  <c r="Y30" i="58"/>
  <c r="X30" i="58"/>
  <c r="P30" i="58"/>
  <c r="O30" i="58"/>
  <c r="Q30" i="58" s="1"/>
  <c r="M30" i="58"/>
  <c r="H30" i="58"/>
  <c r="C30" i="58"/>
  <c r="AB29" i="58"/>
  <c r="AD29" i="58" s="1"/>
  <c r="J29" i="58" s="1"/>
  <c r="Y29" i="58"/>
  <c r="X29" i="58"/>
  <c r="P29" i="58"/>
  <c r="O29" i="58"/>
  <c r="Q29" i="58" s="1"/>
  <c r="M29" i="58"/>
  <c r="H29" i="58"/>
  <c r="C29" i="58"/>
  <c r="AD28" i="58"/>
  <c r="J28" i="58" s="1"/>
  <c r="AB28" i="58"/>
  <c r="Y28" i="58"/>
  <c r="X28" i="58"/>
  <c r="P28" i="58"/>
  <c r="O28" i="58"/>
  <c r="Q28" i="58" s="1"/>
  <c r="M28" i="58"/>
  <c r="H28" i="58"/>
  <c r="C28" i="58"/>
  <c r="AB27" i="58"/>
  <c r="AD27" i="58" s="1"/>
  <c r="J27" i="58" s="1"/>
  <c r="Y27" i="58"/>
  <c r="X27" i="58"/>
  <c r="P27" i="58"/>
  <c r="O27" i="58"/>
  <c r="Q27" i="58" s="1"/>
  <c r="M27" i="58"/>
  <c r="H27" i="58"/>
  <c r="C27" i="58"/>
  <c r="AB26" i="58"/>
  <c r="AD26" i="58" s="1"/>
  <c r="J26" i="58" s="1"/>
  <c r="Y26" i="58"/>
  <c r="X26" i="58"/>
  <c r="Q26" i="58"/>
  <c r="P26" i="58"/>
  <c r="O26" i="58"/>
  <c r="M26" i="58"/>
  <c r="H26" i="58"/>
  <c r="C26" i="58"/>
  <c r="AB25" i="58"/>
  <c r="AD25" i="58" s="1"/>
  <c r="J25" i="58" s="1"/>
  <c r="Y25" i="58"/>
  <c r="X25" i="58"/>
  <c r="P25" i="58"/>
  <c r="O25" i="58"/>
  <c r="Q25" i="58" s="1"/>
  <c r="M25" i="58"/>
  <c r="H25" i="58"/>
  <c r="C25" i="58"/>
  <c r="AB24" i="58"/>
  <c r="AD24" i="58" s="1"/>
  <c r="J24" i="58" s="1"/>
  <c r="K24" i="58" s="1"/>
  <c r="Y24" i="58"/>
  <c r="X24" i="58"/>
  <c r="Q24" i="58"/>
  <c r="P24" i="58"/>
  <c r="O24" i="58"/>
  <c r="M24" i="58"/>
  <c r="I24" i="58"/>
  <c r="H24" i="58"/>
  <c r="C24" i="58"/>
  <c r="AB23" i="58"/>
  <c r="AD23" i="58" s="1"/>
  <c r="J23" i="58" s="1"/>
  <c r="Y23" i="58"/>
  <c r="X23" i="58"/>
  <c r="P23" i="58"/>
  <c r="Q23" i="58" s="1"/>
  <c r="O23" i="58"/>
  <c r="M23" i="58"/>
  <c r="H23" i="58"/>
  <c r="C23" i="58"/>
  <c r="AD22" i="58"/>
  <c r="J22" i="58" s="1"/>
  <c r="I22" i="58" s="1"/>
  <c r="AB22" i="58"/>
  <c r="Y22" i="58"/>
  <c r="X22" i="58"/>
  <c r="P22" i="58"/>
  <c r="O22" i="58"/>
  <c r="Q22" i="58" s="1"/>
  <c r="M22" i="58"/>
  <c r="K22" i="58"/>
  <c r="H22" i="58"/>
  <c r="C22" i="58"/>
  <c r="AB21" i="58"/>
  <c r="AD21" i="58" s="1"/>
  <c r="J21" i="58" s="1"/>
  <c r="Y21" i="58"/>
  <c r="X21" i="58"/>
  <c r="P21" i="58"/>
  <c r="O21" i="58"/>
  <c r="Q21" i="58" s="1"/>
  <c r="M21" i="58"/>
  <c r="H21" i="58"/>
  <c r="C21" i="58"/>
  <c r="AD20" i="58"/>
  <c r="J20" i="58" s="1"/>
  <c r="AB20" i="58"/>
  <c r="Y20" i="58"/>
  <c r="X20" i="58"/>
  <c r="P20" i="58"/>
  <c r="O20" i="58"/>
  <c r="Q20" i="58" s="1"/>
  <c r="M20" i="58"/>
  <c r="H20" i="58"/>
  <c r="C20" i="58"/>
  <c r="AB19" i="58"/>
  <c r="AD19" i="58" s="1"/>
  <c r="J19" i="58" s="1"/>
  <c r="Y19" i="58"/>
  <c r="X19" i="58"/>
  <c r="P19" i="58"/>
  <c r="O19" i="58"/>
  <c r="Q19" i="58" s="1"/>
  <c r="M19" i="58"/>
  <c r="H19" i="58"/>
  <c r="C19" i="58"/>
  <c r="AB18" i="58"/>
  <c r="AD18" i="58" s="1"/>
  <c r="J18" i="58" s="1"/>
  <c r="Y18" i="58"/>
  <c r="X18" i="58"/>
  <c r="Q18" i="58"/>
  <c r="P18" i="58"/>
  <c r="O18" i="58"/>
  <c r="M18" i="58"/>
  <c r="H18" i="58"/>
  <c r="C18" i="58"/>
  <c r="AB17" i="58"/>
  <c r="AD17" i="58" s="1"/>
  <c r="J17" i="58" s="1"/>
  <c r="Y17" i="58"/>
  <c r="X17" i="58"/>
  <c r="P17" i="58"/>
  <c r="O17" i="58"/>
  <c r="Q17" i="58" s="1"/>
  <c r="M17" i="58"/>
  <c r="H17" i="58"/>
  <c r="C17" i="58"/>
  <c r="AB16" i="58"/>
  <c r="AD16" i="58" s="1"/>
  <c r="J16" i="58" s="1"/>
  <c r="K16" i="58" s="1"/>
  <c r="Y16" i="58"/>
  <c r="X16" i="58"/>
  <c r="Q16" i="58"/>
  <c r="P16" i="58"/>
  <c r="O16" i="58"/>
  <c r="M16" i="58"/>
  <c r="I16" i="58"/>
  <c r="H16" i="58"/>
  <c r="C16" i="58"/>
  <c r="AB15" i="58"/>
  <c r="AD15" i="58" s="1"/>
  <c r="J15" i="58" s="1"/>
  <c r="Y15" i="58"/>
  <c r="X15" i="58"/>
  <c r="P15" i="58"/>
  <c r="Q15" i="58" s="1"/>
  <c r="O15" i="58"/>
  <c r="M15" i="58"/>
  <c r="H15" i="58"/>
  <c r="C15" i="58"/>
  <c r="AD14" i="58"/>
  <c r="J14" i="58" s="1"/>
  <c r="K14" i="58" s="1"/>
  <c r="AB14" i="58"/>
  <c r="Y14" i="58"/>
  <c r="X14" i="58"/>
  <c r="P14" i="58"/>
  <c r="O14" i="58"/>
  <c r="Q14" i="58" s="1"/>
  <c r="M14" i="58"/>
  <c r="I14" i="58"/>
  <c r="H14" i="58"/>
  <c r="C14" i="58"/>
  <c r="AB13" i="58"/>
  <c r="AD13" i="58" s="1"/>
  <c r="J13" i="58" s="1"/>
  <c r="Y13" i="58"/>
  <c r="X13" i="58"/>
  <c r="P13" i="58"/>
  <c r="O13" i="58"/>
  <c r="M13" i="58"/>
  <c r="H13" i="58"/>
  <c r="C13" i="58"/>
  <c r="AD12" i="58"/>
  <c r="J12" i="58" s="1"/>
  <c r="I12" i="58" s="1"/>
  <c r="AB12" i="58"/>
  <c r="Y12" i="58"/>
  <c r="X12" i="58"/>
  <c r="P12" i="58"/>
  <c r="O12" i="58"/>
  <c r="Q12" i="58" s="1"/>
  <c r="M12" i="58"/>
  <c r="K12" i="58"/>
  <c r="H12" i="58"/>
  <c r="C12" i="58"/>
  <c r="AD11" i="58"/>
  <c r="AB11" i="58"/>
  <c r="Y11" i="58"/>
  <c r="X11" i="58"/>
  <c r="P11" i="58"/>
  <c r="O11" i="58"/>
  <c r="Q11" i="58" s="1"/>
  <c r="M11" i="58"/>
  <c r="J11" i="58"/>
  <c r="I11" i="58" s="1"/>
  <c r="H11" i="58"/>
  <c r="C11" i="58"/>
  <c r="AB10" i="58"/>
  <c r="AD10" i="58" s="1"/>
  <c r="J10" i="58" s="1"/>
  <c r="K10" i="58" s="1"/>
  <c r="Y10" i="58"/>
  <c r="X10" i="58"/>
  <c r="P10" i="58"/>
  <c r="O10" i="58"/>
  <c r="Q10" i="58" s="1"/>
  <c r="M10" i="58"/>
  <c r="H10" i="58"/>
  <c r="C10" i="58"/>
  <c r="AB9" i="58"/>
  <c r="AD9" i="58" s="1"/>
  <c r="J9" i="58" s="1"/>
  <c r="Y9" i="58"/>
  <c r="X9" i="58"/>
  <c r="Q9" i="58"/>
  <c r="P9" i="58"/>
  <c r="O9" i="58"/>
  <c r="M9" i="58"/>
  <c r="H9" i="58"/>
  <c r="C9" i="58"/>
  <c r="AB8" i="58"/>
  <c r="AD8" i="58" s="1"/>
  <c r="J8" i="58" s="1"/>
  <c r="Y8" i="58"/>
  <c r="X8" i="58"/>
  <c r="P8" i="58"/>
  <c r="O8" i="58"/>
  <c r="Q8" i="58" s="1"/>
  <c r="M8" i="58"/>
  <c r="H8" i="58"/>
  <c r="C8" i="58"/>
  <c r="AB7" i="58"/>
  <c r="AD7" i="58" s="1"/>
  <c r="J7" i="58" s="1"/>
  <c r="Y7" i="58"/>
  <c r="X7" i="58"/>
  <c r="P7" i="58"/>
  <c r="Q7" i="58" s="1"/>
  <c r="O7" i="58"/>
  <c r="M7" i="58"/>
  <c r="H7" i="58"/>
  <c r="C7" i="58"/>
  <c r="AD6" i="58"/>
  <c r="J6" i="58" s="1"/>
  <c r="AB6" i="58"/>
  <c r="Y6" i="58"/>
  <c r="X6" i="58"/>
  <c r="P6" i="58"/>
  <c r="O6" i="58"/>
  <c r="Q6" i="58" s="1"/>
  <c r="M6" i="58"/>
  <c r="K6" i="58"/>
  <c r="I6" i="58"/>
  <c r="H6" i="58"/>
  <c r="C6" i="58"/>
  <c r="AB5" i="58"/>
  <c r="AD5" i="58" s="1"/>
  <c r="J5" i="58" s="1"/>
  <c r="Y5" i="58"/>
  <c r="X5" i="58"/>
  <c r="P5" i="58"/>
  <c r="Q5" i="58" s="1"/>
  <c r="O5" i="58"/>
  <c r="M5" i="58"/>
  <c r="H5" i="58"/>
  <c r="C5" i="58"/>
  <c r="AD4" i="58"/>
  <c r="AB4" i="58"/>
  <c r="Y4" i="58"/>
  <c r="X4" i="58"/>
  <c r="P4" i="58"/>
  <c r="O4" i="58"/>
  <c r="Q4" i="58" s="1"/>
  <c r="M4" i="58"/>
  <c r="H4" i="58"/>
  <c r="C4" i="58"/>
  <c r="AG3" i="58"/>
  <c r="AF3" i="58"/>
  <c r="X3" i="58"/>
  <c r="W3" i="58"/>
  <c r="V3" i="58"/>
  <c r="U3" i="58"/>
  <c r="T3" i="58"/>
  <c r="O3" i="58"/>
  <c r="G3" i="58"/>
  <c r="H3" i="58" s="1"/>
  <c r="F3" i="58"/>
  <c r="D3" i="58"/>
  <c r="C3" i="58"/>
  <c r="A2" i="58"/>
  <c r="A1" i="58"/>
  <c r="AD32" i="57"/>
  <c r="J32" i="57" s="1"/>
  <c r="AB32" i="57"/>
  <c r="Y32" i="57"/>
  <c r="X32" i="57"/>
  <c r="V32" i="57"/>
  <c r="U32" i="57"/>
  <c r="T32" i="57"/>
  <c r="P32" i="57"/>
  <c r="O32" i="57"/>
  <c r="Q32" i="57" s="1"/>
  <c r="M32" i="57"/>
  <c r="H32" i="57"/>
  <c r="C32" i="57"/>
  <c r="AB31" i="57"/>
  <c r="AD31" i="57" s="1"/>
  <c r="Y31" i="57"/>
  <c r="X31" i="57"/>
  <c r="P31" i="57"/>
  <c r="Q31" i="57" s="1"/>
  <c r="O31" i="57"/>
  <c r="M31" i="57"/>
  <c r="J31" i="57"/>
  <c r="K31" i="57" s="1"/>
  <c r="H31" i="57"/>
  <c r="C31" i="57"/>
  <c r="AD30" i="57"/>
  <c r="J30" i="57" s="1"/>
  <c r="AB30" i="57"/>
  <c r="Y30" i="57"/>
  <c r="X30" i="57"/>
  <c r="P30" i="57"/>
  <c r="O30" i="57"/>
  <c r="Q30" i="57" s="1"/>
  <c r="M30" i="57"/>
  <c r="K30" i="57"/>
  <c r="I30" i="57"/>
  <c r="H30" i="57"/>
  <c r="C30" i="57"/>
  <c r="AD29" i="57"/>
  <c r="AB29" i="57"/>
  <c r="Y29" i="57"/>
  <c r="X29" i="57"/>
  <c r="P29" i="57"/>
  <c r="O29" i="57"/>
  <c r="Q29" i="57" s="1"/>
  <c r="M29" i="57"/>
  <c r="J29" i="57"/>
  <c r="K29" i="57" s="1"/>
  <c r="H29" i="57"/>
  <c r="C29" i="57"/>
  <c r="AD28" i="57"/>
  <c r="J28" i="57" s="1"/>
  <c r="AB28" i="57"/>
  <c r="Y28" i="57"/>
  <c r="X28" i="57"/>
  <c r="P28" i="57"/>
  <c r="O28" i="57"/>
  <c r="Q28" i="57" s="1"/>
  <c r="M28" i="57"/>
  <c r="K28" i="57"/>
  <c r="I28" i="57"/>
  <c r="H28" i="57"/>
  <c r="C28" i="57"/>
  <c r="AD27" i="57"/>
  <c r="AB27" i="57"/>
  <c r="Y27" i="57"/>
  <c r="X27" i="57"/>
  <c r="P27" i="57"/>
  <c r="O27" i="57"/>
  <c r="Q27" i="57" s="1"/>
  <c r="M27" i="57"/>
  <c r="J27" i="57"/>
  <c r="I27" i="57" s="1"/>
  <c r="H27" i="57"/>
  <c r="C27" i="57"/>
  <c r="AD26" i="57"/>
  <c r="J26" i="57" s="1"/>
  <c r="AB26" i="57"/>
  <c r="Y26" i="57"/>
  <c r="X26" i="57"/>
  <c r="P26" i="57"/>
  <c r="O26" i="57"/>
  <c r="Q26" i="57" s="1"/>
  <c r="M26" i="57"/>
  <c r="H26" i="57"/>
  <c r="C26" i="57"/>
  <c r="AB25" i="57"/>
  <c r="AD25" i="57" s="1"/>
  <c r="J25" i="57" s="1"/>
  <c r="Y25" i="57"/>
  <c r="X25" i="57"/>
  <c r="P25" i="57"/>
  <c r="O25" i="57"/>
  <c r="Q25" i="57" s="1"/>
  <c r="M25" i="57"/>
  <c r="H25" i="57"/>
  <c r="C25" i="57"/>
  <c r="AD24" i="57"/>
  <c r="J24" i="57" s="1"/>
  <c r="I24" i="57" s="1"/>
  <c r="AB24" i="57"/>
  <c r="Y24" i="57"/>
  <c r="X24" i="57"/>
  <c r="P24" i="57"/>
  <c r="O24" i="57"/>
  <c r="Q24" i="57" s="1"/>
  <c r="M24" i="57"/>
  <c r="K24" i="57"/>
  <c r="H24" i="57"/>
  <c r="C24" i="57"/>
  <c r="AB23" i="57"/>
  <c r="AD23" i="57" s="1"/>
  <c r="J23" i="57" s="1"/>
  <c r="Y23" i="57"/>
  <c r="X23" i="57"/>
  <c r="Q23" i="57"/>
  <c r="P23" i="57"/>
  <c r="O23" i="57"/>
  <c r="M23" i="57"/>
  <c r="H23" i="57"/>
  <c r="C23" i="57"/>
  <c r="AD22" i="57"/>
  <c r="J22" i="57" s="1"/>
  <c r="I22" i="57" s="1"/>
  <c r="AB22" i="57"/>
  <c r="Y22" i="57"/>
  <c r="X22" i="57"/>
  <c r="P22" i="57"/>
  <c r="O22" i="57"/>
  <c r="Q22" i="57" s="1"/>
  <c r="M22" i="57"/>
  <c r="K22" i="57"/>
  <c r="H22" i="57"/>
  <c r="C22" i="57"/>
  <c r="AB21" i="57"/>
  <c r="AD21" i="57" s="1"/>
  <c r="J21" i="57" s="1"/>
  <c r="Y21" i="57"/>
  <c r="X21" i="57"/>
  <c r="P21" i="57"/>
  <c r="Q21" i="57" s="1"/>
  <c r="O21" i="57"/>
  <c r="M21" i="57"/>
  <c r="H21" i="57"/>
  <c r="C21" i="57"/>
  <c r="AD20" i="57"/>
  <c r="J20" i="57" s="1"/>
  <c r="I20" i="57" s="1"/>
  <c r="AB20" i="57"/>
  <c r="Y20" i="57"/>
  <c r="X20" i="57"/>
  <c r="P20" i="57"/>
  <c r="O20" i="57"/>
  <c r="Q20" i="57" s="1"/>
  <c r="M20" i="57"/>
  <c r="K20" i="57"/>
  <c r="H20" i="57"/>
  <c r="C20" i="57"/>
  <c r="AB19" i="57"/>
  <c r="AD19" i="57" s="1"/>
  <c r="J19" i="57" s="1"/>
  <c r="Y19" i="57"/>
  <c r="X19" i="57"/>
  <c r="P19" i="57"/>
  <c r="O19" i="57"/>
  <c r="M19" i="57"/>
  <c r="H19" i="57"/>
  <c r="C19" i="57"/>
  <c r="AB18" i="57"/>
  <c r="AD18" i="57" s="1"/>
  <c r="J18" i="57" s="1"/>
  <c r="Y18" i="57"/>
  <c r="X18" i="57"/>
  <c r="Q18" i="57"/>
  <c r="P18" i="57"/>
  <c r="O18" i="57"/>
  <c r="M18" i="57"/>
  <c r="H18" i="57"/>
  <c r="C18" i="57"/>
  <c r="AB17" i="57"/>
  <c r="AD17" i="57" s="1"/>
  <c r="Y17" i="57"/>
  <c r="X17" i="57"/>
  <c r="P17" i="57"/>
  <c r="Q17" i="57" s="1"/>
  <c r="O17" i="57"/>
  <c r="M17" i="57"/>
  <c r="J17" i="57"/>
  <c r="H17" i="57"/>
  <c r="C17" i="57"/>
  <c r="AD16" i="57"/>
  <c r="J16" i="57" s="1"/>
  <c r="K16" i="57" s="1"/>
  <c r="AB16" i="57"/>
  <c r="Y16" i="57"/>
  <c r="X16" i="57"/>
  <c r="Q16" i="57"/>
  <c r="P16" i="57"/>
  <c r="O16" i="57"/>
  <c r="M16" i="57"/>
  <c r="I16" i="57"/>
  <c r="H16" i="57"/>
  <c r="C16" i="57"/>
  <c r="AB15" i="57"/>
  <c r="AD15" i="57" s="1"/>
  <c r="J15" i="57" s="1"/>
  <c r="Y15" i="57"/>
  <c r="X15" i="57"/>
  <c r="Q15" i="57"/>
  <c r="P15" i="57"/>
  <c r="O15" i="57"/>
  <c r="M15" i="57"/>
  <c r="H15" i="57"/>
  <c r="C15" i="57"/>
  <c r="AD14" i="57"/>
  <c r="J14" i="57" s="1"/>
  <c r="I14" i="57" s="1"/>
  <c r="AB14" i="57"/>
  <c r="Y14" i="57"/>
  <c r="X14" i="57"/>
  <c r="P14" i="57"/>
  <c r="Q14" i="57" s="1"/>
  <c r="O14" i="57"/>
  <c r="M14" i="57"/>
  <c r="K14" i="57"/>
  <c r="H14" i="57"/>
  <c r="C14" i="57"/>
  <c r="AB13" i="57"/>
  <c r="AD13" i="57" s="1"/>
  <c r="J13" i="57" s="1"/>
  <c r="Y13" i="57"/>
  <c r="X13" i="57"/>
  <c r="P13" i="57"/>
  <c r="O13" i="57"/>
  <c r="M13" i="57"/>
  <c r="H13" i="57"/>
  <c r="C13" i="57"/>
  <c r="AD12" i="57"/>
  <c r="J12" i="57" s="1"/>
  <c r="I12" i="57" s="1"/>
  <c r="AB12" i="57"/>
  <c r="Y12" i="57"/>
  <c r="X12" i="57"/>
  <c r="P12" i="57"/>
  <c r="Q12" i="57" s="1"/>
  <c r="O12" i="57"/>
  <c r="M12" i="57"/>
  <c r="K12" i="57"/>
  <c r="H12" i="57"/>
  <c r="C12" i="57"/>
  <c r="AB11" i="57"/>
  <c r="AD11" i="57" s="1"/>
  <c r="J11" i="57" s="1"/>
  <c r="Y11" i="57"/>
  <c r="X11" i="57"/>
  <c r="P11" i="57"/>
  <c r="O11" i="57"/>
  <c r="M11" i="57"/>
  <c r="H11" i="57"/>
  <c r="C11" i="57"/>
  <c r="AB10" i="57"/>
  <c r="AD10" i="57" s="1"/>
  <c r="J10" i="57" s="1"/>
  <c r="Y10" i="57"/>
  <c r="X10" i="57"/>
  <c r="P10" i="57"/>
  <c r="O10" i="57"/>
  <c r="Q10" i="57" s="1"/>
  <c r="M10" i="57"/>
  <c r="H10" i="57"/>
  <c r="C10" i="57"/>
  <c r="AB9" i="57"/>
  <c r="AD9" i="57" s="1"/>
  <c r="Y9" i="57"/>
  <c r="X9" i="57"/>
  <c r="P9" i="57"/>
  <c r="O9" i="57"/>
  <c r="Q9" i="57" s="1"/>
  <c r="M9" i="57"/>
  <c r="J9" i="57"/>
  <c r="H9" i="57"/>
  <c r="C9" i="57"/>
  <c r="AB8" i="57"/>
  <c r="AD8" i="57" s="1"/>
  <c r="J8" i="57" s="1"/>
  <c r="Y8" i="57"/>
  <c r="X8" i="57"/>
  <c r="Q8" i="57"/>
  <c r="P8" i="57"/>
  <c r="O8" i="57"/>
  <c r="M8" i="57"/>
  <c r="H8" i="57"/>
  <c r="C8" i="57"/>
  <c r="AB7" i="57"/>
  <c r="AD7" i="57" s="1"/>
  <c r="Y7" i="57"/>
  <c r="X7" i="57"/>
  <c r="P7" i="57"/>
  <c r="Q7" i="57" s="1"/>
  <c r="O7" i="57"/>
  <c r="M7" i="57"/>
  <c r="J7" i="57"/>
  <c r="H7" i="57"/>
  <c r="C7" i="57"/>
  <c r="AD6" i="57"/>
  <c r="J6" i="57" s="1"/>
  <c r="AB6" i="57"/>
  <c r="Y6" i="57"/>
  <c r="X6" i="57"/>
  <c r="Q6" i="57"/>
  <c r="P6" i="57"/>
  <c r="O6" i="57"/>
  <c r="M6" i="57"/>
  <c r="K6" i="57"/>
  <c r="I6" i="57"/>
  <c r="H6" i="57"/>
  <c r="C6" i="57"/>
  <c r="AD5" i="57"/>
  <c r="J5" i="57" s="1"/>
  <c r="AB5" i="57"/>
  <c r="Y5" i="57"/>
  <c r="X5" i="57"/>
  <c r="P5" i="57"/>
  <c r="O5" i="57"/>
  <c r="Q5" i="57" s="1"/>
  <c r="M5" i="57"/>
  <c r="H5" i="57"/>
  <c r="C5" i="57"/>
  <c r="AD4" i="57"/>
  <c r="AB4" i="57"/>
  <c r="Y4" i="57"/>
  <c r="X4" i="57"/>
  <c r="Q4" i="57"/>
  <c r="P4" i="57"/>
  <c r="O4" i="57"/>
  <c r="M4" i="57"/>
  <c r="H4" i="57"/>
  <c r="C4" i="57"/>
  <c r="AG3" i="57"/>
  <c r="AF3" i="57"/>
  <c r="W3" i="57"/>
  <c r="X3" i="57" s="1"/>
  <c r="V3" i="57"/>
  <c r="U3" i="57"/>
  <c r="T3" i="57"/>
  <c r="O3" i="57"/>
  <c r="H3" i="57"/>
  <c r="G3" i="57"/>
  <c r="F3" i="57"/>
  <c r="D3" i="57"/>
  <c r="C3" i="57"/>
  <c r="A2" i="57"/>
  <c r="A1" i="57"/>
  <c r="AB32" i="56"/>
  <c r="AD32" i="56" s="1"/>
  <c r="J32" i="56" s="1"/>
  <c r="K32" i="56" s="1"/>
  <c r="Y32" i="56"/>
  <c r="X32" i="56"/>
  <c r="V32" i="56"/>
  <c r="U32" i="56"/>
  <c r="T32" i="56"/>
  <c r="P32" i="56"/>
  <c r="O32" i="56"/>
  <c r="Q32" i="56" s="1"/>
  <c r="M32" i="56"/>
  <c r="H32" i="56"/>
  <c r="C32" i="56"/>
  <c r="AD31" i="56"/>
  <c r="J31" i="56" s="1"/>
  <c r="AB31" i="56"/>
  <c r="Y31" i="56"/>
  <c r="X31" i="56"/>
  <c r="P31" i="56"/>
  <c r="Q31" i="56" s="1"/>
  <c r="O31" i="56"/>
  <c r="M31" i="56"/>
  <c r="H31" i="56"/>
  <c r="C31" i="56"/>
  <c r="AD30" i="56"/>
  <c r="J30" i="56" s="1"/>
  <c r="AB30" i="56"/>
  <c r="Y30" i="56"/>
  <c r="X30" i="56"/>
  <c r="P30" i="56"/>
  <c r="O30" i="56"/>
  <c r="Q30" i="56" s="1"/>
  <c r="M30" i="56"/>
  <c r="H30" i="56"/>
  <c r="C30" i="56"/>
  <c r="AB29" i="56"/>
  <c r="AD29" i="56" s="1"/>
  <c r="J29" i="56" s="1"/>
  <c r="Y29" i="56"/>
  <c r="X29" i="56"/>
  <c r="P29" i="56"/>
  <c r="O29" i="56"/>
  <c r="Q29" i="56" s="1"/>
  <c r="M29" i="56"/>
  <c r="H29" i="56"/>
  <c r="C29" i="56"/>
  <c r="AB28" i="56"/>
  <c r="AD28" i="56" s="1"/>
  <c r="J28" i="56" s="1"/>
  <c r="Y28" i="56"/>
  <c r="X28" i="56"/>
  <c r="P28" i="56"/>
  <c r="O28" i="56"/>
  <c r="Q28" i="56" s="1"/>
  <c r="M28" i="56"/>
  <c r="H28" i="56"/>
  <c r="C28" i="56"/>
  <c r="AB27" i="56"/>
  <c r="AD27" i="56" s="1"/>
  <c r="J27" i="56" s="1"/>
  <c r="Y27" i="56"/>
  <c r="X27" i="56"/>
  <c r="Q27" i="56"/>
  <c r="P27" i="56"/>
  <c r="O27" i="56"/>
  <c r="M27" i="56"/>
  <c r="H27" i="56"/>
  <c r="C27" i="56"/>
  <c r="AB26" i="56"/>
  <c r="AD26" i="56" s="1"/>
  <c r="J26" i="56" s="1"/>
  <c r="Y26" i="56"/>
  <c r="X26" i="56"/>
  <c r="Q26" i="56"/>
  <c r="P26" i="56"/>
  <c r="O26" i="56"/>
  <c r="M26" i="56"/>
  <c r="H26" i="56"/>
  <c r="C26" i="56"/>
  <c r="AD25" i="56"/>
  <c r="J25" i="56" s="1"/>
  <c r="AB25" i="56"/>
  <c r="Y25" i="56"/>
  <c r="X25" i="56"/>
  <c r="P25" i="56"/>
  <c r="O25" i="56"/>
  <c r="Q25" i="56" s="1"/>
  <c r="M25" i="56"/>
  <c r="H25" i="56"/>
  <c r="C25" i="56"/>
  <c r="AD24" i="56"/>
  <c r="J24" i="56" s="1"/>
  <c r="K24" i="56" s="1"/>
  <c r="AB24" i="56"/>
  <c r="Y24" i="56"/>
  <c r="X24" i="56"/>
  <c r="P24" i="56"/>
  <c r="O24" i="56"/>
  <c r="Q24" i="56" s="1"/>
  <c r="M24" i="56"/>
  <c r="I24" i="56"/>
  <c r="H24" i="56"/>
  <c r="C24" i="56"/>
  <c r="AD23" i="56"/>
  <c r="J23" i="56" s="1"/>
  <c r="AB23" i="56"/>
  <c r="Y23" i="56"/>
  <c r="X23" i="56"/>
  <c r="P23" i="56"/>
  <c r="Q23" i="56" s="1"/>
  <c r="O23" i="56"/>
  <c r="M23" i="56"/>
  <c r="H23" i="56"/>
  <c r="C23" i="56"/>
  <c r="AD22" i="56"/>
  <c r="J22" i="56" s="1"/>
  <c r="I22" i="56" s="1"/>
  <c r="AB22" i="56"/>
  <c r="Y22" i="56"/>
  <c r="X22" i="56"/>
  <c r="P22" i="56"/>
  <c r="O22" i="56"/>
  <c r="Q22" i="56" s="1"/>
  <c r="M22" i="56"/>
  <c r="K22" i="56"/>
  <c r="H22" i="56"/>
  <c r="C22" i="56"/>
  <c r="AB21" i="56"/>
  <c r="AD21" i="56" s="1"/>
  <c r="J21" i="56" s="1"/>
  <c r="Y21" i="56"/>
  <c r="X21" i="56"/>
  <c r="P21" i="56"/>
  <c r="O21" i="56"/>
  <c r="Q21" i="56" s="1"/>
  <c r="M21" i="56"/>
  <c r="H21" i="56"/>
  <c r="C21" i="56"/>
  <c r="AB20" i="56"/>
  <c r="AD20" i="56" s="1"/>
  <c r="J20" i="56" s="1"/>
  <c r="Y20" i="56"/>
  <c r="X20" i="56"/>
  <c r="P20" i="56"/>
  <c r="O20" i="56"/>
  <c r="Q20" i="56" s="1"/>
  <c r="M20" i="56"/>
  <c r="H20" i="56"/>
  <c r="C20" i="56"/>
  <c r="AB19" i="56"/>
  <c r="AD19" i="56" s="1"/>
  <c r="Y19" i="56"/>
  <c r="X19" i="56"/>
  <c r="Q19" i="56"/>
  <c r="P19" i="56"/>
  <c r="O19" i="56"/>
  <c r="M19" i="56"/>
  <c r="J19" i="56"/>
  <c r="H19" i="56"/>
  <c r="C19" i="56"/>
  <c r="AB18" i="56"/>
  <c r="AD18" i="56" s="1"/>
  <c r="J18" i="56" s="1"/>
  <c r="Y18" i="56"/>
  <c r="X18" i="56"/>
  <c r="Q18" i="56"/>
  <c r="P18" i="56"/>
  <c r="O18" i="56"/>
  <c r="M18" i="56"/>
  <c r="H18" i="56"/>
  <c r="C18" i="56"/>
  <c r="AD17" i="56"/>
  <c r="J17" i="56" s="1"/>
  <c r="AB17" i="56"/>
  <c r="Y17" i="56"/>
  <c r="X17" i="56"/>
  <c r="P17" i="56"/>
  <c r="O17" i="56"/>
  <c r="Q17" i="56" s="1"/>
  <c r="M17" i="56"/>
  <c r="H17" i="56"/>
  <c r="C17" i="56"/>
  <c r="AD16" i="56"/>
  <c r="J16" i="56" s="1"/>
  <c r="K16" i="56" s="1"/>
  <c r="AB16" i="56"/>
  <c r="Y16" i="56"/>
  <c r="X16" i="56"/>
  <c r="P16" i="56"/>
  <c r="O16" i="56"/>
  <c r="Q16" i="56" s="1"/>
  <c r="M16" i="56"/>
  <c r="H16" i="56"/>
  <c r="C16" i="56"/>
  <c r="AD15" i="56"/>
  <c r="J15" i="56" s="1"/>
  <c r="AB15" i="56"/>
  <c r="Y15" i="56"/>
  <c r="X15" i="56"/>
  <c r="P15" i="56"/>
  <c r="Q15" i="56" s="1"/>
  <c r="O15" i="56"/>
  <c r="M15" i="56"/>
  <c r="H15" i="56"/>
  <c r="C15" i="56"/>
  <c r="AD14" i="56"/>
  <c r="J14" i="56" s="1"/>
  <c r="I14" i="56" s="1"/>
  <c r="AB14" i="56"/>
  <c r="Y14" i="56"/>
  <c r="X14" i="56"/>
  <c r="P14" i="56"/>
  <c r="O14" i="56"/>
  <c r="Q14" i="56" s="1"/>
  <c r="M14" i="56"/>
  <c r="H14" i="56"/>
  <c r="C14" i="56"/>
  <c r="AB13" i="56"/>
  <c r="AD13" i="56" s="1"/>
  <c r="Y13" i="56"/>
  <c r="X13" i="56"/>
  <c r="P13" i="56"/>
  <c r="O13" i="56"/>
  <c r="Q13" i="56" s="1"/>
  <c r="M13" i="56"/>
  <c r="J13" i="56"/>
  <c r="H13" i="56"/>
  <c r="C13" i="56"/>
  <c r="AB12" i="56"/>
  <c r="AD12" i="56" s="1"/>
  <c r="J12" i="56" s="1"/>
  <c r="Y12" i="56"/>
  <c r="X12" i="56"/>
  <c r="Q12" i="56"/>
  <c r="P12" i="56"/>
  <c r="O12" i="56"/>
  <c r="M12" i="56"/>
  <c r="H12" i="56"/>
  <c r="C12" i="56"/>
  <c r="AB11" i="56"/>
  <c r="AD11" i="56" s="1"/>
  <c r="Y11" i="56"/>
  <c r="X11" i="56"/>
  <c r="Q11" i="56"/>
  <c r="P11" i="56"/>
  <c r="O11" i="56"/>
  <c r="M11" i="56"/>
  <c r="J11" i="56"/>
  <c r="H11" i="56"/>
  <c r="C11" i="56"/>
  <c r="AB10" i="56"/>
  <c r="AD10" i="56" s="1"/>
  <c r="J10" i="56" s="1"/>
  <c r="Y10" i="56"/>
  <c r="X10" i="56"/>
  <c r="Q10" i="56"/>
  <c r="P10" i="56"/>
  <c r="O10" i="56"/>
  <c r="M10" i="56"/>
  <c r="H10" i="56"/>
  <c r="C10" i="56"/>
  <c r="AD9" i="56"/>
  <c r="J9" i="56" s="1"/>
  <c r="AB9" i="56"/>
  <c r="Y9" i="56"/>
  <c r="X9" i="56"/>
  <c r="P9" i="56"/>
  <c r="O9" i="56"/>
  <c r="Q9" i="56" s="1"/>
  <c r="M9" i="56"/>
  <c r="H9" i="56"/>
  <c r="C9" i="56"/>
  <c r="AD8" i="56"/>
  <c r="J8" i="56" s="1"/>
  <c r="AB8" i="56"/>
  <c r="Y8" i="56"/>
  <c r="X8" i="56"/>
  <c r="P8" i="56"/>
  <c r="O8" i="56"/>
  <c r="Q8" i="56" s="1"/>
  <c r="M8" i="56"/>
  <c r="K8" i="56"/>
  <c r="I8" i="56"/>
  <c r="H8" i="56"/>
  <c r="C8" i="56"/>
  <c r="AD7" i="56"/>
  <c r="J7" i="56" s="1"/>
  <c r="AB7" i="56"/>
  <c r="Y7" i="56"/>
  <c r="X7" i="56"/>
  <c r="P7" i="56"/>
  <c r="Q7" i="56" s="1"/>
  <c r="O7" i="56"/>
  <c r="M7" i="56"/>
  <c r="H7" i="56"/>
  <c r="C7" i="56"/>
  <c r="AD6" i="56"/>
  <c r="J6" i="56" s="1"/>
  <c r="I6" i="56" s="1"/>
  <c r="AB6" i="56"/>
  <c r="Y6" i="56"/>
  <c r="X6" i="56"/>
  <c r="P6" i="56"/>
  <c r="O6" i="56"/>
  <c r="Q6" i="56" s="1"/>
  <c r="M6" i="56"/>
  <c r="H6" i="56"/>
  <c r="C6" i="56"/>
  <c r="AB5" i="56"/>
  <c r="AD5" i="56" s="1"/>
  <c r="Y5" i="56"/>
  <c r="X5" i="56"/>
  <c r="P5" i="56"/>
  <c r="O5" i="56"/>
  <c r="Q5" i="56" s="1"/>
  <c r="M5" i="56"/>
  <c r="J5" i="56"/>
  <c r="H5" i="56"/>
  <c r="C5" i="56"/>
  <c r="AB4" i="56"/>
  <c r="AD4" i="56" s="1"/>
  <c r="Y4" i="56"/>
  <c r="X4" i="56"/>
  <c r="P4" i="56"/>
  <c r="O4" i="56"/>
  <c r="Q4" i="56" s="1"/>
  <c r="M4" i="56"/>
  <c r="H4" i="56"/>
  <c r="C4" i="56"/>
  <c r="AG3" i="56"/>
  <c r="AF3" i="56"/>
  <c r="W3" i="56"/>
  <c r="X3" i="56" s="1"/>
  <c r="V3" i="56"/>
  <c r="U3" i="56"/>
  <c r="T3" i="56"/>
  <c r="O3" i="56"/>
  <c r="H3" i="56"/>
  <c r="G3" i="56"/>
  <c r="F3" i="56"/>
  <c r="D3" i="56"/>
  <c r="C3" i="56"/>
  <c r="A2" i="56"/>
  <c r="A1" i="56"/>
  <c r="AB32" i="55"/>
  <c r="AD32" i="55" s="1"/>
  <c r="J32" i="55" s="1"/>
  <c r="K32" i="55" s="1"/>
  <c r="Y32" i="55"/>
  <c r="X32" i="55"/>
  <c r="V32" i="55"/>
  <c r="U32" i="55"/>
  <c r="T32" i="55"/>
  <c r="P32" i="55"/>
  <c r="O32" i="55"/>
  <c r="Q32" i="55" s="1"/>
  <c r="M32" i="55"/>
  <c r="I32" i="55"/>
  <c r="H32" i="55"/>
  <c r="C32" i="55"/>
  <c r="AD31" i="55"/>
  <c r="J31" i="55" s="1"/>
  <c r="AB31" i="55"/>
  <c r="Y31" i="55"/>
  <c r="X31" i="55"/>
  <c r="P31" i="55"/>
  <c r="Q31" i="55" s="1"/>
  <c r="O31" i="55"/>
  <c r="M31" i="55"/>
  <c r="H31" i="55"/>
  <c r="C31" i="55"/>
  <c r="AD30" i="55"/>
  <c r="J30" i="55" s="1"/>
  <c r="I30" i="55" s="1"/>
  <c r="AB30" i="55"/>
  <c r="Y30" i="55"/>
  <c r="X30" i="55"/>
  <c r="P30" i="55"/>
  <c r="O30" i="55"/>
  <c r="Q30" i="55" s="1"/>
  <c r="M30" i="55"/>
  <c r="K30" i="55"/>
  <c r="H30" i="55"/>
  <c r="C30" i="55"/>
  <c r="AB29" i="55"/>
  <c r="AD29" i="55" s="1"/>
  <c r="J29" i="55" s="1"/>
  <c r="Y29" i="55"/>
  <c r="X29" i="55"/>
  <c r="P29" i="55"/>
  <c r="O29" i="55"/>
  <c r="Q29" i="55" s="1"/>
  <c r="M29" i="55"/>
  <c r="H29" i="55"/>
  <c r="C29" i="55"/>
  <c r="AB28" i="55"/>
  <c r="AD28" i="55" s="1"/>
  <c r="J28" i="55" s="1"/>
  <c r="Y28" i="55"/>
  <c r="X28" i="55"/>
  <c r="Q28" i="55"/>
  <c r="P28" i="55"/>
  <c r="O28" i="55"/>
  <c r="M28" i="55"/>
  <c r="H28" i="55"/>
  <c r="C28" i="55"/>
  <c r="AB27" i="55"/>
  <c r="AD27" i="55" s="1"/>
  <c r="J27" i="55" s="1"/>
  <c r="Y27" i="55"/>
  <c r="X27" i="55"/>
  <c r="Q27" i="55"/>
  <c r="P27" i="55"/>
  <c r="O27" i="55"/>
  <c r="M27" i="55"/>
  <c r="H27" i="55"/>
  <c r="C27" i="55"/>
  <c r="AB26" i="55"/>
  <c r="AD26" i="55" s="1"/>
  <c r="J26" i="55" s="1"/>
  <c r="K26" i="55" s="1"/>
  <c r="Y26" i="55"/>
  <c r="X26" i="55"/>
  <c r="Q26" i="55"/>
  <c r="P26" i="55"/>
  <c r="O26" i="55"/>
  <c r="M26" i="55"/>
  <c r="H26" i="55"/>
  <c r="C26" i="55"/>
  <c r="AD25" i="55"/>
  <c r="J25" i="55" s="1"/>
  <c r="AB25" i="55"/>
  <c r="Y25" i="55"/>
  <c r="X25" i="55"/>
  <c r="P25" i="55"/>
  <c r="O25" i="55"/>
  <c r="M25" i="55"/>
  <c r="H25" i="55"/>
  <c r="C25" i="55"/>
  <c r="AD24" i="55"/>
  <c r="J24" i="55" s="1"/>
  <c r="K24" i="55" s="1"/>
  <c r="AB24" i="55"/>
  <c r="Y24" i="55"/>
  <c r="X24" i="55"/>
  <c r="P24" i="55"/>
  <c r="O24" i="55"/>
  <c r="Q24" i="55" s="1"/>
  <c r="M24" i="55"/>
  <c r="I24" i="55"/>
  <c r="H24" i="55"/>
  <c r="C24" i="55"/>
  <c r="AD23" i="55"/>
  <c r="J23" i="55" s="1"/>
  <c r="AB23" i="55"/>
  <c r="Y23" i="55"/>
  <c r="X23" i="55"/>
  <c r="P23" i="55"/>
  <c r="Q23" i="55" s="1"/>
  <c r="O23" i="55"/>
  <c r="M23" i="55"/>
  <c r="H23" i="55"/>
  <c r="C23" i="55"/>
  <c r="AD22" i="55"/>
  <c r="J22" i="55" s="1"/>
  <c r="I22" i="55" s="1"/>
  <c r="AB22" i="55"/>
  <c r="Y22" i="55"/>
  <c r="X22" i="55"/>
  <c r="P22" i="55"/>
  <c r="O22" i="55"/>
  <c r="Q22" i="55" s="1"/>
  <c r="M22" i="55"/>
  <c r="K22" i="55"/>
  <c r="H22" i="55"/>
  <c r="C22" i="55"/>
  <c r="AB21" i="55"/>
  <c r="AD21" i="55" s="1"/>
  <c r="J21" i="55" s="1"/>
  <c r="Y21" i="55"/>
  <c r="X21" i="55"/>
  <c r="P21" i="55"/>
  <c r="O21" i="55"/>
  <c r="Q21" i="55" s="1"/>
  <c r="M21" i="55"/>
  <c r="H21" i="55"/>
  <c r="C21" i="55"/>
  <c r="AB20" i="55"/>
  <c r="AD20" i="55" s="1"/>
  <c r="J20" i="55" s="1"/>
  <c r="Y20" i="55"/>
  <c r="X20" i="55"/>
  <c r="P20" i="55"/>
  <c r="O20" i="55"/>
  <c r="Q20" i="55" s="1"/>
  <c r="M20" i="55"/>
  <c r="H20" i="55"/>
  <c r="C20" i="55"/>
  <c r="AB19" i="55"/>
  <c r="AD19" i="55" s="1"/>
  <c r="J19" i="55" s="1"/>
  <c r="Y19" i="55"/>
  <c r="X19" i="55"/>
  <c r="Q19" i="55"/>
  <c r="P19" i="55"/>
  <c r="O19" i="55"/>
  <c r="M19" i="55"/>
  <c r="H19" i="55"/>
  <c r="C19" i="55"/>
  <c r="AB18" i="55"/>
  <c r="AD18" i="55" s="1"/>
  <c r="J18" i="55" s="1"/>
  <c r="K18" i="55" s="1"/>
  <c r="Y18" i="55"/>
  <c r="X18" i="55"/>
  <c r="Q18" i="55"/>
  <c r="P18" i="55"/>
  <c r="O18" i="55"/>
  <c r="M18" i="55"/>
  <c r="H18" i="55"/>
  <c r="C18" i="55"/>
  <c r="AD17" i="55"/>
  <c r="J17" i="55" s="1"/>
  <c r="AB17" i="55"/>
  <c r="Y17" i="55"/>
  <c r="X17" i="55"/>
  <c r="P17" i="55"/>
  <c r="O17" i="55"/>
  <c r="M17" i="55"/>
  <c r="H17" i="55"/>
  <c r="C17" i="55"/>
  <c r="AD16" i="55"/>
  <c r="J16" i="55" s="1"/>
  <c r="K16" i="55" s="1"/>
  <c r="AB16" i="55"/>
  <c r="Y16" i="55"/>
  <c r="X16" i="55"/>
  <c r="P16" i="55"/>
  <c r="O16" i="55"/>
  <c r="Q16" i="55" s="1"/>
  <c r="M16" i="55"/>
  <c r="I16" i="55"/>
  <c r="H16" i="55"/>
  <c r="C16" i="55"/>
  <c r="AD15" i="55"/>
  <c r="J15" i="55" s="1"/>
  <c r="AB15" i="55"/>
  <c r="Y15" i="55"/>
  <c r="X15" i="55"/>
  <c r="P15" i="55"/>
  <c r="Q15" i="55" s="1"/>
  <c r="O15" i="55"/>
  <c r="M15" i="55"/>
  <c r="H15" i="55"/>
  <c r="C15" i="55"/>
  <c r="AD14" i="55"/>
  <c r="J14" i="55" s="1"/>
  <c r="I14" i="55" s="1"/>
  <c r="AB14" i="55"/>
  <c r="Y14" i="55"/>
  <c r="X14" i="55"/>
  <c r="P14" i="55"/>
  <c r="O14" i="55"/>
  <c r="Q14" i="55" s="1"/>
  <c r="M14" i="55"/>
  <c r="K14" i="55"/>
  <c r="H14" i="55"/>
  <c r="C14" i="55"/>
  <c r="AB13" i="55"/>
  <c r="AD13" i="55" s="1"/>
  <c r="J13" i="55" s="1"/>
  <c r="Y13" i="55"/>
  <c r="X13" i="55"/>
  <c r="P13" i="55"/>
  <c r="O13" i="55"/>
  <c r="Q13" i="55" s="1"/>
  <c r="M13" i="55"/>
  <c r="H13" i="55"/>
  <c r="C13" i="55"/>
  <c r="AB12" i="55"/>
  <c r="AD12" i="55" s="1"/>
  <c r="J12" i="55" s="1"/>
  <c r="Y12" i="55"/>
  <c r="X12" i="55"/>
  <c r="P12" i="55"/>
  <c r="O12" i="55"/>
  <c r="Q12" i="55" s="1"/>
  <c r="M12" i="55"/>
  <c r="H12" i="55"/>
  <c r="C12" i="55"/>
  <c r="AB11" i="55"/>
  <c r="AD11" i="55" s="1"/>
  <c r="J11" i="55" s="1"/>
  <c r="Y11" i="55"/>
  <c r="X11" i="55"/>
  <c r="Q11" i="55"/>
  <c r="P11" i="55"/>
  <c r="O11" i="55"/>
  <c r="M11" i="55"/>
  <c r="H11" i="55"/>
  <c r="C11" i="55"/>
  <c r="AB10" i="55"/>
  <c r="AD10" i="55" s="1"/>
  <c r="J10" i="55" s="1"/>
  <c r="K10" i="55" s="1"/>
  <c r="Y10" i="55"/>
  <c r="X10" i="55"/>
  <c r="Q10" i="55"/>
  <c r="P10" i="55"/>
  <c r="O10" i="55"/>
  <c r="M10" i="55"/>
  <c r="I10" i="55"/>
  <c r="H10" i="55"/>
  <c r="C10" i="55"/>
  <c r="AD9" i="55"/>
  <c r="J9" i="55" s="1"/>
  <c r="AB9" i="55"/>
  <c r="Y9" i="55"/>
  <c r="X9" i="55"/>
  <c r="P9" i="55"/>
  <c r="O9" i="55"/>
  <c r="Q9" i="55" s="1"/>
  <c r="M9" i="55"/>
  <c r="H9" i="55"/>
  <c r="C9" i="55"/>
  <c r="AD8" i="55"/>
  <c r="J8" i="55" s="1"/>
  <c r="K8" i="55" s="1"/>
  <c r="AB8" i="55"/>
  <c r="Y8" i="55"/>
  <c r="X8" i="55"/>
  <c r="P8" i="55"/>
  <c r="O8" i="55"/>
  <c r="Q8" i="55" s="1"/>
  <c r="M8" i="55"/>
  <c r="I8" i="55"/>
  <c r="H8" i="55"/>
  <c r="C8" i="55"/>
  <c r="AD7" i="55"/>
  <c r="J7" i="55" s="1"/>
  <c r="AB7" i="55"/>
  <c r="Y7" i="55"/>
  <c r="X7" i="55"/>
  <c r="P7" i="55"/>
  <c r="Q7" i="55" s="1"/>
  <c r="O7" i="55"/>
  <c r="M7" i="55"/>
  <c r="H7" i="55"/>
  <c r="C7" i="55"/>
  <c r="AD6" i="55"/>
  <c r="J6" i="55" s="1"/>
  <c r="AB6" i="55"/>
  <c r="Y6" i="55"/>
  <c r="X6" i="55"/>
  <c r="P6" i="55"/>
  <c r="O6" i="55"/>
  <c r="Q6" i="55" s="1"/>
  <c r="M6" i="55"/>
  <c r="H6" i="55"/>
  <c r="C6" i="55"/>
  <c r="AB5" i="55"/>
  <c r="AD5" i="55" s="1"/>
  <c r="Y5" i="55"/>
  <c r="X5" i="55"/>
  <c r="P5" i="55"/>
  <c r="O5" i="55"/>
  <c r="Q5" i="55" s="1"/>
  <c r="M5" i="55"/>
  <c r="J5" i="55"/>
  <c r="H5" i="55"/>
  <c r="C5" i="55"/>
  <c r="AB4" i="55"/>
  <c r="AD4" i="55" s="1"/>
  <c r="Y4" i="55"/>
  <c r="X4" i="55"/>
  <c r="P4" i="55"/>
  <c r="O4" i="55"/>
  <c r="Q4" i="55" s="1"/>
  <c r="M4" i="55"/>
  <c r="H4" i="55"/>
  <c r="C4" i="55"/>
  <c r="AG3" i="55"/>
  <c r="AF3" i="55"/>
  <c r="W3" i="55"/>
  <c r="V3" i="55"/>
  <c r="U3" i="55"/>
  <c r="T3" i="55"/>
  <c r="O3" i="55"/>
  <c r="H3" i="55"/>
  <c r="G3" i="55"/>
  <c r="F3" i="55"/>
  <c r="D3" i="55"/>
  <c r="C3" i="55"/>
  <c r="A2" i="55"/>
  <c r="A1" i="55"/>
  <c r="AB32" i="54"/>
  <c r="AD32" i="54" s="1"/>
  <c r="J32" i="54" s="1"/>
  <c r="Y32" i="54"/>
  <c r="X32" i="54"/>
  <c r="V32" i="54"/>
  <c r="U32" i="54"/>
  <c r="T32" i="54"/>
  <c r="P32" i="54"/>
  <c r="O32" i="54"/>
  <c r="Q32" i="54" s="1"/>
  <c r="M32" i="54"/>
  <c r="K32" i="54"/>
  <c r="I32" i="54"/>
  <c r="H32" i="54"/>
  <c r="C32" i="54"/>
  <c r="AD31" i="54"/>
  <c r="J31" i="54" s="1"/>
  <c r="AB31" i="54"/>
  <c r="Y31" i="54"/>
  <c r="X31" i="54"/>
  <c r="P31" i="54"/>
  <c r="Q31" i="54" s="1"/>
  <c r="O31" i="54"/>
  <c r="M31" i="54"/>
  <c r="H31" i="54"/>
  <c r="C31" i="54"/>
  <c r="AD30" i="54"/>
  <c r="J30" i="54" s="1"/>
  <c r="I30" i="54" s="1"/>
  <c r="AB30" i="54"/>
  <c r="Y30" i="54"/>
  <c r="X30" i="54"/>
  <c r="P30" i="54"/>
  <c r="O30" i="54"/>
  <c r="Q30" i="54" s="1"/>
  <c r="M30" i="54"/>
  <c r="H30" i="54"/>
  <c r="C30" i="54"/>
  <c r="AB29" i="54"/>
  <c r="AD29" i="54" s="1"/>
  <c r="Y29" i="54"/>
  <c r="X29" i="54"/>
  <c r="P29" i="54"/>
  <c r="O29" i="54"/>
  <c r="Q29" i="54" s="1"/>
  <c r="M29" i="54"/>
  <c r="J29" i="54"/>
  <c r="H29" i="54"/>
  <c r="C29" i="54"/>
  <c r="AB28" i="54"/>
  <c r="AD28" i="54" s="1"/>
  <c r="J28" i="54" s="1"/>
  <c r="Y28" i="54"/>
  <c r="X28" i="54"/>
  <c r="Q28" i="54"/>
  <c r="P28" i="54"/>
  <c r="O28" i="54"/>
  <c r="M28" i="54"/>
  <c r="H28" i="54"/>
  <c r="C28" i="54"/>
  <c r="AB27" i="54"/>
  <c r="AD27" i="54" s="1"/>
  <c r="Y27" i="54"/>
  <c r="X27" i="54"/>
  <c r="Q27" i="54"/>
  <c r="P27" i="54"/>
  <c r="O27" i="54"/>
  <c r="M27" i="54"/>
  <c r="J27" i="54"/>
  <c r="H27" i="54"/>
  <c r="C27" i="54"/>
  <c r="AB26" i="54"/>
  <c r="AD26" i="54" s="1"/>
  <c r="J26" i="54" s="1"/>
  <c r="Y26" i="54"/>
  <c r="X26" i="54"/>
  <c r="Q26" i="54"/>
  <c r="P26" i="54"/>
  <c r="O26" i="54"/>
  <c r="M26" i="54"/>
  <c r="H26" i="54"/>
  <c r="C26" i="54"/>
  <c r="AB25" i="54"/>
  <c r="AD25" i="54" s="1"/>
  <c r="J25" i="54" s="1"/>
  <c r="Y25" i="54"/>
  <c r="X25" i="54"/>
  <c r="P25" i="54"/>
  <c r="O25" i="54"/>
  <c r="M25" i="54"/>
  <c r="H25" i="54"/>
  <c r="C25" i="54"/>
  <c r="AD24" i="54"/>
  <c r="J24" i="54" s="1"/>
  <c r="I24" i="54" s="1"/>
  <c r="AB24" i="54"/>
  <c r="Y24" i="54"/>
  <c r="X24" i="54"/>
  <c r="Q24" i="54"/>
  <c r="P24" i="54"/>
  <c r="O24" i="54"/>
  <c r="M24" i="54"/>
  <c r="K24" i="54"/>
  <c r="H24" i="54"/>
  <c r="C24" i="54"/>
  <c r="AD23" i="54"/>
  <c r="J23" i="54" s="1"/>
  <c r="AB23" i="54"/>
  <c r="Y23" i="54"/>
  <c r="X23" i="54"/>
  <c r="P23" i="54"/>
  <c r="Q23" i="54" s="1"/>
  <c r="O23" i="54"/>
  <c r="M23" i="54"/>
  <c r="H23" i="54"/>
  <c r="C23" i="54"/>
  <c r="AD22" i="54"/>
  <c r="J22" i="54" s="1"/>
  <c r="I22" i="54" s="1"/>
  <c r="AB22" i="54"/>
  <c r="Y22" i="54"/>
  <c r="X22" i="54"/>
  <c r="P22" i="54"/>
  <c r="O22" i="54"/>
  <c r="Q22" i="54" s="1"/>
  <c r="M22" i="54"/>
  <c r="H22" i="54"/>
  <c r="C22" i="54"/>
  <c r="AB21" i="54"/>
  <c r="AD21" i="54" s="1"/>
  <c r="Y21" i="54"/>
  <c r="X21" i="54"/>
  <c r="P21" i="54"/>
  <c r="O21" i="54"/>
  <c r="Q21" i="54" s="1"/>
  <c r="M21" i="54"/>
  <c r="J21" i="54"/>
  <c r="H21" i="54"/>
  <c r="C21" i="54"/>
  <c r="AD20" i="54"/>
  <c r="J20" i="54" s="1"/>
  <c r="AB20" i="54"/>
  <c r="Y20" i="54"/>
  <c r="X20" i="54"/>
  <c r="P20" i="54"/>
  <c r="O20" i="54"/>
  <c r="Q20" i="54" s="1"/>
  <c r="M20" i="54"/>
  <c r="H20" i="54"/>
  <c r="C20" i="54"/>
  <c r="AB19" i="54"/>
  <c r="AD19" i="54" s="1"/>
  <c r="J19" i="54" s="1"/>
  <c r="Y19" i="54"/>
  <c r="X19" i="54"/>
  <c r="Q19" i="54"/>
  <c r="P19" i="54"/>
  <c r="O19" i="54"/>
  <c r="M19" i="54"/>
  <c r="H19" i="54"/>
  <c r="C19" i="54"/>
  <c r="AB18" i="54"/>
  <c r="AD18" i="54" s="1"/>
  <c r="J18" i="54" s="1"/>
  <c r="K18" i="54" s="1"/>
  <c r="Y18" i="54"/>
  <c r="X18" i="54"/>
  <c r="Q18" i="54"/>
  <c r="P18" i="54"/>
  <c r="O18" i="54"/>
  <c r="M18" i="54"/>
  <c r="I18" i="54"/>
  <c r="H18" i="54"/>
  <c r="C18" i="54"/>
  <c r="AB17" i="54"/>
  <c r="AD17" i="54" s="1"/>
  <c r="J17" i="54" s="1"/>
  <c r="Y17" i="54"/>
  <c r="X17" i="54"/>
  <c r="P17" i="54"/>
  <c r="O17" i="54"/>
  <c r="Q17" i="54" s="1"/>
  <c r="M17" i="54"/>
  <c r="H17" i="54"/>
  <c r="C17" i="54"/>
  <c r="AD16" i="54"/>
  <c r="J16" i="54" s="1"/>
  <c r="I16" i="54" s="1"/>
  <c r="AB16" i="54"/>
  <c r="Y16" i="54"/>
  <c r="X16" i="54"/>
  <c r="Q16" i="54"/>
  <c r="P16" i="54"/>
  <c r="O16" i="54"/>
  <c r="M16" i="54"/>
  <c r="K16" i="54"/>
  <c r="H16" i="54"/>
  <c r="C16" i="54"/>
  <c r="AD15" i="54"/>
  <c r="J15" i="54" s="1"/>
  <c r="AB15" i="54"/>
  <c r="Y15" i="54"/>
  <c r="X15" i="54"/>
  <c r="P15" i="54"/>
  <c r="Q15" i="54" s="1"/>
  <c r="O15" i="54"/>
  <c r="M15" i="54"/>
  <c r="H15" i="54"/>
  <c r="C15" i="54"/>
  <c r="AD14" i="54"/>
  <c r="J14" i="54" s="1"/>
  <c r="I14" i="54" s="1"/>
  <c r="AB14" i="54"/>
  <c r="Y14" i="54"/>
  <c r="X14" i="54"/>
  <c r="P14" i="54"/>
  <c r="O14" i="54"/>
  <c r="Q14" i="54" s="1"/>
  <c r="M14" i="54"/>
  <c r="H14" i="54"/>
  <c r="C14" i="54"/>
  <c r="AB13" i="54"/>
  <c r="AD13" i="54" s="1"/>
  <c r="J13" i="54" s="1"/>
  <c r="Y13" i="54"/>
  <c r="X13" i="54"/>
  <c r="P13" i="54"/>
  <c r="O13" i="54"/>
  <c r="Q13" i="54" s="1"/>
  <c r="M13" i="54"/>
  <c r="H13" i="54"/>
  <c r="C13" i="54"/>
  <c r="AD12" i="54"/>
  <c r="J12" i="54" s="1"/>
  <c r="I12" i="54" s="1"/>
  <c r="AB12" i="54"/>
  <c r="Y12" i="54"/>
  <c r="X12" i="54"/>
  <c r="P12" i="54"/>
  <c r="O12" i="54"/>
  <c r="Q12" i="54" s="1"/>
  <c r="M12" i="54"/>
  <c r="H12" i="54"/>
  <c r="C12" i="54"/>
  <c r="AB11" i="54"/>
  <c r="AD11" i="54" s="1"/>
  <c r="Y11" i="54"/>
  <c r="X11" i="54"/>
  <c r="Q11" i="54"/>
  <c r="P11" i="54"/>
  <c r="O11" i="54"/>
  <c r="M11" i="54"/>
  <c r="J11" i="54"/>
  <c r="H11" i="54"/>
  <c r="C11" i="54"/>
  <c r="AB10" i="54"/>
  <c r="AD10" i="54" s="1"/>
  <c r="J10" i="54" s="1"/>
  <c r="K10" i="54" s="1"/>
  <c r="Y10" i="54"/>
  <c r="X10" i="54"/>
  <c r="Q10" i="54"/>
  <c r="P10" i="54"/>
  <c r="O10" i="54"/>
  <c r="M10" i="54"/>
  <c r="H10" i="54"/>
  <c r="C10" i="54"/>
  <c r="AB9" i="54"/>
  <c r="AD9" i="54" s="1"/>
  <c r="J9" i="54" s="1"/>
  <c r="Y9" i="54"/>
  <c r="X9" i="54"/>
  <c r="P9" i="54"/>
  <c r="O9" i="54"/>
  <c r="M9" i="54"/>
  <c r="H9" i="54"/>
  <c r="C9" i="54"/>
  <c r="AD8" i="54"/>
  <c r="J8" i="54" s="1"/>
  <c r="I8" i="54" s="1"/>
  <c r="AB8" i="54"/>
  <c r="Y8" i="54"/>
  <c r="X8" i="54"/>
  <c r="Q8" i="54"/>
  <c r="P8" i="54"/>
  <c r="O8" i="54"/>
  <c r="M8" i="54"/>
  <c r="K8" i="54"/>
  <c r="H8" i="54"/>
  <c r="C8" i="54"/>
  <c r="AD7" i="54"/>
  <c r="J7" i="54" s="1"/>
  <c r="AB7" i="54"/>
  <c r="Y7" i="54"/>
  <c r="X7" i="54"/>
  <c r="P7" i="54"/>
  <c r="Q7" i="54" s="1"/>
  <c r="O7" i="54"/>
  <c r="M7" i="54"/>
  <c r="H7" i="54"/>
  <c r="C7" i="54"/>
  <c r="AD6" i="54"/>
  <c r="J6" i="54" s="1"/>
  <c r="K6" i="54" s="1"/>
  <c r="AB6" i="54"/>
  <c r="Y6" i="54"/>
  <c r="X6" i="54"/>
  <c r="P6" i="54"/>
  <c r="O6" i="54"/>
  <c r="Q6" i="54" s="1"/>
  <c r="M6" i="54"/>
  <c r="I6" i="54"/>
  <c r="H6" i="54"/>
  <c r="C6" i="54"/>
  <c r="AB5" i="54"/>
  <c r="AD5" i="54" s="1"/>
  <c r="J5" i="54" s="1"/>
  <c r="Y5" i="54"/>
  <c r="X5" i="54"/>
  <c r="P5" i="54"/>
  <c r="O5" i="54"/>
  <c r="Q5" i="54" s="1"/>
  <c r="M5" i="54"/>
  <c r="H5" i="54"/>
  <c r="C5" i="54"/>
  <c r="AD4" i="54"/>
  <c r="AB4" i="54"/>
  <c r="Y4" i="54"/>
  <c r="X4" i="54"/>
  <c r="P4" i="54"/>
  <c r="O4" i="54"/>
  <c r="Q4" i="54" s="1"/>
  <c r="M4" i="54"/>
  <c r="H4" i="54"/>
  <c r="C4" i="54"/>
  <c r="AG3" i="54"/>
  <c r="AF3" i="54"/>
  <c r="X3" i="54"/>
  <c r="W3" i="54"/>
  <c r="V3" i="54"/>
  <c r="U3" i="54"/>
  <c r="T3" i="54"/>
  <c r="O3" i="54"/>
  <c r="H3" i="54"/>
  <c r="G3" i="54"/>
  <c r="F3" i="54"/>
  <c r="D3" i="54"/>
  <c r="C3" i="54"/>
  <c r="A2" i="54"/>
  <c r="A1" i="54"/>
  <c r="AD32" i="53"/>
  <c r="J32" i="53" s="1"/>
  <c r="K32" i="53" s="1"/>
  <c r="AB32" i="53"/>
  <c r="Y32" i="53"/>
  <c r="X32" i="53"/>
  <c r="V32" i="53"/>
  <c r="U32" i="53"/>
  <c r="T32" i="53"/>
  <c r="Q32" i="53"/>
  <c r="P32" i="53"/>
  <c r="O32" i="53"/>
  <c r="M32" i="53"/>
  <c r="H32" i="53"/>
  <c r="C32" i="53"/>
  <c r="AD31" i="53"/>
  <c r="J31" i="53" s="1"/>
  <c r="AB31" i="53"/>
  <c r="Y31" i="53"/>
  <c r="X31" i="53"/>
  <c r="P31" i="53"/>
  <c r="Q31" i="53" s="1"/>
  <c r="O31" i="53"/>
  <c r="M31" i="53"/>
  <c r="H31" i="53"/>
  <c r="C31" i="53"/>
  <c r="AD30" i="53"/>
  <c r="J30" i="53" s="1"/>
  <c r="AB30" i="53"/>
  <c r="Y30" i="53"/>
  <c r="X30" i="53"/>
  <c r="P30" i="53"/>
  <c r="O30" i="53"/>
  <c r="Q30" i="53" s="1"/>
  <c r="M30" i="53"/>
  <c r="K30" i="53"/>
  <c r="I30" i="53"/>
  <c r="H30" i="53"/>
  <c r="C30" i="53"/>
  <c r="AB29" i="53"/>
  <c r="AD29" i="53" s="1"/>
  <c r="Y29" i="53"/>
  <c r="X29" i="53"/>
  <c r="P29" i="53"/>
  <c r="O29" i="53"/>
  <c r="Q29" i="53" s="1"/>
  <c r="M29" i="53"/>
  <c r="J29" i="53"/>
  <c r="H29" i="53"/>
  <c r="C29" i="53"/>
  <c r="AD28" i="53"/>
  <c r="J28" i="53" s="1"/>
  <c r="I28" i="53" s="1"/>
  <c r="AB28" i="53"/>
  <c r="Y28" i="53"/>
  <c r="X28" i="53"/>
  <c r="P28" i="53"/>
  <c r="O28" i="53"/>
  <c r="Q28" i="53" s="1"/>
  <c r="M28" i="53"/>
  <c r="K28" i="53"/>
  <c r="H28" i="53"/>
  <c r="C28" i="53"/>
  <c r="AB27" i="53"/>
  <c r="AD27" i="53" s="1"/>
  <c r="Y27" i="53"/>
  <c r="X27" i="53"/>
  <c r="Q27" i="53"/>
  <c r="P27" i="53"/>
  <c r="O27" i="53"/>
  <c r="M27" i="53"/>
  <c r="J27" i="53"/>
  <c r="I27" i="53" s="1"/>
  <c r="H27" i="53"/>
  <c r="C27" i="53"/>
  <c r="AB26" i="53"/>
  <c r="AD26" i="53" s="1"/>
  <c r="J26" i="53" s="1"/>
  <c r="Y26" i="53"/>
  <c r="X26" i="53"/>
  <c r="P26" i="53"/>
  <c r="O26" i="53"/>
  <c r="Q26" i="53" s="1"/>
  <c r="M26" i="53"/>
  <c r="H26" i="53"/>
  <c r="C26" i="53"/>
  <c r="AB25" i="53"/>
  <c r="AD25" i="53" s="1"/>
  <c r="Y25" i="53"/>
  <c r="X25" i="53"/>
  <c r="P25" i="53"/>
  <c r="O25" i="53"/>
  <c r="M25" i="53"/>
  <c r="J25" i="53"/>
  <c r="H25" i="53"/>
  <c r="C25" i="53"/>
  <c r="AB24" i="53"/>
  <c r="AD24" i="53" s="1"/>
  <c r="J24" i="53" s="1"/>
  <c r="Y24" i="53"/>
  <c r="X24" i="53"/>
  <c r="Q24" i="53"/>
  <c r="P24" i="53"/>
  <c r="O24" i="53"/>
  <c r="M24" i="53"/>
  <c r="H24" i="53"/>
  <c r="C24" i="53"/>
  <c r="AD23" i="53"/>
  <c r="J23" i="53" s="1"/>
  <c r="I23" i="53" s="1"/>
  <c r="AB23" i="53"/>
  <c r="Y23" i="53"/>
  <c r="X23" i="53"/>
  <c r="P23" i="53"/>
  <c r="O23" i="53"/>
  <c r="Q23" i="53" s="1"/>
  <c r="M23" i="53"/>
  <c r="K23" i="53"/>
  <c r="H23" i="53"/>
  <c r="C23" i="53"/>
  <c r="AB22" i="53"/>
  <c r="AD22" i="53" s="1"/>
  <c r="J22" i="53" s="1"/>
  <c r="Y22" i="53"/>
  <c r="X22" i="53"/>
  <c r="P22" i="53"/>
  <c r="O22" i="53"/>
  <c r="Q22" i="53" s="1"/>
  <c r="M22" i="53"/>
  <c r="H22" i="53"/>
  <c r="C22" i="53"/>
  <c r="AB21" i="53"/>
  <c r="AD21" i="53" s="1"/>
  <c r="J21" i="53" s="1"/>
  <c r="Y21" i="53"/>
  <c r="X21" i="53"/>
  <c r="P21" i="53"/>
  <c r="O21" i="53"/>
  <c r="Q21" i="53" s="1"/>
  <c r="M21" i="53"/>
  <c r="H21" i="53"/>
  <c r="C21" i="53"/>
  <c r="AB20" i="53"/>
  <c r="AD20" i="53" s="1"/>
  <c r="J20" i="53" s="1"/>
  <c r="Y20" i="53"/>
  <c r="X20" i="53"/>
  <c r="P20" i="53"/>
  <c r="Q20" i="53" s="1"/>
  <c r="O20" i="53"/>
  <c r="M20" i="53"/>
  <c r="H20" i="53"/>
  <c r="C20" i="53"/>
  <c r="AB19" i="53"/>
  <c r="AD19" i="53" s="1"/>
  <c r="Y19" i="53"/>
  <c r="X19" i="53"/>
  <c r="Q19" i="53"/>
  <c r="P19" i="53"/>
  <c r="O19" i="53"/>
  <c r="M19" i="53"/>
  <c r="J19" i="53"/>
  <c r="H19" i="53"/>
  <c r="C19" i="53"/>
  <c r="AB18" i="53"/>
  <c r="AD18" i="53" s="1"/>
  <c r="J18" i="53" s="1"/>
  <c r="K18" i="53" s="1"/>
  <c r="Y18" i="53"/>
  <c r="X18" i="53"/>
  <c r="P18" i="53"/>
  <c r="Q18" i="53" s="1"/>
  <c r="O18" i="53"/>
  <c r="M18" i="53"/>
  <c r="H18" i="53"/>
  <c r="C18" i="53"/>
  <c r="AB17" i="53"/>
  <c r="AD17" i="53" s="1"/>
  <c r="J17" i="53" s="1"/>
  <c r="Y17" i="53"/>
  <c r="X17" i="53"/>
  <c r="P17" i="53"/>
  <c r="O17" i="53"/>
  <c r="M17" i="53"/>
  <c r="H17" i="53"/>
  <c r="C17" i="53"/>
  <c r="AD16" i="53"/>
  <c r="J16" i="53" s="1"/>
  <c r="AB16" i="53"/>
  <c r="Y16" i="53"/>
  <c r="X16" i="53"/>
  <c r="P16" i="53"/>
  <c r="Q16" i="53" s="1"/>
  <c r="O16" i="53"/>
  <c r="M16" i="53"/>
  <c r="H16" i="53"/>
  <c r="C16" i="53"/>
  <c r="AD15" i="53"/>
  <c r="J15" i="53" s="1"/>
  <c r="I15" i="53" s="1"/>
  <c r="AB15" i="53"/>
  <c r="Y15" i="53"/>
  <c r="X15" i="53"/>
  <c r="P15" i="53"/>
  <c r="O15" i="53"/>
  <c r="Q15" i="53" s="1"/>
  <c r="M15" i="53"/>
  <c r="K15" i="53"/>
  <c r="H15" i="53"/>
  <c r="C15" i="53"/>
  <c r="AD14" i="53"/>
  <c r="AB14" i="53"/>
  <c r="Y14" i="53"/>
  <c r="X14" i="53"/>
  <c r="P14" i="53"/>
  <c r="O14" i="53"/>
  <c r="Q14" i="53" s="1"/>
  <c r="M14" i="53"/>
  <c r="J14" i="53"/>
  <c r="K14" i="53" s="1"/>
  <c r="H14" i="53"/>
  <c r="C14" i="53"/>
  <c r="AB13" i="53"/>
  <c r="AD13" i="53" s="1"/>
  <c r="Y13" i="53"/>
  <c r="X13" i="53"/>
  <c r="P13" i="53"/>
  <c r="O13" i="53"/>
  <c r="Q13" i="53" s="1"/>
  <c r="M13" i="53"/>
  <c r="J13" i="53"/>
  <c r="K13" i="53" s="1"/>
  <c r="H13" i="53"/>
  <c r="C13" i="53"/>
  <c r="AB12" i="53"/>
  <c r="AD12" i="53" s="1"/>
  <c r="J12" i="53" s="1"/>
  <c r="Y12" i="53"/>
  <c r="X12" i="53"/>
  <c r="P12" i="53"/>
  <c r="O12" i="53"/>
  <c r="Q12" i="53" s="1"/>
  <c r="M12" i="53"/>
  <c r="H12" i="53"/>
  <c r="C12" i="53"/>
  <c r="AB11" i="53"/>
  <c r="AD11" i="53" s="1"/>
  <c r="J11" i="53" s="1"/>
  <c r="K11" i="53" s="1"/>
  <c r="Y11" i="53"/>
  <c r="X11" i="53"/>
  <c r="Q11" i="53"/>
  <c r="P11" i="53"/>
  <c r="O11" i="53"/>
  <c r="M11" i="53"/>
  <c r="I11" i="53"/>
  <c r="H11" i="53"/>
  <c r="C11" i="53"/>
  <c r="AB10" i="53"/>
  <c r="AD10" i="53" s="1"/>
  <c r="J10" i="53" s="1"/>
  <c r="Y10" i="53"/>
  <c r="X10" i="53"/>
  <c r="P10" i="53"/>
  <c r="Q10" i="53" s="1"/>
  <c r="O10" i="53"/>
  <c r="M10" i="53"/>
  <c r="H10" i="53"/>
  <c r="C10" i="53"/>
  <c r="AD9" i="53"/>
  <c r="J9" i="53" s="1"/>
  <c r="I9" i="53" s="1"/>
  <c r="AB9" i="53"/>
  <c r="Y9" i="53"/>
  <c r="X9" i="53"/>
  <c r="P9" i="53"/>
  <c r="O9" i="53"/>
  <c r="Q9" i="53" s="1"/>
  <c r="M9" i="53"/>
  <c r="H9" i="53"/>
  <c r="C9" i="53"/>
  <c r="AD8" i="53"/>
  <c r="J8" i="53" s="1"/>
  <c r="AB8" i="53"/>
  <c r="Y8" i="53"/>
  <c r="X8" i="53"/>
  <c r="P8" i="53"/>
  <c r="O8" i="53"/>
  <c r="Q8" i="53" s="1"/>
  <c r="M8" i="53"/>
  <c r="H8" i="53"/>
  <c r="C8" i="53"/>
  <c r="AD7" i="53"/>
  <c r="J7" i="53" s="1"/>
  <c r="AB7" i="53"/>
  <c r="Y7" i="53"/>
  <c r="X7" i="53"/>
  <c r="P7" i="53"/>
  <c r="O7" i="53"/>
  <c r="Q7" i="53" s="1"/>
  <c r="M7" i="53"/>
  <c r="H7" i="53"/>
  <c r="C7" i="53"/>
  <c r="AB6" i="53"/>
  <c r="AD6" i="53" s="1"/>
  <c r="J6" i="53" s="1"/>
  <c r="Y6" i="53"/>
  <c r="X6" i="53"/>
  <c r="P6" i="53"/>
  <c r="O6" i="53"/>
  <c r="Q6" i="53" s="1"/>
  <c r="M6" i="53"/>
  <c r="H6" i="53"/>
  <c r="C6" i="53"/>
  <c r="AB5" i="53"/>
  <c r="AD5" i="53" s="1"/>
  <c r="J5" i="53" s="1"/>
  <c r="Y5" i="53"/>
  <c r="X5" i="53"/>
  <c r="Q5" i="53"/>
  <c r="P5" i="53"/>
  <c r="O5" i="53"/>
  <c r="M5" i="53"/>
  <c r="H5" i="53"/>
  <c r="C5" i="53"/>
  <c r="AB4" i="53"/>
  <c r="AD4" i="53" s="1"/>
  <c r="J4" i="53" s="1"/>
  <c r="Y4" i="53"/>
  <c r="X4" i="53"/>
  <c r="P4" i="53"/>
  <c r="O4" i="53"/>
  <c r="Q4" i="53" s="1"/>
  <c r="M4" i="53"/>
  <c r="H4" i="53"/>
  <c r="C4" i="53"/>
  <c r="AG3" i="53"/>
  <c r="AF3" i="53"/>
  <c r="W3" i="53"/>
  <c r="X3" i="53" s="1"/>
  <c r="V3" i="53"/>
  <c r="U3" i="53"/>
  <c r="T3" i="53"/>
  <c r="O3" i="53"/>
  <c r="H3" i="53"/>
  <c r="G3" i="53"/>
  <c r="F3" i="53"/>
  <c r="D3" i="53"/>
  <c r="C3" i="53"/>
  <c r="A2" i="53"/>
  <c r="A1" i="53"/>
  <c r="AB32" i="52"/>
  <c r="AD32" i="52" s="1"/>
  <c r="J32" i="52" s="1"/>
  <c r="Y32" i="52"/>
  <c r="X32" i="52"/>
  <c r="V32" i="52"/>
  <c r="U32" i="52"/>
  <c r="T32" i="52"/>
  <c r="P32" i="52"/>
  <c r="O32" i="52"/>
  <c r="Q32" i="52" s="1"/>
  <c r="M32" i="52"/>
  <c r="H32" i="52"/>
  <c r="C32" i="52"/>
  <c r="AD31" i="52"/>
  <c r="J31" i="52" s="1"/>
  <c r="AB31" i="52"/>
  <c r="Y31" i="52"/>
  <c r="X31" i="52"/>
  <c r="P31" i="52"/>
  <c r="O31" i="52"/>
  <c r="Q31" i="52" s="1"/>
  <c r="M31" i="52"/>
  <c r="H31" i="52"/>
  <c r="C31" i="52"/>
  <c r="AB30" i="52"/>
  <c r="AD30" i="52" s="1"/>
  <c r="J30" i="52" s="1"/>
  <c r="Y30" i="52"/>
  <c r="X30" i="52"/>
  <c r="P30" i="52"/>
  <c r="O30" i="52"/>
  <c r="Q30" i="52" s="1"/>
  <c r="M30" i="52"/>
  <c r="H30" i="52"/>
  <c r="C30" i="52"/>
  <c r="AB29" i="52"/>
  <c r="AD29" i="52" s="1"/>
  <c r="J29" i="52" s="1"/>
  <c r="Y29" i="52"/>
  <c r="X29" i="52"/>
  <c r="Q29" i="52"/>
  <c r="P29" i="52"/>
  <c r="O29" i="52"/>
  <c r="M29" i="52"/>
  <c r="H29" i="52"/>
  <c r="C29" i="52"/>
  <c r="AB28" i="52"/>
  <c r="AD28" i="52" s="1"/>
  <c r="J28" i="52" s="1"/>
  <c r="Y28" i="52"/>
  <c r="X28" i="52"/>
  <c r="P28" i="52"/>
  <c r="O28" i="52"/>
  <c r="Q28" i="52" s="1"/>
  <c r="M28" i="52"/>
  <c r="H28" i="52"/>
  <c r="C28" i="52"/>
  <c r="AB27" i="52"/>
  <c r="AD27" i="52" s="1"/>
  <c r="J27" i="52" s="1"/>
  <c r="K27" i="52" s="1"/>
  <c r="Y27" i="52"/>
  <c r="X27" i="52"/>
  <c r="Q27" i="52"/>
  <c r="P27" i="52"/>
  <c r="O27" i="52"/>
  <c r="M27" i="52"/>
  <c r="I27" i="52"/>
  <c r="H27" i="52"/>
  <c r="C27" i="52"/>
  <c r="AB26" i="52"/>
  <c r="AD26" i="52" s="1"/>
  <c r="J26" i="52" s="1"/>
  <c r="Y26" i="52"/>
  <c r="X26" i="52"/>
  <c r="P26" i="52"/>
  <c r="Q26" i="52" s="1"/>
  <c r="O26" i="52"/>
  <c r="M26" i="52"/>
  <c r="H26" i="52"/>
  <c r="C26" i="52"/>
  <c r="AD25" i="52"/>
  <c r="J25" i="52" s="1"/>
  <c r="I25" i="52" s="1"/>
  <c r="AB25" i="52"/>
  <c r="Y25" i="52"/>
  <c r="X25" i="52"/>
  <c r="P25" i="52"/>
  <c r="O25" i="52"/>
  <c r="Q25" i="52" s="1"/>
  <c r="M25" i="52"/>
  <c r="K25" i="52"/>
  <c r="H25" i="52"/>
  <c r="C25" i="52"/>
  <c r="AD24" i="52"/>
  <c r="J24" i="52" s="1"/>
  <c r="K24" i="52" s="1"/>
  <c r="AB24" i="52"/>
  <c r="Y24" i="52"/>
  <c r="X24" i="52"/>
  <c r="P24" i="52"/>
  <c r="O24" i="52"/>
  <c r="Q24" i="52" s="1"/>
  <c r="M24" i="52"/>
  <c r="I24" i="52"/>
  <c r="H24" i="52"/>
  <c r="C24" i="52"/>
  <c r="AD23" i="52"/>
  <c r="J23" i="52" s="1"/>
  <c r="AB23" i="52"/>
  <c r="Y23" i="52"/>
  <c r="X23" i="52"/>
  <c r="P23" i="52"/>
  <c r="O23" i="52"/>
  <c r="Q23" i="52" s="1"/>
  <c r="M23" i="52"/>
  <c r="H23" i="52"/>
  <c r="C23" i="52"/>
  <c r="AD22" i="52"/>
  <c r="AB22" i="52"/>
  <c r="Y22" i="52"/>
  <c r="X22" i="52"/>
  <c r="P22" i="52"/>
  <c r="O22" i="52"/>
  <c r="Q22" i="52" s="1"/>
  <c r="M22" i="52"/>
  <c r="K22" i="52"/>
  <c r="J22" i="52"/>
  <c r="I22" i="52" s="1"/>
  <c r="H22" i="52"/>
  <c r="C22" i="52"/>
  <c r="AB21" i="52"/>
  <c r="AD21" i="52" s="1"/>
  <c r="J21" i="52" s="1"/>
  <c r="Y21" i="52"/>
  <c r="X21" i="52"/>
  <c r="Q21" i="52"/>
  <c r="P21" i="52"/>
  <c r="O21" i="52"/>
  <c r="M21" i="52"/>
  <c r="H21" i="52"/>
  <c r="C21" i="52"/>
  <c r="AB20" i="52"/>
  <c r="AD20" i="52" s="1"/>
  <c r="J20" i="52" s="1"/>
  <c r="Y20" i="52"/>
  <c r="X20" i="52"/>
  <c r="P20" i="52"/>
  <c r="O20" i="52"/>
  <c r="Q20" i="52" s="1"/>
  <c r="M20" i="52"/>
  <c r="H20" i="52"/>
  <c r="C20" i="52"/>
  <c r="AB19" i="52"/>
  <c r="AD19" i="52" s="1"/>
  <c r="J19" i="52" s="1"/>
  <c r="Y19" i="52"/>
  <c r="X19" i="52"/>
  <c r="Q19" i="52"/>
  <c r="P19" i="52"/>
  <c r="O19" i="52"/>
  <c r="M19" i="52"/>
  <c r="H19" i="52"/>
  <c r="C19" i="52"/>
  <c r="AB18" i="52"/>
  <c r="AD18" i="52" s="1"/>
  <c r="J18" i="52" s="1"/>
  <c r="Y18" i="52"/>
  <c r="X18" i="52"/>
  <c r="Q18" i="52"/>
  <c r="P18" i="52"/>
  <c r="O18" i="52"/>
  <c r="M18" i="52"/>
  <c r="H18" i="52"/>
  <c r="C18" i="52"/>
  <c r="AD17" i="52"/>
  <c r="J17" i="52" s="1"/>
  <c r="I17" i="52" s="1"/>
  <c r="AB17" i="52"/>
  <c r="Y17" i="52"/>
  <c r="X17" i="52"/>
  <c r="P17" i="52"/>
  <c r="O17" i="52"/>
  <c r="Q17" i="52" s="1"/>
  <c r="M17" i="52"/>
  <c r="K17" i="52"/>
  <c r="H17" i="52"/>
  <c r="C17" i="52"/>
  <c r="AD16" i="52"/>
  <c r="J16" i="52" s="1"/>
  <c r="K16" i="52" s="1"/>
  <c r="AB16" i="52"/>
  <c r="Y16" i="52"/>
  <c r="X16" i="52"/>
  <c r="P16" i="52"/>
  <c r="O16" i="52"/>
  <c r="Q16" i="52" s="1"/>
  <c r="M16" i="52"/>
  <c r="H16" i="52"/>
  <c r="C16" i="52"/>
  <c r="AD15" i="52"/>
  <c r="J15" i="52" s="1"/>
  <c r="AB15" i="52"/>
  <c r="Y15" i="52"/>
  <c r="X15" i="52"/>
  <c r="P15" i="52"/>
  <c r="O15" i="52"/>
  <c r="M15" i="52"/>
  <c r="H15" i="52"/>
  <c r="C15" i="52"/>
  <c r="AB14" i="52"/>
  <c r="AD14" i="52" s="1"/>
  <c r="Y14" i="52"/>
  <c r="X14" i="52"/>
  <c r="P14" i="52"/>
  <c r="O14" i="52"/>
  <c r="Q14" i="52" s="1"/>
  <c r="M14" i="52"/>
  <c r="H14" i="52"/>
  <c r="C14" i="52"/>
  <c r="AB13" i="52"/>
  <c r="AD13" i="52" s="1"/>
  <c r="J13" i="52" s="1"/>
  <c r="Y13" i="52"/>
  <c r="X13" i="52"/>
  <c r="Q13" i="52"/>
  <c r="P13" i="52"/>
  <c r="O13" i="52"/>
  <c r="M13" i="52"/>
  <c r="H13" i="52"/>
  <c r="C13" i="52"/>
  <c r="AB12" i="52"/>
  <c r="AD12" i="52" s="1"/>
  <c r="J12" i="52" s="1"/>
  <c r="Y12" i="52"/>
  <c r="X12" i="52"/>
  <c r="P12" i="52"/>
  <c r="O12" i="52"/>
  <c r="Q12" i="52" s="1"/>
  <c r="M12" i="52"/>
  <c r="H12" i="52"/>
  <c r="C12" i="52"/>
  <c r="AB11" i="52"/>
  <c r="AD11" i="52" s="1"/>
  <c r="Y11" i="52"/>
  <c r="X11" i="52"/>
  <c r="Q11" i="52"/>
  <c r="P11" i="52"/>
  <c r="O11" i="52"/>
  <c r="M11" i="52"/>
  <c r="J11" i="52"/>
  <c r="K11" i="52" s="1"/>
  <c r="H11" i="52"/>
  <c r="C11" i="52"/>
  <c r="AB10" i="52"/>
  <c r="AD10" i="52" s="1"/>
  <c r="J10" i="52" s="1"/>
  <c r="Y10" i="52"/>
  <c r="X10" i="52"/>
  <c r="Q10" i="52"/>
  <c r="P10" i="52"/>
  <c r="O10" i="52"/>
  <c r="M10" i="52"/>
  <c r="H10" i="52"/>
  <c r="C10" i="52"/>
  <c r="AD9" i="52"/>
  <c r="J9" i="52" s="1"/>
  <c r="I9" i="52" s="1"/>
  <c r="AB9" i="52"/>
  <c r="Y9" i="52"/>
  <c r="X9" i="52"/>
  <c r="P9" i="52"/>
  <c r="O9" i="52"/>
  <c r="Q9" i="52" s="1"/>
  <c r="M9" i="52"/>
  <c r="K9" i="52"/>
  <c r="H9" i="52"/>
  <c r="C9" i="52"/>
  <c r="AD8" i="52"/>
  <c r="J8" i="52" s="1"/>
  <c r="AB8" i="52"/>
  <c r="Y8" i="52"/>
  <c r="X8" i="52"/>
  <c r="P8" i="52"/>
  <c r="O8" i="52"/>
  <c r="Q8" i="52" s="1"/>
  <c r="M8" i="52"/>
  <c r="H8" i="52"/>
  <c r="C8" i="52"/>
  <c r="AD7" i="52"/>
  <c r="J7" i="52" s="1"/>
  <c r="AB7" i="52"/>
  <c r="Y7" i="52"/>
  <c r="X7" i="52"/>
  <c r="P7" i="52"/>
  <c r="O7" i="52"/>
  <c r="Q7" i="52" s="1"/>
  <c r="M7" i="52"/>
  <c r="H7" i="52"/>
  <c r="C7" i="52"/>
  <c r="AD6" i="52"/>
  <c r="AB6" i="52"/>
  <c r="Y6" i="52"/>
  <c r="X6" i="52"/>
  <c r="P6" i="52"/>
  <c r="O6" i="52"/>
  <c r="Q6" i="52" s="1"/>
  <c r="M6" i="52"/>
  <c r="J6" i="52"/>
  <c r="I6" i="52" s="1"/>
  <c r="H6" i="52"/>
  <c r="C6" i="52"/>
  <c r="AB5" i="52"/>
  <c r="AD5" i="52" s="1"/>
  <c r="J5" i="52" s="1"/>
  <c r="Y5" i="52"/>
  <c r="X5" i="52"/>
  <c r="Q5" i="52"/>
  <c r="P5" i="52"/>
  <c r="O5" i="52"/>
  <c r="M5" i="52"/>
  <c r="H5" i="52"/>
  <c r="C5" i="52"/>
  <c r="AB4" i="52"/>
  <c r="AD4" i="52" s="1"/>
  <c r="J4" i="52" s="1"/>
  <c r="Y4" i="52"/>
  <c r="X4" i="52"/>
  <c r="P4" i="52"/>
  <c r="O4" i="52"/>
  <c r="Q4" i="52" s="1"/>
  <c r="M4" i="52"/>
  <c r="H4" i="52"/>
  <c r="C4" i="52"/>
  <c r="AG3" i="52"/>
  <c r="AF3" i="52"/>
  <c r="W3" i="52"/>
  <c r="X3" i="52" s="1"/>
  <c r="V3" i="52"/>
  <c r="U3" i="52"/>
  <c r="T3" i="52"/>
  <c r="O3" i="52"/>
  <c r="H3" i="52"/>
  <c r="G3" i="52"/>
  <c r="F3" i="52"/>
  <c r="D3" i="52"/>
  <c r="C3" i="52"/>
  <c r="A2" i="52"/>
  <c r="A1" i="52"/>
  <c r="AB32" i="51"/>
  <c r="AD32" i="51" s="1"/>
  <c r="J32" i="51" s="1"/>
  <c r="Y32" i="51"/>
  <c r="X32" i="51"/>
  <c r="V32" i="51"/>
  <c r="U32" i="51"/>
  <c r="T32" i="51"/>
  <c r="P32" i="51"/>
  <c r="O32" i="51"/>
  <c r="Q32" i="51" s="1"/>
  <c r="M32" i="51"/>
  <c r="H32" i="51"/>
  <c r="C32" i="51"/>
  <c r="AD31" i="51"/>
  <c r="J31" i="51" s="1"/>
  <c r="AB31" i="51"/>
  <c r="Y31" i="51"/>
  <c r="X31" i="51"/>
  <c r="P31" i="51"/>
  <c r="O31" i="51"/>
  <c r="M31" i="51"/>
  <c r="H31" i="51"/>
  <c r="C31" i="51"/>
  <c r="AB30" i="51"/>
  <c r="AD30" i="51" s="1"/>
  <c r="J30" i="51" s="1"/>
  <c r="Y30" i="51"/>
  <c r="X30" i="51"/>
  <c r="P30" i="51"/>
  <c r="O30" i="51"/>
  <c r="Q30" i="51" s="1"/>
  <c r="M30" i="51"/>
  <c r="H30" i="51"/>
  <c r="C30" i="51"/>
  <c r="AB29" i="51"/>
  <c r="AD29" i="51" s="1"/>
  <c r="J29" i="51" s="1"/>
  <c r="Y29" i="51"/>
  <c r="X29" i="51"/>
  <c r="Q29" i="51"/>
  <c r="P29" i="51"/>
  <c r="O29" i="51"/>
  <c r="M29" i="51"/>
  <c r="H29" i="51"/>
  <c r="C29" i="51"/>
  <c r="AB28" i="51"/>
  <c r="AD28" i="51" s="1"/>
  <c r="J28" i="51" s="1"/>
  <c r="Y28" i="51"/>
  <c r="X28" i="51"/>
  <c r="P28" i="51"/>
  <c r="O28" i="51"/>
  <c r="Q28" i="51" s="1"/>
  <c r="M28" i="51"/>
  <c r="H28" i="51"/>
  <c r="C28" i="51"/>
  <c r="AB27" i="51"/>
  <c r="AD27" i="51" s="1"/>
  <c r="Y27" i="51"/>
  <c r="X27" i="51"/>
  <c r="Q27" i="51"/>
  <c r="P27" i="51"/>
  <c r="O27" i="51"/>
  <c r="M27" i="51"/>
  <c r="J27" i="51"/>
  <c r="K27" i="51" s="1"/>
  <c r="H27" i="51"/>
  <c r="C27" i="51"/>
  <c r="AB26" i="51"/>
  <c r="AD26" i="51" s="1"/>
  <c r="J26" i="51" s="1"/>
  <c r="Y26" i="51"/>
  <c r="X26" i="51"/>
  <c r="Q26" i="51"/>
  <c r="P26" i="51"/>
  <c r="O26" i="51"/>
  <c r="M26" i="51"/>
  <c r="H26" i="51"/>
  <c r="C26" i="51"/>
  <c r="AD25" i="51"/>
  <c r="J25" i="51" s="1"/>
  <c r="I25" i="51" s="1"/>
  <c r="AB25" i="51"/>
  <c r="Y25" i="51"/>
  <c r="X25" i="51"/>
  <c r="P25" i="51"/>
  <c r="O25" i="51"/>
  <c r="Q25" i="51" s="1"/>
  <c r="M25" i="51"/>
  <c r="H25" i="51"/>
  <c r="C25" i="51"/>
  <c r="AD24" i="51"/>
  <c r="J24" i="51" s="1"/>
  <c r="AB24" i="51"/>
  <c r="Y24" i="51"/>
  <c r="X24" i="51"/>
  <c r="P24" i="51"/>
  <c r="O24" i="51"/>
  <c r="Q24" i="51" s="1"/>
  <c r="M24" i="51"/>
  <c r="H24" i="51"/>
  <c r="C24" i="51"/>
  <c r="AD23" i="51"/>
  <c r="J23" i="51" s="1"/>
  <c r="AB23" i="51"/>
  <c r="Y23" i="51"/>
  <c r="X23" i="51"/>
  <c r="P23" i="51"/>
  <c r="O23" i="51"/>
  <c r="Q23" i="51" s="1"/>
  <c r="M23" i="51"/>
  <c r="H23" i="51"/>
  <c r="C23" i="51"/>
  <c r="AD22" i="51"/>
  <c r="AB22" i="51"/>
  <c r="Y22" i="51"/>
  <c r="X22" i="51"/>
  <c r="P22" i="51"/>
  <c r="O22" i="51"/>
  <c r="Q22" i="51" s="1"/>
  <c r="M22" i="51"/>
  <c r="J22" i="51"/>
  <c r="I22" i="51" s="1"/>
  <c r="H22" i="51"/>
  <c r="C22" i="51"/>
  <c r="AB21" i="51"/>
  <c r="AD21" i="51" s="1"/>
  <c r="J21" i="51" s="1"/>
  <c r="Y21" i="51"/>
  <c r="X21" i="51"/>
  <c r="Q21" i="51"/>
  <c r="P21" i="51"/>
  <c r="O21" i="51"/>
  <c r="M21" i="51"/>
  <c r="H21" i="51"/>
  <c r="C21" i="51"/>
  <c r="AB20" i="51"/>
  <c r="AD20" i="51" s="1"/>
  <c r="J20" i="51" s="1"/>
  <c r="Y20" i="51"/>
  <c r="X20" i="51"/>
  <c r="P20" i="51"/>
  <c r="O20" i="51"/>
  <c r="Q20" i="51" s="1"/>
  <c r="M20" i="51"/>
  <c r="H20" i="51"/>
  <c r="C20" i="51"/>
  <c r="AB19" i="51"/>
  <c r="AD19" i="51" s="1"/>
  <c r="J19" i="51" s="1"/>
  <c r="Y19" i="51"/>
  <c r="X19" i="51"/>
  <c r="Q19" i="51"/>
  <c r="P19" i="51"/>
  <c r="O19" i="51"/>
  <c r="M19" i="51"/>
  <c r="H19" i="51"/>
  <c r="C19" i="51"/>
  <c r="AB18" i="51"/>
  <c r="AD18" i="51" s="1"/>
  <c r="J18" i="51" s="1"/>
  <c r="Y18" i="51"/>
  <c r="X18" i="51"/>
  <c r="P18" i="51"/>
  <c r="Q18" i="51" s="1"/>
  <c r="O18" i="51"/>
  <c r="M18" i="51"/>
  <c r="H18" i="51"/>
  <c r="C18" i="51"/>
  <c r="AD17" i="51"/>
  <c r="J17" i="51" s="1"/>
  <c r="I17" i="51" s="1"/>
  <c r="AB17" i="51"/>
  <c r="Y17" i="51"/>
  <c r="X17" i="51"/>
  <c r="P17" i="51"/>
  <c r="O17" i="51"/>
  <c r="Q17" i="51" s="1"/>
  <c r="M17" i="51"/>
  <c r="H17" i="51"/>
  <c r="C17" i="51"/>
  <c r="AD16" i="51"/>
  <c r="J16" i="51" s="1"/>
  <c r="K16" i="51" s="1"/>
  <c r="AB16" i="51"/>
  <c r="Y16" i="51"/>
  <c r="X16" i="51"/>
  <c r="P16" i="51"/>
  <c r="O16" i="51"/>
  <c r="Q16" i="51" s="1"/>
  <c r="M16" i="51"/>
  <c r="H16" i="51"/>
  <c r="C16" i="51"/>
  <c r="AD15" i="51"/>
  <c r="J15" i="51" s="1"/>
  <c r="AB15" i="51"/>
  <c r="Y15" i="51"/>
  <c r="X15" i="51"/>
  <c r="P15" i="51"/>
  <c r="O15" i="51"/>
  <c r="M15" i="51"/>
  <c r="H15" i="51"/>
  <c r="C15" i="51"/>
  <c r="AD14" i="51"/>
  <c r="J14" i="51" s="1"/>
  <c r="AB14" i="51"/>
  <c r="Y14" i="51"/>
  <c r="X14" i="51"/>
  <c r="P14" i="51"/>
  <c r="O14" i="51"/>
  <c r="Q14" i="51" s="1"/>
  <c r="M14" i="51"/>
  <c r="H14" i="51"/>
  <c r="C14" i="51"/>
  <c r="AB13" i="51"/>
  <c r="AD13" i="51" s="1"/>
  <c r="J13" i="51" s="1"/>
  <c r="Y13" i="51"/>
  <c r="X13" i="51"/>
  <c r="Q13" i="51"/>
  <c r="P13" i="51"/>
  <c r="O13" i="51"/>
  <c r="M13" i="51"/>
  <c r="H13" i="51"/>
  <c r="C13" i="51"/>
  <c r="AB12" i="51"/>
  <c r="AD12" i="51" s="1"/>
  <c r="J12" i="51" s="1"/>
  <c r="Y12" i="51"/>
  <c r="X12" i="51"/>
  <c r="P12" i="51"/>
  <c r="O12" i="51"/>
  <c r="Q12" i="51" s="1"/>
  <c r="M12" i="51"/>
  <c r="H12" i="51"/>
  <c r="C12" i="51"/>
  <c r="AB11" i="51"/>
  <c r="AD11" i="51" s="1"/>
  <c r="Y11" i="51"/>
  <c r="X11" i="51"/>
  <c r="Q11" i="51"/>
  <c r="P11" i="51"/>
  <c r="O11" i="51"/>
  <c r="M11" i="51"/>
  <c r="J11" i="51"/>
  <c r="K11" i="51" s="1"/>
  <c r="H11" i="51"/>
  <c r="C11" i="51"/>
  <c r="AB10" i="51"/>
  <c r="AD10" i="51" s="1"/>
  <c r="J10" i="51" s="1"/>
  <c r="Y10" i="51"/>
  <c r="X10" i="51"/>
  <c r="P10" i="51"/>
  <c r="Q10" i="51" s="1"/>
  <c r="O10" i="51"/>
  <c r="M10" i="51"/>
  <c r="H10" i="51"/>
  <c r="C10" i="51"/>
  <c r="AD9" i="51"/>
  <c r="J9" i="51" s="1"/>
  <c r="AB9" i="51"/>
  <c r="Y9" i="51"/>
  <c r="X9" i="51"/>
  <c r="P9" i="51"/>
  <c r="O9" i="51"/>
  <c r="Q9" i="51" s="1"/>
  <c r="M9" i="51"/>
  <c r="H9" i="51"/>
  <c r="C9" i="51"/>
  <c r="AD8" i="51"/>
  <c r="J8" i="51" s="1"/>
  <c r="K8" i="51" s="1"/>
  <c r="AB8" i="51"/>
  <c r="Y8" i="51"/>
  <c r="X8" i="51"/>
  <c r="P8" i="51"/>
  <c r="O8" i="51"/>
  <c r="Q8" i="51" s="1"/>
  <c r="M8" i="51"/>
  <c r="I8" i="51"/>
  <c r="H8" i="51"/>
  <c r="C8" i="51"/>
  <c r="AD7" i="51"/>
  <c r="J7" i="51" s="1"/>
  <c r="AB7" i="51"/>
  <c r="Y7" i="51"/>
  <c r="X7" i="51"/>
  <c r="P7" i="51"/>
  <c r="O7" i="51"/>
  <c r="M7" i="51"/>
  <c r="H7" i="51"/>
  <c r="C7" i="51"/>
  <c r="AB6" i="51"/>
  <c r="AD6" i="51" s="1"/>
  <c r="J6" i="51" s="1"/>
  <c r="Y6" i="51"/>
  <c r="X6" i="51"/>
  <c r="P6" i="51"/>
  <c r="O6" i="51"/>
  <c r="Q6" i="51" s="1"/>
  <c r="M6" i="51"/>
  <c r="H6" i="51"/>
  <c r="C6" i="51"/>
  <c r="AB5" i="51"/>
  <c r="AD5" i="51" s="1"/>
  <c r="J5" i="51" s="1"/>
  <c r="Y5" i="51"/>
  <c r="X5" i="51"/>
  <c r="Q5" i="51"/>
  <c r="P5" i="51"/>
  <c r="O5" i="51"/>
  <c r="M5" i="51"/>
  <c r="H5" i="51"/>
  <c r="C5" i="51"/>
  <c r="AB4" i="51"/>
  <c r="AD4" i="51" s="1"/>
  <c r="J4" i="51" s="1"/>
  <c r="Y4" i="51"/>
  <c r="X4" i="51"/>
  <c r="P4" i="51"/>
  <c r="O4" i="51"/>
  <c r="Q4" i="51" s="1"/>
  <c r="M4" i="51"/>
  <c r="H4" i="51"/>
  <c r="C4" i="51"/>
  <c r="AG3" i="51"/>
  <c r="AF3" i="51"/>
  <c r="W3" i="51"/>
  <c r="X3" i="51" s="1"/>
  <c r="V3" i="51"/>
  <c r="U3" i="51"/>
  <c r="T3" i="51"/>
  <c r="O3" i="51"/>
  <c r="H3" i="51"/>
  <c r="G3" i="51"/>
  <c r="F3" i="51"/>
  <c r="D3" i="51"/>
  <c r="C3" i="51"/>
  <c r="A2" i="51"/>
  <c r="A1" i="51"/>
  <c r="AB32" i="50"/>
  <c r="AD32" i="50" s="1"/>
  <c r="J32" i="50" s="1"/>
  <c r="K32" i="50" s="1"/>
  <c r="Y32" i="50"/>
  <c r="X32" i="50"/>
  <c r="V32" i="50"/>
  <c r="U32" i="50"/>
  <c r="T32" i="50"/>
  <c r="P32" i="50"/>
  <c r="O32" i="50"/>
  <c r="Q32" i="50" s="1"/>
  <c r="M32" i="50"/>
  <c r="H32" i="50"/>
  <c r="C32" i="50"/>
  <c r="AD31" i="50"/>
  <c r="J31" i="50" s="1"/>
  <c r="AB31" i="50"/>
  <c r="Y31" i="50"/>
  <c r="X31" i="50"/>
  <c r="P31" i="50"/>
  <c r="O31" i="50"/>
  <c r="M31" i="50"/>
  <c r="H31" i="50"/>
  <c r="C31" i="50"/>
  <c r="AD30" i="50"/>
  <c r="AB30" i="50"/>
  <c r="Y30" i="50"/>
  <c r="X30" i="50"/>
  <c r="P30" i="50"/>
  <c r="O30" i="50"/>
  <c r="Q30" i="50" s="1"/>
  <c r="M30" i="50"/>
  <c r="J30" i="50"/>
  <c r="H30" i="50"/>
  <c r="C30" i="50"/>
  <c r="AB29" i="50"/>
  <c r="AD29" i="50" s="1"/>
  <c r="J29" i="50" s="1"/>
  <c r="Y29" i="50"/>
  <c r="X29" i="50"/>
  <c r="Q29" i="50"/>
  <c r="P29" i="50"/>
  <c r="O29" i="50"/>
  <c r="M29" i="50"/>
  <c r="H29" i="50"/>
  <c r="C29" i="50"/>
  <c r="AB28" i="50"/>
  <c r="AD28" i="50" s="1"/>
  <c r="J28" i="50" s="1"/>
  <c r="Y28" i="50"/>
  <c r="X28" i="50"/>
  <c r="P28" i="50"/>
  <c r="O28" i="50"/>
  <c r="Q28" i="50" s="1"/>
  <c r="M28" i="50"/>
  <c r="H28" i="50"/>
  <c r="C28" i="50"/>
  <c r="AB27" i="50"/>
  <c r="AD27" i="50" s="1"/>
  <c r="Y27" i="50"/>
  <c r="X27" i="50"/>
  <c r="Q27" i="50"/>
  <c r="P27" i="50"/>
  <c r="O27" i="50"/>
  <c r="M27" i="50"/>
  <c r="J27" i="50"/>
  <c r="K27" i="50" s="1"/>
  <c r="H27" i="50"/>
  <c r="C27" i="50"/>
  <c r="AB26" i="50"/>
  <c r="AD26" i="50" s="1"/>
  <c r="J26" i="50" s="1"/>
  <c r="Y26" i="50"/>
  <c r="X26" i="50"/>
  <c r="P26" i="50"/>
  <c r="Q26" i="50" s="1"/>
  <c r="O26" i="50"/>
  <c r="M26" i="50"/>
  <c r="H26" i="50"/>
  <c r="C26" i="50"/>
  <c r="AD25" i="50"/>
  <c r="J25" i="50" s="1"/>
  <c r="AB25" i="50"/>
  <c r="Y25" i="50"/>
  <c r="X25" i="50"/>
  <c r="P25" i="50"/>
  <c r="O25" i="50"/>
  <c r="Q25" i="50" s="1"/>
  <c r="M25" i="50"/>
  <c r="H25" i="50"/>
  <c r="C25" i="50"/>
  <c r="AD24" i="50"/>
  <c r="J24" i="50" s="1"/>
  <c r="K24" i="50" s="1"/>
  <c r="AB24" i="50"/>
  <c r="Y24" i="50"/>
  <c r="X24" i="50"/>
  <c r="P24" i="50"/>
  <c r="O24" i="50"/>
  <c r="Q24" i="50" s="1"/>
  <c r="M24" i="50"/>
  <c r="I24" i="50"/>
  <c r="H24" i="50"/>
  <c r="C24" i="50"/>
  <c r="AD23" i="50"/>
  <c r="J23" i="50" s="1"/>
  <c r="AB23" i="50"/>
  <c r="Y23" i="50"/>
  <c r="X23" i="50"/>
  <c r="P23" i="50"/>
  <c r="O23" i="50"/>
  <c r="M23" i="50"/>
  <c r="H23" i="50"/>
  <c r="C23" i="50"/>
  <c r="AD22" i="50"/>
  <c r="AB22" i="50"/>
  <c r="Y22" i="50"/>
  <c r="X22" i="50"/>
  <c r="P22" i="50"/>
  <c r="O22" i="50"/>
  <c r="Q22" i="50" s="1"/>
  <c r="M22" i="50"/>
  <c r="J22" i="50"/>
  <c r="I22" i="50" s="1"/>
  <c r="H22" i="50"/>
  <c r="C22" i="50"/>
  <c r="AB21" i="50"/>
  <c r="AD21" i="50" s="1"/>
  <c r="J21" i="50" s="1"/>
  <c r="Y21" i="50"/>
  <c r="X21" i="50"/>
  <c r="Q21" i="50"/>
  <c r="P21" i="50"/>
  <c r="O21" i="50"/>
  <c r="M21" i="50"/>
  <c r="H21" i="50"/>
  <c r="C21" i="50"/>
  <c r="AB20" i="50"/>
  <c r="AD20" i="50" s="1"/>
  <c r="J20" i="50" s="1"/>
  <c r="Y20" i="50"/>
  <c r="X20" i="50"/>
  <c r="P20" i="50"/>
  <c r="O20" i="50"/>
  <c r="Q20" i="50" s="1"/>
  <c r="M20" i="50"/>
  <c r="H20" i="50"/>
  <c r="C20" i="50"/>
  <c r="AB19" i="50"/>
  <c r="AD19" i="50" s="1"/>
  <c r="Y19" i="50"/>
  <c r="X19" i="50"/>
  <c r="Q19" i="50"/>
  <c r="P19" i="50"/>
  <c r="O19" i="50"/>
  <c r="M19" i="50"/>
  <c r="J19" i="50"/>
  <c r="H19" i="50"/>
  <c r="C19" i="50"/>
  <c r="AB18" i="50"/>
  <c r="AD18" i="50" s="1"/>
  <c r="J18" i="50" s="1"/>
  <c r="Y18" i="50"/>
  <c r="X18" i="50"/>
  <c r="P18" i="50"/>
  <c r="Q18" i="50" s="1"/>
  <c r="O18" i="50"/>
  <c r="M18" i="50"/>
  <c r="H18" i="50"/>
  <c r="C18" i="50"/>
  <c r="AD17" i="50"/>
  <c r="J17" i="50" s="1"/>
  <c r="I17" i="50" s="1"/>
  <c r="AB17" i="50"/>
  <c r="Y17" i="50"/>
  <c r="X17" i="50"/>
  <c r="P17" i="50"/>
  <c r="O17" i="50"/>
  <c r="Q17" i="50" s="1"/>
  <c r="M17" i="50"/>
  <c r="H17" i="50"/>
  <c r="C17" i="50"/>
  <c r="AD16" i="50"/>
  <c r="J16" i="50" s="1"/>
  <c r="K16" i="50" s="1"/>
  <c r="AB16" i="50"/>
  <c r="Y16" i="50"/>
  <c r="X16" i="50"/>
  <c r="P16" i="50"/>
  <c r="O16" i="50"/>
  <c r="Q16" i="50" s="1"/>
  <c r="M16" i="50"/>
  <c r="H16" i="50"/>
  <c r="C16" i="50"/>
  <c r="AD15" i="50"/>
  <c r="J15" i="50" s="1"/>
  <c r="AB15" i="50"/>
  <c r="Y15" i="50"/>
  <c r="X15" i="50"/>
  <c r="P15" i="50"/>
  <c r="O15" i="50"/>
  <c r="M15" i="50"/>
  <c r="H15" i="50"/>
  <c r="C15" i="50"/>
  <c r="AB14" i="50"/>
  <c r="AD14" i="50" s="1"/>
  <c r="J14" i="50" s="1"/>
  <c r="Y14" i="50"/>
  <c r="X14" i="50"/>
  <c r="P14" i="50"/>
  <c r="O14" i="50"/>
  <c r="Q14" i="50" s="1"/>
  <c r="M14" i="50"/>
  <c r="H14" i="50"/>
  <c r="C14" i="50"/>
  <c r="AB13" i="50"/>
  <c r="AD13" i="50" s="1"/>
  <c r="J13" i="50" s="1"/>
  <c r="Y13" i="50"/>
  <c r="X13" i="50"/>
  <c r="Q13" i="50"/>
  <c r="P13" i="50"/>
  <c r="O13" i="50"/>
  <c r="M13" i="50"/>
  <c r="H13" i="50"/>
  <c r="C13" i="50"/>
  <c r="AB12" i="50"/>
  <c r="AD12" i="50" s="1"/>
  <c r="J12" i="50" s="1"/>
  <c r="Y12" i="50"/>
  <c r="X12" i="50"/>
  <c r="Q12" i="50"/>
  <c r="P12" i="50"/>
  <c r="O12" i="50"/>
  <c r="M12" i="50"/>
  <c r="H12" i="50"/>
  <c r="C12" i="50"/>
  <c r="AB11" i="50"/>
  <c r="AD11" i="50" s="1"/>
  <c r="J11" i="50" s="1"/>
  <c r="K11" i="50" s="1"/>
  <c r="Y11" i="50"/>
  <c r="X11" i="50"/>
  <c r="Q11" i="50"/>
  <c r="P11" i="50"/>
  <c r="O11" i="50"/>
  <c r="M11" i="50"/>
  <c r="H11" i="50"/>
  <c r="C11" i="50"/>
  <c r="AB10" i="50"/>
  <c r="AD10" i="50" s="1"/>
  <c r="J10" i="50" s="1"/>
  <c r="K10" i="50" s="1"/>
  <c r="Y10" i="50"/>
  <c r="X10" i="50"/>
  <c r="P10" i="50"/>
  <c r="Q10" i="50" s="1"/>
  <c r="O10" i="50"/>
  <c r="M10" i="50"/>
  <c r="H10" i="50"/>
  <c r="C10" i="50"/>
  <c r="AD9" i="50"/>
  <c r="J9" i="50" s="1"/>
  <c r="I9" i="50" s="1"/>
  <c r="AB9" i="50"/>
  <c r="Y9" i="50"/>
  <c r="X9" i="50"/>
  <c r="P9" i="50"/>
  <c r="O9" i="50"/>
  <c r="M9" i="50"/>
  <c r="H9" i="50"/>
  <c r="C9" i="50"/>
  <c r="AD8" i="50"/>
  <c r="J8" i="50" s="1"/>
  <c r="K8" i="50" s="1"/>
  <c r="AB8" i="50"/>
  <c r="Y8" i="50"/>
  <c r="X8" i="50"/>
  <c r="P8" i="50"/>
  <c r="O8" i="50"/>
  <c r="Q8" i="50" s="1"/>
  <c r="M8" i="50"/>
  <c r="I8" i="50"/>
  <c r="H8" i="50"/>
  <c r="C8" i="50"/>
  <c r="AD7" i="50"/>
  <c r="J7" i="50" s="1"/>
  <c r="AB7" i="50"/>
  <c r="Y7" i="50"/>
  <c r="X7" i="50"/>
  <c r="P7" i="50"/>
  <c r="O7" i="50"/>
  <c r="Q7" i="50" s="1"/>
  <c r="M7" i="50"/>
  <c r="H7" i="50"/>
  <c r="C7" i="50"/>
  <c r="AD6" i="50"/>
  <c r="AB6" i="50"/>
  <c r="Y6" i="50"/>
  <c r="X6" i="50"/>
  <c r="P6" i="50"/>
  <c r="O6" i="50"/>
  <c r="Q6" i="50" s="1"/>
  <c r="M6" i="50"/>
  <c r="J6" i="50"/>
  <c r="I6" i="50" s="1"/>
  <c r="H6" i="50"/>
  <c r="C6" i="50"/>
  <c r="AB5" i="50"/>
  <c r="AD5" i="50" s="1"/>
  <c r="Y5" i="50"/>
  <c r="X5" i="50"/>
  <c r="Q5" i="50"/>
  <c r="P5" i="50"/>
  <c r="O5" i="50"/>
  <c r="M5" i="50"/>
  <c r="J5" i="50"/>
  <c r="H5" i="50"/>
  <c r="C5" i="50"/>
  <c r="AB4" i="50"/>
  <c r="AD4" i="50" s="1"/>
  <c r="Y4" i="50"/>
  <c r="X4" i="50"/>
  <c r="P4" i="50"/>
  <c r="O4" i="50"/>
  <c r="Q4" i="50" s="1"/>
  <c r="M4" i="50"/>
  <c r="H4" i="50"/>
  <c r="C4" i="50"/>
  <c r="AG3" i="50"/>
  <c r="AF3" i="50"/>
  <c r="W3" i="50"/>
  <c r="V3" i="50"/>
  <c r="U3" i="50"/>
  <c r="T3" i="50"/>
  <c r="O3" i="50"/>
  <c r="H3" i="50"/>
  <c r="G3" i="50"/>
  <c r="F3" i="50"/>
  <c r="D3" i="50"/>
  <c r="C3" i="50"/>
  <c r="A2" i="50"/>
  <c r="A1" i="50"/>
  <c r="AB32" i="49"/>
  <c r="AD32" i="49" s="1"/>
  <c r="J32" i="49" s="1"/>
  <c r="K32" i="49" s="1"/>
  <c r="Y32" i="49"/>
  <c r="X32" i="49"/>
  <c r="V32" i="49"/>
  <c r="U32" i="49"/>
  <c r="T32" i="49"/>
  <c r="P32" i="49"/>
  <c r="O32" i="49"/>
  <c r="Q32" i="49" s="1"/>
  <c r="M32" i="49"/>
  <c r="I32" i="49"/>
  <c r="H32" i="49"/>
  <c r="C32" i="49"/>
  <c r="AD31" i="49"/>
  <c r="J31" i="49" s="1"/>
  <c r="AB31" i="49"/>
  <c r="Y31" i="49"/>
  <c r="X31" i="49"/>
  <c r="P31" i="49"/>
  <c r="O31" i="49"/>
  <c r="Q31" i="49" s="1"/>
  <c r="M31" i="49"/>
  <c r="H31" i="49"/>
  <c r="C31" i="49"/>
  <c r="AD30" i="49"/>
  <c r="AB30" i="49"/>
  <c r="Y30" i="49"/>
  <c r="X30" i="49"/>
  <c r="P30" i="49"/>
  <c r="O30" i="49"/>
  <c r="Q30" i="49" s="1"/>
  <c r="M30" i="49"/>
  <c r="K30" i="49"/>
  <c r="J30" i="49"/>
  <c r="I30" i="49" s="1"/>
  <c r="H30" i="49"/>
  <c r="C30" i="49"/>
  <c r="AB29" i="49"/>
  <c r="AD29" i="49" s="1"/>
  <c r="Y29" i="49"/>
  <c r="X29" i="49"/>
  <c r="Q29" i="49"/>
  <c r="P29" i="49"/>
  <c r="O29" i="49"/>
  <c r="M29" i="49"/>
  <c r="J29" i="49"/>
  <c r="H29" i="49"/>
  <c r="C29" i="49"/>
  <c r="AB28" i="49"/>
  <c r="AD28" i="49" s="1"/>
  <c r="J28" i="49" s="1"/>
  <c r="Y28" i="49"/>
  <c r="X28" i="49"/>
  <c r="Q28" i="49"/>
  <c r="P28" i="49"/>
  <c r="O28" i="49"/>
  <c r="M28" i="49"/>
  <c r="H28" i="49"/>
  <c r="C28" i="49"/>
  <c r="AB27" i="49"/>
  <c r="AD27" i="49" s="1"/>
  <c r="J27" i="49" s="1"/>
  <c r="Y27" i="49"/>
  <c r="X27" i="49"/>
  <c r="Q27" i="49"/>
  <c r="P27" i="49"/>
  <c r="O27" i="49"/>
  <c r="M27" i="49"/>
  <c r="H27" i="49"/>
  <c r="C27" i="49"/>
  <c r="AB26" i="49"/>
  <c r="AD26" i="49" s="1"/>
  <c r="J26" i="49" s="1"/>
  <c r="K26" i="49" s="1"/>
  <c r="Y26" i="49"/>
  <c r="X26" i="49"/>
  <c r="P26" i="49"/>
  <c r="Q26" i="49" s="1"/>
  <c r="O26" i="49"/>
  <c r="M26" i="49"/>
  <c r="I26" i="49"/>
  <c r="H26" i="49"/>
  <c r="C26" i="49"/>
  <c r="AD25" i="49"/>
  <c r="J25" i="49" s="1"/>
  <c r="I25" i="49" s="1"/>
  <c r="AB25" i="49"/>
  <c r="Y25" i="49"/>
  <c r="X25" i="49"/>
  <c r="P25" i="49"/>
  <c r="O25" i="49"/>
  <c r="M25" i="49"/>
  <c r="K25" i="49"/>
  <c r="H25" i="49"/>
  <c r="C25" i="49"/>
  <c r="AD24" i="49"/>
  <c r="J24" i="49" s="1"/>
  <c r="K24" i="49" s="1"/>
  <c r="AB24" i="49"/>
  <c r="Y24" i="49"/>
  <c r="X24" i="49"/>
  <c r="P24" i="49"/>
  <c r="O24" i="49"/>
  <c r="Q24" i="49" s="1"/>
  <c r="M24" i="49"/>
  <c r="I24" i="49"/>
  <c r="H24" i="49"/>
  <c r="C24" i="49"/>
  <c r="AD23" i="49"/>
  <c r="J23" i="49" s="1"/>
  <c r="AB23" i="49"/>
  <c r="Y23" i="49"/>
  <c r="X23" i="49"/>
  <c r="P23" i="49"/>
  <c r="O23" i="49"/>
  <c r="Q23" i="49" s="1"/>
  <c r="M23" i="49"/>
  <c r="H23" i="49"/>
  <c r="C23" i="49"/>
  <c r="AB22" i="49"/>
  <c r="AD22" i="49" s="1"/>
  <c r="J22" i="49" s="1"/>
  <c r="Y22" i="49"/>
  <c r="X22" i="49"/>
  <c r="P22" i="49"/>
  <c r="O22" i="49"/>
  <c r="Q22" i="49" s="1"/>
  <c r="M22" i="49"/>
  <c r="H22" i="49"/>
  <c r="C22" i="49"/>
  <c r="AB21" i="49"/>
  <c r="AD21" i="49" s="1"/>
  <c r="J21" i="49" s="1"/>
  <c r="Y21" i="49"/>
  <c r="X21" i="49"/>
  <c r="Q21" i="49"/>
  <c r="P21" i="49"/>
  <c r="O21" i="49"/>
  <c r="M21" i="49"/>
  <c r="H21" i="49"/>
  <c r="C21" i="49"/>
  <c r="AB20" i="49"/>
  <c r="AD20" i="49" s="1"/>
  <c r="J20" i="49" s="1"/>
  <c r="Y20" i="49"/>
  <c r="X20" i="49"/>
  <c r="Q20" i="49"/>
  <c r="P20" i="49"/>
  <c r="O20" i="49"/>
  <c r="M20" i="49"/>
  <c r="H20" i="49"/>
  <c r="C20" i="49"/>
  <c r="AB19" i="49"/>
  <c r="AD19" i="49" s="1"/>
  <c r="J19" i="49" s="1"/>
  <c r="K19" i="49" s="1"/>
  <c r="Y19" i="49"/>
  <c r="X19" i="49"/>
  <c r="Q19" i="49"/>
  <c r="P19" i="49"/>
  <c r="O19" i="49"/>
  <c r="M19" i="49"/>
  <c r="I19" i="49"/>
  <c r="H19" i="49"/>
  <c r="C19" i="49"/>
  <c r="AB18" i="49"/>
  <c r="AD18" i="49" s="1"/>
  <c r="J18" i="49" s="1"/>
  <c r="K18" i="49" s="1"/>
  <c r="Y18" i="49"/>
  <c r="X18" i="49"/>
  <c r="P18" i="49"/>
  <c r="Q18" i="49" s="1"/>
  <c r="O18" i="49"/>
  <c r="M18" i="49"/>
  <c r="H18" i="49"/>
  <c r="C18" i="49"/>
  <c r="AD17" i="49"/>
  <c r="J17" i="49" s="1"/>
  <c r="I17" i="49" s="1"/>
  <c r="AB17" i="49"/>
  <c r="Y17" i="49"/>
  <c r="X17" i="49"/>
  <c r="P17" i="49"/>
  <c r="O17" i="49"/>
  <c r="M17" i="49"/>
  <c r="H17" i="49"/>
  <c r="C17" i="49"/>
  <c r="AD16" i="49"/>
  <c r="J16" i="49" s="1"/>
  <c r="K16" i="49" s="1"/>
  <c r="AB16" i="49"/>
  <c r="Y16" i="49"/>
  <c r="X16" i="49"/>
  <c r="P16" i="49"/>
  <c r="O16" i="49"/>
  <c r="Q16" i="49" s="1"/>
  <c r="M16" i="49"/>
  <c r="I16" i="49"/>
  <c r="H16" i="49"/>
  <c r="C16" i="49"/>
  <c r="AD15" i="49"/>
  <c r="J15" i="49" s="1"/>
  <c r="AB15" i="49"/>
  <c r="Y15" i="49"/>
  <c r="X15" i="49"/>
  <c r="P15" i="49"/>
  <c r="O15" i="49"/>
  <c r="Q15" i="49" s="1"/>
  <c r="M15" i="49"/>
  <c r="H15" i="49"/>
  <c r="C15" i="49"/>
  <c r="AD14" i="49"/>
  <c r="AB14" i="49"/>
  <c r="Y14" i="49"/>
  <c r="X14" i="49"/>
  <c r="P14" i="49"/>
  <c r="O14" i="49"/>
  <c r="Q14" i="49" s="1"/>
  <c r="M14" i="49"/>
  <c r="J14" i="49"/>
  <c r="I14" i="49" s="1"/>
  <c r="H14" i="49"/>
  <c r="C14" i="49"/>
  <c r="AB13" i="49"/>
  <c r="AD13" i="49" s="1"/>
  <c r="J13" i="49" s="1"/>
  <c r="Y13" i="49"/>
  <c r="X13" i="49"/>
  <c r="Q13" i="49"/>
  <c r="P13" i="49"/>
  <c r="O13" i="49"/>
  <c r="M13" i="49"/>
  <c r="H13" i="49"/>
  <c r="C13" i="49"/>
  <c r="AB12" i="49"/>
  <c r="AD12" i="49" s="1"/>
  <c r="J12" i="49" s="1"/>
  <c r="Y12" i="49"/>
  <c r="X12" i="49"/>
  <c r="P12" i="49"/>
  <c r="O12" i="49"/>
  <c r="Q12" i="49" s="1"/>
  <c r="M12" i="49"/>
  <c r="H12" i="49"/>
  <c r="C12" i="49"/>
  <c r="AB11" i="49"/>
  <c r="AD11" i="49" s="1"/>
  <c r="Y11" i="49"/>
  <c r="X11" i="49"/>
  <c r="Q11" i="49"/>
  <c r="P11" i="49"/>
  <c r="O11" i="49"/>
  <c r="M11" i="49"/>
  <c r="J11" i="49"/>
  <c r="H11" i="49"/>
  <c r="C11" i="49"/>
  <c r="AB10" i="49"/>
  <c r="AD10" i="49" s="1"/>
  <c r="J10" i="49" s="1"/>
  <c r="K10" i="49" s="1"/>
  <c r="Y10" i="49"/>
  <c r="X10" i="49"/>
  <c r="P10" i="49"/>
  <c r="Q10" i="49" s="1"/>
  <c r="O10" i="49"/>
  <c r="M10" i="49"/>
  <c r="I10" i="49"/>
  <c r="H10" i="49"/>
  <c r="C10" i="49"/>
  <c r="AD9" i="49"/>
  <c r="J9" i="49" s="1"/>
  <c r="I9" i="49" s="1"/>
  <c r="AB9" i="49"/>
  <c r="Y9" i="49"/>
  <c r="X9" i="49"/>
  <c r="P9" i="49"/>
  <c r="O9" i="49"/>
  <c r="Q9" i="49" s="1"/>
  <c r="M9" i="49"/>
  <c r="H9" i="49"/>
  <c r="C9" i="49"/>
  <c r="AD8" i="49"/>
  <c r="J8" i="49" s="1"/>
  <c r="K8" i="49" s="1"/>
  <c r="AB8" i="49"/>
  <c r="Y8" i="49"/>
  <c r="X8" i="49"/>
  <c r="P8" i="49"/>
  <c r="Q8" i="49" s="1"/>
  <c r="O8" i="49"/>
  <c r="M8" i="49"/>
  <c r="I8" i="49"/>
  <c r="H8" i="49"/>
  <c r="C8" i="49"/>
  <c r="AD7" i="49"/>
  <c r="J7" i="49" s="1"/>
  <c r="AB7" i="49"/>
  <c r="Y7" i="49"/>
  <c r="X7" i="49"/>
  <c r="P7" i="49"/>
  <c r="O7" i="49"/>
  <c r="Q7" i="49" s="1"/>
  <c r="M7" i="49"/>
  <c r="H7" i="49"/>
  <c r="C7" i="49"/>
  <c r="AB6" i="49"/>
  <c r="AD6" i="49" s="1"/>
  <c r="J6" i="49" s="1"/>
  <c r="Y6" i="49"/>
  <c r="X6" i="49"/>
  <c r="P6" i="49"/>
  <c r="O6" i="49"/>
  <c r="Q6" i="49" s="1"/>
  <c r="M6" i="49"/>
  <c r="H6" i="49"/>
  <c r="C6" i="49"/>
  <c r="AB5" i="49"/>
  <c r="AD5" i="49" s="1"/>
  <c r="J5" i="49" s="1"/>
  <c r="Y5" i="49"/>
  <c r="X5" i="49"/>
  <c r="Q5" i="49"/>
  <c r="P5" i="49"/>
  <c r="O5" i="49"/>
  <c r="M5" i="49"/>
  <c r="H5" i="49"/>
  <c r="C5" i="49"/>
  <c r="AB4" i="49"/>
  <c r="AD4" i="49" s="1"/>
  <c r="J4" i="49" s="1"/>
  <c r="Y4" i="49"/>
  <c r="X4" i="49"/>
  <c r="P4" i="49"/>
  <c r="O4" i="49"/>
  <c r="Q4" i="49" s="1"/>
  <c r="M4" i="49"/>
  <c r="H4" i="49"/>
  <c r="C4" i="49"/>
  <c r="AG3" i="49"/>
  <c r="AF3" i="49"/>
  <c r="W3" i="49"/>
  <c r="V3" i="49"/>
  <c r="U3" i="49"/>
  <c r="T3" i="49"/>
  <c r="O3" i="49"/>
  <c r="H3" i="49"/>
  <c r="G3" i="49"/>
  <c r="F3" i="49"/>
  <c r="D3" i="49"/>
  <c r="C3" i="49"/>
  <c r="A1" i="49"/>
  <c r="AD32" i="48"/>
  <c r="AB32" i="48"/>
  <c r="Y32" i="48"/>
  <c r="X32" i="48"/>
  <c r="V32" i="48"/>
  <c r="U32" i="48"/>
  <c r="T32" i="48"/>
  <c r="Q32" i="48"/>
  <c r="P32" i="48"/>
  <c r="O32" i="48"/>
  <c r="M32" i="48"/>
  <c r="J32" i="48"/>
  <c r="H32" i="48"/>
  <c r="C32" i="48"/>
  <c r="AB31" i="48"/>
  <c r="AD31" i="48" s="1"/>
  <c r="J31" i="48" s="1"/>
  <c r="Y31" i="48"/>
  <c r="X31" i="48"/>
  <c r="P31" i="48"/>
  <c r="O31" i="48"/>
  <c r="Q31" i="48" s="1"/>
  <c r="M31" i="48"/>
  <c r="H31" i="48"/>
  <c r="C31" i="48"/>
  <c r="AB30" i="48"/>
  <c r="AD30" i="48" s="1"/>
  <c r="Y30" i="48"/>
  <c r="X30" i="48"/>
  <c r="Q30" i="48"/>
  <c r="P30" i="48"/>
  <c r="O30" i="48"/>
  <c r="M30" i="48"/>
  <c r="J30" i="48"/>
  <c r="K30" i="48" s="1"/>
  <c r="H30" i="48"/>
  <c r="C30" i="48"/>
  <c r="AB29" i="48"/>
  <c r="AD29" i="48" s="1"/>
  <c r="J29" i="48" s="1"/>
  <c r="K29" i="48" s="1"/>
  <c r="Y29" i="48"/>
  <c r="X29" i="48"/>
  <c r="Q29" i="48"/>
  <c r="P29" i="48"/>
  <c r="O29" i="48"/>
  <c r="M29" i="48"/>
  <c r="H29" i="48"/>
  <c r="C29" i="48"/>
  <c r="AD28" i="48"/>
  <c r="J28" i="48" s="1"/>
  <c r="I28" i="48" s="1"/>
  <c r="AB28" i="48"/>
  <c r="Y28" i="48"/>
  <c r="X28" i="48"/>
  <c r="P28" i="48"/>
  <c r="O28" i="48"/>
  <c r="M28" i="48"/>
  <c r="H28" i="48"/>
  <c r="C28" i="48"/>
  <c r="AD27" i="48"/>
  <c r="J27" i="48" s="1"/>
  <c r="AB27" i="48"/>
  <c r="Y27" i="48"/>
  <c r="X27" i="48"/>
  <c r="P27" i="48"/>
  <c r="O27" i="48"/>
  <c r="Q27" i="48" s="1"/>
  <c r="M27" i="48"/>
  <c r="K27" i="48"/>
  <c r="I27" i="48"/>
  <c r="H27" i="48"/>
  <c r="C27" i="48"/>
  <c r="AD26" i="48"/>
  <c r="J26" i="48" s="1"/>
  <c r="AB26" i="48"/>
  <c r="Y26" i="48"/>
  <c r="X26" i="48"/>
  <c r="P26" i="48"/>
  <c r="O26" i="48"/>
  <c r="M26" i="48"/>
  <c r="H26" i="48"/>
  <c r="C26" i="48"/>
  <c r="AB25" i="48"/>
  <c r="AD25" i="48" s="1"/>
  <c r="J25" i="48" s="1"/>
  <c r="Y25" i="48"/>
  <c r="X25" i="48"/>
  <c r="P25" i="48"/>
  <c r="O25" i="48"/>
  <c r="Q25" i="48" s="1"/>
  <c r="M25" i="48"/>
  <c r="H25" i="48"/>
  <c r="C25" i="48"/>
  <c r="AB24" i="48"/>
  <c r="AD24" i="48" s="1"/>
  <c r="J24" i="48" s="1"/>
  <c r="Y24" i="48"/>
  <c r="X24" i="48"/>
  <c r="Q24" i="48"/>
  <c r="P24" i="48"/>
  <c r="O24" i="48"/>
  <c r="M24" i="48"/>
  <c r="H24" i="48"/>
  <c r="C24" i="48"/>
  <c r="AB23" i="48"/>
  <c r="AD23" i="48" s="1"/>
  <c r="J23" i="48" s="1"/>
  <c r="Y23" i="48"/>
  <c r="X23" i="48"/>
  <c r="P23" i="48"/>
  <c r="O23" i="48"/>
  <c r="Q23" i="48" s="1"/>
  <c r="M23" i="48"/>
  <c r="H23" i="48"/>
  <c r="C23" i="48"/>
  <c r="AB22" i="48"/>
  <c r="AD22" i="48" s="1"/>
  <c r="J22" i="48" s="1"/>
  <c r="Y22" i="48"/>
  <c r="X22" i="48"/>
  <c r="Q22" i="48"/>
  <c r="P22" i="48"/>
  <c r="O22" i="48"/>
  <c r="M22" i="48"/>
  <c r="H22" i="48"/>
  <c r="C22" i="48"/>
  <c r="AB21" i="48"/>
  <c r="AD21" i="48" s="1"/>
  <c r="J21" i="48" s="1"/>
  <c r="K21" i="48" s="1"/>
  <c r="Y21" i="48"/>
  <c r="X21" i="48"/>
  <c r="Q21" i="48"/>
  <c r="P21" i="48"/>
  <c r="O21" i="48"/>
  <c r="M21" i="48"/>
  <c r="H21" i="48"/>
  <c r="C21" i="48"/>
  <c r="AD20" i="48"/>
  <c r="J20" i="48" s="1"/>
  <c r="AB20" i="48"/>
  <c r="Y20" i="48"/>
  <c r="X20" i="48"/>
  <c r="P20" i="48"/>
  <c r="O20" i="48"/>
  <c r="Q20" i="48" s="1"/>
  <c r="M20" i="48"/>
  <c r="H20" i="48"/>
  <c r="C20" i="48"/>
  <c r="AB19" i="48"/>
  <c r="AD19" i="48" s="1"/>
  <c r="J19" i="48" s="1"/>
  <c r="Y19" i="48"/>
  <c r="X19" i="48"/>
  <c r="P19" i="48"/>
  <c r="O19" i="48"/>
  <c r="Q19" i="48" s="1"/>
  <c r="M19" i="48"/>
  <c r="H19" i="48"/>
  <c r="C19" i="48"/>
  <c r="AD18" i="48"/>
  <c r="J18" i="48" s="1"/>
  <c r="AB18" i="48"/>
  <c r="Y18" i="48"/>
  <c r="X18" i="48"/>
  <c r="P18" i="48"/>
  <c r="Q18" i="48" s="1"/>
  <c r="O18" i="48"/>
  <c r="M18" i="48"/>
  <c r="H18" i="48"/>
  <c r="C18" i="48"/>
  <c r="AD17" i="48"/>
  <c r="J17" i="48" s="1"/>
  <c r="AB17" i="48"/>
  <c r="Y17" i="48"/>
  <c r="X17" i="48"/>
  <c r="P17" i="48"/>
  <c r="O17" i="48"/>
  <c r="Q17" i="48" s="1"/>
  <c r="M17" i="48"/>
  <c r="H17" i="48"/>
  <c r="C17" i="48"/>
  <c r="AB16" i="48"/>
  <c r="AD16" i="48" s="1"/>
  <c r="J16" i="48" s="1"/>
  <c r="Y16" i="48"/>
  <c r="X16" i="48"/>
  <c r="Q16" i="48"/>
  <c r="P16" i="48"/>
  <c r="O16" i="48"/>
  <c r="M16" i="48"/>
  <c r="H16" i="48"/>
  <c r="C16" i="48"/>
  <c r="AB15" i="48"/>
  <c r="AD15" i="48" s="1"/>
  <c r="J15" i="48" s="1"/>
  <c r="Y15" i="48"/>
  <c r="X15" i="48"/>
  <c r="Q15" i="48"/>
  <c r="P15" i="48"/>
  <c r="O15" i="48"/>
  <c r="M15" i="48"/>
  <c r="H15" i="48"/>
  <c r="C15" i="48"/>
  <c r="AB14" i="48"/>
  <c r="AD14" i="48" s="1"/>
  <c r="Y14" i="48"/>
  <c r="X14" i="48"/>
  <c r="Q14" i="48"/>
  <c r="P14" i="48"/>
  <c r="O14" i="48"/>
  <c r="M14" i="48"/>
  <c r="J14" i="48"/>
  <c r="H14" i="48"/>
  <c r="C14" i="48"/>
  <c r="AB13" i="48"/>
  <c r="AD13" i="48" s="1"/>
  <c r="J13" i="48" s="1"/>
  <c r="K13" i="48" s="1"/>
  <c r="Y13" i="48"/>
  <c r="X13" i="48"/>
  <c r="P13" i="48"/>
  <c r="Q13" i="48" s="1"/>
  <c r="O13" i="48"/>
  <c r="M13" i="48"/>
  <c r="I13" i="48"/>
  <c r="H13" i="48"/>
  <c r="C13" i="48"/>
  <c r="AD12" i="48"/>
  <c r="J12" i="48" s="1"/>
  <c r="I12" i="48" s="1"/>
  <c r="AB12" i="48"/>
  <c r="Y12" i="48"/>
  <c r="X12" i="48"/>
  <c r="P12" i="48"/>
  <c r="O12" i="48"/>
  <c r="Q12" i="48" s="1"/>
  <c r="M12" i="48"/>
  <c r="H12" i="48"/>
  <c r="C12" i="48"/>
  <c r="AD11" i="48"/>
  <c r="J11" i="48" s="1"/>
  <c r="AB11" i="48"/>
  <c r="Y11" i="48"/>
  <c r="X11" i="48"/>
  <c r="P11" i="48"/>
  <c r="O11" i="48"/>
  <c r="Q11" i="48" s="1"/>
  <c r="M11" i="48"/>
  <c r="H11" i="48"/>
  <c r="C11" i="48"/>
  <c r="AD10" i="48"/>
  <c r="J10" i="48" s="1"/>
  <c r="AB10" i="48"/>
  <c r="Y10" i="48"/>
  <c r="X10" i="48"/>
  <c r="Q10" i="48"/>
  <c r="P10" i="48"/>
  <c r="O10" i="48"/>
  <c r="M10" i="48"/>
  <c r="H10" i="48"/>
  <c r="C10" i="48"/>
  <c r="AB9" i="48"/>
  <c r="AD9" i="48" s="1"/>
  <c r="J9" i="48" s="1"/>
  <c r="Y9" i="48"/>
  <c r="X9" i="48"/>
  <c r="P9" i="48"/>
  <c r="O9" i="48"/>
  <c r="Q9" i="48" s="1"/>
  <c r="M9" i="48"/>
  <c r="H9" i="48"/>
  <c r="C9" i="48"/>
  <c r="AB8" i="48"/>
  <c r="AD8" i="48" s="1"/>
  <c r="Y8" i="48"/>
  <c r="X8" i="48"/>
  <c r="Q8" i="48"/>
  <c r="P8" i="48"/>
  <c r="O8" i="48"/>
  <c r="M8" i="48"/>
  <c r="J8" i="48"/>
  <c r="H8" i="48"/>
  <c r="C8" i="48"/>
  <c r="AB7" i="48"/>
  <c r="AD7" i="48" s="1"/>
  <c r="J7" i="48" s="1"/>
  <c r="Y7" i="48"/>
  <c r="X7" i="48"/>
  <c r="P7" i="48"/>
  <c r="O7" i="48"/>
  <c r="Q7" i="48" s="1"/>
  <c r="M7" i="48"/>
  <c r="H7" i="48"/>
  <c r="C7" i="48"/>
  <c r="AB6" i="48"/>
  <c r="AD6" i="48" s="1"/>
  <c r="J6" i="48" s="1"/>
  <c r="Y6" i="48"/>
  <c r="X6" i="48"/>
  <c r="Q6" i="48"/>
  <c r="P6" i="48"/>
  <c r="O6" i="48"/>
  <c r="M6" i="48"/>
  <c r="H6" i="48"/>
  <c r="C6" i="48"/>
  <c r="AB5" i="48"/>
  <c r="AD5" i="48" s="1"/>
  <c r="J5" i="48" s="1"/>
  <c r="K5" i="48" s="1"/>
  <c r="Y5" i="48"/>
  <c r="X5" i="48"/>
  <c r="P5" i="48"/>
  <c r="Q5" i="48" s="1"/>
  <c r="O5" i="48"/>
  <c r="M5" i="48"/>
  <c r="I5" i="48"/>
  <c r="H5" i="48"/>
  <c r="C5" i="48"/>
  <c r="AD4" i="48"/>
  <c r="J4" i="48" s="1"/>
  <c r="I4" i="48" s="1"/>
  <c r="AB4" i="48"/>
  <c r="Y4" i="48"/>
  <c r="X4" i="48"/>
  <c r="P4" i="48"/>
  <c r="O4" i="48"/>
  <c r="M4" i="48"/>
  <c r="K4" i="48"/>
  <c r="H4" i="48"/>
  <c r="C4" i="48"/>
  <c r="AG3" i="48"/>
  <c r="AF3" i="48"/>
  <c r="X3" i="48"/>
  <c r="W3" i="48"/>
  <c r="V3" i="48"/>
  <c r="U3" i="48"/>
  <c r="T3" i="48"/>
  <c r="O3" i="48"/>
  <c r="G3" i="48"/>
  <c r="H3" i="48" s="1"/>
  <c r="F3" i="48"/>
  <c r="D3" i="48"/>
  <c r="C3" i="48"/>
  <c r="A2" i="48"/>
  <c r="A1" i="48"/>
  <c r="AD32" i="47"/>
  <c r="J32" i="47" s="1"/>
  <c r="AB32" i="47"/>
  <c r="Y32" i="47"/>
  <c r="X32" i="47"/>
  <c r="V32" i="47"/>
  <c r="U32" i="47"/>
  <c r="T32" i="47"/>
  <c r="Q32" i="47"/>
  <c r="P32" i="47"/>
  <c r="O32" i="47"/>
  <c r="M32" i="47"/>
  <c r="H32" i="47"/>
  <c r="C32" i="47"/>
  <c r="AB31" i="47"/>
  <c r="AD31" i="47" s="1"/>
  <c r="J31" i="47" s="1"/>
  <c r="Y31" i="47"/>
  <c r="X31" i="47"/>
  <c r="P31" i="47"/>
  <c r="O31" i="47"/>
  <c r="Q31" i="47" s="1"/>
  <c r="M31" i="47"/>
  <c r="H31" i="47"/>
  <c r="C31" i="47"/>
  <c r="AB30" i="47"/>
  <c r="AD30" i="47" s="1"/>
  <c r="J30" i="47" s="1"/>
  <c r="Y30" i="47"/>
  <c r="X30" i="47"/>
  <c r="Q30" i="47"/>
  <c r="P30" i="47"/>
  <c r="O30" i="47"/>
  <c r="M30" i="47"/>
  <c r="H30" i="47"/>
  <c r="C30" i="47"/>
  <c r="AB29" i="47"/>
  <c r="AD29" i="47" s="1"/>
  <c r="J29" i="47" s="1"/>
  <c r="K29" i="47" s="1"/>
  <c r="Y29" i="47"/>
  <c r="X29" i="47"/>
  <c r="P29" i="47"/>
  <c r="Q29" i="47" s="1"/>
  <c r="O29" i="47"/>
  <c r="M29" i="47"/>
  <c r="H29" i="47"/>
  <c r="C29" i="47"/>
  <c r="AD28" i="47"/>
  <c r="J28" i="47" s="1"/>
  <c r="AB28" i="47"/>
  <c r="Y28" i="47"/>
  <c r="X28" i="47"/>
  <c r="P28" i="47"/>
  <c r="O28" i="47"/>
  <c r="Q28" i="47" s="1"/>
  <c r="M28" i="47"/>
  <c r="K28" i="47"/>
  <c r="I28" i="47"/>
  <c r="H28" i="47"/>
  <c r="C28" i="47"/>
  <c r="AB27" i="47"/>
  <c r="AD27" i="47" s="1"/>
  <c r="J27" i="47" s="1"/>
  <c r="Y27" i="47"/>
  <c r="X27" i="47"/>
  <c r="P27" i="47"/>
  <c r="Q27" i="47" s="1"/>
  <c r="O27" i="47"/>
  <c r="M27" i="47"/>
  <c r="H27" i="47"/>
  <c r="C27" i="47"/>
  <c r="AD26" i="47"/>
  <c r="J26" i="47" s="1"/>
  <c r="I26" i="47" s="1"/>
  <c r="AB26" i="47"/>
  <c r="Y26" i="47"/>
  <c r="X26" i="47"/>
  <c r="P26" i="47"/>
  <c r="O26" i="47"/>
  <c r="Q26" i="47" s="1"/>
  <c r="M26" i="47"/>
  <c r="H26" i="47"/>
  <c r="C26" i="47"/>
  <c r="AD25" i="47"/>
  <c r="AB25" i="47"/>
  <c r="Y25" i="47"/>
  <c r="X25" i="47"/>
  <c r="P25" i="47"/>
  <c r="O25" i="47"/>
  <c r="Q25" i="47" s="1"/>
  <c r="M25" i="47"/>
  <c r="J25" i="47"/>
  <c r="I25" i="47" s="1"/>
  <c r="H25" i="47"/>
  <c r="C25" i="47"/>
  <c r="AB24" i="47"/>
  <c r="AD24" i="47" s="1"/>
  <c r="J24" i="47" s="1"/>
  <c r="Y24" i="47"/>
  <c r="X24" i="47"/>
  <c r="Q24" i="47"/>
  <c r="P24" i="47"/>
  <c r="O24" i="47"/>
  <c r="M24" i="47"/>
  <c r="H24" i="47"/>
  <c r="C24" i="47"/>
  <c r="AB23" i="47"/>
  <c r="AD23" i="47" s="1"/>
  <c r="Y23" i="47"/>
  <c r="X23" i="47"/>
  <c r="P23" i="47"/>
  <c r="O23" i="47"/>
  <c r="Q23" i="47" s="1"/>
  <c r="M23" i="47"/>
  <c r="J23" i="47"/>
  <c r="H23" i="47"/>
  <c r="C23" i="47"/>
  <c r="AD22" i="47"/>
  <c r="J22" i="47" s="1"/>
  <c r="AB22" i="47"/>
  <c r="Y22" i="47"/>
  <c r="X22" i="47"/>
  <c r="Q22" i="47"/>
  <c r="P22" i="47"/>
  <c r="O22" i="47"/>
  <c r="M22" i="47"/>
  <c r="H22" i="47"/>
  <c r="C22" i="47"/>
  <c r="AB21" i="47"/>
  <c r="AD21" i="47" s="1"/>
  <c r="J21" i="47" s="1"/>
  <c r="Y21" i="47"/>
  <c r="X21" i="47"/>
  <c r="Q21" i="47"/>
  <c r="P21" i="47"/>
  <c r="O21" i="47"/>
  <c r="M21" i="47"/>
  <c r="H21" i="47"/>
  <c r="C21" i="47"/>
  <c r="AD20" i="47"/>
  <c r="J20" i="47" s="1"/>
  <c r="AB20" i="47"/>
  <c r="Y20" i="47"/>
  <c r="X20" i="47"/>
  <c r="P20" i="47"/>
  <c r="O20" i="47"/>
  <c r="Q20" i="47" s="1"/>
  <c r="M20" i="47"/>
  <c r="K20" i="47"/>
  <c r="I20" i="47"/>
  <c r="H20" i="47"/>
  <c r="C20" i="47"/>
  <c r="AB19" i="47"/>
  <c r="AD19" i="47" s="1"/>
  <c r="J19" i="47" s="1"/>
  <c r="Y19" i="47"/>
  <c r="X19" i="47"/>
  <c r="P19" i="47"/>
  <c r="Q19" i="47" s="1"/>
  <c r="O19" i="47"/>
  <c r="M19" i="47"/>
  <c r="H19" i="47"/>
  <c r="C19" i="47"/>
  <c r="AD18" i="47"/>
  <c r="J18" i="47" s="1"/>
  <c r="I18" i="47" s="1"/>
  <c r="AB18" i="47"/>
  <c r="Y18" i="47"/>
  <c r="X18" i="47"/>
  <c r="P18" i="47"/>
  <c r="O18" i="47"/>
  <c r="Q18" i="47" s="1"/>
  <c r="M18" i="47"/>
  <c r="K18" i="47"/>
  <c r="H18" i="47"/>
  <c r="C18" i="47"/>
  <c r="AB17" i="47"/>
  <c r="AD17" i="47" s="1"/>
  <c r="J17" i="47" s="1"/>
  <c r="Y17" i="47"/>
  <c r="X17" i="47"/>
  <c r="P17" i="47"/>
  <c r="O17" i="47"/>
  <c r="Q17" i="47" s="1"/>
  <c r="M17" i="47"/>
  <c r="H17" i="47"/>
  <c r="C17" i="47"/>
  <c r="AB16" i="47"/>
  <c r="AD16" i="47" s="1"/>
  <c r="J16" i="47" s="1"/>
  <c r="Y16" i="47"/>
  <c r="X16" i="47"/>
  <c r="P16" i="47"/>
  <c r="O16" i="47"/>
  <c r="Q16" i="47" s="1"/>
  <c r="M16" i="47"/>
  <c r="H16" i="47"/>
  <c r="C16" i="47"/>
  <c r="AB15" i="47"/>
  <c r="AD15" i="47" s="1"/>
  <c r="Y15" i="47"/>
  <c r="X15" i="47"/>
  <c r="P15" i="47"/>
  <c r="O15" i="47"/>
  <c r="Q15" i="47" s="1"/>
  <c r="M15" i="47"/>
  <c r="J15" i="47"/>
  <c r="H15" i="47"/>
  <c r="C15" i="47"/>
  <c r="AB14" i="47"/>
  <c r="AD14" i="47" s="1"/>
  <c r="J14" i="47" s="1"/>
  <c r="Y14" i="47"/>
  <c r="X14" i="47"/>
  <c r="Q14" i="47"/>
  <c r="P14" i="47"/>
  <c r="O14" i="47"/>
  <c r="M14" i="47"/>
  <c r="H14" i="47"/>
  <c r="C14" i="47"/>
  <c r="AB13" i="47"/>
  <c r="AD13" i="47" s="1"/>
  <c r="J13" i="47" s="1"/>
  <c r="K13" i="47" s="1"/>
  <c r="Y13" i="47"/>
  <c r="X13" i="47"/>
  <c r="P13" i="47"/>
  <c r="Q13" i="47" s="1"/>
  <c r="O13" i="47"/>
  <c r="M13" i="47"/>
  <c r="I13" i="47"/>
  <c r="H13" i="47"/>
  <c r="C13" i="47"/>
  <c r="AD12" i="47"/>
  <c r="J12" i="47" s="1"/>
  <c r="K12" i="47" s="1"/>
  <c r="AB12" i="47"/>
  <c r="Y12" i="47"/>
  <c r="X12" i="47"/>
  <c r="P12" i="47"/>
  <c r="O12" i="47"/>
  <c r="M12" i="47"/>
  <c r="I12" i="47"/>
  <c r="H12" i="47"/>
  <c r="C12" i="47"/>
  <c r="AB11" i="47"/>
  <c r="AD11" i="47" s="1"/>
  <c r="J11" i="47" s="1"/>
  <c r="K11" i="47" s="1"/>
  <c r="Y11" i="47"/>
  <c r="X11" i="47"/>
  <c r="P11" i="47"/>
  <c r="O11" i="47"/>
  <c r="Q11" i="47" s="1"/>
  <c r="M11" i="47"/>
  <c r="H11" i="47"/>
  <c r="C11" i="47"/>
  <c r="AD10" i="47"/>
  <c r="J10" i="47" s="1"/>
  <c r="I10" i="47" s="1"/>
  <c r="AB10" i="47"/>
  <c r="Y10" i="47"/>
  <c r="X10" i="47"/>
  <c r="P10" i="47"/>
  <c r="O10" i="47"/>
  <c r="M10" i="47"/>
  <c r="K10" i="47"/>
  <c r="H10" i="47"/>
  <c r="C10" i="47"/>
  <c r="AB9" i="47"/>
  <c r="AD9" i="47" s="1"/>
  <c r="J9" i="47" s="1"/>
  <c r="Y9" i="47"/>
  <c r="X9" i="47"/>
  <c r="P9" i="47"/>
  <c r="O9" i="47"/>
  <c r="Q9" i="47" s="1"/>
  <c r="M9" i="47"/>
  <c r="H9" i="47"/>
  <c r="C9" i="47"/>
  <c r="AB8" i="47"/>
  <c r="AD8" i="47" s="1"/>
  <c r="Y8" i="47"/>
  <c r="X8" i="47"/>
  <c r="P8" i="47"/>
  <c r="O8" i="47"/>
  <c r="Q8" i="47" s="1"/>
  <c r="M8" i="47"/>
  <c r="J8" i="47"/>
  <c r="K8" i="47" s="1"/>
  <c r="I8" i="47"/>
  <c r="H8" i="47"/>
  <c r="C8" i="47"/>
  <c r="AB7" i="47"/>
  <c r="AD7" i="47" s="1"/>
  <c r="J7" i="47" s="1"/>
  <c r="Y7" i="47"/>
  <c r="X7" i="47"/>
  <c r="P7" i="47"/>
  <c r="O7" i="47"/>
  <c r="M7" i="47"/>
  <c r="H7" i="47"/>
  <c r="C7" i="47"/>
  <c r="AB6" i="47"/>
  <c r="AD6" i="47" s="1"/>
  <c r="Y6" i="47"/>
  <c r="X6" i="47"/>
  <c r="Q6" i="47"/>
  <c r="P6" i="47"/>
  <c r="O6" i="47"/>
  <c r="M6" i="47"/>
  <c r="H6" i="47"/>
  <c r="C6" i="47"/>
  <c r="AB5" i="47"/>
  <c r="AD5" i="47" s="1"/>
  <c r="J5" i="47" s="1"/>
  <c r="K5" i="47" s="1"/>
  <c r="Y5" i="47"/>
  <c r="X5" i="47"/>
  <c r="P5" i="47"/>
  <c r="Q5" i="47" s="1"/>
  <c r="O5" i="47"/>
  <c r="M5" i="47"/>
  <c r="I5" i="47"/>
  <c r="H5" i="47"/>
  <c r="C5" i="47"/>
  <c r="AD4" i="47"/>
  <c r="J4" i="47" s="1"/>
  <c r="AB4" i="47"/>
  <c r="Y4" i="47"/>
  <c r="X4" i="47"/>
  <c r="P4" i="47"/>
  <c r="O4" i="47"/>
  <c r="M4" i="47"/>
  <c r="K4" i="47"/>
  <c r="I4" i="47"/>
  <c r="H4" i="47"/>
  <c r="C4" i="47"/>
  <c r="AG3" i="47"/>
  <c r="AF3" i="47"/>
  <c r="W3" i="47"/>
  <c r="V3" i="47"/>
  <c r="U3" i="47"/>
  <c r="T3" i="47"/>
  <c r="O3" i="47"/>
  <c r="G3" i="47"/>
  <c r="H3" i="47" s="1"/>
  <c r="F3" i="47"/>
  <c r="D3" i="47"/>
  <c r="X3" i="47" s="1"/>
  <c r="C3" i="47"/>
  <c r="A2" i="47"/>
  <c r="A1" i="47"/>
  <c r="AD32" i="46"/>
  <c r="J32" i="46" s="1"/>
  <c r="K32" i="46" s="1"/>
  <c r="AB32" i="46"/>
  <c r="Y32" i="46"/>
  <c r="X32" i="46"/>
  <c r="V32" i="46"/>
  <c r="U32" i="46"/>
  <c r="T32" i="46"/>
  <c r="Q32" i="46"/>
  <c r="P32" i="46"/>
  <c r="O32" i="46"/>
  <c r="M32" i="46"/>
  <c r="I32" i="46"/>
  <c r="H32" i="46"/>
  <c r="C32" i="46"/>
  <c r="AB31" i="46"/>
  <c r="AD31" i="46" s="1"/>
  <c r="Y31" i="46"/>
  <c r="X31" i="46"/>
  <c r="P31" i="46"/>
  <c r="O31" i="46"/>
  <c r="Q31" i="46" s="1"/>
  <c r="M31" i="46"/>
  <c r="J31" i="46"/>
  <c r="H31" i="46"/>
  <c r="C31" i="46"/>
  <c r="AB30" i="46"/>
  <c r="AD30" i="46" s="1"/>
  <c r="J30" i="46" s="1"/>
  <c r="Y30" i="46"/>
  <c r="X30" i="46"/>
  <c r="Q30" i="46"/>
  <c r="P30" i="46"/>
  <c r="O30" i="46"/>
  <c r="M30" i="46"/>
  <c r="H30" i="46"/>
  <c r="C30" i="46"/>
  <c r="AB29" i="46"/>
  <c r="AD29" i="46" s="1"/>
  <c r="Y29" i="46"/>
  <c r="X29" i="46"/>
  <c r="P29" i="46"/>
  <c r="Q29" i="46" s="1"/>
  <c r="O29" i="46"/>
  <c r="M29" i="46"/>
  <c r="J29" i="46"/>
  <c r="H29" i="46"/>
  <c r="C29" i="46"/>
  <c r="AD28" i="46"/>
  <c r="J28" i="46" s="1"/>
  <c r="AB28" i="46"/>
  <c r="Y28" i="46"/>
  <c r="X28" i="46"/>
  <c r="Q28" i="46"/>
  <c r="P28" i="46"/>
  <c r="O28" i="46"/>
  <c r="M28" i="46"/>
  <c r="K28" i="46"/>
  <c r="I28" i="46"/>
  <c r="H28" i="46"/>
  <c r="C28" i="46"/>
  <c r="AD27" i="46"/>
  <c r="AB27" i="46"/>
  <c r="Y27" i="46"/>
  <c r="X27" i="46"/>
  <c r="P27" i="46"/>
  <c r="Q27" i="46" s="1"/>
  <c r="O27" i="46"/>
  <c r="M27" i="46"/>
  <c r="J27" i="46"/>
  <c r="I27" i="46" s="1"/>
  <c r="H27" i="46"/>
  <c r="C27" i="46"/>
  <c r="AD26" i="46"/>
  <c r="J26" i="46" s="1"/>
  <c r="AB26" i="46"/>
  <c r="Y26" i="46"/>
  <c r="X26" i="46"/>
  <c r="Q26" i="46"/>
  <c r="P26" i="46"/>
  <c r="O26" i="46"/>
  <c r="M26" i="46"/>
  <c r="K26" i="46"/>
  <c r="I26" i="46"/>
  <c r="H26" i="46"/>
  <c r="C26" i="46"/>
  <c r="AD25" i="46"/>
  <c r="AB25" i="46"/>
  <c r="Y25" i="46"/>
  <c r="X25" i="46"/>
  <c r="P25" i="46"/>
  <c r="O25" i="46"/>
  <c r="Q25" i="46" s="1"/>
  <c r="M25" i="46"/>
  <c r="K25" i="46"/>
  <c r="J25" i="46"/>
  <c r="I25" i="46" s="1"/>
  <c r="H25" i="46"/>
  <c r="C25" i="46"/>
  <c r="AD24" i="46"/>
  <c r="J24" i="46" s="1"/>
  <c r="AB24" i="46"/>
  <c r="Y24" i="46"/>
  <c r="X24" i="46"/>
  <c r="Q24" i="46"/>
  <c r="P24" i="46"/>
  <c r="O24" i="46"/>
  <c r="M24" i="46"/>
  <c r="H24" i="46"/>
  <c r="C24" i="46"/>
  <c r="AB23" i="46"/>
  <c r="AD23" i="46" s="1"/>
  <c r="Y23" i="46"/>
  <c r="X23" i="46"/>
  <c r="P23" i="46"/>
  <c r="O23" i="46"/>
  <c r="Q23" i="46" s="1"/>
  <c r="M23" i="46"/>
  <c r="J23" i="46"/>
  <c r="H23" i="46"/>
  <c r="C23" i="46"/>
  <c r="AB22" i="46"/>
  <c r="AD22" i="46" s="1"/>
  <c r="J22" i="46" s="1"/>
  <c r="Y22" i="46"/>
  <c r="X22" i="46"/>
  <c r="P22" i="46"/>
  <c r="O22" i="46"/>
  <c r="Q22" i="46" s="1"/>
  <c r="M22" i="46"/>
  <c r="H22" i="46"/>
  <c r="C22" i="46"/>
  <c r="AB21" i="46"/>
  <c r="AD21" i="46" s="1"/>
  <c r="J21" i="46" s="1"/>
  <c r="K21" i="46" s="1"/>
  <c r="Y21" i="46"/>
  <c r="X21" i="46"/>
  <c r="P21" i="46"/>
  <c r="Q21" i="46" s="1"/>
  <c r="O21" i="46"/>
  <c r="M21" i="46"/>
  <c r="I21" i="46"/>
  <c r="H21" i="46"/>
  <c r="C21" i="46"/>
  <c r="AD20" i="46"/>
  <c r="J20" i="46" s="1"/>
  <c r="AB20" i="46"/>
  <c r="Y20" i="46"/>
  <c r="X20" i="46"/>
  <c r="P20" i="46"/>
  <c r="O20" i="46"/>
  <c r="Q20" i="46" s="1"/>
  <c r="M20" i="46"/>
  <c r="K20" i="46"/>
  <c r="I20" i="46"/>
  <c r="H20" i="46"/>
  <c r="C20" i="46"/>
  <c r="AB19" i="46"/>
  <c r="AD19" i="46" s="1"/>
  <c r="J19" i="46" s="1"/>
  <c r="K19" i="46" s="1"/>
  <c r="Y19" i="46"/>
  <c r="X19" i="46"/>
  <c r="P19" i="46"/>
  <c r="Q19" i="46" s="1"/>
  <c r="O19" i="46"/>
  <c r="M19" i="46"/>
  <c r="H19" i="46"/>
  <c r="C19" i="46"/>
  <c r="AD18" i="46"/>
  <c r="J18" i="46" s="1"/>
  <c r="AB18" i="46"/>
  <c r="Y18" i="46"/>
  <c r="X18" i="46"/>
  <c r="P18" i="46"/>
  <c r="O18" i="46"/>
  <c r="M18" i="46"/>
  <c r="K18" i="46"/>
  <c r="I18" i="46"/>
  <c r="H18" i="46"/>
  <c r="C18" i="46"/>
  <c r="AB17" i="46"/>
  <c r="AD17" i="46" s="1"/>
  <c r="J17" i="46" s="1"/>
  <c r="Y17" i="46"/>
  <c r="X17" i="46"/>
  <c r="P17" i="46"/>
  <c r="O17" i="46"/>
  <c r="Q17" i="46" s="1"/>
  <c r="M17" i="46"/>
  <c r="H17" i="46"/>
  <c r="C17" i="46"/>
  <c r="AD16" i="46"/>
  <c r="J16" i="46" s="1"/>
  <c r="AB16" i="46"/>
  <c r="Y16" i="46"/>
  <c r="X16" i="46"/>
  <c r="P16" i="46"/>
  <c r="O16" i="46"/>
  <c r="Q16" i="46" s="1"/>
  <c r="M16" i="46"/>
  <c r="H16" i="46"/>
  <c r="C16" i="46"/>
  <c r="AB15" i="46"/>
  <c r="AD15" i="46" s="1"/>
  <c r="J15" i="46" s="1"/>
  <c r="Y15" i="46"/>
  <c r="X15" i="46"/>
  <c r="Q15" i="46"/>
  <c r="P15" i="46"/>
  <c r="O15" i="46"/>
  <c r="M15" i="46"/>
  <c r="H15" i="46"/>
  <c r="C15" i="46"/>
  <c r="AD14" i="46"/>
  <c r="J14" i="46" s="1"/>
  <c r="I14" i="46" s="1"/>
  <c r="AB14" i="46"/>
  <c r="Y14" i="46"/>
  <c r="X14" i="46"/>
  <c r="P14" i="46"/>
  <c r="O14" i="46"/>
  <c r="Q14" i="46" s="1"/>
  <c r="M14" i="46"/>
  <c r="K14" i="46"/>
  <c r="H14" i="46"/>
  <c r="C14" i="46"/>
  <c r="AB13" i="46"/>
  <c r="AD13" i="46" s="1"/>
  <c r="J13" i="46" s="1"/>
  <c r="Y13" i="46"/>
  <c r="X13" i="46"/>
  <c r="Q13" i="46"/>
  <c r="P13" i="46"/>
  <c r="O13" i="46"/>
  <c r="M13" i="46"/>
  <c r="H13" i="46"/>
  <c r="C13" i="46"/>
  <c r="AD12" i="46"/>
  <c r="J12" i="46" s="1"/>
  <c r="I12" i="46" s="1"/>
  <c r="AB12" i="46"/>
  <c r="Y12" i="46"/>
  <c r="X12" i="46"/>
  <c r="P12" i="46"/>
  <c r="O12" i="46"/>
  <c r="Q12" i="46" s="1"/>
  <c r="M12" i="46"/>
  <c r="K12" i="46"/>
  <c r="H12" i="46"/>
  <c r="C12" i="46"/>
  <c r="AB11" i="46"/>
  <c r="AD11" i="46" s="1"/>
  <c r="J11" i="46" s="1"/>
  <c r="Y11" i="46"/>
  <c r="X11" i="46"/>
  <c r="P11" i="46"/>
  <c r="O11" i="46"/>
  <c r="M11" i="46"/>
  <c r="H11" i="46"/>
  <c r="C11" i="46"/>
  <c r="AD10" i="46"/>
  <c r="J10" i="46" s="1"/>
  <c r="I10" i="46" s="1"/>
  <c r="AB10" i="46"/>
  <c r="Y10" i="46"/>
  <c r="X10" i="46"/>
  <c r="P10" i="46"/>
  <c r="O10" i="46"/>
  <c r="Q10" i="46" s="1"/>
  <c r="M10" i="46"/>
  <c r="K10" i="46"/>
  <c r="H10" i="46"/>
  <c r="C10" i="46"/>
  <c r="AB9" i="46"/>
  <c r="AD9" i="46" s="1"/>
  <c r="J9" i="46" s="1"/>
  <c r="Y9" i="46"/>
  <c r="X9" i="46"/>
  <c r="P9" i="46"/>
  <c r="O9" i="46"/>
  <c r="M9" i="46"/>
  <c r="H9" i="46"/>
  <c r="C9" i="46"/>
  <c r="AD8" i="46"/>
  <c r="AB8" i="46"/>
  <c r="Y8" i="46"/>
  <c r="X8" i="46"/>
  <c r="P8" i="46"/>
  <c r="O8" i="46"/>
  <c r="Q8" i="46" s="1"/>
  <c r="M8" i="46"/>
  <c r="J8" i="46"/>
  <c r="I8" i="46" s="1"/>
  <c r="H8" i="46"/>
  <c r="C8" i="46"/>
  <c r="AB7" i="46"/>
  <c r="AD7" i="46" s="1"/>
  <c r="Y7" i="46"/>
  <c r="X7" i="46"/>
  <c r="Q7" i="46"/>
  <c r="P7" i="46"/>
  <c r="O7" i="46"/>
  <c r="M7" i="46"/>
  <c r="J7" i="46"/>
  <c r="H7" i="46"/>
  <c r="C7" i="46"/>
  <c r="AB6" i="46"/>
  <c r="AD6" i="46" s="1"/>
  <c r="J6" i="46" s="1"/>
  <c r="Y6" i="46"/>
  <c r="X6" i="46"/>
  <c r="P6" i="46"/>
  <c r="O6" i="46"/>
  <c r="Q6" i="46" s="1"/>
  <c r="M6" i="46"/>
  <c r="H6" i="46"/>
  <c r="C6" i="46"/>
  <c r="AB5" i="46"/>
  <c r="AD5" i="46" s="1"/>
  <c r="J5" i="46" s="1"/>
  <c r="Y5" i="46"/>
  <c r="X5" i="46"/>
  <c r="P5" i="46"/>
  <c r="Q5" i="46" s="1"/>
  <c r="O5" i="46"/>
  <c r="M5" i="46"/>
  <c r="H5" i="46"/>
  <c r="C5" i="46"/>
  <c r="AD4" i="46"/>
  <c r="J4" i="46" s="1"/>
  <c r="AB4" i="46"/>
  <c r="Y4" i="46"/>
  <c r="X4" i="46"/>
  <c r="P4" i="46"/>
  <c r="O4" i="46"/>
  <c r="Q4" i="46" s="1"/>
  <c r="M4" i="46"/>
  <c r="K4" i="46"/>
  <c r="I4" i="46"/>
  <c r="H4" i="46"/>
  <c r="C4" i="46"/>
  <c r="AG3" i="46"/>
  <c r="AF3" i="46"/>
  <c r="W3" i="46"/>
  <c r="X3" i="46" s="1"/>
  <c r="V3" i="46"/>
  <c r="U3" i="46"/>
  <c r="T3" i="46"/>
  <c r="O3" i="46"/>
  <c r="G3" i="46"/>
  <c r="H3" i="46" s="1"/>
  <c r="F3" i="46"/>
  <c r="D3" i="46"/>
  <c r="C3" i="46"/>
  <c r="A2" i="46"/>
  <c r="A1" i="46"/>
  <c r="AB32" i="45"/>
  <c r="AD32" i="45" s="1"/>
  <c r="J32" i="45" s="1"/>
  <c r="Y32" i="45"/>
  <c r="X32" i="45"/>
  <c r="V32" i="45"/>
  <c r="U32" i="45"/>
  <c r="T32" i="45"/>
  <c r="P32" i="45"/>
  <c r="O32" i="45"/>
  <c r="Q32" i="45" s="1"/>
  <c r="M32" i="45"/>
  <c r="H32" i="45"/>
  <c r="C32" i="45"/>
  <c r="AB31" i="45"/>
  <c r="AD31" i="45" s="1"/>
  <c r="J31" i="45" s="1"/>
  <c r="Y31" i="45"/>
  <c r="X31" i="45"/>
  <c r="P31" i="45"/>
  <c r="Q31" i="45" s="1"/>
  <c r="O31" i="45"/>
  <c r="M31" i="45"/>
  <c r="H31" i="45"/>
  <c r="C31" i="45"/>
  <c r="AD30" i="45"/>
  <c r="J30" i="45" s="1"/>
  <c r="AB30" i="45"/>
  <c r="Y30" i="45"/>
  <c r="X30" i="45"/>
  <c r="Q30" i="45"/>
  <c r="P30" i="45"/>
  <c r="O30" i="45"/>
  <c r="M30" i="45"/>
  <c r="H30" i="45"/>
  <c r="C30" i="45"/>
  <c r="AD29" i="45"/>
  <c r="J29" i="45" s="1"/>
  <c r="I29" i="45" s="1"/>
  <c r="AB29" i="45"/>
  <c r="Y29" i="45"/>
  <c r="X29" i="45"/>
  <c r="P29" i="45"/>
  <c r="O29" i="45"/>
  <c r="Q29" i="45" s="1"/>
  <c r="M29" i="45"/>
  <c r="H29" i="45"/>
  <c r="C29" i="45"/>
  <c r="AB28" i="45"/>
  <c r="AD28" i="45" s="1"/>
  <c r="J28" i="45" s="1"/>
  <c r="K28" i="45" s="1"/>
  <c r="Y28" i="45"/>
  <c r="X28" i="45"/>
  <c r="Q28" i="45"/>
  <c r="P28" i="45"/>
  <c r="O28" i="45"/>
  <c r="M28" i="45"/>
  <c r="I28" i="45"/>
  <c r="H28" i="45"/>
  <c r="C28" i="45"/>
  <c r="AB27" i="45"/>
  <c r="AD27" i="45" s="1"/>
  <c r="J27" i="45" s="1"/>
  <c r="Y27" i="45"/>
  <c r="X27" i="45"/>
  <c r="P27" i="45"/>
  <c r="O27" i="45"/>
  <c r="Q27" i="45" s="1"/>
  <c r="M27" i="45"/>
  <c r="H27" i="45"/>
  <c r="C27" i="45"/>
  <c r="AD26" i="45"/>
  <c r="J26" i="45" s="1"/>
  <c r="AB26" i="45"/>
  <c r="Y26" i="45"/>
  <c r="X26" i="45"/>
  <c r="Q26" i="45"/>
  <c r="P26" i="45"/>
  <c r="O26" i="45"/>
  <c r="M26" i="45"/>
  <c r="H26" i="45"/>
  <c r="C26" i="45"/>
  <c r="AB25" i="45"/>
  <c r="AD25" i="45" s="1"/>
  <c r="J25" i="45" s="1"/>
  <c r="Y25" i="45"/>
  <c r="X25" i="45"/>
  <c r="Q25" i="45"/>
  <c r="P25" i="45"/>
  <c r="O25" i="45"/>
  <c r="M25" i="45"/>
  <c r="H25" i="45"/>
  <c r="C25" i="45"/>
  <c r="AD24" i="45"/>
  <c r="J24" i="45" s="1"/>
  <c r="AB24" i="45"/>
  <c r="Y24" i="45"/>
  <c r="X24" i="45"/>
  <c r="P24" i="45"/>
  <c r="O24" i="45"/>
  <c r="Q24" i="45" s="1"/>
  <c r="M24" i="45"/>
  <c r="H24" i="45"/>
  <c r="C24" i="45"/>
  <c r="AB23" i="45"/>
  <c r="AD23" i="45" s="1"/>
  <c r="Y23" i="45"/>
  <c r="X23" i="45"/>
  <c r="P23" i="45"/>
  <c r="Q23" i="45" s="1"/>
  <c r="O23" i="45"/>
  <c r="M23" i="45"/>
  <c r="J23" i="45"/>
  <c r="K23" i="45" s="1"/>
  <c r="I23" i="45"/>
  <c r="H23" i="45"/>
  <c r="C23" i="45"/>
  <c r="AD22" i="45"/>
  <c r="J22" i="45" s="1"/>
  <c r="AB22" i="45"/>
  <c r="Y22" i="45"/>
  <c r="X22" i="45"/>
  <c r="P22" i="45"/>
  <c r="Q22" i="45" s="1"/>
  <c r="O22" i="45"/>
  <c r="M22" i="45"/>
  <c r="H22" i="45"/>
  <c r="C22" i="45"/>
  <c r="AD21" i="45"/>
  <c r="J21" i="45" s="1"/>
  <c r="AB21" i="45"/>
  <c r="Y21" i="45"/>
  <c r="X21" i="45"/>
  <c r="P21" i="45"/>
  <c r="O21" i="45"/>
  <c r="Q21" i="45" s="1"/>
  <c r="M21" i="45"/>
  <c r="H21" i="45"/>
  <c r="C21" i="45"/>
  <c r="AB20" i="45"/>
  <c r="AD20" i="45" s="1"/>
  <c r="J20" i="45" s="1"/>
  <c r="K20" i="45" s="1"/>
  <c r="Y20" i="45"/>
  <c r="X20" i="45"/>
  <c r="Q20" i="45"/>
  <c r="P20" i="45"/>
  <c r="O20" i="45"/>
  <c r="M20" i="45"/>
  <c r="H20" i="45"/>
  <c r="C20" i="45"/>
  <c r="AB19" i="45"/>
  <c r="AD19" i="45" s="1"/>
  <c r="J19" i="45" s="1"/>
  <c r="Y19" i="45"/>
  <c r="X19" i="45"/>
  <c r="P19" i="45"/>
  <c r="O19" i="45"/>
  <c r="Q19" i="45" s="1"/>
  <c r="M19" i="45"/>
  <c r="H19" i="45"/>
  <c r="C19" i="45"/>
  <c r="AD18" i="45"/>
  <c r="J18" i="45" s="1"/>
  <c r="AB18" i="45"/>
  <c r="Y18" i="45"/>
  <c r="X18" i="45"/>
  <c r="Q18" i="45"/>
  <c r="P18" i="45"/>
  <c r="O18" i="45"/>
  <c r="M18" i="45"/>
  <c r="H18" i="45"/>
  <c r="C18" i="45"/>
  <c r="AB17" i="45"/>
  <c r="AD17" i="45" s="1"/>
  <c r="J17" i="45" s="1"/>
  <c r="Y17" i="45"/>
  <c r="X17" i="45"/>
  <c r="Q17" i="45"/>
  <c r="P17" i="45"/>
  <c r="O17" i="45"/>
  <c r="M17" i="45"/>
  <c r="H17" i="45"/>
  <c r="C17" i="45"/>
  <c r="AD16" i="45"/>
  <c r="J16" i="45" s="1"/>
  <c r="AB16" i="45"/>
  <c r="Y16" i="45"/>
  <c r="X16" i="45"/>
  <c r="P16" i="45"/>
  <c r="O16" i="45"/>
  <c r="Q16" i="45" s="1"/>
  <c r="M16" i="45"/>
  <c r="H16" i="45"/>
  <c r="C16" i="45"/>
  <c r="AB15" i="45"/>
  <c r="AD15" i="45" s="1"/>
  <c r="Y15" i="45"/>
  <c r="X15" i="45"/>
  <c r="P15" i="45"/>
  <c r="Q15" i="45" s="1"/>
  <c r="O15" i="45"/>
  <c r="M15" i="45"/>
  <c r="J15" i="45"/>
  <c r="H15" i="45"/>
  <c r="C15" i="45"/>
  <c r="AD14" i="45"/>
  <c r="J14" i="45" s="1"/>
  <c r="AB14" i="45"/>
  <c r="Y14" i="45"/>
  <c r="X14" i="45"/>
  <c r="Q14" i="45"/>
  <c r="P14" i="45"/>
  <c r="O14" i="45"/>
  <c r="M14" i="45"/>
  <c r="H14" i="45"/>
  <c r="C14" i="45"/>
  <c r="AD13" i="45"/>
  <c r="J13" i="45" s="1"/>
  <c r="I13" i="45" s="1"/>
  <c r="AB13" i="45"/>
  <c r="Y13" i="45"/>
  <c r="X13" i="45"/>
  <c r="P13" i="45"/>
  <c r="O13" i="45"/>
  <c r="Q13" i="45" s="1"/>
  <c r="M13" i="45"/>
  <c r="H13" i="45"/>
  <c r="C13" i="45"/>
  <c r="AB12" i="45"/>
  <c r="AD12" i="45" s="1"/>
  <c r="J12" i="45" s="1"/>
  <c r="Y12" i="45"/>
  <c r="X12" i="45"/>
  <c r="Q12" i="45"/>
  <c r="P12" i="45"/>
  <c r="O12" i="45"/>
  <c r="M12" i="45"/>
  <c r="H12" i="45"/>
  <c r="C12" i="45"/>
  <c r="AB11" i="45"/>
  <c r="AD11" i="45" s="1"/>
  <c r="J11" i="45" s="1"/>
  <c r="Y11" i="45"/>
  <c r="X11" i="45"/>
  <c r="P11" i="45"/>
  <c r="O11" i="45"/>
  <c r="Q11" i="45" s="1"/>
  <c r="M11" i="45"/>
  <c r="H11" i="45"/>
  <c r="C11" i="45"/>
  <c r="AB10" i="45"/>
  <c r="AD10" i="45" s="1"/>
  <c r="J10" i="45" s="1"/>
  <c r="Y10" i="45"/>
  <c r="X10" i="45"/>
  <c r="Q10" i="45"/>
  <c r="P10" i="45"/>
  <c r="O10" i="45"/>
  <c r="M10" i="45"/>
  <c r="H10" i="45"/>
  <c r="C10" i="45"/>
  <c r="AB9" i="45"/>
  <c r="AD9" i="45" s="1"/>
  <c r="J9" i="45" s="1"/>
  <c r="Y9" i="45"/>
  <c r="X9" i="45"/>
  <c r="Q9" i="45"/>
  <c r="P9" i="45"/>
  <c r="O9" i="45"/>
  <c r="M9" i="45"/>
  <c r="H9" i="45"/>
  <c r="C9" i="45"/>
  <c r="AD8" i="45"/>
  <c r="J8" i="45" s="1"/>
  <c r="AB8" i="45"/>
  <c r="Y8" i="45"/>
  <c r="X8" i="45"/>
  <c r="P8" i="45"/>
  <c r="O8" i="45"/>
  <c r="Q8" i="45" s="1"/>
  <c r="M8" i="45"/>
  <c r="H8" i="45"/>
  <c r="C8" i="45"/>
  <c r="AB7" i="45"/>
  <c r="AD7" i="45" s="1"/>
  <c r="J7" i="45" s="1"/>
  <c r="Y7" i="45"/>
  <c r="X7" i="45"/>
  <c r="P7" i="45"/>
  <c r="Q7" i="45" s="1"/>
  <c r="O7" i="45"/>
  <c r="M7" i="45"/>
  <c r="H7" i="45"/>
  <c r="C7" i="45"/>
  <c r="AD6" i="45"/>
  <c r="J6" i="45" s="1"/>
  <c r="AB6" i="45"/>
  <c r="Y6" i="45"/>
  <c r="X6" i="45"/>
  <c r="Q6" i="45"/>
  <c r="P6" i="45"/>
  <c r="O6" i="45"/>
  <c r="M6" i="45"/>
  <c r="H6" i="45"/>
  <c r="C6" i="45"/>
  <c r="AD5" i="45"/>
  <c r="J5" i="45" s="1"/>
  <c r="I5" i="45" s="1"/>
  <c r="AB5" i="45"/>
  <c r="Y5" i="45"/>
  <c r="X5" i="45"/>
  <c r="P5" i="45"/>
  <c r="O5" i="45"/>
  <c r="Q5" i="45" s="1"/>
  <c r="M5" i="45"/>
  <c r="K5" i="45"/>
  <c r="H5" i="45"/>
  <c r="C5" i="45"/>
  <c r="AB4" i="45"/>
  <c r="AD4" i="45" s="1"/>
  <c r="Y4" i="45"/>
  <c r="X4" i="45"/>
  <c r="Q4" i="45"/>
  <c r="P4" i="45"/>
  <c r="O4" i="45"/>
  <c r="M4" i="45"/>
  <c r="H4" i="45"/>
  <c r="C4" i="45"/>
  <c r="AG3" i="45"/>
  <c r="AF3" i="45"/>
  <c r="W3" i="45"/>
  <c r="X3" i="45" s="1"/>
  <c r="V3" i="45"/>
  <c r="U3" i="45"/>
  <c r="T3" i="45"/>
  <c r="O3" i="45"/>
  <c r="G3" i="45"/>
  <c r="F3" i="45"/>
  <c r="D3" i="45"/>
  <c r="C3" i="45"/>
  <c r="A2" i="45"/>
  <c r="A1" i="45"/>
  <c r="AB32" i="44"/>
  <c r="AD32" i="44" s="1"/>
  <c r="J32" i="44" s="1"/>
  <c r="Y32" i="44"/>
  <c r="X32" i="44"/>
  <c r="V32" i="44"/>
  <c r="U32" i="44"/>
  <c r="T32" i="44"/>
  <c r="P32" i="44"/>
  <c r="O32" i="44"/>
  <c r="Q32" i="44" s="1"/>
  <c r="M32" i="44"/>
  <c r="H32" i="44"/>
  <c r="C32" i="44"/>
  <c r="AB31" i="44"/>
  <c r="AD31" i="44" s="1"/>
  <c r="Y31" i="44"/>
  <c r="X31" i="44"/>
  <c r="P31" i="44"/>
  <c r="Q31" i="44" s="1"/>
  <c r="O31" i="44"/>
  <c r="M31" i="44"/>
  <c r="J31" i="44"/>
  <c r="K31" i="44" s="1"/>
  <c r="I31" i="44"/>
  <c r="H31" i="44"/>
  <c r="C31" i="44"/>
  <c r="AD30" i="44"/>
  <c r="J30" i="44" s="1"/>
  <c r="AB30" i="44"/>
  <c r="Y30" i="44"/>
  <c r="X30" i="44"/>
  <c r="P30" i="44"/>
  <c r="Q30" i="44" s="1"/>
  <c r="O30" i="44"/>
  <c r="M30" i="44"/>
  <c r="H30" i="44"/>
  <c r="C30" i="44"/>
  <c r="AD29" i="44"/>
  <c r="J29" i="44" s="1"/>
  <c r="I29" i="44" s="1"/>
  <c r="AB29" i="44"/>
  <c r="Y29" i="44"/>
  <c r="X29" i="44"/>
  <c r="P29" i="44"/>
  <c r="O29" i="44"/>
  <c r="Q29" i="44" s="1"/>
  <c r="M29" i="44"/>
  <c r="K29" i="44"/>
  <c r="H29" i="44"/>
  <c r="C29" i="44"/>
  <c r="AB28" i="44"/>
  <c r="AD28" i="44" s="1"/>
  <c r="J28" i="44" s="1"/>
  <c r="K28" i="44" s="1"/>
  <c r="Y28" i="44"/>
  <c r="X28" i="44"/>
  <c r="Q28" i="44"/>
  <c r="P28" i="44"/>
  <c r="O28" i="44"/>
  <c r="M28" i="44"/>
  <c r="I28" i="44"/>
  <c r="H28" i="44"/>
  <c r="C28" i="44"/>
  <c r="AB27" i="44"/>
  <c r="AD27" i="44" s="1"/>
  <c r="J27" i="44" s="1"/>
  <c r="Y27" i="44"/>
  <c r="X27" i="44"/>
  <c r="P27" i="44"/>
  <c r="O27" i="44"/>
  <c r="Q27" i="44" s="1"/>
  <c r="M27" i="44"/>
  <c r="H27" i="44"/>
  <c r="C27" i="44"/>
  <c r="AB26" i="44"/>
  <c r="AD26" i="44" s="1"/>
  <c r="J26" i="44" s="1"/>
  <c r="Y26" i="44"/>
  <c r="X26" i="44"/>
  <c r="Q26" i="44"/>
  <c r="P26" i="44"/>
  <c r="O26" i="44"/>
  <c r="M26" i="44"/>
  <c r="H26" i="44"/>
  <c r="C26" i="44"/>
  <c r="AB25" i="44"/>
  <c r="AD25" i="44" s="1"/>
  <c r="J25" i="44" s="1"/>
  <c r="Y25" i="44"/>
  <c r="X25" i="44"/>
  <c r="Q25" i="44"/>
  <c r="P25" i="44"/>
  <c r="O25" i="44"/>
  <c r="M25" i="44"/>
  <c r="H25" i="44"/>
  <c r="C25" i="44"/>
  <c r="AD24" i="44"/>
  <c r="J24" i="44" s="1"/>
  <c r="AB24" i="44"/>
  <c r="Y24" i="44"/>
  <c r="X24" i="44"/>
  <c r="P24" i="44"/>
  <c r="O24" i="44"/>
  <c r="Q24" i="44" s="1"/>
  <c r="M24" i="44"/>
  <c r="H24" i="44"/>
  <c r="C24" i="44"/>
  <c r="AB23" i="44"/>
  <c r="AD23" i="44" s="1"/>
  <c r="J23" i="44" s="1"/>
  <c r="Y23" i="44"/>
  <c r="X23" i="44"/>
  <c r="P23" i="44"/>
  <c r="Q23" i="44" s="1"/>
  <c r="O23" i="44"/>
  <c r="M23" i="44"/>
  <c r="H23" i="44"/>
  <c r="C23" i="44"/>
  <c r="AD22" i="44"/>
  <c r="J22" i="44" s="1"/>
  <c r="AB22" i="44"/>
  <c r="Y22" i="44"/>
  <c r="X22" i="44"/>
  <c r="P22" i="44"/>
  <c r="Q22" i="44" s="1"/>
  <c r="O22" i="44"/>
  <c r="M22" i="44"/>
  <c r="H22" i="44"/>
  <c r="C22" i="44"/>
  <c r="AD21" i="44"/>
  <c r="J21" i="44" s="1"/>
  <c r="I21" i="44" s="1"/>
  <c r="AB21" i="44"/>
  <c r="Y21" i="44"/>
  <c r="X21" i="44"/>
  <c r="P21" i="44"/>
  <c r="O21" i="44"/>
  <c r="Q21" i="44" s="1"/>
  <c r="M21" i="44"/>
  <c r="H21" i="44"/>
  <c r="C21" i="44"/>
  <c r="AB20" i="44"/>
  <c r="AD20" i="44" s="1"/>
  <c r="J20" i="44" s="1"/>
  <c r="K20" i="44" s="1"/>
  <c r="Y20" i="44"/>
  <c r="X20" i="44"/>
  <c r="Q20" i="44"/>
  <c r="P20" i="44"/>
  <c r="O20" i="44"/>
  <c r="M20" i="44"/>
  <c r="I20" i="44"/>
  <c r="H20" i="44"/>
  <c r="C20" i="44"/>
  <c r="AB19" i="44"/>
  <c r="AD19" i="44" s="1"/>
  <c r="J19" i="44" s="1"/>
  <c r="Y19" i="44"/>
  <c r="X19" i="44"/>
  <c r="P19" i="44"/>
  <c r="O19" i="44"/>
  <c r="Q19" i="44" s="1"/>
  <c r="M19" i="44"/>
  <c r="H19" i="44"/>
  <c r="C19" i="44"/>
  <c r="AB18" i="44"/>
  <c r="AD18" i="44" s="1"/>
  <c r="Y18" i="44"/>
  <c r="X18" i="44"/>
  <c r="Q18" i="44"/>
  <c r="P18" i="44"/>
  <c r="O18" i="44"/>
  <c r="M18" i="44"/>
  <c r="J18" i="44"/>
  <c r="H18" i="44"/>
  <c r="C18" i="44"/>
  <c r="AB17" i="44"/>
  <c r="AD17" i="44" s="1"/>
  <c r="J17" i="44" s="1"/>
  <c r="Y17" i="44"/>
  <c r="X17" i="44"/>
  <c r="Q17" i="44"/>
  <c r="P17" i="44"/>
  <c r="O17" i="44"/>
  <c r="M17" i="44"/>
  <c r="H17" i="44"/>
  <c r="C17" i="44"/>
  <c r="AD16" i="44"/>
  <c r="J16" i="44" s="1"/>
  <c r="AB16" i="44"/>
  <c r="Y16" i="44"/>
  <c r="X16" i="44"/>
  <c r="P16" i="44"/>
  <c r="O16" i="44"/>
  <c r="Q16" i="44" s="1"/>
  <c r="M16" i="44"/>
  <c r="H16" i="44"/>
  <c r="C16" i="44"/>
  <c r="AB15" i="44"/>
  <c r="AD15" i="44" s="1"/>
  <c r="Y15" i="44"/>
  <c r="X15" i="44"/>
  <c r="P15" i="44"/>
  <c r="O15" i="44"/>
  <c r="Q15" i="44" s="1"/>
  <c r="M15" i="44"/>
  <c r="J15" i="44"/>
  <c r="K15" i="44" s="1"/>
  <c r="H15" i="44"/>
  <c r="C15" i="44"/>
  <c r="AD14" i="44"/>
  <c r="J14" i="44" s="1"/>
  <c r="AB14" i="44"/>
  <c r="Y14" i="44"/>
  <c r="X14" i="44"/>
  <c r="Q14" i="44"/>
  <c r="P14" i="44"/>
  <c r="O14" i="44"/>
  <c r="M14" i="44"/>
  <c r="H14" i="44"/>
  <c r="C14" i="44"/>
  <c r="AD13" i="44"/>
  <c r="J13" i="44" s="1"/>
  <c r="I13" i="44" s="1"/>
  <c r="AB13" i="44"/>
  <c r="Y13" i="44"/>
  <c r="X13" i="44"/>
  <c r="P13" i="44"/>
  <c r="O13" i="44"/>
  <c r="Q13" i="44" s="1"/>
  <c r="M13" i="44"/>
  <c r="K13" i="44"/>
  <c r="H13" i="44"/>
  <c r="C13" i="44"/>
  <c r="AB12" i="44"/>
  <c r="AD12" i="44" s="1"/>
  <c r="J12" i="44" s="1"/>
  <c r="K12" i="44" s="1"/>
  <c r="Y12" i="44"/>
  <c r="X12" i="44"/>
  <c r="Q12" i="44"/>
  <c r="P12" i="44"/>
  <c r="O12" i="44"/>
  <c r="M12" i="44"/>
  <c r="H12" i="44"/>
  <c r="C12" i="44"/>
  <c r="AB11" i="44"/>
  <c r="AD11" i="44" s="1"/>
  <c r="J11" i="44" s="1"/>
  <c r="Y11" i="44"/>
  <c r="X11" i="44"/>
  <c r="P11" i="44"/>
  <c r="O11" i="44"/>
  <c r="M11" i="44"/>
  <c r="H11" i="44"/>
  <c r="C11" i="44"/>
  <c r="AB10" i="44"/>
  <c r="AD10" i="44" s="1"/>
  <c r="J10" i="44" s="1"/>
  <c r="Y10" i="44"/>
  <c r="X10" i="44"/>
  <c r="Q10" i="44"/>
  <c r="P10" i="44"/>
  <c r="O10" i="44"/>
  <c r="M10" i="44"/>
  <c r="H10" i="44"/>
  <c r="C10" i="44"/>
  <c r="AB9" i="44"/>
  <c r="AD9" i="44" s="1"/>
  <c r="J9" i="44" s="1"/>
  <c r="Y9" i="44"/>
  <c r="X9" i="44"/>
  <c r="Q9" i="44"/>
  <c r="P9" i="44"/>
  <c r="O9" i="44"/>
  <c r="M9" i="44"/>
  <c r="H9" i="44"/>
  <c r="C9" i="44"/>
  <c r="AD8" i="44"/>
  <c r="J8" i="44" s="1"/>
  <c r="AB8" i="44"/>
  <c r="Y8" i="44"/>
  <c r="X8" i="44"/>
  <c r="P8" i="44"/>
  <c r="O8" i="44"/>
  <c r="Q8" i="44" s="1"/>
  <c r="M8" i="44"/>
  <c r="H8" i="44"/>
  <c r="C8" i="44"/>
  <c r="AB7" i="44"/>
  <c r="AD7" i="44" s="1"/>
  <c r="J7" i="44" s="1"/>
  <c r="Y7" i="44"/>
  <c r="X7" i="44"/>
  <c r="P7" i="44"/>
  <c r="O7" i="44"/>
  <c r="Q7" i="44" s="1"/>
  <c r="M7" i="44"/>
  <c r="H7" i="44"/>
  <c r="C7" i="44"/>
  <c r="AD6" i="44"/>
  <c r="J6" i="44" s="1"/>
  <c r="AB6" i="44"/>
  <c r="Y6" i="44"/>
  <c r="X6" i="44"/>
  <c r="P6" i="44"/>
  <c r="Q6" i="44" s="1"/>
  <c r="O6" i="44"/>
  <c r="M6" i="44"/>
  <c r="H6" i="44"/>
  <c r="C6" i="44"/>
  <c r="AD5" i="44"/>
  <c r="J5" i="44" s="1"/>
  <c r="I5" i="44" s="1"/>
  <c r="AB5" i="44"/>
  <c r="Y5" i="44"/>
  <c r="X5" i="44"/>
  <c r="P5" i="44"/>
  <c r="O5" i="44"/>
  <c r="Q5" i="44" s="1"/>
  <c r="M5" i="44"/>
  <c r="K5" i="44"/>
  <c r="H5" i="44"/>
  <c r="C5" i="44"/>
  <c r="AB4" i="44"/>
  <c r="AD4" i="44" s="1"/>
  <c r="Y4" i="44"/>
  <c r="X4" i="44"/>
  <c r="Q4" i="44"/>
  <c r="P4" i="44"/>
  <c r="O4" i="44"/>
  <c r="M4" i="44"/>
  <c r="H4" i="44"/>
  <c r="C4" i="44"/>
  <c r="AG3" i="44"/>
  <c r="AF3" i="44"/>
  <c r="W3" i="44"/>
  <c r="X3" i="44" s="1"/>
  <c r="V3" i="44"/>
  <c r="U3" i="44"/>
  <c r="T3" i="44"/>
  <c r="O3" i="44"/>
  <c r="G3" i="44"/>
  <c r="F3" i="44"/>
  <c r="D3" i="44"/>
  <c r="C3" i="44"/>
  <c r="A2" i="44"/>
  <c r="A1" i="44"/>
  <c r="AB32" i="43"/>
  <c r="AD32" i="43" s="1"/>
  <c r="J32" i="43" s="1"/>
  <c r="Y32" i="43"/>
  <c r="X32" i="43"/>
  <c r="V32" i="43"/>
  <c r="U32" i="43"/>
  <c r="T32" i="43"/>
  <c r="P32" i="43"/>
  <c r="O32" i="43"/>
  <c r="Q32" i="43" s="1"/>
  <c r="M32" i="43"/>
  <c r="H32" i="43"/>
  <c r="C32" i="43"/>
  <c r="AB31" i="43"/>
  <c r="AD31" i="43" s="1"/>
  <c r="Y31" i="43"/>
  <c r="X31" i="43"/>
  <c r="P31" i="43"/>
  <c r="O31" i="43"/>
  <c r="Q31" i="43" s="1"/>
  <c r="M31" i="43"/>
  <c r="J31" i="43"/>
  <c r="K31" i="43" s="1"/>
  <c r="I31" i="43"/>
  <c r="H31" i="43"/>
  <c r="C31" i="43"/>
  <c r="AD30" i="43"/>
  <c r="J30" i="43" s="1"/>
  <c r="AB30" i="43"/>
  <c r="Y30" i="43"/>
  <c r="X30" i="43"/>
  <c r="P30" i="43"/>
  <c r="Q30" i="43" s="1"/>
  <c r="O30" i="43"/>
  <c r="M30" i="43"/>
  <c r="H30" i="43"/>
  <c r="C30" i="43"/>
  <c r="AD29" i="43"/>
  <c r="J29" i="43" s="1"/>
  <c r="AB29" i="43"/>
  <c r="Y29" i="43"/>
  <c r="X29" i="43"/>
  <c r="P29" i="43"/>
  <c r="O29" i="43"/>
  <c r="Q29" i="43" s="1"/>
  <c r="M29" i="43"/>
  <c r="H29" i="43"/>
  <c r="C29" i="43"/>
  <c r="AB28" i="43"/>
  <c r="AD28" i="43" s="1"/>
  <c r="J28" i="43" s="1"/>
  <c r="K28" i="43" s="1"/>
  <c r="Y28" i="43"/>
  <c r="X28" i="43"/>
  <c r="Q28" i="43"/>
  <c r="P28" i="43"/>
  <c r="O28" i="43"/>
  <c r="M28" i="43"/>
  <c r="H28" i="43"/>
  <c r="C28" i="43"/>
  <c r="AB27" i="43"/>
  <c r="AD27" i="43" s="1"/>
  <c r="J27" i="43" s="1"/>
  <c r="Y27" i="43"/>
  <c r="X27" i="43"/>
  <c r="P27" i="43"/>
  <c r="O27" i="43"/>
  <c r="Q27" i="43" s="1"/>
  <c r="M27" i="43"/>
  <c r="H27" i="43"/>
  <c r="C27" i="43"/>
  <c r="AB26" i="43"/>
  <c r="AD26" i="43" s="1"/>
  <c r="J26" i="43" s="1"/>
  <c r="Y26" i="43"/>
  <c r="X26" i="43"/>
  <c r="Q26" i="43"/>
  <c r="P26" i="43"/>
  <c r="O26" i="43"/>
  <c r="M26" i="43"/>
  <c r="H26" i="43"/>
  <c r="C26" i="43"/>
  <c r="AB25" i="43"/>
  <c r="AD25" i="43" s="1"/>
  <c r="J25" i="43" s="1"/>
  <c r="Y25" i="43"/>
  <c r="X25" i="43"/>
  <c r="Q25" i="43"/>
  <c r="P25" i="43"/>
  <c r="O25" i="43"/>
  <c r="M25" i="43"/>
  <c r="H25" i="43"/>
  <c r="C25" i="43"/>
  <c r="AD24" i="43"/>
  <c r="J24" i="43" s="1"/>
  <c r="AB24" i="43"/>
  <c r="Y24" i="43"/>
  <c r="X24" i="43"/>
  <c r="P24" i="43"/>
  <c r="O24" i="43"/>
  <c r="Q24" i="43" s="1"/>
  <c r="M24" i="43"/>
  <c r="H24" i="43"/>
  <c r="C24" i="43"/>
  <c r="AB23" i="43"/>
  <c r="AD23" i="43" s="1"/>
  <c r="Y23" i="43"/>
  <c r="X23" i="43"/>
  <c r="P23" i="43"/>
  <c r="O23" i="43"/>
  <c r="Q23" i="43" s="1"/>
  <c r="M23" i="43"/>
  <c r="J23" i="43"/>
  <c r="H23" i="43"/>
  <c r="C23" i="43"/>
  <c r="AD22" i="43"/>
  <c r="J22" i="43" s="1"/>
  <c r="AB22" i="43"/>
  <c r="Y22" i="43"/>
  <c r="X22" i="43"/>
  <c r="Q22" i="43"/>
  <c r="P22" i="43"/>
  <c r="O22" i="43"/>
  <c r="M22" i="43"/>
  <c r="H22" i="43"/>
  <c r="C22" i="43"/>
  <c r="AD21" i="43"/>
  <c r="J21" i="43" s="1"/>
  <c r="I21" i="43" s="1"/>
  <c r="AB21" i="43"/>
  <c r="Y21" i="43"/>
  <c r="X21" i="43"/>
  <c r="P21" i="43"/>
  <c r="O21" i="43"/>
  <c r="Q21" i="43" s="1"/>
  <c r="M21" i="43"/>
  <c r="H21" i="43"/>
  <c r="C21" i="43"/>
  <c r="AB20" i="43"/>
  <c r="AD20" i="43" s="1"/>
  <c r="J20" i="43" s="1"/>
  <c r="Y20" i="43"/>
  <c r="X20" i="43"/>
  <c r="Q20" i="43"/>
  <c r="P20" i="43"/>
  <c r="O20" i="43"/>
  <c r="M20" i="43"/>
  <c r="H20" i="43"/>
  <c r="C20" i="43"/>
  <c r="AB19" i="43"/>
  <c r="AD19" i="43" s="1"/>
  <c r="J19" i="43" s="1"/>
  <c r="Y19" i="43"/>
  <c r="X19" i="43"/>
  <c r="P19" i="43"/>
  <c r="O19" i="43"/>
  <c r="Q19" i="43" s="1"/>
  <c r="M19" i="43"/>
  <c r="H19" i="43"/>
  <c r="C19" i="43"/>
  <c r="AB18" i="43"/>
  <c r="AD18" i="43" s="1"/>
  <c r="J18" i="43" s="1"/>
  <c r="Y18" i="43"/>
  <c r="X18" i="43"/>
  <c r="Q18" i="43"/>
  <c r="P18" i="43"/>
  <c r="O18" i="43"/>
  <c r="M18" i="43"/>
  <c r="H18" i="43"/>
  <c r="C18" i="43"/>
  <c r="AB17" i="43"/>
  <c r="AD17" i="43" s="1"/>
  <c r="J17" i="43" s="1"/>
  <c r="Y17" i="43"/>
  <c r="X17" i="43"/>
  <c r="Q17" i="43"/>
  <c r="P17" i="43"/>
  <c r="O17" i="43"/>
  <c r="M17" i="43"/>
  <c r="H17" i="43"/>
  <c r="C17" i="43"/>
  <c r="AD16" i="43"/>
  <c r="J16" i="43" s="1"/>
  <c r="AB16" i="43"/>
  <c r="Y16" i="43"/>
  <c r="X16" i="43"/>
  <c r="P16" i="43"/>
  <c r="O16" i="43"/>
  <c r="Q16" i="43" s="1"/>
  <c r="M16" i="43"/>
  <c r="H16" i="43"/>
  <c r="C16" i="43"/>
  <c r="AG3" i="43"/>
  <c r="AF3" i="43"/>
  <c r="X3" i="43"/>
  <c r="W3" i="43"/>
  <c r="V3" i="43"/>
  <c r="U3" i="43"/>
  <c r="T3" i="43"/>
  <c r="O3" i="43"/>
  <c r="G3" i="43"/>
  <c r="H3" i="43" s="1"/>
  <c r="F3" i="43"/>
  <c r="D3" i="43"/>
  <c r="C3" i="43"/>
  <c r="A2" i="43"/>
  <c r="A1" i="43"/>
  <c r="AD32" i="42"/>
  <c r="J32" i="42" s="1"/>
  <c r="K32" i="42" s="1"/>
  <c r="AB32" i="42"/>
  <c r="Y32" i="42"/>
  <c r="X32" i="42"/>
  <c r="V32" i="42"/>
  <c r="U32" i="42"/>
  <c r="T32" i="42"/>
  <c r="Q32" i="42"/>
  <c r="P32" i="42"/>
  <c r="O32" i="42"/>
  <c r="M32" i="42"/>
  <c r="H32" i="42"/>
  <c r="C32" i="42"/>
  <c r="AB31" i="42"/>
  <c r="AD31" i="42" s="1"/>
  <c r="J31" i="42" s="1"/>
  <c r="Y31" i="42"/>
  <c r="X31" i="42"/>
  <c r="P31" i="42"/>
  <c r="O31" i="42"/>
  <c r="M31" i="42"/>
  <c r="H31" i="42"/>
  <c r="C31" i="42"/>
  <c r="AD30" i="42"/>
  <c r="J30" i="42" s="1"/>
  <c r="I30" i="42" s="1"/>
  <c r="AB30" i="42"/>
  <c r="Y30" i="42"/>
  <c r="X30" i="42"/>
  <c r="Q30" i="42"/>
  <c r="P30" i="42"/>
  <c r="O30" i="42"/>
  <c r="M30" i="42"/>
  <c r="K30" i="42"/>
  <c r="H30" i="42"/>
  <c r="C30" i="42"/>
  <c r="AB29" i="42"/>
  <c r="AD29" i="42" s="1"/>
  <c r="J29" i="42" s="1"/>
  <c r="Y29" i="42"/>
  <c r="X29" i="42"/>
  <c r="Q29" i="42"/>
  <c r="P29" i="42"/>
  <c r="O29" i="42"/>
  <c r="M29" i="42"/>
  <c r="H29" i="42"/>
  <c r="C29" i="42"/>
  <c r="AD28" i="42"/>
  <c r="J28" i="42" s="1"/>
  <c r="AB28" i="42"/>
  <c r="Y28" i="42"/>
  <c r="X28" i="42"/>
  <c r="P28" i="42"/>
  <c r="O28" i="42"/>
  <c r="Q28" i="42" s="1"/>
  <c r="M28" i="42"/>
  <c r="H28" i="42"/>
  <c r="C28" i="42"/>
  <c r="AB27" i="42"/>
  <c r="AD27" i="42" s="1"/>
  <c r="J27" i="42" s="1"/>
  <c r="Y27" i="42"/>
  <c r="X27" i="42"/>
  <c r="P27" i="42"/>
  <c r="Q27" i="42" s="1"/>
  <c r="O27" i="42"/>
  <c r="M27" i="42"/>
  <c r="H27" i="42"/>
  <c r="C27" i="42"/>
  <c r="AD26" i="42"/>
  <c r="J26" i="42" s="1"/>
  <c r="AB26" i="42"/>
  <c r="Y26" i="42"/>
  <c r="X26" i="42"/>
  <c r="Q26" i="42"/>
  <c r="P26" i="42"/>
  <c r="O26" i="42"/>
  <c r="M26" i="42"/>
  <c r="H26" i="42"/>
  <c r="C26" i="42"/>
  <c r="AD25" i="42"/>
  <c r="J25" i="42" s="1"/>
  <c r="I25" i="42" s="1"/>
  <c r="AB25" i="42"/>
  <c r="Y25" i="42"/>
  <c r="X25" i="42"/>
  <c r="P25" i="42"/>
  <c r="O25" i="42"/>
  <c r="Q25" i="42" s="1"/>
  <c r="M25" i="42"/>
  <c r="H25" i="42"/>
  <c r="C25" i="42"/>
  <c r="AB24" i="42"/>
  <c r="AD24" i="42" s="1"/>
  <c r="J24" i="42" s="1"/>
  <c r="K24" i="42" s="1"/>
  <c r="Y24" i="42"/>
  <c r="X24" i="42"/>
  <c r="Q24" i="42"/>
  <c r="P24" i="42"/>
  <c r="O24" i="42"/>
  <c r="M24" i="42"/>
  <c r="I24" i="42"/>
  <c r="H24" i="42"/>
  <c r="C24" i="42"/>
  <c r="AB23" i="42"/>
  <c r="AD23" i="42" s="1"/>
  <c r="J23" i="42" s="1"/>
  <c r="Y23" i="42"/>
  <c r="X23" i="42"/>
  <c r="P23" i="42"/>
  <c r="O23" i="42"/>
  <c r="Q23" i="42" s="1"/>
  <c r="M23" i="42"/>
  <c r="H23" i="42"/>
  <c r="C23" i="42"/>
  <c r="AD22" i="42"/>
  <c r="J22" i="42" s="1"/>
  <c r="K22" i="42" s="1"/>
  <c r="AB22" i="42"/>
  <c r="Y22" i="42"/>
  <c r="X22" i="42"/>
  <c r="Q22" i="42"/>
  <c r="P22" i="42"/>
  <c r="O22" i="42"/>
  <c r="M22" i="42"/>
  <c r="I22" i="42"/>
  <c r="H22" i="42"/>
  <c r="C22" i="42"/>
  <c r="AB21" i="42"/>
  <c r="AD21" i="42" s="1"/>
  <c r="J21" i="42" s="1"/>
  <c r="Y21" i="42"/>
  <c r="X21" i="42"/>
  <c r="Q21" i="42"/>
  <c r="P21" i="42"/>
  <c r="O21" i="42"/>
  <c r="M21" i="42"/>
  <c r="H21" i="42"/>
  <c r="C21" i="42"/>
  <c r="AD20" i="42"/>
  <c r="J20" i="42" s="1"/>
  <c r="I20" i="42" s="1"/>
  <c r="AB20" i="42"/>
  <c r="Y20" i="42"/>
  <c r="X20" i="42"/>
  <c r="P20" i="42"/>
  <c r="O20" i="42"/>
  <c r="Q20" i="42" s="1"/>
  <c r="M20" i="42"/>
  <c r="K20" i="42"/>
  <c r="H20" i="42"/>
  <c r="C20" i="42"/>
  <c r="AB19" i="42"/>
  <c r="AD19" i="42" s="1"/>
  <c r="J19" i="42" s="1"/>
  <c r="Y19" i="42"/>
  <c r="X19" i="42"/>
  <c r="P19" i="42"/>
  <c r="Q19" i="42" s="1"/>
  <c r="O19" i="42"/>
  <c r="M19" i="42"/>
  <c r="H19" i="42"/>
  <c r="C19" i="42"/>
  <c r="AD18" i="42"/>
  <c r="J18" i="42" s="1"/>
  <c r="AB18" i="42"/>
  <c r="Y18" i="42"/>
  <c r="X18" i="42"/>
  <c r="P18" i="42"/>
  <c r="O18" i="42"/>
  <c r="Q18" i="42" s="1"/>
  <c r="M18" i="42"/>
  <c r="H18" i="42"/>
  <c r="C18" i="42"/>
  <c r="AB17" i="42"/>
  <c r="AD17" i="42" s="1"/>
  <c r="J17" i="42" s="1"/>
  <c r="Y17" i="42"/>
  <c r="X17" i="42"/>
  <c r="P17" i="42"/>
  <c r="O17" i="42"/>
  <c r="Q17" i="42" s="1"/>
  <c r="M17" i="42"/>
  <c r="H17" i="42"/>
  <c r="C17" i="42"/>
  <c r="AB16" i="42"/>
  <c r="AD16" i="42" s="1"/>
  <c r="J16" i="42" s="1"/>
  <c r="K16" i="42" s="1"/>
  <c r="Y16" i="42"/>
  <c r="X16" i="42"/>
  <c r="Q16" i="42"/>
  <c r="P16" i="42"/>
  <c r="O16" i="42"/>
  <c r="M16" i="42"/>
  <c r="I16" i="42"/>
  <c r="H16" i="42"/>
  <c r="C16" i="42"/>
  <c r="AB15" i="42"/>
  <c r="AD15" i="42" s="1"/>
  <c r="J15" i="42" s="1"/>
  <c r="Y15" i="42"/>
  <c r="X15" i="42"/>
  <c r="P15" i="42"/>
  <c r="O15" i="42"/>
  <c r="Q15" i="42" s="1"/>
  <c r="M15" i="42"/>
  <c r="H15" i="42"/>
  <c r="C15" i="42"/>
  <c r="AB14" i="42"/>
  <c r="AD14" i="42" s="1"/>
  <c r="Y14" i="42"/>
  <c r="X14" i="42"/>
  <c r="Q14" i="42"/>
  <c r="P14" i="42"/>
  <c r="O14" i="42"/>
  <c r="M14" i="42"/>
  <c r="J14" i="42"/>
  <c r="H14" i="42"/>
  <c r="C14" i="42"/>
  <c r="AB13" i="42"/>
  <c r="AD13" i="42" s="1"/>
  <c r="J13" i="42" s="1"/>
  <c r="Y13" i="42"/>
  <c r="X13" i="42"/>
  <c r="P13" i="42"/>
  <c r="Q13" i="42" s="1"/>
  <c r="O13" i="42"/>
  <c r="M13" i="42"/>
  <c r="H13" i="42"/>
  <c r="C13" i="42"/>
  <c r="AD12" i="42"/>
  <c r="J12" i="42" s="1"/>
  <c r="I12" i="42" s="1"/>
  <c r="AB12" i="42"/>
  <c r="Y12" i="42"/>
  <c r="X12" i="42"/>
  <c r="P12" i="42"/>
  <c r="O12" i="42"/>
  <c r="Q12" i="42" s="1"/>
  <c r="M12" i="42"/>
  <c r="K12" i="42"/>
  <c r="H12" i="42"/>
  <c r="C12" i="42"/>
  <c r="AB11" i="42"/>
  <c r="AD11" i="42" s="1"/>
  <c r="J11" i="42" s="1"/>
  <c r="Y11" i="42"/>
  <c r="X11" i="42"/>
  <c r="P11" i="42"/>
  <c r="O11" i="42"/>
  <c r="Q11" i="42" s="1"/>
  <c r="M11" i="42"/>
  <c r="H11" i="42"/>
  <c r="C11" i="42"/>
  <c r="AD10" i="42"/>
  <c r="J10" i="42" s="1"/>
  <c r="AB10" i="42"/>
  <c r="Y10" i="42"/>
  <c r="X10" i="42"/>
  <c r="P10" i="42"/>
  <c r="O10" i="42"/>
  <c r="Q10" i="42" s="1"/>
  <c r="M10" i="42"/>
  <c r="H10" i="42"/>
  <c r="C10" i="42"/>
  <c r="AD9" i="42"/>
  <c r="AB9" i="42"/>
  <c r="Y9" i="42"/>
  <c r="X9" i="42"/>
  <c r="P9" i="42"/>
  <c r="O9" i="42"/>
  <c r="Q9" i="42" s="1"/>
  <c r="M9" i="42"/>
  <c r="J9" i="42"/>
  <c r="I9" i="42" s="1"/>
  <c r="H9" i="42"/>
  <c r="C9" i="42"/>
  <c r="AB8" i="42"/>
  <c r="AD8" i="42" s="1"/>
  <c r="J8" i="42" s="1"/>
  <c r="K8" i="42" s="1"/>
  <c r="Y8" i="42"/>
  <c r="X8" i="42"/>
  <c r="Q8" i="42"/>
  <c r="P8" i="42"/>
  <c r="O8" i="42"/>
  <c r="M8" i="42"/>
  <c r="H8" i="42"/>
  <c r="C8" i="42"/>
  <c r="AB7" i="42"/>
  <c r="AD7" i="42" s="1"/>
  <c r="J7" i="42" s="1"/>
  <c r="Y7" i="42"/>
  <c r="X7" i="42"/>
  <c r="P7" i="42"/>
  <c r="O7" i="42"/>
  <c r="M7" i="42"/>
  <c r="H7" i="42"/>
  <c r="C7" i="42"/>
  <c r="AD6" i="42"/>
  <c r="J6" i="42" s="1"/>
  <c r="I6" i="42" s="1"/>
  <c r="AB6" i="42"/>
  <c r="Y6" i="42"/>
  <c r="X6" i="42"/>
  <c r="Q6" i="42"/>
  <c r="P6" i="42"/>
  <c r="O6" i="42"/>
  <c r="M6" i="42"/>
  <c r="K6" i="42"/>
  <c r="H6" i="42"/>
  <c r="C6" i="42"/>
  <c r="AB5" i="42"/>
  <c r="AD5" i="42" s="1"/>
  <c r="J5" i="42" s="1"/>
  <c r="Y5" i="42"/>
  <c r="X5" i="42"/>
  <c r="Q5" i="42"/>
  <c r="P5" i="42"/>
  <c r="O5" i="42"/>
  <c r="M5" i="42"/>
  <c r="H5" i="42"/>
  <c r="C5" i="42"/>
  <c r="AD4" i="42"/>
  <c r="J4" i="42" s="1"/>
  <c r="I4" i="42" s="1"/>
  <c r="AB4" i="42"/>
  <c r="Y4" i="42"/>
  <c r="X4" i="42"/>
  <c r="P4" i="42"/>
  <c r="O4" i="42"/>
  <c r="Q4" i="42" s="1"/>
  <c r="M4" i="42"/>
  <c r="H4" i="42"/>
  <c r="C4" i="42"/>
  <c r="AG3" i="42"/>
  <c r="AF3" i="42"/>
  <c r="X3" i="42"/>
  <c r="W3" i="42"/>
  <c r="V3" i="42"/>
  <c r="U3" i="42"/>
  <c r="T3" i="42"/>
  <c r="O3" i="42"/>
  <c r="G3" i="42"/>
  <c r="H3" i="42" s="1"/>
  <c r="F3" i="42"/>
  <c r="D3" i="42"/>
  <c r="C3" i="42"/>
  <c r="A2" i="42"/>
  <c r="A1" i="42"/>
  <c r="AD32" i="41"/>
  <c r="J32" i="41" s="1"/>
  <c r="K32" i="41" s="1"/>
  <c r="AB32" i="41"/>
  <c r="Y32" i="41"/>
  <c r="X32" i="41"/>
  <c r="V32" i="41"/>
  <c r="U32" i="41"/>
  <c r="T32" i="41"/>
  <c r="Q32" i="41"/>
  <c r="P32" i="41"/>
  <c r="O32" i="41"/>
  <c r="M32" i="41"/>
  <c r="I32" i="41"/>
  <c r="H32" i="41"/>
  <c r="C32" i="41"/>
  <c r="AB31" i="41"/>
  <c r="AD31" i="41" s="1"/>
  <c r="J31" i="41" s="1"/>
  <c r="Y31" i="41"/>
  <c r="X31" i="41"/>
  <c r="P31" i="41"/>
  <c r="O31" i="41"/>
  <c r="M31" i="41"/>
  <c r="H31" i="41"/>
  <c r="C31" i="41"/>
  <c r="AD30" i="41"/>
  <c r="J30" i="41" s="1"/>
  <c r="AB30" i="41"/>
  <c r="Y30" i="41"/>
  <c r="X30" i="41"/>
  <c r="Q30" i="41"/>
  <c r="P30" i="41"/>
  <c r="O30" i="41"/>
  <c r="M30" i="41"/>
  <c r="H30" i="41"/>
  <c r="C30" i="41"/>
  <c r="AB29" i="41"/>
  <c r="AD29" i="41" s="1"/>
  <c r="J29" i="41" s="1"/>
  <c r="Y29" i="41"/>
  <c r="X29" i="41"/>
  <c r="Q29" i="41"/>
  <c r="P29" i="41"/>
  <c r="O29" i="41"/>
  <c r="M29" i="41"/>
  <c r="H29" i="41"/>
  <c r="C29" i="41"/>
  <c r="AD28" i="41"/>
  <c r="J28" i="41" s="1"/>
  <c r="I28" i="41" s="1"/>
  <c r="AB28" i="41"/>
  <c r="Y28" i="41"/>
  <c r="X28" i="41"/>
  <c r="P28" i="41"/>
  <c r="O28" i="41"/>
  <c r="Q28" i="41" s="1"/>
  <c r="M28" i="41"/>
  <c r="K28" i="41"/>
  <c r="H28" i="41"/>
  <c r="C28" i="41"/>
  <c r="AB27" i="41"/>
  <c r="AD27" i="41" s="1"/>
  <c r="Y27" i="41"/>
  <c r="X27" i="41"/>
  <c r="P27" i="41"/>
  <c r="Q27" i="41" s="1"/>
  <c r="O27" i="41"/>
  <c r="M27" i="41"/>
  <c r="J27" i="41"/>
  <c r="K27" i="41" s="1"/>
  <c r="I27" i="41"/>
  <c r="H27" i="41"/>
  <c r="C27" i="41"/>
  <c r="AD26" i="41"/>
  <c r="J26" i="41" s="1"/>
  <c r="AB26" i="41"/>
  <c r="Y26" i="41"/>
  <c r="X26" i="41"/>
  <c r="P26" i="41"/>
  <c r="Q26" i="41" s="1"/>
  <c r="O26" i="41"/>
  <c r="M26" i="41"/>
  <c r="H26" i="41"/>
  <c r="C26" i="41"/>
  <c r="AB25" i="41"/>
  <c r="AD25" i="41" s="1"/>
  <c r="J25" i="41" s="1"/>
  <c r="Y25" i="41"/>
  <c r="X25" i="41"/>
  <c r="P25" i="41"/>
  <c r="O25" i="41"/>
  <c r="Q25" i="41" s="1"/>
  <c r="M25" i="41"/>
  <c r="H25" i="41"/>
  <c r="C25" i="41"/>
  <c r="AB24" i="41"/>
  <c r="AD24" i="41" s="1"/>
  <c r="J24" i="41" s="1"/>
  <c r="Y24" i="41"/>
  <c r="X24" i="41"/>
  <c r="Q24" i="41"/>
  <c r="P24" i="41"/>
  <c r="O24" i="41"/>
  <c r="M24" i="41"/>
  <c r="H24" i="41"/>
  <c r="C24" i="41"/>
  <c r="AB23" i="41"/>
  <c r="AD23" i="41" s="1"/>
  <c r="J23" i="41" s="1"/>
  <c r="Y23" i="41"/>
  <c r="X23" i="41"/>
  <c r="P23" i="41"/>
  <c r="O23" i="41"/>
  <c r="Q23" i="41" s="1"/>
  <c r="M23" i="41"/>
  <c r="H23" i="41"/>
  <c r="C23" i="41"/>
  <c r="AB22" i="41"/>
  <c r="AD22" i="41" s="1"/>
  <c r="J22" i="41" s="1"/>
  <c r="Y22" i="41"/>
  <c r="X22" i="41"/>
  <c r="Q22" i="41"/>
  <c r="P22" i="41"/>
  <c r="O22" i="41"/>
  <c r="M22" i="41"/>
  <c r="H22" i="41"/>
  <c r="C22" i="41"/>
  <c r="AB21" i="41"/>
  <c r="AD21" i="41" s="1"/>
  <c r="J21" i="41" s="1"/>
  <c r="Y21" i="41"/>
  <c r="X21" i="41"/>
  <c r="P21" i="41"/>
  <c r="Q21" i="41" s="1"/>
  <c r="O21" i="41"/>
  <c r="M21" i="41"/>
  <c r="H21" i="41"/>
  <c r="C21" i="41"/>
  <c r="AD20" i="41"/>
  <c r="J20" i="41" s="1"/>
  <c r="AB20" i="41"/>
  <c r="Y20" i="41"/>
  <c r="X20" i="41"/>
  <c r="P20" i="41"/>
  <c r="O20" i="41"/>
  <c r="Q20" i="41" s="1"/>
  <c r="M20" i="41"/>
  <c r="H20" i="41"/>
  <c r="C20" i="41"/>
  <c r="AB19" i="41"/>
  <c r="AD19" i="41" s="1"/>
  <c r="Y19" i="41"/>
  <c r="X19" i="41"/>
  <c r="P19" i="41"/>
  <c r="Q19" i="41" s="1"/>
  <c r="O19" i="41"/>
  <c r="M19" i="41"/>
  <c r="J19" i="41"/>
  <c r="H19" i="41"/>
  <c r="C19" i="41"/>
  <c r="AD18" i="41"/>
  <c r="J18" i="41" s="1"/>
  <c r="AB18" i="41"/>
  <c r="Y18" i="41"/>
  <c r="X18" i="41"/>
  <c r="Q18" i="41"/>
  <c r="P18" i="41"/>
  <c r="O18" i="41"/>
  <c r="M18" i="41"/>
  <c r="H18" i="41"/>
  <c r="C18" i="41"/>
  <c r="AD17" i="41"/>
  <c r="AB17" i="41"/>
  <c r="Y17" i="41"/>
  <c r="X17" i="41"/>
  <c r="P17" i="41"/>
  <c r="O17" i="41"/>
  <c r="Q17" i="41" s="1"/>
  <c r="M17" i="41"/>
  <c r="J17" i="41"/>
  <c r="I17" i="41" s="1"/>
  <c r="H17" i="41"/>
  <c r="C17" i="41"/>
  <c r="AB16" i="41"/>
  <c r="AD16" i="41" s="1"/>
  <c r="J16" i="41" s="1"/>
  <c r="K16" i="41" s="1"/>
  <c r="Y16" i="41"/>
  <c r="X16" i="41"/>
  <c r="Q16" i="41"/>
  <c r="P16" i="41"/>
  <c r="O16" i="41"/>
  <c r="M16" i="41"/>
  <c r="I16" i="41"/>
  <c r="H16" i="41"/>
  <c r="C16" i="41"/>
  <c r="AB15" i="41"/>
  <c r="AD15" i="41" s="1"/>
  <c r="J15" i="41" s="1"/>
  <c r="Y15" i="41"/>
  <c r="X15" i="41"/>
  <c r="P15" i="41"/>
  <c r="O15" i="41"/>
  <c r="M15" i="41"/>
  <c r="H15" i="41"/>
  <c r="C15" i="41"/>
  <c r="AD14" i="41"/>
  <c r="J14" i="41" s="1"/>
  <c r="AB14" i="41"/>
  <c r="Y14" i="41"/>
  <c r="X14" i="41"/>
  <c r="Q14" i="41"/>
  <c r="P14" i="41"/>
  <c r="O14" i="41"/>
  <c r="M14" i="41"/>
  <c r="H14" i="41"/>
  <c r="C14" i="41"/>
  <c r="AB13" i="41"/>
  <c r="AD13" i="41" s="1"/>
  <c r="J13" i="41" s="1"/>
  <c r="Y13" i="41"/>
  <c r="X13" i="41"/>
  <c r="Q13" i="41"/>
  <c r="P13" i="41"/>
  <c r="O13" i="41"/>
  <c r="M13" i="41"/>
  <c r="H13" i="41"/>
  <c r="C13" i="41"/>
  <c r="AD12" i="41"/>
  <c r="J12" i="41" s="1"/>
  <c r="I12" i="41" s="1"/>
  <c r="AB12" i="41"/>
  <c r="Y12" i="41"/>
  <c r="X12" i="41"/>
  <c r="P12" i="41"/>
  <c r="O12" i="41"/>
  <c r="Q12" i="41" s="1"/>
  <c r="M12" i="41"/>
  <c r="K12" i="41"/>
  <c r="H12" i="41"/>
  <c r="C12" i="41"/>
  <c r="AB11" i="41"/>
  <c r="AD11" i="41" s="1"/>
  <c r="J11" i="41" s="1"/>
  <c r="Y11" i="41"/>
  <c r="X11" i="41"/>
  <c r="P11" i="41"/>
  <c r="Q11" i="41" s="1"/>
  <c r="O11" i="41"/>
  <c r="M11" i="41"/>
  <c r="H11" i="41"/>
  <c r="C11" i="41"/>
  <c r="AD10" i="41"/>
  <c r="J10" i="41" s="1"/>
  <c r="AB10" i="41"/>
  <c r="Y10" i="41"/>
  <c r="X10" i="41"/>
  <c r="P10" i="41"/>
  <c r="O10" i="41"/>
  <c r="Q10" i="41" s="1"/>
  <c r="M10" i="41"/>
  <c r="H10" i="41"/>
  <c r="C10" i="41"/>
  <c r="AB9" i="41"/>
  <c r="AD9" i="41" s="1"/>
  <c r="Y9" i="41"/>
  <c r="X9" i="41"/>
  <c r="P9" i="41"/>
  <c r="O9" i="41"/>
  <c r="Q9" i="41" s="1"/>
  <c r="M9" i="41"/>
  <c r="H9" i="41"/>
  <c r="C9" i="41"/>
  <c r="AB8" i="41"/>
  <c r="AD8" i="41" s="1"/>
  <c r="J8" i="41" s="1"/>
  <c r="K8" i="41" s="1"/>
  <c r="Y8" i="41"/>
  <c r="X8" i="41"/>
  <c r="Q8" i="41"/>
  <c r="P8" i="41"/>
  <c r="O8" i="41"/>
  <c r="M8" i="41"/>
  <c r="I8" i="41"/>
  <c r="H8" i="41"/>
  <c r="C8" i="41"/>
  <c r="AB7" i="41"/>
  <c r="AD7" i="41" s="1"/>
  <c r="J7" i="41" s="1"/>
  <c r="Y7" i="41"/>
  <c r="X7" i="41"/>
  <c r="P7" i="41"/>
  <c r="O7" i="41"/>
  <c r="Q7" i="41" s="1"/>
  <c r="M7" i="41"/>
  <c r="H7" i="41"/>
  <c r="C7" i="41"/>
  <c r="AD6" i="41"/>
  <c r="J6" i="41" s="1"/>
  <c r="AB6" i="41"/>
  <c r="Y6" i="41"/>
  <c r="X6" i="41"/>
  <c r="Q6" i="41"/>
  <c r="P6" i="41"/>
  <c r="O6" i="41"/>
  <c r="M6" i="41"/>
  <c r="H6" i="41"/>
  <c r="C6" i="41"/>
  <c r="AB5" i="41"/>
  <c r="AD5" i="41" s="1"/>
  <c r="J5" i="41" s="1"/>
  <c r="Y5" i="41"/>
  <c r="X5" i="41"/>
  <c r="Q5" i="41"/>
  <c r="P5" i="41"/>
  <c r="O5" i="41"/>
  <c r="M5" i="41"/>
  <c r="H5" i="41"/>
  <c r="C5" i="41"/>
  <c r="AD4" i="41"/>
  <c r="J4" i="41" s="1"/>
  <c r="I4" i="41" s="1"/>
  <c r="AB4" i="41"/>
  <c r="Y4" i="41"/>
  <c r="X4" i="41"/>
  <c r="P4" i="41"/>
  <c r="O4" i="41"/>
  <c r="Q4" i="41" s="1"/>
  <c r="M4" i="41"/>
  <c r="K4" i="41"/>
  <c r="H4" i="41"/>
  <c r="C4" i="41"/>
  <c r="AG3" i="41"/>
  <c r="AF3" i="41"/>
  <c r="X3" i="41"/>
  <c r="W3" i="41"/>
  <c r="V3" i="41"/>
  <c r="U3" i="41"/>
  <c r="T3" i="41"/>
  <c r="O3" i="41"/>
  <c r="G3" i="41"/>
  <c r="H3" i="41" s="1"/>
  <c r="F3" i="41"/>
  <c r="D3" i="41"/>
  <c r="C3" i="41"/>
  <c r="A2" i="41"/>
  <c r="A1" i="41"/>
  <c r="AD32" i="40"/>
  <c r="J32" i="40" s="1"/>
  <c r="K32" i="40" s="1"/>
  <c r="AB32" i="40"/>
  <c r="Y32" i="40"/>
  <c r="X32" i="40"/>
  <c r="V32" i="40"/>
  <c r="U32" i="40"/>
  <c r="T32" i="40"/>
  <c r="Q32" i="40"/>
  <c r="P32" i="40"/>
  <c r="O32" i="40"/>
  <c r="M32" i="40"/>
  <c r="H32" i="40"/>
  <c r="C32" i="40"/>
  <c r="AB31" i="40"/>
  <c r="AD31" i="40" s="1"/>
  <c r="J31" i="40" s="1"/>
  <c r="Y31" i="40"/>
  <c r="X31" i="40"/>
  <c r="P31" i="40"/>
  <c r="O31" i="40"/>
  <c r="M31" i="40"/>
  <c r="H31" i="40"/>
  <c r="C31" i="40"/>
  <c r="AB30" i="40"/>
  <c r="AD30" i="40" s="1"/>
  <c r="J30" i="40" s="1"/>
  <c r="Y30" i="40"/>
  <c r="X30" i="40"/>
  <c r="Q30" i="40"/>
  <c r="P30" i="40"/>
  <c r="O30" i="40"/>
  <c r="M30" i="40"/>
  <c r="H30" i="40"/>
  <c r="C30" i="40"/>
  <c r="AB29" i="40"/>
  <c r="AD29" i="40" s="1"/>
  <c r="J29" i="40" s="1"/>
  <c r="Y29" i="40"/>
  <c r="X29" i="40"/>
  <c r="P29" i="40"/>
  <c r="Q29" i="40" s="1"/>
  <c r="O29" i="40"/>
  <c r="M29" i="40"/>
  <c r="H29" i="40"/>
  <c r="C29" i="40"/>
  <c r="AD28" i="40"/>
  <c r="J28" i="40" s="1"/>
  <c r="I28" i="40" s="1"/>
  <c r="AB28" i="40"/>
  <c r="Y28" i="40"/>
  <c r="X28" i="40"/>
  <c r="P28" i="40"/>
  <c r="O28" i="40"/>
  <c r="Q28" i="40" s="1"/>
  <c r="M28" i="40"/>
  <c r="H28" i="40"/>
  <c r="C28" i="40"/>
  <c r="AB27" i="40"/>
  <c r="AD27" i="40" s="1"/>
  <c r="Y27" i="40"/>
  <c r="X27" i="40"/>
  <c r="P27" i="40"/>
  <c r="Q27" i="40" s="1"/>
  <c r="O27" i="40"/>
  <c r="M27" i="40"/>
  <c r="J27" i="40"/>
  <c r="K27" i="40" s="1"/>
  <c r="H27" i="40"/>
  <c r="C27" i="40"/>
  <c r="AD26" i="40"/>
  <c r="J26" i="40" s="1"/>
  <c r="AB26" i="40"/>
  <c r="Y26" i="40"/>
  <c r="X26" i="40"/>
  <c r="Q26" i="40"/>
  <c r="P26" i="40"/>
  <c r="O26" i="40"/>
  <c r="M26" i="40"/>
  <c r="H26" i="40"/>
  <c r="C26" i="40"/>
  <c r="AD25" i="40"/>
  <c r="AB25" i="40"/>
  <c r="Y25" i="40"/>
  <c r="X25" i="40"/>
  <c r="P25" i="40"/>
  <c r="O25" i="40"/>
  <c r="Q25" i="40" s="1"/>
  <c r="M25" i="40"/>
  <c r="K25" i="40"/>
  <c r="J25" i="40"/>
  <c r="I25" i="40" s="1"/>
  <c r="H25" i="40"/>
  <c r="C25" i="40"/>
  <c r="AB24" i="40"/>
  <c r="AD24" i="40" s="1"/>
  <c r="J24" i="40" s="1"/>
  <c r="K24" i="40" s="1"/>
  <c r="Y24" i="40"/>
  <c r="X24" i="40"/>
  <c r="Q24" i="40"/>
  <c r="P24" i="40"/>
  <c r="O24" i="40"/>
  <c r="M24" i="40"/>
  <c r="I24" i="40"/>
  <c r="H24" i="40"/>
  <c r="C24" i="40"/>
  <c r="AB23" i="40"/>
  <c r="AD23" i="40" s="1"/>
  <c r="J23" i="40" s="1"/>
  <c r="Y23" i="40"/>
  <c r="X23" i="40"/>
  <c r="P23" i="40"/>
  <c r="O23" i="40"/>
  <c r="M23" i="40"/>
  <c r="H23" i="40"/>
  <c r="C23" i="40"/>
  <c r="AD22" i="40"/>
  <c r="J22" i="40" s="1"/>
  <c r="K22" i="40" s="1"/>
  <c r="AB22" i="40"/>
  <c r="Y22" i="40"/>
  <c r="X22" i="40"/>
  <c r="Q22" i="40"/>
  <c r="P22" i="40"/>
  <c r="O22" i="40"/>
  <c r="M22" i="40"/>
  <c r="I22" i="40"/>
  <c r="H22" i="40"/>
  <c r="C22" i="40"/>
  <c r="AB21" i="40"/>
  <c r="AD21" i="40" s="1"/>
  <c r="J21" i="40" s="1"/>
  <c r="Y21" i="40"/>
  <c r="X21" i="40"/>
  <c r="Q21" i="40"/>
  <c r="P21" i="40"/>
  <c r="O21" i="40"/>
  <c r="M21" i="40"/>
  <c r="H21" i="40"/>
  <c r="C21" i="40"/>
  <c r="AD20" i="40"/>
  <c r="J20" i="40" s="1"/>
  <c r="I20" i="40" s="1"/>
  <c r="AB20" i="40"/>
  <c r="Y20" i="40"/>
  <c r="X20" i="40"/>
  <c r="P20" i="40"/>
  <c r="O20" i="40"/>
  <c r="Q20" i="40" s="1"/>
  <c r="M20" i="40"/>
  <c r="K20" i="40"/>
  <c r="H20" i="40"/>
  <c r="C20" i="40"/>
  <c r="AB19" i="40"/>
  <c r="AD19" i="40" s="1"/>
  <c r="J19" i="40" s="1"/>
  <c r="Y19" i="40"/>
  <c r="X19" i="40"/>
  <c r="P19" i="40"/>
  <c r="O19" i="40"/>
  <c r="Q19" i="40" s="1"/>
  <c r="M19" i="40"/>
  <c r="H19" i="40"/>
  <c r="C19" i="40"/>
  <c r="AD18" i="40"/>
  <c r="J18" i="40" s="1"/>
  <c r="AB18" i="40"/>
  <c r="Y18" i="40"/>
  <c r="X18" i="40"/>
  <c r="P18" i="40"/>
  <c r="O18" i="40"/>
  <c r="Q18" i="40" s="1"/>
  <c r="M18" i="40"/>
  <c r="H18" i="40"/>
  <c r="C18" i="40"/>
  <c r="AB17" i="40"/>
  <c r="AD17" i="40" s="1"/>
  <c r="J17" i="40" s="1"/>
  <c r="Y17" i="40"/>
  <c r="X17" i="40"/>
  <c r="P17" i="40"/>
  <c r="O17" i="40"/>
  <c r="Q17" i="40" s="1"/>
  <c r="M17" i="40"/>
  <c r="H17" i="40"/>
  <c r="C17" i="40"/>
  <c r="AB16" i="40"/>
  <c r="AD16" i="40" s="1"/>
  <c r="J16" i="40" s="1"/>
  <c r="K16" i="40" s="1"/>
  <c r="Y16" i="40"/>
  <c r="X16" i="40"/>
  <c r="Q16" i="40"/>
  <c r="P16" i="40"/>
  <c r="O16" i="40"/>
  <c r="M16" i="40"/>
  <c r="H16" i="40"/>
  <c r="C16" i="40"/>
  <c r="AB15" i="40"/>
  <c r="AD15" i="40" s="1"/>
  <c r="J15" i="40" s="1"/>
  <c r="Y15" i="40"/>
  <c r="X15" i="40"/>
  <c r="P15" i="40"/>
  <c r="O15" i="40"/>
  <c r="Q15" i="40" s="1"/>
  <c r="M15" i="40"/>
  <c r="H15" i="40"/>
  <c r="C15" i="40"/>
  <c r="AB14" i="40"/>
  <c r="AD14" i="40" s="1"/>
  <c r="J14" i="40" s="1"/>
  <c r="Y14" i="40"/>
  <c r="X14" i="40"/>
  <c r="Q14" i="40"/>
  <c r="P14" i="40"/>
  <c r="O14" i="40"/>
  <c r="M14" i="40"/>
  <c r="H14" i="40"/>
  <c r="C14" i="40"/>
  <c r="AB13" i="40"/>
  <c r="AD13" i="40" s="1"/>
  <c r="J13" i="40" s="1"/>
  <c r="K13" i="40" s="1"/>
  <c r="Y13" i="40"/>
  <c r="X13" i="40"/>
  <c r="P13" i="40"/>
  <c r="Q13" i="40" s="1"/>
  <c r="O13" i="40"/>
  <c r="M13" i="40"/>
  <c r="I13" i="40"/>
  <c r="H13" i="40"/>
  <c r="C13" i="40"/>
  <c r="AD12" i="40"/>
  <c r="J12" i="40" s="1"/>
  <c r="I12" i="40" s="1"/>
  <c r="AB12" i="40"/>
  <c r="Y12" i="40"/>
  <c r="X12" i="40"/>
  <c r="P12" i="40"/>
  <c r="O12" i="40"/>
  <c r="Q12" i="40" s="1"/>
  <c r="M12" i="40"/>
  <c r="H12" i="40"/>
  <c r="C12" i="40"/>
  <c r="AD11" i="40"/>
  <c r="AB11" i="40"/>
  <c r="Y11" i="40"/>
  <c r="X11" i="40"/>
  <c r="P11" i="40"/>
  <c r="O11" i="40"/>
  <c r="Q11" i="40" s="1"/>
  <c r="M11" i="40"/>
  <c r="J11" i="40"/>
  <c r="H11" i="40"/>
  <c r="C11" i="40"/>
  <c r="AD10" i="40"/>
  <c r="J10" i="40" s="1"/>
  <c r="AB10" i="40"/>
  <c r="Y10" i="40"/>
  <c r="X10" i="40"/>
  <c r="Q10" i="40"/>
  <c r="P10" i="40"/>
  <c r="O10" i="40"/>
  <c r="M10" i="40"/>
  <c r="H10" i="40"/>
  <c r="C10" i="40"/>
  <c r="AD9" i="40"/>
  <c r="AB9" i="40"/>
  <c r="Y9" i="40"/>
  <c r="X9" i="40"/>
  <c r="P9" i="40"/>
  <c r="O9" i="40"/>
  <c r="Q9" i="40" s="1"/>
  <c r="M9" i="40"/>
  <c r="J9" i="40"/>
  <c r="I9" i="40" s="1"/>
  <c r="H9" i="40"/>
  <c r="C9" i="40"/>
  <c r="AB8" i="40"/>
  <c r="AD8" i="40" s="1"/>
  <c r="Y8" i="40"/>
  <c r="X8" i="40"/>
  <c r="P8" i="40"/>
  <c r="O8" i="40"/>
  <c r="Q8" i="40" s="1"/>
  <c r="M8" i="40"/>
  <c r="J8" i="40"/>
  <c r="H8" i="40"/>
  <c r="C8" i="40"/>
  <c r="AB7" i="40"/>
  <c r="AD7" i="40" s="1"/>
  <c r="Y7" i="40"/>
  <c r="X7" i="40"/>
  <c r="P7" i="40"/>
  <c r="Q7" i="40" s="1"/>
  <c r="O7" i="40"/>
  <c r="M7" i="40"/>
  <c r="J7" i="40"/>
  <c r="H7" i="40"/>
  <c r="C7" i="40"/>
  <c r="AD6" i="40"/>
  <c r="J6" i="40" s="1"/>
  <c r="K6" i="40" s="1"/>
  <c r="AB6" i="40"/>
  <c r="Y6" i="40"/>
  <c r="X6" i="40"/>
  <c r="Q6" i="40"/>
  <c r="P6" i="40"/>
  <c r="O6" i="40"/>
  <c r="M6" i="40"/>
  <c r="I6" i="40"/>
  <c r="H6" i="40"/>
  <c r="C6" i="40"/>
  <c r="AB5" i="40"/>
  <c r="AD5" i="40" s="1"/>
  <c r="J5" i="40" s="1"/>
  <c r="K5" i="40" s="1"/>
  <c r="Y5" i="40"/>
  <c r="X5" i="40"/>
  <c r="Q5" i="40"/>
  <c r="P5" i="40"/>
  <c r="O5" i="40"/>
  <c r="M5" i="40"/>
  <c r="H5" i="40"/>
  <c r="C5" i="40"/>
  <c r="AD4" i="40"/>
  <c r="J4" i="40" s="1"/>
  <c r="K4" i="40" s="1"/>
  <c r="AB4" i="40"/>
  <c r="Y4" i="40"/>
  <c r="X4" i="40"/>
  <c r="P4" i="40"/>
  <c r="O4" i="40"/>
  <c r="M4" i="40"/>
  <c r="I4" i="40"/>
  <c r="H4" i="40"/>
  <c r="C4" i="40"/>
  <c r="AG3" i="40"/>
  <c r="AF3" i="40"/>
  <c r="X3" i="40"/>
  <c r="W3" i="40"/>
  <c r="V3" i="40"/>
  <c r="U3" i="40"/>
  <c r="T3" i="40"/>
  <c r="O3" i="40"/>
  <c r="G3" i="40"/>
  <c r="H3" i="40" s="1"/>
  <c r="F3" i="40"/>
  <c r="D3" i="40"/>
  <c r="C3" i="40"/>
  <c r="A2" i="40"/>
  <c r="A1" i="40"/>
  <c r="AD32" i="39"/>
  <c r="AB32" i="39"/>
  <c r="Y32" i="39"/>
  <c r="X32" i="39"/>
  <c r="V32" i="39"/>
  <c r="U32" i="39"/>
  <c r="T32" i="39"/>
  <c r="Q32" i="39"/>
  <c r="P32" i="39"/>
  <c r="O32" i="39"/>
  <c r="M32" i="39"/>
  <c r="J32" i="39"/>
  <c r="K32" i="39" s="1"/>
  <c r="H32" i="39"/>
  <c r="C32" i="39"/>
  <c r="AB31" i="39"/>
  <c r="AD31" i="39" s="1"/>
  <c r="Y31" i="39"/>
  <c r="X31" i="39"/>
  <c r="P31" i="39"/>
  <c r="O31" i="39"/>
  <c r="Q31" i="39" s="1"/>
  <c r="M31" i="39"/>
  <c r="J31" i="39"/>
  <c r="H31" i="39"/>
  <c r="C31" i="39"/>
  <c r="AD30" i="39"/>
  <c r="J30" i="39" s="1"/>
  <c r="AB30" i="39"/>
  <c r="Y30" i="39"/>
  <c r="X30" i="39"/>
  <c r="Q30" i="39"/>
  <c r="P30" i="39"/>
  <c r="O30" i="39"/>
  <c r="M30" i="39"/>
  <c r="H30" i="39"/>
  <c r="C30" i="39"/>
  <c r="AB29" i="39"/>
  <c r="AD29" i="39" s="1"/>
  <c r="Y29" i="39"/>
  <c r="X29" i="39"/>
  <c r="Q29" i="39"/>
  <c r="P29" i="39"/>
  <c r="O29" i="39"/>
  <c r="M29" i="39"/>
  <c r="J29" i="39"/>
  <c r="H29" i="39"/>
  <c r="C29" i="39"/>
  <c r="AD28" i="39"/>
  <c r="J28" i="39" s="1"/>
  <c r="I28" i="39" s="1"/>
  <c r="AB28" i="39"/>
  <c r="Y28" i="39"/>
  <c r="X28" i="39"/>
  <c r="Q28" i="39"/>
  <c r="P28" i="39"/>
  <c r="O28" i="39"/>
  <c r="M28" i="39"/>
  <c r="K28" i="39"/>
  <c r="H28" i="39"/>
  <c r="C28" i="39"/>
  <c r="AD27" i="39"/>
  <c r="AB27" i="39"/>
  <c r="Y27" i="39"/>
  <c r="X27" i="39"/>
  <c r="P27" i="39"/>
  <c r="Q27" i="39" s="1"/>
  <c r="O27" i="39"/>
  <c r="M27" i="39"/>
  <c r="J27" i="39"/>
  <c r="H27" i="39"/>
  <c r="C27" i="39"/>
  <c r="AD26" i="39"/>
  <c r="J26" i="39" s="1"/>
  <c r="I26" i="39" s="1"/>
  <c r="AB26" i="39"/>
  <c r="Y26" i="39"/>
  <c r="X26" i="39"/>
  <c r="Q26" i="39"/>
  <c r="P26" i="39"/>
  <c r="O26" i="39"/>
  <c r="M26" i="39"/>
  <c r="K26" i="39"/>
  <c r="H26" i="39"/>
  <c r="C26" i="39"/>
  <c r="AD25" i="39"/>
  <c r="AB25" i="39"/>
  <c r="Y25" i="39"/>
  <c r="X25" i="39"/>
  <c r="P25" i="39"/>
  <c r="O25" i="39"/>
  <c r="M25" i="39"/>
  <c r="J25" i="39"/>
  <c r="H25" i="39"/>
  <c r="C25" i="39"/>
  <c r="AD24" i="39"/>
  <c r="J24" i="39" s="1"/>
  <c r="AB24" i="39"/>
  <c r="Y24" i="39"/>
  <c r="X24" i="39"/>
  <c r="Q24" i="39"/>
  <c r="P24" i="39"/>
  <c r="O24" i="39"/>
  <c r="M24" i="39"/>
  <c r="H24" i="39"/>
  <c r="C24" i="39"/>
  <c r="AB23" i="39"/>
  <c r="AD23" i="39" s="1"/>
  <c r="J23" i="39" s="1"/>
  <c r="Y23" i="39"/>
  <c r="X23" i="39"/>
  <c r="Q23" i="39"/>
  <c r="P23" i="39"/>
  <c r="O23" i="39"/>
  <c r="M23" i="39"/>
  <c r="H23" i="39"/>
  <c r="C23" i="39"/>
  <c r="AB22" i="39"/>
  <c r="AD22" i="39" s="1"/>
  <c r="J22" i="39" s="1"/>
  <c r="Y22" i="39"/>
  <c r="X22" i="39"/>
  <c r="P22" i="39"/>
  <c r="O22" i="39"/>
  <c r="Q22" i="39" s="1"/>
  <c r="M22" i="39"/>
  <c r="H22" i="39"/>
  <c r="C22" i="39"/>
  <c r="AB21" i="39"/>
  <c r="AD21" i="39" s="1"/>
  <c r="Y21" i="39"/>
  <c r="X21" i="39"/>
  <c r="P21" i="39"/>
  <c r="Q21" i="39" s="1"/>
  <c r="O21" i="39"/>
  <c r="M21" i="39"/>
  <c r="J21" i="39"/>
  <c r="K21" i="39" s="1"/>
  <c r="H21" i="39"/>
  <c r="C21" i="39"/>
  <c r="AD20" i="39"/>
  <c r="J20" i="39" s="1"/>
  <c r="AB20" i="39"/>
  <c r="Y20" i="39"/>
  <c r="X20" i="39"/>
  <c r="P20" i="39"/>
  <c r="O20" i="39"/>
  <c r="Q20" i="39" s="1"/>
  <c r="M20" i="39"/>
  <c r="K20" i="39"/>
  <c r="I20" i="39"/>
  <c r="H20" i="39"/>
  <c r="C20" i="39"/>
  <c r="AD19" i="39"/>
  <c r="AB19" i="39"/>
  <c r="Y19" i="39"/>
  <c r="X19" i="39"/>
  <c r="P19" i="39"/>
  <c r="Q19" i="39" s="1"/>
  <c r="O19" i="39"/>
  <c r="M19" i="39"/>
  <c r="J19" i="39"/>
  <c r="K19" i="39" s="1"/>
  <c r="H19" i="39"/>
  <c r="C19" i="39"/>
  <c r="AD18" i="39"/>
  <c r="J18" i="39" s="1"/>
  <c r="AB18" i="39"/>
  <c r="Y18" i="39"/>
  <c r="X18" i="39"/>
  <c r="P18" i="39"/>
  <c r="O18" i="39"/>
  <c r="Q18" i="39" s="1"/>
  <c r="M18" i="39"/>
  <c r="K18" i="39"/>
  <c r="I18" i="39"/>
  <c r="H18" i="39"/>
  <c r="C18" i="39"/>
  <c r="AD17" i="39"/>
  <c r="AB17" i="39"/>
  <c r="Y17" i="39"/>
  <c r="X17" i="39"/>
  <c r="P17" i="39"/>
  <c r="O17" i="39"/>
  <c r="Q17" i="39" s="1"/>
  <c r="M17" i="39"/>
  <c r="J17" i="39"/>
  <c r="I17" i="39" s="1"/>
  <c r="H17" i="39"/>
  <c r="C17" i="39"/>
  <c r="AB16" i="39"/>
  <c r="AD16" i="39" s="1"/>
  <c r="J16" i="39" s="1"/>
  <c r="Y16" i="39"/>
  <c r="X16" i="39"/>
  <c r="P16" i="39"/>
  <c r="O16" i="39"/>
  <c r="Q16" i="39" s="1"/>
  <c r="M16" i="39"/>
  <c r="H16" i="39"/>
  <c r="C16" i="39"/>
  <c r="AB15" i="39"/>
  <c r="AD15" i="39" s="1"/>
  <c r="J15" i="39" s="1"/>
  <c r="Y15" i="39"/>
  <c r="X15" i="39"/>
  <c r="P15" i="39"/>
  <c r="O15" i="39"/>
  <c r="Q15" i="39" s="1"/>
  <c r="M15" i="39"/>
  <c r="H15" i="39"/>
  <c r="C15" i="39"/>
  <c r="AD14" i="39"/>
  <c r="J14" i="39" s="1"/>
  <c r="I14" i="39" s="1"/>
  <c r="AB14" i="39"/>
  <c r="Y14" i="39"/>
  <c r="X14" i="39"/>
  <c r="P14" i="39"/>
  <c r="O14" i="39"/>
  <c r="Q14" i="39" s="1"/>
  <c r="M14" i="39"/>
  <c r="K14" i="39"/>
  <c r="H14" i="39"/>
  <c r="C14" i="39"/>
  <c r="AB13" i="39"/>
  <c r="AD13" i="39" s="1"/>
  <c r="J13" i="39" s="1"/>
  <c r="Y13" i="39"/>
  <c r="X13" i="39"/>
  <c r="P13" i="39"/>
  <c r="O13" i="39"/>
  <c r="Q13" i="39" s="1"/>
  <c r="M13" i="39"/>
  <c r="H13" i="39"/>
  <c r="C13" i="39"/>
  <c r="AB12" i="39"/>
  <c r="AD12" i="39" s="1"/>
  <c r="J12" i="39" s="1"/>
  <c r="Y12" i="39"/>
  <c r="X12" i="39"/>
  <c r="P12" i="39"/>
  <c r="O12" i="39"/>
  <c r="Q12" i="39" s="1"/>
  <c r="M12" i="39"/>
  <c r="H12" i="39"/>
  <c r="C12" i="39"/>
  <c r="AB11" i="39"/>
  <c r="AD11" i="39" s="1"/>
  <c r="J11" i="39" s="1"/>
  <c r="Y11" i="39"/>
  <c r="X11" i="39"/>
  <c r="Q11" i="39"/>
  <c r="P11" i="39"/>
  <c r="O11" i="39"/>
  <c r="M11" i="39"/>
  <c r="H11" i="39"/>
  <c r="C11" i="39"/>
  <c r="AB10" i="39"/>
  <c r="AD10" i="39" s="1"/>
  <c r="J10" i="39" s="1"/>
  <c r="Y10" i="39"/>
  <c r="X10" i="39"/>
  <c r="Q10" i="39"/>
  <c r="P10" i="39"/>
  <c r="O10" i="39"/>
  <c r="M10" i="39"/>
  <c r="H10" i="39"/>
  <c r="C10" i="39"/>
  <c r="AB9" i="39"/>
  <c r="AD9" i="39" s="1"/>
  <c r="J9" i="39" s="1"/>
  <c r="Y9" i="39"/>
  <c r="X9" i="39"/>
  <c r="P9" i="39"/>
  <c r="O9" i="39"/>
  <c r="Q9" i="39" s="1"/>
  <c r="M9" i="39"/>
  <c r="H9" i="39"/>
  <c r="C9" i="39"/>
  <c r="AD8" i="39"/>
  <c r="J8" i="39" s="1"/>
  <c r="K8" i="39" s="1"/>
  <c r="AB8" i="39"/>
  <c r="Y8" i="39"/>
  <c r="X8" i="39"/>
  <c r="P8" i="39"/>
  <c r="Q8" i="39" s="1"/>
  <c r="O8" i="39"/>
  <c r="M8" i="39"/>
  <c r="I8" i="39"/>
  <c r="H8" i="39"/>
  <c r="C8" i="39"/>
  <c r="AD7" i="39"/>
  <c r="J7" i="39" s="1"/>
  <c r="AB7" i="39"/>
  <c r="Y7" i="39"/>
  <c r="X7" i="39"/>
  <c r="P7" i="39"/>
  <c r="Q7" i="39" s="1"/>
  <c r="O7" i="39"/>
  <c r="M7" i="39"/>
  <c r="H7" i="39"/>
  <c r="C7" i="39"/>
  <c r="AD6" i="39"/>
  <c r="J6" i="39" s="1"/>
  <c r="I6" i="39" s="1"/>
  <c r="AB6" i="39"/>
  <c r="Y6" i="39"/>
  <c r="X6" i="39"/>
  <c r="P6" i="39"/>
  <c r="O6" i="39"/>
  <c r="Q6" i="39" s="1"/>
  <c r="M6" i="39"/>
  <c r="K6" i="39"/>
  <c r="H6" i="39"/>
  <c r="C6" i="39"/>
  <c r="AB5" i="39"/>
  <c r="AD5" i="39" s="1"/>
  <c r="J5" i="39" s="1"/>
  <c r="Y5" i="39"/>
  <c r="X5" i="39"/>
  <c r="P5" i="39"/>
  <c r="O5" i="39"/>
  <c r="Q5" i="39" s="1"/>
  <c r="M5" i="39"/>
  <c r="H5" i="39"/>
  <c r="C5" i="39"/>
  <c r="AB4" i="39"/>
  <c r="AD4" i="39" s="1"/>
  <c r="Y4" i="39"/>
  <c r="X4" i="39"/>
  <c r="P4" i="39"/>
  <c r="O4" i="39"/>
  <c r="Q4" i="39" s="1"/>
  <c r="M4" i="39"/>
  <c r="H4" i="39"/>
  <c r="C4" i="39"/>
  <c r="AG3" i="39"/>
  <c r="AF3" i="39"/>
  <c r="W3" i="39"/>
  <c r="X3" i="39" s="1"/>
  <c r="V3" i="39"/>
  <c r="U3" i="39"/>
  <c r="T3" i="39"/>
  <c r="O3" i="39"/>
  <c r="H3" i="39"/>
  <c r="G3" i="39"/>
  <c r="F3" i="39"/>
  <c r="D3" i="39"/>
  <c r="C3" i="39"/>
  <c r="A2" i="39"/>
  <c r="A1" i="39"/>
  <c r="AB32" i="38"/>
  <c r="AD32" i="38" s="1"/>
  <c r="J32" i="38" s="1"/>
  <c r="K32" i="38" s="1"/>
  <c r="Y32" i="38"/>
  <c r="X32" i="38"/>
  <c r="V32" i="38"/>
  <c r="U32" i="38"/>
  <c r="T32" i="38"/>
  <c r="P32" i="38"/>
  <c r="Q32" i="38" s="1"/>
  <c r="O32" i="38"/>
  <c r="M32" i="38"/>
  <c r="I32" i="38"/>
  <c r="H32" i="38"/>
  <c r="C32" i="38"/>
  <c r="AD31" i="38"/>
  <c r="J31" i="38" s="1"/>
  <c r="AB31" i="38"/>
  <c r="Y31" i="38"/>
  <c r="X31" i="38"/>
  <c r="P31" i="38"/>
  <c r="Q31" i="38" s="1"/>
  <c r="O31" i="38"/>
  <c r="M31" i="38"/>
  <c r="H31" i="38"/>
  <c r="C31" i="38"/>
  <c r="AD30" i="38"/>
  <c r="J30" i="38" s="1"/>
  <c r="AB30" i="38"/>
  <c r="Y30" i="38"/>
  <c r="X30" i="38"/>
  <c r="P30" i="38"/>
  <c r="O30" i="38"/>
  <c r="Q30" i="38" s="1"/>
  <c r="M30" i="38"/>
  <c r="H30" i="38"/>
  <c r="C30" i="38"/>
  <c r="AB29" i="38"/>
  <c r="AD29" i="38" s="1"/>
  <c r="J29" i="38" s="1"/>
  <c r="Y29" i="38"/>
  <c r="X29" i="38"/>
  <c r="P29" i="38"/>
  <c r="O29" i="38"/>
  <c r="Q29" i="38" s="1"/>
  <c r="M29" i="38"/>
  <c r="H29" i="38"/>
  <c r="C29" i="38"/>
  <c r="AB28" i="38"/>
  <c r="AD28" i="38" s="1"/>
  <c r="J28" i="38" s="1"/>
  <c r="Y28" i="38"/>
  <c r="X28" i="38"/>
  <c r="P28" i="38"/>
  <c r="O28" i="38"/>
  <c r="Q28" i="38" s="1"/>
  <c r="M28" i="38"/>
  <c r="H28" i="38"/>
  <c r="C28" i="38"/>
  <c r="AB27" i="38"/>
  <c r="AD27" i="38" s="1"/>
  <c r="Y27" i="38"/>
  <c r="X27" i="38"/>
  <c r="Q27" i="38"/>
  <c r="P27" i="38"/>
  <c r="O27" i="38"/>
  <c r="M27" i="38"/>
  <c r="J27" i="38"/>
  <c r="H27" i="38"/>
  <c r="C27" i="38"/>
  <c r="AB26" i="38"/>
  <c r="AD26" i="38" s="1"/>
  <c r="J26" i="38" s="1"/>
  <c r="Y26" i="38"/>
  <c r="X26" i="38"/>
  <c r="Q26" i="38"/>
  <c r="P26" i="38"/>
  <c r="O26" i="38"/>
  <c r="M26" i="38"/>
  <c r="H26" i="38"/>
  <c r="C26" i="38"/>
  <c r="AD25" i="38"/>
  <c r="J25" i="38" s="1"/>
  <c r="AB25" i="38"/>
  <c r="Y25" i="38"/>
  <c r="X25" i="38"/>
  <c r="P25" i="38"/>
  <c r="O25" i="38"/>
  <c r="Q25" i="38" s="1"/>
  <c r="M25" i="38"/>
  <c r="H25" i="38"/>
  <c r="C25" i="38"/>
  <c r="AD24" i="38"/>
  <c r="J24" i="38" s="1"/>
  <c r="K24" i="38" s="1"/>
  <c r="AB24" i="38"/>
  <c r="Y24" i="38"/>
  <c r="X24" i="38"/>
  <c r="P24" i="38"/>
  <c r="Q24" i="38" s="1"/>
  <c r="O24" i="38"/>
  <c r="M24" i="38"/>
  <c r="I24" i="38"/>
  <c r="H24" i="38"/>
  <c r="C24" i="38"/>
  <c r="AD23" i="38"/>
  <c r="J23" i="38" s="1"/>
  <c r="AB23" i="38"/>
  <c r="Y23" i="38"/>
  <c r="X23" i="38"/>
  <c r="P23" i="38"/>
  <c r="Q23" i="38" s="1"/>
  <c r="O23" i="38"/>
  <c r="M23" i="38"/>
  <c r="H23" i="38"/>
  <c r="C23" i="38"/>
  <c r="AD22" i="38"/>
  <c r="J22" i="38" s="1"/>
  <c r="I22" i="38" s="1"/>
  <c r="AB22" i="38"/>
  <c r="Y22" i="38"/>
  <c r="X22" i="38"/>
  <c r="P22" i="38"/>
  <c r="O22" i="38"/>
  <c r="Q22" i="38" s="1"/>
  <c r="M22" i="38"/>
  <c r="K22" i="38"/>
  <c r="H22" i="38"/>
  <c r="C22" i="38"/>
  <c r="AB21" i="38"/>
  <c r="AD21" i="38" s="1"/>
  <c r="J21" i="38" s="1"/>
  <c r="Y21" i="38"/>
  <c r="X21" i="38"/>
  <c r="P21" i="38"/>
  <c r="O21" i="38"/>
  <c r="Q21" i="38" s="1"/>
  <c r="M21" i="38"/>
  <c r="H21" i="38"/>
  <c r="C21" i="38"/>
  <c r="AB20" i="38"/>
  <c r="AD20" i="38" s="1"/>
  <c r="J20" i="38" s="1"/>
  <c r="Y20" i="38"/>
  <c r="X20" i="38"/>
  <c r="P20" i="38"/>
  <c r="O20" i="38"/>
  <c r="Q20" i="38" s="1"/>
  <c r="M20" i="38"/>
  <c r="H20" i="38"/>
  <c r="C20" i="38"/>
  <c r="AB19" i="38"/>
  <c r="AD19" i="38" s="1"/>
  <c r="J19" i="38" s="1"/>
  <c r="Y19" i="38"/>
  <c r="X19" i="38"/>
  <c r="Q19" i="38"/>
  <c r="P19" i="38"/>
  <c r="O19" i="38"/>
  <c r="M19" i="38"/>
  <c r="H19" i="38"/>
  <c r="C19" i="38"/>
  <c r="AB18" i="38"/>
  <c r="AD18" i="38" s="1"/>
  <c r="J18" i="38" s="1"/>
  <c r="Y18" i="38"/>
  <c r="X18" i="38"/>
  <c r="Q18" i="38"/>
  <c r="P18" i="38"/>
  <c r="O18" i="38"/>
  <c r="M18" i="38"/>
  <c r="H18" i="38"/>
  <c r="C18" i="38"/>
  <c r="AD17" i="38"/>
  <c r="J17" i="38" s="1"/>
  <c r="AB17" i="38"/>
  <c r="Y17" i="38"/>
  <c r="X17" i="38"/>
  <c r="P17" i="38"/>
  <c r="O17" i="38"/>
  <c r="Q17" i="38" s="1"/>
  <c r="M17" i="38"/>
  <c r="H17" i="38"/>
  <c r="C17" i="38"/>
  <c r="AD16" i="38"/>
  <c r="AB16" i="38"/>
  <c r="Y16" i="38"/>
  <c r="X16" i="38"/>
  <c r="P16" i="38"/>
  <c r="Q16" i="38" s="1"/>
  <c r="O16" i="38"/>
  <c r="M16" i="38"/>
  <c r="H16" i="38"/>
  <c r="C16" i="38"/>
  <c r="AG3" i="38"/>
  <c r="AF3" i="38"/>
  <c r="X3" i="38"/>
  <c r="W3" i="38"/>
  <c r="V3" i="38"/>
  <c r="U3" i="38"/>
  <c r="T3" i="38"/>
  <c r="O3" i="38"/>
  <c r="G3" i="38"/>
  <c r="H3" i="38" s="1"/>
  <c r="F3" i="38"/>
  <c r="D3" i="38"/>
  <c r="C3" i="38"/>
  <c r="A2" i="38"/>
  <c r="A1" i="38"/>
  <c r="AD32" i="37"/>
  <c r="AB32" i="37"/>
  <c r="Y32" i="37"/>
  <c r="X32" i="37"/>
  <c r="V32" i="37"/>
  <c r="U32" i="37"/>
  <c r="T32" i="37"/>
  <c r="P32" i="37"/>
  <c r="O32" i="37"/>
  <c r="Q32" i="37" s="1"/>
  <c r="M32" i="37"/>
  <c r="J32" i="37"/>
  <c r="K32" i="37" s="1"/>
  <c r="H32" i="37"/>
  <c r="C32" i="37"/>
  <c r="AB31" i="37"/>
  <c r="AD31" i="37" s="1"/>
  <c r="J31" i="37" s="1"/>
  <c r="Y31" i="37"/>
  <c r="X31" i="37"/>
  <c r="Q31" i="37"/>
  <c r="P31" i="37"/>
  <c r="O31" i="37"/>
  <c r="M31" i="37"/>
  <c r="H31" i="37"/>
  <c r="C31" i="37"/>
  <c r="AB30" i="37"/>
  <c r="AD30" i="37" s="1"/>
  <c r="J30" i="37" s="1"/>
  <c r="Y30" i="37"/>
  <c r="X30" i="37"/>
  <c r="Q30" i="37"/>
  <c r="P30" i="37"/>
  <c r="O30" i="37"/>
  <c r="M30" i="37"/>
  <c r="H30" i="37"/>
  <c r="C30" i="37"/>
  <c r="AB29" i="37"/>
  <c r="AD29" i="37" s="1"/>
  <c r="J29" i="37" s="1"/>
  <c r="Y29" i="37"/>
  <c r="X29" i="37"/>
  <c r="P29" i="37"/>
  <c r="O29" i="37"/>
  <c r="Q29" i="37" s="1"/>
  <c r="M29" i="37"/>
  <c r="H29" i="37"/>
  <c r="C29" i="37"/>
  <c r="AD28" i="37"/>
  <c r="J28" i="37" s="1"/>
  <c r="AB28" i="37"/>
  <c r="Y28" i="37"/>
  <c r="X28" i="37"/>
  <c r="P28" i="37"/>
  <c r="Q28" i="37" s="1"/>
  <c r="O28" i="37"/>
  <c r="M28" i="37"/>
  <c r="H28" i="37"/>
  <c r="C28" i="37"/>
  <c r="AD27" i="37"/>
  <c r="J27" i="37" s="1"/>
  <c r="AB27" i="37"/>
  <c r="Y27" i="37"/>
  <c r="X27" i="37"/>
  <c r="P27" i="37"/>
  <c r="Q27" i="37" s="1"/>
  <c r="O27" i="37"/>
  <c r="M27" i="37"/>
  <c r="H27" i="37"/>
  <c r="C27" i="37"/>
  <c r="AD26" i="37"/>
  <c r="J26" i="37" s="1"/>
  <c r="AB26" i="37"/>
  <c r="Y26" i="37"/>
  <c r="X26" i="37"/>
  <c r="P26" i="37"/>
  <c r="O26" i="37"/>
  <c r="Q26" i="37" s="1"/>
  <c r="M26" i="37"/>
  <c r="H26" i="37"/>
  <c r="C26" i="37"/>
  <c r="AB25" i="37"/>
  <c r="AD25" i="37" s="1"/>
  <c r="J25" i="37" s="1"/>
  <c r="Y25" i="37"/>
  <c r="X25" i="37"/>
  <c r="P25" i="37"/>
  <c r="O25" i="37"/>
  <c r="Q25" i="37" s="1"/>
  <c r="M25" i="37"/>
  <c r="H25" i="37"/>
  <c r="C25" i="37"/>
  <c r="AB24" i="37"/>
  <c r="AD24" i="37" s="1"/>
  <c r="J24" i="37" s="1"/>
  <c r="Y24" i="37"/>
  <c r="X24" i="37"/>
  <c r="P24" i="37"/>
  <c r="O24" i="37"/>
  <c r="Q24" i="37" s="1"/>
  <c r="M24" i="37"/>
  <c r="H24" i="37"/>
  <c r="C24" i="37"/>
  <c r="AB23" i="37"/>
  <c r="AD23" i="37" s="1"/>
  <c r="J23" i="37" s="1"/>
  <c r="Y23" i="37"/>
  <c r="X23" i="37"/>
  <c r="Q23" i="37"/>
  <c r="P23" i="37"/>
  <c r="O23" i="37"/>
  <c r="M23" i="37"/>
  <c r="H23" i="37"/>
  <c r="C23" i="37"/>
  <c r="AB22" i="37"/>
  <c r="AD22" i="37" s="1"/>
  <c r="J22" i="37" s="1"/>
  <c r="Y22" i="37"/>
  <c r="X22" i="37"/>
  <c r="Q22" i="37"/>
  <c r="P22" i="37"/>
  <c r="O22" i="37"/>
  <c r="M22" i="37"/>
  <c r="H22" i="37"/>
  <c r="C22" i="37"/>
  <c r="AB21" i="37"/>
  <c r="AD21" i="37" s="1"/>
  <c r="J21" i="37" s="1"/>
  <c r="Y21" i="37"/>
  <c r="X21" i="37"/>
  <c r="P21" i="37"/>
  <c r="O21" i="37"/>
  <c r="Q21" i="37" s="1"/>
  <c r="M21" i="37"/>
  <c r="H21" i="37"/>
  <c r="C21" i="37"/>
  <c r="AD20" i="37"/>
  <c r="J20" i="37" s="1"/>
  <c r="AB20" i="37"/>
  <c r="Y20" i="37"/>
  <c r="X20" i="37"/>
  <c r="P20" i="37"/>
  <c r="Q20" i="37" s="1"/>
  <c r="O20" i="37"/>
  <c r="M20" i="37"/>
  <c r="H20" i="37"/>
  <c r="C20" i="37"/>
  <c r="AD19" i="37"/>
  <c r="J19" i="37" s="1"/>
  <c r="AB19" i="37"/>
  <c r="Y19" i="37"/>
  <c r="X19" i="37"/>
  <c r="P19" i="37"/>
  <c r="Q19" i="37" s="1"/>
  <c r="O19" i="37"/>
  <c r="M19" i="37"/>
  <c r="H19" i="37"/>
  <c r="C19" i="37"/>
  <c r="AD18" i="37"/>
  <c r="J18" i="37" s="1"/>
  <c r="AB18" i="37"/>
  <c r="Y18" i="37"/>
  <c r="X18" i="37"/>
  <c r="P18" i="37"/>
  <c r="O18" i="37"/>
  <c r="Q18" i="37" s="1"/>
  <c r="M18" i="37"/>
  <c r="H18" i="37"/>
  <c r="C18" i="37"/>
  <c r="AB17" i="37"/>
  <c r="AD17" i="37" s="1"/>
  <c r="J17" i="37" s="1"/>
  <c r="Y17" i="37"/>
  <c r="X17" i="37"/>
  <c r="P17" i="37"/>
  <c r="O17" i="37"/>
  <c r="Q17" i="37" s="1"/>
  <c r="M17" i="37"/>
  <c r="H17" i="37"/>
  <c r="C17" i="37"/>
  <c r="AB16" i="37"/>
  <c r="AD16" i="37" s="1"/>
  <c r="J16" i="37" s="1"/>
  <c r="Y16" i="37"/>
  <c r="X16" i="37"/>
  <c r="P16" i="37"/>
  <c r="O16" i="37"/>
  <c r="Q16" i="37" s="1"/>
  <c r="M16" i="37"/>
  <c r="H16" i="37"/>
  <c r="C16" i="37"/>
  <c r="AB15" i="37"/>
  <c r="AD15" i="37" s="1"/>
  <c r="J15" i="37" s="1"/>
  <c r="Y15" i="37"/>
  <c r="X15" i="37"/>
  <c r="Q15" i="37"/>
  <c r="P15" i="37"/>
  <c r="O15" i="37"/>
  <c r="M15" i="37"/>
  <c r="H15" i="37"/>
  <c r="C15" i="37"/>
  <c r="AB14" i="37"/>
  <c r="AD14" i="37" s="1"/>
  <c r="J14" i="37" s="1"/>
  <c r="Y14" i="37"/>
  <c r="X14" i="37"/>
  <c r="Q14" i="37"/>
  <c r="P14" i="37"/>
  <c r="O14" i="37"/>
  <c r="M14" i="37"/>
  <c r="H14" i="37"/>
  <c r="C14" i="37"/>
  <c r="AB13" i="37"/>
  <c r="AD13" i="37" s="1"/>
  <c r="J13" i="37" s="1"/>
  <c r="Y13" i="37"/>
  <c r="X13" i="37"/>
  <c r="P13" i="37"/>
  <c r="O13" i="37"/>
  <c r="Q13" i="37" s="1"/>
  <c r="M13" i="37"/>
  <c r="H13" i="37"/>
  <c r="C13" i="37"/>
  <c r="AD12" i="37"/>
  <c r="J12" i="37" s="1"/>
  <c r="AB12" i="37"/>
  <c r="Y12" i="37"/>
  <c r="X12" i="37"/>
  <c r="P12" i="37"/>
  <c r="Q12" i="37" s="1"/>
  <c r="O12" i="37"/>
  <c r="M12" i="37"/>
  <c r="H12" i="37"/>
  <c r="C12" i="37"/>
  <c r="AD11" i="37"/>
  <c r="J11" i="37" s="1"/>
  <c r="AB11" i="37"/>
  <c r="Y11" i="37"/>
  <c r="X11" i="37"/>
  <c r="P11" i="37"/>
  <c r="Q11" i="37" s="1"/>
  <c r="O11" i="37"/>
  <c r="M11" i="37"/>
  <c r="H11" i="37"/>
  <c r="C11" i="37"/>
  <c r="AD10" i="37"/>
  <c r="J10" i="37" s="1"/>
  <c r="AB10" i="37"/>
  <c r="Y10" i="37"/>
  <c r="X10" i="37"/>
  <c r="P10" i="37"/>
  <c r="O10" i="37"/>
  <c r="Q10" i="37" s="1"/>
  <c r="M10" i="37"/>
  <c r="H10" i="37"/>
  <c r="C10" i="37"/>
  <c r="AB9" i="37"/>
  <c r="AD9" i="37" s="1"/>
  <c r="J9" i="37" s="1"/>
  <c r="Y9" i="37"/>
  <c r="X9" i="37"/>
  <c r="P9" i="37"/>
  <c r="O9" i="37"/>
  <c r="Q9" i="37" s="1"/>
  <c r="M9" i="37"/>
  <c r="H9" i="37"/>
  <c r="C9" i="37"/>
  <c r="AB8" i="37"/>
  <c r="AD8" i="37" s="1"/>
  <c r="J8" i="37" s="1"/>
  <c r="Y8" i="37"/>
  <c r="X8" i="37"/>
  <c r="P8" i="37"/>
  <c r="O8" i="37"/>
  <c r="Q8" i="37" s="1"/>
  <c r="M8" i="37"/>
  <c r="H8" i="37"/>
  <c r="C8" i="37"/>
  <c r="AB7" i="37"/>
  <c r="AD7" i="37" s="1"/>
  <c r="J7" i="37" s="1"/>
  <c r="Y7" i="37"/>
  <c r="X7" i="37"/>
  <c r="Q7" i="37"/>
  <c r="P7" i="37"/>
  <c r="O7" i="37"/>
  <c r="M7" i="37"/>
  <c r="H7" i="37"/>
  <c r="C7" i="37"/>
  <c r="AB6" i="37"/>
  <c r="AD6" i="37" s="1"/>
  <c r="J6" i="37" s="1"/>
  <c r="Y6" i="37"/>
  <c r="X6" i="37"/>
  <c r="Q6" i="37"/>
  <c r="P6" i="37"/>
  <c r="O6" i="37"/>
  <c r="M6" i="37"/>
  <c r="H6" i="37"/>
  <c r="C6" i="37"/>
  <c r="AB5" i="37"/>
  <c r="AD5" i="37" s="1"/>
  <c r="J5" i="37" s="1"/>
  <c r="Y5" i="37"/>
  <c r="X5" i="37"/>
  <c r="P5" i="37"/>
  <c r="O5" i="37"/>
  <c r="Q5" i="37" s="1"/>
  <c r="M5" i="37"/>
  <c r="H5" i="37"/>
  <c r="C5" i="37"/>
  <c r="AD4" i="37"/>
  <c r="AB4" i="37"/>
  <c r="Y4" i="37"/>
  <c r="X4" i="37"/>
  <c r="P4" i="37"/>
  <c r="Q4" i="37" s="1"/>
  <c r="O4" i="37"/>
  <c r="M4" i="37"/>
  <c r="H4" i="37"/>
  <c r="C4" i="37"/>
  <c r="AG3" i="37"/>
  <c r="AF3" i="37"/>
  <c r="X3" i="37"/>
  <c r="W3" i="37"/>
  <c r="V3" i="37"/>
  <c r="U3" i="37"/>
  <c r="T3" i="37"/>
  <c r="O3" i="37"/>
  <c r="G3" i="37"/>
  <c r="H3" i="37" s="1"/>
  <c r="F3" i="37"/>
  <c r="D3" i="37"/>
  <c r="C3" i="37"/>
  <c r="A2" i="37"/>
  <c r="A1" i="37"/>
  <c r="AD32" i="36"/>
  <c r="AB32" i="36"/>
  <c r="Y32" i="36"/>
  <c r="X32" i="36"/>
  <c r="V32" i="36"/>
  <c r="U32" i="36"/>
  <c r="T32" i="36"/>
  <c r="P32" i="36"/>
  <c r="O32" i="36"/>
  <c r="Q32" i="36" s="1"/>
  <c r="M32" i="36"/>
  <c r="J32" i="36"/>
  <c r="K32" i="36" s="1"/>
  <c r="H32" i="36"/>
  <c r="C32" i="36"/>
  <c r="AB31" i="36"/>
  <c r="AD31" i="36" s="1"/>
  <c r="Y31" i="36"/>
  <c r="X31" i="36"/>
  <c r="Q31" i="36"/>
  <c r="P31" i="36"/>
  <c r="O31" i="36"/>
  <c r="M31" i="36"/>
  <c r="J31" i="36"/>
  <c r="H31" i="36"/>
  <c r="C31" i="36"/>
  <c r="AB30" i="36"/>
  <c r="AD30" i="36" s="1"/>
  <c r="J30" i="36" s="1"/>
  <c r="Y30" i="36"/>
  <c r="X30" i="36"/>
  <c r="Q30" i="36"/>
  <c r="P30" i="36"/>
  <c r="O30" i="36"/>
  <c r="M30" i="36"/>
  <c r="H30" i="36"/>
  <c r="C30" i="36"/>
  <c r="AB29" i="36"/>
  <c r="AD29" i="36" s="1"/>
  <c r="J29" i="36" s="1"/>
  <c r="Y29" i="36"/>
  <c r="X29" i="36"/>
  <c r="P29" i="36"/>
  <c r="O29" i="36"/>
  <c r="Q29" i="36" s="1"/>
  <c r="M29" i="36"/>
  <c r="H29" i="36"/>
  <c r="C29" i="36"/>
  <c r="AD28" i="36"/>
  <c r="J28" i="36" s="1"/>
  <c r="K28" i="36" s="1"/>
  <c r="AB28" i="36"/>
  <c r="Y28" i="36"/>
  <c r="X28" i="36"/>
  <c r="P28" i="36"/>
  <c r="Q28" i="36" s="1"/>
  <c r="O28" i="36"/>
  <c r="M28" i="36"/>
  <c r="I28" i="36"/>
  <c r="H28" i="36"/>
  <c r="C28" i="36"/>
  <c r="AD27" i="36"/>
  <c r="J27" i="36" s="1"/>
  <c r="AB27" i="36"/>
  <c r="Y27" i="36"/>
  <c r="X27" i="36"/>
  <c r="P27" i="36"/>
  <c r="Q27" i="36" s="1"/>
  <c r="O27" i="36"/>
  <c r="M27" i="36"/>
  <c r="H27" i="36"/>
  <c r="C27" i="36"/>
  <c r="AD26" i="36"/>
  <c r="J26" i="36" s="1"/>
  <c r="I26" i="36" s="1"/>
  <c r="AB26" i="36"/>
  <c r="Y26" i="36"/>
  <c r="X26" i="36"/>
  <c r="P26" i="36"/>
  <c r="O26" i="36"/>
  <c r="Q26" i="36" s="1"/>
  <c r="M26" i="36"/>
  <c r="K26" i="36"/>
  <c r="H26" i="36"/>
  <c r="C26" i="36"/>
  <c r="AB25" i="36"/>
  <c r="AD25" i="36" s="1"/>
  <c r="J25" i="36" s="1"/>
  <c r="Y25" i="36"/>
  <c r="X25" i="36"/>
  <c r="P25" i="36"/>
  <c r="O25" i="36"/>
  <c r="Q25" i="36" s="1"/>
  <c r="M25" i="36"/>
  <c r="H25" i="36"/>
  <c r="C25" i="36"/>
  <c r="AB24" i="36"/>
  <c r="AD24" i="36" s="1"/>
  <c r="J24" i="36" s="1"/>
  <c r="Y24" i="36"/>
  <c r="X24" i="36"/>
  <c r="P24" i="36"/>
  <c r="O24" i="36"/>
  <c r="Q24" i="36" s="1"/>
  <c r="M24" i="36"/>
  <c r="H24" i="36"/>
  <c r="C24" i="36"/>
  <c r="AB23" i="36"/>
  <c r="AD23" i="36" s="1"/>
  <c r="Y23" i="36"/>
  <c r="X23" i="36"/>
  <c r="Q23" i="36"/>
  <c r="P23" i="36"/>
  <c r="O23" i="36"/>
  <c r="M23" i="36"/>
  <c r="J23" i="36"/>
  <c r="H23" i="36"/>
  <c r="C23" i="36"/>
  <c r="AB22" i="36"/>
  <c r="AD22" i="36" s="1"/>
  <c r="J22" i="36" s="1"/>
  <c r="Y22" i="36"/>
  <c r="X22" i="36"/>
  <c r="Q22" i="36"/>
  <c r="P22" i="36"/>
  <c r="O22" i="36"/>
  <c r="M22" i="36"/>
  <c r="H22" i="36"/>
  <c r="C22" i="36"/>
  <c r="AD21" i="36"/>
  <c r="J21" i="36" s="1"/>
  <c r="K21" i="36" s="1"/>
  <c r="AB21" i="36"/>
  <c r="Y21" i="36"/>
  <c r="X21" i="36"/>
  <c r="P21" i="36"/>
  <c r="O21" i="36"/>
  <c r="Q21" i="36" s="1"/>
  <c r="M21" i="36"/>
  <c r="I21" i="36"/>
  <c r="H21" i="36"/>
  <c r="C21" i="36"/>
  <c r="AD20" i="36"/>
  <c r="J20" i="36" s="1"/>
  <c r="AB20" i="36"/>
  <c r="Y20" i="36"/>
  <c r="X20" i="36"/>
  <c r="P20" i="36"/>
  <c r="Q20" i="36" s="1"/>
  <c r="O20" i="36"/>
  <c r="M20" i="36"/>
  <c r="H20" i="36"/>
  <c r="C20" i="36"/>
  <c r="AD19" i="36"/>
  <c r="J19" i="36" s="1"/>
  <c r="I19" i="36" s="1"/>
  <c r="AB19" i="36"/>
  <c r="Y19" i="36"/>
  <c r="X19" i="36"/>
  <c r="P19" i="36"/>
  <c r="Q19" i="36" s="1"/>
  <c r="O19" i="36"/>
  <c r="M19" i="36"/>
  <c r="H19" i="36"/>
  <c r="C19" i="36"/>
  <c r="AD18" i="36"/>
  <c r="J18" i="36" s="1"/>
  <c r="I18" i="36" s="1"/>
  <c r="AB18" i="36"/>
  <c r="Y18" i="36"/>
  <c r="X18" i="36"/>
  <c r="P18" i="36"/>
  <c r="O18" i="36"/>
  <c r="Q18" i="36" s="1"/>
  <c r="M18" i="36"/>
  <c r="H18" i="36"/>
  <c r="C18" i="36"/>
  <c r="AB17" i="36"/>
  <c r="AD17" i="36" s="1"/>
  <c r="J17" i="36" s="1"/>
  <c r="Y17" i="36"/>
  <c r="X17" i="36"/>
  <c r="P17" i="36"/>
  <c r="O17" i="36"/>
  <c r="Q17" i="36" s="1"/>
  <c r="M17" i="36"/>
  <c r="H17" i="36"/>
  <c r="C17" i="36"/>
  <c r="AB16" i="36"/>
  <c r="AD16" i="36" s="1"/>
  <c r="J16" i="36" s="1"/>
  <c r="Y16" i="36"/>
  <c r="X16" i="36"/>
  <c r="P16" i="36"/>
  <c r="O16" i="36"/>
  <c r="Q16" i="36" s="1"/>
  <c r="M16" i="36"/>
  <c r="H16" i="36"/>
  <c r="C16" i="36"/>
  <c r="AB15" i="36"/>
  <c r="AD15" i="36" s="1"/>
  <c r="Y15" i="36"/>
  <c r="X15" i="36"/>
  <c r="Q15" i="36"/>
  <c r="P15" i="36"/>
  <c r="O15" i="36"/>
  <c r="M15" i="36"/>
  <c r="J15" i="36"/>
  <c r="H15" i="36"/>
  <c r="C15" i="36"/>
  <c r="AB14" i="36"/>
  <c r="AD14" i="36" s="1"/>
  <c r="J14" i="36" s="1"/>
  <c r="Y14" i="36"/>
  <c r="X14" i="36"/>
  <c r="Q14" i="36"/>
  <c r="P14" i="36"/>
  <c r="O14" i="36"/>
  <c r="M14" i="36"/>
  <c r="H14" i="36"/>
  <c r="C14" i="36"/>
  <c r="AD13" i="36"/>
  <c r="J13" i="36" s="1"/>
  <c r="K13" i="36" s="1"/>
  <c r="AB13" i="36"/>
  <c r="Y13" i="36"/>
  <c r="X13" i="36"/>
  <c r="P13" i="36"/>
  <c r="O13" i="36"/>
  <c r="Q13" i="36" s="1"/>
  <c r="M13" i="36"/>
  <c r="H13" i="36"/>
  <c r="C13" i="36"/>
  <c r="AD12" i="36"/>
  <c r="J12" i="36" s="1"/>
  <c r="K12" i="36" s="1"/>
  <c r="AB12" i="36"/>
  <c r="Y12" i="36"/>
  <c r="X12" i="36"/>
  <c r="P12" i="36"/>
  <c r="Q12" i="36" s="1"/>
  <c r="O12" i="36"/>
  <c r="M12" i="36"/>
  <c r="H12" i="36"/>
  <c r="C12" i="36"/>
  <c r="AD11" i="36"/>
  <c r="J11" i="36" s="1"/>
  <c r="I11" i="36" s="1"/>
  <c r="AB11" i="36"/>
  <c r="Y11" i="36"/>
  <c r="X11" i="36"/>
  <c r="P11" i="36"/>
  <c r="Q11" i="36" s="1"/>
  <c r="O11" i="36"/>
  <c r="M11" i="36"/>
  <c r="K11" i="36"/>
  <c r="H11" i="36"/>
  <c r="C11" i="36"/>
  <c r="AD10" i="36"/>
  <c r="J10" i="36" s="1"/>
  <c r="AB10" i="36"/>
  <c r="Y10" i="36"/>
  <c r="X10" i="36"/>
  <c r="P10" i="36"/>
  <c r="O10" i="36"/>
  <c r="Q10" i="36" s="1"/>
  <c r="M10" i="36"/>
  <c r="H10" i="36"/>
  <c r="C10" i="36"/>
  <c r="AB9" i="36"/>
  <c r="AD9" i="36" s="1"/>
  <c r="Y9" i="36"/>
  <c r="X9" i="36"/>
  <c r="P9" i="36"/>
  <c r="O9" i="36"/>
  <c r="Q9" i="36" s="1"/>
  <c r="M9" i="36"/>
  <c r="J9" i="36"/>
  <c r="H9" i="36"/>
  <c r="C9" i="36"/>
  <c r="AB8" i="36"/>
  <c r="AD8" i="36" s="1"/>
  <c r="Y8" i="36"/>
  <c r="X8" i="36"/>
  <c r="P8" i="36"/>
  <c r="O8" i="36"/>
  <c r="Q8" i="36" s="1"/>
  <c r="M8" i="36"/>
  <c r="J8" i="36"/>
  <c r="H8" i="36"/>
  <c r="C8" i="36"/>
  <c r="AB7" i="36"/>
  <c r="AD7" i="36" s="1"/>
  <c r="J7" i="36" s="1"/>
  <c r="Y7" i="36"/>
  <c r="X7" i="36"/>
  <c r="Q7" i="36"/>
  <c r="P7" i="36"/>
  <c r="O7" i="36"/>
  <c r="M7" i="36"/>
  <c r="H7" i="36"/>
  <c r="C7" i="36"/>
  <c r="AB6" i="36"/>
  <c r="AD6" i="36" s="1"/>
  <c r="J6" i="36" s="1"/>
  <c r="K6" i="36" s="1"/>
  <c r="Y6" i="36"/>
  <c r="X6" i="36"/>
  <c r="Q6" i="36"/>
  <c r="P6" i="36"/>
  <c r="O6" i="36"/>
  <c r="M6" i="36"/>
  <c r="I6" i="36"/>
  <c r="H6" i="36"/>
  <c r="C6" i="36"/>
  <c r="AD5" i="36"/>
  <c r="J5" i="36" s="1"/>
  <c r="K5" i="36" s="1"/>
  <c r="AB5" i="36"/>
  <c r="Y5" i="36"/>
  <c r="X5" i="36"/>
  <c r="P5" i="36"/>
  <c r="O5" i="36"/>
  <c r="M5" i="36"/>
  <c r="I5" i="36"/>
  <c r="H5" i="36"/>
  <c r="C5" i="36"/>
  <c r="AD4" i="36"/>
  <c r="AB4" i="36"/>
  <c r="Y4" i="36"/>
  <c r="X4" i="36"/>
  <c r="P4" i="36"/>
  <c r="Q4" i="36" s="1"/>
  <c r="O4" i="36"/>
  <c r="M4" i="36"/>
  <c r="H4" i="36"/>
  <c r="C4" i="36"/>
  <c r="AG3" i="36"/>
  <c r="AF3" i="36"/>
  <c r="X3" i="36"/>
  <c r="W3" i="36"/>
  <c r="V3" i="36"/>
  <c r="U3" i="36"/>
  <c r="T3" i="36"/>
  <c r="O3" i="36"/>
  <c r="G3" i="36"/>
  <c r="H3" i="36" s="1"/>
  <c r="F3" i="36"/>
  <c r="D3" i="36"/>
  <c r="C3" i="36"/>
  <c r="A2" i="36"/>
  <c r="A1" i="36"/>
  <c r="AD32" i="35"/>
  <c r="J32" i="35" s="1"/>
  <c r="AB32" i="35"/>
  <c r="Y32" i="35"/>
  <c r="X32" i="35"/>
  <c r="V32" i="35"/>
  <c r="U32" i="35"/>
  <c r="T32" i="35"/>
  <c r="Q32" i="35"/>
  <c r="P32" i="35"/>
  <c r="O32" i="35"/>
  <c r="M32" i="35"/>
  <c r="H32" i="35"/>
  <c r="C32" i="35"/>
  <c r="AB31" i="35"/>
  <c r="AD31" i="35" s="1"/>
  <c r="J31" i="35" s="1"/>
  <c r="Y31" i="35"/>
  <c r="X31" i="35"/>
  <c r="Q31" i="35"/>
  <c r="P31" i="35"/>
  <c r="O31" i="35"/>
  <c r="M31" i="35"/>
  <c r="H31" i="35"/>
  <c r="C31" i="35"/>
  <c r="AB30" i="35"/>
  <c r="AD30" i="35" s="1"/>
  <c r="J30" i="35" s="1"/>
  <c r="K30" i="35" s="1"/>
  <c r="Y30" i="35"/>
  <c r="X30" i="35"/>
  <c r="Q30" i="35"/>
  <c r="P30" i="35"/>
  <c r="O30" i="35"/>
  <c r="M30" i="35"/>
  <c r="I30" i="35"/>
  <c r="H30" i="35"/>
  <c r="C30" i="35"/>
  <c r="AB29" i="35"/>
  <c r="AD29" i="35" s="1"/>
  <c r="J29" i="35" s="1"/>
  <c r="Y29" i="35"/>
  <c r="X29" i="35"/>
  <c r="P29" i="35"/>
  <c r="O29" i="35"/>
  <c r="Q29" i="35" s="1"/>
  <c r="M29" i="35"/>
  <c r="H29" i="35"/>
  <c r="C29" i="35"/>
  <c r="AD28" i="35"/>
  <c r="J28" i="35" s="1"/>
  <c r="AB28" i="35"/>
  <c r="Y28" i="35"/>
  <c r="X28" i="35"/>
  <c r="P28" i="35"/>
  <c r="Q28" i="35" s="1"/>
  <c r="O28" i="35"/>
  <c r="M28" i="35"/>
  <c r="K28" i="35"/>
  <c r="I28" i="35"/>
  <c r="H28" i="35"/>
  <c r="C28" i="35"/>
  <c r="AD27" i="35"/>
  <c r="J27" i="35" s="1"/>
  <c r="I27" i="35" s="1"/>
  <c r="AB27" i="35"/>
  <c r="Y27" i="35"/>
  <c r="X27" i="35"/>
  <c r="P27" i="35"/>
  <c r="Q27" i="35" s="1"/>
  <c r="O27" i="35"/>
  <c r="M27" i="35"/>
  <c r="H27" i="35"/>
  <c r="C27" i="35"/>
  <c r="AD26" i="35"/>
  <c r="J26" i="35" s="1"/>
  <c r="I26" i="35" s="1"/>
  <c r="AB26" i="35"/>
  <c r="Y26" i="35"/>
  <c r="X26" i="35"/>
  <c r="P26" i="35"/>
  <c r="O26" i="35"/>
  <c r="Q26" i="35" s="1"/>
  <c r="M26" i="35"/>
  <c r="K26" i="35"/>
  <c r="H26" i="35"/>
  <c r="C26" i="35"/>
  <c r="AB25" i="35"/>
  <c r="AD25" i="35" s="1"/>
  <c r="J25" i="35" s="1"/>
  <c r="Y25" i="35"/>
  <c r="X25" i="35"/>
  <c r="P25" i="35"/>
  <c r="O25" i="35"/>
  <c r="Q25" i="35" s="1"/>
  <c r="M25" i="35"/>
  <c r="H25" i="35"/>
  <c r="C25" i="35"/>
  <c r="AB24" i="35"/>
  <c r="AD24" i="35" s="1"/>
  <c r="Y24" i="35"/>
  <c r="X24" i="35"/>
  <c r="P24" i="35"/>
  <c r="O24" i="35"/>
  <c r="Q24" i="35" s="1"/>
  <c r="M24" i="35"/>
  <c r="J24" i="35"/>
  <c r="H24" i="35"/>
  <c r="C24" i="35"/>
  <c r="AB23" i="35"/>
  <c r="AD23" i="35" s="1"/>
  <c r="Y23" i="35"/>
  <c r="X23" i="35"/>
  <c r="Q23" i="35"/>
  <c r="P23" i="35"/>
  <c r="O23" i="35"/>
  <c r="M23" i="35"/>
  <c r="J23" i="35"/>
  <c r="H23" i="35"/>
  <c r="C23" i="35"/>
  <c r="AB22" i="35"/>
  <c r="AD22" i="35" s="1"/>
  <c r="J22" i="35" s="1"/>
  <c r="Y22" i="35"/>
  <c r="X22" i="35"/>
  <c r="Q22" i="35"/>
  <c r="P22" i="35"/>
  <c r="O22" i="35"/>
  <c r="M22" i="35"/>
  <c r="H22" i="35"/>
  <c r="C22" i="35"/>
  <c r="AB21" i="35"/>
  <c r="AD21" i="35" s="1"/>
  <c r="J21" i="35" s="1"/>
  <c r="K21" i="35" s="1"/>
  <c r="Y21" i="35"/>
  <c r="X21" i="35"/>
  <c r="P21" i="35"/>
  <c r="O21" i="35"/>
  <c r="M21" i="35"/>
  <c r="I21" i="35"/>
  <c r="H21" i="35"/>
  <c r="C21" i="35"/>
  <c r="AD20" i="35"/>
  <c r="J20" i="35" s="1"/>
  <c r="K20" i="35" s="1"/>
  <c r="AB20" i="35"/>
  <c r="Y20" i="35"/>
  <c r="X20" i="35"/>
  <c r="P20" i="35"/>
  <c r="Q20" i="35" s="1"/>
  <c r="O20" i="35"/>
  <c r="M20" i="35"/>
  <c r="I20" i="35"/>
  <c r="H20" i="35"/>
  <c r="C20" i="35"/>
  <c r="AD19" i="35"/>
  <c r="J19" i="35" s="1"/>
  <c r="I19" i="35" s="1"/>
  <c r="AB19" i="35"/>
  <c r="Y19" i="35"/>
  <c r="X19" i="35"/>
  <c r="P19" i="35"/>
  <c r="Q19" i="35" s="1"/>
  <c r="O19" i="35"/>
  <c r="M19" i="35"/>
  <c r="K19" i="35"/>
  <c r="H19" i="35"/>
  <c r="C19" i="35"/>
  <c r="AD18" i="35"/>
  <c r="J18" i="35" s="1"/>
  <c r="AB18" i="35"/>
  <c r="Y18" i="35"/>
  <c r="X18" i="35"/>
  <c r="P18" i="35"/>
  <c r="O18" i="35"/>
  <c r="Q18" i="35" s="1"/>
  <c r="M18" i="35"/>
  <c r="H18" i="35"/>
  <c r="C18" i="35"/>
  <c r="AB17" i="35"/>
  <c r="AD17" i="35" s="1"/>
  <c r="Y17" i="35"/>
  <c r="X17" i="35"/>
  <c r="P17" i="35"/>
  <c r="O17" i="35"/>
  <c r="Q17" i="35" s="1"/>
  <c r="M17" i="35"/>
  <c r="J17" i="35"/>
  <c r="H17" i="35"/>
  <c r="C17" i="35"/>
  <c r="AB16" i="35"/>
  <c r="AD16" i="35" s="1"/>
  <c r="J16" i="35" s="1"/>
  <c r="Y16" i="35"/>
  <c r="X16" i="35"/>
  <c r="P16" i="35"/>
  <c r="O16" i="35"/>
  <c r="Q16" i="35" s="1"/>
  <c r="M16" i="35"/>
  <c r="H16" i="35"/>
  <c r="C16" i="35"/>
  <c r="AB15" i="35"/>
  <c r="AD15" i="35" s="1"/>
  <c r="J15" i="35" s="1"/>
  <c r="Y15" i="35"/>
  <c r="X15" i="35"/>
  <c r="Q15" i="35"/>
  <c r="P15" i="35"/>
  <c r="O15" i="35"/>
  <c r="M15" i="35"/>
  <c r="H15" i="35"/>
  <c r="C15" i="35"/>
  <c r="AB14" i="35"/>
  <c r="AD14" i="35" s="1"/>
  <c r="J14" i="35" s="1"/>
  <c r="K14" i="35" s="1"/>
  <c r="Y14" i="35"/>
  <c r="X14" i="35"/>
  <c r="Q14" i="35"/>
  <c r="P14" i="35"/>
  <c r="O14" i="35"/>
  <c r="M14" i="35"/>
  <c r="H14" i="35"/>
  <c r="C14" i="35"/>
  <c r="AB13" i="35"/>
  <c r="AD13" i="35" s="1"/>
  <c r="J13" i="35" s="1"/>
  <c r="K13" i="35" s="1"/>
  <c r="Y13" i="35"/>
  <c r="X13" i="35"/>
  <c r="P13" i="35"/>
  <c r="O13" i="35"/>
  <c r="Q13" i="35" s="1"/>
  <c r="M13" i="35"/>
  <c r="H13" i="35"/>
  <c r="C13" i="35"/>
  <c r="AD12" i="35"/>
  <c r="J12" i="35" s="1"/>
  <c r="AB12" i="35"/>
  <c r="Y12" i="35"/>
  <c r="X12" i="35"/>
  <c r="P12" i="35"/>
  <c r="Q12" i="35" s="1"/>
  <c r="O12" i="35"/>
  <c r="M12" i="35"/>
  <c r="K12" i="35"/>
  <c r="I12" i="35"/>
  <c r="H12" i="35"/>
  <c r="C12" i="35"/>
  <c r="AD11" i="35"/>
  <c r="J11" i="35" s="1"/>
  <c r="I11" i="35" s="1"/>
  <c r="AB11" i="35"/>
  <c r="Y11" i="35"/>
  <c r="X11" i="35"/>
  <c r="P11" i="35"/>
  <c r="Q11" i="35" s="1"/>
  <c r="O11" i="35"/>
  <c r="M11" i="35"/>
  <c r="H11" i="35"/>
  <c r="C11" i="35"/>
  <c r="AD10" i="35"/>
  <c r="J10" i="35" s="1"/>
  <c r="I10" i="35" s="1"/>
  <c r="AB10" i="35"/>
  <c r="Y10" i="35"/>
  <c r="X10" i="35"/>
  <c r="P10" i="35"/>
  <c r="O10" i="35"/>
  <c r="Q10" i="35" s="1"/>
  <c r="M10" i="35"/>
  <c r="H10" i="35"/>
  <c r="C10" i="35"/>
  <c r="AB9" i="35"/>
  <c r="AD9" i="35" s="1"/>
  <c r="J9" i="35" s="1"/>
  <c r="Y9" i="35"/>
  <c r="X9" i="35"/>
  <c r="P9" i="35"/>
  <c r="O9" i="35"/>
  <c r="Q9" i="35" s="1"/>
  <c r="M9" i="35"/>
  <c r="H9" i="35"/>
  <c r="C9" i="35"/>
  <c r="AB8" i="35"/>
  <c r="AD8" i="35" s="1"/>
  <c r="Y8" i="35"/>
  <c r="X8" i="35"/>
  <c r="Q8" i="35"/>
  <c r="P8" i="35"/>
  <c r="O8" i="35"/>
  <c r="M8" i="35"/>
  <c r="J8" i="35"/>
  <c r="H8" i="35"/>
  <c r="C8" i="35"/>
  <c r="AB7" i="35"/>
  <c r="AD7" i="35" s="1"/>
  <c r="Y7" i="35"/>
  <c r="X7" i="35"/>
  <c r="Q7" i="35"/>
  <c r="P7" i="35"/>
  <c r="O7" i="35"/>
  <c r="M7" i="35"/>
  <c r="J7" i="35"/>
  <c r="H7" i="35"/>
  <c r="C7" i="35"/>
  <c r="AB6" i="35"/>
  <c r="AD6" i="35" s="1"/>
  <c r="J6" i="35" s="1"/>
  <c r="K6" i="35" s="1"/>
  <c r="Y6" i="35"/>
  <c r="X6" i="35"/>
  <c r="Q6" i="35"/>
  <c r="P6" i="35"/>
  <c r="O6" i="35"/>
  <c r="M6" i="35"/>
  <c r="I6" i="35"/>
  <c r="H6" i="35"/>
  <c r="C6" i="35"/>
  <c r="AB5" i="35"/>
  <c r="AD5" i="35" s="1"/>
  <c r="J5" i="35" s="1"/>
  <c r="Y5" i="35"/>
  <c r="X5" i="35"/>
  <c r="P5" i="35"/>
  <c r="O5" i="35"/>
  <c r="M5" i="35"/>
  <c r="H5" i="35"/>
  <c r="C5" i="35"/>
  <c r="AD4" i="35"/>
  <c r="AB4" i="35"/>
  <c r="Y4" i="35"/>
  <c r="X4" i="35"/>
  <c r="P4" i="35"/>
  <c r="Q4" i="35" s="1"/>
  <c r="O4" i="35"/>
  <c r="M4" i="35"/>
  <c r="H4" i="35"/>
  <c r="C4" i="35"/>
  <c r="AG3" i="35"/>
  <c r="AF3" i="35"/>
  <c r="X3" i="35"/>
  <c r="W3" i="35"/>
  <c r="V3" i="35"/>
  <c r="U3" i="35"/>
  <c r="T3" i="35"/>
  <c r="O3" i="35"/>
  <c r="G3" i="35"/>
  <c r="H3" i="35" s="1"/>
  <c r="F3" i="35"/>
  <c r="D3" i="35"/>
  <c r="C3" i="35"/>
  <c r="A2" i="35"/>
  <c r="A1" i="35"/>
  <c r="AD32" i="34"/>
  <c r="J32" i="34" s="1"/>
  <c r="AB32" i="34"/>
  <c r="Y32" i="34"/>
  <c r="X32" i="34"/>
  <c r="V32" i="34"/>
  <c r="U32" i="34"/>
  <c r="T32" i="34"/>
  <c r="Q32" i="34"/>
  <c r="P32" i="34"/>
  <c r="O32" i="34"/>
  <c r="M32" i="34"/>
  <c r="H32" i="34"/>
  <c r="C32" i="34"/>
  <c r="AB31" i="34"/>
  <c r="AD31" i="34" s="1"/>
  <c r="Y31" i="34"/>
  <c r="X31" i="34"/>
  <c r="Q31" i="34"/>
  <c r="P31" i="34"/>
  <c r="O31" i="34"/>
  <c r="M31" i="34"/>
  <c r="J31" i="34"/>
  <c r="H31" i="34"/>
  <c r="C31" i="34"/>
  <c r="AB30" i="34"/>
  <c r="AD30" i="34" s="1"/>
  <c r="J30" i="34" s="1"/>
  <c r="K30" i="34" s="1"/>
  <c r="Y30" i="34"/>
  <c r="X30" i="34"/>
  <c r="Q30" i="34"/>
  <c r="P30" i="34"/>
  <c r="O30" i="34"/>
  <c r="M30" i="34"/>
  <c r="I30" i="34"/>
  <c r="H30" i="34"/>
  <c r="C30" i="34"/>
  <c r="AB29" i="34"/>
  <c r="AD29" i="34" s="1"/>
  <c r="J29" i="34" s="1"/>
  <c r="K29" i="34" s="1"/>
  <c r="Y29" i="34"/>
  <c r="X29" i="34"/>
  <c r="P29" i="34"/>
  <c r="O29" i="34"/>
  <c r="M29" i="34"/>
  <c r="H29" i="34"/>
  <c r="C29" i="34"/>
  <c r="AD28" i="34"/>
  <c r="AB28" i="34"/>
  <c r="Y28" i="34"/>
  <c r="X28" i="34"/>
  <c r="P28" i="34"/>
  <c r="Q28" i="34" s="1"/>
  <c r="O28" i="34"/>
  <c r="M28" i="34"/>
  <c r="J28" i="34"/>
  <c r="K28" i="34" s="1"/>
  <c r="I28" i="34"/>
  <c r="H28" i="34"/>
  <c r="C28" i="34"/>
  <c r="AD27" i="34"/>
  <c r="J27" i="34" s="1"/>
  <c r="I27" i="34" s="1"/>
  <c r="AB27" i="34"/>
  <c r="Y27" i="34"/>
  <c r="X27" i="34"/>
  <c r="P27" i="34"/>
  <c r="Q27" i="34" s="1"/>
  <c r="O27" i="34"/>
  <c r="M27" i="34"/>
  <c r="H27" i="34"/>
  <c r="C27" i="34"/>
  <c r="AD26" i="34"/>
  <c r="J26" i="34" s="1"/>
  <c r="I26" i="34" s="1"/>
  <c r="AB26" i="34"/>
  <c r="Y26" i="34"/>
  <c r="X26" i="34"/>
  <c r="P26" i="34"/>
  <c r="O26" i="34"/>
  <c r="Q26" i="34" s="1"/>
  <c r="M26" i="34"/>
  <c r="K26" i="34"/>
  <c r="H26" i="34"/>
  <c r="C26" i="34"/>
  <c r="AB25" i="34"/>
  <c r="AD25" i="34" s="1"/>
  <c r="J25" i="34" s="1"/>
  <c r="Y25" i="34"/>
  <c r="X25" i="34"/>
  <c r="P25" i="34"/>
  <c r="O25" i="34"/>
  <c r="Q25" i="34" s="1"/>
  <c r="M25" i="34"/>
  <c r="H25" i="34"/>
  <c r="C25" i="34"/>
  <c r="AB24" i="34"/>
  <c r="AD24" i="34" s="1"/>
  <c r="Y24" i="34"/>
  <c r="X24" i="34"/>
  <c r="Q24" i="34"/>
  <c r="P24" i="34"/>
  <c r="O24" i="34"/>
  <c r="M24" i="34"/>
  <c r="J24" i="34"/>
  <c r="H24" i="34"/>
  <c r="C24" i="34"/>
  <c r="AB23" i="34"/>
  <c r="AD23" i="34" s="1"/>
  <c r="J23" i="34" s="1"/>
  <c r="Y23" i="34"/>
  <c r="X23" i="34"/>
  <c r="Q23" i="34"/>
  <c r="P23" i="34"/>
  <c r="O23" i="34"/>
  <c r="M23" i="34"/>
  <c r="H23" i="34"/>
  <c r="C23" i="34"/>
  <c r="AB22" i="34"/>
  <c r="AD22" i="34" s="1"/>
  <c r="J22" i="34" s="1"/>
  <c r="Y22" i="34"/>
  <c r="X22" i="34"/>
  <c r="Q22" i="34"/>
  <c r="P22" i="34"/>
  <c r="O22" i="34"/>
  <c r="M22" i="34"/>
  <c r="H22" i="34"/>
  <c r="C22" i="34"/>
  <c r="AB21" i="34"/>
  <c r="AD21" i="34" s="1"/>
  <c r="J21" i="34" s="1"/>
  <c r="K21" i="34" s="1"/>
  <c r="Y21" i="34"/>
  <c r="X21" i="34"/>
  <c r="P21" i="34"/>
  <c r="O21" i="34"/>
  <c r="M21" i="34"/>
  <c r="I21" i="34"/>
  <c r="H21" i="34"/>
  <c r="C21" i="34"/>
  <c r="AD20" i="34"/>
  <c r="J20" i="34" s="1"/>
  <c r="AB20" i="34"/>
  <c r="Y20" i="34"/>
  <c r="X20" i="34"/>
  <c r="P20" i="34"/>
  <c r="Q20" i="34" s="1"/>
  <c r="O20" i="34"/>
  <c r="M20" i="34"/>
  <c r="H20" i="34"/>
  <c r="C20" i="34"/>
  <c r="AD19" i="34"/>
  <c r="J19" i="34" s="1"/>
  <c r="I19" i="34" s="1"/>
  <c r="AB19" i="34"/>
  <c r="Y19" i="34"/>
  <c r="X19" i="34"/>
  <c r="Q19" i="34"/>
  <c r="P19" i="34"/>
  <c r="O19" i="34"/>
  <c r="M19" i="34"/>
  <c r="K19" i="34"/>
  <c r="H19" i="34"/>
  <c r="C19" i="34"/>
  <c r="AD18" i="34"/>
  <c r="J18" i="34" s="1"/>
  <c r="I18" i="34" s="1"/>
  <c r="AB18" i="34"/>
  <c r="Y18" i="34"/>
  <c r="X18" i="34"/>
  <c r="P18" i="34"/>
  <c r="O18" i="34"/>
  <c r="Q18" i="34" s="1"/>
  <c r="M18" i="34"/>
  <c r="K18" i="34"/>
  <c r="H18" i="34"/>
  <c r="C18" i="34"/>
  <c r="AB17" i="34"/>
  <c r="AD17" i="34" s="1"/>
  <c r="Y17" i="34"/>
  <c r="X17" i="34"/>
  <c r="P17" i="34"/>
  <c r="O17" i="34"/>
  <c r="Q17" i="34" s="1"/>
  <c r="M17" i="34"/>
  <c r="J17" i="34"/>
  <c r="K17" i="34" s="1"/>
  <c r="I17" i="34"/>
  <c r="H17" i="34"/>
  <c r="C17" i="34"/>
  <c r="AB16" i="34"/>
  <c r="AD16" i="34" s="1"/>
  <c r="Y16" i="34"/>
  <c r="X16" i="34"/>
  <c r="P16" i="34"/>
  <c r="O16" i="34"/>
  <c r="Q16" i="34" s="1"/>
  <c r="M16" i="34"/>
  <c r="J16" i="34"/>
  <c r="H16" i="34"/>
  <c r="C16" i="34"/>
  <c r="AD15" i="34"/>
  <c r="J15" i="34" s="1"/>
  <c r="I15" i="34" s="1"/>
  <c r="AB15" i="34"/>
  <c r="Y15" i="34"/>
  <c r="X15" i="34"/>
  <c r="Q15" i="34"/>
  <c r="P15" i="34"/>
  <c r="O15" i="34"/>
  <c r="M15" i="34"/>
  <c r="K15" i="34"/>
  <c r="H15" i="34"/>
  <c r="C15" i="34"/>
  <c r="AB14" i="34"/>
  <c r="AD14" i="34" s="1"/>
  <c r="J14" i="34" s="1"/>
  <c r="K14" i="34" s="1"/>
  <c r="Y14" i="34"/>
  <c r="X14" i="34"/>
  <c r="Q14" i="34"/>
  <c r="P14" i="34"/>
  <c r="O14" i="34"/>
  <c r="M14" i="34"/>
  <c r="I14" i="34"/>
  <c r="H14" i="34"/>
  <c r="C14" i="34"/>
  <c r="AB13" i="34"/>
  <c r="AD13" i="34" s="1"/>
  <c r="J13" i="34" s="1"/>
  <c r="K13" i="34" s="1"/>
  <c r="Y13" i="34"/>
  <c r="X13" i="34"/>
  <c r="P13" i="34"/>
  <c r="O13" i="34"/>
  <c r="M13" i="34"/>
  <c r="H13" i="34"/>
  <c r="C13" i="34"/>
  <c r="AB12" i="34"/>
  <c r="AD12" i="34" s="1"/>
  <c r="J12" i="34" s="1"/>
  <c r="K12" i="34" s="1"/>
  <c r="Y12" i="34"/>
  <c r="X12" i="34"/>
  <c r="P12" i="34"/>
  <c r="Q12" i="34" s="1"/>
  <c r="O12" i="34"/>
  <c r="M12" i="34"/>
  <c r="H12" i="34"/>
  <c r="C12" i="34"/>
  <c r="AD11" i="34"/>
  <c r="J11" i="34" s="1"/>
  <c r="AB11" i="34"/>
  <c r="Y11" i="34"/>
  <c r="X11" i="34"/>
  <c r="P11" i="34"/>
  <c r="Q11" i="34" s="1"/>
  <c r="O11" i="34"/>
  <c r="M11" i="34"/>
  <c r="H11" i="34"/>
  <c r="C11" i="34"/>
  <c r="AD10" i="34"/>
  <c r="J10" i="34" s="1"/>
  <c r="I10" i="34" s="1"/>
  <c r="AB10" i="34"/>
  <c r="Y10" i="34"/>
  <c r="X10" i="34"/>
  <c r="P10" i="34"/>
  <c r="O10" i="34"/>
  <c r="Q10" i="34" s="1"/>
  <c r="M10" i="34"/>
  <c r="K10" i="34"/>
  <c r="H10" i="34"/>
  <c r="C10" i="34"/>
  <c r="AB9" i="34"/>
  <c r="AD9" i="34" s="1"/>
  <c r="J9" i="34" s="1"/>
  <c r="Y9" i="34"/>
  <c r="X9" i="34"/>
  <c r="P9" i="34"/>
  <c r="O9" i="34"/>
  <c r="Q9" i="34" s="1"/>
  <c r="M9" i="34"/>
  <c r="H9" i="34"/>
  <c r="C9" i="34"/>
  <c r="AB8" i="34"/>
  <c r="AD8" i="34" s="1"/>
  <c r="Y8" i="34"/>
  <c r="X8" i="34"/>
  <c r="Q8" i="34"/>
  <c r="P8" i="34"/>
  <c r="O8" i="34"/>
  <c r="M8" i="34"/>
  <c r="J8" i="34"/>
  <c r="H8" i="34"/>
  <c r="C8" i="34"/>
  <c r="AB7" i="34"/>
  <c r="AD7" i="34" s="1"/>
  <c r="J7" i="34" s="1"/>
  <c r="Y7" i="34"/>
  <c r="X7" i="34"/>
  <c r="Q7" i="34"/>
  <c r="P7" i="34"/>
  <c r="O7" i="34"/>
  <c r="M7" i="34"/>
  <c r="H7" i="34"/>
  <c r="C7" i="34"/>
  <c r="AB6" i="34"/>
  <c r="AD6" i="34" s="1"/>
  <c r="J6" i="34" s="1"/>
  <c r="Y6" i="34"/>
  <c r="X6" i="34"/>
  <c r="Q6" i="34"/>
  <c r="P6" i="34"/>
  <c r="O6" i="34"/>
  <c r="M6" i="34"/>
  <c r="H6" i="34"/>
  <c r="C6" i="34"/>
  <c r="AB5" i="34"/>
  <c r="AD5" i="34" s="1"/>
  <c r="J5" i="34" s="1"/>
  <c r="K5" i="34" s="1"/>
  <c r="Y5" i="34"/>
  <c r="X5" i="34"/>
  <c r="P5" i="34"/>
  <c r="O5" i="34"/>
  <c r="M5" i="34"/>
  <c r="I5" i="34"/>
  <c r="H5" i="34"/>
  <c r="C5" i="34"/>
  <c r="AD4" i="34"/>
  <c r="AB4" i="34"/>
  <c r="Y4" i="34"/>
  <c r="X4" i="34"/>
  <c r="P4" i="34"/>
  <c r="Q4" i="34" s="1"/>
  <c r="O4" i="34"/>
  <c r="M4" i="34"/>
  <c r="H4" i="34"/>
  <c r="C4" i="34"/>
  <c r="AG3" i="34"/>
  <c r="AF3" i="34"/>
  <c r="W3" i="34"/>
  <c r="V3" i="34"/>
  <c r="U3" i="34"/>
  <c r="T3" i="34"/>
  <c r="O3" i="34"/>
  <c r="H3" i="34"/>
  <c r="G3" i="34"/>
  <c r="F3" i="34"/>
  <c r="D3" i="34"/>
  <c r="X3" i="34" s="1"/>
  <c r="C3" i="34"/>
  <c r="A2" i="34"/>
  <c r="A1" i="34"/>
  <c r="AB32" i="33"/>
  <c r="AD32" i="33" s="1"/>
  <c r="J32" i="33" s="1"/>
  <c r="Y32" i="33"/>
  <c r="X32" i="33"/>
  <c r="V32" i="33"/>
  <c r="U32" i="33"/>
  <c r="T32" i="33"/>
  <c r="P32" i="33"/>
  <c r="O32" i="33"/>
  <c r="Q32" i="33" s="1"/>
  <c r="M32" i="33"/>
  <c r="H32" i="33"/>
  <c r="C32" i="33"/>
  <c r="AB31" i="33"/>
  <c r="AD31" i="33" s="1"/>
  <c r="J31" i="33" s="1"/>
  <c r="Y31" i="33"/>
  <c r="X31" i="33"/>
  <c r="Q31" i="33"/>
  <c r="P31" i="33"/>
  <c r="O31" i="33"/>
  <c r="M31" i="33"/>
  <c r="H31" i="33"/>
  <c r="C31" i="33"/>
  <c r="AB30" i="33"/>
  <c r="AD30" i="33" s="1"/>
  <c r="J30" i="33" s="1"/>
  <c r="K30" i="33" s="1"/>
  <c r="Y30" i="33"/>
  <c r="X30" i="33"/>
  <c r="P30" i="33"/>
  <c r="O30" i="33"/>
  <c r="M30" i="33"/>
  <c r="I30" i="33"/>
  <c r="H30" i="33"/>
  <c r="C30" i="33"/>
  <c r="AB29" i="33"/>
  <c r="AD29" i="33" s="1"/>
  <c r="J29" i="33" s="1"/>
  <c r="Y29" i="33"/>
  <c r="X29" i="33"/>
  <c r="P29" i="33"/>
  <c r="O29" i="33"/>
  <c r="Q29" i="33" s="1"/>
  <c r="M29" i="33"/>
  <c r="H29" i="33"/>
  <c r="C29" i="33"/>
  <c r="AB28" i="33"/>
  <c r="AD28" i="33" s="1"/>
  <c r="J28" i="33" s="1"/>
  <c r="Y28" i="33"/>
  <c r="X28" i="33"/>
  <c r="P28" i="33"/>
  <c r="Q28" i="33" s="1"/>
  <c r="O28" i="33"/>
  <c r="M28" i="33"/>
  <c r="H28" i="33"/>
  <c r="C28" i="33"/>
  <c r="AD27" i="33"/>
  <c r="J27" i="33" s="1"/>
  <c r="I27" i="33" s="1"/>
  <c r="AB27" i="33"/>
  <c r="Y27" i="33"/>
  <c r="X27" i="33"/>
  <c r="Q27" i="33"/>
  <c r="P27" i="33"/>
  <c r="O27" i="33"/>
  <c r="M27" i="33"/>
  <c r="K27" i="33"/>
  <c r="H27" i="33"/>
  <c r="C27" i="33"/>
  <c r="AB26" i="33"/>
  <c r="AD26" i="33" s="1"/>
  <c r="J26" i="33" s="1"/>
  <c r="K26" i="33" s="1"/>
  <c r="Y26" i="33"/>
  <c r="X26" i="33"/>
  <c r="P26" i="33"/>
  <c r="O26" i="33"/>
  <c r="Q26" i="33" s="1"/>
  <c r="M26" i="33"/>
  <c r="H26" i="33"/>
  <c r="C26" i="33"/>
  <c r="AB25" i="33"/>
  <c r="AD25" i="33" s="1"/>
  <c r="Y25" i="33"/>
  <c r="X25" i="33"/>
  <c r="P25" i="33"/>
  <c r="O25" i="33"/>
  <c r="Q25" i="33" s="1"/>
  <c r="M25" i="33"/>
  <c r="J25" i="33"/>
  <c r="K25" i="33" s="1"/>
  <c r="H25" i="33"/>
  <c r="C25" i="33"/>
  <c r="AD24" i="33"/>
  <c r="J24" i="33" s="1"/>
  <c r="AB24" i="33"/>
  <c r="Y24" i="33"/>
  <c r="X24" i="33"/>
  <c r="Q24" i="33"/>
  <c r="P24" i="33"/>
  <c r="O24" i="33"/>
  <c r="M24" i="33"/>
  <c r="H24" i="33"/>
  <c r="C24" i="33"/>
  <c r="AD23" i="33"/>
  <c r="J23" i="33" s="1"/>
  <c r="AB23" i="33"/>
  <c r="Y23" i="33"/>
  <c r="X23" i="33"/>
  <c r="Q23" i="33"/>
  <c r="P23" i="33"/>
  <c r="O23" i="33"/>
  <c r="M23" i="33"/>
  <c r="H23" i="33"/>
  <c r="C23" i="33"/>
  <c r="AB22" i="33"/>
  <c r="AD22" i="33" s="1"/>
  <c r="J22" i="33" s="1"/>
  <c r="K22" i="33" s="1"/>
  <c r="Y22" i="33"/>
  <c r="X22" i="33"/>
  <c r="Q22" i="33"/>
  <c r="P22" i="33"/>
  <c r="O22" i="33"/>
  <c r="M22" i="33"/>
  <c r="I22" i="33"/>
  <c r="H22" i="33"/>
  <c r="C22" i="33"/>
  <c r="AB21" i="33"/>
  <c r="AD21" i="33" s="1"/>
  <c r="J21" i="33" s="1"/>
  <c r="I21" i="33" s="1"/>
  <c r="Y21" i="33"/>
  <c r="X21" i="33"/>
  <c r="P21" i="33"/>
  <c r="O21" i="33"/>
  <c r="M21" i="33"/>
  <c r="H21" i="33"/>
  <c r="C21" i="33"/>
  <c r="AD20" i="33"/>
  <c r="J20" i="33" s="1"/>
  <c r="I20" i="33" s="1"/>
  <c r="AB20" i="33"/>
  <c r="Y20" i="33"/>
  <c r="X20" i="33"/>
  <c r="P20" i="33"/>
  <c r="Q20" i="33" s="1"/>
  <c r="O20" i="33"/>
  <c r="M20" i="33"/>
  <c r="H20" i="33"/>
  <c r="C20" i="33"/>
  <c r="AD19" i="33"/>
  <c r="J19" i="33" s="1"/>
  <c r="I19" i="33" s="1"/>
  <c r="AB19" i="33"/>
  <c r="Y19" i="33"/>
  <c r="X19" i="33"/>
  <c r="P19" i="33"/>
  <c r="O19" i="33"/>
  <c r="Q19" i="33" s="1"/>
  <c r="M19" i="33"/>
  <c r="K19" i="33"/>
  <c r="H19" i="33"/>
  <c r="C19" i="33"/>
  <c r="AD18" i="33"/>
  <c r="AB18" i="33"/>
  <c r="Y18" i="33"/>
  <c r="X18" i="33"/>
  <c r="P18" i="33"/>
  <c r="O18" i="33"/>
  <c r="Q18" i="33" s="1"/>
  <c r="M18" i="33"/>
  <c r="J18" i="33"/>
  <c r="H18" i="33"/>
  <c r="C18" i="33"/>
  <c r="AB17" i="33"/>
  <c r="AD17" i="33" s="1"/>
  <c r="Y17" i="33"/>
  <c r="X17" i="33"/>
  <c r="P17" i="33"/>
  <c r="O17" i="33"/>
  <c r="Q17" i="33" s="1"/>
  <c r="M17" i="33"/>
  <c r="J17" i="33"/>
  <c r="H17" i="33"/>
  <c r="C17" i="33"/>
  <c r="AB16" i="33"/>
  <c r="AD16" i="33" s="1"/>
  <c r="J16" i="33" s="1"/>
  <c r="Y16" i="33"/>
  <c r="X16" i="33"/>
  <c r="Q16" i="33"/>
  <c r="P16" i="33"/>
  <c r="O16" i="33"/>
  <c r="M16" i="33"/>
  <c r="H16" i="33"/>
  <c r="C16" i="33"/>
  <c r="AD15" i="33"/>
  <c r="J15" i="33" s="1"/>
  <c r="I15" i="33" s="1"/>
  <c r="AB15" i="33"/>
  <c r="Y15" i="33"/>
  <c r="X15" i="33"/>
  <c r="Q15" i="33"/>
  <c r="P15" i="33"/>
  <c r="O15" i="33"/>
  <c r="M15" i="33"/>
  <c r="K15" i="33"/>
  <c r="H15" i="33"/>
  <c r="C15" i="33"/>
  <c r="AB14" i="33"/>
  <c r="AD14" i="33" s="1"/>
  <c r="J14" i="33" s="1"/>
  <c r="Y14" i="33"/>
  <c r="X14" i="33"/>
  <c r="Q14" i="33"/>
  <c r="P14" i="33"/>
  <c r="O14" i="33"/>
  <c r="M14" i="33"/>
  <c r="H14" i="33"/>
  <c r="C14" i="33"/>
  <c r="AB13" i="33"/>
  <c r="AD13" i="33" s="1"/>
  <c r="J13" i="33" s="1"/>
  <c r="K13" i="33" s="1"/>
  <c r="Y13" i="33"/>
  <c r="X13" i="33"/>
  <c r="P13" i="33"/>
  <c r="O13" i="33"/>
  <c r="Q13" i="33" s="1"/>
  <c r="M13" i="33"/>
  <c r="I13" i="33"/>
  <c r="H13" i="33"/>
  <c r="C13" i="33"/>
  <c r="AB12" i="33"/>
  <c r="AD12" i="33" s="1"/>
  <c r="J12" i="33" s="1"/>
  <c r="K12" i="33" s="1"/>
  <c r="Y12" i="33"/>
  <c r="X12" i="33"/>
  <c r="P12" i="33"/>
  <c r="Q12" i="33" s="1"/>
  <c r="O12" i="33"/>
  <c r="M12" i="33"/>
  <c r="I12" i="33"/>
  <c r="H12" i="33"/>
  <c r="C12" i="33"/>
  <c r="AD11" i="33"/>
  <c r="J11" i="33" s="1"/>
  <c r="I11" i="33" s="1"/>
  <c r="AB11" i="33"/>
  <c r="Y11" i="33"/>
  <c r="X11" i="33"/>
  <c r="P11" i="33"/>
  <c r="O11" i="33"/>
  <c r="M11" i="33"/>
  <c r="H11" i="33"/>
  <c r="C11" i="33"/>
  <c r="AB10" i="33"/>
  <c r="AD10" i="33" s="1"/>
  <c r="J10" i="33" s="1"/>
  <c r="Y10" i="33"/>
  <c r="X10" i="33"/>
  <c r="P10" i="33"/>
  <c r="O10" i="33"/>
  <c r="Q10" i="33" s="1"/>
  <c r="M10" i="33"/>
  <c r="H10" i="33"/>
  <c r="C10" i="33"/>
  <c r="AB9" i="33"/>
  <c r="AD9" i="33" s="1"/>
  <c r="Y9" i="33"/>
  <c r="X9" i="33"/>
  <c r="Q9" i="33"/>
  <c r="P9" i="33"/>
  <c r="O9" i="33"/>
  <c r="M9" i="33"/>
  <c r="J9" i="33"/>
  <c r="K9" i="33" s="1"/>
  <c r="H9" i="33"/>
  <c r="C9" i="33"/>
  <c r="AD8" i="33"/>
  <c r="J8" i="33" s="1"/>
  <c r="AB8" i="33"/>
  <c r="Y8" i="33"/>
  <c r="X8" i="33"/>
  <c r="P8" i="33"/>
  <c r="O8" i="33"/>
  <c r="Q8" i="33" s="1"/>
  <c r="M8" i="33"/>
  <c r="H8" i="33"/>
  <c r="C8" i="33"/>
  <c r="AD7" i="33"/>
  <c r="J7" i="33" s="1"/>
  <c r="K7" i="33" s="1"/>
  <c r="AB7" i="33"/>
  <c r="Y7" i="33"/>
  <c r="X7" i="33"/>
  <c r="Q7" i="33"/>
  <c r="P7" i="33"/>
  <c r="O7" i="33"/>
  <c r="M7" i="33"/>
  <c r="I7" i="33"/>
  <c r="H7" i="33"/>
  <c r="C7" i="33"/>
  <c r="AB6" i="33"/>
  <c r="AD6" i="33" s="1"/>
  <c r="J6" i="33" s="1"/>
  <c r="K6" i="33" s="1"/>
  <c r="Y6" i="33"/>
  <c r="X6" i="33"/>
  <c r="P6" i="33"/>
  <c r="O6" i="33"/>
  <c r="Q6" i="33" s="1"/>
  <c r="M6" i="33"/>
  <c r="I6" i="33"/>
  <c r="H6" i="33"/>
  <c r="C6" i="33"/>
  <c r="AD5" i="33"/>
  <c r="AB5" i="33"/>
  <c r="Y5" i="33"/>
  <c r="X5" i="33"/>
  <c r="P5" i="33"/>
  <c r="O5" i="33"/>
  <c r="Q5" i="33" s="1"/>
  <c r="M5" i="33"/>
  <c r="J5" i="33"/>
  <c r="H5" i="33"/>
  <c r="C5" i="33"/>
  <c r="AB4" i="33"/>
  <c r="AD4" i="33" s="1"/>
  <c r="Y4" i="33"/>
  <c r="X4" i="33"/>
  <c r="Q4" i="33"/>
  <c r="P4" i="33"/>
  <c r="O4" i="33"/>
  <c r="M4" i="33"/>
  <c r="H4" i="33"/>
  <c r="C4" i="33"/>
  <c r="AG3" i="33"/>
  <c r="AF3" i="33"/>
  <c r="X3" i="33"/>
  <c r="W3" i="33"/>
  <c r="V3" i="33"/>
  <c r="U3" i="33"/>
  <c r="T3" i="33"/>
  <c r="O3" i="33"/>
  <c r="G3" i="33"/>
  <c r="H3" i="33" s="1"/>
  <c r="F3" i="33"/>
  <c r="D3" i="33"/>
  <c r="C3" i="33"/>
  <c r="A2" i="33"/>
  <c r="A1" i="33"/>
  <c r="AD32" i="32"/>
  <c r="J32" i="32" s="1"/>
  <c r="AB32" i="32"/>
  <c r="Y32" i="32"/>
  <c r="X32" i="32"/>
  <c r="V32" i="32"/>
  <c r="U32" i="32"/>
  <c r="T32" i="32"/>
  <c r="P32" i="32"/>
  <c r="O32" i="32"/>
  <c r="Q32" i="32" s="1"/>
  <c r="M32" i="32"/>
  <c r="H32" i="32"/>
  <c r="C32" i="32"/>
  <c r="AD31" i="32"/>
  <c r="J31" i="32" s="1"/>
  <c r="K31" i="32" s="1"/>
  <c r="AB31" i="32"/>
  <c r="Y31" i="32"/>
  <c r="X31" i="32"/>
  <c r="Q31" i="32"/>
  <c r="P31" i="32"/>
  <c r="O31" i="32"/>
  <c r="M31" i="32"/>
  <c r="I31" i="32"/>
  <c r="H31" i="32"/>
  <c r="C31" i="32"/>
  <c r="AB30" i="32"/>
  <c r="AD30" i="32" s="1"/>
  <c r="J30" i="32" s="1"/>
  <c r="K30" i="32" s="1"/>
  <c r="Y30" i="32"/>
  <c r="X30" i="32"/>
  <c r="P30" i="32"/>
  <c r="O30" i="32"/>
  <c r="Q30" i="32" s="1"/>
  <c r="M30" i="32"/>
  <c r="I30" i="32"/>
  <c r="H30" i="32"/>
  <c r="C30" i="32"/>
  <c r="AD29" i="32"/>
  <c r="J29" i="32" s="1"/>
  <c r="AB29" i="32"/>
  <c r="Y29" i="32"/>
  <c r="X29" i="32"/>
  <c r="P29" i="32"/>
  <c r="O29" i="32"/>
  <c r="Q29" i="32" s="1"/>
  <c r="M29" i="32"/>
  <c r="H29" i="32"/>
  <c r="C29" i="32"/>
  <c r="AB28" i="32"/>
  <c r="AD28" i="32" s="1"/>
  <c r="J28" i="32" s="1"/>
  <c r="Y28" i="32"/>
  <c r="X28" i="32"/>
  <c r="Q28" i="32"/>
  <c r="P28" i="32"/>
  <c r="O28" i="32"/>
  <c r="M28" i="32"/>
  <c r="H28" i="32"/>
  <c r="C28" i="32"/>
  <c r="AD27" i="32"/>
  <c r="J27" i="32" s="1"/>
  <c r="I27" i="32" s="1"/>
  <c r="AB27" i="32"/>
  <c r="Y27" i="32"/>
  <c r="X27" i="32"/>
  <c r="Q27" i="32"/>
  <c r="P27" i="32"/>
  <c r="O27" i="32"/>
  <c r="M27" i="32"/>
  <c r="K27" i="32"/>
  <c r="H27" i="32"/>
  <c r="C27" i="32"/>
  <c r="AB26" i="32"/>
  <c r="AD26" i="32" s="1"/>
  <c r="J26" i="32" s="1"/>
  <c r="I26" i="32" s="1"/>
  <c r="Y26" i="32"/>
  <c r="X26" i="32"/>
  <c r="P26" i="32"/>
  <c r="O26" i="32"/>
  <c r="Q26" i="32" s="1"/>
  <c r="M26" i="32"/>
  <c r="H26" i="32"/>
  <c r="C26" i="32"/>
  <c r="AB25" i="32"/>
  <c r="AD25" i="32" s="1"/>
  <c r="J25" i="32" s="1"/>
  <c r="K25" i="32" s="1"/>
  <c r="Y25" i="32"/>
  <c r="X25" i="32"/>
  <c r="Q25" i="32"/>
  <c r="P25" i="32"/>
  <c r="O25" i="32"/>
  <c r="M25" i="32"/>
  <c r="I25" i="32"/>
  <c r="H25" i="32"/>
  <c r="C25" i="32"/>
  <c r="AD24" i="32"/>
  <c r="J24" i="32" s="1"/>
  <c r="I24" i="32" s="1"/>
  <c r="AB24" i="32"/>
  <c r="Y24" i="32"/>
  <c r="X24" i="32"/>
  <c r="P24" i="32"/>
  <c r="O24" i="32"/>
  <c r="M24" i="32"/>
  <c r="K24" i="32"/>
  <c r="H24" i="32"/>
  <c r="C24" i="32"/>
  <c r="AB23" i="32"/>
  <c r="AD23" i="32" s="1"/>
  <c r="J23" i="32" s="1"/>
  <c r="Y23" i="32"/>
  <c r="X23" i="32"/>
  <c r="Q23" i="32"/>
  <c r="P23" i="32"/>
  <c r="O23" i="32"/>
  <c r="M23" i="32"/>
  <c r="H23" i="32"/>
  <c r="C23" i="32"/>
  <c r="AB22" i="32"/>
  <c r="AD22" i="32" s="1"/>
  <c r="J22" i="32" s="1"/>
  <c r="K22" i="32" s="1"/>
  <c r="Y22" i="32"/>
  <c r="X22" i="32"/>
  <c r="P22" i="32"/>
  <c r="O22" i="32"/>
  <c r="Q22" i="32" s="1"/>
  <c r="M22" i="32"/>
  <c r="I22" i="32"/>
  <c r="H22" i="32"/>
  <c r="C22" i="32"/>
  <c r="AD21" i="32"/>
  <c r="AB21" i="32"/>
  <c r="Y21" i="32"/>
  <c r="X21" i="32"/>
  <c r="P21" i="32"/>
  <c r="O21" i="32"/>
  <c r="Q21" i="32" s="1"/>
  <c r="M21" i="32"/>
  <c r="K21" i="32"/>
  <c r="J21" i="32"/>
  <c r="I21" i="32" s="1"/>
  <c r="H21" i="32"/>
  <c r="C21" i="32"/>
  <c r="AB20" i="32"/>
  <c r="AD20" i="32" s="1"/>
  <c r="J20" i="32" s="1"/>
  <c r="Y20" i="32"/>
  <c r="X20" i="32"/>
  <c r="Q20" i="32"/>
  <c r="P20" i="32"/>
  <c r="O20" i="32"/>
  <c r="M20" i="32"/>
  <c r="H20" i="32"/>
  <c r="C20" i="32"/>
  <c r="AD19" i="32"/>
  <c r="J19" i="32" s="1"/>
  <c r="I19" i="32" s="1"/>
  <c r="AB19" i="32"/>
  <c r="Y19" i="32"/>
  <c r="X19" i="32"/>
  <c r="Q19" i="32"/>
  <c r="P19" i="32"/>
  <c r="O19" i="32"/>
  <c r="M19" i="32"/>
  <c r="K19" i="32"/>
  <c r="H19" i="32"/>
  <c r="C19" i="32"/>
  <c r="AB18" i="32"/>
  <c r="AD18" i="32" s="1"/>
  <c r="J18" i="32" s="1"/>
  <c r="K18" i="32" s="1"/>
  <c r="Y18" i="32"/>
  <c r="X18" i="32"/>
  <c r="P18" i="32"/>
  <c r="O18" i="32"/>
  <c r="Q18" i="32" s="1"/>
  <c r="M18" i="32"/>
  <c r="H18" i="32"/>
  <c r="C18" i="32"/>
  <c r="AB17" i="32"/>
  <c r="AD17" i="32" s="1"/>
  <c r="Y17" i="32"/>
  <c r="X17" i="32"/>
  <c r="P17" i="32"/>
  <c r="O17" i="32"/>
  <c r="Q17" i="32" s="1"/>
  <c r="M17" i="32"/>
  <c r="K17" i="32"/>
  <c r="J17" i="32"/>
  <c r="I17" i="32" s="1"/>
  <c r="H17" i="32"/>
  <c r="C17" i="32"/>
  <c r="AB16" i="32"/>
  <c r="AD16" i="32" s="1"/>
  <c r="J16" i="32" s="1"/>
  <c r="Y16" i="32"/>
  <c r="X16" i="32"/>
  <c r="P16" i="32"/>
  <c r="O16" i="32"/>
  <c r="Q16" i="32" s="1"/>
  <c r="M16" i="32"/>
  <c r="H16" i="32"/>
  <c r="C16" i="32"/>
  <c r="AB15" i="32"/>
  <c r="AD15" i="32" s="1"/>
  <c r="Y15" i="32"/>
  <c r="X15" i="32"/>
  <c r="Q15" i="32"/>
  <c r="P15" i="32"/>
  <c r="O15" i="32"/>
  <c r="M15" i="32"/>
  <c r="J15" i="32"/>
  <c r="H15" i="32"/>
  <c r="C15" i="32"/>
  <c r="AB14" i="32"/>
  <c r="AD14" i="32" s="1"/>
  <c r="J14" i="32" s="1"/>
  <c r="Y14" i="32"/>
  <c r="X14" i="32"/>
  <c r="Q14" i="32"/>
  <c r="P14" i="32"/>
  <c r="O14" i="32"/>
  <c r="M14" i="32"/>
  <c r="H14" i="32"/>
  <c r="C14" i="32"/>
  <c r="AD13" i="32"/>
  <c r="J13" i="32" s="1"/>
  <c r="K13" i="32" s="1"/>
  <c r="AB13" i="32"/>
  <c r="Y13" i="32"/>
  <c r="X13" i="32"/>
  <c r="Q13" i="32"/>
  <c r="P13" i="32"/>
  <c r="O13" i="32"/>
  <c r="M13" i="32"/>
  <c r="I13" i="32"/>
  <c r="H13" i="32"/>
  <c r="C13" i="32"/>
  <c r="AD12" i="32"/>
  <c r="J12" i="32" s="1"/>
  <c r="AB12" i="32"/>
  <c r="Y12" i="32"/>
  <c r="X12" i="32"/>
  <c r="P12" i="32"/>
  <c r="O12" i="32"/>
  <c r="Q12" i="32" s="1"/>
  <c r="M12" i="32"/>
  <c r="H12" i="32"/>
  <c r="C12" i="32"/>
  <c r="AD11" i="32"/>
  <c r="J11" i="32" s="1"/>
  <c r="I11" i="32" s="1"/>
  <c r="AB11" i="32"/>
  <c r="Y11" i="32"/>
  <c r="X11" i="32"/>
  <c r="P11" i="32"/>
  <c r="O11" i="32"/>
  <c r="M11" i="32"/>
  <c r="K11" i="32"/>
  <c r="H11" i="32"/>
  <c r="C11" i="32"/>
  <c r="AD10" i="32"/>
  <c r="J10" i="32" s="1"/>
  <c r="I10" i="32" s="1"/>
  <c r="AB10" i="32"/>
  <c r="Y10" i="32"/>
  <c r="X10" i="32"/>
  <c r="P10" i="32"/>
  <c r="O10" i="32"/>
  <c r="Q10" i="32" s="1"/>
  <c r="M10" i="32"/>
  <c r="K10" i="32"/>
  <c r="H10" i="32"/>
  <c r="C10" i="32"/>
  <c r="AD9" i="32"/>
  <c r="J9" i="32" s="1"/>
  <c r="AB9" i="32"/>
  <c r="Y9" i="32"/>
  <c r="X9" i="32"/>
  <c r="P9" i="32"/>
  <c r="O9" i="32"/>
  <c r="Q9" i="32" s="1"/>
  <c r="M9" i="32"/>
  <c r="H9" i="32"/>
  <c r="C9" i="32"/>
  <c r="AB8" i="32"/>
  <c r="AD8" i="32" s="1"/>
  <c r="Y8" i="32"/>
  <c r="X8" i="32"/>
  <c r="P8" i="32"/>
  <c r="O8" i="32"/>
  <c r="Q8" i="32" s="1"/>
  <c r="M8" i="32"/>
  <c r="J8" i="32"/>
  <c r="H8" i="32"/>
  <c r="C8" i="32"/>
  <c r="AB7" i="32"/>
  <c r="AD7" i="32" s="1"/>
  <c r="J7" i="32" s="1"/>
  <c r="Y7" i="32"/>
  <c r="X7" i="32"/>
  <c r="Q7" i="32"/>
  <c r="P7" i="32"/>
  <c r="O7" i="32"/>
  <c r="M7" i="32"/>
  <c r="H7" i="32"/>
  <c r="C7" i="32"/>
  <c r="AB6" i="32"/>
  <c r="AD6" i="32" s="1"/>
  <c r="J6" i="32" s="1"/>
  <c r="Y6" i="32"/>
  <c r="X6" i="32"/>
  <c r="Q6" i="32"/>
  <c r="P6" i="32"/>
  <c r="O6" i="32"/>
  <c r="M6" i="32"/>
  <c r="H6" i="32"/>
  <c r="C6" i="32"/>
  <c r="AD5" i="32"/>
  <c r="J5" i="32" s="1"/>
  <c r="K5" i="32" s="1"/>
  <c r="AB5" i="32"/>
  <c r="Y5" i="32"/>
  <c r="X5" i="32"/>
  <c r="Q5" i="32"/>
  <c r="P5" i="32"/>
  <c r="O5" i="32"/>
  <c r="M5" i="32"/>
  <c r="I5" i="32"/>
  <c r="H5" i="32"/>
  <c r="C5" i="32"/>
  <c r="AG3" i="32"/>
  <c r="AF3" i="32"/>
  <c r="W3" i="32"/>
  <c r="V3" i="32"/>
  <c r="U3" i="32"/>
  <c r="T3" i="32"/>
  <c r="O3" i="32"/>
  <c r="G3" i="32"/>
  <c r="H3" i="32" s="1"/>
  <c r="F3" i="32"/>
  <c r="D3" i="32"/>
  <c r="X3" i="32" s="1"/>
  <c r="C3" i="32"/>
  <c r="A2" i="32"/>
  <c r="A1" i="32"/>
  <c r="AD32" i="31"/>
  <c r="AB32" i="31"/>
  <c r="Y32" i="31"/>
  <c r="X32" i="31"/>
  <c r="V32" i="31"/>
  <c r="U32" i="31"/>
  <c r="T32" i="31"/>
  <c r="P32" i="31"/>
  <c r="O32" i="31"/>
  <c r="Q32" i="31" s="1"/>
  <c r="M32" i="31"/>
  <c r="K32" i="31"/>
  <c r="J32" i="31"/>
  <c r="I32" i="31" s="1"/>
  <c r="H32" i="31"/>
  <c r="C32" i="31"/>
  <c r="AB31" i="31"/>
  <c r="AD31" i="31" s="1"/>
  <c r="Y31" i="31"/>
  <c r="X31" i="31"/>
  <c r="P31" i="31"/>
  <c r="O31" i="31"/>
  <c r="Q31" i="31" s="1"/>
  <c r="M31" i="31"/>
  <c r="J31" i="31"/>
  <c r="H31" i="31"/>
  <c r="C31" i="31"/>
  <c r="AB30" i="31"/>
  <c r="AD30" i="31" s="1"/>
  <c r="J30" i="31" s="1"/>
  <c r="Y30" i="31"/>
  <c r="X30" i="31"/>
  <c r="Q30" i="31"/>
  <c r="P30" i="31"/>
  <c r="O30" i="31"/>
  <c r="M30" i="31"/>
  <c r="H30" i="31"/>
  <c r="C30" i="31"/>
  <c r="AB29" i="31"/>
  <c r="AD29" i="31" s="1"/>
  <c r="J29" i="31" s="1"/>
  <c r="Y29" i="31"/>
  <c r="X29" i="31"/>
  <c r="Q29" i="31"/>
  <c r="P29" i="31"/>
  <c r="O29" i="31"/>
  <c r="M29" i="31"/>
  <c r="H29" i="31"/>
  <c r="C29" i="31"/>
  <c r="AD28" i="31"/>
  <c r="J28" i="31" s="1"/>
  <c r="K28" i="31" s="1"/>
  <c r="AB28" i="31"/>
  <c r="Y28" i="31"/>
  <c r="X28" i="31"/>
  <c r="Q28" i="31"/>
  <c r="P28" i="31"/>
  <c r="O28" i="31"/>
  <c r="M28" i="31"/>
  <c r="I28" i="31"/>
  <c r="H28" i="31"/>
  <c r="C28" i="31"/>
  <c r="AD27" i="31"/>
  <c r="J27" i="31" s="1"/>
  <c r="K27" i="31" s="1"/>
  <c r="AB27" i="31"/>
  <c r="Y27" i="31"/>
  <c r="X27" i="31"/>
  <c r="P27" i="31"/>
  <c r="O27" i="31"/>
  <c r="Q27" i="31" s="1"/>
  <c r="M27" i="31"/>
  <c r="I27" i="31"/>
  <c r="H27" i="31"/>
  <c r="C27" i="31"/>
  <c r="AD26" i="31"/>
  <c r="J26" i="31" s="1"/>
  <c r="I26" i="31" s="1"/>
  <c r="AB26" i="31"/>
  <c r="Y26" i="31"/>
  <c r="X26" i="31"/>
  <c r="P26" i="31"/>
  <c r="O26" i="31"/>
  <c r="M26" i="31"/>
  <c r="H26" i="31"/>
  <c r="C26" i="31"/>
  <c r="AD25" i="31"/>
  <c r="J25" i="31" s="1"/>
  <c r="I25" i="31" s="1"/>
  <c r="AB25" i="31"/>
  <c r="Y25" i="31"/>
  <c r="X25" i="31"/>
  <c r="P25" i="31"/>
  <c r="O25" i="31"/>
  <c r="Q25" i="31" s="1"/>
  <c r="M25" i="31"/>
  <c r="H25" i="31"/>
  <c r="C25" i="31"/>
  <c r="AD24" i="31"/>
  <c r="J24" i="31" s="1"/>
  <c r="AB24" i="31"/>
  <c r="Y24" i="31"/>
  <c r="X24" i="31"/>
  <c r="P24" i="31"/>
  <c r="O24" i="31"/>
  <c r="Q24" i="31" s="1"/>
  <c r="M24" i="31"/>
  <c r="H24" i="31"/>
  <c r="C24" i="31"/>
  <c r="AB23" i="31"/>
  <c r="AD23" i="31" s="1"/>
  <c r="Y23" i="31"/>
  <c r="X23" i="31"/>
  <c r="P23" i="31"/>
  <c r="O23" i="31"/>
  <c r="Q23" i="31" s="1"/>
  <c r="M23" i="31"/>
  <c r="J23" i="31"/>
  <c r="H23" i="31"/>
  <c r="C23" i="31"/>
  <c r="AB22" i="31"/>
  <c r="AD22" i="31" s="1"/>
  <c r="Y22" i="31"/>
  <c r="X22" i="31"/>
  <c r="Q22" i="31"/>
  <c r="P22" i="31"/>
  <c r="O22" i="31"/>
  <c r="M22" i="31"/>
  <c r="J22" i="31"/>
  <c r="H22" i="31"/>
  <c r="C22" i="31"/>
  <c r="AB21" i="31"/>
  <c r="AD21" i="31" s="1"/>
  <c r="J21" i="31" s="1"/>
  <c r="Y21" i="31"/>
  <c r="X21" i="31"/>
  <c r="Q21" i="31"/>
  <c r="P21" i="31"/>
  <c r="O21" i="31"/>
  <c r="M21" i="31"/>
  <c r="H21" i="31"/>
  <c r="C21" i="31"/>
  <c r="AD20" i="31"/>
  <c r="J20" i="31" s="1"/>
  <c r="K20" i="31" s="1"/>
  <c r="AB20" i="31"/>
  <c r="Y20" i="31"/>
  <c r="X20" i="31"/>
  <c r="Q20" i="31"/>
  <c r="P20" i="31"/>
  <c r="O20" i="31"/>
  <c r="M20" i="31"/>
  <c r="I20" i="31"/>
  <c r="H20" i="31"/>
  <c r="C20" i="31"/>
  <c r="AD19" i="31"/>
  <c r="J19" i="31" s="1"/>
  <c r="AB19" i="31"/>
  <c r="Y19" i="31"/>
  <c r="X19" i="31"/>
  <c r="P19" i="31"/>
  <c r="O19" i="31"/>
  <c r="M19" i="31"/>
  <c r="H19" i="31"/>
  <c r="C19" i="31"/>
  <c r="AD18" i="31"/>
  <c r="J18" i="31" s="1"/>
  <c r="I18" i="31" s="1"/>
  <c r="AB18" i="31"/>
  <c r="Y18" i="31"/>
  <c r="X18" i="31"/>
  <c r="P18" i="31"/>
  <c r="O18" i="31"/>
  <c r="Q18" i="31" s="1"/>
  <c r="M18" i="31"/>
  <c r="K18" i="31"/>
  <c r="H18" i="31"/>
  <c r="C18" i="31"/>
  <c r="AD17" i="31"/>
  <c r="J17" i="31" s="1"/>
  <c r="I17" i="31" s="1"/>
  <c r="AB17" i="31"/>
  <c r="Y17" i="31"/>
  <c r="X17" i="31"/>
  <c r="P17" i="31"/>
  <c r="O17" i="31"/>
  <c r="Q17" i="31" s="1"/>
  <c r="M17" i="31"/>
  <c r="H17" i="31"/>
  <c r="C17" i="31"/>
  <c r="AD16" i="31"/>
  <c r="J16" i="31" s="1"/>
  <c r="AB16" i="31"/>
  <c r="Y16" i="31"/>
  <c r="X16" i="31"/>
  <c r="P16" i="31"/>
  <c r="O16" i="31"/>
  <c r="Q16" i="31" s="1"/>
  <c r="M16" i="31"/>
  <c r="H16" i="31"/>
  <c r="C16" i="31"/>
  <c r="AB15" i="31"/>
  <c r="AD15" i="31" s="1"/>
  <c r="J15" i="31" s="1"/>
  <c r="Y15" i="31"/>
  <c r="X15" i="31"/>
  <c r="P15" i="31"/>
  <c r="O15" i="31"/>
  <c r="Q15" i="31" s="1"/>
  <c r="M15" i="31"/>
  <c r="H15" i="31"/>
  <c r="C15" i="31"/>
  <c r="AB14" i="31"/>
  <c r="AD14" i="31" s="1"/>
  <c r="J14" i="31" s="1"/>
  <c r="Y14" i="31"/>
  <c r="X14" i="31"/>
  <c r="Q14" i="31"/>
  <c r="P14" i="31"/>
  <c r="O14" i="31"/>
  <c r="M14" i="31"/>
  <c r="H14" i="31"/>
  <c r="C14" i="31"/>
  <c r="AB13" i="31"/>
  <c r="AD13" i="31" s="1"/>
  <c r="J13" i="31" s="1"/>
  <c r="Y13" i="31"/>
  <c r="X13" i="31"/>
  <c r="Q13" i="31"/>
  <c r="P13" i="31"/>
  <c r="O13" i="31"/>
  <c r="M13" i="31"/>
  <c r="H13" i="31"/>
  <c r="C13" i="31"/>
  <c r="AD12" i="31"/>
  <c r="J12" i="31" s="1"/>
  <c r="K12" i="31" s="1"/>
  <c r="AB12" i="31"/>
  <c r="Y12" i="31"/>
  <c r="X12" i="31"/>
  <c r="Q12" i="31"/>
  <c r="P12" i="31"/>
  <c r="O12" i="31"/>
  <c r="M12" i="31"/>
  <c r="I12" i="31"/>
  <c r="H12" i="31"/>
  <c r="C12" i="31"/>
  <c r="AB11" i="31"/>
  <c r="AD11" i="31" s="1"/>
  <c r="J11" i="31" s="1"/>
  <c r="K11" i="31" s="1"/>
  <c r="Y11" i="31"/>
  <c r="X11" i="31"/>
  <c r="P11" i="31"/>
  <c r="O11" i="31"/>
  <c r="Q11" i="31" s="1"/>
  <c r="M11" i="31"/>
  <c r="I11" i="31"/>
  <c r="H11" i="31"/>
  <c r="C11" i="31"/>
  <c r="AD10" i="31"/>
  <c r="J10" i="31" s="1"/>
  <c r="AB10" i="31"/>
  <c r="Y10" i="31"/>
  <c r="X10" i="31"/>
  <c r="P10" i="31"/>
  <c r="O10" i="31"/>
  <c r="Q10" i="31" s="1"/>
  <c r="M10" i="31"/>
  <c r="H10" i="31"/>
  <c r="C10" i="31"/>
  <c r="AD9" i="31"/>
  <c r="J9" i="31" s="1"/>
  <c r="I9" i="31" s="1"/>
  <c r="AB9" i="31"/>
  <c r="Y9" i="31"/>
  <c r="X9" i="31"/>
  <c r="P9" i="31"/>
  <c r="O9" i="31"/>
  <c r="Q9" i="31" s="1"/>
  <c r="M9" i="31"/>
  <c r="K9" i="31"/>
  <c r="H9" i="31"/>
  <c r="C9" i="31"/>
  <c r="AD8" i="31"/>
  <c r="J8" i="31" s="1"/>
  <c r="AB8" i="31"/>
  <c r="Y8" i="31"/>
  <c r="X8" i="31"/>
  <c r="P8" i="31"/>
  <c r="O8" i="31"/>
  <c r="Q8" i="31" s="1"/>
  <c r="M8" i="31"/>
  <c r="H8" i="31"/>
  <c r="C8" i="31"/>
  <c r="AB7" i="31"/>
  <c r="AD7" i="31" s="1"/>
  <c r="J7" i="31" s="1"/>
  <c r="Y7" i="31"/>
  <c r="X7" i="31"/>
  <c r="P7" i="31"/>
  <c r="O7" i="31"/>
  <c r="Q7" i="31" s="1"/>
  <c r="M7" i="31"/>
  <c r="H7" i="31"/>
  <c r="C7" i="31"/>
  <c r="AB6" i="31"/>
  <c r="AD6" i="31" s="1"/>
  <c r="Y6" i="31"/>
  <c r="X6" i="31"/>
  <c r="Q6" i="31"/>
  <c r="P6" i="31"/>
  <c r="O6" i="31"/>
  <c r="M6" i="31"/>
  <c r="J6" i="31"/>
  <c r="H6" i="31"/>
  <c r="C6" i="31"/>
  <c r="AB5" i="31"/>
  <c r="AD5" i="31" s="1"/>
  <c r="Y5" i="31"/>
  <c r="X5" i="31"/>
  <c r="Q5" i="31"/>
  <c r="P5" i="31"/>
  <c r="O5" i="31"/>
  <c r="M5" i="31"/>
  <c r="H5" i="31"/>
  <c r="C5" i="31"/>
  <c r="AD4" i="31"/>
  <c r="J4" i="31" s="1"/>
  <c r="AB4" i="31"/>
  <c r="Y4" i="31"/>
  <c r="X4" i="31"/>
  <c r="Q4" i="31"/>
  <c r="P4" i="31"/>
  <c r="O4" i="31"/>
  <c r="M4" i="31"/>
  <c r="I4" i="31"/>
  <c r="H4" i="31"/>
  <c r="C4" i="31"/>
  <c r="AG3" i="31"/>
  <c r="AF3" i="31"/>
  <c r="W3" i="31"/>
  <c r="V3" i="31"/>
  <c r="U3" i="31"/>
  <c r="T3" i="31"/>
  <c r="O3" i="31"/>
  <c r="G3" i="31"/>
  <c r="H3" i="31" s="1"/>
  <c r="F3" i="31"/>
  <c r="D3" i="31"/>
  <c r="X3" i="31" s="1"/>
  <c r="C3" i="31"/>
  <c r="A2" i="31"/>
  <c r="A1" i="31"/>
  <c r="AD32" i="30"/>
  <c r="AB32" i="30"/>
  <c r="Y32" i="30"/>
  <c r="X32" i="30"/>
  <c r="V32" i="30"/>
  <c r="U32" i="30"/>
  <c r="T32" i="30"/>
  <c r="P32" i="30"/>
  <c r="O32" i="30"/>
  <c r="Q32" i="30" s="1"/>
  <c r="M32" i="30"/>
  <c r="K32" i="30"/>
  <c r="J32" i="30"/>
  <c r="I32" i="30" s="1"/>
  <c r="H32" i="30"/>
  <c r="C32" i="30"/>
  <c r="AB31" i="30"/>
  <c r="AD31" i="30" s="1"/>
  <c r="Y31" i="30"/>
  <c r="X31" i="30"/>
  <c r="P31" i="30"/>
  <c r="O31" i="30"/>
  <c r="Q31" i="30" s="1"/>
  <c r="M31" i="30"/>
  <c r="J31" i="30"/>
  <c r="H31" i="30"/>
  <c r="C31" i="30"/>
  <c r="AB30" i="30"/>
  <c r="AD30" i="30" s="1"/>
  <c r="Y30" i="30"/>
  <c r="X30" i="30"/>
  <c r="Q30" i="30"/>
  <c r="P30" i="30"/>
  <c r="O30" i="30"/>
  <c r="M30" i="30"/>
  <c r="J30" i="30"/>
  <c r="H30" i="30"/>
  <c r="C30" i="30"/>
  <c r="AB29" i="30"/>
  <c r="AD29" i="30" s="1"/>
  <c r="J29" i="30" s="1"/>
  <c r="Y29" i="30"/>
  <c r="X29" i="30"/>
  <c r="Q29" i="30"/>
  <c r="P29" i="30"/>
  <c r="O29" i="30"/>
  <c r="M29" i="30"/>
  <c r="H29" i="30"/>
  <c r="C29" i="30"/>
  <c r="AD28" i="30"/>
  <c r="J28" i="30" s="1"/>
  <c r="K28" i="30" s="1"/>
  <c r="AB28" i="30"/>
  <c r="Y28" i="30"/>
  <c r="X28" i="30"/>
  <c r="Q28" i="30"/>
  <c r="P28" i="30"/>
  <c r="O28" i="30"/>
  <c r="M28" i="30"/>
  <c r="I28" i="30"/>
  <c r="H28" i="30"/>
  <c r="C28" i="30"/>
  <c r="AD27" i="30"/>
  <c r="J27" i="30" s="1"/>
  <c r="K27" i="30" s="1"/>
  <c r="AB27" i="30"/>
  <c r="Y27" i="30"/>
  <c r="X27" i="30"/>
  <c r="P27" i="30"/>
  <c r="O27" i="30"/>
  <c r="M27" i="30"/>
  <c r="I27" i="30"/>
  <c r="H27" i="30"/>
  <c r="C27" i="30"/>
  <c r="AD26" i="30"/>
  <c r="J26" i="30" s="1"/>
  <c r="I26" i="30" s="1"/>
  <c r="AB26" i="30"/>
  <c r="Y26" i="30"/>
  <c r="X26" i="30"/>
  <c r="P26" i="30"/>
  <c r="O26" i="30"/>
  <c r="Q26" i="30" s="1"/>
  <c r="M26" i="30"/>
  <c r="K26" i="30"/>
  <c r="H26" i="30"/>
  <c r="C26" i="30"/>
  <c r="AD25" i="30"/>
  <c r="J25" i="30" s="1"/>
  <c r="I25" i="30" s="1"/>
  <c r="AB25" i="30"/>
  <c r="Y25" i="30"/>
  <c r="X25" i="30"/>
  <c r="P25" i="30"/>
  <c r="O25" i="30"/>
  <c r="Q25" i="30" s="1"/>
  <c r="M25" i="30"/>
  <c r="H25" i="30"/>
  <c r="C25" i="30"/>
  <c r="AD24" i="30"/>
  <c r="J24" i="30" s="1"/>
  <c r="AB24" i="30"/>
  <c r="Y24" i="30"/>
  <c r="X24" i="30"/>
  <c r="P24" i="30"/>
  <c r="O24" i="30"/>
  <c r="Q24" i="30" s="1"/>
  <c r="M24" i="30"/>
  <c r="H24" i="30"/>
  <c r="C24" i="30"/>
  <c r="AB23" i="30"/>
  <c r="AD23" i="30" s="1"/>
  <c r="J23" i="30" s="1"/>
  <c r="Y23" i="30"/>
  <c r="X23" i="30"/>
  <c r="P23" i="30"/>
  <c r="O23" i="30"/>
  <c r="Q23" i="30" s="1"/>
  <c r="M23" i="30"/>
  <c r="H23" i="30"/>
  <c r="C23" i="30"/>
  <c r="AB22" i="30"/>
  <c r="AD22" i="30" s="1"/>
  <c r="J22" i="30" s="1"/>
  <c r="Y22" i="30"/>
  <c r="X22" i="30"/>
  <c r="Q22" i="30"/>
  <c r="P22" i="30"/>
  <c r="O22" i="30"/>
  <c r="M22" i="30"/>
  <c r="H22" i="30"/>
  <c r="C22" i="30"/>
  <c r="AB21" i="30"/>
  <c r="AD21" i="30" s="1"/>
  <c r="J21" i="30" s="1"/>
  <c r="Y21" i="30"/>
  <c r="X21" i="30"/>
  <c r="Q21" i="30"/>
  <c r="P21" i="30"/>
  <c r="O21" i="30"/>
  <c r="M21" i="30"/>
  <c r="H21" i="30"/>
  <c r="C21" i="30"/>
  <c r="AD20" i="30"/>
  <c r="J20" i="30" s="1"/>
  <c r="K20" i="30" s="1"/>
  <c r="AB20" i="30"/>
  <c r="Y20" i="30"/>
  <c r="X20" i="30"/>
  <c r="Q20" i="30"/>
  <c r="P20" i="30"/>
  <c r="O20" i="30"/>
  <c r="M20" i="30"/>
  <c r="I20" i="30"/>
  <c r="H20" i="30"/>
  <c r="C20" i="30"/>
  <c r="AB19" i="30"/>
  <c r="AD19" i="30" s="1"/>
  <c r="J19" i="30" s="1"/>
  <c r="K19" i="30" s="1"/>
  <c r="Y19" i="30"/>
  <c r="X19" i="30"/>
  <c r="P19" i="30"/>
  <c r="O19" i="30"/>
  <c r="Q19" i="30" s="1"/>
  <c r="M19" i="30"/>
  <c r="I19" i="30"/>
  <c r="H19" i="30"/>
  <c r="C19" i="30"/>
  <c r="AD18" i="30"/>
  <c r="J18" i="30" s="1"/>
  <c r="AB18" i="30"/>
  <c r="Y18" i="30"/>
  <c r="X18" i="30"/>
  <c r="P18" i="30"/>
  <c r="O18" i="30"/>
  <c r="Q18" i="30" s="1"/>
  <c r="M18" i="30"/>
  <c r="H18" i="30"/>
  <c r="C18" i="30"/>
  <c r="AD17" i="30"/>
  <c r="J17" i="30" s="1"/>
  <c r="I17" i="30" s="1"/>
  <c r="AB17" i="30"/>
  <c r="Y17" i="30"/>
  <c r="X17" i="30"/>
  <c r="P17" i="30"/>
  <c r="O17" i="30"/>
  <c r="Q17" i="30" s="1"/>
  <c r="M17" i="30"/>
  <c r="K17" i="30"/>
  <c r="H17" i="30"/>
  <c r="C17" i="30"/>
  <c r="AD16" i="30"/>
  <c r="J16" i="30" s="1"/>
  <c r="AB16" i="30"/>
  <c r="Y16" i="30"/>
  <c r="X16" i="30"/>
  <c r="P16" i="30"/>
  <c r="O16" i="30"/>
  <c r="Q16" i="30" s="1"/>
  <c r="M16" i="30"/>
  <c r="H16" i="30"/>
  <c r="C16" i="30"/>
  <c r="AB15" i="30"/>
  <c r="AD15" i="30" s="1"/>
  <c r="J15" i="30" s="1"/>
  <c r="Y15" i="30"/>
  <c r="X15" i="30"/>
  <c r="P15" i="30"/>
  <c r="O15" i="30"/>
  <c r="Q15" i="30" s="1"/>
  <c r="M15" i="30"/>
  <c r="H15" i="30"/>
  <c r="C15" i="30"/>
  <c r="AB14" i="30"/>
  <c r="AD14" i="30" s="1"/>
  <c r="Y14" i="30"/>
  <c r="X14" i="30"/>
  <c r="Q14" i="30"/>
  <c r="P14" i="30"/>
  <c r="O14" i="30"/>
  <c r="M14" i="30"/>
  <c r="J14" i="30"/>
  <c r="H14" i="30"/>
  <c r="C14" i="30"/>
  <c r="AB13" i="30"/>
  <c r="AD13" i="30" s="1"/>
  <c r="J13" i="30" s="1"/>
  <c r="Y13" i="30"/>
  <c r="X13" i="30"/>
  <c r="Q13" i="30"/>
  <c r="P13" i="30"/>
  <c r="O13" i="30"/>
  <c r="M13" i="30"/>
  <c r="H13" i="30"/>
  <c r="C13" i="30"/>
  <c r="AD12" i="30"/>
  <c r="J12" i="30" s="1"/>
  <c r="K12" i="30" s="1"/>
  <c r="AB12" i="30"/>
  <c r="Y12" i="30"/>
  <c r="X12" i="30"/>
  <c r="Q12" i="30"/>
  <c r="P12" i="30"/>
  <c r="O12" i="30"/>
  <c r="M12" i="30"/>
  <c r="I12" i="30"/>
  <c r="H12" i="30"/>
  <c r="C12" i="30"/>
  <c r="AB11" i="30"/>
  <c r="AD11" i="30" s="1"/>
  <c r="J11" i="30" s="1"/>
  <c r="K11" i="30" s="1"/>
  <c r="Y11" i="30"/>
  <c r="X11" i="30"/>
  <c r="P11" i="30"/>
  <c r="O11" i="30"/>
  <c r="Q11" i="30" s="1"/>
  <c r="M11" i="30"/>
  <c r="H11" i="30"/>
  <c r="C11" i="30"/>
  <c r="AD10" i="30"/>
  <c r="J10" i="30" s="1"/>
  <c r="I10" i="30" s="1"/>
  <c r="AB10" i="30"/>
  <c r="Y10" i="30"/>
  <c r="X10" i="30"/>
  <c r="P10" i="30"/>
  <c r="O10" i="30"/>
  <c r="M10" i="30"/>
  <c r="H10" i="30"/>
  <c r="C10" i="30"/>
  <c r="AD9" i="30"/>
  <c r="J9" i="30" s="1"/>
  <c r="I9" i="30" s="1"/>
  <c r="AB9" i="30"/>
  <c r="Y9" i="30"/>
  <c r="X9" i="30"/>
  <c r="P9" i="30"/>
  <c r="O9" i="30"/>
  <c r="Q9" i="30" s="1"/>
  <c r="M9" i="30"/>
  <c r="K9" i="30"/>
  <c r="H9" i="30"/>
  <c r="C9" i="30"/>
  <c r="AD8" i="30"/>
  <c r="J8" i="30" s="1"/>
  <c r="AB8" i="30"/>
  <c r="Y8" i="30"/>
  <c r="X8" i="30"/>
  <c r="P8" i="30"/>
  <c r="O8" i="30"/>
  <c r="Q8" i="30" s="1"/>
  <c r="M8" i="30"/>
  <c r="H8" i="30"/>
  <c r="C8" i="30"/>
  <c r="AB7" i="30"/>
  <c r="AD7" i="30" s="1"/>
  <c r="Y7" i="30"/>
  <c r="X7" i="30"/>
  <c r="P7" i="30"/>
  <c r="O7" i="30"/>
  <c r="Q7" i="30" s="1"/>
  <c r="M7" i="30"/>
  <c r="J7" i="30"/>
  <c r="H7" i="30"/>
  <c r="C7" i="30"/>
  <c r="AB6" i="30"/>
  <c r="AD6" i="30" s="1"/>
  <c r="Y6" i="30"/>
  <c r="X6" i="30"/>
  <c r="Q6" i="30"/>
  <c r="P6" i="30"/>
  <c r="O6" i="30"/>
  <c r="M6" i="30"/>
  <c r="J6" i="30"/>
  <c r="H6" i="30"/>
  <c r="C6" i="30"/>
  <c r="AB5" i="30"/>
  <c r="AD5" i="30" s="1"/>
  <c r="J5" i="30" s="1"/>
  <c r="Y5" i="30"/>
  <c r="X5" i="30"/>
  <c r="Q5" i="30"/>
  <c r="P5" i="30"/>
  <c r="O5" i="30"/>
  <c r="M5" i="30"/>
  <c r="H5" i="30"/>
  <c r="C5" i="30"/>
  <c r="AD4" i="30"/>
  <c r="J4" i="30" s="1"/>
  <c r="K4" i="30" s="1"/>
  <c r="AB4" i="30"/>
  <c r="Y4" i="30"/>
  <c r="X4" i="30"/>
  <c r="Q4" i="30"/>
  <c r="P4" i="30"/>
  <c r="O4" i="30"/>
  <c r="M4" i="30"/>
  <c r="I4" i="30"/>
  <c r="H4" i="30"/>
  <c r="C4" i="30"/>
  <c r="AG3" i="30"/>
  <c r="AF3" i="30"/>
  <c r="W3" i="30"/>
  <c r="X3" i="30" s="1"/>
  <c r="V3" i="30"/>
  <c r="U3" i="30"/>
  <c r="T3" i="30"/>
  <c r="O3" i="30"/>
  <c r="G3" i="30"/>
  <c r="H3" i="30" s="1"/>
  <c r="F3" i="30"/>
  <c r="D3" i="30"/>
  <c r="C3" i="30"/>
  <c r="A2" i="30"/>
  <c r="A1" i="30"/>
  <c r="AB32" i="29"/>
  <c r="AD32" i="29" s="1"/>
  <c r="J32" i="29" s="1"/>
  <c r="Y32" i="29"/>
  <c r="X32" i="29"/>
  <c r="V32" i="29"/>
  <c r="U32" i="29"/>
  <c r="T32" i="29"/>
  <c r="P32" i="29"/>
  <c r="O32" i="29"/>
  <c r="Q32" i="29" s="1"/>
  <c r="M32" i="29"/>
  <c r="H32" i="29"/>
  <c r="C32" i="29"/>
  <c r="AB31" i="29"/>
  <c r="AD31" i="29" s="1"/>
  <c r="Y31" i="29"/>
  <c r="X31" i="29"/>
  <c r="P31" i="29"/>
  <c r="O31" i="29"/>
  <c r="Q31" i="29" s="1"/>
  <c r="M31" i="29"/>
  <c r="J31" i="29"/>
  <c r="H31" i="29"/>
  <c r="C31" i="29"/>
  <c r="AB30" i="29"/>
  <c r="AD30" i="29" s="1"/>
  <c r="J30" i="29" s="1"/>
  <c r="Y30" i="29"/>
  <c r="X30" i="29"/>
  <c r="Q30" i="29"/>
  <c r="P30" i="29"/>
  <c r="O30" i="29"/>
  <c r="M30" i="29"/>
  <c r="H30" i="29"/>
  <c r="C30" i="29"/>
  <c r="AB29" i="29"/>
  <c r="AD29" i="29" s="1"/>
  <c r="J29" i="29" s="1"/>
  <c r="Y29" i="29"/>
  <c r="X29" i="29"/>
  <c r="Q29" i="29"/>
  <c r="P29" i="29"/>
  <c r="O29" i="29"/>
  <c r="M29" i="29"/>
  <c r="H29" i="29"/>
  <c r="C29" i="29"/>
  <c r="AB28" i="29"/>
  <c r="AD28" i="29" s="1"/>
  <c r="J28" i="29" s="1"/>
  <c r="Y28" i="29"/>
  <c r="X28" i="29"/>
  <c r="Q28" i="29"/>
  <c r="P28" i="29"/>
  <c r="O28" i="29"/>
  <c r="M28" i="29"/>
  <c r="H28" i="29"/>
  <c r="C28" i="29"/>
  <c r="AD27" i="29"/>
  <c r="J27" i="29" s="1"/>
  <c r="K27" i="29" s="1"/>
  <c r="AB27" i="29"/>
  <c r="Y27" i="29"/>
  <c r="X27" i="29"/>
  <c r="P27" i="29"/>
  <c r="Q27" i="29" s="1"/>
  <c r="O27" i="29"/>
  <c r="M27" i="29"/>
  <c r="I27" i="29"/>
  <c r="H27" i="29"/>
  <c r="C27" i="29"/>
  <c r="AD26" i="29"/>
  <c r="J26" i="29" s="1"/>
  <c r="I26" i="29" s="1"/>
  <c r="AB26" i="29"/>
  <c r="Y26" i="29"/>
  <c r="X26" i="29"/>
  <c r="P26" i="29"/>
  <c r="Q26" i="29" s="1"/>
  <c r="O26" i="29"/>
  <c r="M26" i="29"/>
  <c r="H26" i="29"/>
  <c r="C26" i="29"/>
  <c r="AD25" i="29"/>
  <c r="J25" i="29" s="1"/>
  <c r="I25" i="29" s="1"/>
  <c r="AB25" i="29"/>
  <c r="Y25" i="29"/>
  <c r="X25" i="29"/>
  <c r="P25" i="29"/>
  <c r="O25" i="29"/>
  <c r="Q25" i="29" s="1"/>
  <c r="M25" i="29"/>
  <c r="K25" i="29"/>
  <c r="H25" i="29"/>
  <c r="C25" i="29"/>
  <c r="AD24" i="29"/>
  <c r="J24" i="29" s="1"/>
  <c r="AB24" i="29"/>
  <c r="Y24" i="29"/>
  <c r="X24" i="29"/>
  <c r="P24" i="29"/>
  <c r="O24" i="29"/>
  <c r="Q24" i="29" s="1"/>
  <c r="M24" i="29"/>
  <c r="H24" i="29"/>
  <c r="C24" i="29"/>
  <c r="AB23" i="29"/>
  <c r="AD23" i="29" s="1"/>
  <c r="J23" i="29" s="1"/>
  <c r="Y23" i="29"/>
  <c r="X23" i="29"/>
  <c r="P23" i="29"/>
  <c r="O23" i="29"/>
  <c r="Q23" i="29" s="1"/>
  <c r="M23" i="29"/>
  <c r="H23" i="29"/>
  <c r="C23" i="29"/>
  <c r="AB22" i="29"/>
  <c r="AD22" i="29" s="1"/>
  <c r="Y22" i="29"/>
  <c r="X22" i="29"/>
  <c r="Q22" i="29"/>
  <c r="P22" i="29"/>
  <c r="O22" i="29"/>
  <c r="M22" i="29"/>
  <c r="J22" i="29"/>
  <c r="H22" i="29"/>
  <c r="C22" i="29"/>
  <c r="AB21" i="29"/>
  <c r="AD21" i="29" s="1"/>
  <c r="J21" i="29" s="1"/>
  <c r="Y21" i="29"/>
  <c r="X21" i="29"/>
  <c r="Q21" i="29"/>
  <c r="P21" i="29"/>
  <c r="O21" i="29"/>
  <c r="M21" i="29"/>
  <c r="H21" i="29"/>
  <c r="C21" i="29"/>
  <c r="AB20" i="29"/>
  <c r="AD20" i="29" s="1"/>
  <c r="J20" i="29" s="1"/>
  <c r="K20" i="29" s="1"/>
  <c r="Y20" i="29"/>
  <c r="X20" i="29"/>
  <c r="Q20" i="29"/>
  <c r="P20" i="29"/>
  <c r="O20" i="29"/>
  <c r="M20" i="29"/>
  <c r="H20" i="29"/>
  <c r="C20" i="29"/>
  <c r="AD19" i="29"/>
  <c r="J19" i="29" s="1"/>
  <c r="K19" i="29" s="1"/>
  <c r="AB19" i="29"/>
  <c r="Y19" i="29"/>
  <c r="X19" i="29"/>
  <c r="P19" i="29"/>
  <c r="O19" i="29"/>
  <c r="Q19" i="29" s="1"/>
  <c r="M19" i="29"/>
  <c r="I19" i="29"/>
  <c r="H19" i="29"/>
  <c r="C19" i="29"/>
  <c r="AD18" i="29"/>
  <c r="J18" i="29" s="1"/>
  <c r="I18" i="29" s="1"/>
  <c r="AB18" i="29"/>
  <c r="Y18" i="29"/>
  <c r="X18" i="29"/>
  <c r="P18" i="29"/>
  <c r="Q18" i="29" s="1"/>
  <c r="O18" i="29"/>
  <c r="M18" i="29"/>
  <c r="H18" i="29"/>
  <c r="C18" i="29"/>
  <c r="AD17" i="29"/>
  <c r="J17" i="29" s="1"/>
  <c r="I17" i="29" s="1"/>
  <c r="AB17" i="29"/>
  <c r="Y17" i="29"/>
  <c r="X17" i="29"/>
  <c r="P17" i="29"/>
  <c r="O17" i="29"/>
  <c r="Q17" i="29" s="1"/>
  <c r="M17" i="29"/>
  <c r="K17" i="29"/>
  <c r="H17" i="29"/>
  <c r="C17" i="29"/>
  <c r="AD16" i="29"/>
  <c r="J16" i="29" s="1"/>
  <c r="AB16" i="29"/>
  <c r="Y16" i="29"/>
  <c r="X16" i="29"/>
  <c r="P16" i="29"/>
  <c r="O16" i="29"/>
  <c r="Q16" i="29" s="1"/>
  <c r="M16" i="29"/>
  <c r="H16" i="29"/>
  <c r="C16" i="29"/>
  <c r="AB15" i="29"/>
  <c r="AD15" i="29" s="1"/>
  <c r="Y15" i="29"/>
  <c r="X15" i="29"/>
  <c r="P15" i="29"/>
  <c r="O15" i="29"/>
  <c r="Q15" i="29" s="1"/>
  <c r="M15" i="29"/>
  <c r="H15" i="29"/>
  <c r="C15" i="29"/>
  <c r="AG3" i="29"/>
  <c r="AF3" i="29"/>
  <c r="W3" i="29"/>
  <c r="X3" i="29" s="1"/>
  <c r="V3" i="29"/>
  <c r="U3" i="29"/>
  <c r="T3" i="29"/>
  <c r="O3" i="29"/>
  <c r="H3" i="29"/>
  <c r="G3" i="29"/>
  <c r="F3" i="29"/>
  <c r="D3" i="29"/>
  <c r="C3" i="29"/>
  <c r="A2" i="29"/>
  <c r="A1" i="29"/>
  <c r="AB32" i="28"/>
  <c r="AD32" i="28" s="1"/>
  <c r="J32" i="28" s="1"/>
  <c r="K32" i="28" s="1"/>
  <c r="Y32" i="28"/>
  <c r="X32" i="28"/>
  <c r="V32" i="28"/>
  <c r="U32" i="28"/>
  <c r="T32" i="28"/>
  <c r="P32" i="28"/>
  <c r="O32" i="28"/>
  <c r="M32" i="28"/>
  <c r="I32" i="28"/>
  <c r="H32" i="28"/>
  <c r="C32" i="28"/>
  <c r="AD31" i="28"/>
  <c r="J31" i="28" s="1"/>
  <c r="I31" i="28" s="1"/>
  <c r="AB31" i="28"/>
  <c r="Y31" i="28"/>
  <c r="X31" i="28"/>
  <c r="P31" i="28"/>
  <c r="Q31" i="28" s="1"/>
  <c r="O31" i="28"/>
  <c r="M31" i="28"/>
  <c r="K31" i="28"/>
  <c r="H31" i="28"/>
  <c r="C31" i="28"/>
  <c r="AD30" i="28"/>
  <c r="J30" i="28" s="1"/>
  <c r="I30" i="28" s="1"/>
  <c r="AB30" i="28"/>
  <c r="Y30" i="28"/>
  <c r="X30" i="28"/>
  <c r="P30" i="28"/>
  <c r="O30" i="28"/>
  <c r="Q30" i="28" s="1"/>
  <c r="M30" i="28"/>
  <c r="H30" i="28"/>
  <c r="C30" i="28"/>
  <c r="AD29" i="28"/>
  <c r="J29" i="28" s="1"/>
  <c r="AB29" i="28"/>
  <c r="Y29" i="28"/>
  <c r="X29" i="28"/>
  <c r="P29" i="28"/>
  <c r="O29" i="28"/>
  <c r="Q29" i="28" s="1"/>
  <c r="M29" i="28"/>
  <c r="H29" i="28"/>
  <c r="C29" i="28"/>
  <c r="AB28" i="28"/>
  <c r="AD28" i="28" s="1"/>
  <c r="J28" i="28" s="1"/>
  <c r="Y28" i="28"/>
  <c r="X28" i="28"/>
  <c r="P28" i="28"/>
  <c r="O28" i="28"/>
  <c r="Q28" i="28" s="1"/>
  <c r="M28" i="28"/>
  <c r="H28" i="28"/>
  <c r="C28" i="28"/>
  <c r="AB27" i="28"/>
  <c r="AD27" i="28" s="1"/>
  <c r="J27" i="28" s="1"/>
  <c r="Y27" i="28"/>
  <c r="X27" i="28"/>
  <c r="Q27" i="28"/>
  <c r="P27" i="28"/>
  <c r="O27" i="28"/>
  <c r="M27" i="28"/>
  <c r="H27" i="28"/>
  <c r="C27" i="28"/>
  <c r="AB26" i="28"/>
  <c r="AD26" i="28" s="1"/>
  <c r="J26" i="28" s="1"/>
  <c r="Y26" i="28"/>
  <c r="X26" i="28"/>
  <c r="Q26" i="28"/>
  <c r="P26" i="28"/>
  <c r="O26" i="28"/>
  <c r="M26" i="28"/>
  <c r="H26" i="28"/>
  <c r="C26" i="28"/>
  <c r="AD25" i="28"/>
  <c r="J25" i="28" s="1"/>
  <c r="K25" i="28" s="1"/>
  <c r="AB25" i="28"/>
  <c r="Y25" i="28"/>
  <c r="X25" i="28"/>
  <c r="Q25" i="28"/>
  <c r="P25" i="28"/>
  <c r="O25" i="28"/>
  <c r="M25" i="28"/>
  <c r="I25" i="28"/>
  <c r="H25" i="28"/>
  <c r="C25" i="28"/>
  <c r="AB24" i="28"/>
  <c r="AD24" i="28" s="1"/>
  <c r="J24" i="28" s="1"/>
  <c r="K24" i="28" s="1"/>
  <c r="Y24" i="28"/>
  <c r="X24" i="28"/>
  <c r="P24" i="28"/>
  <c r="O24" i="28"/>
  <c r="M24" i="28"/>
  <c r="I24" i="28"/>
  <c r="H24" i="28"/>
  <c r="C24" i="28"/>
  <c r="AD23" i="28"/>
  <c r="J23" i="28" s="1"/>
  <c r="AB23" i="28"/>
  <c r="Y23" i="28"/>
  <c r="X23" i="28"/>
  <c r="P23" i="28"/>
  <c r="Q23" i="28" s="1"/>
  <c r="O23" i="28"/>
  <c r="M23" i="28"/>
  <c r="H23" i="28"/>
  <c r="C23" i="28"/>
  <c r="AD22" i="28"/>
  <c r="J22" i="28" s="1"/>
  <c r="I22" i="28" s="1"/>
  <c r="AB22" i="28"/>
  <c r="Y22" i="28"/>
  <c r="X22" i="28"/>
  <c r="P22" i="28"/>
  <c r="O22" i="28"/>
  <c r="Q22" i="28" s="1"/>
  <c r="M22" i="28"/>
  <c r="K22" i="28"/>
  <c r="H22" i="28"/>
  <c r="C22" i="28"/>
  <c r="AD21" i="28"/>
  <c r="J21" i="28" s="1"/>
  <c r="AB21" i="28"/>
  <c r="Y21" i="28"/>
  <c r="X21" i="28"/>
  <c r="P21" i="28"/>
  <c r="O21" i="28"/>
  <c r="Q21" i="28" s="1"/>
  <c r="M21" i="28"/>
  <c r="H21" i="28"/>
  <c r="C21" i="28"/>
  <c r="AB20" i="28"/>
  <c r="AD20" i="28" s="1"/>
  <c r="J20" i="28" s="1"/>
  <c r="Y20" i="28"/>
  <c r="X20" i="28"/>
  <c r="P20" i="28"/>
  <c r="O20" i="28"/>
  <c r="Q20" i="28" s="1"/>
  <c r="M20" i="28"/>
  <c r="H20" i="28"/>
  <c r="C20" i="28"/>
  <c r="AB19" i="28"/>
  <c r="AD19" i="28" s="1"/>
  <c r="Y19" i="28"/>
  <c r="X19" i="28"/>
  <c r="Q19" i="28"/>
  <c r="P19" i="28"/>
  <c r="O19" i="28"/>
  <c r="M19" i="28"/>
  <c r="J19" i="28"/>
  <c r="H19" i="28"/>
  <c r="C19" i="28"/>
  <c r="AB18" i="28"/>
  <c r="AD18" i="28" s="1"/>
  <c r="J18" i="28" s="1"/>
  <c r="Y18" i="28"/>
  <c r="X18" i="28"/>
  <c r="Q18" i="28"/>
  <c r="P18" i="28"/>
  <c r="O18" i="28"/>
  <c r="M18" i="28"/>
  <c r="H18" i="28"/>
  <c r="C18" i="28"/>
  <c r="AD17" i="28"/>
  <c r="J17" i="28" s="1"/>
  <c r="K17" i="28" s="1"/>
  <c r="AB17" i="28"/>
  <c r="Y17" i="28"/>
  <c r="X17" i="28"/>
  <c r="Q17" i="28"/>
  <c r="P17" i="28"/>
  <c r="O17" i="28"/>
  <c r="M17" i="28"/>
  <c r="I17" i="28"/>
  <c r="H17" i="28"/>
  <c r="C17" i="28"/>
  <c r="AB16" i="28"/>
  <c r="AD16" i="28" s="1"/>
  <c r="J16" i="28" s="1"/>
  <c r="K16" i="28" s="1"/>
  <c r="Y16" i="28"/>
  <c r="X16" i="28"/>
  <c r="P16" i="28"/>
  <c r="O16" i="28"/>
  <c r="Q16" i="28" s="1"/>
  <c r="M16" i="28"/>
  <c r="H16" i="28"/>
  <c r="C16" i="28"/>
  <c r="AD15" i="28"/>
  <c r="J15" i="28" s="1"/>
  <c r="I15" i="28" s="1"/>
  <c r="AB15" i="28"/>
  <c r="Y15" i="28"/>
  <c r="X15" i="28"/>
  <c r="P15" i="28"/>
  <c r="Q15" i="28" s="1"/>
  <c r="O15" i="28"/>
  <c r="M15" i="28"/>
  <c r="H15" i="28"/>
  <c r="C15" i="28"/>
  <c r="AD14" i="28"/>
  <c r="J14" i="28" s="1"/>
  <c r="I14" i="28" s="1"/>
  <c r="AB14" i="28"/>
  <c r="Y14" i="28"/>
  <c r="X14" i="28"/>
  <c r="P14" i="28"/>
  <c r="O14" i="28"/>
  <c r="Q14" i="28" s="1"/>
  <c r="M14" i="28"/>
  <c r="K14" i="28"/>
  <c r="H14" i="28"/>
  <c r="C14" i="28"/>
  <c r="AD13" i="28"/>
  <c r="J13" i="28" s="1"/>
  <c r="AB13" i="28"/>
  <c r="Y13" i="28"/>
  <c r="X13" i="28"/>
  <c r="P13" i="28"/>
  <c r="O13" i="28"/>
  <c r="Q13" i="28" s="1"/>
  <c r="M13" i="28"/>
  <c r="H13" i="28"/>
  <c r="C13" i="28"/>
  <c r="AB12" i="28"/>
  <c r="AD12" i="28" s="1"/>
  <c r="Y12" i="28"/>
  <c r="X12" i="28"/>
  <c r="P12" i="28"/>
  <c r="O12" i="28"/>
  <c r="Q12" i="28" s="1"/>
  <c r="M12" i="28"/>
  <c r="J12" i="28"/>
  <c r="H12" i="28"/>
  <c r="C12" i="28"/>
  <c r="AB11" i="28"/>
  <c r="AD11" i="28" s="1"/>
  <c r="Y11" i="28"/>
  <c r="X11" i="28"/>
  <c r="Q11" i="28"/>
  <c r="P11" i="28"/>
  <c r="O11" i="28"/>
  <c r="M11" i="28"/>
  <c r="J11" i="28"/>
  <c r="H11" i="28"/>
  <c r="C11" i="28"/>
  <c r="AB10" i="28"/>
  <c r="AD10" i="28" s="1"/>
  <c r="J10" i="28" s="1"/>
  <c r="Y10" i="28"/>
  <c r="X10" i="28"/>
  <c r="Q10" i="28"/>
  <c r="P10" i="28"/>
  <c r="O10" i="28"/>
  <c r="M10" i="28"/>
  <c r="H10" i="28"/>
  <c r="C10" i="28"/>
  <c r="AD9" i="28"/>
  <c r="J9" i="28" s="1"/>
  <c r="K9" i="28" s="1"/>
  <c r="AB9" i="28"/>
  <c r="Y9" i="28"/>
  <c r="X9" i="28"/>
  <c r="Q9" i="28"/>
  <c r="P9" i="28"/>
  <c r="O9" i="28"/>
  <c r="M9" i="28"/>
  <c r="I9" i="28"/>
  <c r="H9" i="28"/>
  <c r="C9" i="28"/>
  <c r="AB8" i="28"/>
  <c r="AD8" i="28" s="1"/>
  <c r="J8" i="28" s="1"/>
  <c r="Y8" i="28"/>
  <c r="X8" i="28"/>
  <c r="P8" i="28"/>
  <c r="O8" i="28"/>
  <c r="Q8" i="28" s="1"/>
  <c r="M8" i="28"/>
  <c r="H8" i="28"/>
  <c r="C8" i="28"/>
  <c r="AD7" i="28"/>
  <c r="J7" i="28" s="1"/>
  <c r="I7" i="28" s="1"/>
  <c r="AB7" i="28"/>
  <c r="Y7" i="28"/>
  <c r="X7" i="28"/>
  <c r="P7" i="28"/>
  <c r="Q7" i="28" s="1"/>
  <c r="O7" i="28"/>
  <c r="M7" i="28"/>
  <c r="K7" i="28"/>
  <c r="H7" i="28"/>
  <c r="C7" i="28"/>
  <c r="AD6" i="28"/>
  <c r="J6" i="28" s="1"/>
  <c r="I6" i="28" s="1"/>
  <c r="AB6" i="28"/>
  <c r="Y6" i="28"/>
  <c r="X6" i="28"/>
  <c r="P6" i="28"/>
  <c r="O6" i="28"/>
  <c r="Q6" i="28" s="1"/>
  <c r="M6" i="28"/>
  <c r="H6" i="28"/>
  <c r="C6" i="28"/>
  <c r="AD5" i="28"/>
  <c r="J5" i="28" s="1"/>
  <c r="AB5" i="28"/>
  <c r="Y5" i="28"/>
  <c r="X5" i="28"/>
  <c r="P5" i="28"/>
  <c r="O5" i="28"/>
  <c r="Q5" i="28" s="1"/>
  <c r="M5" i="28"/>
  <c r="H5" i="28"/>
  <c r="C5" i="28"/>
  <c r="AB4" i="28"/>
  <c r="AD4" i="28" s="1"/>
  <c r="Y4" i="28"/>
  <c r="X4" i="28"/>
  <c r="P4" i="28"/>
  <c r="O4" i="28"/>
  <c r="Q4" i="28" s="1"/>
  <c r="M4" i="28"/>
  <c r="J4" i="28"/>
  <c r="H4" i="28"/>
  <c r="C4" i="28"/>
  <c r="AG3" i="28"/>
  <c r="AF3" i="28"/>
  <c r="W3" i="28"/>
  <c r="X3" i="28" s="1"/>
  <c r="V3" i="28"/>
  <c r="U3" i="28"/>
  <c r="T3" i="28"/>
  <c r="O3" i="28"/>
  <c r="H3" i="28"/>
  <c r="G3" i="28"/>
  <c r="F3" i="28"/>
  <c r="D3" i="28"/>
  <c r="C3" i="28"/>
  <c r="A2" i="28"/>
  <c r="A1" i="28"/>
  <c r="AB32" i="27"/>
  <c r="AD32" i="27" s="1"/>
  <c r="J32" i="27" s="1"/>
  <c r="K32" i="27" s="1"/>
  <c r="Y32" i="27"/>
  <c r="X32" i="27"/>
  <c r="V32" i="27"/>
  <c r="U32" i="27"/>
  <c r="T32" i="27"/>
  <c r="P32" i="27"/>
  <c r="O32" i="27"/>
  <c r="M32" i="27"/>
  <c r="I32" i="27"/>
  <c r="H32" i="27"/>
  <c r="C32" i="27"/>
  <c r="AD31" i="27"/>
  <c r="J31" i="27" s="1"/>
  <c r="I31" i="27" s="1"/>
  <c r="AB31" i="27"/>
  <c r="Y31" i="27"/>
  <c r="X31" i="27"/>
  <c r="P31" i="27"/>
  <c r="Q31" i="27" s="1"/>
  <c r="O31" i="27"/>
  <c r="M31" i="27"/>
  <c r="H31" i="27"/>
  <c r="C31" i="27"/>
  <c r="AD30" i="27"/>
  <c r="J30" i="27" s="1"/>
  <c r="I30" i="27" s="1"/>
  <c r="AB30" i="27"/>
  <c r="Y30" i="27"/>
  <c r="X30" i="27"/>
  <c r="P30" i="27"/>
  <c r="O30" i="27"/>
  <c r="Q30" i="27" s="1"/>
  <c r="M30" i="27"/>
  <c r="H30" i="27"/>
  <c r="C30" i="27"/>
  <c r="AD29" i="27"/>
  <c r="J29" i="27" s="1"/>
  <c r="AB29" i="27"/>
  <c r="Y29" i="27"/>
  <c r="X29" i="27"/>
  <c r="P29" i="27"/>
  <c r="O29" i="27"/>
  <c r="Q29" i="27" s="1"/>
  <c r="M29" i="27"/>
  <c r="H29" i="27"/>
  <c r="C29" i="27"/>
  <c r="AB28" i="27"/>
  <c r="AD28" i="27" s="1"/>
  <c r="J28" i="27" s="1"/>
  <c r="Y28" i="27"/>
  <c r="X28" i="27"/>
  <c r="P28" i="27"/>
  <c r="O28" i="27"/>
  <c r="Q28" i="27" s="1"/>
  <c r="M28" i="27"/>
  <c r="H28" i="27"/>
  <c r="C28" i="27"/>
  <c r="AB27" i="27"/>
  <c r="AD27" i="27" s="1"/>
  <c r="Y27" i="27"/>
  <c r="X27" i="27"/>
  <c r="Q27" i="27"/>
  <c r="P27" i="27"/>
  <c r="O27" i="27"/>
  <c r="M27" i="27"/>
  <c r="J27" i="27"/>
  <c r="H27" i="27"/>
  <c r="C27" i="27"/>
  <c r="AB26" i="27"/>
  <c r="AD26" i="27" s="1"/>
  <c r="J26" i="27" s="1"/>
  <c r="Y26" i="27"/>
  <c r="X26" i="27"/>
  <c r="Q26" i="27"/>
  <c r="P26" i="27"/>
  <c r="O26" i="27"/>
  <c r="M26" i="27"/>
  <c r="H26" i="27"/>
  <c r="C26" i="27"/>
  <c r="AD25" i="27"/>
  <c r="J25" i="27" s="1"/>
  <c r="K25" i="27" s="1"/>
  <c r="AB25" i="27"/>
  <c r="Y25" i="27"/>
  <c r="X25" i="27"/>
  <c r="Q25" i="27"/>
  <c r="P25" i="27"/>
  <c r="O25" i="27"/>
  <c r="M25" i="27"/>
  <c r="I25" i="27"/>
  <c r="H25" i="27"/>
  <c r="C25" i="27"/>
  <c r="AB24" i="27"/>
  <c r="AD24" i="27" s="1"/>
  <c r="J24" i="27" s="1"/>
  <c r="Y24" i="27"/>
  <c r="X24" i="27"/>
  <c r="P24" i="27"/>
  <c r="O24" i="27"/>
  <c r="Q24" i="27" s="1"/>
  <c r="M24" i="27"/>
  <c r="H24" i="27"/>
  <c r="C24" i="27"/>
  <c r="AD23" i="27"/>
  <c r="J23" i="27" s="1"/>
  <c r="AB23" i="27"/>
  <c r="Y23" i="27"/>
  <c r="X23" i="27"/>
  <c r="P23" i="27"/>
  <c r="Q23" i="27" s="1"/>
  <c r="O23" i="27"/>
  <c r="M23" i="27"/>
  <c r="K23" i="27"/>
  <c r="I23" i="27"/>
  <c r="H23" i="27"/>
  <c r="C23" i="27"/>
  <c r="AD22" i="27"/>
  <c r="J22" i="27" s="1"/>
  <c r="I22" i="27" s="1"/>
  <c r="AB22" i="27"/>
  <c r="Y22" i="27"/>
  <c r="X22" i="27"/>
  <c r="P22" i="27"/>
  <c r="O22" i="27"/>
  <c r="M22" i="27"/>
  <c r="H22" i="27"/>
  <c r="C22" i="27"/>
  <c r="AD21" i="27"/>
  <c r="J21" i="27" s="1"/>
  <c r="I21" i="27" s="1"/>
  <c r="AB21" i="27"/>
  <c r="Y21" i="27"/>
  <c r="X21" i="27"/>
  <c r="P21" i="27"/>
  <c r="O21" i="27"/>
  <c r="Q21" i="27" s="1"/>
  <c r="M21" i="27"/>
  <c r="K21" i="27"/>
  <c r="H21" i="27"/>
  <c r="C21" i="27"/>
  <c r="AB20" i="27"/>
  <c r="AD20" i="27" s="1"/>
  <c r="J20" i="27" s="1"/>
  <c r="Y20" i="27"/>
  <c r="X20" i="27"/>
  <c r="P20" i="27"/>
  <c r="O20" i="27"/>
  <c r="Q20" i="27" s="1"/>
  <c r="M20" i="27"/>
  <c r="H20" i="27"/>
  <c r="C20" i="27"/>
  <c r="AB19" i="27"/>
  <c r="AD19" i="27" s="1"/>
  <c r="Y19" i="27"/>
  <c r="X19" i="27"/>
  <c r="Q19" i="27"/>
  <c r="P19" i="27"/>
  <c r="O19" i="27"/>
  <c r="M19" i="27"/>
  <c r="J19" i="27"/>
  <c r="H19" i="27"/>
  <c r="C19" i="27"/>
  <c r="AB18" i="27"/>
  <c r="AD18" i="27" s="1"/>
  <c r="J18" i="27" s="1"/>
  <c r="Y18" i="27"/>
  <c r="X18" i="27"/>
  <c r="Q18" i="27"/>
  <c r="P18" i="27"/>
  <c r="O18" i="27"/>
  <c r="M18" i="27"/>
  <c r="H18" i="27"/>
  <c r="C18" i="27"/>
  <c r="AD17" i="27"/>
  <c r="J17" i="27" s="1"/>
  <c r="K17" i="27" s="1"/>
  <c r="AB17" i="27"/>
  <c r="Y17" i="27"/>
  <c r="X17" i="27"/>
  <c r="Q17" i="27"/>
  <c r="P17" i="27"/>
  <c r="O17" i="27"/>
  <c r="M17" i="27"/>
  <c r="I17" i="27"/>
  <c r="H17" i="27"/>
  <c r="C17" i="27"/>
  <c r="AB16" i="27"/>
  <c r="AD16" i="27" s="1"/>
  <c r="J16" i="27" s="1"/>
  <c r="Y16" i="27"/>
  <c r="X16" i="27"/>
  <c r="P16" i="27"/>
  <c r="O16" i="27"/>
  <c r="Q16" i="27" s="1"/>
  <c r="M16" i="27"/>
  <c r="H16" i="27"/>
  <c r="C16" i="27"/>
  <c r="AD15" i="27"/>
  <c r="J15" i="27" s="1"/>
  <c r="AB15" i="27"/>
  <c r="Y15" i="27"/>
  <c r="X15" i="27"/>
  <c r="P15" i="27"/>
  <c r="O15" i="27"/>
  <c r="M15" i="27"/>
  <c r="K15" i="27"/>
  <c r="I15" i="27"/>
  <c r="H15" i="27"/>
  <c r="C15" i="27"/>
  <c r="AD14" i="27"/>
  <c r="J14" i="27" s="1"/>
  <c r="I14" i="27" s="1"/>
  <c r="AB14" i="27"/>
  <c r="Y14" i="27"/>
  <c r="X14" i="27"/>
  <c r="P14" i="27"/>
  <c r="O14" i="27"/>
  <c r="M14" i="27"/>
  <c r="H14" i="27"/>
  <c r="C14" i="27"/>
  <c r="AD13" i="27"/>
  <c r="J13" i="27" s="1"/>
  <c r="I13" i="27" s="1"/>
  <c r="AB13" i="27"/>
  <c r="Y13" i="27"/>
  <c r="X13" i="27"/>
  <c r="P13" i="27"/>
  <c r="O13" i="27"/>
  <c r="Q13" i="27" s="1"/>
  <c r="M13" i="27"/>
  <c r="K13" i="27"/>
  <c r="H13" i="27"/>
  <c r="C13" i="27"/>
  <c r="AB12" i="27"/>
  <c r="AD12" i="27" s="1"/>
  <c r="J12" i="27" s="1"/>
  <c r="Y12" i="27"/>
  <c r="X12" i="27"/>
  <c r="P12" i="27"/>
  <c r="O12" i="27"/>
  <c r="Q12" i="27" s="1"/>
  <c r="M12" i="27"/>
  <c r="H12" i="27"/>
  <c r="C12" i="27"/>
  <c r="AB11" i="27"/>
  <c r="AD11" i="27" s="1"/>
  <c r="Y11" i="27"/>
  <c r="X11" i="27"/>
  <c r="Q11" i="27"/>
  <c r="P11" i="27"/>
  <c r="O11" i="27"/>
  <c r="M11" i="27"/>
  <c r="J11" i="27"/>
  <c r="H11" i="27"/>
  <c r="C11" i="27"/>
  <c r="AB10" i="27"/>
  <c r="AD10" i="27" s="1"/>
  <c r="J10" i="27" s="1"/>
  <c r="Y10" i="27"/>
  <c r="X10" i="27"/>
  <c r="Q10" i="27"/>
  <c r="P10" i="27"/>
  <c r="O10" i="27"/>
  <c r="M10" i="27"/>
  <c r="H10" i="27"/>
  <c r="C10" i="27"/>
  <c r="AD9" i="27"/>
  <c r="J9" i="27" s="1"/>
  <c r="K9" i="27" s="1"/>
  <c r="AB9" i="27"/>
  <c r="Y9" i="27"/>
  <c r="X9" i="27"/>
  <c r="Q9" i="27"/>
  <c r="P9" i="27"/>
  <c r="O9" i="27"/>
  <c r="M9" i="27"/>
  <c r="I9" i="27"/>
  <c r="H9" i="27"/>
  <c r="C9" i="27"/>
  <c r="AB8" i="27"/>
  <c r="AD8" i="27" s="1"/>
  <c r="J8" i="27" s="1"/>
  <c r="Y8" i="27"/>
  <c r="X8" i="27"/>
  <c r="P8" i="27"/>
  <c r="O8" i="27"/>
  <c r="Q8" i="27" s="1"/>
  <c r="M8" i="27"/>
  <c r="H8" i="27"/>
  <c r="C8" i="27"/>
  <c r="AD7" i="27"/>
  <c r="J7" i="27" s="1"/>
  <c r="AB7" i="27"/>
  <c r="Y7" i="27"/>
  <c r="X7" i="27"/>
  <c r="P7" i="27"/>
  <c r="O7" i="27"/>
  <c r="M7" i="27"/>
  <c r="K7" i="27"/>
  <c r="I7" i="27"/>
  <c r="H7" i="27"/>
  <c r="C7" i="27"/>
  <c r="AD6" i="27"/>
  <c r="J6" i="27" s="1"/>
  <c r="I6" i="27" s="1"/>
  <c r="AB6" i="27"/>
  <c r="Y6" i="27"/>
  <c r="X6" i="27"/>
  <c r="P6" i="27"/>
  <c r="O6" i="27"/>
  <c r="M6" i="27"/>
  <c r="H6" i="27"/>
  <c r="C6" i="27"/>
  <c r="AD5" i="27"/>
  <c r="J5" i="27" s="1"/>
  <c r="I5" i="27" s="1"/>
  <c r="AB5" i="27"/>
  <c r="Y5" i="27"/>
  <c r="X5" i="27"/>
  <c r="P5" i="27"/>
  <c r="O5" i="27"/>
  <c r="Q5" i="27" s="1"/>
  <c r="M5" i="27"/>
  <c r="K5" i="27"/>
  <c r="H5" i="27"/>
  <c r="C5" i="27"/>
  <c r="AB4" i="27"/>
  <c r="AD4" i="27" s="1"/>
  <c r="Y4" i="27"/>
  <c r="X4" i="27"/>
  <c r="P4" i="27"/>
  <c r="O4" i="27"/>
  <c r="Q4" i="27" s="1"/>
  <c r="M4" i="27"/>
  <c r="H4" i="27"/>
  <c r="C4" i="27"/>
  <c r="AG3" i="27"/>
  <c r="AF3" i="27"/>
  <c r="W3" i="27"/>
  <c r="X3" i="27" s="1"/>
  <c r="V3" i="27"/>
  <c r="U3" i="27"/>
  <c r="T3" i="27"/>
  <c r="O3" i="27"/>
  <c r="G3" i="27"/>
  <c r="F3" i="27"/>
  <c r="H3" i="27" s="1"/>
  <c r="D3" i="27"/>
  <c r="C3" i="27"/>
  <c r="A2" i="27"/>
  <c r="A1" i="27"/>
  <c r="AB32" i="26"/>
  <c r="AD32" i="26" s="1"/>
  <c r="J32" i="26" s="1"/>
  <c r="Y32" i="26"/>
  <c r="X32" i="26"/>
  <c r="V32" i="26"/>
  <c r="U32" i="26"/>
  <c r="T32" i="26"/>
  <c r="P32" i="26"/>
  <c r="O32" i="26"/>
  <c r="Q32" i="26" s="1"/>
  <c r="M32" i="26"/>
  <c r="H32" i="26"/>
  <c r="C32" i="26"/>
  <c r="AD31" i="26"/>
  <c r="J31" i="26" s="1"/>
  <c r="AB31" i="26"/>
  <c r="Y31" i="26"/>
  <c r="X31" i="26"/>
  <c r="P31" i="26"/>
  <c r="Q31" i="26" s="1"/>
  <c r="O31" i="26"/>
  <c r="M31" i="26"/>
  <c r="K31" i="26"/>
  <c r="I31" i="26"/>
  <c r="H31" i="26"/>
  <c r="C31" i="26"/>
  <c r="AD30" i="26"/>
  <c r="J30" i="26" s="1"/>
  <c r="I30" i="26" s="1"/>
  <c r="AB30" i="26"/>
  <c r="Y30" i="26"/>
  <c r="X30" i="26"/>
  <c r="P30" i="26"/>
  <c r="O30" i="26"/>
  <c r="M30" i="26"/>
  <c r="H30" i="26"/>
  <c r="C30" i="26"/>
  <c r="AD29" i="26"/>
  <c r="J29" i="26" s="1"/>
  <c r="I29" i="26" s="1"/>
  <c r="AB29" i="26"/>
  <c r="Y29" i="26"/>
  <c r="X29" i="26"/>
  <c r="P29" i="26"/>
  <c r="O29" i="26"/>
  <c r="Q29" i="26" s="1"/>
  <c r="M29" i="26"/>
  <c r="K29" i="26"/>
  <c r="H29" i="26"/>
  <c r="C29" i="26"/>
  <c r="AB28" i="26"/>
  <c r="AD28" i="26" s="1"/>
  <c r="J28" i="26" s="1"/>
  <c r="Y28" i="26"/>
  <c r="X28" i="26"/>
  <c r="P28" i="26"/>
  <c r="O28" i="26"/>
  <c r="Q28" i="26" s="1"/>
  <c r="M28" i="26"/>
  <c r="H28" i="26"/>
  <c r="C28" i="26"/>
  <c r="AB27" i="26"/>
  <c r="AD27" i="26" s="1"/>
  <c r="Y27" i="26"/>
  <c r="X27" i="26"/>
  <c r="Q27" i="26"/>
  <c r="P27" i="26"/>
  <c r="O27" i="26"/>
  <c r="M27" i="26"/>
  <c r="J27" i="26"/>
  <c r="H27" i="26"/>
  <c r="C27" i="26"/>
  <c r="AB26" i="26"/>
  <c r="AD26" i="26" s="1"/>
  <c r="J26" i="26" s="1"/>
  <c r="Y26" i="26"/>
  <c r="X26" i="26"/>
  <c r="Q26" i="26"/>
  <c r="P26" i="26"/>
  <c r="O26" i="26"/>
  <c r="M26" i="26"/>
  <c r="H26" i="26"/>
  <c r="C26" i="26"/>
  <c r="AD25" i="26"/>
  <c r="J25" i="26" s="1"/>
  <c r="K25" i="26" s="1"/>
  <c r="AB25" i="26"/>
  <c r="Y25" i="26"/>
  <c r="X25" i="26"/>
  <c r="Q25" i="26"/>
  <c r="P25" i="26"/>
  <c r="O25" i="26"/>
  <c r="M25" i="26"/>
  <c r="I25" i="26"/>
  <c r="H25" i="26"/>
  <c r="C25" i="26"/>
  <c r="AB24" i="26"/>
  <c r="AD24" i="26" s="1"/>
  <c r="J24" i="26" s="1"/>
  <c r="K24" i="26" s="1"/>
  <c r="Y24" i="26"/>
  <c r="X24" i="26"/>
  <c r="P24" i="26"/>
  <c r="O24" i="26"/>
  <c r="Q24" i="26" s="1"/>
  <c r="M24" i="26"/>
  <c r="H24" i="26"/>
  <c r="C24" i="26"/>
  <c r="AD23" i="26"/>
  <c r="J23" i="26" s="1"/>
  <c r="AB23" i="26"/>
  <c r="Y23" i="26"/>
  <c r="X23" i="26"/>
  <c r="P23" i="26"/>
  <c r="Q23" i="26" s="1"/>
  <c r="O23" i="26"/>
  <c r="M23" i="26"/>
  <c r="K23" i="26"/>
  <c r="I23" i="26"/>
  <c r="H23" i="26"/>
  <c r="C23" i="26"/>
  <c r="AD22" i="26"/>
  <c r="J22" i="26" s="1"/>
  <c r="AB22" i="26"/>
  <c r="Y22" i="26"/>
  <c r="X22" i="26"/>
  <c r="P22" i="26"/>
  <c r="O22" i="26"/>
  <c r="M22" i="26"/>
  <c r="H22" i="26"/>
  <c r="C22" i="26"/>
  <c r="AD21" i="26"/>
  <c r="J21" i="26" s="1"/>
  <c r="I21" i="26" s="1"/>
  <c r="AB21" i="26"/>
  <c r="Y21" i="26"/>
  <c r="X21" i="26"/>
  <c r="P21" i="26"/>
  <c r="O21" i="26"/>
  <c r="Q21" i="26" s="1"/>
  <c r="M21" i="26"/>
  <c r="K21" i="26"/>
  <c r="H21" i="26"/>
  <c r="C21" i="26"/>
  <c r="AB20" i="26"/>
  <c r="AD20" i="26" s="1"/>
  <c r="J20" i="26" s="1"/>
  <c r="Y20" i="26"/>
  <c r="X20" i="26"/>
  <c r="P20" i="26"/>
  <c r="O20" i="26"/>
  <c r="Q20" i="26" s="1"/>
  <c r="M20" i="26"/>
  <c r="H20" i="26"/>
  <c r="C20" i="26"/>
  <c r="AB19" i="26"/>
  <c r="AD19" i="26" s="1"/>
  <c r="Y19" i="26"/>
  <c r="X19" i="26"/>
  <c r="Q19" i="26"/>
  <c r="P19" i="26"/>
  <c r="O19" i="26"/>
  <c r="M19" i="26"/>
  <c r="J19" i="26"/>
  <c r="H19" i="26"/>
  <c r="C19" i="26"/>
  <c r="AB18" i="26"/>
  <c r="AD18" i="26" s="1"/>
  <c r="J18" i="26" s="1"/>
  <c r="Y18" i="26"/>
  <c r="X18" i="26"/>
  <c r="Q18" i="26"/>
  <c r="P18" i="26"/>
  <c r="O18" i="26"/>
  <c r="M18" i="26"/>
  <c r="H18" i="26"/>
  <c r="C18" i="26"/>
  <c r="AD17" i="26"/>
  <c r="J17" i="26" s="1"/>
  <c r="K17" i="26" s="1"/>
  <c r="AB17" i="26"/>
  <c r="Y17" i="26"/>
  <c r="X17" i="26"/>
  <c r="Q17" i="26"/>
  <c r="P17" i="26"/>
  <c r="O17" i="26"/>
  <c r="M17" i="26"/>
  <c r="I17" i="26"/>
  <c r="H17" i="26"/>
  <c r="C17" i="26"/>
  <c r="AB16" i="26"/>
  <c r="AD16" i="26" s="1"/>
  <c r="J16" i="26" s="1"/>
  <c r="K16" i="26" s="1"/>
  <c r="Y16" i="26"/>
  <c r="X16" i="26"/>
  <c r="P16" i="26"/>
  <c r="O16" i="26"/>
  <c r="Q16" i="26" s="1"/>
  <c r="M16" i="26"/>
  <c r="H16" i="26"/>
  <c r="C16" i="26"/>
  <c r="AD15" i="26"/>
  <c r="J15" i="26" s="1"/>
  <c r="AB15" i="26"/>
  <c r="Y15" i="26"/>
  <c r="X15" i="26"/>
  <c r="P15" i="26"/>
  <c r="O15" i="26"/>
  <c r="M15" i="26"/>
  <c r="K15" i="26"/>
  <c r="I15" i="26"/>
  <c r="H15" i="26"/>
  <c r="C15" i="26"/>
  <c r="AD14" i="26"/>
  <c r="J14" i="26" s="1"/>
  <c r="I14" i="26" s="1"/>
  <c r="AB14" i="26"/>
  <c r="Y14" i="26"/>
  <c r="X14" i="26"/>
  <c r="P14" i="26"/>
  <c r="O14" i="26"/>
  <c r="M14" i="26"/>
  <c r="K14" i="26"/>
  <c r="H14" i="26"/>
  <c r="C14" i="26"/>
  <c r="AD13" i="26"/>
  <c r="J13" i="26" s="1"/>
  <c r="I13" i="26" s="1"/>
  <c r="AB13" i="26"/>
  <c r="Y13" i="26"/>
  <c r="X13" i="26"/>
  <c r="P13" i="26"/>
  <c r="O13" i="26"/>
  <c r="Q13" i="26" s="1"/>
  <c r="M13" i="26"/>
  <c r="K13" i="26"/>
  <c r="H13" i="26"/>
  <c r="C13" i="26"/>
  <c r="AB12" i="26"/>
  <c r="AD12" i="26" s="1"/>
  <c r="J12" i="26" s="1"/>
  <c r="Y12" i="26"/>
  <c r="X12" i="26"/>
  <c r="P12" i="26"/>
  <c r="O12" i="26"/>
  <c r="Q12" i="26" s="1"/>
  <c r="M12" i="26"/>
  <c r="H12" i="26"/>
  <c r="C12" i="26"/>
  <c r="AB11" i="26"/>
  <c r="AD11" i="26" s="1"/>
  <c r="Y11" i="26"/>
  <c r="X11" i="26"/>
  <c r="Q11" i="26"/>
  <c r="P11" i="26"/>
  <c r="O11" i="26"/>
  <c r="M11" i="26"/>
  <c r="J11" i="26"/>
  <c r="H11" i="26"/>
  <c r="C11" i="26"/>
  <c r="AB10" i="26"/>
  <c r="AD10" i="26" s="1"/>
  <c r="J10" i="26" s="1"/>
  <c r="Y10" i="26"/>
  <c r="X10" i="26"/>
  <c r="Q10" i="26"/>
  <c r="P10" i="26"/>
  <c r="O10" i="26"/>
  <c r="M10" i="26"/>
  <c r="H10" i="26"/>
  <c r="C10" i="26"/>
  <c r="AD9" i="26"/>
  <c r="J9" i="26" s="1"/>
  <c r="K9" i="26" s="1"/>
  <c r="AB9" i="26"/>
  <c r="Y9" i="26"/>
  <c r="X9" i="26"/>
  <c r="Q9" i="26"/>
  <c r="P9" i="26"/>
  <c r="O9" i="26"/>
  <c r="M9" i="26"/>
  <c r="I9" i="26"/>
  <c r="H9" i="26"/>
  <c r="C9" i="26"/>
  <c r="AB8" i="26"/>
  <c r="AD8" i="26" s="1"/>
  <c r="J8" i="26" s="1"/>
  <c r="K8" i="26" s="1"/>
  <c r="Y8" i="26"/>
  <c r="X8" i="26"/>
  <c r="P8" i="26"/>
  <c r="O8" i="26"/>
  <c r="Q8" i="26" s="1"/>
  <c r="M8" i="26"/>
  <c r="H8" i="26"/>
  <c r="C8" i="26"/>
  <c r="AD7" i="26"/>
  <c r="J7" i="26" s="1"/>
  <c r="K7" i="26" s="1"/>
  <c r="AB7" i="26"/>
  <c r="Y7" i="26"/>
  <c r="X7" i="26"/>
  <c r="P7" i="26"/>
  <c r="O7" i="26"/>
  <c r="M7" i="26"/>
  <c r="I7" i="26"/>
  <c r="H7" i="26"/>
  <c r="C7" i="26"/>
  <c r="AD6" i="26"/>
  <c r="J6" i="26" s="1"/>
  <c r="I6" i="26" s="1"/>
  <c r="AB6" i="26"/>
  <c r="Y6" i="26"/>
  <c r="X6" i="26"/>
  <c r="P6" i="26"/>
  <c r="O6" i="26"/>
  <c r="Q6" i="26" s="1"/>
  <c r="M6" i="26"/>
  <c r="H6" i="26"/>
  <c r="C6" i="26"/>
  <c r="AD5" i="26"/>
  <c r="J5" i="26" s="1"/>
  <c r="I5" i="26" s="1"/>
  <c r="AB5" i="26"/>
  <c r="Y5" i="26"/>
  <c r="X5" i="26"/>
  <c r="P5" i="26"/>
  <c r="O5" i="26"/>
  <c r="Q5" i="26" s="1"/>
  <c r="M5" i="26"/>
  <c r="K5" i="26"/>
  <c r="H5" i="26"/>
  <c r="C5" i="26"/>
  <c r="AB4" i="26"/>
  <c r="AD4" i="26" s="1"/>
  <c r="Y4" i="26"/>
  <c r="X4" i="26"/>
  <c r="P4" i="26"/>
  <c r="O4" i="26"/>
  <c r="Q4" i="26" s="1"/>
  <c r="M4" i="26"/>
  <c r="H4" i="26"/>
  <c r="C4" i="26"/>
  <c r="AG3" i="26"/>
  <c r="AF3" i="26"/>
  <c r="W3" i="26"/>
  <c r="X3" i="26" s="1"/>
  <c r="V3" i="26"/>
  <c r="U3" i="26"/>
  <c r="T3" i="26"/>
  <c r="O3" i="26"/>
  <c r="G3" i="26"/>
  <c r="F3" i="26"/>
  <c r="H3" i="26" s="1"/>
  <c r="D3" i="26"/>
  <c r="C3" i="26"/>
  <c r="A2" i="26"/>
  <c r="A1" i="26"/>
  <c r="AB32" i="25"/>
  <c r="AD32" i="25" s="1"/>
  <c r="J32" i="25" s="1"/>
  <c r="K32" i="25" s="1"/>
  <c r="Y32" i="25"/>
  <c r="X32" i="25"/>
  <c r="V32" i="25"/>
  <c r="U32" i="25"/>
  <c r="T32" i="25"/>
  <c r="P32" i="25"/>
  <c r="O32" i="25"/>
  <c r="Q32" i="25" s="1"/>
  <c r="M32" i="25"/>
  <c r="H32" i="25"/>
  <c r="C32" i="25"/>
  <c r="AD31" i="25"/>
  <c r="J31" i="25" s="1"/>
  <c r="AB31" i="25"/>
  <c r="Y31" i="25"/>
  <c r="X31" i="25"/>
  <c r="P31" i="25"/>
  <c r="Q31" i="25" s="1"/>
  <c r="O31" i="25"/>
  <c r="M31" i="25"/>
  <c r="K31" i="25"/>
  <c r="I31" i="25"/>
  <c r="H31" i="25"/>
  <c r="C31" i="25"/>
  <c r="AD30" i="25"/>
  <c r="AB30" i="25"/>
  <c r="Y30" i="25"/>
  <c r="X30" i="25"/>
  <c r="P30" i="25"/>
  <c r="O30" i="25"/>
  <c r="M30" i="25"/>
  <c r="J30" i="25"/>
  <c r="I30" i="25" s="1"/>
  <c r="H30" i="25"/>
  <c r="C30" i="25"/>
  <c r="AB29" i="25"/>
  <c r="AD29" i="25" s="1"/>
  <c r="J29" i="25" s="1"/>
  <c r="Y29" i="25"/>
  <c r="X29" i="25"/>
  <c r="P29" i="25"/>
  <c r="O29" i="25"/>
  <c r="Q29" i="25" s="1"/>
  <c r="M29" i="25"/>
  <c r="H29" i="25"/>
  <c r="C29" i="25"/>
  <c r="AB28" i="25"/>
  <c r="AD28" i="25" s="1"/>
  <c r="J28" i="25" s="1"/>
  <c r="Y28" i="25"/>
  <c r="X28" i="25"/>
  <c r="Q28" i="25"/>
  <c r="P28" i="25"/>
  <c r="O28" i="25"/>
  <c r="M28" i="25"/>
  <c r="H28" i="25"/>
  <c r="C28" i="25"/>
  <c r="AB27" i="25"/>
  <c r="AD27" i="25" s="1"/>
  <c r="J27" i="25" s="1"/>
  <c r="Y27" i="25"/>
  <c r="X27" i="25"/>
  <c r="P27" i="25"/>
  <c r="O27" i="25"/>
  <c r="Q27" i="25" s="1"/>
  <c r="M27" i="25"/>
  <c r="H27" i="25"/>
  <c r="C27" i="25"/>
  <c r="AB26" i="25"/>
  <c r="AD26" i="25" s="1"/>
  <c r="J26" i="25" s="1"/>
  <c r="Y26" i="25"/>
  <c r="X26" i="25"/>
  <c r="P26" i="25"/>
  <c r="Q26" i="25" s="1"/>
  <c r="O26" i="25"/>
  <c r="M26" i="25"/>
  <c r="H26" i="25"/>
  <c r="C26" i="25"/>
  <c r="AD25" i="25"/>
  <c r="J25" i="25" s="1"/>
  <c r="AB25" i="25"/>
  <c r="Y25" i="25"/>
  <c r="X25" i="25"/>
  <c r="P25" i="25"/>
  <c r="O25" i="25"/>
  <c r="Q25" i="25" s="1"/>
  <c r="M25" i="25"/>
  <c r="K25" i="25"/>
  <c r="I25" i="25"/>
  <c r="H25" i="25"/>
  <c r="C25" i="25"/>
  <c r="AB24" i="25"/>
  <c r="AD24" i="25" s="1"/>
  <c r="J24" i="25" s="1"/>
  <c r="Y24" i="25"/>
  <c r="X24" i="25"/>
  <c r="P24" i="25"/>
  <c r="O24" i="25"/>
  <c r="Q24" i="25" s="1"/>
  <c r="M24" i="25"/>
  <c r="H24" i="25"/>
  <c r="C24" i="25"/>
  <c r="AD23" i="25"/>
  <c r="AB23" i="25"/>
  <c r="Y23" i="25"/>
  <c r="X23" i="25"/>
  <c r="P23" i="25"/>
  <c r="O23" i="25"/>
  <c r="Q23" i="25" s="1"/>
  <c r="M23" i="25"/>
  <c r="J23" i="25"/>
  <c r="K23" i="25" s="1"/>
  <c r="I23" i="25"/>
  <c r="H23" i="25"/>
  <c r="C23" i="25"/>
  <c r="AB22" i="25"/>
  <c r="AD22" i="25" s="1"/>
  <c r="J22" i="25" s="1"/>
  <c r="Y22" i="25"/>
  <c r="X22" i="25"/>
  <c r="P22" i="25"/>
  <c r="Q22" i="25" s="1"/>
  <c r="O22" i="25"/>
  <c r="M22" i="25"/>
  <c r="H22" i="25"/>
  <c r="C22" i="25"/>
  <c r="AB21" i="25"/>
  <c r="AD21" i="25" s="1"/>
  <c r="J21" i="25" s="1"/>
  <c r="Y21" i="25"/>
  <c r="X21" i="25"/>
  <c r="P21" i="25"/>
  <c r="O21" i="25"/>
  <c r="Q21" i="25" s="1"/>
  <c r="M21" i="25"/>
  <c r="H21" i="25"/>
  <c r="C21" i="25"/>
  <c r="AD20" i="25"/>
  <c r="J20" i="25" s="1"/>
  <c r="AB20" i="25"/>
  <c r="Y20" i="25"/>
  <c r="X20" i="25"/>
  <c r="Q20" i="25"/>
  <c r="P20" i="25"/>
  <c r="O20" i="25"/>
  <c r="M20" i="25"/>
  <c r="H20" i="25"/>
  <c r="C20" i="25"/>
  <c r="AD19" i="25"/>
  <c r="J19" i="25" s="1"/>
  <c r="AB19" i="25"/>
  <c r="Y19" i="25"/>
  <c r="X19" i="25"/>
  <c r="P19" i="25"/>
  <c r="O19" i="25"/>
  <c r="Q19" i="25" s="1"/>
  <c r="M19" i="25"/>
  <c r="H19" i="25"/>
  <c r="C19" i="25"/>
  <c r="AB18" i="25"/>
  <c r="AD18" i="25" s="1"/>
  <c r="J18" i="25" s="1"/>
  <c r="Y18" i="25"/>
  <c r="X18" i="25"/>
  <c r="P18" i="25"/>
  <c r="O18" i="25"/>
  <c r="Q18" i="25" s="1"/>
  <c r="M18" i="25"/>
  <c r="H18" i="25"/>
  <c r="C18" i="25"/>
  <c r="AB17" i="25"/>
  <c r="AD17" i="25" s="1"/>
  <c r="J17" i="25" s="1"/>
  <c r="Y17" i="25"/>
  <c r="X17" i="25"/>
  <c r="P17" i="25"/>
  <c r="Q17" i="25" s="1"/>
  <c r="O17" i="25"/>
  <c r="M17" i="25"/>
  <c r="H17" i="25"/>
  <c r="C17" i="25"/>
  <c r="AD16" i="25"/>
  <c r="J16" i="25" s="1"/>
  <c r="I16" i="25" s="1"/>
  <c r="AB16" i="25"/>
  <c r="Y16" i="25"/>
  <c r="X16" i="25"/>
  <c r="Q16" i="25"/>
  <c r="P16" i="25"/>
  <c r="O16" i="25"/>
  <c r="M16" i="25"/>
  <c r="K16" i="25"/>
  <c r="H16" i="25"/>
  <c r="C16" i="25"/>
  <c r="AD15" i="25"/>
  <c r="J15" i="25" s="1"/>
  <c r="K15" i="25" s="1"/>
  <c r="AB15" i="25"/>
  <c r="Y15" i="25"/>
  <c r="X15" i="25"/>
  <c r="Q15" i="25"/>
  <c r="P15" i="25"/>
  <c r="O15" i="25"/>
  <c r="M15" i="25"/>
  <c r="I15" i="25"/>
  <c r="H15" i="25"/>
  <c r="C15" i="25"/>
  <c r="AB14" i="25"/>
  <c r="AD14" i="25" s="1"/>
  <c r="J14" i="25" s="1"/>
  <c r="Y14" i="25"/>
  <c r="X14" i="25"/>
  <c r="P14" i="25"/>
  <c r="O14" i="25"/>
  <c r="Q14" i="25" s="1"/>
  <c r="M14" i="25"/>
  <c r="H14" i="25"/>
  <c r="C14" i="25"/>
  <c r="AB13" i="25"/>
  <c r="AD13" i="25" s="1"/>
  <c r="J13" i="25" s="1"/>
  <c r="Y13" i="25"/>
  <c r="X13" i="25"/>
  <c r="P13" i="25"/>
  <c r="O13" i="25"/>
  <c r="Q13" i="25" s="1"/>
  <c r="M13" i="25"/>
  <c r="H13" i="25"/>
  <c r="C13" i="25"/>
  <c r="AD12" i="25"/>
  <c r="J12" i="25" s="1"/>
  <c r="AB12" i="25"/>
  <c r="Y12" i="25"/>
  <c r="X12" i="25"/>
  <c r="Q12" i="25"/>
  <c r="P12" i="25"/>
  <c r="O12" i="25"/>
  <c r="M12" i="25"/>
  <c r="H12" i="25"/>
  <c r="C12" i="25"/>
  <c r="AD11" i="25"/>
  <c r="J11" i="25" s="1"/>
  <c r="AB11" i="25"/>
  <c r="Y11" i="25"/>
  <c r="X11" i="25"/>
  <c r="P11" i="25"/>
  <c r="O11" i="25"/>
  <c r="Q11" i="25" s="1"/>
  <c r="M11" i="25"/>
  <c r="H11" i="25"/>
  <c r="C11" i="25"/>
  <c r="AB10" i="25"/>
  <c r="AD10" i="25" s="1"/>
  <c r="Y10" i="25"/>
  <c r="X10" i="25"/>
  <c r="P10" i="25"/>
  <c r="O10" i="25"/>
  <c r="Q10" i="25" s="1"/>
  <c r="M10" i="25"/>
  <c r="J10" i="25"/>
  <c r="K10" i="25" s="1"/>
  <c r="I10" i="25"/>
  <c r="H10" i="25"/>
  <c r="C10" i="25"/>
  <c r="AB9" i="25"/>
  <c r="AD9" i="25" s="1"/>
  <c r="J9" i="25" s="1"/>
  <c r="Y9" i="25"/>
  <c r="X9" i="25"/>
  <c r="P9" i="25"/>
  <c r="Q9" i="25" s="1"/>
  <c r="O9" i="25"/>
  <c r="M9" i="25"/>
  <c r="H9" i="25"/>
  <c r="C9" i="25"/>
  <c r="AD8" i="25"/>
  <c r="J8" i="25" s="1"/>
  <c r="I8" i="25" s="1"/>
  <c r="AB8" i="25"/>
  <c r="Y8" i="25"/>
  <c r="X8" i="25"/>
  <c r="Q8" i="25"/>
  <c r="P8" i="25"/>
  <c r="O8" i="25"/>
  <c r="M8" i="25"/>
  <c r="K8" i="25"/>
  <c r="H8" i="25"/>
  <c r="C8" i="25"/>
  <c r="AD7" i="25"/>
  <c r="J7" i="25" s="1"/>
  <c r="K7" i="25" s="1"/>
  <c r="AB7" i="25"/>
  <c r="Y7" i="25"/>
  <c r="X7" i="25"/>
  <c r="Q7" i="25"/>
  <c r="P7" i="25"/>
  <c r="O7" i="25"/>
  <c r="M7" i="25"/>
  <c r="I7" i="25"/>
  <c r="H7" i="25"/>
  <c r="C7" i="25"/>
  <c r="AB6" i="25"/>
  <c r="AD6" i="25" s="1"/>
  <c r="J6" i="25" s="1"/>
  <c r="Y6" i="25"/>
  <c r="X6" i="25"/>
  <c r="P6" i="25"/>
  <c r="O6" i="25"/>
  <c r="M6" i="25"/>
  <c r="H6" i="25"/>
  <c r="C6" i="25"/>
  <c r="AB5" i="25"/>
  <c r="AD5" i="25" s="1"/>
  <c r="J5" i="25" s="1"/>
  <c r="Y5" i="25"/>
  <c r="X5" i="25"/>
  <c r="P5" i="25"/>
  <c r="O5" i="25"/>
  <c r="Q5" i="25" s="1"/>
  <c r="M5" i="25"/>
  <c r="H5" i="25"/>
  <c r="C5" i="25"/>
  <c r="AD4" i="25"/>
  <c r="AB4" i="25"/>
  <c r="Y4" i="25"/>
  <c r="X4" i="25"/>
  <c r="Q4" i="25"/>
  <c r="P4" i="25"/>
  <c r="O4" i="25"/>
  <c r="M4" i="25"/>
  <c r="H4" i="25"/>
  <c r="C4" i="25"/>
  <c r="AG3" i="25"/>
  <c r="AF3" i="25"/>
  <c r="W3" i="25"/>
  <c r="V3" i="25"/>
  <c r="U3" i="25"/>
  <c r="T3" i="25"/>
  <c r="O3" i="25"/>
  <c r="G3" i="25"/>
  <c r="F3" i="25"/>
  <c r="H3" i="25" s="1"/>
  <c r="D3" i="25"/>
  <c r="C3" i="25"/>
  <c r="A2" i="25"/>
  <c r="A1" i="25"/>
  <c r="AB32" i="24"/>
  <c r="AD32" i="24" s="1"/>
  <c r="J32" i="24" s="1"/>
  <c r="Y32" i="24"/>
  <c r="X32" i="24"/>
  <c r="V32" i="24"/>
  <c r="U32" i="24"/>
  <c r="T32" i="24"/>
  <c r="P32" i="24"/>
  <c r="Q32" i="24" s="1"/>
  <c r="O32" i="24"/>
  <c r="M32" i="24"/>
  <c r="H32" i="24"/>
  <c r="C32" i="24"/>
  <c r="AD31" i="24"/>
  <c r="J31" i="24" s="1"/>
  <c r="K31" i="24" s="1"/>
  <c r="AB31" i="24"/>
  <c r="Y31" i="24"/>
  <c r="X31" i="24"/>
  <c r="Q31" i="24"/>
  <c r="P31" i="24"/>
  <c r="O31" i="24"/>
  <c r="M31" i="24"/>
  <c r="I31" i="24"/>
  <c r="H31" i="24"/>
  <c r="C31" i="24"/>
  <c r="AB30" i="24"/>
  <c r="AD30" i="24" s="1"/>
  <c r="J30" i="24" s="1"/>
  <c r="Y30" i="24"/>
  <c r="X30" i="24"/>
  <c r="P30" i="24"/>
  <c r="O30" i="24"/>
  <c r="M30" i="24"/>
  <c r="H30" i="24"/>
  <c r="C30" i="24"/>
  <c r="AD29" i="24"/>
  <c r="J29" i="24" s="1"/>
  <c r="AB29" i="24"/>
  <c r="Y29" i="24"/>
  <c r="X29" i="24"/>
  <c r="P29" i="24"/>
  <c r="O29" i="24"/>
  <c r="Q29" i="24" s="1"/>
  <c r="M29" i="24"/>
  <c r="H29" i="24"/>
  <c r="C29" i="24"/>
  <c r="AB28" i="24"/>
  <c r="AD28" i="24" s="1"/>
  <c r="J28" i="24" s="1"/>
  <c r="Y28" i="24"/>
  <c r="X28" i="24"/>
  <c r="Q28" i="24"/>
  <c r="P28" i="24"/>
  <c r="O28" i="24"/>
  <c r="M28" i="24"/>
  <c r="H28" i="24"/>
  <c r="C28" i="24"/>
  <c r="AD27" i="24"/>
  <c r="J27" i="24" s="1"/>
  <c r="AB27" i="24"/>
  <c r="Y27" i="24"/>
  <c r="X27" i="24"/>
  <c r="P27" i="24"/>
  <c r="O27" i="24"/>
  <c r="Q27" i="24" s="1"/>
  <c r="M27" i="24"/>
  <c r="H27" i="24"/>
  <c r="C27" i="24"/>
  <c r="AB26" i="24"/>
  <c r="AD26" i="24" s="1"/>
  <c r="Y26" i="24"/>
  <c r="X26" i="24"/>
  <c r="P26" i="24"/>
  <c r="O26" i="24"/>
  <c r="Q26" i="24" s="1"/>
  <c r="M26" i="24"/>
  <c r="J26" i="24"/>
  <c r="K26" i="24" s="1"/>
  <c r="H26" i="24"/>
  <c r="C26" i="24"/>
  <c r="AB25" i="24"/>
  <c r="AD25" i="24" s="1"/>
  <c r="J25" i="24" s="1"/>
  <c r="Y25" i="24"/>
  <c r="X25" i="24"/>
  <c r="P25" i="24"/>
  <c r="Q25" i="24" s="1"/>
  <c r="O25" i="24"/>
  <c r="M25" i="24"/>
  <c r="H25" i="24"/>
  <c r="C25" i="24"/>
  <c r="AD24" i="24"/>
  <c r="J24" i="24" s="1"/>
  <c r="AB24" i="24"/>
  <c r="Y24" i="24"/>
  <c r="X24" i="24"/>
  <c r="P24" i="24"/>
  <c r="Q24" i="24" s="1"/>
  <c r="O24" i="24"/>
  <c r="M24" i="24"/>
  <c r="H24" i="24"/>
  <c r="C24" i="24"/>
  <c r="AD23" i="24"/>
  <c r="J23" i="24" s="1"/>
  <c r="K23" i="24" s="1"/>
  <c r="AB23" i="24"/>
  <c r="Y23" i="24"/>
  <c r="X23" i="24"/>
  <c r="Q23" i="24"/>
  <c r="P23" i="24"/>
  <c r="O23" i="24"/>
  <c r="M23" i="24"/>
  <c r="I23" i="24"/>
  <c r="H23" i="24"/>
  <c r="C23" i="24"/>
  <c r="AB22" i="24"/>
  <c r="AD22" i="24" s="1"/>
  <c r="J22" i="24" s="1"/>
  <c r="Y22" i="24"/>
  <c r="X22" i="24"/>
  <c r="P22" i="24"/>
  <c r="O22" i="24"/>
  <c r="Q22" i="24" s="1"/>
  <c r="M22" i="24"/>
  <c r="H22" i="24"/>
  <c r="C22" i="24"/>
  <c r="AB21" i="24"/>
  <c r="AD21" i="24" s="1"/>
  <c r="J21" i="24" s="1"/>
  <c r="Y21" i="24"/>
  <c r="X21" i="24"/>
  <c r="P21" i="24"/>
  <c r="O21" i="24"/>
  <c r="Q21" i="24" s="1"/>
  <c r="M21" i="24"/>
  <c r="H21" i="24"/>
  <c r="C21" i="24"/>
  <c r="AB20" i="24"/>
  <c r="AD20" i="24" s="1"/>
  <c r="J20" i="24" s="1"/>
  <c r="Y20" i="24"/>
  <c r="X20" i="24"/>
  <c r="Q20" i="24"/>
  <c r="P20" i="24"/>
  <c r="O20" i="24"/>
  <c r="M20" i="24"/>
  <c r="H20" i="24"/>
  <c r="C20" i="24"/>
  <c r="AD19" i="24"/>
  <c r="J19" i="24" s="1"/>
  <c r="AB19" i="24"/>
  <c r="Y19" i="24"/>
  <c r="X19" i="24"/>
  <c r="P19" i="24"/>
  <c r="O19" i="24"/>
  <c r="Q19" i="24" s="1"/>
  <c r="M19" i="24"/>
  <c r="H19" i="24"/>
  <c r="C19" i="24"/>
  <c r="AB18" i="24"/>
  <c r="AD18" i="24" s="1"/>
  <c r="Y18" i="24"/>
  <c r="X18" i="24"/>
  <c r="P18" i="24"/>
  <c r="O18" i="24"/>
  <c r="Q18" i="24" s="1"/>
  <c r="M18" i="24"/>
  <c r="J18" i="24"/>
  <c r="K18" i="24" s="1"/>
  <c r="H18" i="24"/>
  <c r="C18" i="24"/>
  <c r="AB17" i="24"/>
  <c r="AD17" i="24" s="1"/>
  <c r="J17" i="24" s="1"/>
  <c r="Y17" i="24"/>
  <c r="X17" i="24"/>
  <c r="P17" i="24"/>
  <c r="Q17" i="24" s="1"/>
  <c r="O17" i="24"/>
  <c r="M17" i="24"/>
  <c r="H17" i="24"/>
  <c r="C17" i="24"/>
  <c r="AD16" i="24"/>
  <c r="J16" i="24" s="1"/>
  <c r="I16" i="24" s="1"/>
  <c r="AB16" i="24"/>
  <c r="Y16" i="24"/>
  <c r="X16" i="24"/>
  <c r="P16" i="24"/>
  <c r="Q16" i="24" s="1"/>
  <c r="O16" i="24"/>
  <c r="M16" i="24"/>
  <c r="K16" i="24"/>
  <c r="H16" i="24"/>
  <c r="C16" i="24"/>
  <c r="AD15" i="24"/>
  <c r="J15" i="24" s="1"/>
  <c r="K15" i="24" s="1"/>
  <c r="AB15" i="24"/>
  <c r="Y15" i="24"/>
  <c r="X15" i="24"/>
  <c r="Q15" i="24"/>
  <c r="P15" i="24"/>
  <c r="O15" i="24"/>
  <c r="M15" i="24"/>
  <c r="I15" i="24"/>
  <c r="H15" i="24"/>
  <c r="C15" i="24"/>
  <c r="AB14" i="24"/>
  <c r="AD14" i="24" s="1"/>
  <c r="J14" i="24" s="1"/>
  <c r="Y14" i="24"/>
  <c r="X14" i="24"/>
  <c r="P14" i="24"/>
  <c r="O14" i="24"/>
  <c r="Q14" i="24" s="1"/>
  <c r="M14" i="24"/>
  <c r="H14" i="24"/>
  <c r="C14" i="24"/>
  <c r="AB13" i="24"/>
  <c r="AD13" i="24" s="1"/>
  <c r="J13" i="24" s="1"/>
  <c r="I13" i="24" s="1"/>
  <c r="Y13" i="24"/>
  <c r="X13" i="24"/>
  <c r="P13" i="24"/>
  <c r="O13" i="24"/>
  <c r="Q13" i="24" s="1"/>
  <c r="M13" i="24"/>
  <c r="K13" i="24"/>
  <c r="H13" i="24"/>
  <c r="C13" i="24"/>
  <c r="AB12" i="24"/>
  <c r="AD12" i="24" s="1"/>
  <c r="J12" i="24" s="1"/>
  <c r="Y12" i="24"/>
  <c r="X12" i="24"/>
  <c r="Q12" i="24"/>
  <c r="P12" i="24"/>
  <c r="O12" i="24"/>
  <c r="M12" i="24"/>
  <c r="H12" i="24"/>
  <c r="C12" i="24"/>
  <c r="AD11" i="24"/>
  <c r="J11" i="24" s="1"/>
  <c r="AB11" i="24"/>
  <c r="Y11" i="24"/>
  <c r="X11" i="24"/>
  <c r="P11" i="24"/>
  <c r="O11" i="24"/>
  <c r="Q11" i="24" s="1"/>
  <c r="M11" i="24"/>
  <c r="H11" i="24"/>
  <c r="C11" i="24"/>
  <c r="AB10" i="24"/>
  <c r="AD10" i="24" s="1"/>
  <c r="J10" i="24" s="1"/>
  <c r="Y10" i="24"/>
  <c r="X10" i="24"/>
  <c r="P10" i="24"/>
  <c r="O10" i="24"/>
  <c r="Q10" i="24" s="1"/>
  <c r="M10" i="24"/>
  <c r="H10" i="24"/>
  <c r="C10" i="24"/>
  <c r="AB9" i="24"/>
  <c r="AD9" i="24" s="1"/>
  <c r="J9" i="24" s="1"/>
  <c r="Y9" i="24"/>
  <c r="X9" i="24"/>
  <c r="Q9" i="24"/>
  <c r="P9" i="24"/>
  <c r="O9" i="24"/>
  <c r="M9" i="24"/>
  <c r="H9" i="24"/>
  <c r="C9" i="24"/>
  <c r="AD8" i="24"/>
  <c r="J8" i="24" s="1"/>
  <c r="I8" i="24" s="1"/>
  <c r="AB8" i="24"/>
  <c r="Y8" i="24"/>
  <c r="X8" i="24"/>
  <c r="P8" i="24"/>
  <c r="Q8" i="24" s="1"/>
  <c r="O8" i="24"/>
  <c r="M8" i="24"/>
  <c r="K8" i="24"/>
  <c r="H8" i="24"/>
  <c r="C8" i="24"/>
  <c r="AD7" i="24"/>
  <c r="J7" i="24" s="1"/>
  <c r="K7" i="24" s="1"/>
  <c r="AB7" i="24"/>
  <c r="Y7" i="24"/>
  <c r="X7" i="24"/>
  <c r="Q7" i="24"/>
  <c r="P7" i="24"/>
  <c r="O7" i="24"/>
  <c r="M7" i="24"/>
  <c r="I7" i="24"/>
  <c r="H7" i="24"/>
  <c r="C7" i="24"/>
  <c r="AB6" i="24"/>
  <c r="AD6" i="24" s="1"/>
  <c r="J6" i="24" s="1"/>
  <c r="Y6" i="24"/>
  <c r="X6" i="24"/>
  <c r="P6" i="24"/>
  <c r="O6" i="24"/>
  <c r="Q6" i="24" s="1"/>
  <c r="M6" i="24"/>
  <c r="H6" i="24"/>
  <c r="C6" i="24"/>
  <c r="AB5" i="24"/>
  <c r="AD5" i="24" s="1"/>
  <c r="J5" i="24" s="1"/>
  <c r="Y5" i="24"/>
  <c r="X5" i="24"/>
  <c r="P5" i="24"/>
  <c r="O5" i="24"/>
  <c r="Q5" i="24" s="1"/>
  <c r="M5" i="24"/>
  <c r="H5" i="24"/>
  <c r="C5" i="24"/>
  <c r="AB4" i="24"/>
  <c r="AD4" i="24" s="1"/>
  <c r="Y4" i="24"/>
  <c r="X4" i="24"/>
  <c r="Q4" i="24"/>
  <c r="P4" i="24"/>
  <c r="O4" i="24"/>
  <c r="M4" i="24"/>
  <c r="H4" i="24"/>
  <c r="C4" i="24"/>
  <c r="AG3" i="24"/>
  <c r="AF3" i="24"/>
  <c r="W3" i="24"/>
  <c r="V3" i="24"/>
  <c r="U3" i="24"/>
  <c r="T3" i="24"/>
  <c r="O3" i="24"/>
  <c r="G3" i="24"/>
  <c r="F3" i="24"/>
  <c r="H3" i="24" s="1"/>
  <c r="D3" i="24"/>
  <c r="C3" i="24"/>
  <c r="A2" i="24"/>
  <c r="A1" i="24"/>
  <c r="AB32" i="23"/>
  <c r="AD32" i="23" s="1"/>
  <c r="J32" i="23" s="1"/>
  <c r="Y32" i="23"/>
  <c r="X32" i="23"/>
  <c r="V32" i="23"/>
  <c r="U32" i="23"/>
  <c r="T32" i="23"/>
  <c r="P32" i="23"/>
  <c r="O32" i="23"/>
  <c r="Q32" i="23" s="1"/>
  <c r="M32" i="23"/>
  <c r="H32" i="23"/>
  <c r="C32" i="23"/>
  <c r="AD31" i="23"/>
  <c r="J31" i="23" s="1"/>
  <c r="K31" i="23" s="1"/>
  <c r="AB31" i="23"/>
  <c r="Y31" i="23"/>
  <c r="X31" i="23"/>
  <c r="Q31" i="23"/>
  <c r="P31" i="23"/>
  <c r="O31" i="23"/>
  <c r="M31" i="23"/>
  <c r="I31" i="23"/>
  <c r="H31" i="23"/>
  <c r="C31" i="23"/>
  <c r="AB30" i="23"/>
  <c r="AD30" i="23" s="1"/>
  <c r="J30" i="23" s="1"/>
  <c r="Y30" i="23"/>
  <c r="X30" i="23"/>
  <c r="P30" i="23"/>
  <c r="O30" i="23"/>
  <c r="M30" i="23"/>
  <c r="H30" i="23"/>
  <c r="C30" i="23"/>
  <c r="AD29" i="23"/>
  <c r="AD3" i="23" s="1"/>
  <c r="AB29" i="23"/>
  <c r="Y29" i="23"/>
  <c r="X29" i="23"/>
  <c r="P29" i="23"/>
  <c r="O29" i="23"/>
  <c r="Q29" i="23" s="1"/>
  <c r="M29" i="23"/>
  <c r="H29" i="23"/>
  <c r="C29" i="23"/>
  <c r="AB28" i="23"/>
  <c r="AD28" i="23" s="1"/>
  <c r="J28" i="23" s="1"/>
  <c r="Y28" i="23"/>
  <c r="X28" i="23"/>
  <c r="Q28" i="23"/>
  <c r="P28" i="23"/>
  <c r="O28" i="23"/>
  <c r="M28" i="23"/>
  <c r="H28" i="23"/>
  <c r="C28" i="23"/>
  <c r="AD27" i="23"/>
  <c r="J27" i="23" s="1"/>
  <c r="AB27" i="23"/>
  <c r="Y27" i="23"/>
  <c r="X27" i="23"/>
  <c r="P27" i="23"/>
  <c r="O27" i="23"/>
  <c r="Q27" i="23" s="1"/>
  <c r="M27" i="23"/>
  <c r="H27" i="23"/>
  <c r="C27" i="23"/>
  <c r="AB26" i="23"/>
  <c r="AD26" i="23" s="1"/>
  <c r="Y26" i="23"/>
  <c r="X26" i="23"/>
  <c r="P26" i="23"/>
  <c r="O26" i="23"/>
  <c r="Q26" i="23" s="1"/>
  <c r="M26" i="23"/>
  <c r="J26" i="23"/>
  <c r="K26" i="23" s="1"/>
  <c r="H26" i="23"/>
  <c r="C26" i="23"/>
  <c r="AB25" i="23"/>
  <c r="AD25" i="23" s="1"/>
  <c r="J25" i="23" s="1"/>
  <c r="Y25" i="23"/>
  <c r="X25" i="23"/>
  <c r="P25" i="23"/>
  <c r="Q25" i="23" s="1"/>
  <c r="O25" i="23"/>
  <c r="M25" i="23"/>
  <c r="H25" i="23"/>
  <c r="C25" i="23"/>
  <c r="AD24" i="23"/>
  <c r="J24" i="23" s="1"/>
  <c r="AB24" i="23"/>
  <c r="Y24" i="23"/>
  <c r="X24" i="23"/>
  <c r="P24" i="23"/>
  <c r="O24" i="23"/>
  <c r="Q24" i="23" s="1"/>
  <c r="M24" i="23"/>
  <c r="H24" i="23"/>
  <c r="C24" i="23"/>
  <c r="AD23" i="23"/>
  <c r="J23" i="23" s="1"/>
  <c r="K23" i="23" s="1"/>
  <c r="AB23" i="23"/>
  <c r="Y23" i="23"/>
  <c r="X23" i="23"/>
  <c r="Q23" i="23"/>
  <c r="P23" i="23"/>
  <c r="O23" i="23"/>
  <c r="M23" i="23"/>
  <c r="I23" i="23"/>
  <c r="H23" i="23"/>
  <c r="C23" i="23"/>
  <c r="AB22" i="23"/>
  <c r="AD22" i="23" s="1"/>
  <c r="J22" i="23" s="1"/>
  <c r="Y22" i="23"/>
  <c r="X22" i="23"/>
  <c r="P22" i="23"/>
  <c r="O22" i="23"/>
  <c r="Q22" i="23" s="1"/>
  <c r="M22" i="23"/>
  <c r="H22" i="23"/>
  <c r="C22" i="23"/>
  <c r="AB21" i="23"/>
  <c r="AD21" i="23" s="1"/>
  <c r="J21" i="23" s="1"/>
  <c r="Y21" i="23"/>
  <c r="X21" i="23"/>
  <c r="P21" i="23"/>
  <c r="O21" i="23"/>
  <c r="Q21" i="23" s="1"/>
  <c r="M21" i="23"/>
  <c r="H21" i="23"/>
  <c r="C21" i="23"/>
  <c r="AB20" i="23"/>
  <c r="AD20" i="23" s="1"/>
  <c r="J20" i="23" s="1"/>
  <c r="Y20" i="23"/>
  <c r="X20" i="23"/>
  <c r="Q20" i="23"/>
  <c r="P20" i="23"/>
  <c r="O20" i="23"/>
  <c r="M20" i="23"/>
  <c r="H20" i="23"/>
  <c r="C20" i="23"/>
  <c r="AD19" i="23"/>
  <c r="J19" i="23" s="1"/>
  <c r="AB19" i="23"/>
  <c r="Y19" i="23"/>
  <c r="X19" i="23"/>
  <c r="P19" i="23"/>
  <c r="O19" i="23"/>
  <c r="Q19" i="23" s="1"/>
  <c r="M19" i="23"/>
  <c r="H19" i="23"/>
  <c r="C19" i="23"/>
  <c r="AB18" i="23"/>
  <c r="AD18" i="23" s="1"/>
  <c r="Y18" i="23"/>
  <c r="X18" i="23"/>
  <c r="P18" i="23"/>
  <c r="O18" i="23"/>
  <c r="Q18" i="23" s="1"/>
  <c r="M18" i="23"/>
  <c r="J18" i="23"/>
  <c r="K18" i="23" s="1"/>
  <c r="H18" i="23"/>
  <c r="C18" i="23"/>
  <c r="AB17" i="23"/>
  <c r="AD17" i="23" s="1"/>
  <c r="J17" i="23" s="1"/>
  <c r="Y17" i="23"/>
  <c r="X17" i="23"/>
  <c r="P17" i="23"/>
  <c r="Q17" i="23" s="1"/>
  <c r="O17" i="23"/>
  <c r="M17" i="23"/>
  <c r="H17" i="23"/>
  <c r="C17" i="23"/>
  <c r="AD16" i="23"/>
  <c r="J16" i="23" s="1"/>
  <c r="I16" i="23" s="1"/>
  <c r="AB16" i="23"/>
  <c r="Y16" i="23"/>
  <c r="X16" i="23"/>
  <c r="P16" i="23"/>
  <c r="O16" i="23"/>
  <c r="Q16" i="23" s="1"/>
  <c r="M16" i="23"/>
  <c r="K16" i="23"/>
  <c r="H16" i="23"/>
  <c r="C16" i="23"/>
  <c r="AG3" i="23"/>
  <c r="AF3" i="23"/>
  <c r="X3" i="23"/>
  <c r="W3" i="23"/>
  <c r="V3" i="23"/>
  <c r="U3" i="23"/>
  <c r="T3" i="23"/>
  <c r="O3" i="23"/>
  <c r="H3" i="23"/>
  <c r="G3" i="23"/>
  <c r="F3" i="23"/>
  <c r="D3" i="23"/>
  <c r="C3" i="23"/>
  <c r="A2" i="23"/>
  <c r="A1" i="23"/>
  <c r="AD32" i="22"/>
  <c r="J32" i="22" s="1"/>
  <c r="AB32" i="22"/>
  <c r="Y32" i="22"/>
  <c r="X32" i="22"/>
  <c r="V32" i="22"/>
  <c r="U32" i="22"/>
  <c r="T32" i="22"/>
  <c r="Q32" i="22"/>
  <c r="P32" i="22"/>
  <c r="O32" i="22"/>
  <c r="M32" i="22"/>
  <c r="H32" i="22"/>
  <c r="C32" i="22"/>
  <c r="AD31" i="22"/>
  <c r="J31" i="22" s="1"/>
  <c r="AB31" i="22"/>
  <c r="Y31" i="22"/>
  <c r="X31" i="22"/>
  <c r="P31" i="22"/>
  <c r="O31" i="22"/>
  <c r="Q31" i="22" s="1"/>
  <c r="M31" i="22"/>
  <c r="H31" i="22"/>
  <c r="C31" i="22"/>
  <c r="AB30" i="22"/>
  <c r="AD30" i="22" s="1"/>
  <c r="J30" i="22" s="1"/>
  <c r="K30" i="22" s="1"/>
  <c r="Y30" i="22"/>
  <c r="X30" i="22"/>
  <c r="Q30" i="22"/>
  <c r="P30" i="22"/>
  <c r="O30" i="22"/>
  <c r="M30" i="22"/>
  <c r="H30" i="22"/>
  <c r="C30" i="22"/>
  <c r="AB29" i="22"/>
  <c r="AD29" i="22" s="1"/>
  <c r="J29" i="22" s="1"/>
  <c r="Y29" i="22"/>
  <c r="X29" i="22"/>
  <c r="P29" i="22"/>
  <c r="Q29" i="22" s="1"/>
  <c r="O29" i="22"/>
  <c r="M29" i="22"/>
  <c r="H29" i="22"/>
  <c r="C29" i="22"/>
  <c r="AD28" i="22"/>
  <c r="J28" i="22" s="1"/>
  <c r="I28" i="22" s="1"/>
  <c r="AB28" i="22"/>
  <c r="Y28" i="22"/>
  <c r="X28" i="22"/>
  <c r="P28" i="22"/>
  <c r="Q28" i="22" s="1"/>
  <c r="O28" i="22"/>
  <c r="M28" i="22"/>
  <c r="K28" i="22"/>
  <c r="H28" i="22"/>
  <c r="C28" i="22"/>
  <c r="AD27" i="22"/>
  <c r="J27" i="22" s="1"/>
  <c r="K27" i="22" s="1"/>
  <c r="AB27" i="22"/>
  <c r="Y27" i="22"/>
  <c r="X27" i="22"/>
  <c r="Q27" i="22"/>
  <c r="P27" i="22"/>
  <c r="O27" i="22"/>
  <c r="M27" i="22"/>
  <c r="I27" i="22"/>
  <c r="H27" i="22"/>
  <c r="C27" i="22"/>
  <c r="AD26" i="22"/>
  <c r="J26" i="22" s="1"/>
  <c r="AB26" i="22"/>
  <c r="Y26" i="22"/>
  <c r="X26" i="22"/>
  <c r="P26" i="22"/>
  <c r="O26" i="22"/>
  <c r="Q26" i="22" s="1"/>
  <c r="M26" i="22"/>
  <c r="H26" i="22"/>
  <c r="C26" i="22"/>
  <c r="AB25" i="22"/>
  <c r="AD25" i="22" s="1"/>
  <c r="J25" i="22" s="1"/>
  <c r="I25" i="22" s="1"/>
  <c r="Y25" i="22"/>
  <c r="X25" i="22"/>
  <c r="P25" i="22"/>
  <c r="O25" i="22"/>
  <c r="Q25" i="22" s="1"/>
  <c r="M25" i="22"/>
  <c r="H25" i="22"/>
  <c r="C25" i="22"/>
  <c r="AB24" i="22"/>
  <c r="AD24" i="22" s="1"/>
  <c r="J24" i="22" s="1"/>
  <c r="Y24" i="22"/>
  <c r="X24" i="22"/>
  <c r="Q24" i="22"/>
  <c r="P24" i="22"/>
  <c r="O24" i="22"/>
  <c r="M24" i="22"/>
  <c r="H24" i="22"/>
  <c r="C24" i="22"/>
  <c r="AD23" i="22"/>
  <c r="J23" i="22" s="1"/>
  <c r="AB23" i="22"/>
  <c r="Y23" i="22"/>
  <c r="X23" i="22"/>
  <c r="P23" i="22"/>
  <c r="O23" i="22"/>
  <c r="Q23" i="22" s="1"/>
  <c r="M23" i="22"/>
  <c r="H23" i="22"/>
  <c r="C23" i="22"/>
  <c r="AB22" i="22"/>
  <c r="AD22" i="22" s="1"/>
  <c r="J22" i="22" s="1"/>
  <c r="Y22" i="22"/>
  <c r="X22" i="22"/>
  <c r="Q22" i="22"/>
  <c r="P22" i="22"/>
  <c r="O22" i="22"/>
  <c r="M22" i="22"/>
  <c r="H22" i="22"/>
  <c r="C22" i="22"/>
  <c r="AD21" i="22"/>
  <c r="J21" i="22" s="1"/>
  <c r="AB21" i="22"/>
  <c r="Y21" i="22"/>
  <c r="X21" i="22"/>
  <c r="P21" i="22"/>
  <c r="Q21" i="22" s="1"/>
  <c r="O21" i="22"/>
  <c r="M21" i="22"/>
  <c r="H21" i="22"/>
  <c r="C21" i="22"/>
  <c r="AD20" i="22"/>
  <c r="J20" i="22" s="1"/>
  <c r="I20" i="22" s="1"/>
  <c r="AB20" i="22"/>
  <c r="Y20" i="22"/>
  <c r="X20" i="22"/>
  <c r="P20" i="22"/>
  <c r="Q20" i="22" s="1"/>
  <c r="O20" i="22"/>
  <c r="M20" i="22"/>
  <c r="K20" i="22"/>
  <c r="H20" i="22"/>
  <c r="C20" i="22"/>
  <c r="AD19" i="22"/>
  <c r="J19" i="22" s="1"/>
  <c r="K19" i="22" s="1"/>
  <c r="AB19" i="22"/>
  <c r="Y19" i="22"/>
  <c r="X19" i="22"/>
  <c r="Q19" i="22"/>
  <c r="P19" i="22"/>
  <c r="O19" i="22"/>
  <c r="M19" i="22"/>
  <c r="I19" i="22"/>
  <c r="H19" i="22"/>
  <c r="C19" i="22"/>
  <c r="AD18" i="22"/>
  <c r="J18" i="22" s="1"/>
  <c r="AB18" i="22"/>
  <c r="Y18" i="22"/>
  <c r="X18" i="22"/>
  <c r="P18" i="22"/>
  <c r="O18" i="22"/>
  <c r="Q18" i="22" s="1"/>
  <c r="M18" i="22"/>
  <c r="H18" i="22"/>
  <c r="C18" i="22"/>
  <c r="AB16" i="22"/>
  <c r="AD16" i="22" s="1"/>
  <c r="J16" i="22" s="1"/>
  <c r="I16" i="22" s="1"/>
  <c r="Y16" i="22"/>
  <c r="X16" i="22"/>
  <c r="P16" i="22"/>
  <c r="O16" i="22"/>
  <c r="Q16" i="22" s="1"/>
  <c r="M16" i="22"/>
  <c r="K16" i="22"/>
  <c r="H16" i="22"/>
  <c r="C16" i="22"/>
  <c r="AB15" i="22"/>
  <c r="AD15" i="22" s="1"/>
  <c r="J15" i="22" s="1"/>
  <c r="Y15" i="22"/>
  <c r="X15" i="22"/>
  <c r="Q15" i="22"/>
  <c r="P15" i="22"/>
  <c r="O15" i="22"/>
  <c r="M15" i="22"/>
  <c r="H15" i="22"/>
  <c r="C15" i="22"/>
  <c r="AD14" i="22"/>
  <c r="J14" i="22" s="1"/>
  <c r="AB14" i="22"/>
  <c r="Y14" i="22"/>
  <c r="X14" i="22"/>
  <c r="P14" i="22"/>
  <c r="O14" i="22"/>
  <c r="Q14" i="22" s="1"/>
  <c r="M14" i="22"/>
  <c r="H14" i="22"/>
  <c r="C14" i="22"/>
  <c r="AB13" i="22"/>
  <c r="AD13" i="22" s="1"/>
  <c r="J13" i="22" s="1"/>
  <c r="Y13" i="22"/>
  <c r="X13" i="22"/>
  <c r="Q13" i="22"/>
  <c r="P13" i="22"/>
  <c r="O13" i="22"/>
  <c r="M13" i="22"/>
  <c r="H13" i="22"/>
  <c r="C13" i="22"/>
  <c r="AD12" i="22"/>
  <c r="J12" i="22" s="1"/>
  <c r="AB12" i="22"/>
  <c r="Y12" i="22"/>
  <c r="X12" i="22"/>
  <c r="P12" i="22"/>
  <c r="Q12" i="22" s="1"/>
  <c r="O12" i="22"/>
  <c r="M12" i="22"/>
  <c r="H12" i="22"/>
  <c r="C12" i="22"/>
  <c r="AD11" i="22"/>
  <c r="J11" i="22" s="1"/>
  <c r="I11" i="22" s="1"/>
  <c r="AB11" i="22"/>
  <c r="Y11" i="22"/>
  <c r="X11" i="22"/>
  <c r="P11" i="22"/>
  <c r="Q11" i="22" s="1"/>
  <c r="O11" i="22"/>
  <c r="M11" i="22"/>
  <c r="K11" i="22"/>
  <c r="H11" i="22"/>
  <c r="C11" i="22"/>
  <c r="AD10" i="22"/>
  <c r="J10" i="22" s="1"/>
  <c r="K10" i="22" s="1"/>
  <c r="AB10" i="22"/>
  <c r="Y10" i="22"/>
  <c r="X10" i="22"/>
  <c r="Q10" i="22"/>
  <c r="P10" i="22"/>
  <c r="O10" i="22"/>
  <c r="M10" i="22"/>
  <c r="I10" i="22"/>
  <c r="H10" i="22"/>
  <c r="C10" i="22"/>
  <c r="AD9" i="22"/>
  <c r="J9" i="22" s="1"/>
  <c r="AB9" i="22"/>
  <c r="Y9" i="22"/>
  <c r="X9" i="22"/>
  <c r="P9" i="22"/>
  <c r="O9" i="22"/>
  <c r="Q9" i="22" s="1"/>
  <c r="M9" i="22"/>
  <c r="H9" i="22"/>
  <c r="C9" i="22"/>
  <c r="AB8" i="22"/>
  <c r="AD8" i="22" s="1"/>
  <c r="J8" i="22" s="1"/>
  <c r="I8" i="22" s="1"/>
  <c r="Y8" i="22"/>
  <c r="X8" i="22"/>
  <c r="P8" i="22"/>
  <c r="O8" i="22"/>
  <c r="Q8" i="22" s="1"/>
  <c r="M8" i="22"/>
  <c r="K8" i="22"/>
  <c r="H8" i="22"/>
  <c r="C8" i="22"/>
  <c r="AB7" i="22"/>
  <c r="AD7" i="22" s="1"/>
  <c r="J7" i="22" s="1"/>
  <c r="Y7" i="22"/>
  <c r="X7" i="22"/>
  <c r="Q7" i="22"/>
  <c r="P7" i="22"/>
  <c r="O7" i="22"/>
  <c r="M7" i="22"/>
  <c r="H7" i="22"/>
  <c r="C7" i="22"/>
  <c r="AD6" i="22"/>
  <c r="J6" i="22" s="1"/>
  <c r="AB6" i="22"/>
  <c r="Y6" i="22"/>
  <c r="X6" i="22"/>
  <c r="P6" i="22"/>
  <c r="O6" i="22"/>
  <c r="Q6" i="22" s="1"/>
  <c r="M6" i="22"/>
  <c r="H6" i="22"/>
  <c r="C6" i="22"/>
  <c r="AB5" i="22"/>
  <c r="AD5" i="22" s="1"/>
  <c r="Y5" i="22"/>
  <c r="X5" i="22"/>
  <c r="Q5" i="22"/>
  <c r="P5" i="22"/>
  <c r="O5" i="22"/>
  <c r="M5" i="22"/>
  <c r="H5" i="22"/>
  <c r="C5" i="22"/>
  <c r="AD4" i="22"/>
  <c r="J4" i="22" s="1"/>
  <c r="AB4" i="22"/>
  <c r="Y4" i="22"/>
  <c r="X4" i="22"/>
  <c r="P4" i="22"/>
  <c r="Q4" i="22" s="1"/>
  <c r="O4" i="22"/>
  <c r="M4" i="22"/>
  <c r="H4" i="22"/>
  <c r="C4" i="22"/>
  <c r="AG3" i="22"/>
  <c r="AF3" i="22"/>
  <c r="W3" i="22"/>
  <c r="X3" i="22" s="1"/>
  <c r="V3" i="22"/>
  <c r="U3" i="22"/>
  <c r="T3" i="22"/>
  <c r="O3" i="22"/>
  <c r="G3" i="22"/>
  <c r="H3" i="22" s="1"/>
  <c r="F3" i="22"/>
  <c r="D3" i="22"/>
  <c r="C3" i="22"/>
  <c r="A2" i="22"/>
  <c r="A1" i="22"/>
  <c r="AB32" i="21"/>
  <c r="AD32" i="21" s="1"/>
  <c r="J32" i="21" s="1"/>
  <c r="Y32" i="21"/>
  <c r="X32" i="21"/>
  <c r="V32" i="21"/>
  <c r="U32" i="21"/>
  <c r="T32" i="21"/>
  <c r="P32" i="21"/>
  <c r="O32" i="21"/>
  <c r="Q32" i="21" s="1"/>
  <c r="M32" i="21"/>
  <c r="H32" i="21"/>
  <c r="C32" i="21"/>
  <c r="AB31" i="21"/>
  <c r="AD31" i="21" s="1"/>
  <c r="J31" i="21" s="1"/>
  <c r="Y31" i="21"/>
  <c r="X31" i="21"/>
  <c r="Q31" i="21"/>
  <c r="P31" i="21"/>
  <c r="O31" i="21"/>
  <c r="M31" i="21"/>
  <c r="H31" i="21"/>
  <c r="C31" i="21"/>
  <c r="AD30" i="21"/>
  <c r="J30" i="21" s="1"/>
  <c r="AB30" i="21"/>
  <c r="Y30" i="21"/>
  <c r="X30" i="21"/>
  <c r="P30" i="21"/>
  <c r="O30" i="21"/>
  <c r="Q30" i="21" s="1"/>
  <c r="M30" i="21"/>
  <c r="H30" i="21"/>
  <c r="C30" i="21"/>
  <c r="AB29" i="21"/>
  <c r="AD29" i="21" s="1"/>
  <c r="J29" i="21" s="1"/>
  <c r="Y29" i="21"/>
  <c r="X29" i="21"/>
  <c r="Q29" i="21"/>
  <c r="P29" i="21"/>
  <c r="O29" i="21"/>
  <c r="M29" i="21"/>
  <c r="H29" i="21"/>
  <c r="C29" i="21"/>
  <c r="AB28" i="21"/>
  <c r="AD28" i="21" s="1"/>
  <c r="J28" i="21" s="1"/>
  <c r="Y28" i="21"/>
  <c r="X28" i="21"/>
  <c r="P28" i="21"/>
  <c r="Q28" i="21" s="1"/>
  <c r="O28" i="21"/>
  <c r="M28" i="21"/>
  <c r="H28" i="21"/>
  <c r="C28" i="21"/>
  <c r="AD27" i="21"/>
  <c r="J27" i="21" s="1"/>
  <c r="I27" i="21" s="1"/>
  <c r="AB27" i="21"/>
  <c r="Y27" i="21"/>
  <c r="X27" i="21"/>
  <c r="P27" i="21"/>
  <c r="Q27" i="21" s="1"/>
  <c r="O27" i="21"/>
  <c r="M27" i="21"/>
  <c r="K27" i="21"/>
  <c r="H27" i="21"/>
  <c r="C27" i="21"/>
  <c r="AD26" i="21"/>
  <c r="J26" i="21" s="1"/>
  <c r="K26" i="21" s="1"/>
  <c r="AB26" i="21"/>
  <c r="Y26" i="21"/>
  <c r="X26" i="21"/>
  <c r="Q26" i="21"/>
  <c r="P26" i="21"/>
  <c r="O26" i="21"/>
  <c r="M26" i="21"/>
  <c r="I26" i="21"/>
  <c r="H26" i="21"/>
  <c r="C26" i="21"/>
  <c r="AD25" i="21"/>
  <c r="J25" i="21" s="1"/>
  <c r="AB25" i="21"/>
  <c r="Y25" i="21"/>
  <c r="X25" i="21"/>
  <c r="P25" i="21"/>
  <c r="O25" i="21"/>
  <c r="Q25" i="21" s="1"/>
  <c r="M25" i="21"/>
  <c r="H25" i="21"/>
  <c r="C25" i="21"/>
  <c r="AB24" i="21"/>
  <c r="AD24" i="21" s="1"/>
  <c r="J24" i="21" s="1"/>
  <c r="Y24" i="21"/>
  <c r="X24" i="21"/>
  <c r="P24" i="21"/>
  <c r="O24" i="21"/>
  <c r="Q24" i="21" s="1"/>
  <c r="M24" i="21"/>
  <c r="H24" i="21"/>
  <c r="C24" i="21"/>
  <c r="AB23" i="21"/>
  <c r="AD23" i="21" s="1"/>
  <c r="J23" i="21" s="1"/>
  <c r="Y23" i="21"/>
  <c r="X23" i="21"/>
  <c r="Q23" i="21"/>
  <c r="P23" i="21"/>
  <c r="O23" i="21"/>
  <c r="M23" i="21"/>
  <c r="H23" i="21"/>
  <c r="C23" i="21"/>
  <c r="AD22" i="21"/>
  <c r="J22" i="21" s="1"/>
  <c r="AB22" i="21"/>
  <c r="Y22" i="21"/>
  <c r="X22" i="21"/>
  <c r="P22" i="21"/>
  <c r="O22" i="21"/>
  <c r="Q22" i="21" s="1"/>
  <c r="M22" i="21"/>
  <c r="H22" i="21"/>
  <c r="C22" i="21"/>
  <c r="AB21" i="21"/>
  <c r="AD21" i="21" s="1"/>
  <c r="J21" i="21" s="1"/>
  <c r="K21" i="21" s="1"/>
  <c r="Y21" i="21"/>
  <c r="X21" i="21"/>
  <c r="Q21" i="21"/>
  <c r="P21" i="21"/>
  <c r="O21" i="21"/>
  <c r="M21" i="21"/>
  <c r="I21" i="21"/>
  <c r="H21" i="21"/>
  <c r="C21" i="21"/>
  <c r="AB20" i="21"/>
  <c r="AD20" i="21" s="1"/>
  <c r="J20" i="21" s="1"/>
  <c r="Y20" i="21"/>
  <c r="X20" i="21"/>
  <c r="P20" i="21"/>
  <c r="Q20" i="21" s="1"/>
  <c r="O20" i="21"/>
  <c r="M20" i="21"/>
  <c r="H20" i="21"/>
  <c r="C20" i="21"/>
  <c r="AD19" i="21"/>
  <c r="J19" i="21" s="1"/>
  <c r="I19" i="21" s="1"/>
  <c r="AB19" i="21"/>
  <c r="Y19" i="21"/>
  <c r="X19" i="21"/>
  <c r="P19" i="21"/>
  <c r="Q19" i="21" s="1"/>
  <c r="O19" i="21"/>
  <c r="M19" i="21"/>
  <c r="H19" i="21"/>
  <c r="C19" i="21"/>
  <c r="AD18" i="21"/>
  <c r="J18" i="21" s="1"/>
  <c r="K18" i="21" s="1"/>
  <c r="AB18" i="21"/>
  <c r="Y18" i="21"/>
  <c r="X18" i="21"/>
  <c r="Q18" i="21"/>
  <c r="P18" i="21"/>
  <c r="O18" i="21"/>
  <c r="M18" i="21"/>
  <c r="I18" i="21"/>
  <c r="H18" i="21"/>
  <c r="C18" i="21"/>
  <c r="AD17" i="21"/>
  <c r="J17" i="21" s="1"/>
  <c r="AB17" i="21"/>
  <c r="Y17" i="21"/>
  <c r="X17" i="21"/>
  <c r="P17" i="21"/>
  <c r="O17" i="21"/>
  <c r="Q17" i="21" s="1"/>
  <c r="M17" i="21"/>
  <c r="H17" i="21"/>
  <c r="C17" i="21"/>
  <c r="AB16" i="21"/>
  <c r="AD16" i="21" s="1"/>
  <c r="J16" i="21" s="1"/>
  <c r="I16" i="21" s="1"/>
  <c r="Y16" i="21"/>
  <c r="X16" i="21"/>
  <c r="P16" i="21"/>
  <c r="O16" i="21"/>
  <c r="Q16" i="21" s="1"/>
  <c r="M16" i="21"/>
  <c r="H16" i="21"/>
  <c r="C16" i="21"/>
  <c r="AB15" i="21"/>
  <c r="AD15" i="21" s="1"/>
  <c r="J15" i="21" s="1"/>
  <c r="Y15" i="21"/>
  <c r="X15" i="21"/>
  <c r="Q15" i="21"/>
  <c r="P15" i="21"/>
  <c r="O15" i="21"/>
  <c r="M15" i="21"/>
  <c r="H15" i="21"/>
  <c r="C15" i="21"/>
  <c r="AD14" i="21"/>
  <c r="J14" i="21" s="1"/>
  <c r="AB14" i="21"/>
  <c r="Y14" i="21"/>
  <c r="X14" i="21"/>
  <c r="P14" i="21"/>
  <c r="O14" i="21"/>
  <c r="Q14" i="21" s="1"/>
  <c r="M14" i="21"/>
  <c r="H14" i="21"/>
  <c r="C14" i="21"/>
  <c r="AB13" i="21"/>
  <c r="AD13" i="21" s="1"/>
  <c r="J13" i="21" s="1"/>
  <c r="Y13" i="21"/>
  <c r="X13" i="21"/>
  <c r="Q13" i="21"/>
  <c r="P13" i="21"/>
  <c r="O13" i="21"/>
  <c r="M13" i="21"/>
  <c r="H13" i="21"/>
  <c r="C13" i="21"/>
  <c r="AB12" i="21"/>
  <c r="AD12" i="21" s="1"/>
  <c r="J12" i="21" s="1"/>
  <c r="Y12" i="21"/>
  <c r="X12" i="21"/>
  <c r="P12" i="21"/>
  <c r="Q12" i="21" s="1"/>
  <c r="O12" i="21"/>
  <c r="M12" i="21"/>
  <c r="H12" i="21"/>
  <c r="C12" i="21"/>
  <c r="AD11" i="21"/>
  <c r="J11" i="21" s="1"/>
  <c r="I11" i="21" s="1"/>
  <c r="AB11" i="21"/>
  <c r="Y11" i="21"/>
  <c r="X11" i="21"/>
  <c r="P11" i="21"/>
  <c r="Q11" i="21" s="1"/>
  <c r="O11" i="21"/>
  <c r="M11" i="21"/>
  <c r="H11" i="21"/>
  <c r="C11" i="21"/>
  <c r="AD10" i="21"/>
  <c r="J10" i="21" s="1"/>
  <c r="K10" i="21" s="1"/>
  <c r="AB10" i="21"/>
  <c r="Y10" i="21"/>
  <c r="X10" i="21"/>
  <c r="Q10" i="21"/>
  <c r="P10" i="21"/>
  <c r="O10" i="21"/>
  <c r="M10" i="21"/>
  <c r="I10" i="21"/>
  <c r="H10" i="21"/>
  <c r="C10" i="21"/>
  <c r="AD9" i="21"/>
  <c r="J9" i="21" s="1"/>
  <c r="AB9" i="21"/>
  <c r="Y9" i="21"/>
  <c r="X9" i="21"/>
  <c r="P9" i="21"/>
  <c r="O9" i="21"/>
  <c r="M9" i="21"/>
  <c r="H9" i="21"/>
  <c r="C9" i="21"/>
  <c r="AD8" i="21"/>
  <c r="AB8" i="21"/>
  <c r="Y8" i="21"/>
  <c r="X8" i="21"/>
  <c r="P8" i="21"/>
  <c r="O8" i="21"/>
  <c r="Q8" i="21" s="1"/>
  <c r="M8" i="21"/>
  <c r="K8" i="21"/>
  <c r="J8" i="21"/>
  <c r="I8" i="21" s="1"/>
  <c r="H8" i="21"/>
  <c r="C8" i="21"/>
  <c r="AB7" i="21"/>
  <c r="AD7" i="21" s="1"/>
  <c r="J7" i="21" s="1"/>
  <c r="Y7" i="21"/>
  <c r="X7" i="21"/>
  <c r="Q7" i="21"/>
  <c r="P7" i="21"/>
  <c r="O7" i="21"/>
  <c r="M7" i="21"/>
  <c r="H7" i="21"/>
  <c r="C7" i="21"/>
  <c r="AD6" i="21"/>
  <c r="J6" i="21" s="1"/>
  <c r="AB6" i="21"/>
  <c r="Y6" i="21"/>
  <c r="X6" i="21"/>
  <c r="P6" i="21"/>
  <c r="O6" i="21"/>
  <c r="Q6" i="21" s="1"/>
  <c r="M6" i="21"/>
  <c r="H6" i="21"/>
  <c r="C6" i="21"/>
  <c r="AB5" i="21"/>
  <c r="AD5" i="21" s="1"/>
  <c r="J5" i="21" s="1"/>
  <c r="Y5" i="21"/>
  <c r="X5" i="21"/>
  <c r="Q5" i="21"/>
  <c r="P5" i="21"/>
  <c r="O5" i="21"/>
  <c r="M5" i="21"/>
  <c r="H5" i="21"/>
  <c r="C5" i="21"/>
  <c r="AB4" i="21"/>
  <c r="AD4" i="21" s="1"/>
  <c r="Y4" i="21"/>
  <c r="X4" i="21"/>
  <c r="Q4" i="21"/>
  <c r="P4" i="21"/>
  <c r="O4" i="21"/>
  <c r="M4" i="21"/>
  <c r="H4" i="21"/>
  <c r="C4" i="21"/>
  <c r="AG3" i="21"/>
  <c r="AF3" i="21"/>
  <c r="W3" i="21"/>
  <c r="V3" i="21"/>
  <c r="U3" i="21"/>
  <c r="T3" i="21"/>
  <c r="O3" i="21"/>
  <c r="G3" i="21"/>
  <c r="H3" i="21" s="1"/>
  <c r="F3" i="21"/>
  <c r="D3" i="21"/>
  <c r="C3" i="21"/>
  <c r="A2" i="21"/>
  <c r="A1" i="21"/>
  <c r="AB32" i="20"/>
  <c r="AD32" i="20" s="1"/>
  <c r="J32" i="20" s="1"/>
  <c r="I32" i="20" s="1"/>
  <c r="Y32" i="20"/>
  <c r="X32" i="20"/>
  <c r="V32" i="20"/>
  <c r="U32" i="20"/>
  <c r="T32" i="20"/>
  <c r="P32" i="20"/>
  <c r="O32" i="20"/>
  <c r="Q32" i="20" s="1"/>
  <c r="M32" i="20"/>
  <c r="K32" i="20"/>
  <c r="H32" i="20"/>
  <c r="C32" i="20"/>
  <c r="AB31" i="20"/>
  <c r="AD31" i="20" s="1"/>
  <c r="J31" i="20" s="1"/>
  <c r="Y31" i="20"/>
  <c r="X31" i="20"/>
  <c r="Q31" i="20"/>
  <c r="P31" i="20"/>
  <c r="O31" i="20"/>
  <c r="M31" i="20"/>
  <c r="H31" i="20"/>
  <c r="C31" i="20"/>
  <c r="AD30" i="20"/>
  <c r="J30" i="20" s="1"/>
  <c r="AB30" i="20"/>
  <c r="Y30" i="20"/>
  <c r="X30" i="20"/>
  <c r="P30" i="20"/>
  <c r="O30" i="20"/>
  <c r="Q30" i="20" s="1"/>
  <c r="M30" i="20"/>
  <c r="H30" i="20"/>
  <c r="C30" i="20"/>
  <c r="AB29" i="20"/>
  <c r="AD29" i="20" s="1"/>
  <c r="J29" i="20" s="1"/>
  <c r="Y29" i="20"/>
  <c r="X29" i="20"/>
  <c r="Q29" i="20"/>
  <c r="P29" i="20"/>
  <c r="O29" i="20"/>
  <c r="M29" i="20"/>
  <c r="H29" i="20"/>
  <c r="C29" i="20"/>
  <c r="AB28" i="20"/>
  <c r="AD28" i="20" s="1"/>
  <c r="J28" i="20" s="1"/>
  <c r="Y28" i="20"/>
  <c r="X28" i="20"/>
  <c r="P28" i="20"/>
  <c r="Q28" i="20" s="1"/>
  <c r="O28" i="20"/>
  <c r="M28" i="20"/>
  <c r="H28" i="20"/>
  <c r="C28" i="20"/>
  <c r="AD27" i="20"/>
  <c r="J27" i="20" s="1"/>
  <c r="I27" i="20" s="1"/>
  <c r="AB27" i="20"/>
  <c r="Y27" i="20"/>
  <c r="X27" i="20"/>
  <c r="P27" i="20"/>
  <c r="Q27" i="20" s="1"/>
  <c r="O27" i="20"/>
  <c r="M27" i="20"/>
  <c r="H27" i="20"/>
  <c r="C27" i="20"/>
  <c r="AD26" i="20"/>
  <c r="J26" i="20" s="1"/>
  <c r="K26" i="20" s="1"/>
  <c r="AB26" i="20"/>
  <c r="Y26" i="20"/>
  <c r="X26" i="20"/>
  <c r="Q26" i="20"/>
  <c r="P26" i="20"/>
  <c r="O26" i="20"/>
  <c r="M26" i="20"/>
  <c r="I26" i="20"/>
  <c r="H26" i="20"/>
  <c r="C26" i="20"/>
  <c r="AD25" i="20"/>
  <c r="J25" i="20" s="1"/>
  <c r="AB25" i="20"/>
  <c r="Y25" i="20"/>
  <c r="X25" i="20"/>
  <c r="P25" i="20"/>
  <c r="O25" i="20"/>
  <c r="M25" i="20"/>
  <c r="H25" i="20"/>
  <c r="C25" i="20"/>
  <c r="AD24" i="20"/>
  <c r="AB24" i="20"/>
  <c r="Y24" i="20"/>
  <c r="X24" i="20"/>
  <c r="P24" i="20"/>
  <c r="O24" i="20"/>
  <c r="Q24" i="20" s="1"/>
  <c r="M24" i="20"/>
  <c r="K24" i="20"/>
  <c r="J24" i="20"/>
  <c r="I24" i="20" s="1"/>
  <c r="H24" i="20"/>
  <c r="C24" i="20"/>
  <c r="AB23" i="20"/>
  <c r="AD23" i="20" s="1"/>
  <c r="J23" i="20" s="1"/>
  <c r="Y23" i="20"/>
  <c r="X23" i="20"/>
  <c r="Q23" i="20"/>
  <c r="P23" i="20"/>
  <c r="O23" i="20"/>
  <c r="M23" i="20"/>
  <c r="H23" i="20"/>
  <c r="C23" i="20"/>
  <c r="AD22" i="20"/>
  <c r="J22" i="20" s="1"/>
  <c r="AB22" i="20"/>
  <c r="Y22" i="20"/>
  <c r="X22" i="20"/>
  <c r="P22" i="20"/>
  <c r="O22" i="20"/>
  <c r="Q22" i="20" s="1"/>
  <c r="M22" i="20"/>
  <c r="H22" i="20"/>
  <c r="C22" i="20"/>
  <c r="AB21" i="20"/>
  <c r="AD21" i="20" s="1"/>
  <c r="J21" i="20" s="1"/>
  <c r="Y21" i="20"/>
  <c r="X21" i="20"/>
  <c r="Q21" i="20"/>
  <c r="P21" i="20"/>
  <c r="O21" i="20"/>
  <c r="M21" i="20"/>
  <c r="H21" i="20"/>
  <c r="C21" i="20"/>
  <c r="AB20" i="20"/>
  <c r="AD20" i="20" s="1"/>
  <c r="J20" i="20" s="1"/>
  <c r="Y20" i="20"/>
  <c r="X20" i="20"/>
  <c r="Q20" i="20"/>
  <c r="P20" i="20"/>
  <c r="O20" i="20"/>
  <c r="M20" i="20"/>
  <c r="H20" i="20"/>
  <c r="C20" i="20"/>
  <c r="AD19" i="20"/>
  <c r="J19" i="20" s="1"/>
  <c r="I19" i="20" s="1"/>
  <c r="AB19" i="20"/>
  <c r="Y19" i="20"/>
  <c r="X19" i="20"/>
  <c r="P19" i="20"/>
  <c r="Q19" i="20" s="1"/>
  <c r="O19" i="20"/>
  <c r="M19" i="20"/>
  <c r="K19" i="20"/>
  <c r="H19" i="20"/>
  <c r="C19" i="20"/>
  <c r="AD18" i="20"/>
  <c r="J18" i="20" s="1"/>
  <c r="K18" i="20" s="1"/>
  <c r="AB18" i="20"/>
  <c r="Y18" i="20"/>
  <c r="X18" i="20"/>
  <c r="Q18" i="20"/>
  <c r="P18" i="20"/>
  <c r="O18" i="20"/>
  <c r="M18" i="20"/>
  <c r="I18" i="20"/>
  <c r="H18" i="20"/>
  <c r="C18" i="20"/>
  <c r="AD17" i="20"/>
  <c r="J17" i="20" s="1"/>
  <c r="AB17" i="20"/>
  <c r="Y17" i="20"/>
  <c r="X17" i="20"/>
  <c r="P17" i="20"/>
  <c r="O17" i="20"/>
  <c r="Q17" i="20" s="1"/>
  <c r="M17" i="20"/>
  <c r="H17" i="20"/>
  <c r="C17" i="20"/>
  <c r="AB16" i="20"/>
  <c r="AD16" i="20" s="1"/>
  <c r="J16" i="20" s="1"/>
  <c r="Y16" i="20"/>
  <c r="X16" i="20"/>
  <c r="P16" i="20"/>
  <c r="O16" i="20"/>
  <c r="Q16" i="20" s="1"/>
  <c r="M16" i="20"/>
  <c r="H16" i="20"/>
  <c r="C16" i="20"/>
  <c r="AB15" i="20"/>
  <c r="AD15" i="20" s="1"/>
  <c r="J15" i="20" s="1"/>
  <c r="Y15" i="20"/>
  <c r="X15" i="20"/>
  <c r="Q15" i="20"/>
  <c r="P15" i="20"/>
  <c r="O15" i="20"/>
  <c r="M15" i="20"/>
  <c r="H15" i="20"/>
  <c r="C15" i="20"/>
  <c r="AD14" i="20"/>
  <c r="J14" i="20" s="1"/>
  <c r="AB14" i="20"/>
  <c r="Y14" i="20"/>
  <c r="X14" i="20"/>
  <c r="P14" i="20"/>
  <c r="O14" i="20"/>
  <c r="Q14" i="20" s="1"/>
  <c r="M14" i="20"/>
  <c r="H14" i="20"/>
  <c r="C14" i="20"/>
  <c r="AB13" i="20"/>
  <c r="AD13" i="20" s="1"/>
  <c r="Y13" i="20"/>
  <c r="X13" i="20"/>
  <c r="Q13" i="20"/>
  <c r="P13" i="20"/>
  <c r="O13" i="20"/>
  <c r="M13" i="20"/>
  <c r="J13" i="20"/>
  <c r="K13" i="20" s="1"/>
  <c r="H13" i="20"/>
  <c r="C13" i="20"/>
  <c r="AB12" i="20"/>
  <c r="AD12" i="20" s="1"/>
  <c r="J12" i="20" s="1"/>
  <c r="Y12" i="20"/>
  <c r="X12" i="20"/>
  <c r="P12" i="20"/>
  <c r="Q12" i="20" s="1"/>
  <c r="O12" i="20"/>
  <c r="M12" i="20"/>
  <c r="H12" i="20"/>
  <c r="C12" i="20"/>
  <c r="AD11" i="20"/>
  <c r="J11" i="20" s="1"/>
  <c r="I11" i="20" s="1"/>
  <c r="AB11" i="20"/>
  <c r="Y11" i="20"/>
  <c r="X11" i="20"/>
  <c r="P11" i="20"/>
  <c r="O11" i="20"/>
  <c r="Q11" i="20" s="1"/>
  <c r="M11" i="20"/>
  <c r="H11" i="20"/>
  <c r="C11" i="20"/>
  <c r="AD10" i="20"/>
  <c r="J10" i="20" s="1"/>
  <c r="K10" i="20" s="1"/>
  <c r="AB10" i="20"/>
  <c r="Y10" i="20"/>
  <c r="X10" i="20"/>
  <c r="Q10" i="20"/>
  <c r="P10" i="20"/>
  <c r="O10" i="20"/>
  <c r="M10" i="20"/>
  <c r="I10" i="20"/>
  <c r="H10" i="20"/>
  <c r="C10" i="20"/>
  <c r="AD9" i="20"/>
  <c r="J9" i="20" s="1"/>
  <c r="AB9" i="20"/>
  <c r="Y9" i="20"/>
  <c r="X9" i="20"/>
  <c r="P9" i="20"/>
  <c r="O9" i="20"/>
  <c r="Q9" i="20" s="1"/>
  <c r="M9" i="20"/>
  <c r="H9" i="20"/>
  <c r="C9" i="20"/>
  <c r="AB8" i="20"/>
  <c r="AD8" i="20" s="1"/>
  <c r="J8" i="20" s="1"/>
  <c r="Y8" i="20"/>
  <c r="X8" i="20"/>
  <c r="P8" i="20"/>
  <c r="O8" i="20"/>
  <c r="Q8" i="20" s="1"/>
  <c r="M8" i="20"/>
  <c r="H8" i="20"/>
  <c r="C8" i="20"/>
  <c r="AB7" i="20"/>
  <c r="AD7" i="20" s="1"/>
  <c r="J7" i="20" s="1"/>
  <c r="Y7" i="20"/>
  <c r="X7" i="20"/>
  <c r="Q7" i="20"/>
  <c r="P7" i="20"/>
  <c r="O7" i="20"/>
  <c r="M7" i="20"/>
  <c r="H7" i="20"/>
  <c r="C7" i="20"/>
  <c r="AD6" i="20"/>
  <c r="AB6" i="20"/>
  <c r="Y6" i="20"/>
  <c r="X6" i="20"/>
  <c r="P6" i="20"/>
  <c r="O6" i="20"/>
  <c r="Q6" i="20" s="1"/>
  <c r="M6" i="20"/>
  <c r="J6" i="20"/>
  <c r="K6" i="20" s="1"/>
  <c r="H6" i="20"/>
  <c r="C6" i="20"/>
  <c r="AB5" i="20"/>
  <c r="AD5" i="20" s="1"/>
  <c r="Y5" i="20"/>
  <c r="X5" i="20"/>
  <c r="Q5" i="20"/>
  <c r="P5" i="20"/>
  <c r="O5" i="20"/>
  <c r="M5" i="20"/>
  <c r="J5" i="20"/>
  <c r="K5" i="20" s="1"/>
  <c r="H5" i="20"/>
  <c r="C5" i="20"/>
  <c r="AB4" i="20"/>
  <c r="AD4" i="20" s="1"/>
  <c r="Y4" i="20"/>
  <c r="X4" i="20"/>
  <c r="P4" i="20"/>
  <c r="Q4" i="20" s="1"/>
  <c r="O4" i="20"/>
  <c r="M4" i="20"/>
  <c r="H4" i="20"/>
  <c r="C4" i="20"/>
  <c r="AG3" i="20"/>
  <c r="AF3" i="20"/>
  <c r="W3" i="20"/>
  <c r="X3" i="20" s="1"/>
  <c r="V3" i="20"/>
  <c r="U3" i="20"/>
  <c r="T3" i="20"/>
  <c r="O3" i="20"/>
  <c r="G3" i="20"/>
  <c r="H3" i="20" s="1"/>
  <c r="F3" i="20"/>
  <c r="D3" i="20"/>
  <c r="C3" i="20"/>
  <c r="A2" i="20"/>
  <c r="A1" i="20"/>
  <c r="AB32" i="19"/>
  <c r="AD32" i="19" s="1"/>
  <c r="Y32" i="19"/>
  <c r="X32" i="19"/>
  <c r="V32" i="19"/>
  <c r="U32" i="19"/>
  <c r="T32" i="19"/>
  <c r="P32" i="19"/>
  <c r="O32" i="19"/>
  <c r="Q32" i="19" s="1"/>
  <c r="M32" i="19"/>
  <c r="J32" i="19"/>
  <c r="I32" i="19" s="1"/>
  <c r="H32" i="19"/>
  <c r="C32" i="19"/>
  <c r="AB31" i="19"/>
  <c r="AD31" i="19" s="1"/>
  <c r="J31" i="19" s="1"/>
  <c r="Y31" i="19"/>
  <c r="X31" i="19"/>
  <c r="Q31" i="19"/>
  <c r="P31" i="19"/>
  <c r="O31" i="19"/>
  <c r="M31" i="19"/>
  <c r="H31" i="19"/>
  <c r="C31" i="19"/>
  <c r="AB30" i="19"/>
  <c r="AD30" i="19" s="1"/>
  <c r="J30" i="19" s="1"/>
  <c r="Y30" i="19"/>
  <c r="X30" i="19"/>
  <c r="P30" i="19"/>
  <c r="O30" i="19"/>
  <c r="Q30" i="19" s="1"/>
  <c r="M30" i="19"/>
  <c r="H30" i="19"/>
  <c r="C30" i="19"/>
  <c r="AB29" i="19"/>
  <c r="AD29" i="19" s="1"/>
  <c r="Y29" i="19"/>
  <c r="X29" i="19"/>
  <c r="Q29" i="19"/>
  <c r="P29" i="19"/>
  <c r="O29" i="19"/>
  <c r="M29" i="19"/>
  <c r="J29" i="19"/>
  <c r="K29" i="19" s="1"/>
  <c r="H29" i="19"/>
  <c r="C29" i="19"/>
  <c r="AB28" i="19"/>
  <c r="AD28" i="19" s="1"/>
  <c r="J28" i="19" s="1"/>
  <c r="Y28" i="19"/>
  <c r="X28" i="19"/>
  <c r="P28" i="19"/>
  <c r="Q28" i="19" s="1"/>
  <c r="O28" i="19"/>
  <c r="M28" i="19"/>
  <c r="H28" i="19"/>
  <c r="C28" i="19"/>
  <c r="AD27" i="19"/>
  <c r="J27" i="19" s="1"/>
  <c r="I27" i="19" s="1"/>
  <c r="AB27" i="19"/>
  <c r="Y27" i="19"/>
  <c r="X27" i="19"/>
  <c r="P27" i="19"/>
  <c r="O27" i="19"/>
  <c r="Q27" i="19" s="1"/>
  <c r="M27" i="19"/>
  <c r="H27" i="19"/>
  <c r="C27" i="19"/>
  <c r="AD26" i="19"/>
  <c r="J26" i="19" s="1"/>
  <c r="K26" i="19" s="1"/>
  <c r="AB26" i="19"/>
  <c r="Y26" i="19"/>
  <c r="X26" i="19"/>
  <c r="P26" i="19"/>
  <c r="Q26" i="19" s="1"/>
  <c r="O26" i="19"/>
  <c r="M26" i="19"/>
  <c r="H26" i="19"/>
  <c r="C26" i="19"/>
  <c r="AD25" i="19"/>
  <c r="J25" i="19" s="1"/>
  <c r="AB25" i="19"/>
  <c r="Y25" i="19"/>
  <c r="X25" i="19"/>
  <c r="P25" i="19"/>
  <c r="O25" i="19"/>
  <c r="M25" i="19"/>
  <c r="H25" i="19"/>
  <c r="C25" i="19"/>
  <c r="AB24" i="19"/>
  <c r="AD24" i="19" s="1"/>
  <c r="J24" i="19" s="1"/>
  <c r="Y24" i="19"/>
  <c r="X24" i="19"/>
  <c r="P24" i="19"/>
  <c r="O24" i="19"/>
  <c r="Q24" i="19" s="1"/>
  <c r="M24" i="19"/>
  <c r="H24" i="19"/>
  <c r="C24" i="19"/>
  <c r="AB23" i="19"/>
  <c r="AD23" i="19" s="1"/>
  <c r="J23" i="19" s="1"/>
  <c r="Y23" i="19"/>
  <c r="X23" i="19"/>
  <c r="Q23" i="19"/>
  <c r="P23" i="19"/>
  <c r="O23" i="19"/>
  <c r="M23" i="19"/>
  <c r="H23" i="19"/>
  <c r="C23" i="19"/>
  <c r="AB22" i="19"/>
  <c r="AD22" i="19" s="1"/>
  <c r="J22" i="19" s="1"/>
  <c r="Y22" i="19"/>
  <c r="X22" i="19"/>
  <c r="P22" i="19"/>
  <c r="O22" i="19"/>
  <c r="Q22" i="19" s="1"/>
  <c r="M22" i="19"/>
  <c r="H22" i="19"/>
  <c r="C22" i="19"/>
  <c r="AB21" i="19"/>
  <c r="AD21" i="19" s="1"/>
  <c r="Y21" i="19"/>
  <c r="X21" i="19"/>
  <c r="Q21" i="19"/>
  <c r="P21" i="19"/>
  <c r="O21" i="19"/>
  <c r="M21" i="19"/>
  <c r="J21" i="19"/>
  <c r="H21" i="19"/>
  <c r="C21" i="19"/>
  <c r="AB20" i="19"/>
  <c r="AD20" i="19" s="1"/>
  <c r="J20" i="19" s="1"/>
  <c r="Y20" i="19"/>
  <c r="X20" i="19"/>
  <c r="Q20" i="19"/>
  <c r="P20" i="19"/>
  <c r="O20" i="19"/>
  <c r="M20" i="19"/>
  <c r="H20" i="19"/>
  <c r="C20" i="19"/>
  <c r="AD19" i="19"/>
  <c r="J19" i="19" s="1"/>
  <c r="I19" i="19" s="1"/>
  <c r="AB19" i="19"/>
  <c r="Y19" i="19"/>
  <c r="X19" i="19"/>
  <c r="P19" i="19"/>
  <c r="O19" i="19"/>
  <c r="Q19" i="19" s="1"/>
  <c r="M19" i="19"/>
  <c r="H19" i="19"/>
  <c r="C19" i="19"/>
  <c r="AD18" i="19"/>
  <c r="J18" i="19" s="1"/>
  <c r="AB18" i="19"/>
  <c r="Y18" i="19"/>
  <c r="X18" i="19"/>
  <c r="P18" i="19"/>
  <c r="Q18" i="19" s="1"/>
  <c r="O18" i="19"/>
  <c r="M18" i="19"/>
  <c r="H18" i="19"/>
  <c r="C18" i="19"/>
  <c r="AD17" i="19"/>
  <c r="J17" i="19" s="1"/>
  <c r="AB17" i="19"/>
  <c r="Y17" i="19"/>
  <c r="X17" i="19"/>
  <c r="P17" i="19"/>
  <c r="O17" i="19"/>
  <c r="Q17" i="19" s="1"/>
  <c r="M17" i="19"/>
  <c r="H17" i="19"/>
  <c r="C17" i="19"/>
  <c r="AB16" i="19"/>
  <c r="AD16" i="19" s="1"/>
  <c r="Y16" i="19"/>
  <c r="X16" i="19"/>
  <c r="P16" i="19"/>
  <c r="O16" i="19"/>
  <c r="Q16" i="19" s="1"/>
  <c r="M16" i="19"/>
  <c r="H16" i="19"/>
  <c r="C16" i="19"/>
  <c r="AG3" i="19"/>
  <c r="AF3" i="19"/>
  <c r="W3" i="19"/>
  <c r="X3" i="19" s="1"/>
  <c r="V3" i="19"/>
  <c r="U3" i="19"/>
  <c r="T3" i="19"/>
  <c r="O3" i="19"/>
  <c r="H3" i="19"/>
  <c r="G3" i="19"/>
  <c r="F3" i="19"/>
  <c r="D3" i="19"/>
  <c r="C3" i="19"/>
  <c r="A2" i="19"/>
  <c r="A1" i="19"/>
  <c r="AB32" i="18"/>
  <c r="AD32" i="18" s="1"/>
  <c r="J32" i="18" s="1"/>
  <c r="Y32" i="18"/>
  <c r="X32" i="18"/>
  <c r="V32" i="18"/>
  <c r="U32" i="18"/>
  <c r="T32" i="18"/>
  <c r="P32" i="18"/>
  <c r="Q32" i="18" s="1"/>
  <c r="O32" i="18"/>
  <c r="M32" i="18"/>
  <c r="H32" i="18"/>
  <c r="C32" i="18"/>
  <c r="AD31" i="18"/>
  <c r="J31" i="18" s="1"/>
  <c r="I31" i="18" s="1"/>
  <c r="AB31" i="18"/>
  <c r="Y31" i="18"/>
  <c r="X31" i="18"/>
  <c r="P31" i="18"/>
  <c r="Q31" i="18" s="1"/>
  <c r="O31" i="18"/>
  <c r="M31" i="18"/>
  <c r="H31" i="18"/>
  <c r="C31" i="18"/>
  <c r="AD30" i="18"/>
  <c r="J30" i="18" s="1"/>
  <c r="K30" i="18" s="1"/>
  <c r="AB30" i="18"/>
  <c r="Y30" i="18"/>
  <c r="X30" i="18"/>
  <c r="Q30" i="18"/>
  <c r="P30" i="18"/>
  <c r="O30" i="18"/>
  <c r="M30" i="18"/>
  <c r="I30" i="18"/>
  <c r="H30" i="18"/>
  <c r="C30" i="18"/>
  <c r="AD29" i="18"/>
  <c r="J29" i="18" s="1"/>
  <c r="AB29" i="18"/>
  <c r="Y29" i="18"/>
  <c r="X29" i="18"/>
  <c r="P29" i="18"/>
  <c r="O29" i="18"/>
  <c r="Q29" i="18" s="1"/>
  <c r="M29" i="18"/>
  <c r="H29" i="18"/>
  <c r="C29" i="18"/>
  <c r="AB28" i="18"/>
  <c r="AD28" i="18" s="1"/>
  <c r="J28" i="18" s="1"/>
  <c r="I28" i="18" s="1"/>
  <c r="Y28" i="18"/>
  <c r="X28" i="18"/>
  <c r="P28" i="18"/>
  <c r="O28" i="18"/>
  <c r="Q28" i="18" s="1"/>
  <c r="M28" i="18"/>
  <c r="H28" i="18"/>
  <c r="C28" i="18"/>
  <c r="AB27" i="18"/>
  <c r="AD27" i="18" s="1"/>
  <c r="J27" i="18" s="1"/>
  <c r="Y27" i="18"/>
  <c r="X27" i="18"/>
  <c r="Q27" i="18"/>
  <c r="P27" i="18"/>
  <c r="O27" i="18"/>
  <c r="M27" i="18"/>
  <c r="H27" i="18"/>
  <c r="C27" i="18"/>
  <c r="AB26" i="18"/>
  <c r="AD26" i="18" s="1"/>
  <c r="J26" i="18" s="1"/>
  <c r="Y26" i="18"/>
  <c r="X26" i="18"/>
  <c r="P26" i="18"/>
  <c r="O26" i="18"/>
  <c r="Q26" i="18" s="1"/>
  <c r="M26" i="18"/>
  <c r="H26" i="18"/>
  <c r="C26" i="18"/>
  <c r="AB25" i="18"/>
  <c r="AD25" i="18" s="1"/>
  <c r="J25" i="18" s="1"/>
  <c r="Y25" i="18"/>
  <c r="X25" i="18"/>
  <c r="Q25" i="18"/>
  <c r="P25" i="18"/>
  <c r="O25" i="18"/>
  <c r="M25" i="18"/>
  <c r="H25" i="18"/>
  <c r="C25" i="18"/>
  <c r="AB24" i="18"/>
  <c r="AD24" i="18" s="1"/>
  <c r="J24" i="18" s="1"/>
  <c r="Y24" i="18"/>
  <c r="X24" i="18"/>
  <c r="Q24" i="18"/>
  <c r="P24" i="18"/>
  <c r="O24" i="18"/>
  <c r="M24" i="18"/>
  <c r="H24" i="18"/>
  <c r="C24" i="18"/>
  <c r="AD23" i="18"/>
  <c r="J23" i="18" s="1"/>
  <c r="I23" i="18" s="1"/>
  <c r="AB23" i="18"/>
  <c r="Y23" i="18"/>
  <c r="X23" i="18"/>
  <c r="P23" i="18"/>
  <c r="Q23" i="18" s="1"/>
  <c r="O23" i="18"/>
  <c r="M23" i="18"/>
  <c r="K23" i="18"/>
  <c r="H23" i="18"/>
  <c r="C23" i="18"/>
  <c r="AD22" i="18"/>
  <c r="J22" i="18" s="1"/>
  <c r="K22" i="18" s="1"/>
  <c r="AB22" i="18"/>
  <c r="Y22" i="18"/>
  <c r="X22" i="18"/>
  <c r="P22" i="18"/>
  <c r="Q22" i="18" s="1"/>
  <c r="O22" i="18"/>
  <c r="M22" i="18"/>
  <c r="H22" i="18"/>
  <c r="C22" i="18"/>
  <c r="AD21" i="18"/>
  <c r="J21" i="18" s="1"/>
  <c r="AB21" i="18"/>
  <c r="Y21" i="18"/>
  <c r="X21" i="18"/>
  <c r="P21" i="18"/>
  <c r="O21" i="18"/>
  <c r="Q21" i="18" s="1"/>
  <c r="M21" i="18"/>
  <c r="H21" i="18"/>
  <c r="C21" i="18"/>
  <c r="AB20" i="18"/>
  <c r="AD20" i="18" s="1"/>
  <c r="J20" i="18" s="1"/>
  <c r="Y20" i="18"/>
  <c r="X20" i="18"/>
  <c r="P20" i="18"/>
  <c r="O20" i="18"/>
  <c r="Q20" i="18" s="1"/>
  <c r="M20" i="18"/>
  <c r="H20" i="18"/>
  <c r="C20" i="18"/>
  <c r="AB19" i="18"/>
  <c r="AD19" i="18" s="1"/>
  <c r="J19" i="18" s="1"/>
  <c r="Y19" i="18"/>
  <c r="X19" i="18"/>
  <c r="Q19" i="18"/>
  <c r="P19" i="18"/>
  <c r="O19" i="18"/>
  <c r="M19" i="18"/>
  <c r="H19" i="18"/>
  <c r="C19" i="18"/>
  <c r="AB18" i="18"/>
  <c r="AD18" i="18" s="1"/>
  <c r="J18" i="18" s="1"/>
  <c r="Y18" i="18"/>
  <c r="X18" i="18"/>
  <c r="P18" i="18"/>
  <c r="O18" i="18"/>
  <c r="Q18" i="18" s="1"/>
  <c r="M18" i="18"/>
  <c r="H18" i="18"/>
  <c r="C18" i="18"/>
  <c r="AB17" i="18"/>
  <c r="AD17" i="18" s="1"/>
  <c r="J17" i="18" s="1"/>
  <c r="Y17" i="18"/>
  <c r="X17" i="18"/>
  <c r="Q17" i="18"/>
  <c r="P17" i="18"/>
  <c r="O17" i="18"/>
  <c r="M17" i="18"/>
  <c r="H17" i="18"/>
  <c r="C17" i="18"/>
  <c r="AD16" i="18"/>
  <c r="J16" i="18" s="1"/>
  <c r="AB16" i="18"/>
  <c r="Y16" i="18"/>
  <c r="X16" i="18"/>
  <c r="P16" i="18"/>
  <c r="Q16" i="18" s="1"/>
  <c r="O16" i="18"/>
  <c r="M16" i="18"/>
  <c r="H16" i="18"/>
  <c r="C16" i="18"/>
  <c r="AD15" i="18"/>
  <c r="J15" i="18" s="1"/>
  <c r="AB15" i="18"/>
  <c r="Y15" i="18"/>
  <c r="X15" i="18"/>
  <c r="P15" i="18"/>
  <c r="Q15" i="18" s="1"/>
  <c r="O15" i="18"/>
  <c r="M15" i="18"/>
  <c r="H15" i="18"/>
  <c r="C15" i="18"/>
  <c r="AD14" i="18"/>
  <c r="J14" i="18" s="1"/>
  <c r="K14" i="18" s="1"/>
  <c r="AB14" i="18"/>
  <c r="Y14" i="18"/>
  <c r="X14" i="18"/>
  <c r="P14" i="18"/>
  <c r="Q14" i="18" s="1"/>
  <c r="O14" i="18"/>
  <c r="M14" i="18"/>
  <c r="I14" i="18"/>
  <c r="H14" i="18"/>
  <c r="C14" i="18"/>
  <c r="AB13" i="18"/>
  <c r="AD13" i="18" s="1"/>
  <c r="J13" i="18" s="1"/>
  <c r="Y13" i="18"/>
  <c r="X13" i="18"/>
  <c r="P13" i="18"/>
  <c r="O13" i="18"/>
  <c r="Q13" i="18" s="1"/>
  <c r="M13" i="18"/>
  <c r="H13" i="18"/>
  <c r="C13" i="18"/>
  <c r="AD12" i="18"/>
  <c r="AB12" i="18"/>
  <c r="Y12" i="18"/>
  <c r="X12" i="18"/>
  <c r="P12" i="18"/>
  <c r="O12" i="18"/>
  <c r="Q12" i="18" s="1"/>
  <c r="M12" i="18"/>
  <c r="J12" i="18"/>
  <c r="I12" i="18" s="1"/>
  <c r="H12" i="18"/>
  <c r="C12" i="18"/>
  <c r="AB11" i="18"/>
  <c r="AD11" i="18" s="1"/>
  <c r="J11" i="18" s="1"/>
  <c r="Y11" i="18"/>
  <c r="X11" i="18"/>
  <c r="Q11" i="18"/>
  <c r="P11" i="18"/>
  <c r="O11" i="18"/>
  <c r="M11" i="18"/>
  <c r="H11" i="18"/>
  <c r="C11" i="18"/>
  <c r="AB10" i="18"/>
  <c r="AD10" i="18" s="1"/>
  <c r="J10" i="18" s="1"/>
  <c r="Y10" i="18"/>
  <c r="X10" i="18"/>
  <c r="P10" i="18"/>
  <c r="O10" i="18"/>
  <c r="Q10" i="18" s="1"/>
  <c r="M10" i="18"/>
  <c r="H10" i="18"/>
  <c r="C10" i="18"/>
  <c r="AB9" i="18"/>
  <c r="AD9" i="18" s="1"/>
  <c r="J9" i="18" s="1"/>
  <c r="Y9" i="18"/>
  <c r="X9" i="18"/>
  <c r="P9" i="18"/>
  <c r="Q9" i="18" s="1"/>
  <c r="O9" i="18"/>
  <c r="M9" i="18"/>
  <c r="H9" i="18"/>
  <c r="C9" i="18"/>
  <c r="AD8" i="18"/>
  <c r="J8" i="18" s="1"/>
  <c r="AB8" i="18"/>
  <c r="Y8" i="18"/>
  <c r="X8" i="18"/>
  <c r="P8" i="18"/>
  <c r="Q8" i="18" s="1"/>
  <c r="O8" i="18"/>
  <c r="M8" i="18"/>
  <c r="H8" i="18"/>
  <c r="C8" i="18"/>
  <c r="AD7" i="18"/>
  <c r="J7" i="18" s="1"/>
  <c r="I7" i="18" s="1"/>
  <c r="AB7" i="18"/>
  <c r="Y7" i="18"/>
  <c r="X7" i="18"/>
  <c r="P7" i="18"/>
  <c r="O7" i="18"/>
  <c r="Q7" i="18" s="1"/>
  <c r="M7" i="18"/>
  <c r="H7" i="18"/>
  <c r="C7" i="18"/>
  <c r="AD6" i="18"/>
  <c r="J6" i="18" s="1"/>
  <c r="K6" i="18" s="1"/>
  <c r="AB6" i="18"/>
  <c r="Y6" i="18"/>
  <c r="X6" i="18"/>
  <c r="P6" i="18"/>
  <c r="O6" i="18"/>
  <c r="Q6" i="18" s="1"/>
  <c r="M6" i="18"/>
  <c r="H6" i="18"/>
  <c r="C6" i="18"/>
  <c r="AB5" i="18"/>
  <c r="AD5" i="18" s="1"/>
  <c r="J5" i="18" s="1"/>
  <c r="Y5" i="18"/>
  <c r="X5" i="18"/>
  <c r="P5" i="18"/>
  <c r="O5" i="18"/>
  <c r="Q5" i="18" s="1"/>
  <c r="M5" i="18"/>
  <c r="H5" i="18"/>
  <c r="C5" i="18"/>
  <c r="AB4" i="18"/>
  <c r="AD4" i="18" s="1"/>
  <c r="Y4" i="18"/>
  <c r="X4" i="18"/>
  <c r="P4" i="18"/>
  <c r="O4" i="18"/>
  <c r="Q4" i="18" s="1"/>
  <c r="M4" i="18"/>
  <c r="H4" i="18"/>
  <c r="C4" i="18"/>
  <c r="AG3" i="18"/>
  <c r="AF3" i="18"/>
  <c r="W3" i="18"/>
  <c r="X3" i="18" s="1"/>
  <c r="V3" i="18"/>
  <c r="U3" i="18"/>
  <c r="T3" i="18"/>
  <c r="O3" i="18"/>
  <c r="H3" i="18"/>
  <c r="G3" i="18"/>
  <c r="F3" i="18"/>
  <c r="D3" i="18"/>
  <c r="C3" i="18"/>
  <c r="A2" i="18"/>
  <c r="A1" i="18"/>
  <c r="AD32" i="17"/>
  <c r="J32" i="17" s="1"/>
  <c r="K32" i="17" s="1"/>
  <c r="AB32" i="17"/>
  <c r="Y32" i="17"/>
  <c r="X32" i="17"/>
  <c r="V32" i="17"/>
  <c r="U32" i="17"/>
  <c r="T32" i="17"/>
  <c r="Q32" i="17"/>
  <c r="P32" i="17"/>
  <c r="O32" i="17"/>
  <c r="M32" i="17"/>
  <c r="I32" i="17"/>
  <c r="H32" i="17"/>
  <c r="C32" i="17"/>
  <c r="AD31" i="17"/>
  <c r="J31" i="17" s="1"/>
  <c r="I31" i="17" s="1"/>
  <c r="AB31" i="17"/>
  <c r="Y31" i="17"/>
  <c r="X31" i="17"/>
  <c r="P31" i="17"/>
  <c r="Q31" i="17" s="1"/>
  <c r="O31" i="17"/>
  <c r="M31" i="17"/>
  <c r="H31" i="17"/>
  <c r="C31" i="17"/>
  <c r="AD30" i="17"/>
  <c r="J30" i="17" s="1"/>
  <c r="AB30" i="17"/>
  <c r="Y30" i="17"/>
  <c r="X30" i="17"/>
  <c r="P30" i="17"/>
  <c r="O30" i="17"/>
  <c r="Q30" i="17" s="1"/>
  <c r="M30" i="17"/>
  <c r="K30" i="17"/>
  <c r="I30" i="17"/>
  <c r="H30" i="17"/>
  <c r="C30" i="17"/>
  <c r="AB29" i="17"/>
  <c r="AD29" i="17" s="1"/>
  <c r="J29" i="17" s="1"/>
  <c r="Y29" i="17"/>
  <c r="X29" i="17"/>
  <c r="P29" i="17"/>
  <c r="O29" i="17"/>
  <c r="Q29" i="17" s="1"/>
  <c r="M29" i="17"/>
  <c r="H29" i="17"/>
  <c r="C29" i="17"/>
  <c r="AD28" i="17"/>
  <c r="J28" i="17" s="1"/>
  <c r="AB28" i="17"/>
  <c r="Y28" i="17"/>
  <c r="X28" i="17"/>
  <c r="P28" i="17"/>
  <c r="O28" i="17"/>
  <c r="Q28" i="17" s="1"/>
  <c r="M28" i="17"/>
  <c r="H28" i="17"/>
  <c r="C28" i="17"/>
  <c r="AB27" i="17"/>
  <c r="AD27" i="17" s="1"/>
  <c r="J27" i="17" s="1"/>
  <c r="Y27" i="17"/>
  <c r="X27" i="17"/>
  <c r="Q27" i="17"/>
  <c r="P27" i="17"/>
  <c r="O27" i="17"/>
  <c r="M27" i="17"/>
  <c r="H27" i="17"/>
  <c r="C27" i="17"/>
  <c r="AB26" i="17"/>
  <c r="AD26" i="17" s="1"/>
  <c r="Y26" i="17"/>
  <c r="X26" i="17"/>
  <c r="Q26" i="17"/>
  <c r="P26" i="17"/>
  <c r="O26" i="17"/>
  <c r="M26" i="17"/>
  <c r="J26" i="17"/>
  <c r="K26" i="17" s="1"/>
  <c r="H26" i="17"/>
  <c r="C26" i="17"/>
  <c r="AB25" i="17"/>
  <c r="AD25" i="17" s="1"/>
  <c r="J25" i="17" s="1"/>
  <c r="K25" i="17" s="1"/>
  <c r="Y25" i="17"/>
  <c r="X25" i="17"/>
  <c r="P25" i="17"/>
  <c r="Q25" i="17" s="1"/>
  <c r="O25" i="17"/>
  <c r="M25" i="17"/>
  <c r="H25" i="17"/>
  <c r="C25" i="17"/>
  <c r="AB24" i="17"/>
  <c r="AD24" i="17" s="1"/>
  <c r="J24" i="17" s="1"/>
  <c r="Y24" i="17"/>
  <c r="X24" i="17"/>
  <c r="P24" i="17"/>
  <c r="O24" i="17"/>
  <c r="M24" i="17"/>
  <c r="H24" i="17"/>
  <c r="C24" i="17"/>
  <c r="AB23" i="17"/>
  <c r="AD23" i="17" s="1"/>
  <c r="J23" i="17" s="1"/>
  <c r="Y23" i="17"/>
  <c r="X23" i="17"/>
  <c r="P23" i="17"/>
  <c r="O23" i="17"/>
  <c r="Q23" i="17" s="1"/>
  <c r="M23" i="17"/>
  <c r="H23" i="17"/>
  <c r="C23" i="17"/>
  <c r="AB22" i="17"/>
  <c r="AD22" i="17" s="1"/>
  <c r="J22" i="17" s="1"/>
  <c r="Y22" i="17"/>
  <c r="X22" i="17"/>
  <c r="Q22" i="17"/>
  <c r="P22" i="17"/>
  <c r="O22" i="17"/>
  <c r="M22" i="17"/>
  <c r="H22" i="17"/>
  <c r="C22" i="17"/>
  <c r="AB21" i="17"/>
  <c r="AD21" i="17" s="1"/>
  <c r="J21" i="17" s="1"/>
  <c r="Y21" i="17"/>
  <c r="X21" i="17"/>
  <c r="P21" i="17"/>
  <c r="O21" i="17"/>
  <c r="Q21" i="17" s="1"/>
  <c r="M21" i="17"/>
  <c r="H21" i="17"/>
  <c r="C21" i="17"/>
  <c r="AB20" i="17"/>
  <c r="AD20" i="17" s="1"/>
  <c r="Y20" i="17"/>
  <c r="X20" i="17"/>
  <c r="P20" i="17"/>
  <c r="Q20" i="17" s="1"/>
  <c r="O20" i="17"/>
  <c r="M20" i="17"/>
  <c r="J20" i="17"/>
  <c r="K20" i="17" s="1"/>
  <c r="H20" i="17"/>
  <c r="C20" i="17"/>
  <c r="AD19" i="17"/>
  <c r="J19" i="17" s="1"/>
  <c r="AB19" i="17"/>
  <c r="Y19" i="17"/>
  <c r="X19" i="17"/>
  <c r="Q19" i="17"/>
  <c r="P19" i="17"/>
  <c r="O19" i="17"/>
  <c r="M19" i="17"/>
  <c r="H19" i="17"/>
  <c r="C19" i="17"/>
  <c r="AD18" i="17"/>
  <c r="J18" i="17" s="1"/>
  <c r="I18" i="17" s="1"/>
  <c r="AB18" i="17"/>
  <c r="Y18" i="17"/>
  <c r="X18" i="17"/>
  <c r="P18" i="17"/>
  <c r="O18" i="17"/>
  <c r="Q18" i="17" s="1"/>
  <c r="M18" i="17"/>
  <c r="H18" i="17"/>
  <c r="C18" i="17"/>
  <c r="AB17" i="17"/>
  <c r="AD17" i="17" s="1"/>
  <c r="J17" i="17" s="1"/>
  <c r="K17" i="17" s="1"/>
  <c r="Y17" i="17"/>
  <c r="X17" i="17"/>
  <c r="P17" i="17"/>
  <c r="O17" i="17"/>
  <c r="Q17" i="17" s="1"/>
  <c r="M17" i="17"/>
  <c r="H17" i="17"/>
  <c r="C17" i="17"/>
  <c r="AB16" i="17"/>
  <c r="AD16" i="17" s="1"/>
  <c r="J16" i="17" s="1"/>
  <c r="Y16" i="17"/>
  <c r="X16" i="17"/>
  <c r="P16" i="17"/>
  <c r="O16" i="17"/>
  <c r="M16" i="17"/>
  <c r="H16" i="17"/>
  <c r="C16" i="17"/>
  <c r="AD15" i="17"/>
  <c r="J15" i="17" s="1"/>
  <c r="AB15" i="17"/>
  <c r="Y15" i="17"/>
  <c r="X15" i="17"/>
  <c r="Q15" i="17"/>
  <c r="P15" i="17"/>
  <c r="O15" i="17"/>
  <c r="M15" i="17"/>
  <c r="H15" i="17"/>
  <c r="C15" i="17"/>
  <c r="AB14" i="17"/>
  <c r="AD14" i="17" s="1"/>
  <c r="J14" i="17" s="1"/>
  <c r="Y14" i="17"/>
  <c r="X14" i="17"/>
  <c r="Q14" i="17"/>
  <c r="P14" i="17"/>
  <c r="O14" i="17"/>
  <c r="M14" i="17"/>
  <c r="H14" i="17"/>
  <c r="C14" i="17"/>
  <c r="AB13" i="17"/>
  <c r="AD13" i="17" s="1"/>
  <c r="J13" i="17" s="1"/>
  <c r="Y13" i="17"/>
  <c r="X13" i="17"/>
  <c r="P13" i="17"/>
  <c r="O13" i="17"/>
  <c r="Q13" i="17" s="1"/>
  <c r="M13" i="17"/>
  <c r="H13" i="17"/>
  <c r="C13" i="17"/>
  <c r="AB12" i="17"/>
  <c r="AD12" i="17" s="1"/>
  <c r="Y12" i="17"/>
  <c r="X12" i="17"/>
  <c r="P12" i="17"/>
  <c r="Q12" i="17" s="1"/>
  <c r="O12" i="17"/>
  <c r="M12" i="17"/>
  <c r="J12" i="17"/>
  <c r="K12" i="17" s="1"/>
  <c r="H12" i="17"/>
  <c r="C12" i="17"/>
  <c r="AD11" i="17"/>
  <c r="J11" i="17" s="1"/>
  <c r="AB11" i="17"/>
  <c r="Y11" i="17"/>
  <c r="X11" i="17"/>
  <c r="Q11" i="17"/>
  <c r="P11" i="17"/>
  <c r="O11" i="17"/>
  <c r="M11" i="17"/>
  <c r="H11" i="17"/>
  <c r="C11" i="17"/>
  <c r="AD10" i="17"/>
  <c r="J10" i="17" s="1"/>
  <c r="I10" i="17" s="1"/>
  <c r="AB10" i="17"/>
  <c r="Y10" i="17"/>
  <c r="X10" i="17"/>
  <c r="P10" i="17"/>
  <c r="O10" i="17"/>
  <c r="Q10" i="17" s="1"/>
  <c r="M10" i="17"/>
  <c r="K10" i="17"/>
  <c r="H10" i="17"/>
  <c r="C10" i="17"/>
  <c r="AB9" i="17"/>
  <c r="AD9" i="17" s="1"/>
  <c r="J9" i="17" s="1"/>
  <c r="K9" i="17" s="1"/>
  <c r="Y9" i="17"/>
  <c r="X9" i="17"/>
  <c r="P9" i="17"/>
  <c r="O9" i="17"/>
  <c r="Q9" i="17" s="1"/>
  <c r="M9" i="17"/>
  <c r="H9" i="17"/>
  <c r="C9" i="17"/>
  <c r="AB8" i="17"/>
  <c r="AD8" i="17" s="1"/>
  <c r="J8" i="17" s="1"/>
  <c r="Y8" i="17"/>
  <c r="X8" i="17"/>
  <c r="P8" i="17"/>
  <c r="O8" i="17"/>
  <c r="M8" i="17"/>
  <c r="H8" i="17"/>
  <c r="C8" i="17"/>
  <c r="AB7" i="17"/>
  <c r="AD7" i="17" s="1"/>
  <c r="J7" i="17" s="1"/>
  <c r="Y7" i="17"/>
  <c r="X7" i="17"/>
  <c r="Q7" i="17"/>
  <c r="P7" i="17"/>
  <c r="O7" i="17"/>
  <c r="M7" i="17"/>
  <c r="H7" i="17"/>
  <c r="C7" i="17"/>
  <c r="AB6" i="17"/>
  <c r="AD6" i="17" s="1"/>
  <c r="J6" i="17" s="1"/>
  <c r="Y6" i="17"/>
  <c r="X6" i="17"/>
  <c r="Q6" i="17"/>
  <c r="P6" i="17"/>
  <c r="O6" i="17"/>
  <c r="M6" i="17"/>
  <c r="H6" i="17"/>
  <c r="C6" i="17"/>
  <c r="AB5" i="17"/>
  <c r="AD5" i="17" s="1"/>
  <c r="J5" i="17" s="1"/>
  <c r="Y5" i="17"/>
  <c r="X5" i="17"/>
  <c r="P5" i="17"/>
  <c r="O5" i="17"/>
  <c r="Q5" i="17" s="1"/>
  <c r="M5" i="17"/>
  <c r="H5" i="17"/>
  <c r="C5" i="17"/>
  <c r="AB4" i="17"/>
  <c r="AD4" i="17" s="1"/>
  <c r="Y4" i="17"/>
  <c r="X4" i="17"/>
  <c r="P4" i="17"/>
  <c r="Q4" i="17" s="1"/>
  <c r="O4" i="17"/>
  <c r="M4" i="17"/>
  <c r="J4" i="17"/>
  <c r="H4" i="17"/>
  <c r="C4" i="17"/>
  <c r="AG3" i="17"/>
  <c r="AF3" i="17"/>
  <c r="W3" i="17"/>
  <c r="X3" i="17" s="1"/>
  <c r="V3" i="17"/>
  <c r="U3" i="17"/>
  <c r="T3" i="17"/>
  <c r="O3" i="17"/>
  <c r="G3" i="17"/>
  <c r="H3" i="17" s="1"/>
  <c r="F3" i="17"/>
  <c r="D3" i="17"/>
  <c r="C3" i="17"/>
  <c r="A2" i="17"/>
  <c r="A1" i="17"/>
  <c r="AB32" i="16"/>
  <c r="AD32" i="16" s="1"/>
  <c r="J32" i="16" s="1"/>
  <c r="Y32" i="16"/>
  <c r="X32" i="16"/>
  <c r="V32" i="16"/>
  <c r="U32" i="16"/>
  <c r="T32" i="16"/>
  <c r="P32" i="16"/>
  <c r="O32" i="16"/>
  <c r="M32" i="16"/>
  <c r="H32" i="16"/>
  <c r="C32" i="16"/>
  <c r="AD31" i="16"/>
  <c r="J31" i="16" s="1"/>
  <c r="AB31" i="16"/>
  <c r="Y31" i="16"/>
  <c r="X31" i="16"/>
  <c r="Q31" i="16"/>
  <c r="P31" i="16"/>
  <c r="O31" i="16"/>
  <c r="M31" i="16"/>
  <c r="H31" i="16"/>
  <c r="C31" i="16"/>
  <c r="AB30" i="16"/>
  <c r="AD30" i="16" s="1"/>
  <c r="J30" i="16" s="1"/>
  <c r="Y30" i="16"/>
  <c r="X30" i="16"/>
  <c r="Q30" i="16"/>
  <c r="P30" i="16"/>
  <c r="O30" i="16"/>
  <c r="M30" i="16"/>
  <c r="H30" i="16"/>
  <c r="C30" i="16"/>
  <c r="AB29" i="16"/>
  <c r="AD29" i="16" s="1"/>
  <c r="J29" i="16" s="1"/>
  <c r="Y29" i="16"/>
  <c r="X29" i="16"/>
  <c r="P29" i="16"/>
  <c r="O29" i="16"/>
  <c r="Q29" i="16" s="1"/>
  <c r="M29" i="16"/>
  <c r="H29" i="16"/>
  <c r="C29" i="16"/>
  <c r="AB28" i="16"/>
  <c r="AD28" i="16" s="1"/>
  <c r="Y28" i="16"/>
  <c r="X28" i="16"/>
  <c r="P28" i="16"/>
  <c r="Q28" i="16" s="1"/>
  <c r="O28" i="16"/>
  <c r="M28" i="16"/>
  <c r="J28" i="16"/>
  <c r="K28" i="16" s="1"/>
  <c r="H28" i="16"/>
  <c r="C28" i="16"/>
  <c r="AD27" i="16"/>
  <c r="J27" i="16" s="1"/>
  <c r="AB27" i="16"/>
  <c r="Y27" i="16"/>
  <c r="X27" i="16"/>
  <c r="Q27" i="16"/>
  <c r="P27" i="16"/>
  <c r="O27" i="16"/>
  <c r="M27" i="16"/>
  <c r="H27" i="16"/>
  <c r="C27" i="16"/>
  <c r="AD26" i="16"/>
  <c r="J26" i="16" s="1"/>
  <c r="I26" i="16" s="1"/>
  <c r="AB26" i="16"/>
  <c r="Y26" i="16"/>
  <c r="X26" i="16"/>
  <c r="P26" i="16"/>
  <c r="O26" i="16"/>
  <c r="Q26" i="16" s="1"/>
  <c r="M26" i="16"/>
  <c r="K26" i="16"/>
  <c r="H26" i="16"/>
  <c r="C26" i="16"/>
  <c r="AB25" i="16"/>
  <c r="AD25" i="16" s="1"/>
  <c r="J25" i="16" s="1"/>
  <c r="K25" i="16" s="1"/>
  <c r="Y25" i="16"/>
  <c r="X25" i="16"/>
  <c r="P25" i="16"/>
  <c r="O25" i="16"/>
  <c r="Q25" i="16" s="1"/>
  <c r="M25" i="16"/>
  <c r="H25" i="16"/>
  <c r="C25" i="16"/>
  <c r="AB24" i="16"/>
  <c r="AD24" i="16" s="1"/>
  <c r="J24" i="16" s="1"/>
  <c r="Y24" i="16"/>
  <c r="X24" i="16"/>
  <c r="P24" i="16"/>
  <c r="O24" i="16"/>
  <c r="Q24" i="16" s="1"/>
  <c r="M24" i="16"/>
  <c r="H24" i="16"/>
  <c r="C24" i="16"/>
  <c r="AD23" i="16"/>
  <c r="J23" i="16" s="1"/>
  <c r="AB23" i="16"/>
  <c r="Y23" i="16"/>
  <c r="X23" i="16"/>
  <c r="Q23" i="16"/>
  <c r="P23" i="16"/>
  <c r="O23" i="16"/>
  <c r="M23" i="16"/>
  <c r="H23" i="16"/>
  <c r="C23" i="16"/>
  <c r="AB22" i="16"/>
  <c r="AD22" i="16" s="1"/>
  <c r="J22" i="16" s="1"/>
  <c r="Y22" i="16"/>
  <c r="X22" i="16"/>
  <c r="Q22" i="16"/>
  <c r="P22" i="16"/>
  <c r="O22" i="16"/>
  <c r="M22" i="16"/>
  <c r="H22" i="16"/>
  <c r="C22" i="16"/>
  <c r="AB21" i="16"/>
  <c r="AD21" i="16" s="1"/>
  <c r="J21" i="16" s="1"/>
  <c r="Y21" i="16"/>
  <c r="X21" i="16"/>
  <c r="P21" i="16"/>
  <c r="O21" i="16"/>
  <c r="Q21" i="16" s="1"/>
  <c r="M21" i="16"/>
  <c r="H21" i="16"/>
  <c r="C21" i="16"/>
  <c r="AB20" i="16"/>
  <c r="AD20" i="16" s="1"/>
  <c r="J20" i="16" s="1"/>
  <c r="Y20" i="16"/>
  <c r="X20" i="16"/>
  <c r="P20" i="16"/>
  <c r="Q20" i="16" s="1"/>
  <c r="O20" i="16"/>
  <c r="M20" i="16"/>
  <c r="H20" i="16"/>
  <c r="C20" i="16"/>
  <c r="AD19" i="16"/>
  <c r="J19" i="16" s="1"/>
  <c r="AB19" i="16"/>
  <c r="Y19" i="16"/>
  <c r="X19" i="16"/>
  <c r="P19" i="16"/>
  <c r="Q19" i="16" s="1"/>
  <c r="O19" i="16"/>
  <c r="M19" i="16"/>
  <c r="H19" i="16"/>
  <c r="C19" i="16"/>
  <c r="AD18" i="16"/>
  <c r="J18" i="16" s="1"/>
  <c r="I18" i="16" s="1"/>
  <c r="AB18" i="16"/>
  <c r="Y18" i="16"/>
  <c r="X18" i="16"/>
  <c r="P18" i="16"/>
  <c r="O18" i="16"/>
  <c r="Q18" i="16" s="1"/>
  <c r="M18" i="16"/>
  <c r="K18" i="16"/>
  <c r="H18" i="16"/>
  <c r="C18" i="16"/>
  <c r="AB17" i="16"/>
  <c r="AD17" i="16" s="1"/>
  <c r="J17" i="16" s="1"/>
  <c r="K17" i="16" s="1"/>
  <c r="Y17" i="16"/>
  <c r="X17" i="16"/>
  <c r="P17" i="16"/>
  <c r="O17" i="16"/>
  <c r="Q17" i="16" s="1"/>
  <c r="M17" i="16"/>
  <c r="I17" i="16"/>
  <c r="H17" i="16"/>
  <c r="C17" i="16"/>
  <c r="AB16" i="16"/>
  <c r="AD16" i="16" s="1"/>
  <c r="J16" i="16" s="1"/>
  <c r="Y16" i="16"/>
  <c r="X16" i="16"/>
  <c r="P16" i="16"/>
  <c r="O16" i="16"/>
  <c r="M16" i="16"/>
  <c r="H16" i="16"/>
  <c r="C16" i="16"/>
  <c r="AD15" i="16"/>
  <c r="J15" i="16" s="1"/>
  <c r="AB15" i="16"/>
  <c r="Y15" i="16"/>
  <c r="X15" i="16"/>
  <c r="Q15" i="16"/>
  <c r="P15" i="16"/>
  <c r="O15" i="16"/>
  <c r="M15" i="16"/>
  <c r="H15" i="16"/>
  <c r="C15" i="16"/>
  <c r="AB14" i="16"/>
  <c r="AD14" i="16" s="1"/>
  <c r="J14" i="16" s="1"/>
  <c r="Y14" i="16"/>
  <c r="X14" i="16"/>
  <c r="Q14" i="16"/>
  <c r="P14" i="16"/>
  <c r="O14" i="16"/>
  <c r="M14" i="16"/>
  <c r="H14" i="16"/>
  <c r="C14" i="16"/>
  <c r="AB13" i="16"/>
  <c r="AD13" i="16" s="1"/>
  <c r="J13" i="16" s="1"/>
  <c r="Y13" i="16"/>
  <c r="X13" i="16"/>
  <c r="P13" i="16"/>
  <c r="O13" i="16"/>
  <c r="Q13" i="16" s="1"/>
  <c r="M13" i="16"/>
  <c r="H13" i="16"/>
  <c r="C13" i="16"/>
  <c r="AB12" i="16"/>
  <c r="AD12" i="16" s="1"/>
  <c r="Y12" i="16"/>
  <c r="X12" i="16"/>
  <c r="P12" i="16"/>
  <c r="Q12" i="16" s="1"/>
  <c r="O12" i="16"/>
  <c r="M12" i="16"/>
  <c r="J12" i="16"/>
  <c r="K12" i="16" s="1"/>
  <c r="H12" i="16"/>
  <c r="C12" i="16"/>
  <c r="AD11" i="16"/>
  <c r="J11" i="16" s="1"/>
  <c r="AB11" i="16"/>
  <c r="Y11" i="16"/>
  <c r="X11" i="16"/>
  <c r="Q11" i="16"/>
  <c r="P11" i="16"/>
  <c r="O11" i="16"/>
  <c r="M11" i="16"/>
  <c r="H11" i="16"/>
  <c r="C11" i="16"/>
  <c r="AD10" i="16"/>
  <c r="J10" i="16" s="1"/>
  <c r="I10" i="16" s="1"/>
  <c r="AB10" i="16"/>
  <c r="Y10" i="16"/>
  <c r="X10" i="16"/>
  <c r="P10" i="16"/>
  <c r="O10" i="16"/>
  <c r="Q10" i="16" s="1"/>
  <c r="M10" i="16"/>
  <c r="K10" i="16"/>
  <c r="H10" i="16"/>
  <c r="C10" i="16"/>
  <c r="AB9" i="16"/>
  <c r="AD9" i="16" s="1"/>
  <c r="J9" i="16" s="1"/>
  <c r="K9" i="16" s="1"/>
  <c r="Y9" i="16"/>
  <c r="X9" i="16"/>
  <c r="P9" i="16"/>
  <c r="O9" i="16"/>
  <c r="Q9" i="16" s="1"/>
  <c r="M9" i="16"/>
  <c r="H9" i="16"/>
  <c r="C9" i="16"/>
  <c r="AB8" i="16"/>
  <c r="AD8" i="16" s="1"/>
  <c r="J8" i="16" s="1"/>
  <c r="Y8" i="16"/>
  <c r="X8" i="16"/>
  <c r="P8" i="16"/>
  <c r="O8" i="16"/>
  <c r="Q8" i="16" s="1"/>
  <c r="M8" i="16"/>
  <c r="H8" i="16"/>
  <c r="C8" i="16"/>
  <c r="AD7" i="16"/>
  <c r="J7" i="16" s="1"/>
  <c r="AB7" i="16"/>
  <c r="Y7" i="16"/>
  <c r="X7" i="16"/>
  <c r="Q7" i="16"/>
  <c r="P7" i="16"/>
  <c r="O7" i="16"/>
  <c r="M7" i="16"/>
  <c r="H7" i="16"/>
  <c r="C7" i="16"/>
  <c r="AB6" i="16"/>
  <c r="AD6" i="16" s="1"/>
  <c r="J6" i="16" s="1"/>
  <c r="Y6" i="16"/>
  <c r="X6" i="16"/>
  <c r="Q6" i="16"/>
  <c r="P6" i="16"/>
  <c r="O6" i="16"/>
  <c r="M6" i="16"/>
  <c r="H6" i="16"/>
  <c r="C6" i="16"/>
  <c r="AB5" i="16"/>
  <c r="AD5" i="16" s="1"/>
  <c r="J5" i="16" s="1"/>
  <c r="Y5" i="16"/>
  <c r="X5" i="16"/>
  <c r="P5" i="16"/>
  <c r="O5" i="16"/>
  <c r="Q5" i="16" s="1"/>
  <c r="M5" i="16"/>
  <c r="H5" i="16"/>
  <c r="C5" i="16"/>
  <c r="AB4" i="16"/>
  <c r="AD4" i="16" s="1"/>
  <c r="Y4" i="16"/>
  <c r="X4" i="16"/>
  <c r="P4" i="16"/>
  <c r="Q4" i="16" s="1"/>
  <c r="O4" i="16"/>
  <c r="M4" i="16"/>
  <c r="H4" i="16"/>
  <c r="C4" i="16"/>
  <c r="AG3" i="16"/>
  <c r="AF3" i="16"/>
  <c r="W3" i="16"/>
  <c r="X3" i="16" s="1"/>
  <c r="V3" i="16"/>
  <c r="U3" i="16"/>
  <c r="T3" i="16"/>
  <c r="O3" i="16"/>
  <c r="H3" i="16"/>
  <c r="G3" i="16"/>
  <c r="F3" i="16"/>
  <c r="D3" i="16"/>
  <c r="C3" i="16"/>
  <c r="A2" i="16"/>
  <c r="A1" i="16"/>
  <c r="AB32" i="15"/>
  <c r="AD32" i="15" s="1"/>
  <c r="J32" i="15" s="1"/>
  <c r="Y32" i="15"/>
  <c r="X32" i="15"/>
  <c r="V32" i="15"/>
  <c r="U32" i="15"/>
  <c r="T32" i="15"/>
  <c r="P32" i="15"/>
  <c r="O32" i="15"/>
  <c r="M32" i="15"/>
  <c r="H32" i="15"/>
  <c r="C32" i="15"/>
  <c r="AD31" i="15"/>
  <c r="J31" i="15" s="1"/>
  <c r="AB31" i="15"/>
  <c r="Y31" i="15"/>
  <c r="X31" i="15"/>
  <c r="Q31" i="15"/>
  <c r="P31" i="15"/>
  <c r="O31" i="15"/>
  <c r="M31" i="15"/>
  <c r="H31" i="15"/>
  <c r="C31" i="15"/>
  <c r="AB30" i="15"/>
  <c r="AD30" i="15" s="1"/>
  <c r="J30" i="15" s="1"/>
  <c r="Y30" i="15"/>
  <c r="X30" i="15"/>
  <c r="Q30" i="15"/>
  <c r="P30" i="15"/>
  <c r="O30" i="15"/>
  <c r="M30" i="15"/>
  <c r="H30" i="15"/>
  <c r="C30" i="15"/>
  <c r="AB29" i="15"/>
  <c r="AD29" i="15" s="1"/>
  <c r="J29" i="15" s="1"/>
  <c r="Y29" i="15"/>
  <c r="X29" i="15"/>
  <c r="P29" i="15"/>
  <c r="O29" i="15"/>
  <c r="Q29" i="15" s="1"/>
  <c r="M29" i="15"/>
  <c r="H29" i="15"/>
  <c r="C29" i="15"/>
  <c r="AB28" i="15"/>
  <c r="AD28" i="15" s="1"/>
  <c r="J28" i="15" s="1"/>
  <c r="Y28" i="15"/>
  <c r="X28" i="15"/>
  <c r="P28" i="15"/>
  <c r="Q28" i="15" s="1"/>
  <c r="O28" i="15"/>
  <c r="M28" i="15"/>
  <c r="H28" i="15"/>
  <c r="C28" i="15"/>
  <c r="AD27" i="15"/>
  <c r="J27" i="15" s="1"/>
  <c r="AB27" i="15"/>
  <c r="Y27" i="15"/>
  <c r="X27" i="15"/>
  <c r="Q27" i="15"/>
  <c r="P27" i="15"/>
  <c r="O27" i="15"/>
  <c r="M27" i="15"/>
  <c r="H27" i="15"/>
  <c r="C27" i="15"/>
  <c r="AD26" i="15"/>
  <c r="J26" i="15" s="1"/>
  <c r="I26" i="15" s="1"/>
  <c r="AB26" i="15"/>
  <c r="Y26" i="15"/>
  <c r="X26" i="15"/>
  <c r="P26" i="15"/>
  <c r="O26" i="15"/>
  <c r="Q26" i="15" s="1"/>
  <c r="M26" i="15"/>
  <c r="H26" i="15"/>
  <c r="C26" i="15"/>
  <c r="AB25" i="15"/>
  <c r="AD25" i="15" s="1"/>
  <c r="J25" i="15" s="1"/>
  <c r="K25" i="15" s="1"/>
  <c r="Y25" i="15"/>
  <c r="X25" i="15"/>
  <c r="P25" i="15"/>
  <c r="O25" i="15"/>
  <c r="Q25" i="15" s="1"/>
  <c r="M25" i="15"/>
  <c r="H25" i="15"/>
  <c r="C25" i="15"/>
  <c r="AB24" i="15"/>
  <c r="AD24" i="15" s="1"/>
  <c r="J24" i="15" s="1"/>
  <c r="Y24" i="15"/>
  <c r="X24" i="15"/>
  <c r="P24" i="15"/>
  <c r="O24" i="15"/>
  <c r="Q24" i="15" s="1"/>
  <c r="M24" i="15"/>
  <c r="H24" i="15"/>
  <c r="C24" i="15"/>
  <c r="AB23" i="15"/>
  <c r="AD23" i="15" s="1"/>
  <c r="J23" i="15" s="1"/>
  <c r="Y23" i="15"/>
  <c r="X23" i="15"/>
  <c r="Q23" i="15"/>
  <c r="P23" i="15"/>
  <c r="O23" i="15"/>
  <c r="M23" i="15"/>
  <c r="H23" i="15"/>
  <c r="C23" i="15"/>
  <c r="AB22" i="15"/>
  <c r="AD22" i="15" s="1"/>
  <c r="J22" i="15" s="1"/>
  <c r="Y22" i="15"/>
  <c r="X22" i="15"/>
  <c r="Q22" i="15"/>
  <c r="P22" i="15"/>
  <c r="O22" i="15"/>
  <c r="M22" i="15"/>
  <c r="H22" i="15"/>
  <c r="C22" i="15"/>
  <c r="AB21" i="15"/>
  <c r="AD21" i="15" s="1"/>
  <c r="J21" i="15" s="1"/>
  <c r="Y21" i="15"/>
  <c r="X21" i="15"/>
  <c r="P21" i="15"/>
  <c r="O21" i="15"/>
  <c r="Q21" i="15" s="1"/>
  <c r="M21" i="15"/>
  <c r="H21" i="15"/>
  <c r="C21" i="15"/>
  <c r="AB20" i="15"/>
  <c r="AD20" i="15" s="1"/>
  <c r="J20" i="15" s="1"/>
  <c r="Y20" i="15"/>
  <c r="X20" i="15"/>
  <c r="P20" i="15"/>
  <c r="Q20" i="15" s="1"/>
  <c r="O20" i="15"/>
  <c r="M20" i="15"/>
  <c r="H20" i="15"/>
  <c r="C20" i="15"/>
  <c r="AD19" i="15"/>
  <c r="J19" i="15" s="1"/>
  <c r="AB19" i="15"/>
  <c r="Y19" i="15"/>
  <c r="X19" i="15"/>
  <c r="P19" i="15"/>
  <c r="Q19" i="15" s="1"/>
  <c r="O19" i="15"/>
  <c r="M19" i="15"/>
  <c r="H19" i="15"/>
  <c r="C19" i="15"/>
  <c r="AD18" i="15"/>
  <c r="J18" i="15" s="1"/>
  <c r="I18" i="15" s="1"/>
  <c r="AB18" i="15"/>
  <c r="Y18" i="15"/>
  <c r="X18" i="15"/>
  <c r="P18" i="15"/>
  <c r="O18" i="15"/>
  <c r="Q18" i="15" s="1"/>
  <c r="M18" i="15"/>
  <c r="H18" i="15"/>
  <c r="C18" i="15"/>
  <c r="AB17" i="15"/>
  <c r="AD17" i="15" s="1"/>
  <c r="J17" i="15" s="1"/>
  <c r="K17" i="15" s="1"/>
  <c r="Y17" i="15"/>
  <c r="X17" i="15"/>
  <c r="P17" i="15"/>
  <c r="O17" i="15"/>
  <c r="Q17" i="15" s="1"/>
  <c r="M17" i="15"/>
  <c r="I17" i="15"/>
  <c r="H17" i="15"/>
  <c r="C17" i="15"/>
  <c r="AB16" i="15"/>
  <c r="AD16" i="15" s="1"/>
  <c r="J16" i="15" s="1"/>
  <c r="Y16" i="15"/>
  <c r="X16" i="15"/>
  <c r="P16" i="15"/>
  <c r="O16" i="15"/>
  <c r="M16" i="15"/>
  <c r="H16" i="15"/>
  <c r="C16" i="15"/>
  <c r="AD15" i="15"/>
  <c r="AB15" i="15"/>
  <c r="Y15" i="15"/>
  <c r="X15" i="15"/>
  <c r="Q15" i="15"/>
  <c r="P15" i="15"/>
  <c r="O15" i="15"/>
  <c r="M15" i="15"/>
  <c r="J15" i="15"/>
  <c r="I15" i="15" s="1"/>
  <c r="H15" i="15"/>
  <c r="C15" i="15"/>
  <c r="AB14" i="15"/>
  <c r="AD14" i="15" s="1"/>
  <c r="J14" i="15" s="1"/>
  <c r="Y14" i="15"/>
  <c r="X14" i="15"/>
  <c r="Q14" i="15"/>
  <c r="P14" i="15"/>
  <c r="O14" i="15"/>
  <c r="M14" i="15"/>
  <c r="H14" i="15"/>
  <c r="C14" i="15"/>
  <c r="AB13" i="15"/>
  <c r="AD13" i="15" s="1"/>
  <c r="J13" i="15" s="1"/>
  <c r="Y13" i="15"/>
  <c r="X13" i="15"/>
  <c r="P13" i="15"/>
  <c r="O13" i="15"/>
  <c r="Q13" i="15" s="1"/>
  <c r="M13" i="15"/>
  <c r="H13" i="15"/>
  <c r="C13" i="15"/>
  <c r="AB12" i="15"/>
  <c r="AD12" i="15" s="1"/>
  <c r="J12" i="15" s="1"/>
  <c r="Y12" i="15"/>
  <c r="X12" i="15"/>
  <c r="P12" i="15"/>
  <c r="Q12" i="15" s="1"/>
  <c r="O12" i="15"/>
  <c r="M12" i="15"/>
  <c r="H12" i="15"/>
  <c r="C12" i="15"/>
  <c r="AD11" i="15"/>
  <c r="J11" i="15" s="1"/>
  <c r="AB11" i="15"/>
  <c r="Y11" i="15"/>
  <c r="X11" i="15"/>
  <c r="Q11" i="15"/>
  <c r="P11" i="15"/>
  <c r="O11" i="15"/>
  <c r="M11" i="15"/>
  <c r="H11" i="15"/>
  <c r="C11" i="15"/>
  <c r="AD10" i="15"/>
  <c r="J10" i="15" s="1"/>
  <c r="I10" i="15" s="1"/>
  <c r="AB10" i="15"/>
  <c r="Y10" i="15"/>
  <c r="X10" i="15"/>
  <c r="P10" i="15"/>
  <c r="O10" i="15"/>
  <c r="Q10" i="15" s="1"/>
  <c r="M10" i="15"/>
  <c r="H10" i="15"/>
  <c r="C10" i="15"/>
  <c r="AB9" i="15"/>
  <c r="AD9" i="15" s="1"/>
  <c r="J9" i="15" s="1"/>
  <c r="K9" i="15" s="1"/>
  <c r="Y9" i="15"/>
  <c r="X9" i="15"/>
  <c r="P9" i="15"/>
  <c r="O9" i="15"/>
  <c r="Q9" i="15" s="1"/>
  <c r="M9" i="15"/>
  <c r="I9" i="15"/>
  <c r="H9" i="15"/>
  <c r="C9" i="15"/>
  <c r="AB8" i="15"/>
  <c r="AD8" i="15" s="1"/>
  <c r="J8" i="15" s="1"/>
  <c r="Y8" i="15"/>
  <c r="X8" i="15"/>
  <c r="P8" i="15"/>
  <c r="O8" i="15"/>
  <c r="Q8" i="15" s="1"/>
  <c r="M8" i="15"/>
  <c r="H8" i="15"/>
  <c r="C8" i="15"/>
  <c r="AB7" i="15"/>
  <c r="AD7" i="15" s="1"/>
  <c r="J7" i="15" s="1"/>
  <c r="Y7" i="15"/>
  <c r="X7" i="15"/>
  <c r="Q7" i="15"/>
  <c r="P7" i="15"/>
  <c r="O7" i="15"/>
  <c r="M7" i="15"/>
  <c r="H7" i="15"/>
  <c r="C7" i="15"/>
  <c r="AB6" i="15"/>
  <c r="AD6" i="15" s="1"/>
  <c r="J6" i="15" s="1"/>
  <c r="Y6" i="15"/>
  <c r="X6" i="15"/>
  <c r="Q6" i="15"/>
  <c r="P6" i="15"/>
  <c r="O6" i="15"/>
  <c r="M6" i="15"/>
  <c r="H6" i="15"/>
  <c r="C6" i="15"/>
  <c r="AB5" i="15"/>
  <c r="AD5" i="15" s="1"/>
  <c r="J5" i="15" s="1"/>
  <c r="Y5" i="15"/>
  <c r="X5" i="15"/>
  <c r="P5" i="15"/>
  <c r="O5" i="15"/>
  <c r="Q5" i="15" s="1"/>
  <c r="M5" i="15"/>
  <c r="H5" i="15"/>
  <c r="C5" i="15"/>
  <c r="AB4" i="15"/>
  <c r="AD4" i="15" s="1"/>
  <c r="Y4" i="15"/>
  <c r="X4" i="15"/>
  <c r="P4" i="15"/>
  <c r="Q4" i="15" s="1"/>
  <c r="O4" i="15"/>
  <c r="M4" i="15"/>
  <c r="H4" i="15"/>
  <c r="C4" i="15"/>
  <c r="AG3" i="15"/>
  <c r="AF3" i="15"/>
  <c r="W3" i="15"/>
  <c r="X3" i="15" s="1"/>
  <c r="V3" i="15"/>
  <c r="U3" i="15"/>
  <c r="T3" i="15"/>
  <c r="O3" i="15"/>
  <c r="G3" i="15"/>
  <c r="H3" i="15" s="1"/>
  <c r="F3" i="15"/>
  <c r="D3" i="15"/>
  <c r="C3" i="15"/>
  <c r="A2" i="15"/>
  <c r="A1" i="15"/>
  <c r="AB32" i="14"/>
  <c r="AD32" i="14" s="1"/>
  <c r="J32" i="14" s="1"/>
  <c r="Y32" i="14"/>
  <c r="X32" i="14"/>
  <c r="V32" i="14"/>
  <c r="U32" i="14"/>
  <c r="T32" i="14"/>
  <c r="P32" i="14"/>
  <c r="O32" i="14"/>
  <c r="Q32" i="14" s="1"/>
  <c r="M32" i="14"/>
  <c r="H32" i="14"/>
  <c r="C32" i="14"/>
  <c r="AD31" i="14"/>
  <c r="J31" i="14" s="1"/>
  <c r="AB31" i="14"/>
  <c r="Y31" i="14"/>
  <c r="X31" i="14"/>
  <c r="Q31" i="14"/>
  <c r="P31" i="14"/>
  <c r="O31" i="14"/>
  <c r="M31" i="14"/>
  <c r="H31" i="14"/>
  <c r="C31" i="14"/>
  <c r="AB30" i="14"/>
  <c r="AD30" i="14" s="1"/>
  <c r="J30" i="14" s="1"/>
  <c r="Y30" i="14"/>
  <c r="X30" i="14"/>
  <c r="Q30" i="14"/>
  <c r="P30" i="14"/>
  <c r="O30" i="14"/>
  <c r="M30" i="14"/>
  <c r="H30" i="14"/>
  <c r="C30" i="14"/>
  <c r="AB29" i="14"/>
  <c r="AD29" i="14" s="1"/>
  <c r="J29" i="14" s="1"/>
  <c r="Y29" i="14"/>
  <c r="X29" i="14"/>
  <c r="P29" i="14"/>
  <c r="O29" i="14"/>
  <c r="Q29" i="14" s="1"/>
  <c r="M29" i="14"/>
  <c r="H29" i="14"/>
  <c r="C29" i="14"/>
  <c r="AB28" i="14"/>
  <c r="AD28" i="14" s="1"/>
  <c r="Y28" i="14"/>
  <c r="X28" i="14"/>
  <c r="P28" i="14"/>
  <c r="Q28" i="14" s="1"/>
  <c r="O28" i="14"/>
  <c r="M28" i="14"/>
  <c r="J28" i="14"/>
  <c r="K28" i="14" s="1"/>
  <c r="I28" i="14"/>
  <c r="H28" i="14"/>
  <c r="C28" i="14"/>
  <c r="AD27" i="14"/>
  <c r="J27" i="14" s="1"/>
  <c r="AB27" i="14"/>
  <c r="Y27" i="14"/>
  <c r="X27" i="14"/>
  <c r="P27" i="14"/>
  <c r="Q27" i="14" s="1"/>
  <c r="O27" i="14"/>
  <c r="M27" i="14"/>
  <c r="H27" i="14"/>
  <c r="C27" i="14"/>
  <c r="AD26" i="14"/>
  <c r="J26" i="14" s="1"/>
  <c r="I26" i="14" s="1"/>
  <c r="AB26" i="14"/>
  <c r="Y26" i="14"/>
  <c r="X26" i="14"/>
  <c r="P26" i="14"/>
  <c r="O26" i="14"/>
  <c r="Q26" i="14" s="1"/>
  <c r="M26" i="14"/>
  <c r="K26" i="14"/>
  <c r="H26" i="14"/>
  <c r="C26" i="14"/>
  <c r="AB25" i="14"/>
  <c r="AD25" i="14" s="1"/>
  <c r="J25" i="14" s="1"/>
  <c r="K25" i="14" s="1"/>
  <c r="Y25" i="14"/>
  <c r="X25" i="14"/>
  <c r="Q25" i="14"/>
  <c r="P25" i="14"/>
  <c r="O25" i="14"/>
  <c r="M25" i="14"/>
  <c r="H25" i="14"/>
  <c r="C25" i="14"/>
  <c r="AB24" i="14"/>
  <c r="AD24" i="14" s="1"/>
  <c r="J24" i="14" s="1"/>
  <c r="Y24" i="14"/>
  <c r="X24" i="14"/>
  <c r="P24" i="14"/>
  <c r="O24" i="14"/>
  <c r="M24" i="14"/>
  <c r="H24" i="14"/>
  <c r="C24" i="14"/>
  <c r="AB23" i="14"/>
  <c r="AD23" i="14" s="1"/>
  <c r="J23" i="14" s="1"/>
  <c r="Y23" i="14"/>
  <c r="X23" i="14"/>
  <c r="Q23" i="14"/>
  <c r="P23" i="14"/>
  <c r="O23" i="14"/>
  <c r="M23" i="14"/>
  <c r="H23" i="14"/>
  <c r="C23" i="14"/>
  <c r="AB22" i="14"/>
  <c r="AD22" i="14" s="1"/>
  <c r="J22" i="14" s="1"/>
  <c r="Y22" i="14"/>
  <c r="X22" i="14"/>
  <c r="Q22" i="14"/>
  <c r="P22" i="14"/>
  <c r="O22" i="14"/>
  <c r="M22" i="14"/>
  <c r="H22" i="14"/>
  <c r="C22" i="14"/>
  <c r="AD21" i="14"/>
  <c r="J21" i="14" s="1"/>
  <c r="AB21" i="14"/>
  <c r="Y21" i="14"/>
  <c r="X21" i="14"/>
  <c r="P21" i="14"/>
  <c r="O21" i="14"/>
  <c r="Q21" i="14" s="1"/>
  <c r="M21" i="14"/>
  <c r="H21" i="14"/>
  <c r="C21" i="14"/>
  <c r="AB20" i="14"/>
  <c r="AD20" i="14" s="1"/>
  <c r="J20" i="14" s="1"/>
  <c r="Y20" i="14"/>
  <c r="X20" i="14"/>
  <c r="P20" i="14"/>
  <c r="Q20" i="14" s="1"/>
  <c r="O20" i="14"/>
  <c r="M20" i="14"/>
  <c r="H20" i="14"/>
  <c r="C20" i="14"/>
  <c r="AD19" i="14"/>
  <c r="J19" i="14" s="1"/>
  <c r="AB19" i="14"/>
  <c r="Y19" i="14"/>
  <c r="X19" i="14"/>
  <c r="Q19" i="14"/>
  <c r="P19" i="14"/>
  <c r="O19" i="14"/>
  <c r="M19" i="14"/>
  <c r="H19" i="14"/>
  <c r="C19" i="14"/>
  <c r="AD18" i="14"/>
  <c r="J18" i="14" s="1"/>
  <c r="I18" i="14" s="1"/>
  <c r="AB18" i="14"/>
  <c r="Y18" i="14"/>
  <c r="X18" i="14"/>
  <c r="P18" i="14"/>
  <c r="O18" i="14"/>
  <c r="Q18" i="14" s="1"/>
  <c r="M18" i="14"/>
  <c r="K18" i="14"/>
  <c r="H18" i="14"/>
  <c r="C18" i="14"/>
  <c r="AB17" i="14"/>
  <c r="AD17" i="14" s="1"/>
  <c r="J17" i="14" s="1"/>
  <c r="K17" i="14" s="1"/>
  <c r="Y17" i="14"/>
  <c r="X17" i="14"/>
  <c r="Q17" i="14"/>
  <c r="P17" i="14"/>
  <c r="O17" i="14"/>
  <c r="M17" i="14"/>
  <c r="I17" i="14"/>
  <c r="H17" i="14"/>
  <c r="C17" i="14"/>
  <c r="AB16" i="14"/>
  <c r="AD16" i="14" s="1"/>
  <c r="J16" i="14" s="1"/>
  <c r="Y16" i="14"/>
  <c r="X16" i="14"/>
  <c r="P16" i="14"/>
  <c r="O16" i="14"/>
  <c r="M16" i="14"/>
  <c r="H16" i="14"/>
  <c r="C16" i="14"/>
  <c r="AB15" i="14"/>
  <c r="AD15" i="14" s="1"/>
  <c r="J15" i="14" s="1"/>
  <c r="Y15" i="14"/>
  <c r="X15" i="14"/>
  <c r="Q15" i="14"/>
  <c r="P15" i="14"/>
  <c r="O15" i="14"/>
  <c r="M15" i="14"/>
  <c r="H15" i="14"/>
  <c r="C15" i="14"/>
  <c r="AB14" i="14"/>
  <c r="AD14" i="14" s="1"/>
  <c r="J14" i="14" s="1"/>
  <c r="Y14" i="14"/>
  <c r="X14" i="14"/>
  <c r="Q14" i="14"/>
  <c r="P14" i="14"/>
  <c r="O14" i="14"/>
  <c r="M14" i="14"/>
  <c r="H14" i="14"/>
  <c r="C14" i="14"/>
  <c r="AD13" i="14"/>
  <c r="J13" i="14" s="1"/>
  <c r="AB13" i="14"/>
  <c r="Y13" i="14"/>
  <c r="X13" i="14"/>
  <c r="P13" i="14"/>
  <c r="O13" i="14"/>
  <c r="Q13" i="14" s="1"/>
  <c r="M13" i="14"/>
  <c r="H13" i="14"/>
  <c r="C13" i="14"/>
  <c r="AB12" i="14"/>
  <c r="AD12" i="14" s="1"/>
  <c r="J12" i="14" s="1"/>
  <c r="Y12" i="14"/>
  <c r="X12" i="14"/>
  <c r="P12" i="14"/>
  <c r="Q12" i="14" s="1"/>
  <c r="O12" i="14"/>
  <c r="M12" i="14"/>
  <c r="H12" i="14"/>
  <c r="C12" i="14"/>
  <c r="AD11" i="14"/>
  <c r="J11" i="14" s="1"/>
  <c r="AB11" i="14"/>
  <c r="Y11" i="14"/>
  <c r="X11" i="14"/>
  <c r="P11" i="14"/>
  <c r="Q11" i="14" s="1"/>
  <c r="O11" i="14"/>
  <c r="M11" i="14"/>
  <c r="H11" i="14"/>
  <c r="C11" i="14"/>
  <c r="AD10" i="14"/>
  <c r="J10" i="14" s="1"/>
  <c r="I10" i="14" s="1"/>
  <c r="AB10" i="14"/>
  <c r="Y10" i="14"/>
  <c r="X10" i="14"/>
  <c r="P10" i="14"/>
  <c r="O10" i="14"/>
  <c r="Q10" i="14" s="1"/>
  <c r="M10" i="14"/>
  <c r="K10" i="14"/>
  <c r="H10" i="14"/>
  <c r="C10" i="14"/>
  <c r="AB9" i="14"/>
  <c r="AD9" i="14" s="1"/>
  <c r="J9" i="14" s="1"/>
  <c r="K9" i="14" s="1"/>
  <c r="Y9" i="14"/>
  <c r="X9" i="14"/>
  <c r="Q9" i="14"/>
  <c r="P9" i="14"/>
  <c r="O9" i="14"/>
  <c r="M9" i="14"/>
  <c r="I9" i="14"/>
  <c r="H9" i="14"/>
  <c r="C9" i="14"/>
  <c r="AB8" i="14"/>
  <c r="AD8" i="14" s="1"/>
  <c r="J8" i="14" s="1"/>
  <c r="Y8" i="14"/>
  <c r="X8" i="14"/>
  <c r="P8" i="14"/>
  <c r="O8" i="14"/>
  <c r="M8" i="14"/>
  <c r="H8" i="14"/>
  <c r="C8" i="14"/>
  <c r="AD7" i="14"/>
  <c r="J7" i="14" s="1"/>
  <c r="AB7" i="14"/>
  <c r="Y7" i="14"/>
  <c r="X7" i="14"/>
  <c r="Q7" i="14"/>
  <c r="P7" i="14"/>
  <c r="O7" i="14"/>
  <c r="M7" i="14"/>
  <c r="H7" i="14"/>
  <c r="C7" i="14"/>
  <c r="AB6" i="14"/>
  <c r="AD6" i="14" s="1"/>
  <c r="J6" i="14" s="1"/>
  <c r="Y6" i="14"/>
  <c r="X6" i="14"/>
  <c r="Q6" i="14"/>
  <c r="P6" i="14"/>
  <c r="O6" i="14"/>
  <c r="M6" i="14"/>
  <c r="H6" i="14"/>
  <c r="C6" i="14"/>
  <c r="AD5" i="14"/>
  <c r="J5" i="14" s="1"/>
  <c r="AB5" i="14"/>
  <c r="Y5" i="14"/>
  <c r="X5" i="14"/>
  <c r="P5" i="14"/>
  <c r="O5" i="14"/>
  <c r="Q5" i="14" s="1"/>
  <c r="M5" i="14"/>
  <c r="H5" i="14"/>
  <c r="C5" i="14"/>
  <c r="AB4" i="14"/>
  <c r="AD4" i="14" s="1"/>
  <c r="Y4" i="14"/>
  <c r="X4" i="14"/>
  <c r="P4" i="14"/>
  <c r="Q4" i="14" s="1"/>
  <c r="O4" i="14"/>
  <c r="M4" i="14"/>
  <c r="H4" i="14"/>
  <c r="C4" i="14"/>
  <c r="AG3" i="14"/>
  <c r="AF3" i="14"/>
  <c r="W3" i="14"/>
  <c r="X3" i="14" s="1"/>
  <c r="V3" i="14"/>
  <c r="U3" i="14"/>
  <c r="T3" i="14"/>
  <c r="O3" i="14"/>
  <c r="H3" i="14"/>
  <c r="G3" i="14"/>
  <c r="F3" i="14"/>
  <c r="D3" i="14"/>
  <c r="C3" i="14"/>
  <c r="A2" i="14"/>
  <c r="A1" i="14"/>
  <c r="AB32" i="13"/>
  <c r="AD32" i="13" s="1"/>
  <c r="J32" i="13" s="1"/>
  <c r="Y32" i="13"/>
  <c r="X32" i="13"/>
  <c r="V32" i="13"/>
  <c r="U32" i="13"/>
  <c r="T32" i="13"/>
  <c r="P32" i="13"/>
  <c r="O32" i="13"/>
  <c r="Q32" i="13" s="1"/>
  <c r="M32" i="13"/>
  <c r="H32" i="13"/>
  <c r="C32" i="13"/>
  <c r="AB31" i="13"/>
  <c r="AD31" i="13" s="1"/>
  <c r="J31" i="13" s="1"/>
  <c r="Y31" i="13"/>
  <c r="X31" i="13"/>
  <c r="Q31" i="13"/>
  <c r="P31" i="13"/>
  <c r="O31" i="13"/>
  <c r="M31" i="13"/>
  <c r="H31" i="13"/>
  <c r="C31" i="13"/>
  <c r="AB30" i="13"/>
  <c r="AD30" i="13" s="1"/>
  <c r="J30" i="13" s="1"/>
  <c r="Y30" i="13"/>
  <c r="X30" i="13"/>
  <c r="Q30" i="13"/>
  <c r="P30" i="13"/>
  <c r="O30" i="13"/>
  <c r="M30" i="13"/>
  <c r="H30" i="13"/>
  <c r="C30" i="13"/>
  <c r="AD29" i="13"/>
  <c r="J29" i="13" s="1"/>
  <c r="AB29" i="13"/>
  <c r="Y29" i="13"/>
  <c r="X29" i="13"/>
  <c r="P29" i="13"/>
  <c r="O29" i="13"/>
  <c r="Q29" i="13" s="1"/>
  <c r="M29" i="13"/>
  <c r="H29" i="13"/>
  <c r="C29" i="13"/>
  <c r="AB28" i="13"/>
  <c r="AD28" i="13" s="1"/>
  <c r="J28" i="13" s="1"/>
  <c r="Y28" i="13"/>
  <c r="X28" i="13"/>
  <c r="P28" i="13"/>
  <c r="Q28" i="13" s="1"/>
  <c r="O28" i="13"/>
  <c r="M28" i="13"/>
  <c r="H28" i="13"/>
  <c r="C28" i="13"/>
  <c r="AD27" i="13"/>
  <c r="J27" i="13" s="1"/>
  <c r="AB27" i="13"/>
  <c r="Y27" i="13"/>
  <c r="X27" i="13"/>
  <c r="P27" i="13"/>
  <c r="Q27" i="13" s="1"/>
  <c r="O27" i="13"/>
  <c r="M27" i="13"/>
  <c r="H27" i="13"/>
  <c r="C27" i="13"/>
  <c r="AD26" i="13"/>
  <c r="J26" i="13" s="1"/>
  <c r="I26" i="13" s="1"/>
  <c r="AB26" i="13"/>
  <c r="Y26" i="13"/>
  <c r="X26" i="13"/>
  <c r="P26" i="13"/>
  <c r="O26" i="13"/>
  <c r="Q26" i="13" s="1"/>
  <c r="M26" i="13"/>
  <c r="K26" i="13"/>
  <c r="H26" i="13"/>
  <c r="C26" i="13"/>
  <c r="AB25" i="13"/>
  <c r="AD25" i="13" s="1"/>
  <c r="J25" i="13" s="1"/>
  <c r="K25" i="13" s="1"/>
  <c r="Y25" i="13"/>
  <c r="X25" i="13"/>
  <c r="Q25" i="13"/>
  <c r="P25" i="13"/>
  <c r="O25" i="13"/>
  <c r="M25" i="13"/>
  <c r="H25" i="13"/>
  <c r="C25" i="13"/>
  <c r="AB24" i="13"/>
  <c r="AD24" i="13" s="1"/>
  <c r="J24" i="13" s="1"/>
  <c r="Y24" i="13"/>
  <c r="X24" i="13"/>
  <c r="P24" i="13"/>
  <c r="O24" i="13"/>
  <c r="M24" i="13"/>
  <c r="H24" i="13"/>
  <c r="C24" i="13"/>
  <c r="AD23" i="13"/>
  <c r="J23" i="13" s="1"/>
  <c r="AB23" i="13"/>
  <c r="Y23" i="13"/>
  <c r="X23" i="13"/>
  <c r="Q23" i="13"/>
  <c r="P23" i="13"/>
  <c r="O23" i="13"/>
  <c r="M23" i="13"/>
  <c r="H23" i="13"/>
  <c r="C23" i="13"/>
  <c r="AB22" i="13"/>
  <c r="AD22" i="13" s="1"/>
  <c r="J22" i="13" s="1"/>
  <c r="Y22" i="13"/>
  <c r="X22" i="13"/>
  <c r="Q22" i="13"/>
  <c r="P22" i="13"/>
  <c r="O22" i="13"/>
  <c r="M22" i="13"/>
  <c r="H22" i="13"/>
  <c r="C22" i="13"/>
  <c r="AD21" i="13"/>
  <c r="J21" i="13" s="1"/>
  <c r="AB21" i="13"/>
  <c r="Y21" i="13"/>
  <c r="X21" i="13"/>
  <c r="P21" i="13"/>
  <c r="O21" i="13"/>
  <c r="Q21" i="13" s="1"/>
  <c r="M21" i="13"/>
  <c r="H21" i="13"/>
  <c r="C21" i="13"/>
  <c r="AB20" i="13"/>
  <c r="AD20" i="13" s="1"/>
  <c r="J20" i="13" s="1"/>
  <c r="Y20" i="13"/>
  <c r="X20" i="13"/>
  <c r="P20" i="13"/>
  <c r="Q20" i="13" s="1"/>
  <c r="O20" i="13"/>
  <c r="M20" i="13"/>
  <c r="H20" i="13"/>
  <c r="C20" i="13"/>
  <c r="AD19" i="13"/>
  <c r="J19" i="13" s="1"/>
  <c r="AB19" i="13"/>
  <c r="Y19" i="13"/>
  <c r="X19" i="13"/>
  <c r="P19" i="13"/>
  <c r="Q19" i="13" s="1"/>
  <c r="O19" i="13"/>
  <c r="M19" i="13"/>
  <c r="H19" i="13"/>
  <c r="C19" i="13"/>
  <c r="AD18" i="13"/>
  <c r="J18" i="13" s="1"/>
  <c r="I18" i="13" s="1"/>
  <c r="AB18" i="13"/>
  <c r="Y18" i="13"/>
  <c r="X18" i="13"/>
  <c r="P18" i="13"/>
  <c r="O18" i="13"/>
  <c r="Q18" i="13" s="1"/>
  <c r="M18" i="13"/>
  <c r="H18" i="13"/>
  <c r="C18" i="13"/>
  <c r="AB17" i="13"/>
  <c r="AD17" i="13" s="1"/>
  <c r="J17" i="13" s="1"/>
  <c r="K17" i="13" s="1"/>
  <c r="Y17" i="13"/>
  <c r="X17" i="13"/>
  <c r="Q17" i="13"/>
  <c r="P17" i="13"/>
  <c r="O17" i="13"/>
  <c r="M17" i="13"/>
  <c r="I17" i="13"/>
  <c r="H17" i="13"/>
  <c r="C17" i="13"/>
  <c r="AB16" i="13"/>
  <c r="AD16" i="13" s="1"/>
  <c r="Y16" i="13"/>
  <c r="X16" i="13"/>
  <c r="P16" i="13"/>
  <c r="O16" i="13"/>
  <c r="Q16" i="13" s="1"/>
  <c r="M16" i="13"/>
  <c r="H16" i="13"/>
  <c r="C16" i="13"/>
  <c r="AG3" i="13"/>
  <c r="AF3" i="13"/>
  <c r="W3" i="13"/>
  <c r="X3" i="13" s="1"/>
  <c r="V3" i="13"/>
  <c r="U3" i="13"/>
  <c r="T3" i="13"/>
  <c r="O3" i="13"/>
  <c r="H3" i="13"/>
  <c r="G3" i="13"/>
  <c r="F3" i="13"/>
  <c r="D3" i="13"/>
  <c r="C3" i="13"/>
  <c r="A2" i="13"/>
  <c r="A1" i="13"/>
  <c r="AB32" i="12"/>
  <c r="AD32" i="12" s="1"/>
  <c r="Y32" i="12"/>
  <c r="X32" i="12"/>
  <c r="V32" i="12"/>
  <c r="U32" i="12"/>
  <c r="T32" i="12"/>
  <c r="P32" i="12"/>
  <c r="Q32" i="12" s="1"/>
  <c r="O32" i="12"/>
  <c r="M32" i="12"/>
  <c r="J32" i="12"/>
  <c r="K32" i="12" s="1"/>
  <c r="H32" i="12"/>
  <c r="C32" i="12"/>
  <c r="AD31" i="12"/>
  <c r="J31" i="12" s="1"/>
  <c r="AB31" i="12"/>
  <c r="Y31" i="12"/>
  <c r="X31" i="12"/>
  <c r="Q31" i="12"/>
  <c r="P31" i="12"/>
  <c r="O31" i="12"/>
  <c r="M31" i="12"/>
  <c r="H31" i="12"/>
  <c r="C31" i="12"/>
  <c r="AD30" i="12"/>
  <c r="J30" i="12" s="1"/>
  <c r="I30" i="12" s="1"/>
  <c r="AB30" i="12"/>
  <c r="Y30" i="12"/>
  <c r="X30" i="12"/>
  <c r="P30" i="12"/>
  <c r="O30" i="12"/>
  <c r="Q30" i="12" s="1"/>
  <c r="M30" i="12"/>
  <c r="H30" i="12"/>
  <c r="C30" i="12"/>
  <c r="AB29" i="12"/>
  <c r="AD29" i="12" s="1"/>
  <c r="J29" i="12" s="1"/>
  <c r="K29" i="12" s="1"/>
  <c r="Y29" i="12"/>
  <c r="X29" i="12"/>
  <c r="Q29" i="12"/>
  <c r="P29" i="12"/>
  <c r="O29" i="12"/>
  <c r="M29" i="12"/>
  <c r="H29" i="12"/>
  <c r="C29" i="12"/>
  <c r="AB28" i="12"/>
  <c r="AD28" i="12" s="1"/>
  <c r="J28" i="12" s="1"/>
  <c r="Y28" i="12"/>
  <c r="X28" i="12"/>
  <c r="P28" i="12"/>
  <c r="O28" i="12"/>
  <c r="Q28" i="12" s="1"/>
  <c r="M28" i="12"/>
  <c r="H28" i="12"/>
  <c r="C28" i="12"/>
  <c r="AB27" i="12"/>
  <c r="AD27" i="12" s="1"/>
  <c r="J27" i="12" s="1"/>
  <c r="Y27" i="12"/>
  <c r="X27" i="12"/>
  <c r="Q27" i="12"/>
  <c r="P27" i="12"/>
  <c r="O27" i="12"/>
  <c r="M27" i="12"/>
  <c r="H27" i="12"/>
  <c r="C27" i="12"/>
  <c r="AB26" i="12"/>
  <c r="AD26" i="12" s="1"/>
  <c r="J26" i="12" s="1"/>
  <c r="Y26" i="12"/>
  <c r="X26" i="12"/>
  <c r="Q26" i="12"/>
  <c r="P26" i="12"/>
  <c r="O26" i="12"/>
  <c r="M26" i="12"/>
  <c r="H26" i="12"/>
  <c r="C26" i="12"/>
  <c r="AD25" i="12"/>
  <c r="J25" i="12" s="1"/>
  <c r="AB25" i="12"/>
  <c r="Y25" i="12"/>
  <c r="X25" i="12"/>
  <c r="P25" i="12"/>
  <c r="O25" i="12"/>
  <c r="Q25" i="12" s="1"/>
  <c r="M25" i="12"/>
  <c r="H25" i="12"/>
  <c r="C25" i="12"/>
  <c r="AB24" i="12"/>
  <c r="AD24" i="12" s="1"/>
  <c r="J24" i="12" s="1"/>
  <c r="Y24" i="12"/>
  <c r="X24" i="12"/>
  <c r="P24" i="12"/>
  <c r="Q24" i="12" s="1"/>
  <c r="O24" i="12"/>
  <c r="M24" i="12"/>
  <c r="H24" i="12"/>
  <c r="C24" i="12"/>
  <c r="AD23" i="12"/>
  <c r="J23" i="12" s="1"/>
  <c r="AB23" i="12"/>
  <c r="Y23" i="12"/>
  <c r="X23" i="12"/>
  <c r="P23" i="12"/>
  <c r="Q23" i="12" s="1"/>
  <c r="O23" i="12"/>
  <c r="M23" i="12"/>
  <c r="H23" i="12"/>
  <c r="C23" i="12"/>
  <c r="AD22" i="12"/>
  <c r="J22" i="12" s="1"/>
  <c r="I22" i="12" s="1"/>
  <c r="AB22" i="12"/>
  <c r="Y22" i="12"/>
  <c r="X22" i="12"/>
  <c r="P22" i="12"/>
  <c r="O22" i="12"/>
  <c r="Q22" i="12" s="1"/>
  <c r="M22" i="12"/>
  <c r="H22" i="12"/>
  <c r="C22" i="12"/>
  <c r="AB21" i="12"/>
  <c r="AD21" i="12" s="1"/>
  <c r="J21" i="12" s="1"/>
  <c r="K21" i="12" s="1"/>
  <c r="Y21" i="12"/>
  <c r="X21" i="12"/>
  <c r="Q21" i="12"/>
  <c r="P21" i="12"/>
  <c r="O21" i="12"/>
  <c r="M21" i="12"/>
  <c r="H21" i="12"/>
  <c r="C21" i="12"/>
  <c r="AB20" i="12"/>
  <c r="AD20" i="12" s="1"/>
  <c r="J20" i="12" s="1"/>
  <c r="Y20" i="12"/>
  <c r="X20" i="12"/>
  <c r="P20" i="12"/>
  <c r="O20" i="12"/>
  <c r="Q20" i="12" s="1"/>
  <c r="M20" i="12"/>
  <c r="H20" i="12"/>
  <c r="C20" i="12"/>
  <c r="AD19" i="12"/>
  <c r="J19" i="12" s="1"/>
  <c r="AB19" i="12"/>
  <c r="Y19" i="12"/>
  <c r="X19" i="12"/>
  <c r="Q19" i="12"/>
  <c r="P19" i="12"/>
  <c r="O19" i="12"/>
  <c r="M19" i="12"/>
  <c r="H19" i="12"/>
  <c r="C19" i="12"/>
  <c r="AB18" i="12"/>
  <c r="AD18" i="12" s="1"/>
  <c r="J18" i="12" s="1"/>
  <c r="Y18" i="12"/>
  <c r="X18" i="12"/>
  <c r="Q18" i="12"/>
  <c r="P18" i="12"/>
  <c r="O18" i="12"/>
  <c r="M18" i="12"/>
  <c r="H18" i="12"/>
  <c r="C18" i="12"/>
  <c r="AD17" i="12"/>
  <c r="J17" i="12" s="1"/>
  <c r="AB17" i="12"/>
  <c r="Y17" i="12"/>
  <c r="X17" i="12"/>
  <c r="P17" i="12"/>
  <c r="O17" i="12"/>
  <c r="Q17" i="12" s="1"/>
  <c r="M17" i="12"/>
  <c r="H17" i="12"/>
  <c r="C17" i="12"/>
  <c r="AB16" i="12"/>
  <c r="AD16" i="12" s="1"/>
  <c r="Y16" i="12"/>
  <c r="X16" i="12"/>
  <c r="P16" i="12"/>
  <c r="Q16" i="12" s="1"/>
  <c r="O16" i="12"/>
  <c r="M16" i="12"/>
  <c r="J16" i="12"/>
  <c r="K16" i="12" s="1"/>
  <c r="H16" i="12"/>
  <c r="C16" i="12"/>
  <c r="AD15" i="12"/>
  <c r="AB15" i="12"/>
  <c r="Y15" i="12"/>
  <c r="X15" i="12"/>
  <c r="Q15" i="12"/>
  <c r="P15" i="12"/>
  <c r="O15" i="12"/>
  <c r="M15" i="12"/>
  <c r="H15" i="12"/>
  <c r="C15" i="12"/>
  <c r="AG3" i="12"/>
  <c r="AF3" i="12"/>
  <c r="W3" i="12"/>
  <c r="V3" i="12"/>
  <c r="U3" i="12"/>
  <c r="T3" i="12"/>
  <c r="O3" i="12"/>
  <c r="G3" i="12"/>
  <c r="H3" i="12" s="1"/>
  <c r="F3" i="12"/>
  <c r="D3" i="12"/>
  <c r="X3" i="12" s="1"/>
  <c r="C3" i="12"/>
  <c r="A2" i="12"/>
  <c r="A1" i="12"/>
  <c r="AD32" i="11"/>
  <c r="AB32" i="11"/>
  <c r="Y32" i="11"/>
  <c r="X32" i="11"/>
  <c r="V32" i="11"/>
  <c r="U32" i="11"/>
  <c r="T32" i="11"/>
  <c r="Q32" i="11"/>
  <c r="P32" i="11"/>
  <c r="O32" i="11"/>
  <c r="M32" i="11"/>
  <c r="J32" i="11"/>
  <c r="I32" i="11" s="1"/>
  <c r="H32" i="11"/>
  <c r="C32" i="11"/>
  <c r="AB31" i="11"/>
  <c r="AD31" i="11" s="1"/>
  <c r="J31" i="11" s="1"/>
  <c r="Y31" i="11"/>
  <c r="X31" i="11"/>
  <c r="Q31" i="11"/>
  <c r="P31" i="11"/>
  <c r="O31" i="11"/>
  <c r="M31" i="11"/>
  <c r="H31" i="11"/>
  <c r="C31" i="11"/>
  <c r="AD30" i="11"/>
  <c r="J30" i="11" s="1"/>
  <c r="AB30" i="11"/>
  <c r="Y30" i="11"/>
  <c r="X30" i="11"/>
  <c r="P30" i="11"/>
  <c r="O30" i="11"/>
  <c r="Q30" i="11" s="1"/>
  <c r="M30" i="11"/>
  <c r="H30" i="11"/>
  <c r="C30" i="11"/>
  <c r="AB29" i="11"/>
  <c r="AD29" i="11" s="1"/>
  <c r="Y29" i="11"/>
  <c r="X29" i="11"/>
  <c r="Q29" i="11"/>
  <c r="P29" i="11"/>
  <c r="O29" i="11"/>
  <c r="M29" i="11"/>
  <c r="J29" i="11"/>
  <c r="K29" i="11" s="1"/>
  <c r="H29" i="11"/>
  <c r="C29" i="11"/>
  <c r="AD28" i="11"/>
  <c r="J28" i="11" s="1"/>
  <c r="AB28" i="11"/>
  <c r="Y28" i="11"/>
  <c r="X28" i="11"/>
  <c r="Q28" i="11"/>
  <c r="P28" i="11"/>
  <c r="O28" i="11"/>
  <c r="M28" i="11"/>
  <c r="H28" i="11"/>
  <c r="C28" i="11"/>
  <c r="AD27" i="11"/>
  <c r="J27" i="11" s="1"/>
  <c r="I27" i="11" s="1"/>
  <c r="AB27" i="11"/>
  <c r="Y27" i="11"/>
  <c r="X27" i="11"/>
  <c r="P27" i="11"/>
  <c r="O27" i="11"/>
  <c r="Q27" i="11" s="1"/>
  <c r="M27" i="11"/>
  <c r="H27" i="11"/>
  <c r="C27" i="11"/>
  <c r="AB26" i="11"/>
  <c r="AD26" i="11" s="1"/>
  <c r="J26" i="11" s="1"/>
  <c r="K26" i="11" s="1"/>
  <c r="Y26" i="11"/>
  <c r="X26" i="11"/>
  <c r="Q26" i="11"/>
  <c r="P26" i="11"/>
  <c r="O26" i="11"/>
  <c r="M26" i="11"/>
  <c r="H26" i="11"/>
  <c r="C26" i="11"/>
  <c r="AD25" i="11"/>
  <c r="J25" i="11" s="1"/>
  <c r="AB25" i="11"/>
  <c r="Y25" i="11"/>
  <c r="X25" i="11"/>
  <c r="P25" i="11"/>
  <c r="O25" i="11"/>
  <c r="Q25" i="11" s="1"/>
  <c r="M25" i="11"/>
  <c r="H25" i="11"/>
  <c r="C25" i="11"/>
  <c r="AB24" i="11"/>
  <c r="AD24" i="11" s="1"/>
  <c r="J24" i="11" s="1"/>
  <c r="Y24" i="11"/>
  <c r="X24" i="11"/>
  <c r="Q24" i="11"/>
  <c r="P24" i="11"/>
  <c r="O24" i="11"/>
  <c r="M24" i="11"/>
  <c r="H24" i="11"/>
  <c r="C24" i="11"/>
  <c r="AB23" i="11"/>
  <c r="AD23" i="11" s="1"/>
  <c r="J23" i="11" s="1"/>
  <c r="Y23" i="11"/>
  <c r="X23" i="11"/>
  <c r="Q23" i="11"/>
  <c r="P23" i="11"/>
  <c r="O23" i="11"/>
  <c r="M23" i="11"/>
  <c r="H23" i="11"/>
  <c r="C23" i="11"/>
  <c r="AD22" i="11"/>
  <c r="J22" i="11" s="1"/>
  <c r="AB22" i="11"/>
  <c r="Y22" i="11"/>
  <c r="X22" i="11"/>
  <c r="P22" i="11"/>
  <c r="O22" i="11"/>
  <c r="Q22" i="11" s="1"/>
  <c r="M22" i="11"/>
  <c r="H22" i="11"/>
  <c r="C22" i="11"/>
  <c r="AB21" i="11"/>
  <c r="AD21" i="11" s="1"/>
  <c r="Y21" i="11"/>
  <c r="X21" i="11"/>
  <c r="Q21" i="11"/>
  <c r="P21" i="11"/>
  <c r="O21" i="11"/>
  <c r="M21" i="11"/>
  <c r="J21" i="11"/>
  <c r="K21" i="11" s="1"/>
  <c r="H21" i="11"/>
  <c r="C21" i="11"/>
  <c r="AD20" i="11"/>
  <c r="J20" i="11" s="1"/>
  <c r="AB20" i="11"/>
  <c r="Y20" i="11"/>
  <c r="X20" i="11"/>
  <c r="Q20" i="11"/>
  <c r="P20" i="11"/>
  <c r="O20" i="11"/>
  <c r="M20" i="11"/>
  <c r="H20" i="11"/>
  <c r="C20" i="11"/>
  <c r="AD19" i="11"/>
  <c r="J19" i="11" s="1"/>
  <c r="I19" i="11" s="1"/>
  <c r="AB19" i="11"/>
  <c r="Y19" i="11"/>
  <c r="X19" i="11"/>
  <c r="P19" i="11"/>
  <c r="O19" i="11"/>
  <c r="Q19" i="11" s="1"/>
  <c r="M19" i="11"/>
  <c r="H19" i="11"/>
  <c r="C19" i="11"/>
  <c r="AB18" i="11"/>
  <c r="AD18" i="11" s="1"/>
  <c r="Y18" i="11"/>
  <c r="X18" i="11"/>
  <c r="Q18" i="11"/>
  <c r="P18" i="11"/>
  <c r="O18" i="11"/>
  <c r="M18" i="11"/>
  <c r="H18" i="11"/>
  <c r="C18" i="11"/>
  <c r="AG3" i="11"/>
  <c r="AF3" i="11"/>
  <c r="W3" i="11"/>
  <c r="X3" i="11" s="1"/>
  <c r="V3" i="11"/>
  <c r="U3" i="11"/>
  <c r="T3" i="11"/>
  <c r="O3" i="11"/>
  <c r="G3" i="11"/>
  <c r="H3" i="11" s="1"/>
  <c r="F3" i="11"/>
  <c r="D3" i="11"/>
  <c r="C3" i="11"/>
  <c r="A2" i="11"/>
  <c r="A1" i="11"/>
  <c r="AB32" i="10"/>
  <c r="AD32" i="10" s="1"/>
  <c r="J32" i="10" s="1"/>
  <c r="Y32" i="10"/>
  <c r="X32" i="10"/>
  <c r="V32" i="10"/>
  <c r="U32" i="10"/>
  <c r="T32" i="10"/>
  <c r="P32" i="10"/>
  <c r="O32" i="10"/>
  <c r="Q32" i="10" s="1"/>
  <c r="M32" i="10"/>
  <c r="H32" i="10"/>
  <c r="C32" i="10"/>
  <c r="AB31" i="10"/>
  <c r="AD31" i="10" s="1"/>
  <c r="J31" i="10" s="1"/>
  <c r="Y31" i="10"/>
  <c r="X31" i="10"/>
  <c r="Q31" i="10"/>
  <c r="P31" i="10"/>
  <c r="O31" i="10"/>
  <c r="M31" i="10"/>
  <c r="H31" i="10"/>
  <c r="C31" i="10"/>
  <c r="AD30" i="10"/>
  <c r="J30" i="10" s="1"/>
  <c r="AB30" i="10"/>
  <c r="Y30" i="10"/>
  <c r="X30" i="10"/>
  <c r="P30" i="10"/>
  <c r="Q30" i="10" s="1"/>
  <c r="O30" i="10"/>
  <c r="M30" i="10"/>
  <c r="H30" i="10"/>
  <c r="C30" i="10"/>
  <c r="AD29" i="10"/>
  <c r="J29" i="10" s="1"/>
  <c r="I29" i="10" s="1"/>
  <c r="AB29" i="10"/>
  <c r="Y29" i="10"/>
  <c r="X29" i="10"/>
  <c r="P29" i="10"/>
  <c r="O29" i="10"/>
  <c r="Q29" i="10" s="1"/>
  <c r="M29" i="10"/>
  <c r="H29" i="10"/>
  <c r="C29" i="10"/>
  <c r="AB28" i="10"/>
  <c r="AD28" i="10" s="1"/>
  <c r="J28" i="10" s="1"/>
  <c r="K28" i="10" s="1"/>
  <c r="Y28" i="10"/>
  <c r="X28" i="10"/>
  <c r="Q28" i="10"/>
  <c r="P28" i="10"/>
  <c r="O28" i="10"/>
  <c r="M28" i="10"/>
  <c r="H28" i="10"/>
  <c r="C28" i="10"/>
  <c r="AD27" i="10"/>
  <c r="J27" i="10" s="1"/>
  <c r="AB27" i="10"/>
  <c r="Y27" i="10"/>
  <c r="X27" i="10"/>
  <c r="P27" i="10"/>
  <c r="O27" i="10"/>
  <c r="M27" i="10"/>
  <c r="H27" i="10"/>
  <c r="C27" i="10"/>
  <c r="AB26" i="10"/>
  <c r="AD26" i="10" s="1"/>
  <c r="J26" i="10" s="1"/>
  <c r="Y26" i="10"/>
  <c r="X26" i="10"/>
  <c r="Q26" i="10"/>
  <c r="P26" i="10"/>
  <c r="O26" i="10"/>
  <c r="M26" i="10"/>
  <c r="H26" i="10"/>
  <c r="C26" i="10"/>
  <c r="AB25" i="10"/>
  <c r="AD25" i="10" s="1"/>
  <c r="J25" i="10" s="1"/>
  <c r="Y25" i="10"/>
  <c r="X25" i="10"/>
  <c r="Q25" i="10"/>
  <c r="P25" i="10"/>
  <c r="O25" i="10"/>
  <c r="M25" i="10"/>
  <c r="H25" i="10"/>
  <c r="C25" i="10"/>
  <c r="AD24" i="10"/>
  <c r="J24" i="10" s="1"/>
  <c r="AB24" i="10"/>
  <c r="Y24" i="10"/>
  <c r="X24" i="10"/>
  <c r="P24" i="10"/>
  <c r="O24" i="10"/>
  <c r="Q24" i="10" s="1"/>
  <c r="M24" i="10"/>
  <c r="H24" i="10"/>
  <c r="C24" i="10"/>
  <c r="AB23" i="10"/>
  <c r="AD23" i="10" s="1"/>
  <c r="J23" i="10" s="1"/>
  <c r="Y23" i="10"/>
  <c r="X23" i="10"/>
  <c r="Q23" i="10"/>
  <c r="P23" i="10"/>
  <c r="O23" i="10"/>
  <c r="M23" i="10"/>
  <c r="H23" i="10"/>
  <c r="C23" i="10"/>
  <c r="AD22" i="10"/>
  <c r="J22" i="10" s="1"/>
  <c r="AB22" i="10"/>
  <c r="Y22" i="10"/>
  <c r="X22" i="10"/>
  <c r="P22" i="10"/>
  <c r="Q22" i="10" s="1"/>
  <c r="O22" i="10"/>
  <c r="M22" i="10"/>
  <c r="H22" i="10"/>
  <c r="C22" i="10"/>
  <c r="AD21" i="10"/>
  <c r="J21" i="10" s="1"/>
  <c r="I21" i="10" s="1"/>
  <c r="AB21" i="10"/>
  <c r="Y21" i="10"/>
  <c r="X21" i="10"/>
  <c r="P21" i="10"/>
  <c r="O21" i="10"/>
  <c r="Q21" i="10" s="1"/>
  <c r="M21" i="10"/>
  <c r="H21" i="10"/>
  <c r="C21" i="10"/>
  <c r="AB20" i="10"/>
  <c r="AD20" i="10" s="1"/>
  <c r="J20" i="10" s="1"/>
  <c r="K20" i="10" s="1"/>
  <c r="Y20" i="10"/>
  <c r="X20" i="10"/>
  <c r="Q20" i="10"/>
  <c r="P20" i="10"/>
  <c r="O20" i="10"/>
  <c r="M20" i="10"/>
  <c r="H20" i="10"/>
  <c r="C20" i="10"/>
  <c r="AD19" i="10"/>
  <c r="J19" i="10" s="1"/>
  <c r="AB19" i="10"/>
  <c r="Y19" i="10"/>
  <c r="X19" i="10"/>
  <c r="P19" i="10"/>
  <c r="O19" i="10"/>
  <c r="M19" i="10"/>
  <c r="H19" i="10"/>
  <c r="C19" i="10"/>
  <c r="AB18" i="10"/>
  <c r="AD18" i="10" s="1"/>
  <c r="Y18" i="10"/>
  <c r="X18" i="10"/>
  <c r="Q18" i="10"/>
  <c r="P18" i="10"/>
  <c r="O18" i="10"/>
  <c r="M18" i="10"/>
  <c r="H18" i="10"/>
  <c r="C18" i="10"/>
  <c r="AG3" i="10"/>
  <c r="AF3" i="10"/>
  <c r="W3" i="10"/>
  <c r="X3" i="10" s="1"/>
  <c r="V3" i="10"/>
  <c r="U3" i="10"/>
  <c r="T3" i="10"/>
  <c r="O3" i="10"/>
  <c r="H3" i="10"/>
  <c r="G3" i="10"/>
  <c r="F3" i="10"/>
  <c r="D3" i="10"/>
  <c r="C3" i="10"/>
  <c r="A2" i="10"/>
  <c r="A1" i="10"/>
  <c r="AB32" i="9"/>
  <c r="AD32" i="9" s="1"/>
  <c r="J32" i="9" s="1"/>
  <c r="Y32" i="9"/>
  <c r="X32" i="9"/>
  <c r="V32" i="9"/>
  <c r="U32" i="9"/>
  <c r="T32" i="9"/>
  <c r="P32" i="9"/>
  <c r="Q32" i="9" s="1"/>
  <c r="O32" i="9"/>
  <c r="M32" i="9"/>
  <c r="H32" i="9"/>
  <c r="C32" i="9"/>
  <c r="AD31" i="9"/>
  <c r="J31" i="9" s="1"/>
  <c r="I31" i="9" s="1"/>
  <c r="AB31" i="9"/>
  <c r="Y31" i="9"/>
  <c r="X31" i="9"/>
  <c r="P31" i="9"/>
  <c r="O31" i="9"/>
  <c r="Q31" i="9" s="1"/>
  <c r="M31" i="9"/>
  <c r="H31" i="9"/>
  <c r="C31" i="9"/>
  <c r="AB30" i="9"/>
  <c r="AD30" i="9" s="1"/>
  <c r="J30" i="9" s="1"/>
  <c r="K30" i="9" s="1"/>
  <c r="Y30" i="9"/>
  <c r="X30" i="9"/>
  <c r="Q30" i="9"/>
  <c r="P30" i="9"/>
  <c r="O30" i="9"/>
  <c r="M30" i="9"/>
  <c r="I30" i="9"/>
  <c r="H30" i="9"/>
  <c r="C30" i="9"/>
  <c r="AD29" i="9"/>
  <c r="J29" i="9" s="1"/>
  <c r="AB29" i="9"/>
  <c r="Y29" i="9"/>
  <c r="X29" i="9"/>
  <c r="P29" i="9"/>
  <c r="O29" i="9"/>
  <c r="Q29" i="9" s="1"/>
  <c r="M29" i="9"/>
  <c r="H29" i="9"/>
  <c r="C29" i="9"/>
  <c r="AD28" i="9"/>
  <c r="AB28" i="9"/>
  <c r="Y28" i="9"/>
  <c r="X28" i="9"/>
  <c r="P28" i="9"/>
  <c r="Q28" i="9" s="1"/>
  <c r="O28" i="9"/>
  <c r="M28" i="9"/>
  <c r="J28" i="9"/>
  <c r="I28" i="9" s="1"/>
  <c r="H28" i="9"/>
  <c r="C28" i="9"/>
  <c r="AD27" i="9"/>
  <c r="J27" i="9" s="1"/>
  <c r="AB27" i="9"/>
  <c r="Y27" i="9"/>
  <c r="X27" i="9"/>
  <c r="Q27" i="9"/>
  <c r="P27" i="9"/>
  <c r="O27" i="9"/>
  <c r="M27" i="9"/>
  <c r="H27" i="9"/>
  <c r="C27" i="9"/>
  <c r="AD26" i="9"/>
  <c r="J26" i="9" s="1"/>
  <c r="AB26" i="9"/>
  <c r="Y26" i="9"/>
  <c r="X26" i="9"/>
  <c r="P26" i="9"/>
  <c r="O26" i="9"/>
  <c r="Q26" i="9" s="1"/>
  <c r="M26" i="9"/>
  <c r="H26" i="9"/>
  <c r="C26" i="9"/>
  <c r="AB25" i="9"/>
  <c r="AD25" i="9" s="1"/>
  <c r="J25" i="9" s="1"/>
  <c r="Y25" i="9"/>
  <c r="X25" i="9"/>
  <c r="Q25" i="9"/>
  <c r="P25" i="9"/>
  <c r="O25" i="9"/>
  <c r="M25" i="9"/>
  <c r="H25" i="9"/>
  <c r="C25" i="9"/>
  <c r="AB24" i="9"/>
  <c r="AD24" i="9" s="1"/>
  <c r="J24" i="9" s="1"/>
  <c r="Y24" i="9"/>
  <c r="X24" i="9"/>
  <c r="Q24" i="9"/>
  <c r="P24" i="9"/>
  <c r="O24" i="9"/>
  <c r="M24" i="9"/>
  <c r="H24" i="9"/>
  <c r="C24" i="9"/>
  <c r="AD23" i="9"/>
  <c r="J23" i="9" s="1"/>
  <c r="I23" i="9" s="1"/>
  <c r="AB23" i="9"/>
  <c r="Y23" i="9"/>
  <c r="X23" i="9"/>
  <c r="P23" i="9"/>
  <c r="O23" i="9"/>
  <c r="Q23" i="9" s="1"/>
  <c r="M23" i="9"/>
  <c r="H23" i="9"/>
  <c r="C23" i="9"/>
  <c r="AB22" i="9"/>
  <c r="AD22" i="9" s="1"/>
  <c r="J22" i="9" s="1"/>
  <c r="K22" i="9" s="1"/>
  <c r="Y22" i="9"/>
  <c r="X22" i="9"/>
  <c r="Q22" i="9"/>
  <c r="P22" i="9"/>
  <c r="O22" i="9"/>
  <c r="M22" i="9"/>
  <c r="H22" i="9"/>
  <c r="C22" i="9"/>
  <c r="AD21" i="9"/>
  <c r="J21" i="9" s="1"/>
  <c r="AB21" i="9"/>
  <c r="Y21" i="9"/>
  <c r="X21" i="9"/>
  <c r="P21" i="9"/>
  <c r="O21" i="9"/>
  <c r="Q21" i="9" s="1"/>
  <c r="M21" i="9"/>
  <c r="H21" i="9"/>
  <c r="C21" i="9"/>
  <c r="AB20" i="9"/>
  <c r="AD20" i="9" s="1"/>
  <c r="J20" i="9" s="1"/>
  <c r="Y20" i="9"/>
  <c r="X20" i="9"/>
  <c r="P20" i="9"/>
  <c r="Q20" i="9" s="1"/>
  <c r="O20" i="9"/>
  <c r="M20" i="9"/>
  <c r="H20" i="9"/>
  <c r="C20" i="9"/>
  <c r="AD19" i="9"/>
  <c r="AB19" i="9"/>
  <c r="Y19" i="9"/>
  <c r="X19" i="9"/>
  <c r="Q19" i="9"/>
  <c r="P19" i="9"/>
  <c r="O19" i="9"/>
  <c r="M19" i="9"/>
  <c r="H19" i="9"/>
  <c r="C19" i="9"/>
  <c r="AG3" i="9"/>
  <c r="AF3" i="9"/>
  <c r="W3" i="9"/>
  <c r="V3" i="9"/>
  <c r="U3" i="9"/>
  <c r="T3" i="9"/>
  <c r="O3" i="9"/>
  <c r="G3" i="9"/>
  <c r="F3" i="9"/>
  <c r="D3" i="9"/>
  <c r="X3" i="9" s="1"/>
  <c r="C3" i="9"/>
  <c r="A2" i="9"/>
  <c r="A1" i="9"/>
  <c r="AD32" i="8"/>
  <c r="AB32" i="8"/>
  <c r="Y32" i="8"/>
  <c r="X32" i="8"/>
  <c r="V32" i="8"/>
  <c r="U32" i="8"/>
  <c r="T32" i="8"/>
  <c r="P32" i="8"/>
  <c r="O32" i="8"/>
  <c r="Q32" i="8" s="1"/>
  <c r="M32" i="8"/>
  <c r="K32" i="8"/>
  <c r="J32" i="8"/>
  <c r="I32" i="8" s="1"/>
  <c r="H32" i="8"/>
  <c r="C32" i="8"/>
  <c r="AB31" i="8"/>
  <c r="AD31" i="8" s="1"/>
  <c r="J31" i="8" s="1"/>
  <c r="K31" i="8" s="1"/>
  <c r="Y31" i="8"/>
  <c r="X31" i="8"/>
  <c r="Q31" i="8"/>
  <c r="P31" i="8"/>
  <c r="O31" i="8"/>
  <c r="M31" i="8"/>
  <c r="H31" i="8"/>
  <c r="C31" i="8"/>
  <c r="AD30" i="8"/>
  <c r="J30" i="8" s="1"/>
  <c r="AB30" i="8"/>
  <c r="Y30" i="8"/>
  <c r="X30" i="8"/>
  <c r="P30" i="8"/>
  <c r="O30" i="8"/>
  <c r="Q30" i="8" s="1"/>
  <c r="M30" i="8"/>
  <c r="H30" i="8"/>
  <c r="C30" i="8"/>
  <c r="AB29" i="8"/>
  <c r="AD29" i="8" s="1"/>
  <c r="J29" i="8" s="1"/>
  <c r="Y29" i="8"/>
  <c r="X29" i="8"/>
  <c r="P29" i="8"/>
  <c r="O29" i="8"/>
  <c r="Q29" i="8" s="1"/>
  <c r="M29" i="8"/>
  <c r="H29" i="8"/>
  <c r="C29" i="8"/>
  <c r="AD28" i="8"/>
  <c r="J28" i="8" s="1"/>
  <c r="AB28" i="8"/>
  <c r="Y28" i="8"/>
  <c r="X28" i="8"/>
  <c r="Q28" i="8"/>
  <c r="P28" i="8"/>
  <c r="O28" i="8"/>
  <c r="M28" i="8"/>
  <c r="H28" i="8"/>
  <c r="C28" i="8"/>
  <c r="AD27" i="8"/>
  <c r="J27" i="8" s="1"/>
  <c r="AB27" i="8"/>
  <c r="Y27" i="8"/>
  <c r="X27" i="8"/>
  <c r="P27" i="8"/>
  <c r="O27" i="8"/>
  <c r="Q27" i="8" s="1"/>
  <c r="M27" i="8"/>
  <c r="H27" i="8"/>
  <c r="C27" i="8"/>
  <c r="AB26" i="8"/>
  <c r="AD26" i="8" s="1"/>
  <c r="Y26" i="8"/>
  <c r="X26" i="8"/>
  <c r="Q26" i="8"/>
  <c r="P26" i="8"/>
  <c r="O26" i="8"/>
  <c r="M26" i="8"/>
  <c r="J26" i="8"/>
  <c r="K26" i="8" s="1"/>
  <c r="H26" i="8"/>
  <c r="C26" i="8"/>
  <c r="AB25" i="8"/>
  <c r="AD25" i="8" s="1"/>
  <c r="J25" i="8" s="1"/>
  <c r="Y25" i="8"/>
  <c r="X25" i="8"/>
  <c r="P25" i="8"/>
  <c r="Q25" i="8" s="1"/>
  <c r="O25" i="8"/>
  <c r="M25" i="8"/>
  <c r="H25" i="8"/>
  <c r="C25" i="8"/>
  <c r="AD24" i="8"/>
  <c r="J24" i="8" s="1"/>
  <c r="I24" i="8" s="1"/>
  <c r="AB24" i="8"/>
  <c r="Y24" i="8"/>
  <c r="X24" i="8"/>
  <c r="P24" i="8"/>
  <c r="O24" i="8"/>
  <c r="Q24" i="8" s="1"/>
  <c r="M24" i="8"/>
  <c r="K24" i="8"/>
  <c r="H24" i="8"/>
  <c r="C24" i="8"/>
  <c r="AB23" i="8"/>
  <c r="AD23" i="8" s="1"/>
  <c r="J23" i="8" s="1"/>
  <c r="K23" i="8" s="1"/>
  <c r="Y23" i="8"/>
  <c r="X23" i="8"/>
  <c r="Q23" i="8"/>
  <c r="P23" i="8"/>
  <c r="O23" i="8"/>
  <c r="M23" i="8"/>
  <c r="H23" i="8"/>
  <c r="C23" i="8"/>
  <c r="AD22" i="8"/>
  <c r="J22" i="8" s="1"/>
  <c r="AB22" i="8"/>
  <c r="Y22" i="8"/>
  <c r="X22" i="8"/>
  <c r="P22" i="8"/>
  <c r="O22" i="8"/>
  <c r="M22" i="8"/>
  <c r="H22" i="8"/>
  <c r="C22" i="8"/>
  <c r="AB21" i="8"/>
  <c r="AD21" i="8" s="1"/>
  <c r="Y21" i="8"/>
  <c r="X21" i="8"/>
  <c r="P21" i="8"/>
  <c r="O21" i="8"/>
  <c r="Q21" i="8" s="1"/>
  <c r="M21" i="8"/>
  <c r="H21" i="8"/>
  <c r="C21" i="8"/>
  <c r="AD20" i="8"/>
  <c r="J20" i="8" s="1"/>
  <c r="AB20" i="8"/>
  <c r="Y20" i="8"/>
  <c r="X20" i="8"/>
  <c r="Q20" i="8"/>
  <c r="P20" i="8"/>
  <c r="O20" i="8"/>
  <c r="M20" i="8"/>
  <c r="H20" i="8"/>
  <c r="C20" i="8"/>
  <c r="AD19" i="8"/>
  <c r="J19" i="8" s="1"/>
  <c r="AB19" i="8"/>
  <c r="Y19" i="8"/>
  <c r="X19" i="8"/>
  <c r="P19" i="8"/>
  <c r="O19" i="8"/>
  <c r="Q19" i="8" s="1"/>
  <c r="M19" i="8"/>
  <c r="H19" i="8"/>
  <c r="C19" i="8"/>
  <c r="AG3" i="8"/>
  <c r="AF3" i="8"/>
  <c r="X3" i="8"/>
  <c r="W3" i="8"/>
  <c r="V3" i="8"/>
  <c r="U3" i="8"/>
  <c r="T3" i="8"/>
  <c r="O3" i="8"/>
  <c r="H3" i="8"/>
  <c r="G3" i="8"/>
  <c r="F3" i="8"/>
  <c r="D3" i="8"/>
  <c r="C3" i="8"/>
  <c r="A2" i="8"/>
  <c r="A1" i="8"/>
  <c r="AD32" i="7"/>
  <c r="J32" i="7" s="1"/>
  <c r="K32" i="7" s="1"/>
  <c r="AB32" i="7"/>
  <c r="Y32" i="7"/>
  <c r="X32" i="7"/>
  <c r="V32" i="7"/>
  <c r="U32" i="7"/>
  <c r="T32" i="7"/>
  <c r="Q32" i="7"/>
  <c r="P32" i="7"/>
  <c r="O32" i="7"/>
  <c r="M32" i="7"/>
  <c r="I32" i="7"/>
  <c r="H32" i="7"/>
  <c r="C32" i="7"/>
  <c r="AD31" i="7"/>
  <c r="J31" i="7" s="1"/>
  <c r="AB31" i="7"/>
  <c r="Y31" i="7"/>
  <c r="X31" i="7"/>
  <c r="P31" i="7"/>
  <c r="O31" i="7"/>
  <c r="M31" i="7"/>
  <c r="H31" i="7"/>
  <c r="C31" i="7"/>
  <c r="AB30" i="7"/>
  <c r="AD30" i="7" s="1"/>
  <c r="J30" i="7" s="1"/>
  <c r="Y30" i="7"/>
  <c r="X30" i="7"/>
  <c r="P30" i="7"/>
  <c r="O30" i="7"/>
  <c r="Q30" i="7" s="1"/>
  <c r="M30" i="7"/>
  <c r="H30" i="7"/>
  <c r="C30" i="7"/>
  <c r="AD29" i="7"/>
  <c r="J29" i="7" s="1"/>
  <c r="AB29" i="7"/>
  <c r="Y29" i="7"/>
  <c r="X29" i="7"/>
  <c r="Q29" i="7"/>
  <c r="P29" i="7"/>
  <c r="O29" i="7"/>
  <c r="M29" i="7"/>
  <c r="H29" i="7"/>
  <c r="C29" i="7"/>
  <c r="AD28" i="7"/>
  <c r="J28" i="7" s="1"/>
  <c r="AB28" i="7"/>
  <c r="Y28" i="7"/>
  <c r="X28" i="7"/>
  <c r="P28" i="7"/>
  <c r="O28" i="7"/>
  <c r="Q28" i="7" s="1"/>
  <c r="M28" i="7"/>
  <c r="H28" i="7"/>
  <c r="C28" i="7"/>
  <c r="AB27" i="7"/>
  <c r="AD27" i="7" s="1"/>
  <c r="J27" i="7" s="1"/>
  <c r="Y27" i="7"/>
  <c r="X27" i="7"/>
  <c r="Q27" i="7"/>
  <c r="P27" i="7"/>
  <c r="O27" i="7"/>
  <c r="M27" i="7"/>
  <c r="H27" i="7"/>
  <c r="C27" i="7"/>
  <c r="AB26" i="7"/>
  <c r="AD26" i="7" s="1"/>
  <c r="J26" i="7" s="1"/>
  <c r="Y26" i="7"/>
  <c r="X26" i="7"/>
  <c r="P26" i="7"/>
  <c r="Q26" i="7" s="1"/>
  <c r="O26" i="7"/>
  <c r="M26" i="7"/>
  <c r="H26" i="7"/>
  <c r="C26" i="7"/>
  <c r="AD25" i="7"/>
  <c r="J25" i="7" s="1"/>
  <c r="I25" i="7" s="1"/>
  <c r="AB25" i="7"/>
  <c r="Y25" i="7"/>
  <c r="X25" i="7"/>
  <c r="P25" i="7"/>
  <c r="O25" i="7"/>
  <c r="Q25" i="7" s="1"/>
  <c r="M25" i="7"/>
  <c r="H25" i="7"/>
  <c r="C25" i="7"/>
  <c r="AB24" i="7"/>
  <c r="AD24" i="7" s="1"/>
  <c r="J24" i="7" s="1"/>
  <c r="K24" i="7" s="1"/>
  <c r="Y24" i="7"/>
  <c r="X24" i="7"/>
  <c r="Q24" i="7"/>
  <c r="P24" i="7"/>
  <c r="O24" i="7"/>
  <c r="M24" i="7"/>
  <c r="I24" i="7"/>
  <c r="H24" i="7"/>
  <c r="C24" i="7"/>
  <c r="AD23" i="7"/>
  <c r="J23" i="7" s="1"/>
  <c r="AB23" i="7"/>
  <c r="Y23" i="7"/>
  <c r="X23" i="7"/>
  <c r="P23" i="7"/>
  <c r="O23" i="7"/>
  <c r="M23" i="7"/>
  <c r="H23" i="7"/>
  <c r="C23" i="7"/>
  <c r="AB22" i="7"/>
  <c r="AD22" i="7" s="1"/>
  <c r="J22" i="7" s="1"/>
  <c r="Y22" i="7"/>
  <c r="X22" i="7"/>
  <c r="P22" i="7"/>
  <c r="O22" i="7"/>
  <c r="Q22" i="7" s="1"/>
  <c r="M22" i="7"/>
  <c r="H22" i="7"/>
  <c r="C22" i="7"/>
  <c r="AD21" i="7"/>
  <c r="J21" i="7" s="1"/>
  <c r="AB21" i="7"/>
  <c r="Y21" i="7"/>
  <c r="X21" i="7"/>
  <c r="Q21" i="7"/>
  <c r="P21" i="7"/>
  <c r="O21" i="7"/>
  <c r="M21" i="7"/>
  <c r="H21" i="7"/>
  <c r="C21" i="7"/>
  <c r="AD20" i="7"/>
  <c r="J20" i="7" s="1"/>
  <c r="AB20" i="7"/>
  <c r="Y20" i="7"/>
  <c r="X20" i="7"/>
  <c r="P20" i="7"/>
  <c r="O20" i="7"/>
  <c r="Q20" i="7" s="1"/>
  <c r="M20" i="7"/>
  <c r="H20" i="7"/>
  <c r="C20" i="7"/>
  <c r="AB19" i="7"/>
  <c r="AD19" i="7" s="1"/>
  <c r="J19" i="7" s="1"/>
  <c r="Y19" i="7"/>
  <c r="X19" i="7"/>
  <c r="Q19" i="7"/>
  <c r="P19" i="7"/>
  <c r="O19" i="7"/>
  <c r="M19" i="7"/>
  <c r="H19" i="7"/>
  <c r="C19" i="7"/>
  <c r="AB18" i="7"/>
  <c r="AD18" i="7" s="1"/>
  <c r="J18" i="7" s="1"/>
  <c r="Y18" i="7"/>
  <c r="X18" i="7"/>
  <c r="Q18" i="7"/>
  <c r="P18" i="7"/>
  <c r="O18" i="7"/>
  <c r="M18" i="7"/>
  <c r="H18" i="7"/>
  <c r="C18" i="7"/>
  <c r="AD17" i="7"/>
  <c r="J17" i="7" s="1"/>
  <c r="I17" i="7" s="1"/>
  <c r="AB17" i="7"/>
  <c r="Y17" i="7"/>
  <c r="X17" i="7"/>
  <c r="P17" i="7"/>
  <c r="O17" i="7"/>
  <c r="Q17" i="7" s="1"/>
  <c r="M17" i="7"/>
  <c r="H17" i="7"/>
  <c r="C17" i="7"/>
  <c r="AB16" i="7"/>
  <c r="AD16" i="7" s="1"/>
  <c r="Y16" i="7"/>
  <c r="X16" i="7"/>
  <c r="Q16" i="7"/>
  <c r="P16" i="7"/>
  <c r="O16" i="7"/>
  <c r="M16" i="7"/>
  <c r="H16" i="7"/>
  <c r="C16" i="7"/>
  <c r="AD15" i="7"/>
  <c r="J15" i="7" s="1"/>
  <c r="AB15" i="7"/>
  <c r="Y15" i="7"/>
  <c r="X15" i="7"/>
  <c r="P15" i="7"/>
  <c r="O15" i="7"/>
  <c r="Q15" i="7" s="1"/>
  <c r="M15" i="7"/>
  <c r="H15" i="7"/>
  <c r="C15" i="7"/>
  <c r="AG3" i="7"/>
  <c r="AF3" i="7"/>
  <c r="X3" i="7"/>
  <c r="W3" i="7"/>
  <c r="V3" i="7"/>
  <c r="U3" i="7"/>
  <c r="T3" i="7"/>
  <c r="O3" i="7"/>
  <c r="H3" i="7"/>
  <c r="G3" i="7"/>
  <c r="F3" i="7"/>
  <c r="D3" i="7"/>
  <c r="C3" i="7"/>
  <c r="A2" i="7"/>
  <c r="A1" i="7"/>
  <c r="AD32" i="6"/>
  <c r="AB32" i="6"/>
  <c r="Y32" i="6"/>
  <c r="X32" i="6"/>
  <c r="V32" i="6"/>
  <c r="U32" i="6"/>
  <c r="T32" i="6"/>
  <c r="Q32" i="6"/>
  <c r="P32" i="6"/>
  <c r="O32" i="6"/>
  <c r="M32" i="6"/>
  <c r="J32" i="6"/>
  <c r="K32" i="6" s="1"/>
  <c r="H32" i="6"/>
  <c r="C32" i="6"/>
  <c r="AB31" i="6"/>
  <c r="AD31" i="6" s="1"/>
  <c r="J31" i="6" s="1"/>
  <c r="Y31" i="6"/>
  <c r="X31" i="6"/>
  <c r="P31" i="6"/>
  <c r="Q31" i="6" s="1"/>
  <c r="O31" i="6"/>
  <c r="M31" i="6"/>
  <c r="H31" i="6"/>
  <c r="C31" i="6"/>
  <c r="AD30" i="6"/>
  <c r="J30" i="6" s="1"/>
  <c r="I30" i="6" s="1"/>
  <c r="AB30" i="6"/>
  <c r="Y30" i="6"/>
  <c r="X30" i="6"/>
  <c r="P30" i="6"/>
  <c r="O30" i="6"/>
  <c r="Q30" i="6" s="1"/>
  <c r="M30" i="6"/>
  <c r="K30" i="6"/>
  <c r="H30" i="6"/>
  <c r="C30" i="6"/>
  <c r="AB29" i="6"/>
  <c r="AD29" i="6" s="1"/>
  <c r="J29" i="6" s="1"/>
  <c r="K29" i="6" s="1"/>
  <c r="Y29" i="6"/>
  <c r="X29" i="6"/>
  <c r="Q29" i="6"/>
  <c r="P29" i="6"/>
  <c r="O29" i="6"/>
  <c r="M29" i="6"/>
  <c r="H29" i="6"/>
  <c r="C29" i="6"/>
  <c r="AD28" i="6"/>
  <c r="J28" i="6" s="1"/>
  <c r="AB28" i="6"/>
  <c r="Y28" i="6"/>
  <c r="X28" i="6"/>
  <c r="P28" i="6"/>
  <c r="O28" i="6"/>
  <c r="Q28" i="6" s="1"/>
  <c r="M28" i="6"/>
  <c r="H28" i="6"/>
  <c r="C28" i="6"/>
  <c r="AB27" i="6"/>
  <c r="AD27" i="6" s="1"/>
  <c r="J27" i="6" s="1"/>
  <c r="Y27" i="6"/>
  <c r="X27" i="6"/>
  <c r="P27" i="6"/>
  <c r="Q27" i="6" s="1"/>
  <c r="O27" i="6"/>
  <c r="M27" i="6"/>
  <c r="H27" i="6"/>
  <c r="C27" i="6"/>
  <c r="AD26" i="6"/>
  <c r="J26" i="6" s="1"/>
  <c r="AB26" i="6"/>
  <c r="Y26" i="6"/>
  <c r="X26" i="6"/>
  <c r="Q26" i="6"/>
  <c r="P26" i="6"/>
  <c r="O26" i="6"/>
  <c r="M26" i="6"/>
  <c r="H26" i="6"/>
  <c r="C26" i="6"/>
  <c r="AD25" i="6"/>
  <c r="J25" i="6" s="1"/>
  <c r="AB25" i="6"/>
  <c r="Y25" i="6"/>
  <c r="X25" i="6"/>
  <c r="P25" i="6"/>
  <c r="O25" i="6"/>
  <c r="Q25" i="6" s="1"/>
  <c r="M25" i="6"/>
  <c r="H25" i="6"/>
  <c r="C25" i="6"/>
  <c r="AB24" i="6"/>
  <c r="AD24" i="6" s="1"/>
  <c r="J24" i="6" s="1"/>
  <c r="Y24" i="6"/>
  <c r="X24" i="6"/>
  <c r="Q24" i="6"/>
  <c r="P24" i="6"/>
  <c r="O24" i="6"/>
  <c r="M24" i="6"/>
  <c r="H24" i="6"/>
  <c r="C24" i="6"/>
  <c r="AB23" i="6"/>
  <c r="AD23" i="6" s="1"/>
  <c r="J23" i="6" s="1"/>
  <c r="Y23" i="6"/>
  <c r="X23" i="6"/>
  <c r="P23" i="6"/>
  <c r="Q23" i="6" s="1"/>
  <c r="O23" i="6"/>
  <c r="M23" i="6"/>
  <c r="H23" i="6"/>
  <c r="C23" i="6"/>
  <c r="AD22" i="6"/>
  <c r="J22" i="6" s="1"/>
  <c r="I22" i="6" s="1"/>
  <c r="AB22" i="6"/>
  <c r="Y22" i="6"/>
  <c r="X22" i="6"/>
  <c r="P22" i="6"/>
  <c r="O22" i="6"/>
  <c r="Q22" i="6" s="1"/>
  <c r="M22" i="6"/>
  <c r="H22" i="6"/>
  <c r="C22" i="6"/>
  <c r="AB21" i="6"/>
  <c r="AD21" i="6" s="1"/>
  <c r="J21" i="6" s="1"/>
  <c r="K21" i="6" s="1"/>
  <c r="Y21" i="6"/>
  <c r="X21" i="6"/>
  <c r="Q21" i="6"/>
  <c r="P21" i="6"/>
  <c r="O21" i="6"/>
  <c r="M21" i="6"/>
  <c r="H21" i="6"/>
  <c r="C21" i="6"/>
  <c r="AD20" i="6"/>
  <c r="J20" i="6" s="1"/>
  <c r="AB20" i="6"/>
  <c r="Y20" i="6"/>
  <c r="X20" i="6"/>
  <c r="P20" i="6"/>
  <c r="O20" i="6"/>
  <c r="M20" i="6"/>
  <c r="H20" i="6"/>
  <c r="C20" i="6"/>
  <c r="AD19" i="6"/>
  <c r="AB19" i="6"/>
  <c r="Y19" i="6"/>
  <c r="X19" i="6"/>
  <c r="P19" i="6"/>
  <c r="O19" i="6"/>
  <c r="Q19" i="6" s="1"/>
  <c r="M19" i="6"/>
  <c r="K19" i="6"/>
  <c r="J19" i="6"/>
  <c r="H19" i="6"/>
  <c r="C19" i="6"/>
  <c r="AG3" i="6"/>
  <c r="AF3" i="6"/>
  <c r="W3" i="6"/>
  <c r="X3" i="6" s="1"/>
  <c r="V3" i="6"/>
  <c r="U3" i="6"/>
  <c r="T3" i="6"/>
  <c r="O3" i="6"/>
  <c r="H3" i="6"/>
  <c r="G3" i="6"/>
  <c r="F3" i="6"/>
  <c r="D3" i="6"/>
  <c r="C3" i="6"/>
  <c r="A2" i="6"/>
  <c r="A1" i="6"/>
  <c r="AD32" i="5"/>
  <c r="J32" i="5" s="1"/>
  <c r="AB32" i="5"/>
  <c r="Y32" i="5"/>
  <c r="X32" i="5"/>
  <c r="V32" i="5"/>
  <c r="U32" i="5"/>
  <c r="T32" i="5"/>
  <c r="Q32" i="5"/>
  <c r="P32" i="5"/>
  <c r="O32" i="5"/>
  <c r="M32" i="5"/>
  <c r="H32" i="5"/>
  <c r="C32" i="5"/>
  <c r="AD31" i="5"/>
  <c r="J31" i="5" s="1"/>
  <c r="I31" i="5" s="1"/>
  <c r="AB31" i="5"/>
  <c r="Y31" i="5"/>
  <c r="X31" i="5"/>
  <c r="Q31" i="5"/>
  <c r="P31" i="5"/>
  <c r="O31" i="5"/>
  <c r="M31" i="5"/>
  <c r="K31" i="5"/>
  <c r="H31" i="5"/>
  <c r="C31" i="5"/>
  <c r="AB30" i="5"/>
  <c r="AD30" i="5" s="1"/>
  <c r="J30" i="5" s="1"/>
  <c r="K30" i="5" s="1"/>
  <c r="Y30" i="5"/>
  <c r="X30" i="5"/>
  <c r="Q30" i="5"/>
  <c r="P30" i="5"/>
  <c r="O30" i="5"/>
  <c r="M30" i="5"/>
  <c r="I30" i="5"/>
  <c r="H30" i="5"/>
  <c r="C30" i="5"/>
  <c r="AD29" i="5"/>
  <c r="J29" i="5" s="1"/>
  <c r="AB29" i="5"/>
  <c r="Y29" i="5"/>
  <c r="X29" i="5"/>
  <c r="P29" i="5"/>
  <c r="O29" i="5"/>
  <c r="Q29" i="5" s="1"/>
  <c r="M29" i="5"/>
  <c r="H29" i="5"/>
  <c r="C29" i="5"/>
  <c r="AD28" i="5"/>
  <c r="J28" i="5" s="1"/>
  <c r="AB28" i="5"/>
  <c r="Y28" i="5"/>
  <c r="X28" i="5"/>
  <c r="P28" i="5"/>
  <c r="Q28" i="5" s="1"/>
  <c r="O28" i="5"/>
  <c r="M28" i="5"/>
  <c r="H28" i="5"/>
  <c r="C28" i="5"/>
  <c r="AD27" i="5"/>
  <c r="J27" i="5" s="1"/>
  <c r="AB27" i="5"/>
  <c r="Y27" i="5"/>
  <c r="X27" i="5"/>
  <c r="Q27" i="5"/>
  <c r="P27" i="5"/>
  <c r="O27" i="5"/>
  <c r="M27" i="5"/>
  <c r="H27" i="5"/>
  <c r="C27" i="5"/>
  <c r="AD26" i="5"/>
  <c r="J26" i="5" s="1"/>
  <c r="AB26" i="5"/>
  <c r="Y26" i="5"/>
  <c r="X26" i="5"/>
  <c r="P26" i="5"/>
  <c r="O26" i="5"/>
  <c r="Q26" i="5" s="1"/>
  <c r="M26" i="5"/>
  <c r="H26" i="5"/>
  <c r="C26" i="5"/>
  <c r="AB25" i="5"/>
  <c r="AD25" i="5" s="1"/>
  <c r="Y25" i="5"/>
  <c r="X25" i="5"/>
  <c r="Q25" i="5"/>
  <c r="P25" i="5"/>
  <c r="O25" i="5"/>
  <c r="M25" i="5"/>
  <c r="H25" i="5"/>
  <c r="C25" i="5"/>
  <c r="AG3" i="5"/>
  <c r="AF3" i="5"/>
  <c r="W3" i="5"/>
  <c r="X3" i="5" s="1"/>
  <c r="V3" i="5"/>
  <c r="U3" i="5"/>
  <c r="T3" i="5"/>
  <c r="O3" i="5"/>
  <c r="H3" i="5"/>
  <c r="G3" i="5"/>
  <c r="F3" i="5"/>
  <c r="D3" i="5"/>
  <c r="C3" i="5"/>
  <c r="A2" i="5"/>
  <c r="A1" i="5"/>
  <c r="AB32" i="4"/>
  <c r="AD32" i="4" s="1"/>
  <c r="J32" i="4" s="1"/>
  <c r="Y32" i="4"/>
  <c r="X32" i="4"/>
  <c r="V32" i="4"/>
  <c r="U32" i="4"/>
  <c r="T32" i="4"/>
  <c r="P32" i="4"/>
  <c r="O32" i="4"/>
  <c r="Q32" i="4" s="1"/>
  <c r="M32" i="4"/>
  <c r="H32" i="4"/>
  <c r="C32" i="4"/>
  <c r="AB31" i="4"/>
  <c r="AD31" i="4" s="1"/>
  <c r="J31" i="4" s="1"/>
  <c r="Y31" i="4"/>
  <c r="X31" i="4"/>
  <c r="Q31" i="4"/>
  <c r="P31" i="4"/>
  <c r="O31" i="4"/>
  <c r="M31" i="4"/>
  <c r="H31" i="4"/>
  <c r="C31" i="4"/>
  <c r="AD30" i="4"/>
  <c r="J30" i="4" s="1"/>
  <c r="AB30" i="4"/>
  <c r="Y30" i="4"/>
  <c r="X30" i="4"/>
  <c r="Q30" i="4"/>
  <c r="P30" i="4"/>
  <c r="O30" i="4"/>
  <c r="M30" i="4"/>
  <c r="H30" i="4"/>
  <c r="C30" i="4"/>
  <c r="AD29" i="4"/>
  <c r="J29" i="4" s="1"/>
  <c r="AB29" i="4"/>
  <c r="Y29" i="4"/>
  <c r="X29" i="4"/>
  <c r="P29" i="4"/>
  <c r="O29" i="4"/>
  <c r="Q29" i="4" s="1"/>
  <c r="M29" i="4"/>
  <c r="H29" i="4"/>
  <c r="C29" i="4"/>
  <c r="AB28" i="4"/>
  <c r="AD28" i="4" s="1"/>
  <c r="Y28" i="4"/>
  <c r="X28" i="4"/>
  <c r="P28" i="4"/>
  <c r="Q28" i="4" s="1"/>
  <c r="O28" i="4"/>
  <c r="M28" i="4"/>
  <c r="J28" i="4"/>
  <c r="K28" i="4" s="1"/>
  <c r="H28" i="4"/>
  <c r="C28" i="4"/>
  <c r="AD27" i="4"/>
  <c r="J27" i="4" s="1"/>
  <c r="AB27" i="4"/>
  <c r="Y27" i="4"/>
  <c r="X27" i="4"/>
  <c r="Q27" i="4"/>
  <c r="P27" i="4"/>
  <c r="O27" i="4"/>
  <c r="M27" i="4"/>
  <c r="H27" i="4"/>
  <c r="C27" i="4"/>
  <c r="AD26" i="4"/>
  <c r="J26" i="4" s="1"/>
  <c r="I26" i="4" s="1"/>
  <c r="AB26" i="4"/>
  <c r="Y26" i="4"/>
  <c r="X26" i="4"/>
  <c r="P26" i="4"/>
  <c r="O26" i="4"/>
  <c r="Q26" i="4" s="1"/>
  <c r="M26" i="4"/>
  <c r="H26" i="4"/>
  <c r="C26" i="4"/>
  <c r="AB25" i="4"/>
  <c r="AD25" i="4" s="1"/>
  <c r="J25" i="4" s="1"/>
  <c r="K25" i="4" s="1"/>
  <c r="Y25" i="4"/>
  <c r="X25" i="4"/>
  <c r="Q25" i="4"/>
  <c r="P25" i="4"/>
  <c r="O25" i="4"/>
  <c r="M25" i="4"/>
  <c r="H25" i="4"/>
  <c r="C25" i="4"/>
  <c r="AB24" i="4"/>
  <c r="AD24" i="4" s="1"/>
  <c r="J24" i="4" s="1"/>
  <c r="Y24" i="4"/>
  <c r="X24" i="4"/>
  <c r="P24" i="4"/>
  <c r="O24" i="4"/>
  <c r="Q24" i="4" s="1"/>
  <c r="M24" i="4"/>
  <c r="H24" i="4"/>
  <c r="C24" i="4"/>
  <c r="AB23" i="4"/>
  <c r="AD23" i="4" s="1"/>
  <c r="J23" i="4" s="1"/>
  <c r="Y23" i="4"/>
  <c r="X23" i="4"/>
  <c r="Q23" i="4"/>
  <c r="P23" i="4"/>
  <c r="O23" i="4"/>
  <c r="M23" i="4"/>
  <c r="H23" i="4"/>
  <c r="C23" i="4"/>
  <c r="AD22" i="4"/>
  <c r="J22" i="4" s="1"/>
  <c r="AB22" i="4"/>
  <c r="Y22" i="4"/>
  <c r="X22" i="4"/>
  <c r="Q22" i="4"/>
  <c r="P22" i="4"/>
  <c r="O22" i="4"/>
  <c r="M22" i="4"/>
  <c r="H22" i="4"/>
  <c r="C22" i="4"/>
  <c r="AD21" i="4"/>
  <c r="J21" i="4" s="1"/>
  <c r="AB21" i="4"/>
  <c r="Y21" i="4"/>
  <c r="X21" i="4"/>
  <c r="P21" i="4"/>
  <c r="O21" i="4"/>
  <c r="Q21" i="4" s="1"/>
  <c r="M21" i="4"/>
  <c r="H21" i="4"/>
  <c r="C21" i="4"/>
  <c r="AB20" i="4"/>
  <c r="AD20" i="4" s="1"/>
  <c r="J20" i="4" s="1"/>
  <c r="Y20" i="4"/>
  <c r="X20" i="4"/>
  <c r="P20" i="4"/>
  <c r="Q20" i="4" s="1"/>
  <c r="O20" i="4"/>
  <c r="M20" i="4"/>
  <c r="H20" i="4"/>
  <c r="C20" i="4"/>
  <c r="AD19" i="4"/>
  <c r="AB19" i="4"/>
  <c r="Y19" i="4"/>
  <c r="X19" i="4"/>
  <c r="P19" i="4"/>
  <c r="Q19" i="4" s="1"/>
  <c r="O19" i="4"/>
  <c r="M19" i="4"/>
  <c r="H19" i="4"/>
  <c r="C19" i="4"/>
  <c r="AG3" i="4"/>
  <c r="AF3" i="4"/>
  <c r="W3" i="4"/>
  <c r="X3" i="4" s="1"/>
  <c r="V3" i="4"/>
  <c r="U3" i="4"/>
  <c r="T3" i="4"/>
  <c r="O3" i="4"/>
  <c r="G3" i="4"/>
  <c r="F3" i="4"/>
  <c r="H3" i="4" s="1"/>
  <c r="D3" i="4"/>
  <c r="C3" i="4"/>
  <c r="A2" i="4"/>
  <c r="A1" i="4"/>
  <c r="AB32" i="3"/>
  <c r="AD32" i="3" s="1"/>
  <c r="J32" i="3" s="1"/>
  <c r="Y32" i="3"/>
  <c r="X32" i="3"/>
  <c r="V32" i="3"/>
  <c r="U32" i="3"/>
  <c r="T32" i="3"/>
  <c r="P32" i="3"/>
  <c r="O32" i="3"/>
  <c r="Q32" i="3" s="1"/>
  <c r="M32" i="3"/>
  <c r="H32" i="3"/>
  <c r="C32" i="3"/>
  <c r="AD31" i="3"/>
  <c r="J31" i="3" s="1"/>
  <c r="AB31" i="3"/>
  <c r="Y31" i="3"/>
  <c r="X31" i="3"/>
  <c r="Q31" i="3"/>
  <c r="P31" i="3"/>
  <c r="O31" i="3"/>
  <c r="M31" i="3"/>
  <c r="H31" i="3"/>
  <c r="C31" i="3"/>
  <c r="AD30" i="3"/>
  <c r="J30" i="3" s="1"/>
  <c r="AB30" i="3"/>
  <c r="Y30" i="3"/>
  <c r="X30" i="3"/>
  <c r="P30" i="3"/>
  <c r="O30" i="3"/>
  <c r="Q30" i="3" s="1"/>
  <c r="M30" i="3"/>
  <c r="H30" i="3"/>
  <c r="C30" i="3"/>
  <c r="AB29" i="3"/>
  <c r="AD29" i="3" s="1"/>
  <c r="J29" i="3" s="1"/>
  <c r="Y29" i="3"/>
  <c r="X29" i="3"/>
  <c r="P29" i="3"/>
  <c r="O29" i="3"/>
  <c r="Q29" i="3" s="1"/>
  <c r="M29" i="3"/>
  <c r="H29" i="3"/>
  <c r="C29" i="3"/>
  <c r="AB28" i="3"/>
  <c r="AD28" i="3" s="1"/>
  <c r="J28" i="3" s="1"/>
  <c r="Y28" i="3"/>
  <c r="X28" i="3"/>
  <c r="P28" i="3"/>
  <c r="Q28" i="3" s="1"/>
  <c r="O28" i="3"/>
  <c r="M28" i="3"/>
  <c r="H28" i="3"/>
  <c r="C28" i="3"/>
  <c r="AD27" i="3"/>
  <c r="J27" i="3" s="1"/>
  <c r="I27" i="3" s="1"/>
  <c r="AB27" i="3"/>
  <c r="Y27" i="3"/>
  <c r="X27" i="3"/>
  <c r="P27" i="3"/>
  <c r="O27" i="3"/>
  <c r="Q27" i="3" s="1"/>
  <c r="M27" i="3"/>
  <c r="H27" i="3"/>
  <c r="C27" i="3"/>
  <c r="AB26" i="3"/>
  <c r="AD26" i="3" s="1"/>
  <c r="Y26" i="3"/>
  <c r="X26" i="3"/>
  <c r="Q26" i="3"/>
  <c r="P26" i="3"/>
  <c r="O26" i="3"/>
  <c r="M26" i="3"/>
  <c r="J26" i="3"/>
  <c r="K26" i="3" s="1"/>
  <c r="H26" i="3"/>
  <c r="C26" i="3"/>
  <c r="AD25" i="3"/>
  <c r="J25" i="3" s="1"/>
  <c r="AB25" i="3"/>
  <c r="Y25" i="3"/>
  <c r="X25" i="3"/>
  <c r="Q25" i="3"/>
  <c r="P25" i="3"/>
  <c r="O25" i="3"/>
  <c r="M25" i="3"/>
  <c r="H25" i="3"/>
  <c r="C25" i="3"/>
  <c r="AB24" i="3"/>
  <c r="AD24" i="3" s="1"/>
  <c r="J24" i="3" s="1"/>
  <c r="Y24" i="3"/>
  <c r="X24" i="3"/>
  <c r="P24" i="3"/>
  <c r="O24" i="3"/>
  <c r="Q24" i="3" s="1"/>
  <c r="M24" i="3"/>
  <c r="H24" i="3"/>
  <c r="C24" i="3"/>
  <c r="AD23" i="3"/>
  <c r="J23" i="3" s="1"/>
  <c r="K23" i="3" s="1"/>
  <c r="AB23" i="3"/>
  <c r="Y23" i="3"/>
  <c r="X23" i="3"/>
  <c r="Q23" i="3"/>
  <c r="P23" i="3"/>
  <c r="O23" i="3"/>
  <c r="M23" i="3"/>
  <c r="I23" i="3"/>
  <c r="H23" i="3"/>
  <c r="C23" i="3"/>
  <c r="AD22" i="3"/>
  <c r="J22" i="3" s="1"/>
  <c r="AB22" i="3"/>
  <c r="Y22" i="3"/>
  <c r="X22" i="3"/>
  <c r="P22" i="3"/>
  <c r="O22" i="3"/>
  <c r="M22" i="3"/>
  <c r="H22" i="3"/>
  <c r="C22" i="3"/>
  <c r="AB21" i="3"/>
  <c r="AD21" i="3" s="1"/>
  <c r="Y21" i="3"/>
  <c r="X21" i="3"/>
  <c r="P21" i="3"/>
  <c r="O21" i="3"/>
  <c r="Q21" i="3" s="1"/>
  <c r="M21" i="3"/>
  <c r="H21" i="3"/>
  <c r="C21" i="3"/>
  <c r="AG3" i="3"/>
  <c r="AF3" i="3"/>
  <c r="W3" i="3"/>
  <c r="X3" i="3" s="1"/>
  <c r="V3" i="3"/>
  <c r="U3" i="3"/>
  <c r="T3" i="3"/>
  <c r="O3" i="3"/>
  <c r="G3" i="3"/>
  <c r="H3" i="3" s="1"/>
  <c r="F3" i="3"/>
  <c r="D3" i="3"/>
  <c r="C3" i="3"/>
  <c r="A2" i="3"/>
  <c r="A1" i="3"/>
  <c r="AB32" i="2"/>
  <c r="AD32" i="2" s="1"/>
  <c r="J32" i="2" s="1"/>
  <c r="Y32" i="2"/>
  <c r="X32" i="2"/>
  <c r="V32" i="2"/>
  <c r="U32" i="2"/>
  <c r="T32" i="2"/>
  <c r="P32" i="2"/>
  <c r="O32" i="2"/>
  <c r="Q32" i="2" s="1"/>
  <c r="M32" i="2"/>
  <c r="H32" i="2"/>
  <c r="C32" i="2"/>
  <c r="AB31" i="2"/>
  <c r="AD31" i="2" s="1"/>
  <c r="J31" i="2" s="1"/>
  <c r="Y31" i="2"/>
  <c r="X31" i="2"/>
  <c r="Q31" i="2"/>
  <c r="P31" i="2"/>
  <c r="O31" i="2"/>
  <c r="M31" i="2"/>
  <c r="H31" i="2"/>
  <c r="C31" i="2"/>
  <c r="AB30" i="2"/>
  <c r="AD30" i="2" s="1"/>
  <c r="J30" i="2" s="1"/>
  <c r="K30" i="2" s="1"/>
  <c r="Y30" i="2"/>
  <c r="X30" i="2"/>
  <c r="Q30" i="2"/>
  <c r="P30" i="2"/>
  <c r="O30" i="2"/>
  <c r="M30" i="2"/>
  <c r="H30" i="2"/>
  <c r="C30" i="2"/>
  <c r="AD29" i="2"/>
  <c r="J29" i="2" s="1"/>
  <c r="AB29" i="2"/>
  <c r="Y29" i="2"/>
  <c r="X29" i="2"/>
  <c r="P29" i="2"/>
  <c r="O29" i="2"/>
  <c r="Q29" i="2" s="1"/>
  <c r="M29" i="2"/>
  <c r="H29" i="2"/>
  <c r="C29" i="2"/>
  <c r="AB28" i="2"/>
  <c r="AD28" i="2" s="1"/>
  <c r="J28" i="2" s="1"/>
  <c r="Y28" i="2"/>
  <c r="X28" i="2"/>
  <c r="P28" i="2"/>
  <c r="Q28" i="2" s="1"/>
  <c r="O28" i="2"/>
  <c r="M28" i="2"/>
  <c r="H28" i="2"/>
  <c r="C28" i="2"/>
  <c r="AD27" i="2"/>
  <c r="J27" i="2" s="1"/>
  <c r="AB27" i="2"/>
  <c r="Y27" i="2"/>
  <c r="X27" i="2"/>
  <c r="P27" i="2"/>
  <c r="Q27" i="2" s="1"/>
  <c r="O27" i="2"/>
  <c r="M27" i="2"/>
  <c r="H27" i="2"/>
  <c r="C27" i="2"/>
  <c r="AD26" i="2"/>
  <c r="J26" i="2" s="1"/>
  <c r="I26" i="2" s="1"/>
  <c r="AB26" i="2"/>
  <c r="Y26" i="2"/>
  <c r="X26" i="2"/>
  <c r="P26" i="2"/>
  <c r="O26" i="2"/>
  <c r="Q26" i="2" s="1"/>
  <c r="M26" i="2"/>
  <c r="H26" i="2"/>
  <c r="C26" i="2"/>
  <c r="AB25" i="2"/>
  <c r="AD25" i="2" s="1"/>
  <c r="J25" i="2" s="1"/>
  <c r="Y25" i="2"/>
  <c r="X25" i="2"/>
  <c r="Q25" i="2"/>
  <c r="P25" i="2"/>
  <c r="O25" i="2"/>
  <c r="M25" i="2"/>
  <c r="H25" i="2"/>
  <c r="C25" i="2"/>
  <c r="AB24" i="2"/>
  <c r="AD24" i="2" s="1"/>
  <c r="J24" i="2" s="1"/>
  <c r="Y24" i="2"/>
  <c r="X24" i="2"/>
  <c r="Q24" i="2"/>
  <c r="P24" i="2"/>
  <c r="O24" i="2"/>
  <c r="M24" i="2"/>
  <c r="H24" i="2"/>
  <c r="C24" i="2"/>
  <c r="AB23" i="2"/>
  <c r="AD23" i="2" s="1"/>
  <c r="J23" i="2" s="1"/>
  <c r="Y23" i="2"/>
  <c r="X23" i="2"/>
  <c r="Q23" i="2"/>
  <c r="P23" i="2"/>
  <c r="O23" i="2"/>
  <c r="M23" i="2"/>
  <c r="H23" i="2"/>
  <c r="C23" i="2"/>
  <c r="AB22" i="2"/>
  <c r="AD22" i="2" s="1"/>
  <c r="J22" i="2" s="1"/>
  <c r="K22" i="2" s="1"/>
  <c r="Y22" i="2"/>
  <c r="X22" i="2"/>
  <c r="Q22" i="2"/>
  <c r="P22" i="2"/>
  <c r="O22" i="2"/>
  <c r="M22" i="2"/>
  <c r="H22" i="2"/>
  <c r="C22" i="2"/>
  <c r="AD21" i="2"/>
  <c r="J21" i="2" s="1"/>
  <c r="AB21" i="2"/>
  <c r="Y21" i="2"/>
  <c r="X21" i="2"/>
  <c r="P21" i="2"/>
  <c r="O21" i="2"/>
  <c r="M21" i="2"/>
  <c r="H21" i="2"/>
  <c r="C21" i="2"/>
  <c r="AB20" i="2"/>
  <c r="AD20" i="2" s="1"/>
  <c r="Y20" i="2"/>
  <c r="X20" i="2"/>
  <c r="P20" i="2"/>
  <c r="Q20" i="2" s="1"/>
  <c r="O20" i="2"/>
  <c r="M20" i="2"/>
  <c r="H20" i="2"/>
  <c r="C20" i="2"/>
  <c r="AD19" i="2"/>
  <c r="J19" i="2" s="1"/>
  <c r="AB19" i="2"/>
  <c r="Y19" i="2"/>
  <c r="X19" i="2"/>
  <c r="P19" i="2"/>
  <c r="Q19" i="2" s="1"/>
  <c r="O19" i="2"/>
  <c r="M19" i="2"/>
  <c r="H19" i="2"/>
  <c r="C19" i="2"/>
  <c r="AD18" i="2"/>
  <c r="J18" i="2" s="1"/>
  <c r="I18" i="2" s="1"/>
  <c r="AB18" i="2"/>
  <c r="Y18" i="2"/>
  <c r="X18" i="2"/>
  <c r="P18" i="2"/>
  <c r="O18" i="2"/>
  <c r="Q18" i="2" s="1"/>
  <c r="M18" i="2"/>
  <c r="H18" i="2"/>
  <c r="C18" i="2"/>
  <c r="AG3" i="2"/>
  <c r="AF3" i="2"/>
  <c r="X3" i="2"/>
  <c r="W3" i="2"/>
  <c r="V3" i="2"/>
  <c r="U3" i="2"/>
  <c r="T3" i="2"/>
  <c r="O3" i="2"/>
  <c r="H3" i="2"/>
  <c r="G3" i="2"/>
  <c r="F3" i="2"/>
  <c r="D3" i="2"/>
  <c r="C3" i="2"/>
  <c r="A2" i="2"/>
  <c r="A1" i="2"/>
  <c r="AD32" i="1"/>
  <c r="J32" i="1" s="1"/>
  <c r="K32" i="1" s="1"/>
  <c r="AB32" i="1"/>
  <c r="Y32" i="1"/>
  <c r="X32" i="1"/>
  <c r="V32" i="1"/>
  <c r="U32" i="1"/>
  <c r="T32" i="1"/>
  <c r="Q32" i="1"/>
  <c r="P32" i="1"/>
  <c r="O32" i="1"/>
  <c r="M32" i="1"/>
  <c r="I32" i="1"/>
  <c r="H32" i="1"/>
  <c r="C32" i="1"/>
  <c r="AD31" i="1"/>
  <c r="J31" i="1" s="1"/>
  <c r="AB31" i="1"/>
  <c r="Y31" i="1"/>
  <c r="X31" i="1"/>
  <c r="P31" i="1"/>
  <c r="O31" i="1"/>
  <c r="Q31" i="1" s="1"/>
  <c r="M31" i="1"/>
  <c r="H31" i="1"/>
  <c r="C31" i="1"/>
  <c r="AD30" i="1"/>
  <c r="AB30" i="1"/>
  <c r="Y30" i="1"/>
  <c r="X30" i="1"/>
  <c r="P30" i="1"/>
  <c r="O30" i="1"/>
  <c r="Q30" i="1" s="1"/>
  <c r="M30" i="1"/>
  <c r="J30" i="1"/>
  <c r="K30" i="1" s="1"/>
  <c r="H30" i="1"/>
  <c r="C30" i="1"/>
  <c r="AB29" i="1"/>
  <c r="AD29" i="1" s="1"/>
  <c r="J29" i="1" s="1"/>
  <c r="Y29" i="1"/>
  <c r="X29" i="1"/>
  <c r="P29" i="1"/>
  <c r="Q29" i="1" s="1"/>
  <c r="O29" i="1"/>
  <c r="M29" i="1"/>
  <c r="H29" i="1"/>
  <c r="C29" i="1"/>
  <c r="AD28" i="1"/>
  <c r="J28" i="1" s="1"/>
  <c r="I28" i="1" s="1"/>
  <c r="AB28" i="1"/>
  <c r="Y28" i="1"/>
  <c r="X28" i="1"/>
  <c r="P28" i="1"/>
  <c r="O28" i="1"/>
  <c r="Q28" i="1" s="1"/>
  <c r="M28" i="1"/>
  <c r="K28" i="1"/>
  <c r="H28" i="1"/>
  <c r="C28" i="1"/>
  <c r="AB27" i="1"/>
  <c r="AD27" i="1" s="1"/>
  <c r="J27" i="1" s="1"/>
  <c r="Y27" i="1"/>
  <c r="X27" i="1"/>
  <c r="Q27" i="1"/>
  <c r="P27" i="1"/>
  <c r="O27" i="1"/>
  <c r="M27" i="1"/>
  <c r="H27" i="1"/>
  <c r="C27" i="1"/>
  <c r="AB26" i="1"/>
  <c r="AD26" i="1" s="1"/>
  <c r="J26" i="1" s="1"/>
  <c r="Y26" i="1"/>
  <c r="X26" i="1"/>
  <c r="P26" i="1"/>
  <c r="O26" i="1"/>
  <c r="Q26" i="1" s="1"/>
  <c r="M26" i="1"/>
  <c r="H26" i="1"/>
  <c r="C26" i="1"/>
  <c r="AB25" i="1"/>
  <c r="AD25" i="1" s="1"/>
  <c r="J25" i="1" s="1"/>
  <c r="Y25" i="1"/>
  <c r="X25" i="1"/>
  <c r="P25" i="1"/>
  <c r="O25" i="1"/>
  <c r="Q25" i="1" s="1"/>
  <c r="M25" i="1"/>
  <c r="H25" i="1"/>
  <c r="C25" i="1"/>
  <c r="AB24" i="1"/>
  <c r="AD24" i="1" s="1"/>
  <c r="J24" i="1" s="1"/>
  <c r="K24" i="1" s="1"/>
  <c r="Y24" i="1"/>
  <c r="X24" i="1"/>
  <c r="Q24" i="1"/>
  <c r="P24" i="1"/>
  <c r="O24" i="1"/>
  <c r="M24" i="1"/>
  <c r="H24" i="1"/>
  <c r="C24" i="1"/>
  <c r="AD23" i="1"/>
  <c r="J23" i="1" s="1"/>
  <c r="AB23" i="1"/>
  <c r="Y23" i="1"/>
  <c r="X23" i="1"/>
  <c r="P23" i="1"/>
  <c r="O23" i="1"/>
  <c r="M23" i="1"/>
  <c r="H23" i="1"/>
  <c r="C23" i="1"/>
  <c r="AB22" i="1"/>
  <c r="AD22" i="1" s="1"/>
  <c r="J22" i="1" s="1"/>
  <c r="Y22" i="1"/>
  <c r="X22" i="1"/>
  <c r="P22" i="1"/>
  <c r="O22" i="1"/>
  <c r="Q22" i="1" s="1"/>
  <c r="M22" i="1"/>
  <c r="H22" i="1"/>
  <c r="C22" i="1"/>
  <c r="AB21" i="1"/>
  <c r="AD21" i="1" s="1"/>
  <c r="J21" i="1" s="1"/>
  <c r="Y21" i="1"/>
  <c r="X21" i="1"/>
  <c r="Q21" i="1"/>
  <c r="P21" i="1"/>
  <c r="O21" i="1"/>
  <c r="M21" i="1"/>
  <c r="H21" i="1"/>
  <c r="C21" i="1"/>
  <c r="AD20" i="1"/>
  <c r="J20" i="1" s="1"/>
  <c r="I20" i="1" s="1"/>
  <c r="AB20" i="1"/>
  <c r="Y20" i="1"/>
  <c r="X20" i="1"/>
  <c r="P20" i="1"/>
  <c r="O20" i="1"/>
  <c r="Q20" i="1" s="1"/>
  <c r="M20" i="1"/>
  <c r="H20" i="1"/>
  <c r="C20" i="1"/>
  <c r="AB19" i="1"/>
  <c r="AD19" i="1" s="1"/>
  <c r="J19" i="1" s="1"/>
  <c r="Y19" i="1"/>
  <c r="X19" i="1"/>
  <c r="Q19" i="1"/>
  <c r="P19" i="1"/>
  <c r="O19" i="1"/>
  <c r="M19" i="1"/>
  <c r="H19" i="1"/>
  <c r="C19" i="1"/>
  <c r="AB18" i="1"/>
  <c r="AD18" i="1" s="1"/>
  <c r="J18" i="1" s="1"/>
  <c r="Y18" i="1"/>
  <c r="X18" i="1"/>
  <c r="P18" i="1"/>
  <c r="O18" i="1"/>
  <c r="Q18" i="1" s="1"/>
  <c r="M18" i="1"/>
  <c r="H18" i="1"/>
  <c r="C18" i="1"/>
  <c r="AD17" i="1"/>
  <c r="AB17" i="1"/>
  <c r="Y17" i="1"/>
  <c r="X17" i="1"/>
  <c r="P17" i="1"/>
  <c r="O17" i="1"/>
  <c r="Q17" i="1" s="1"/>
  <c r="M17" i="1"/>
  <c r="J17" i="1"/>
  <c r="I17" i="1" s="1"/>
  <c r="H17" i="1"/>
  <c r="C17" i="1"/>
  <c r="AB16" i="1"/>
  <c r="AD16" i="1" s="1"/>
  <c r="J16" i="1" s="1"/>
  <c r="K16" i="1" s="1"/>
  <c r="Y16" i="1"/>
  <c r="X16" i="1"/>
  <c r="Q16" i="1"/>
  <c r="P16" i="1"/>
  <c r="O16" i="1"/>
  <c r="M16" i="1"/>
  <c r="H16" i="1"/>
  <c r="C16" i="1"/>
  <c r="AD15" i="1"/>
  <c r="J15" i="1" s="1"/>
  <c r="AB15" i="1"/>
  <c r="Y15" i="1"/>
  <c r="X15" i="1"/>
  <c r="P15" i="1"/>
  <c r="O15" i="1"/>
  <c r="Q15" i="1" s="1"/>
  <c r="M15" i="1"/>
  <c r="H15" i="1"/>
  <c r="C15" i="1"/>
  <c r="AB14" i="1"/>
  <c r="AD14" i="1" s="1"/>
  <c r="Y14" i="1"/>
  <c r="X14" i="1"/>
  <c r="P14" i="1"/>
  <c r="O14" i="1"/>
  <c r="Q14" i="1" s="1"/>
  <c r="M14" i="1"/>
  <c r="H14" i="1"/>
  <c r="C14" i="1"/>
  <c r="AG3" i="1"/>
  <c r="AF3" i="1"/>
  <c r="X3" i="1"/>
  <c r="W3" i="1"/>
  <c r="V3" i="1"/>
  <c r="U3" i="1"/>
  <c r="T3" i="1"/>
  <c r="O3" i="1"/>
  <c r="G3" i="1"/>
  <c r="H3" i="1" s="1"/>
  <c r="F3" i="1"/>
  <c r="D3" i="1"/>
  <c r="C3" i="1"/>
  <c r="A2" i="1"/>
  <c r="A1" i="1"/>
  <c r="K19" i="1" l="1"/>
  <c r="I19" i="1"/>
  <c r="K32" i="2"/>
  <c r="I32" i="2"/>
  <c r="I31" i="4"/>
  <c r="K31" i="4"/>
  <c r="K24" i="6"/>
  <c r="I24" i="6"/>
  <c r="I29" i="8"/>
  <c r="K29" i="8"/>
  <c r="I20" i="9"/>
  <c r="K20" i="9"/>
  <c r="I24" i="11"/>
  <c r="K24" i="11"/>
  <c r="I31" i="13"/>
  <c r="K31" i="13"/>
  <c r="I31" i="14"/>
  <c r="K31" i="14"/>
  <c r="I23" i="15"/>
  <c r="K23" i="15"/>
  <c r="AD3" i="18"/>
  <c r="J4" i="18"/>
  <c r="K28" i="2"/>
  <c r="I28" i="2"/>
  <c r="I24" i="3"/>
  <c r="K24" i="3"/>
  <c r="AD3" i="10"/>
  <c r="J18" i="10"/>
  <c r="I26" i="10"/>
  <c r="K26" i="10"/>
  <c r="I23" i="13"/>
  <c r="K23" i="13"/>
  <c r="K25" i="2"/>
  <c r="I25" i="2"/>
  <c r="K24" i="12"/>
  <c r="I24" i="12"/>
  <c r="K20" i="16"/>
  <c r="I20" i="16"/>
  <c r="K22" i="1"/>
  <c r="I22" i="1"/>
  <c r="J20" i="2"/>
  <c r="AD3" i="2"/>
  <c r="K19" i="7"/>
  <c r="I19" i="7"/>
  <c r="K27" i="7"/>
  <c r="I27" i="7"/>
  <c r="K32" i="9"/>
  <c r="I32" i="9"/>
  <c r="I27" i="12"/>
  <c r="K27" i="12"/>
  <c r="I23" i="16"/>
  <c r="K23" i="16"/>
  <c r="I31" i="16"/>
  <c r="K31" i="16"/>
  <c r="I29" i="24"/>
  <c r="K29" i="24"/>
  <c r="I23" i="4"/>
  <c r="K23" i="4"/>
  <c r="I23" i="14"/>
  <c r="K23" i="14"/>
  <c r="I28" i="17"/>
  <c r="K28" i="17"/>
  <c r="AD3" i="1"/>
  <c r="J14" i="1"/>
  <c r="K20" i="4"/>
  <c r="I20" i="4"/>
  <c r="I27" i="6"/>
  <c r="K27" i="6"/>
  <c r="K12" i="14"/>
  <c r="I12" i="14"/>
  <c r="I7" i="15"/>
  <c r="K7" i="15"/>
  <c r="K28" i="15"/>
  <c r="I28" i="15"/>
  <c r="I7" i="16"/>
  <c r="K7" i="16"/>
  <c r="I15" i="16"/>
  <c r="K15" i="16"/>
  <c r="I23" i="17"/>
  <c r="K23" i="17"/>
  <c r="K12" i="15"/>
  <c r="I12" i="15"/>
  <c r="I19" i="12"/>
  <c r="K19" i="12"/>
  <c r="K20" i="14"/>
  <c r="I20" i="14"/>
  <c r="I21" i="25"/>
  <c r="K21" i="25"/>
  <c r="I28" i="5"/>
  <c r="K28" i="5"/>
  <c r="J21" i="8"/>
  <c r="AD3" i="8"/>
  <c r="I16" i="20"/>
  <c r="K16" i="20"/>
  <c r="K27" i="1"/>
  <c r="I27" i="1"/>
  <c r="I23" i="2"/>
  <c r="K23" i="2"/>
  <c r="AD3" i="3"/>
  <c r="J21" i="3"/>
  <c r="I32" i="3"/>
  <c r="K32" i="3"/>
  <c r="I22" i="7"/>
  <c r="K22" i="7"/>
  <c r="I30" i="7"/>
  <c r="K30" i="7"/>
  <c r="J3" i="8"/>
  <c r="K25" i="9"/>
  <c r="I25" i="9"/>
  <c r="K20" i="13"/>
  <c r="I20" i="13"/>
  <c r="K28" i="13"/>
  <c r="I28" i="13"/>
  <c r="K29" i="21"/>
  <c r="I29" i="21"/>
  <c r="I25" i="1"/>
  <c r="K25" i="1"/>
  <c r="I31" i="2"/>
  <c r="K31" i="2"/>
  <c r="K29" i="3"/>
  <c r="I29" i="3"/>
  <c r="K23" i="10"/>
  <c r="I23" i="10"/>
  <c r="K31" i="10"/>
  <c r="I31" i="10"/>
  <c r="I7" i="14"/>
  <c r="K7" i="14"/>
  <c r="I15" i="14"/>
  <c r="K15" i="14"/>
  <c r="K20" i="15"/>
  <c r="I20" i="15"/>
  <c r="I31" i="15"/>
  <c r="K31" i="15"/>
  <c r="I7" i="17"/>
  <c r="K7" i="17"/>
  <c r="I15" i="17"/>
  <c r="K15" i="17"/>
  <c r="K21" i="7"/>
  <c r="I21" i="7"/>
  <c r="K29" i="13"/>
  <c r="I29" i="13"/>
  <c r="K13" i="15"/>
  <c r="I13" i="15"/>
  <c r="K30" i="23"/>
  <c r="I30" i="23"/>
  <c r="K30" i="24"/>
  <c r="I30" i="24"/>
  <c r="K23" i="29"/>
  <c r="I23" i="29"/>
  <c r="I17" i="47"/>
  <c r="K17" i="47"/>
  <c r="K22" i="47"/>
  <c r="I22" i="47"/>
  <c r="K8" i="52"/>
  <c r="I8" i="52"/>
  <c r="I30" i="52"/>
  <c r="K30" i="52"/>
  <c r="K25" i="8"/>
  <c r="I25" i="8"/>
  <c r="AD3" i="12"/>
  <c r="K20" i="12"/>
  <c r="I20" i="12"/>
  <c r="K13" i="14"/>
  <c r="I13" i="14"/>
  <c r="K11" i="17"/>
  <c r="I11" i="17"/>
  <c r="K32" i="18"/>
  <c r="I32" i="18"/>
  <c r="AD3" i="20"/>
  <c r="J4" i="20"/>
  <c r="I32" i="21"/>
  <c r="K32" i="21"/>
  <c r="K18" i="1"/>
  <c r="I18" i="1"/>
  <c r="I25" i="4"/>
  <c r="K30" i="4"/>
  <c r="I30" i="4"/>
  <c r="K32" i="4"/>
  <c r="I32" i="4"/>
  <c r="K29" i="5"/>
  <c r="I29" i="5"/>
  <c r="K25" i="6"/>
  <c r="I25" i="6"/>
  <c r="K25" i="7"/>
  <c r="K26" i="7"/>
  <c r="I26" i="7"/>
  <c r="H3" i="9"/>
  <c r="I22" i="9"/>
  <c r="K27" i="9"/>
  <c r="I27" i="9"/>
  <c r="K21" i="10"/>
  <c r="K29" i="10"/>
  <c r="K32" i="10"/>
  <c r="I32" i="10"/>
  <c r="K23" i="11"/>
  <c r="I23" i="11"/>
  <c r="I26" i="11"/>
  <c r="K31" i="11"/>
  <c r="I31" i="11"/>
  <c r="K25" i="12"/>
  <c r="I25" i="12"/>
  <c r="I29" i="12"/>
  <c r="AD3" i="13"/>
  <c r="J16" i="13"/>
  <c r="K30" i="13"/>
  <c r="I30" i="13"/>
  <c r="K32" i="13"/>
  <c r="I32" i="13"/>
  <c r="AD3" i="14"/>
  <c r="K14" i="14"/>
  <c r="I14" i="14"/>
  <c r="Q16" i="14"/>
  <c r="K27" i="14"/>
  <c r="I27" i="14"/>
  <c r="K8" i="15"/>
  <c r="I8" i="15"/>
  <c r="K14" i="15"/>
  <c r="I14" i="15"/>
  <c r="Q16" i="15"/>
  <c r="K18" i="15"/>
  <c r="K24" i="15"/>
  <c r="I24" i="15"/>
  <c r="K30" i="15"/>
  <c r="I30" i="15"/>
  <c r="Q32" i="15"/>
  <c r="K32" i="15"/>
  <c r="I32" i="15"/>
  <c r="AD3" i="16"/>
  <c r="K5" i="16"/>
  <c r="I5" i="16"/>
  <c r="I9" i="16"/>
  <c r="K21" i="16"/>
  <c r="I21" i="16"/>
  <c r="I25" i="16"/>
  <c r="K28" i="18"/>
  <c r="K18" i="19"/>
  <c r="I18" i="19"/>
  <c r="K32" i="19"/>
  <c r="K21" i="20"/>
  <c r="I21" i="20"/>
  <c r="AD3" i="21"/>
  <c r="J4" i="21"/>
  <c r="K17" i="21"/>
  <c r="I17" i="21"/>
  <c r="I24" i="21"/>
  <c r="K24" i="21"/>
  <c r="K26" i="22"/>
  <c r="I26" i="22"/>
  <c r="I30" i="22"/>
  <c r="J29" i="23"/>
  <c r="I13" i="25"/>
  <c r="K13" i="25"/>
  <c r="I22" i="29"/>
  <c r="K22" i="29"/>
  <c r="K24" i="29"/>
  <c r="I24" i="29"/>
  <c r="I30" i="29"/>
  <c r="K30" i="29"/>
  <c r="K17" i="1"/>
  <c r="K26" i="1"/>
  <c r="I26" i="1"/>
  <c r="K18" i="2"/>
  <c r="K27" i="3"/>
  <c r="K28" i="3"/>
  <c r="I28" i="3"/>
  <c r="I22" i="4"/>
  <c r="K22" i="4"/>
  <c r="AD3" i="5"/>
  <c r="I29" i="6"/>
  <c r="K17" i="7"/>
  <c r="K18" i="7"/>
  <c r="I18" i="7"/>
  <c r="K30" i="8"/>
  <c r="I30" i="8"/>
  <c r="AD3" i="9"/>
  <c r="K31" i="9"/>
  <c r="K22" i="10"/>
  <c r="I22" i="10"/>
  <c r="K30" i="10"/>
  <c r="I30" i="10"/>
  <c r="K26" i="12"/>
  <c r="I26" i="12"/>
  <c r="K21" i="13"/>
  <c r="I21" i="13"/>
  <c r="I25" i="13"/>
  <c r="K5" i="14"/>
  <c r="I5" i="14"/>
  <c r="K19" i="15"/>
  <c r="I19" i="15"/>
  <c r="K6" i="16"/>
  <c r="I6" i="16"/>
  <c r="K16" i="16"/>
  <c r="I16" i="16"/>
  <c r="K22" i="16"/>
  <c r="I22" i="16"/>
  <c r="K13" i="17"/>
  <c r="I13" i="17"/>
  <c r="I17" i="17"/>
  <c r="K24" i="17"/>
  <c r="I24" i="17"/>
  <c r="K28" i="19"/>
  <c r="I28" i="19"/>
  <c r="K5" i="21"/>
  <c r="I5" i="21"/>
  <c r="K16" i="21"/>
  <c r="K13" i="22"/>
  <c r="I13" i="22"/>
  <c r="K25" i="22"/>
  <c r="K26" i="25"/>
  <c r="I26" i="25"/>
  <c r="K27" i="25"/>
  <c r="I27" i="25"/>
  <c r="I11" i="27"/>
  <c r="K11" i="27"/>
  <c r="I27" i="27"/>
  <c r="K27" i="27"/>
  <c r="K29" i="27"/>
  <c r="I29" i="27"/>
  <c r="K20" i="32"/>
  <c r="I20" i="32"/>
  <c r="K15" i="1"/>
  <c r="I15" i="1"/>
  <c r="I30" i="1"/>
  <c r="K19" i="2"/>
  <c r="I19" i="2"/>
  <c r="Q21" i="2"/>
  <c r="I22" i="2"/>
  <c r="K29" i="2"/>
  <c r="I29" i="2"/>
  <c r="K26" i="4"/>
  <c r="J25" i="5"/>
  <c r="K26" i="5"/>
  <c r="I26" i="5"/>
  <c r="Q20" i="6"/>
  <c r="I21" i="6"/>
  <c r="K26" i="6"/>
  <c r="I26" i="6"/>
  <c r="K31" i="7"/>
  <c r="I31" i="7"/>
  <c r="K22" i="8"/>
  <c r="I22" i="8"/>
  <c r="I26" i="8"/>
  <c r="K23" i="9"/>
  <c r="K24" i="9"/>
  <c r="I24" i="9"/>
  <c r="K19" i="11"/>
  <c r="K27" i="11"/>
  <c r="I16" i="12"/>
  <c r="K17" i="12"/>
  <c r="I17" i="12"/>
  <c r="I21" i="12"/>
  <c r="K30" i="12"/>
  <c r="K22" i="13"/>
  <c r="I22" i="13"/>
  <c r="Q24" i="13"/>
  <c r="J4" i="14"/>
  <c r="K6" i="14"/>
  <c r="I6" i="14"/>
  <c r="Q8" i="14"/>
  <c r="K19" i="14"/>
  <c r="I19" i="14"/>
  <c r="K24" i="14"/>
  <c r="I24" i="14"/>
  <c r="K29" i="14"/>
  <c r="I29" i="14"/>
  <c r="J4" i="16"/>
  <c r="K11" i="16"/>
  <c r="I11" i="16"/>
  <c r="K27" i="16"/>
  <c r="I27" i="16"/>
  <c r="K8" i="17"/>
  <c r="I8" i="17"/>
  <c r="I12" i="17"/>
  <c r="K14" i="17"/>
  <c r="I14" i="17"/>
  <c r="Q16" i="17"/>
  <c r="K18" i="17"/>
  <c r="K5" i="18"/>
  <c r="I5" i="18"/>
  <c r="K27" i="19"/>
  <c r="K12" i="20"/>
  <c r="I12" i="20"/>
  <c r="K30" i="21"/>
  <c r="I30" i="21"/>
  <c r="K9" i="22"/>
  <c r="I9" i="22"/>
  <c r="I24" i="23"/>
  <c r="K24" i="23"/>
  <c r="K9" i="24"/>
  <c r="I9" i="24"/>
  <c r="K10" i="24"/>
  <c r="I10" i="24"/>
  <c r="I24" i="24"/>
  <c r="K24" i="24"/>
  <c r="I29" i="25"/>
  <c r="K29" i="25"/>
  <c r="K8" i="27"/>
  <c r="I8" i="27"/>
  <c r="K18" i="27"/>
  <c r="I18" i="27"/>
  <c r="K24" i="27"/>
  <c r="I24" i="27"/>
  <c r="K18" i="28"/>
  <c r="I18" i="28"/>
  <c r="K22" i="3"/>
  <c r="I22" i="3"/>
  <c r="K25" i="3"/>
  <c r="I25" i="3"/>
  <c r="K27" i="4"/>
  <c r="I27" i="4"/>
  <c r="K32" i="5"/>
  <c r="I32" i="5"/>
  <c r="K31" i="6"/>
  <c r="I31" i="6"/>
  <c r="K23" i="7"/>
  <c r="I23" i="7"/>
  <c r="K27" i="8"/>
  <c r="I27" i="8"/>
  <c r="K19" i="10"/>
  <c r="I19" i="10"/>
  <c r="K27" i="10"/>
  <c r="I27" i="10"/>
  <c r="K20" i="11"/>
  <c r="I20" i="11"/>
  <c r="K28" i="11"/>
  <c r="I28" i="11"/>
  <c r="K18" i="12"/>
  <c r="I18" i="12"/>
  <c r="K31" i="12"/>
  <c r="I31" i="12"/>
  <c r="K30" i="14"/>
  <c r="I30" i="14"/>
  <c r="K32" i="14"/>
  <c r="I32" i="14"/>
  <c r="AD3" i="15"/>
  <c r="K5" i="15"/>
  <c r="I5" i="15"/>
  <c r="K21" i="15"/>
  <c r="I21" i="15"/>
  <c r="I25" i="15"/>
  <c r="K19" i="17"/>
  <c r="I19" i="17"/>
  <c r="I15" i="18"/>
  <c r="K15" i="18"/>
  <c r="K24" i="18"/>
  <c r="I24" i="18"/>
  <c r="K11" i="20"/>
  <c r="K29" i="20"/>
  <c r="I29" i="20"/>
  <c r="K26" i="26"/>
  <c r="I26" i="26"/>
  <c r="K19" i="31"/>
  <c r="I19" i="31"/>
  <c r="K24" i="31"/>
  <c r="I24" i="31"/>
  <c r="AD3" i="11"/>
  <c r="J18" i="11"/>
  <c r="K22" i="11"/>
  <c r="I22" i="11"/>
  <c r="J3" i="17"/>
  <c r="K4" i="17"/>
  <c r="K16" i="47"/>
  <c r="I16" i="47"/>
  <c r="K26" i="2"/>
  <c r="AD3" i="4"/>
  <c r="K27" i="5"/>
  <c r="I27" i="5"/>
  <c r="K22" i="6"/>
  <c r="K23" i="6"/>
  <c r="I23" i="6"/>
  <c r="J3" i="7"/>
  <c r="K15" i="7"/>
  <c r="I15" i="7"/>
  <c r="K28" i="7"/>
  <c r="I28" i="7"/>
  <c r="K19" i="8"/>
  <c r="I19" i="8"/>
  <c r="I31" i="8"/>
  <c r="K28" i="9"/>
  <c r="K29" i="9"/>
  <c r="I29" i="9"/>
  <c r="K32" i="11"/>
  <c r="K22" i="12"/>
  <c r="K27" i="13"/>
  <c r="I27" i="13"/>
  <c r="K11" i="14"/>
  <c r="I11" i="14"/>
  <c r="K16" i="14"/>
  <c r="I16" i="14"/>
  <c r="K6" i="15"/>
  <c r="I6" i="15"/>
  <c r="K10" i="15"/>
  <c r="K15" i="15"/>
  <c r="K16" i="15"/>
  <c r="I16" i="15"/>
  <c r="K22" i="15"/>
  <c r="I22" i="15"/>
  <c r="K26" i="15"/>
  <c r="K13" i="16"/>
  <c r="I13" i="16"/>
  <c r="K29" i="16"/>
  <c r="I29" i="16"/>
  <c r="I25" i="17"/>
  <c r="K25" i="18"/>
  <c r="I25" i="18"/>
  <c r="I8" i="20"/>
  <c r="K8" i="20"/>
  <c r="K13" i="21"/>
  <c r="I13" i="21"/>
  <c r="K22" i="22"/>
  <c r="I22" i="22"/>
  <c r="I5" i="24"/>
  <c r="K5" i="24"/>
  <c r="K12" i="26"/>
  <c r="I12" i="26"/>
  <c r="I22" i="26"/>
  <c r="K22" i="26"/>
  <c r="K21" i="2"/>
  <c r="I21" i="2"/>
  <c r="I31" i="3"/>
  <c r="K31" i="3"/>
  <c r="K21" i="4"/>
  <c r="I21" i="4"/>
  <c r="K20" i="6"/>
  <c r="I20" i="6"/>
  <c r="K30" i="11"/>
  <c r="I30" i="11"/>
  <c r="K29" i="17"/>
  <c r="I29" i="17"/>
  <c r="K9" i="21"/>
  <c r="I9" i="21"/>
  <c r="K23" i="1"/>
  <c r="I23" i="1"/>
  <c r="K31" i="1"/>
  <c r="I31" i="1"/>
  <c r="I16" i="1"/>
  <c r="K27" i="2"/>
  <c r="I27" i="2"/>
  <c r="I30" i="2"/>
  <c r="K30" i="3"/>
  <c r="I30" i="3"/>
  <c r="K24" i="4"/>
  <c r="I24" i="4"/>
  <c r="K20" i="7"/>
  <c r="I20" i="7"/>
  <c r="Q31" i="7"/>
  <c r="Q22" i="8"/>
  <c r="I23" i="8"/>
  <c r="K28" i="8"/>
  <c r="I28" i="8"/>
  <c r="K21" i="9"/>
  <c r="I21" i="9"/>
  <c r="K24" i="10"/>
  <c r="I24" i="10"/>
  <c r="K25" i="11"/>
  <c r="I25" i="11"/>
  <c r="K23" i="12"/>
  <c r="I23" i="12"/>
  <c r="K28" i="12"/>
  <c r="I28" i="12"/>
  <c r="K18" i="13"/>
  <c r="K21" i="14"/>
  <c r="I21" i="14"/>
  <c r="I25" i="14"/>
  <c r="J4" i="15"/>
  <c r="K11" i="15"/>
  <c r="I11" i="15"/>
  <c r="K27" i="15"/>
  <c r="I27" i="15"/>
  <c r="K8" i="16"/>
  <c r="I8" i="16"/>
  <c r="I12" i="16"/>
  <c r="K14" i="16"/>
  <c r="I14" i="16"/>
  <c r="Q16" i="16"/>
  <c r="K24" i="16"/>
  <c r="I24" i="16"/>
  <c r="I28" i="16"/>
  <c r="K30" i="16"/>
  <c r="I30" i="16"/>
  <c r="Q32" i="16"/>
  <c r="K32" i="16"/>
  <c r="I32" i="16"/>
  <c r="AD3" i="17"/>
  <c r="K5" i="17"/>
  <c r="I5" i="17"/>
  <c r="I9" i="17"/>
  <c r="K21" i="17"/>
  <c r="I21" i="17"/>
  <c r="Q24" i="17"/>
  <c r="K27" i="17"/>
  <c r="I27" i="17"/>
  <c r="K9" i="18"/>
  <c r="I9" i="18"/>
  <c r="K10" i="18"/>
  <c r="I10" i="18"/>
  <c r="K17" i="18"/>
  <c r="I17" i="18"/>
  <c r="K21" i="19"/>
  <c r="I21" i="19"/>
  <c r="K23" i="19"/>
  <c r="I23" i="19"/>
  <c r="I24" i="19"/>
  <c r="K24" i="19"/>
  <c r="K18" i="22"/>
  <c r="I18" i="22"/>
  <c r="I18" i="23"/>
  <c r="K19" i="23"/>
  <c r="I19" i="23"/>
  <c r="I18" i="24"/>
  <c r="K19" i="24"/>
  <c r="I19" i="24"/>
  <c r="AD3" i="25"/>
  <c r="I5" i="25"/>
  <c r="K5" i="25"/>
  <c r="K6" i="26"/>
  <c r="I22" i="30"/>
  <c r="K22" i="30"/>
  <c r="K23" i="30"/>
  <c r="I23" i="30"/>
  <c r="K29" i="1"/>
  <c r="I29" i="1"/>
  <c r="K29" i="15"/>
  <c r="I29" i="15"/>
  <c r="K29" i="18"/>
  <c r="I29" i="18"/>
  <c r="K20" i="20"/>
  <c r="I20" i="20"/>
  <c r="K20" i="1"/>
  <c r="K21" i="1"/>
  <c r="I21" i="1"/>
  <c r="Q23" i="1"/>
  <c r="I24" i="1"/>
  <c r="K24" i="2"/>
  <c r="I24" i="2"/>
  <c r="Q22" i="3"/>
  <c r="I26" i="3"/>
  <c r="I28" i="4"/>
  <c r="K29" i="4"/>
  <c r="I29" i="4"/>
  <c r="I19" i="6"/>
  <c r="J3" i="6"/>
  <c r="AD3" i="6"/>
  <c r="K28" i="6"/>
  <c r="I28" i="6"/>
  <c r="I32" i="6"/>
  <c r="AD3" i="7"/>
  <c r="J16" i="7"/>
  <c r="Q23" i="7"/>
  <c r="K29" i="7"/>
  <c r="I29" i="7"/>
  <c r="K20" i="8"/>
  <c r="I20" i="8"/>
  <c r="K26" i="9"/>
  <c r="I26" i="9"/>
  <c r="Q19" i="10"/>
  <c r="I20" i="10"/>
  <c r="K25" i="10"/>
  <c r="I25" i="10"/>
  <c r="Q27" i="10"/>
  <c r="I28" i="10"/>
  <c r="I21" i="11"/>
  <c r="I29" i="11"/>
  <c r="I32" i="12"/>
  <c r="K19" i="13"/>
  <c r="I19" i="13"/>
  <c r="K24" i="13"/>
  <c r="I24" i="13"/>
  <c r="K8" i="14"/>
  <c r="I8" i="14"/>
  <c r="K22" i="14"/>
  <c r="I22" i="14"/>
  <c r="Q24" i="14"/>
  <c r="K19" i="16"/>
  <c r="I19" i="16"/>
  <c r="I4" i="17"/>
  <c r="K6" i="17"/>
  <c r="I6" i="17"/>
  <c r="Q8" i="17"/>
  <c r="K16" i="17"/>
  <c r="I16" i="17"/>
  <c r="I20" i="17"/>
  <c r="K22" i="17"/>
  <c r="I22" i="17"/>
  <c r="I20" i="18"/>
  <c r="K20" i="18"/>
  <c r="AD3" i="19"/>
  <c r="J16" i="19"/>
  <c r="K25" i="20"/>
  <c r="I25" i="20"/>
  <c r="K32" i="22"/>
  <c r="I32" i="22"/>
  <c r="K20" i="23"/>
  <c r="I20" i="23"/>
  <c r="I21" i="23"/>
  <c r="K21" i="23"/>
  <c r="I32" i="23"/>
  <c r="K32" i="23"/>
  <c r="K20" i="24"/>
  <c r="I20" i="24"/>
  <c r="I21" i="24"/>
  <c r="K21" i="24"/>
  <c r="I32" i="24"/>
  <c r="K32" i="24"/>
  <c r="K17" i="25"/>
  <c r="I17" i="25"/>
  <c r="K18" i="25"/>
  <c r="I18" i="25"/>
  <c r="I27" i="28"/>
  <c r="K27" i="28"/>
  <c r="I14" i="31"/>
  <c r="K14" i="31"/>
  <c r="I18" i="30"/>
  <c r="K18" i="30"/>
  <c r="K23" i="31"/>
  <c r="I23" i="31"/>
  <c r="I30" i="31"/>
  <c r="K30" i="31"/>
  <c r="K16" i="32"/>
  <c r="I16" i="32"/>
  <c r="K23" i="33"/>
  <c r="I23" i="33"/>
  <c r="I31" i="33"/>
  <c r="K31" i="33"/>
  <c r="I31" i="35"/>
  <c r="K31" i="35"/>
  <c r="I15" i="37"/>
  <c r="K15" i="37"/>
  <c r="K28" i="37"/>
  <c r="I28" i="37"/>
  <c r="K29" i="37"/>
  <c r="I29" i="37"/>
  <c r="AD3" i="39"/>
  <c r="J4" i="39"/>
  <c r="K5" i="39"/>
  <c r="I5" i="39"/>
  <c r="K23" i="44"/>
  <c r="I23" i="44"/>
  <c r="K7" i="45"/>
  <c r="I7" i="45"/>
  <c r="K11" i="18"/>
  <c r="I11" i="18"/>
  <c r="K17" i="20"/>
  <c r="I17" i="20"/>
  <c r="K22" i="21"/>
  <c r="I22" i="21"/>
  <c r="K31" i="21"/>
  <c r="I31" i="21"/>
  <c r="AD3" i="22"/>
  <c r="K31" i="22"/>
  <c r="I31" i="22"/>
  <c r="K25" i="23"/>
  <c r="I25" i="23"/>
  <c r="K6" i="24"/>
  <c r="I6" i="24"/>
  <c r="K25" i="24"/>
  <c r="I25" i="24"/>
  <c r="K9" i="25"/>
  <c r="I9" i="25"/>
  <c r="K14" i="25"/>
  <c r="I14" i="25"/>
  <c r="I22" i="25"/>
  <c r="K22" i="25"/>
  <c r="K28" i="26"/>
  <c r="I28" i="26"/>
  <c r="K8" i="28"/>
  <c r="I8" i="28"/>
  <c r="K13" i="28"/>
  <c r="I13" i="28"/>
  <c r="K15" i="31"/>
  <c r="I15" i="31"/>
  <c r="I15" i="32"/>
  <c r="K15" i="32"/>
  <c r="K24" i="35"/>
  <c r="I24" i="35"/>
  <c r="AD3" i="37"/>
  <c r="K5" i="37"/>
  <c r="I5" i="37"/>
  <c r="I18" i="37"/>
  <c r="K18" i="37"/>
  <c r="AD3" i="41"/>
  <c r="J9" i="41"/>
  <c r="K24" i="41"/>
  <c r="I24" i="41"/>
  <c r="I25" i="41"/>
  <c r="K25" i="41"/>
  <c r="K30" i="41"/>
  <c r="I30" i="41"/>
  <c r="K26" i="42"/>
  <c r="I26" i="42"/>
  <c r="K27" i="42"/>
  <c r="I27" i="42"/>
  <c r="J19" i="9"/>
  <c r="K16" i="18"/>
  <c r="I16" i="18"/>
  <c r="K21" i="18"/>
  <c r="I21" i="18"/>
  <c r="K26" i="18"/>
  <c r="I26" i="18"/>
  <c r="K9" i="20"/>
  <c r="I9" i="20"/>
  <c r="K30" i="20"/>
  <c r="I30" i="20"/>
  <c r="K14" i="21"/>
  <c r="I14" i="21"/>
  <c r="K23" i="21"/>
  <c r="I23" i="21"/>
  <c r="J5" i="22"/>
  <c r="K6" i="22"/>
  <c r="I6" i="22"/>
  <c r="K14" i="22"/>
  <c r="I14" i="22"/>
  <c r="K23" i="22"/>
  <c r="I23" i="22"/>
  <c r="K11" i="24"/>
  <c r="I11" i="24"/>
  <c r="K6" i="25"/>
  <c r="I6" i="25"/>
  <c r="K28" i="25"/>
  <c r="I28" i="25"/>
  <c r="K18" i="26"/>
  <c r="I18" i="26"/>
  <c r="AD3" i="27"/>
  <c r="J4" i="27"/>
  <c r="K20" i="27"/>
  <c r="I20" i="27"/>
  <c r="K12" i="28"/>
  <c r="I12" i="28"/>
  <c r="K20" i="28"/>
  <c r="I20" i="28"/>
  <c r="K18" i="29"/>
  <c r="K13" i="30"/>
  <c r="I13" i="30"/>
  <c r="I10" i="31"/>
  <c r="K10" i="31"/>
  <c r="K12" i="32"/>
  <c r="I12" i="32"/>
  <c r="I18" i="33"/>
  <c r="K18" i="33"/>
  <c r="K20" i="34"/>
  <c r="I20" i="34"/>
  <c r="J19" i="4"/>
  <c r="J15" i="12"/>
  <c r="I26" i="17"/>
  <c r="I6" i="18"/>
  <c r="K27" i="18"/>
  <c r="I27" i="18"/>
  <c r="K19" i="19"/>
  <c r="K20" i="19"/>
  <c r="I20" i="19"/>
  <c r="K25" i="19"/>
  <c r="I25" i="19"/>
  <c r="I29" i="19"/>
  <c r="K30" i="19"/>
  <c r="I30" i="19"/>
  <c r="I5" i="20"/>
  <c r="I13" i="20"/>
  <c r="K22" i="20"/>
  <c r="I22" i="20"/>
  <c r="Q25" i="20"/>
  <c r="K31" i="20"/>
  <c r="I31" i="20"/>
  <c r="K6" i="21"/>
  <c r="I6" i="21"/>
  <c r="Q9" i="21"/>
  <c r="K15" i="21"/>
  <c r="I15" i="21"/>
  <c r="K7" i="22"/>
  <c r="I7" i="22"/>
  <c r="K15" i="22"/>
  <c r="I15" i="22"/>
  <c r="K24" i="22"/>
  <c r="I24" i="22"/>
  <c r="K22" i="23"/>
  <c r="I22" i="23"/>
  <c r="X3" i="24"/>
  <c r="K12" i="24"/>
  <c r="I12" i="24"/>
  <c r="K22" i="24"/>
  <c r="I22" i="24"/>
  <c r="X3" i="25"/>
  <c r="K19" i="25"/>
  <c r="I19" i="25"/>
  <c r="I19" i="27"/>
  <c r="K19" i="27"/>
  <c r="K8" i="30"/>
  <c r="I8" i="30"/>
  <c r="K4" i="31"/>
  <c r="J3" i="31"/>
  <c r="I7" i="32"/>
  <c r="K7" i="32"/>
  <c r="K13" i="18"/>
  <c r="I13" i="18"/>
  <c r="K31" i="19"/>
  <c r="I31" i="19"/>
  <c r="K14" i="20"/>
  <c r="I14" i="20"/>
  <c r="K23" i="20"/>
  <c r="I23" i="20"/>
  <c r="X3" i="21"/>
  <c r="K7" i="21"/>
  <c r="I7" i="21"/>
  <c r="K28" i="21"/>
  <c r="I28" i="21"/>
  <c r="K17" i="23"/>
  <c r="I17" i="23"/>
  <c r="I26" i="23"/>
  <c r="K27" i="23"/>
  <c r="I27" i="23"/>
  <c r="Q30" i="23"/>
  <c r="K17" i="24"/>
  <c r="I17" i="24"/>
  <c r="I26" i="24"/>
  <c r="K27" i="24"/>
  <c r="I27" i="24"/>
  <c r="Q30" i="24"/>
  <c r="K11" i="25"/>
  <c r="I11" i="25"/>
  <c r="K24" i="25"/>
  <c r="I24" i="25"/>
  <c r="K20" i="26"/>
  <c r="I20" i="26"/>
  <c r="K32" i="26"/>
  <c r="I32" i="26"/>
  <c r="K10" i="27"/>
  <c r="I10" i="27"/>
  <c r="K16" i="27"/>
  <c r="I16" i="27"/>
  <c r="K26" i="27"/>
  <c r="I26" i="27"/>
  <c r="J3" i="30"/>
  <c r="K7" i="30"/>
  <c r="I7" i="30"/>
  <c r="K15" i="30"/>
  <c r="I15" i="30"/>
  <c r="J5" i="31"/>
  <c r="AD3" i="31"/>
  <c r="AD3" i="32"/>
  <c r="I23" i="32"/>
  <c r="K23" i="32"/>
  <c r="I8" i="33"/>
  <c r="K8" i="33"/>
  <c r="I32" i="33"/>
  <c r="K32" i="33"/>
  <c r="AD3" i="34"/>
  <c r="I11" i="34"/>
  <c r="K11" i="34"/>
  <c r="K7" i="18"/>
  <c r="K12" i="18"/>
  <c r="K18" i="18"/>
  <c r="I18" i="18"/>
  <c r="I22" i="18"/>
  <c r="K31" i="18"/>
  <c r="K15" i="20"/>
  <c r="I15" i="20"/>
  <c r="K19" i="21"/>
  <c r="K20" i="21"/>
  <c r="I20" i="21"/>
  <c r="K29" i="22"/>
  <c r="I29" i="22"/>
  <c r="K28" i="23"/>
  <c r="I28" i="23"/>
  <c r="K28" i="24"/>
  <c r="I28" i="24"/>
  <c r="K20" i="25"/>
  <c r="I20" i="25"/>
  <c r="K10" i="26"/>
  <c r="I10" i="26"/>
  <c r="K28" i="28"/>
  <c r="I28" i="28"/>
  <c r="K32" i="29"/>
  <c r="I32" i="29"/>
  <c r="I29" i="32"/>
  <c r="K29" i="32"/>
  <c r="AD3" i="33"/>
  <c r="J4" i="33"/>
  <c r="J4" i="34"/>
  <c r="K31" i="17"/>
  <c r="K8" i="18"/>
  <c r="I8" i="18"/>
  <c r="K19" i="18"/>
  <c r="I19" i="18"/>
  <c r="K17" i="19"/>
  <c r="I17" i="19"/>
  <c r="K22" i="19"/>
  <c r="I22" i="19"/>
  <c r="Q25" i="19"/>
  <c r="I26" i="19"/>
  <c r="K7" i="20"/>
  <c r="I7" i="20"/>
  <c r="K27" i="20"/>
  <c r="K28" i="20"/>
  <c r="I28" i="20"/>
  <c r="K11" i="21"/>
  <c r="K12" i="21"/>
  <c r="I12" i="21"/>
  <c r="K25" i="21"/>
  <c r="I25" i="21"/>
  <c r="J3" i="22"/>
  <c r="K4" i="22"/>
  <c r="I4" i="22"/>
  <c r="K12" i="22"/>
  <c r="I12" i="22"/>
  <c r="K21" i="22"/>
  <c r="I21" i="22"/>
  <c r="AD3" i="24"/>
  <c r="J4" i="24"/>
  <c r="K14" i="24"/>
  <c r="I14" i="24"/>
  <c r="Q6" i="25"/>
  <c r="K12" i="25"/>
  <c r="I12" i="25"/>
  <c r="K30" i="26"/>
  <c r="K12" i="27"/>
  <c r="I12" i="27"/>
  <c r="K28" i="27"/>
  <c r="I28" i="27"/>
  <c r="I23" i="28"/>
  <c r="K23" i="28"/>
  <c r="K28" i="29"/>
  <c r="I28" i="29"/>
  <c r="K31" i="30"/>
  <c r="I31" i="30"/>
  <c r="K7" i="31"/>
  <c r="I7" i="31"/>
  <c r="I16" i="33"/>
  <c r="K16" i="33"/>
  <c r="K28" i="33"/>
  <c r="I28" i="33"/>
  <c r="K29" i="33"/>
  <c r="I29" i="33"/>
  <c r="I32" i="25"/>
  <c r="Q7" i="27"/>
  <c r="Q15" i="27"/>
  <c r="Q32" i="27"/>
  <c r="AD3" i="28"/>
  <c r="K29" i="28"/>
  <c r="I29" i="28"/>
  <c r="K29" i="29"/>
  <c r="I29" i="29"/>
  <c r="K24" i="30"/>
  <c r="I24" i="30"/>
  <c r="K16" i="31"/>
  <c r="I16" i="31"/>
  <c r="K29" i="31"/>
  <c r="I29" i="31"/>
  <c r="Q11" i="32"/>
  <c r="I32" i="32"/>
  <c r="K32" i="32"/>
  <c r="K10" i="33"/>
  <c r="I10" i="33"/>
  <c r="I24" i="33"/>
  <c r="K24" i="33"/>
  <c r="K6" i="34"/>
  <c r="I6" i="34"/>
  <c r="I7" i="36"/>
  <c r="K7" i="36"/>
  <c r="K22" i="36"/>
  <c r="I22" i="36"/>
  <c r="K30" i="36"/>
  <c r="I30" i="36"/>
  <c r="I31" i="37"/>
  <c r="K31" i="37"/>
  <c r="I19" i="38"/>
  <c r="K19" i="38"/>
  <c r="K20" i="38"/>
  <c r="I20" i="38"/>
  <c r="K21" i="38"/>
  <c r="I21" i="38"/>
  <c r="I25" i="39"/>
  <c r="K25" i="39"/>
  <c r="I11" i="40"/>
  <c r="K11" i="40"/>
  <c r="J4" i="25"/>
  <c r="Q14" i="26"/>
  <c r="Q22" i="26"/>
  <c r="Q30" i="26"/>
  <c r="K5" i="28"/>
  <c r="I5" i="28"/>
  <c r="Q32" i="28"/>
  <c r="AD3" i="29"/>
  <c r="Q27" i="30"/>
  <c r="Q19" i="31"/>
  <c r="K25" i="31"/>
  <c r="J3" i="32"/>
  <c r="K9" i="32"/>
  <c r="I9" i="32"/>
  <c r="Q24" i="32"/>
  <c r="I7" i="34"/>
  <c r="K7" i="34"/>
  <c r="K22" i="34"/>
  <c r="I22" i="34"/>
  <c r="K27" i="34"/>
  <c r="I7" i="37"/>
  <c r="K7" i="37"/>
  <c r="K20" i="37"/>
  <c r="I20" i="37"/>
  <c r="K21" i="37"/>
  <c r="I21" i="37"/>
  <c r="K7" i="39"/>
  <c r="I7" i="39"/>
  <c r="AD3" i="26"/>
  <c r="I11" i="26"/>
  <c r="K11" i="26"/>
  <c r="I19" i="26"/>
  <c r="K19" i="26"/>
  <c r="I27" i="26"/>
  <c r="K27" i="26"/>
  <c r="K30" i="27"/>
  <c r="J3" i="28"/>
  <c r="K4" i="28"/>
  <c r="I4" i="28"/>
  <c r="K10" i="28"/>
  <c r="I10" i="28"/>
  <c r="I19" i="28"/>
  <c r="K19" i="28"/>
  <c r="K16" i="29"/>
  <c r="I16" i="29"/>
  <c r="K5" i="30"/>
  <c r="I5" i="30"/>
  <c r="I14" i="30"/>
  <c r="K14" i="30"/>
  <c r="K29" i="30"/>
  <c r="I29" i="30"/>
  <c r="I6" i="31"/>
  <c r="K6" i="31"/>
  <c r="K21" i="31"/>
  <c r="I21" i="31"/>
  <c r="K8" i="32"/>
  <c r="I8" i="32"/>
  <c r="I5" i="33"/>
  <c r="K5" i="33"/>
  <c r="K20" i="33"/>
  <c r="I12" i="34"/>
  <c r="I23" i="34"/>
  <c r="K23" i="34"/>
  <c r="I7" i="35"/>
  <c r="K7" i="35"/>
  <c r="I15" i="35"/>
  <c r="K15" i="35"/>
  <c r="K16" i="35"/>
  <c r="I16" i="35"/>
  <c r="K22" i="35"/>
  <c r="I22" i="35"/>
  <c r="K16" i="36"/>
  <c r="I16" i="36"/>
  <c r="I10" i="37"/>
  <c r="K10" i="37"/>
  <c r="I30" i="38"/>
  <c r="K30" i="38"/>
  <c r="I14" i="40"/>
  <c r="K14" i="40"/>
  <c r="I6" i="20"/>
  <c r="K30" i="25"/>
  <c r="K6" i="27"/>
  <c r="K14" i="27"/>
  <c r="K22" i="27"/>
  <c r="K15" i="28"/>
  <c r="K21" i="28"/>
  <c r="I21" i="28"/>
  <c r="K30" i="28"/>
  <c r="J15" i="29"/>
  <c r="I20" i="29"/>
  <c r="K21" i="29"/>
  <c r="I21" i="29"/>
  <c r="K10" i="30"/>
  <c r="K16" i="30"/>
  <c r="I16" i="30"/>
  <c r="K25" i="30"/>
  <c r="K8" i="31"/>
  <c r="I8" i="31"/>
  <c r="K17" i="31"/>
  <c r="K26" i="31"/>
  <c r="K14" i="32"/>
  <c r="I14" i="32"/>
  <c r="I18" i="32"/>
  <c r="K26" i="32"/>
  <c r="K11" i="33"/>
  <c r="Q30" i="33"/>
  <c r="K9" i="34"/>
  <c r="I9" i="34"/>
  <c r="K9" i="35"/>
  <c r="I9" i="35"/>
  <c r="K29" i="35"/>
  <c r="I29" i="35"/>
  <c r="I10" i="36"/>
  <c r="K10" i="36"/>
  <c r="I23" i="37"/>
  <c r="K23" i="37"/>
  <c r="K23" i="38"/>
  <c r="I23" i="38"/>
  <c r="I17" i="48"/>
  <c r="K17" i="48"/>
  <c r="J4" i="26"/>
  <c r="Q7" i="26"/>
  <c r="I8" i="26"/>
  <c r="Q15" i="26"/>
  <c r="I16" i="26"/>
  <c r="I24" i="26"/>
  <c r="K31" i="27"/>
  <c r="K6" i="28"/>
  <c r="Q24" i="28"/>
  <c r="K26" i="28"/>
  <c r="I26" i="28"/>
  <c r="K26" i="29"/>
  <c r="AD3" i="30"/>
  <c r="K21" i="30"/>
  <c r="I21" i="30"/>
  <c r="K13" i="31"/>
  <c r="I13" i="31"/>
  <c r="K21" i="33"/>
  <c r="I26" i="33"/>
  <c r="K25" i="34"/>
  <c r="I25" i="34"/>
  <c r="I18" i="35"/>
  <c r="K18" i="35"/>
  <c r="K32" i="35"/>
  <c r="I32" i="35"/>
  <c r="K9" i="36"/>
  <c r="I9" i="36"/>
  <c r="K12" i="37"/>
  <c r="I12" i="37"/>
  <c r="K13" i="37"/>
  <c r="I13" i="37"/>
  <c r="I26" i="37"/>
  <c r="K26" i="37"/>
  <c r="K18" i="40"/>
  <c r="I18" i="40"/>
  <c r="K19" i="40"/>
  <c r="I19" i="40"/>
  <c r="K30" i="40"/>
  <c r="I30" i="40"/>
  <c r="K18" i="42"/>
  <c r="I18" i="42"/>
  <c r="K19" i="42"/>
  <c r="I19" i="42"/>
  <c r="K31" i="42"/>
  <c r="I31" i="42"/>
  <c r="K20" i="43"/>
  <c r="I20" i="43"/>
  <c r="K32" i="43"/>
  <c r="I32" i="43"/>
  <c r="I18" i="44"/>
  <c r="K18" i="44"/>
  <c r="I26" i="45"/>
  <c r="K26" i="45"/>
  <c r="Q30" i="25"/>
  <c r="Q6" i="27"/>
  <c r="Q14" i="27"/>
  <c r="Q22" i="27"/>
  <c r="I11" i="28"/>
  <c r="K11" i="28"/>
  <c r="I16" i="28"/>
  <c r="K31" i="29"/>
  <c r="I31" i="29"/>
  <c r="I6" i="30"/>
  <c r="K6" i="30"/>
  <c r="Q10" i="30"/>
  <c r="I11" i="30"/>
  <c r="I30" i="30"/>
  <c r="K30" i="30"/>
  <c r="I22" i="31"/>
  <c r="K22" i="31"/>
  <c r="Q26" i="31"/>
  <c r="K31" i="31"/>
  <c r="I31" i="31"/>
  <c r="K6" i="32"/>
  <c r="I6" i="32"/>
  <c r="K28" i="32"/>
  <c r="I28" i="32"/>
  <c r="Q11" i="33"/>
  <c r="K14" i="33"/>
  <c r="I14" i="33"/>
  <c r="K17" i="33"/>
  <c r="I17" i="33"/>
  <c r="K32" i="34"/>
  <c r="I32" i="34"/>
  <c r="K5" i="35"/>
  <c r="I5" i="35"/>
  <c r="K17" i="35"/>
  <c r="I17" i="35"/>
  <c r="K25" i="35"/>
  <c r="I25" i="35"/>
  <c r="K20" i="36"/>
  <c r="I20" i="36"/>
  <c r="K27" i="36"/>
  <c r="I27" i="36"/>
  <c r="I11" i="39"/>
  <c r="K11" i="39"/>
  <c r="K12" i="39"/>
  <c r="I12" i="39"/>
  <c r="K13" i="39"/>
  <c r="I13" i="39"/>
  <c r="K24" i="39"/>
  <c r="I24" i="39"/>
  <c r="I27" i="39"/>
  <c r="K27" i="39"/>
  <c r="I13" i="35"/>
  <c r="K6" i="37"/>
  <c r="I6" i="37"/>
  <c r="K14" i="37"/>
  <c r="I14" i="37"/>
  <c r="K22" i="37"/>
  <c r="I22" i="37"/>
  <c r="K30" i="37"/>
  <c r="I30" i="37"/>
  <c r="AD3" i="38"/>
  <c r="K31" i="38"/>
  <c r="I31" i="38"/>
  <c r="K11" i="41"/>
  <c r="I11" i="41"/>
  <c r="I25" i="33"/>
  <c r="Q5" i="34"/>
  <c r="Q21" i="34"/>
  <c r="K10" i="35"/>
  <c r="I14" i="35"/>
  <c r="Q21" i="35"/>
  <c r="K27" i="35"/>
  <c r="AD3" i="36"/>
  <c r="J4" i="36"/>
  <c r="I12" i="36"/>
  <c r="K18" i="36"/>
  <c r="K24" i="36"/>
  <c r="I24" i="36"/>
  <c r="K25" i="36"/>
  <c r="I25" i="36"/>
  <c r="K17" i="38"/>
  <c r="I17" i="38"/>
  <c r="K9" i="39"/>
  <c r="I9" i="39"/>
  <c r="K22" i="39"/>
  <c r="I22" i="39"/>
  <c r="K29" i="39"/>
  <c r="I29" i="39"/>
  <c r="K7" i="42"/>
  <c r="I7" i="42"/>
  <c r="I10" i="44"/>
  <c r="K10" i="44"/>
  <c r="K15" i="45"/>
  <c r="I15" i="45"/>
  <c r="K17" i="45"/>
  <c r="I17" i="45"/>
  <c r="K30" i="45"/>
  <c r="I30" i="45"/>
  <c r="K31" i="45"/>
  <c r="I31" i="45"/>
  <c r="K5" i="51"/>
  <c r="I5" i="51"/>
  <c r="I6" i="51"/>
  <c r="K6" i="51"/>
  <c r="I14" i="51"/>
  <c r="K14" i="51"/>
  <c r="K16" i="34"/>
  <c r="I16" i="34"/>
  <c r="I23" i="35"/>
  <c r="K23" i="35"/>
  <c r="K8" i="36"/>
  <c r="I8" i="36"/>
  <c r="I23" i="36"/>
  <c r="K23" i="36"/>
  <c r="I31" i="36"/>
  <c r="K31" i="36"/>
  <c r="K8" i="37"/>
  <c r="I8" i="37"/>
  <c r="K9" i="37"/>
  <c r="I9" i="37"/>
  <c r="K16" i="37"/>
  <c r="I16" i="37"/>
  <c r="K17" i="37"/>
  <c r="I17" i="37"/>
  <c r="K24" i="37"/>
  <c r="I24" i="37"/>
  <c r="K25" i="37"/>
  <c r="I25" i="37"/>
  <c r="K18" i="38"/>
  <c r="I18" i="38"/>
  <c r="K25" i="38"/>
  <c r="I25" i="38"/>
  <c r="K10" i="39"/>
  <c r="I10" i="39"/>
  <c r="K23" i="39"/>
  <c r="I23" i="39"/>
  <c r="K30" i="39"/>
  <c r="I30" i="39"/>
  <c r="K8" i="40"/>
  <c r="I8" i="40"/>
  <c r="I14" i="42"/>
  <c r="K14" i="42"/>
  <c r="K23" i="43"/>
  <c r="I23" i="43"/>
  <c r="K25" i="43"/>
  <c r="I25" i="43"/>
  <c r="I26" i="44"/>
  <c r="K26" i="44"/>
  <c r="I10" i="45"/>
  <c r="K10" i="45"/>
  <c r="I13" i="34"/>
  <c r="I29" i="34"/>
  <c r="Q5" i="35"/>
  <c r="K11" i="35"/>
  <c r="I13" i="36"/>
  <c r="K14" i="36"/>
  <c r="I14" i="36"/>
  <c r="K19" i="36"/>
  <c r="K26" i="38"/>
  <c r="I26" i="38"/>
  <c r="I17" i="40"/>
  <c r="K17" i="40"/>
  <c r="K13" i="41"/>
  <c r="I13" i="41"/>
  <c r="I17" i="42"/>
  <c r="K17" i="42"/>
  <c r="I18" i="43"/>
  <c r="K18" i="43"/>
  <c r="I26" i="43"/>
  <c r="K26" i="43"/>
  <c r="K12" i="45"/>
  <c r="I12" i="45"/>
  <c r="I18" i="45"/>
  <c r="K18" i="45"/>
  <c r="K16" i="48"/>
  <c r="I16" i="48"/>
  <c r="I9" i="33"/>
  <c r="Q13" i="34"/>
  <c r="Q29" i="34"/>
  <c r="K11" i="37"/>
  <c r="I11" i="37"/>
  <c r="K19" i="37"/>
  <c r="I19" i="37"/>
  <c r="K27" i="37"/>
  <c r="I27" i="37"/>
  <c r="K28" i="38"/>
  <c r="I28" i="38"/>
  <c r="K29" i="38"/>
  <c r="I29" i="38"/>
  <c r="K6" i="41"/>
  <c r="I6" i="41"/>
  <c r="J3" i="41"/>
  <c r="K14" i="41"/>
  <c r="I14" i="41"/>
  <c r="I20" i="41"/>
  <c r="K20" i="41"/>
  <c r="K11" i="42"/>
  <c r="I11" i="42"/>
  <c r="I29" i="43"/>
  <c r="K29" i="43"/>
  <c r="I21" i="45"/>
  <c r="K21" i="45"/>
  <c r="K6" i="46"/>
  <c r="I6" i="46"/>
  <c r="I11" i="48"/>
  <c r="K11" i="48"/>
  <c r="J3" i="48"/>
  <c r="Q21" i="33"/>
  <c r="K8" i="34"/>
  <c r="I8" i="34"/>
  <c r="K24" i="34"/>
  <c r="I24" i="34"/>
  <c r="I31" i="34"/>
  <c r="K31" i="34"/>
  <c r="AD3" i="35"/>
  <c r="J4" i="35"/>
  <c r="K8" i="35"/>
  <c r="I8" i="35"/>
  <c r="Q5" i="36"/>
  <c r="I15" i="36"/>
  <c r="K15" i="36"/>
  <c r="K17" i="36"/>
  <c r="I17" i="36"/>
  <c r="K29" i="36"/>
  <c r="I29" i="36"/>
  <c r="I27" i="38"/>
  <c r="K27" i="38"/>
  <c r="K15" i="39"/>
  <c r="I15" i="39"/>
  <c r="K16" i="39"/>
  <c r="I16" i="39"/>
  <c r="K19" i="41"/>
  <c r="I19" i="41"/>
  <c r="K22" i="41"/>
  <c r="I22" i="41"/>
  <c r="K7" i="44"/>
  <c r="I7" i="44"/>
  <c r="K32" i="47"/>
  <c r="I32" i="47"/>
  <c r="J4" i="37"/>
  <c r="J16" i="38"/>
  <c r="I19" i="39"/>
  <c r="I21" i="39"/>
  <c r="I32" i="39"/>
  <c r="K15" i="40"/>
  <c r="I15" i="40"/>
  <c r="K26" i="40"/>
  <c r="I26" i="40"/>
  <c r="Q15" i="41"/>
  <c r="K21" i="41"/>
  <c r="I21" i="41"/>
  <c r="K15" i="42"/>
  <c r="I15" i="42"/>
  <c r="K16" i="43"/>
  <c r="I16" i="43"/>
  <c r="K14" i="44"/>
  <c r="I14" i="44"/>
  <c r="K19" i="44"/>
  <c r="I19" i="44"/>
  <c r="H3" i="45"/>
  <c r="K8" i="45"/>
  <c r="I8" i="45"/>
  <c r="K23" i="46"/>
  <c r="I23" i="46"/>
  <c r="K24" i="46"/>
  <c r="I24" i="46"/>
  <c r="K30" i="46"/>
  <c r="I30" i="46"/>
  <c r="Q7" i="47"/>
  <c r="K19" i="50"/>
  <c r="I19" i="50"/>
  <c r="K21" i="50"/>
  <c r="I21" i="50"/>
  <c r="K23" i="52"/>
  <c r="I23" i="52"/>
  <c r="K21" i="53"/>
  <c r="I21" i="53"/>
  <c r="K22" i="53"/>
  <c r="I22" i="53"/>
  <c r="K23" i="40"/>
  <c r="I23" i="40"/>
  <c r="K29" i="41"/>
  <c r="I29" i="41"/>
  <c r="K23" i="42"/>
  <c r="I23" i="42"/>
  <c r="K17" i="43"/>
  <c r="I17" i="43"/>
  <c r="K30" i="43"/>
  <c r="I30" i="43"/>
  <c r="K24" i="44"/>
  <c r="I24" i="44"/>
  <c r="AD3" i="45"/>
  <c r="J4" i="45"/>
  <c r="K9" i="45"/>
  <c r="I9" i="45"/>
  <c r="K22" i="45"/>
  <c r="I22" i="45"/>
  <c r="K27" i="45"/>
  <c r="I27" i="45"/>
  <c r="K13" i="46"/>
  <c r="I13" i="46"/>
  <c r="K29" i="46"/>
  <c r="I29" i="46"/>
  <c r="K19" i="47"/>
  <c r="I19" i="47"/>
  <c r="K24" i="47"/>
  <c r="I24" i="47"/>
  <c r="K30" i="47"/>
  <c r="I30" i="47"/>
  <c r="K31" i="47"/>
  <c r="I31" i="47"/>
  <c r="I11" i="50"/>
  <c r="K24" i="51"/>
  <c r="I24" i="51"/>
  <c r="I19" i="53"/>
  <c r="K19" i="53"/>
  <c r="K17" i="39"/>
  <c r="Q25" i="39"/>
  <c r="K9" i="40"/>
  <c r="K12" i="40"/>
  <c r="K31" i="40"/>
  <c r="I31" i="40"/>
  <c r="K10" i="41"/>
  <c r="I10" i="41"/>
  <c r="K17" i="41"/>
  <c r="Q31" i="41"/>
  <c r="K4" i="42"/>
  <c r="K5" i="42"/>
  <c r="I5" i="42"/>
  <c r="I8" i="42"/>
  <c r="K28" i="42"/>
  <c r="I28" i="42"/>
  <c r="I32" i="42"/>
  <c r="K21" i="43"/>
  <c r="K6" i="44"/>
  <c r="I6" i="44"/>
  <c r="K11" i="44"/>
  <c r="I11" i="44"/>
  <c r="K25" i="44"/>
  <c r="I25" i="44"/>
  <c r="K32" i="44"/>
  <c r="I32" i="44"/>
  <c r="K13" i="45"/>
  <c r="K23" i="47"/>
  <c r="I23" i="47"/>
  <c r="K19" i="48"/>
  <c r="I19" i="48"/>
  <c r="J3" i="49"/>
  <c r="K12" i="49"/>
  <c r="I12" i="49"/>
  <c r="K13" i="50"/>
  <c r="I13" i="50"/>
  <c r="I14" i="50"/>
  <c r="K14" i="50"/>
  <c r="K18" i="52"/>
  <c r="I18" i="52"/>
  <c r="I32" i="36"/>
  <c r="I32" i="37"/>
  <c r="K10" i="40"/>
  <c r="I10" i="40"/>
  <c r="I16" i="40"/>
  <c r="I27" i="40"/>
  <c r="K7" i="41"/>
  <c r="I7" i="41"/>
  <c r="K18" i="41"/>
  <c r="I18" i="41"/>
  <c r="Q7" i="42"/>
  <c r="K13" i="42"/>
  <c r="I13" i="42"/>
  <c r="K29" i="42"/>
  <c r="I29" i="42"/>
  <c r="Q31" i="42"/>
  <c r="K22" i="43"/>
  <c r="I22" i="43"/>
  <c r="K27" i="43"/>
  <c r="I27" i="43"/>
  <c r="I15" i="44"/>
  <c r="K16" i="44"/>
  <c r="I16" i="44"/>
  <c r="K14" i="45"/>
  <c r="I14" i="45"/>
  <c r="K19" i="45"/>
  <c r="I19" i="45"/>
  <c r="Q18" i="46"/>
  <c r="I19" i="46"/>
  <c r="K27" i="46"/>
  <c r="Q10" i="47"/>
  <c r="I11" i="47"/>
  <c r="K6" i="48"/>
  <c r="I6" i="48"/>
  <c r="I20" i="48"/>
  <c r="K20" i="48"/>
  <c r="K5" i="49"/>
  <c r="I5" i="49"/>
  <c r="I6" i="49"/>
  <c r="K6" i="49"/>
  <c r="K11" i="49"/>
  <c r="I11" i="49"/>
  <c r="K13" i="49"/>
  <c r="I13" i="49"/>
  <c r="K31" i="49"/>
  <c r="I31" i="49"/>
  <c r="I9" i="51"/>
  <c r="K9" i="51"/>
  <c r="K32" i="51"/>
  <c r="I32" i="51"/>
  <c r="K19" i="52"/>
  <c r="I19" i="52"/>
  <c r="K5" i="53"/>
  <c r="I5" i="53"/>
  <c r="J3" i="53"/>
  <c r="I6" i="53"/>
  <c r="K6" i="53"/>
  <c r="K7" i="40"/>
  <c r="I7" i="40"/>
  <c r="K21" i="40"/>
  <c r="I21" i="40"/>
  <c r="K15" i="41"/>
  <c r="I15" i="41"/>
  <c r="K26" i="41"/>
  <c r="I26" i="41"/>
  <c r="K21" i="42"/>
  <c r="I21" i="42"/>
  <c r="K17" i="44"/>
  <c r="I17" i="44"/>
  <c r="K30" i="44"/>
  <c r="I30" i="44"/>
  <c r="K24" i="45"/>
  <c r="I24" i="45"/>
  <c r="I9" i="46"/>
  <c r="K9" i="46"/>
  <c r="K15" i="46"/>
  <c r="I15" i="46"/>
  <c r="AD3" i="47"/>
  <c r="J6" i="47"/>
  <c r="K7" i="47"/>
  <c r="I7" i="47"/>
  <c r="K27" i="49"/>
  <c r="I27" i="49"/>
  <c r="I30" i="50"/>
  <c r="K30" i="50"/>
  <c r="K19" i="51"/>
  <c r="I19" i="51"/>
  <c r="J3" i="40"/>
  <c r="AD3" i="40"/>
  <c r="Q4" i="40"/>
  <c r="I5" i="40"/>
  <c r="Q23" i="40"/>
  <c r="K28" i="40"/>
  <c r="K29" i="40"/>
  <c r="I29" i="40"/>
  <c r="I32" i="40"/>
  <c r="K23" i="41"/>
  <c r="I23" i="41"/>
  <c r="J3" i="42"/>
  <c r="AD3" i="42"/>
  <c r="K9" i="42"/>
  <c r="J3" i="43"/>
  <c r="AD3" i="43"/>
  <c r="K19" i="43"/>
  <c r="I19" i="43"/>
  <c r="H3" i="44"/>
  <c r="K8" i="44"/>
  <c r="I8" i="44"/>
  <c r="I12" i="44"/>
  <c r="K21" i="44"/>
  <c r="K6" i="45"/>
  <c r="I6" i="45"/>
  <c r="K11" i="45"/>
  <c r="I11" i="45"/>
  <c r="K25" i="45"/>
  <c r="I25" i="45"/>
  <c r="K32" i="45"/>
  <c r="I32" i="45"/>
  <c r="J3" i="46"/>
  <c r="K5" i="46"/>
  <c r="I5" i="46"/>
  <c r="K8" i="46"/>
  <c r="K16" i="46"/>
  <c r="I16" i="46"/>
  <c r="I17" i="46"/>
  <c r="K17" i="46"/>
  <c r="K22" i="46"/>
  <c r="I22" i="46"/>
  <c r="K14" i="47"/>
  <c r="I14" i="47"/>
  <c r="K21" i="47"/>
  <c r="I21" i="47"/>
  <c r="K27" i="47"/>
  <c r="I27" i="47"/>
  <c r="AD3" i="48"/>
  <c r="I9" i="48"/>
  <c r="K9" i="48"/>
  <c r="K22" i="48"/>
  <c r="I22" i="48"/>
  <c r="K21" i="49"/>
  <c r="I21" i="49"/>
  <c r="I22" i="49"/>
  <c r="K22" i="49"/>
  <c r="AD3" i="52"/>
  <c r="J14" i="52"/>
  <c r="K31" i="39"/>
  <c r="I31" i="39"/>
  <c r="Q31" i="40"/>
  <c r="K5" i="41"/>
  <c r="I5" i="41"/>
  <c r="K31" i="41"/>
  <c r="I31" i="41"/>
  <c r="K10" i="42"/>
  <c r="I10" i="42"/>
  <c r="K25" i="42"/>
  <c r="K24" i="43"/>
  <c r="I24" i="43"/>
  <c r="I28" i="43"/>
  <c r="AD3" i="44"/>
  <c r="J4" i="44"/>
  <c r="K9" i="44"/>
  <c r="I9" i="44"/>
  <c r="Q11" i="44"/>
  <c r="K22" i="44"/>
  <c r="I22" i="44"/>
  <c r="K27" i="44"/>
  <c r="I27" i="44"/>
  <c r="K16" i="45"/>
  <c r="I16" i="45"/>
  <c r="I20" i="45"/>
  <c r="K29" i="45"/>
  <c r="K11" i="46"/>
  <c r="I11" i="46"/>
  <c r="I9" i="47"/>
  <c r="K9" i="47"/>
  <c r="Q12" i="47"/>
  <c r="K26" i="47"/>
  <c r="K8" i="48"/>
  <c r="I8" i="48"/>
  <c r="I14" i="48"/>
  <c r="K14" i="48"/>
  <c r="K24" i="48"/>
  <c r="I24" i="48"/>
  <c r="I25" i="48"/>
  <c r="K25" i="48"/>
  <c r="J4" i="50"/>
  <c r="AD3" i="50"/>
  <c r="I25" i="50"/>
  <c r="K25" i="50"/>
  <c r="J3" i="51"/>
  <c r="I30" i="51"/>
  <c r="K30" i="51"/>
  <c r="K28" i="52"/>
  <c r="I28" i="52"/>
  <c r="K10" i="56"/>
  <c r="I10" i="56"/>
  <c r="K23" i="57"/>
  <c r="I23" i="57"/>
  <c r="I19" i="59"/>
  <c r="K19" i="59"/>
  <c r="I6" i="63"/>
  <c r="K6" i="63"/>
  <c r="K24" i="63"/>
  <c r="I24" i="63"/>
  <c r="K16" i="64"/>
  <c r="I16" i="64"/>
  <c r="K20" i="49"/>
  <c r="I20" i="49"/>
  <c r="K12" i="50"/>
  <c r="I12" i="50"/>
  <c r="K26" i="50"/>
  <c r="I26" i="50"/>
  <c r="K31" i="50"/>
  <c r="I31" i="50"/>
  <c r="K10" i="51"/>
  <c r="I10" i="51"/>
  <c r="K15" i="51"/>
  <c r="I15" i="51"/>
  <c r="K20" i="51"/>
  <c r="I20" i="51"/>
  <c r="K4" i="52"/>
  <c r="I4" i="52"/>
  <c r="K29" i="52"/>
  <c r="I29" i="52"/>
  <c r="K9" i="54"/>
  <c r="I9" i="54"/>
  <c r="I11" i="55"/>
  <c r="K11" i="55"/>
  <c r="K13" i="55"/>
  <c r="I13" i="55"/>
  <c r="I19" i="55"/>
  <c r="K19" i="55"/>
  <c r="K21" i="55"/>
  <c r="I21" i="55"/>
  <c r="I27" i="55"/>
  <c r="K27" i="55"/>
  <c r="K7" i="57"/>
  <c r="I7" i="57"/>
  <c r="K10" i="57"/>
  <c r="I10" i="57"/>
  <c r="I11" i="57"/>
  <c r="K11" i="57"/>
  <c r="I29" i="47"/>
  <c r="K15" i="48"/>
  <c r="I15" i="48"/>
  <c r="K18" i="48"/>
  <c r="I18" i="48"/>
  <c r="K28" i="48"/>
  <c r="K32" i="48"/>
  <c r="I32" i="48"/>
  <c r="K28" i="49"/>
  <c r="I28" i="49"/>
  <c r="Q15" i="50"/>
  <c r="I16" i="50"/>
  <c r="K21" i="51"/>
  <c r="I21" i="51"/>
  <c r="K5" i="52"/>
  <c r="I5" i="52"/>
  <c r="K7" i="53"/>
  <c r="I7" i="53"/>
  <c r="I6" i="55"/>
  <c r="K6" i="55"/>
  <c r="K29" i="55"/>
  <c r="I29" i="55"/>
  <c r="I5" i="57"/>
  <c r="K5" i="57"/>
  <c r="K12" i="48"/>
  <c r="I21" i="48"/>
  <c r="X3" i="49"/>
  <c r="K9" i="49"/>
  <c r="K5" i="50"/>
  <c r="I5" i="50"/>
  <c r="K25" i="51"/>
  <c r="K26" i="51"/>
  <c r="I26" i="51"/>
  <c r="K31" i="51"/>
  <c r="I31" i="51"/>
  <c r="K10" i="52"/>
  <c r="I10" i="52"/>
  <c r="K15" i="52"/>
  <c r="I15" i="52"/>
  <c r="K20" i="52"/>
  <c r="I20" i="52"/>
  <c r="K31" i="52"/>
  <c r="I31" i="52"/>
  <c r="K8" i="53"/>
  <c r="I8" i="53"/>
  <c r="K24" i="53"/>
  <c r="I24" i="53"/>
  <c r="K5" i="54"/>
  <c r="I5" i="54"/>
  <c r="K17" i="54"/>
  <c r="I17" i="54"/>
  <c r="K5" i="55"/>
  <c r="I5" i="55"/>
  <c r="I27" i="56"/>
  <c r="K27" i="56"/>
  <c r="I18" i="57"/>
  <c r="K18" i="57"/>
  <c r="AD3" i="46"/>
  <c r="K7" i="48"/>
  <c r="I7" i="48"/>
  <c r="K10" i="48"/>
  <c r="I10" i="48"/>
  <c r="K26" i="48"/>
  <c r="I26" i="48"/>
  <c r="Q28" i="48"/>
  <c r="I29" i="48"/>
  <c r="AD3" i="49"/>
  <c r="K17" i="49"/>
  <c r="X3" i="50"/>
  <c r="K9" i="50"/>
  <c r="K17" i="50"/>
  <c r="K18" i="50"/>
  <c r="I18" i="50"/>
  <c r="K22" i="50"/>
  <c r="K23" i="50"/>
  <c r="I23" i="50"/>
  <c r="I27" i="50"/>
  <c r="K28" i="50"/>
  <c r="I28" i="50"/>
  <c r="Q31" i="50"/>
  <c r="I32" i="50"/>
  <c r="K7" i="51"/>
  <c r="I7" i="51"/>
  <c r="I11" i="51"/>
  <c r="K12" i="51"/>
  <c r="I12" i="51"/>
  <c r="Q15" i="51"/>
  <c r="I16" i="51"/>
  <c r="K21" i="52"/>
  <c r="I21" i="52"/>
  <c r="K26" i="53"/>
  <c r="I26" i="53"/>
  <c r="I30" i="56"/>
  <c r="K30" i="56"/>
  <c r="K7" i="46"/>
  <c r="I7" i="46"/>
  <c r="K7" i="49"/>
  <c r="I7" i="49"/>
  <c r="K29" i="49"/>
  <c r="I29" i="49"/>
  <c r="K29" i="50"/>
  <c r="I29" i="50"/>
  <c r="AD3" i="51"/>
  <c r="K13" i="51"/>
  <c r="I13" i="51"/>
  <c r="K26" i="52"/>
  <c r="I26" i="52"/>
  <c r="AD3" i="53"/>
  <c r="K10" i="53"/>
  <c r="I10" i="53"/>
  <c r="K16" i="53"/>
  <c r="I16" i="53"/>
  <c r="K17" i="53"/>
  <c r="I17" i="53"/>
  <c r="K31" i="55"/>
  <c r="I31" i="55"/>
  <c r="K25" i="47"/>
  <c r="K23" i="48"/>
  <c r="I23" i="48"/>
  <c r="I30" i="48"/>
  <c r="K14" i="49"/>
  <c r="K15" i="49"/>
  <c r="I15" i="49"/>
  <c r="Q17" i="49"/>
  <c r="I18" i="49"/>
  <c r="K6" i="50"/>
  <c r="K7" i="50"/>
  <c r="I7" i="50"/>
  <c r="Q9" i="50"/>
  <c r="I10" i="50"/>
  <c r="K17" i="51"/>
  <c r="K18" i="51"/>
  <c r="I18" i="51"/>
  <c r="K22" i="51"/>
  <c r="K23" i="51"/>
  <c r="I23" i="51"/>
  <c r="I27" i="51"/>
  <c r="K28" i="51"/>
  <c r="I28" i="51"/>
  <c r="Q31" i="51"/>
  <c r="K6" i="52"/>
  <c r="K7" i="52"/>
  <c r="I7" i="52"/>
  <c r="I11" i="52"/>
  <c r="K12" i="52"/>
  <c r="I12" i="52"/>
  <c r="Q15" i="52"/>
  <c r="I16" i="52"/>
  <c r="K9" i="53"/>
  <c r="K25" i="53"/>
  <c r="I25" i="53"/>
  <c r="K13" i="54"/>
  <c r="I13" i="54"/>
  <c r="I19" i="54"/>
  <c r="K19" i="54"/>
  <c r="K26" i="54"/>
  <c r="I26" i="54"/>
  <c r="K23" i="56"/>
  <c r="I23" i="56"/>
  <c r="Q9" i="46"/>
  <c r="Q11" i="46"/>
  <c r="K31" i="46"/>
  <c r="I31" i="46"/>
  <c r="Q4" i="47"/>
  <c r="K15" i="47"/>
  <c r="I15" i="47"/>
  <c r="Q4" i="48"/>
  <c r="Q26" i="48"/>
  <c r="K31" i="48"/>
  <c r="I31" i="48"/>
  <c r="K4" i="49"/>
  <c r="I4" i="49"/>
  <c r="K23" i="49"/>
  <c r="I23" i="49"/>
  <c r="Q25" i="49"/>
  <c r="K15" i="50"/>
  <c r="I15" i="50"/>
  <c r="K20" i="50"/>
  <c r="I20" i="50"/>
  <c r="Q23" i="50"/>
  <c r="K4" i="51"/>
  <c r="I4" i="51"/>
  <c r="Q7" i="51"/>
  <c r="K29" i="51"/>
  <c r="I29" i="51"/>
  <c r="K13" i="52"/>
  <c r="I13" i="52"/>
  <c r="K32" i="52"/>
  <c r="I32" i="52"/>
  <c r="K4" i="53"/>
  <c r="I4" i="53"/>
  <c r="K12" i="53"/>
  <c r="I12" i="53"/>
  <c r="I20" i="53"/>
  <c r="K20" i="53"/>
  <c r="K12" i="54"/>
  <c r="K29" i="53"/>
  <c r="I29" i="53"/>
  <c r="K21" i="54"/>
  <c r="I21" i="54"/>
  <c r="K7" i="55"/>
  <c r="I7" i="55"/>
  <c r="K5" i="56"/>
  <c r="I5" i="56"/>
  <c r="K31" i="56"/>
  <c r="I31" i="56"/>
  <c r="K12" i="59"/>
  <c r="I12" i="59"/>
  <c r="K13" i="59"/>
  <c r="I13" i="59"/>
  <c r="I13" i="53"/>
  <c r="Q25" i="53"/>
  <c r="K22" i="54"/>
  <c r="K23" i="54"/>
  <c r="I23" i="54"/>
  <c r="Q25" i="54"/>
  <c r="X3" i="55"/>
  <c r="K12" i="55"/>
  <c r="I12" i="55"/>
  <c r="K17" i="55"/>
  <c r="I17" i="55"/>
  <c r="Q25" i="55"/>
  <c r="I26" i="55"/>
  <c r="K6" i="56"/>
  <c r="K7" i="56"/>
  <c r="I7" i="56"/>
  <c r="I16" i="56"/>
  <c r="K17" i="56"/>
  <c r="I17" i="56"/>
  <c r="K13" i="57"/>
  <c r="I13" i="57"/>
  <c r="K25" i="57"/>
  <c r="I25" i="57"/>
  <c r="K5" i="58"/>
  <c r="I5" i="58"/>
  <c r="K13" i="58"/>
  <c r="I13" i="58"/>
  <c r="I27" i="59"/>
  <c r="K27" i="59"/>
  <c r="K8" i="62"/>
  <c r="I8" i="62"/>
  <c r="K31" i="53"/>
  <c r="I31" i="53"/>
  <c r="I27" i="54"/>
  <c r="K27" i="54"/>
  <c r="K28" i="54"/>
  <c r="I28" i="54"/>
  <c r="K23" i="55"/>
  <c r="I23" i="55"/>
  <c r="I11" i="56"/>
  <c r="K11" i="56"/>
  <c r="K12" i="56"/>
  <c r="I12" i="56"/>
  <c r="K18" i="56"/>
  <c r="I18" i="56"/>
  <c r="K25" i="56"/>
  <c r="I25" i="56"/>
  <c r="I19" i="57"/>
  <c r="K19" i="57"/>
  <c r="K26" i="57"/>
  <c r="I26" i="57"/>
  <c r="K32" i="57"/>
  <c r="I32" i="57"/>
  <c r="I21" i="60"/>
  <c r="K21" i="60"/>
  <c r="K10" i="61"/>
  <c r="I10" i="61"/>
  <c r="K11" i="61"/>
  <c r="I11" i="61"/>
  <c r="K16" i="61"/>
  <c r="I16" i="61"/>
  <c r="I22" i="62"/>
  <c r="K22" i="62"/>
  <c r="K27" i="53"/>
  <c r="K7" i="54"/>
  <c r="I7" i="54"/>
  <c r="I10" i="54"/>
  <c r="K14" i="54"/>
  <c r="K15" i="54"/>
  <c r="I15" i="54"/>
  <c r="K28" i="55"/>
  <c r="I28" i="55"/>
  <c r="K26" i="56"/>
  <c r="I26" i="56"/>
  <c r="I32" i="56"/>
  <c r="I30" i="59"/>
  <c r="K30" i="59"/>
  <c r="K31" i="59"/>
  <c r="I31" i="59"/>
  <c r="I14" i="53"/>
  <c r="Q17" i="53"/>
  <c r="I18" i="53"/>
  <c r="Q9" i="54"/>
  <c r="AD3" i="55"/>
  <c r="J4" i="55"/>
  <c r="K9" i="55"/>
  <c r="I9" i="55"/>
  <c r="Q17" i="55"/>
  <c r="I18" i="55"/>
  <c r="K20" i="56"/>
  <c r="I20" i="56"/>
  <c r="K21" i="56"/>
  <c r="I21" i="56"/>
  <c r="K15" i="57"/>
  <c r="I15" i="57"/>
  <c r="K21" i="57"/>
  <c r="I21" i="57"/>
  <c r="K7" i="58"/>
  <c r="I7" i="58"/>
  <c r="K8" i="58"/>
  <c r="I8" i="58"/>
  <c r="I27" i="58"/>
  <c r="K27" i="58"/>
  <c r="I32" i="53"/>
  <c r="I11" i="54"/>
  <c r="K11" i="54"/>
  <c r="K20" i="54"/>
  <c r="I20" i="54"/>
  <c r="K25" i="54"/>
  <c r="I25" i="54"/>
  <c r="K29" i="54"/>
  <c r="I29" i="54"/>
  <c r="K15" i="55"/>
  <c r="I15" i="55"/>
  <c r="AD3" i="56"/>
  <c r="J4" i="56"/>
  <c r="K9" i="56"/>
  <c r="I9" i="56"/>
  <c r="K13" i="56"/>
  <c r="I13" i="56"/>
  <c r="I19" i="56"/>
  <c r="K19" i="56"/>
  <c r="K28" i="56"/>
  <c r="I28" i="56"/>
  <c r="K29" i="56"/>
  <c r="I29" i="56"/>
  <c r="K9" i="58"/>
  <c r="I9" i="58"/>
  <c r="AD3" i="54"/>
  <c r="J4" i="54"/>
  <c r="K30" i="54"/>
  <c r="K31" i="54"/>
  <c r="I31" i="54"/>
  <c r="K20" i="55"/>
  <c r="I20" i="55"/>
  <c r="K25" i="55"/>
  <c r="I25" i="55"/>
  <c r="K14" i="56"/>
  <c r="K15" i="56"/>
  <c r="I15" i="56"/>
  <c r="K8" i="57"/>
  <c r="I8" i="57"/>
  <c r="K18" i="58"/>
  <c r="I18" i="58"/>
  <c r="I19" i="58"/>
  <c r="K19" i="58"/>
  <c r="Q11" i="57"/>
  <c r="Q13" i="57"/>
  <c r="I29" i="57"/>
  <c r="I31" i="57"/>
  <c r="K28" i="58"/>
  <c r="I28" i="58"/>
  <c r="K29" i="58"/>
  <c r="I29" i="58"/>
  <c r="AD3" i="59"/>
  <c r="K5" i="59"/>
  <c r="I5" i="59"/>
  <c r="I11" i="59"/>
  <c r="K11" i="59"/>
  <c r="K23" i="59"/>
  <c r="I23" i="59"/>
  <c r="K17" i="60"/>
  <c r="I17" i="60"/>
  <c r="K25" i="60"/>
  <c r="I25" i="60"/>
  <c r="I17" i="61"/>
  <c r="K17" i="61"/>
  <c r="K24" i="64"/>
  <c r="I24" i="64"/>
  <c r="I27" i="64"/>
  <c r="K27" i="64"/>
  <c r="K20" i="58"/>
  <c r="I20" i="58"/>
  <c r="K21" i="58"/>
  <c r="I21" i="58"/>
  <c r="K15" i="59"/>
  <c r="I15" i="59"/>
  <c r="K22" i="59"/>
  <c r="K29" i="60"/>
  <c r="I29" i="60"/>
  <c r="K19" i="61"/>
  <c r="I19" i="61"/>
  <c r="K16" i="62"/>
  <c r="I16" i="62"/>
  <c r="K8" i="63"/>
  <c r="I8" i="63"/>
  <c r="K27" i="57"/>
  <c r="I10" i="58"/>
  <c r="K31" i="58"/>
  <c r="I31" i="58"/>
  <c r="K7" i="59"/>
  <c r="I7" i="59"/>
  <c r="K14" i="59"/>
  <c r="K25" i="59"/>
  <c r="I25" i="59"/>
  <c r="AD3" i="57"/>
  <c r="J4" i="57"/>
  <c r="K23" i="58"/>
  <c r="I23" i="58"/>
  <c r="K30" i="58"/>
  <c r="K6" i="59"/>
  <c r="K17" i="59"/>
  <c r="I17" i="59"/>
  <c r="I24" i="59"/>
  <c r="K26" i="59"/>
  <c r="I26" i="59"/>
  <c r="K19" i="60"/>
  <c r="I19" i="60"/>
  <c r="I30" i="60"/>
  <c r="K30" i="60"/>
  <c r="J6" i="61"/>
  <c r="AD3" i="61"/>
  <c r="K21" i="61"/>
  <c r="I21" i="61"/>
  <c r="I22" i="61"/>
  <c r="K22" i="61"/>
  <c r="K12" i="62"/>
  <c r="I12" i="62"/>
  <c r="K17" i="57"/>
  <c r="I17" i="57"/>
  <c r="K15" i="58"/>
  <c r="I15" i="58"/>
  <c r="K9" i="59"/>
  <c r="I9" i="59"/>
  <c r="K18" i="59"/>
  <c r="I18" i="59"/>
  <c r="K20" i="60"/>
  <c r="I20" i="60"/>
  <c r="I30" i="61"/>
  <c r="K30" i="61"/>
  <c r="K24" i="62"/>
  <c r="I24" i="62"/>
  <c r="K28" i="63"/>
  <c r="I28" i="63"/>
  <c r="K32" i="63"/>
  <c r="I32" i="63"/>
  <c r="K7" i="64"/>
  <c r="I7" i="64"/>
  <c r="AD3" i="58"/>
  <c r="J4" i="58"/>
  <c r="K11" i="58"/>
  <c r="Q13" i="58"/>
  <c r="K25" i="58"/>
  <c r="I25" i="58"/>
  <c r="I8" i="59"/>
  <c r="K10" i="59"/>
  <c r="I10" i="59"/>
  <c r="K28" i="59"/>
  <c r="I28" i="59"/>
  <c r="K29" i="59"/>
  <c r="I29" i="59"/>
  <c r="J6" i="62"/>
  <c r="AD3" i="62"/>
  <c r="K27" i="62"/>
  <c r="I27" i="62"/>
  <c r="I22" i="63"/>
  <c r="K22" i="63"/>
  <c r="K8" i="64"/>
  <c r="I8" i="64"/>
  <c r="K9" i="57"/>
  <c r="I9" i="57"/>
  <c r="Q19" i="57"/>
  <c r="K17" i="58"/>
  <c r="I17" i="58"/>
  <c r="K26" i="58"/>
  <c r="I26" i="58"/>
  <c r="K20" i="59"/>
  <c r="I20" i="59"/>
  <c r="K21" i="59"/>
  <c r="I21" i="59"/>
  <c r="AD3" i="60"/>
  <c r="K15" i="60"/>
  <c r="I15" i="60"/>
  <c r="K22" i="60"/>
  <c r="I22" i="60"/>
  <c r="K23" i="60"/>
  <c r="I23" i="60"/>
  <c r="K24" i="61"/>
  <c r="I24" i="61"/>
  <c r="I19" i="62"/>
  <c r="K12" i="63"/>
  <c r="I12" i="63"/>
  <c r="K16" i="63"/>
  <c r="I16" i="63"/>
  <c r="I17" i="63"/>
  <c r="K17" i="63"/>
  <c r="Q27" i="60"/>
  <c r="K18" i="61"/>
  <c r="I18" i="61"/>
  <c r="Q20" i="61"/>
  <c r="Q4" i="62"/>
  <c r="K23" i="62"/>
  <c r="I23" i="62"/>
  <c r="K7" i="63"/>
  <c r="I7" i="63"/>
  <c r="K18" i="63"/>
  <c r="I18" i="63"/>
  <c r="K23" i="63"/>
  <c r="I23" i="63"/>
  <c r="K7" i="61"/>
  <c r="I7" i="61"/>
  <c r="K26" i="61"/>
  <c r="I26" i="61"/>
  <c r="Q28" i="61"/>
  <c r="K20" i="62"/>
  <c r="I20" i="62"/>
  <c r="K11" i="65"/>
  <c r="I11" i="65"/>
  <c r="K21" i="65"/>
  <c r="I21" i="65"/>
  <c r="K31" i="60"/>
  <c r="I31" i="60"/>
  <c r="K15" i="61"/>
  <c r="I15" i="61"/>
  <c r="K9" i="62"/>
  <c r="K10" i="62"/>
  <c r="I10" i="62"/>
  <c r="K30" i="62"/>
  <c r="K31" i="62"/>
  <c r="I31" i="62"/>
  <c r="K4" i="63"/>
  <c r="I4" i="63"/>
  <c r="J3" i="63"/>
  <c r="K4" i="64"/>
  <c r="I4" i="64"/>
  <c r="J3" i="64"/>
  <c r="I9" i="64"/>
  <c r="K9" i="64"/>
  <c r="I14" i="64"/>
  <c r="K14" i="64"/>
  <c r="I22" i="65"/>
  <c r="K22" i="65"/>
  <c r="K4" i="61"/>
  <c r="I4" i="61"/>
  <c r="K23" i="61"/>
  <c r="I23" i="61"/>
  <c r="K28" i="62"/>
  <c r="I28" i="62"/>
  <c r="I9" i="63"/>
  <c r="K9" i="63"/>
  <c r="I14" i="63"/>
  <c r="K14" i="63"/>
  <c r="K19" i="63"/>
  <c r="K20" i="63"/>
  <c r="I20" i="63"/>
  <c r="I25" i="63"/>
  <c r="K25" i="63"/>
  <c r="I30" i="63"/>
  <c r="K30" i="63"/>
  <c r="K10" i="64"/>
  <c r="I10" i="64"/>
  <c r="K15" i="64"/>
  <c r="I15" i="64"/>
  <c r="K20" i="64"/>
  <c r="I20" i="64"/>
  <c r="I30" i="64"/>
  <c r="K30" i="64"/>
  <c r="I6" i="65"/>
  <c r="K6" i="65"/>
  <c r="J4" i="59"/>
  <c r="J14" i="60"/>
  <c r="I27" i="60"/>
  <c r="I8" i="61"/>
  <c r="K12" i="61"/>
  <c r="I12" i="61"/>
  <c r="I27" i="61"/>
  <c r="K31" i="61"/>
  <c r="I31" i="61"/>
  <c r="K7" i="62"/>
  <c r="I7" i="62"/>
  <c r="K17" i="62"/>
  <c r="K18" i="62"/>
  <c r="I18" i="62"/>
  <c r="Q20" i="62"/>
  <c r="K10" i="63"/>
  <c r="I10" i="63"/>
  <c r="K15" i="63"/>
  <c r="I15" i="63"/>
  <c r="K26" i="63"/>
  <c r="I26" i="63"/>
  <c r="K31" i="63"/>
  <c r="I31" i="63"/>
  <c r="K19" i="64"/>
  <c r="I31" i="64"/>
  <c r="K31" i="64"/>
  <c r="I7" i="65"/>
  <c r="K7" i="65"/>
  <c r="K8" i="65"/>
  <c r="I8" i="65"/>
  <c r="I14" i="65"/>
  <c r="K14" i="65"/>
  <c r="K15" i="65"/>
  <c r="I15" i="65"/>
  <c r="K20" i="61"/>
  <c r="I20" i="61"/>
  <c r="K4" i="62"/>
  <c r="I4" i="62"/>
  <c r="K22" i="64"/>
  <c r="I22" i="64"/>
  <c r="I22" i="66"/>
  <c r="K22" i="66"/>
  <c r="I14" i="67"/>
  <c r="K14" i="67"/>
  <c r="Q4" i="61"/>
  <c r="I5" i="61"/>
  <c r="K28" i="61"/>
  <c r="I28" i="61"/>
  <c r="K14" i="62"/>
  <c r="K15" i="62"/>
  <c r="I15" i="62"/>
  <c r="K25" i="62"/>
  <c r="K26" i="62"/>
  <c r="I26" i="62"/>
  <c r="Q28" i="62"/>
  <c r="Q20" i="63"/>
  <c r="I6" i="64"/>
  <c r="K6" i="64"/>
  <c r="K11" i="64"/>
  <c r="K12" i="64"/>
  <c r="I12" i="64"/>
  <c r="I17" i="64"/>
  <c r="K17" i="64"/>
  <c r="I23" i="64"/>
  <c r="K23" i="64"/>
  <c r="AD3" i="65"/>
  <c r="I14" i="66"/>
  <c r="K14" i="66"/>
  <c r="K15" i="66"/>
  <c r="I15" i="66"/>
  <c r="AD3" i="63"/>
  <c r="AD3" i="64"/>
  <c r="I32" i="64"/>
  <c r="I12" i="65"/>
  <c r="K13" i="65"/>
  <c r="I13" i="65"/>
  <c r="AD3" i="66"/>
  <c r="K29" i="66"/>
  <c r="I29" i="66"/>
  <c r="I22" i="67"/>
  <c r="K22" i="67"/>
  <c r="K23" i="67"/>
  <c r="I23" i="67"/>
  <c r="K24" i="67"/>
  <c r="I24" i="67"/>
  <c r="K13" i="68"/>
  <c r="I13" i="68"/>
  <c r="I32" i="68"/>
  <c r="K32" i="68"/>
  <c r="K5" i="69"/>
  <c r="I5" i="69"/>
  <c r="I13" i="69"/>
  <c r="K13" i="69"/>
  <c r="K8" i="72"/>
  <c r="I8" i="72"/>
  <c r="K32" i="72"/>
  <c r="I32" i="72"/>
  <c r="K5" i="73"/>
  <c r="I5" i="73"/>
  <c r="K12" i="74"/>
  <c r="I12" i="74"/>
  <c r="K8" i="75"/>
  <c r="I8" i="75"/>
  <c r="K16" i="75"/>
  <c r="I16" i="75"/>
  <c r="K24" i="75"/>
  <c r="I24" i="75"/>
  <c r="K13" i="77"/>
  <c r="I13" i="77"/>
  <c r="I14" i="77"/>
  <c r="K14" i="77"/>
  <c r="I3" i="78"/>
  <c r="K3" i="78"/>
  <c r="Q20" i="64"/>
  <c r="K31" i="65"/>
  <c r="I31" i="65"/>
  <c r="K7" i="66"/>
  <c r="I7" i="66"/>
  <c r="K16" i="66"/>
  <c r="I16" i="66"/>
  <c r="K5" i="67"/>
  <c r="I5" i="67"/>
  <c r="K12" i="67"/>
  <c r="I12" i="67"/>
  <c r="K17" i="67"/>
  <c r="K18" i="67"/>
  <c r="I18" i="67"/>
  <c r="I29" i="67"/>
  <c r="I29" i="68"/>
  <c r="K29" i="68"/>
  <c r="K6" i="69"/>
  <c r="I6" i="69"/>
  <c r="K15" i="69"/>
  <c r="I15" i="69"/>
  <c r="I29" i="69"/>
  <c r="K29" i="69"/>
  <c r="I26" i="71"/>
  <c r="K26" i="71"/>
  <c r="K26" i="65"/>
  <c r="J3" i="66"/>
  <c r="K9" i="66"/>
  <c r="K23" i="66"/>
  <c r="I23" i="66"/>
  <c r="K24" i="66"/>
  <c r="I24" i="66"/>
  <c r="I11" i="67"/>
  <c r="K18" i="68"/>
  <c r="K25" i="69"/>
  <c r="I25" i="69"/>
  <c r="K25" i="70"/>
  <c r="I25" i="70"/>
  <c r="I18" i="64"/>
  <c r="I28" i="64"/>
  <c r="Q32" i="64"/>
  <c r="J3" i="65"/>
  <c r="K16" i="65"/>
  <c r="I16" i="65"/>
  <c r="I20" i="65"/>
  <c r="K32" i="65"/>
  <c r="I32" i="65"/>
  <c r="I30" i="66"/>
  <c r="K30" i="66"/>
  <c r="K31" i="66"/>
  <c r="I31" i="66"/>
  <c r="K13" i="67"/>
  <c r="I13" i="67"/>
  <c r="K20" i="67"/>
  <c r="I20" i="67"/>
  <c r="K25" i="67"/>
  <c r="K26" i="67"/>
  <c r="I26" i="67"/>
  <c r="K14" i="68"/>
  <c r="I14" i="68"/>
  <c r="K15" i="68"/>
  <c r="I15" i="68"/>
  <c r="K20" i="68"/>
  <c r="I20" i="68"/>
  <c r="K10" i="70"/>
  <c r="I10" i="70"/>
  <c r="K17" i="70"/>
  <c r="I17" i="70"/>
  <c r="K29" i="65"/>
  <c r="I29" i="65"/>
  <c r="K5" i="66"/>
  <c r="I5" i="66"/>
  <c r="K18" i="66"/>
  <c r="I18" i="66"/>
  <c r="I6" i="67"/>
  <c r="K6" i="67"/>
  <c r="K7" i="67"/>
  <c r="I7" i="67"/>
  <c r="K8" i="67"/>
  <c r="I8" i="67"/>
  <c r="I31" i="67"/>
  <c r="K31" i="67"/>
  <c r="K21" i="68"/>
  <c r="I21" i="68"/>
  <c r="K31" i="69"/>
  <c r="I31" i="69"/>
  <c r="K24" i="65"/>
  <c r="I24" i="65"/>
  <c r="I28" i="65"/>
  <c r="I4" i="66"/>
  <c r="K26" i="66"/>
  <c r="I26" i="66"/>
  <c r="AD3" i="67"/>
  <c r="K21" i="67"/>
  <c r="I21" i="67"/>
  <c r="AD3" i="68"/>
  <c r="K5" i="68"/>
  <c r="I5" i="68"/>
  <c r="K31" i="68"/>
  <c r="I29" i="64"/>
  <c r="Q8" i="65"/>
  <c r="K17" i="65"/>
  <c r="I11" i="66"/>
  <c r="K13" i="66"/>
  <c r="I13" i="66"/>
  <c r="K20" i="66"/>
  <c r="I20" i="66"/>
  <c r="K15" i="67"/>
  <c r="I15" i="67"/>
  <c r="K16" i="67"/>
  <c r="I16" i="67"/>
  <c r="I27" i="67"/>
  <c r="K6" i="68"/>
  <c r="I6" i="68"/>
  <c r="K16" i="68"/>
  <c r="Q28" i="64"/>
  <c r="I4" i="65"/>
  <c r="K23" i="65"/>
  <c r="I23" i="65"/>
  <c r="I30" i="65"/>
  <c r="K30" i="65"/>
  <c r="I6" i="66"/>
  <c r="K6" i="66"/>
  <c r="K8" i="66"/>
  <c r="I8" i="66"/>
  <c r="K21" i="66"/>
  <c r="I21" i="66"/>
  <c r="K28" i="66"/>
  <c r="I28" i="66"/>
  <c r="K32" i="66"/>
  <c r="I32" i="66"/>
  <c r="J3" i="67"/>
  <c r="K4" i="67"/>
  <c r="I4" i="67"/>
  <c r="K10" i="67"/>
  <c r="I10" i="67"/>
  <c r="I32" i="67"/>
  <c r="K32" i="67"/>
  <c r="K7" i="68"/>
  <c r="I7" i="68"/>
  <c r="I8" i="68"/>
  <c r="K8" i="68"/>
  <c r="AD3" i="69"/>
  <c r="I18" i="69"/>
  <c r="K22" i="69"/>
  <c r="I22" i="69"/>
  <c r="K11" i="70"/>
  <c r="I11" i="70"/>
  <c r="AD3" i="71"/>
  <c r="K22" i="72"/>
  <c r="I22" i="72"/>
  <c r="I23" i="72"/>
  <c r="K23" i="72"/>
  <c r="I7" i="73"/>
  <c r="K7" i="73"/>
  <c r="I15" i="73"/>
  <c r="K15" i="73"/>
  <c r="J4" i="69"/>
  <c r="I12" i="69"/>
  <c r="K19" i="69"/>
  <c r="I19" i="69"/>
  <c r="AD3" i="70"/>
  <c r="J4" i="70"/>
  <c r="K12" i="70"/>
  <c r="I12" i="70"/>
  <c r="K19" i="70"/>
  <c r="I19" i="70"/>
  <c r="K18" i="71"/>
  <c r="I18" i="71"/>
  <c r="I7" i="74"/>
  <c r="K7" i="74"/>
  <c r="J4" i="68"/>
  <c r="X3" i="69"/>
  <c r="I7" i="69"/>
  <c r="I18" i="70"/>
  <c r="K20" i="70"/>
  <c r="I20" i="70"/>
  <c r="I26" i="70"/>
  <c r="I5" i="71"/>
  <c r="K5" i="71"/>
  <c r="K19" i="71"/>
  <c r="I19" i="71"/>
  <c r="Q8" i="68"/>
  <c r="Q10" i="68"/>
  <c r="I28" i="68"/>
  <c r="K30" i="68"/>
  <c r="I30" i="68"/>
  <c r="I23" i="69"/>
  <c r="K30" i="69"/>
  <c r="I30" i="69"/>
  <c r="K6" i="70"/>
  <c r="I6" i="70"/>
  <c r="K7" i="70"/>
  <c r="I7" i="70"/>
  <c r="K14" i="70"/>
  <c r="I14" i="70"/>
  <c r="K22" i="70"/>
  <c r="I22" i="70"/>
  <c r="K7" i="71"/>
  <c r="I7" i="71"/>
  <c r="K20" i="71"/>
  <c r="I20" i="71"/>
  <c r="I21" i="71"/>
  <c r="K21" i="71"/>
  <c r="K23" i="71"/>
  <c r="I23" i="71"/>
  <c r="I28" i="71"/>
  <c r="I28" i="67"/>
  <c r="K30" i="67"/>
  <c r="I30" i="67"/>
  <c r="K17" i="69"/>
  <c r="I17" i="69"/>
  <c r="Q19" i="69"/>
  <c r="K27" i="69"/>
  <c r="I27" i="69"/>
  <c r="I5" i="70"/>
  <c r="K5" i="70"/>
  <c r="I13" i="70"/>
  <c r="K13" i="70"/>
  <c r="K15" i="70"/>
  <c r="I15" i="70"/>
  <c r="K23" i="70"/>
  <c r="I23" i="70"/>
  <c r="K29" i="70"/>
  <c r="I29" i="70"/>
  <c r="K30" i="70"/>
  <c r="I30" i="70"/>
  <c r="K31" i="70"/>
  <c r="I31" i="70"/>
  <c r="K12" i="71"/>
  <c r="I12" i="71"/>
  <c r="I13" i="71"/>
  <c r="K13" i="71"/>
  <c r="K14" i="71"/>
  <c r="I14" i="71"/>
  <c r="K15" i="71"/>
  <c r="I15" i="71"/>
  <c r="K12" i="72"/>
  <c r="I12" i="72"/>
  <c r="K24" i="73"/>
  <c r="I24" i="73"/>
  <c r="K29" i="73"/>
  <c r="I29" i="73"/>
  <c r="K22" i="68"/>
  <c r="I22" i="68"/>
  <c r="K14" i="69"/>
  <c r="I14" i="69"/>
  <c r="I21" i="70"/>
  <c r="K21" i="70"/>
  <c r="K6" i="71"/>
  <c r="I6" i="71"/>
  <c r="I31" i="73"/>
  <c r="K31" i="73"/>
  <c r="Q32" i="67"/>
  <c r="K8" i="69"/>
  <c r="X3" i="70"/>
  <c r="K9" i="70"/>
  <c r="I9" i="70"/>
  <c r="I15" i="72"/>
  <c r="K15" i="72"/>
  <c r="K29" i="71"/>
  <c r="I29" i="71"/>
  <c r="K32" i="71"/>
  <c r="I32" i="71"/>
  <c r="K6" i="73"/>
  <c r="I6" i="73"/>
  <c r="I23" i="73"/>
  <c r="K23" i="73"/>
  <c r="K30" i="73"/>
  <c r="I30" i="73"/>
  <c r="K8" i="74"/>
  <c r="I8" i="74"/>
  <c r="K13" i="74"/>
  <c r="I13" i="74"/>
  <c r="K14" i="74"/>
  <c r="I14" i="74"/>
  <c r="J3" i="77"/>
  <c r="K24" i="78"/>
  <c r="I24" i="78"/>
  <c r="J4" i="71"/>
  <c r="K30" i="71"/>
  <c r="I30" i="71"/>
  <c r="AD3" i="72"/>
  <c r="K13" i="72"/>
  <c r="I13" i="72"/>
  <c r="K24" i="72"/>
  <c r="I24" i="72"/>
  <c r="K29" i="72"/>
  <c r="I29" i="72"/>
  <c r="I12" i="73"/>
  <c r="K13" i="73"/>
  <c r="I13" i="73"/>
  <c r="K19" i="73"/>
  <c r="I19" i="73"/>
  <c r="K25" i="73"/>
  <c r="I25" i="73"/>
  <c r="J5" i="77"/>
  <c r="AD3" i="77"/>
  <c r="I6" i="77"/>
  <c r="K6" i="77"/>
  <c r="K16" i="78"/>
  <c r="I16" i="78"/>
  <c r="X3" i="71"/>
  <c r="J4" i="72"/>
  <c r="K5" i="72"/>
  <c r="I5" i="72"/>
  <c r="K14" i="72"/>
  <c r="I14" i="72"/>
  <c r="K30" i="72"/>
  <c r="I30" i="72"/>
  <c r="K8" i="73"/>
  <c r="I8" i="73"/>
  <c r="K14" i="73"/>
  <c r="I14" i="73"/>
  <c r="K9" i="74"/>
  <c r="I9" i="74"/>
  <c r="K8" i="78"/>
  <c r="I8" i="78"/>
  <c r="Q26" i="70"/>
  <c r="I10" i="71"/>
  <c r="K6" i="72"/>
  <c r="I6" i="72"/>
  <c r="K19" i="72"/>
  <c r="I19" i="72"/>
  <c r="K25" i="72"/>
  <c r="I25" i="72"/>
  <c r="K27" i="71"/>
  <c r="I27" i="71"/>
  <c r="K9" i="73"/>
  <c r="I9" i="73"/>
  <c r="K16" i="73"/>
  <c r="I16" i="73"/>
  <c r="K21" i="73"/>
  <c r="I21" i="73"/>
  <c r="K27" i="73"/>
  <c r="I27" i="73"/>
  <c r="AD3" i="74"/>
  <c r="J4" i="74"/>
  <c r="I20" i="74"/>
  <c r="K20" i="74"/>
  <c r="I22" i="77"/>
  <c r="K22" i="77"/>
  <c r="K23" i="77"/>
  <c r="I23" i="77"/>
  <c r="K24" i="77"/>
  <c r="I24" i="77"/>
  <c r="K8" i="71"/>
  <c r="K24" i="71"/>
  <c r="K31" i="71"/>
  <c r="K10" i="72"/>
  <c r="K11" i="72"/>
  <c r="I11" i="72"/>
  <c r="I31" i="72"/>
  <c r="K31" i="72"/>
  <c r="K22" i="73"/>
  <c r="I22" i="73"/>
  <c r="K32" i="73"/>
  <c r="I32" i="73"/>
  <c r="K5" i="74"/>
  <c r="I5" i="74"/>
  <c r="K10" i="74"/>
  <c r="K11" i="74"/>
  <c r="I11" i="74"/>
  <c r="K22" i="74"/>
  <c r="I22" i="74"/>
  <c r="K22" i="71"/>
  <c r="I22" i="71"/>
  <c r="K16" i="72"/>
  <c r="I16" i="72"/>
  <c r="K21" i="72"/>
  <c r="I21" i="72"/>
  <c r="K27" i="72"/>
  <c r="I27" i="72"/>
  <c r="AD3" i="73"/>
  <c r="J4" i="73"/>
  <c r="K11" i="73"/>
  <c r="I11" i="73"/>
  <c r="K17" i="73"/>
  <c r="I17" i="73"/>
  <c r="K6" i="74"/>
  <c r="I6" i="74"/>
  <c r="I30" i="76"/>
  <c r="K30" i="76"/>
  <c r="K26" i="74"/>
  <c r="I26" i="74"/>
  <c r="I28" i="75"/>
  <c r="K28" i="75"/>
  <c r="K28" i="76"/>
  <c r="I28" i="76"/>
  <c r="K7" i="77"/>
  <c r="I7" i="77"/>
  <c r="K8" i="77"/>
  <c r="I8" i="77"/>
  <c r="K15" i="77"/>
  <c r="I15" i="77"/>
  <c r="K16" i="77"/>
  <c r="I16" i="77"/>
  <c r="I30" i="77"/>
  <c r="K30" i="77"/>
  <c r="I6" i="78"/>
  <c r="K6" i="78"/>
  <c r="I14" i="78"/>
  <c r="K14" i="78"/>
  <c r="I22" i="78"/>
  <c r="K22" i="78"/>
  <c r="I30" i="78"/>
  <c r="K30" i="78"/>
  <c r="K21" i="74"/>
  <c r="I21" i="74"/>
  <c r="K31" i="74"/>
  <c r="K10" i="75"/>
  <c r="I10" i="75"/>
  <c r="K18" i="75"/>
  <c r="I18" i="75"/>
  <c r="K31" i="75"/>
  <c r="I19" i="76"/>
  <c r="K20" i="76"/>
  <c r="I20" i="76"/>
  <c r="I27" i="76"/>
  <c r="K29" i="76"/>
  <c r="I29" i="76"/>
  <c r="K11" i="75"/>
  <c r="I11" i="75"/>
  <c r="K19" i="75"/>
  <c r="I19" i="75"/>
  <c r="K21" i="76"/>
  <c r="I21" i="76"/>
  <c r="K31" i="76"/>
  <c r="I31" i="76"/>
  <c r="K26" i="77"/>
  <c r="I26" i="77"/>
  <c r="K9" i="78"/>
  <c r="K10" i="78"/>
  <c r="I10" i="78"/>
  <c r="K17" i="78"/>
  <c r="K18" i="78"/>
  <c r="I18" i="78"/>
  <c r="K25" i="78"/>
  <c r="K26" i="78"/>
  <c r="I26" i="78"/>
  <c r="AD3" i="76"/>
  <c r="K15" i="76"/>
  <c r="I15" i="76"/>
  <c r="K16" i="76"/>
  <c r="I16" i="76"/>
  <c r="K23" i="76"/>
  <c r="I23" i="76"/>
  <c r="K24" i="76"/>
  <c r="I24" i="76"/>
  <c r="K9" i="77"/>
  <c r="K10" i="77"/>
  <c r="I10" i="77"/>
  <c r="K17" i="77"/>
  <c r="K18" i="77"/>
  <c r="I18" i="77"/>
  <c r="Q14" i="74"/>
  <c r="Q26" i="74"/>
  <c r="K32" i="74"/>
  <c r="I32" i="74"/>
  <c r="AD3" i="75"/>
  <c r="K5" i="75"/>
  <c r="I5" i="75"/>
  <c r="K6" i="75"/>
  <c r="I6" i="75"/>
  <c r="K13" i="75"/>
  <c r="I13" i="75"/>
  <c r="K14" i="75"/>
  <c r="I14" i="75"/>
  <c r="K21" i="75"/>
  <c r="I21" i="75"/>
  <c r="K22" i="75"/>
  <c r="I22" i="75"/>
  <c r="K32" i="75"/>
  <c r="I32" i="75"/>
  <c r="K28" i="77"/>
  <c r="I28" i="77"/>
  <c r="K4" i="78"/>
  <c r="I4" i="78"/>
  <c r="K12" i="78"/>
  <c r="I12" i="78"/>
  <c r="K20" i="78"/>
  <c r="I20" i="78"/>
  <c r="K28" i="78"/>
  <c r="I28" i="78"/>
  <c r="Q17" i="74"/>
  <c r="K24" i="74"/>
  <c r="I24" i="74"/>
  <c r="I4" i="75"/>
  <c r="J3" i="75"/>
  <c r="K4" i="75"/>
  <c r="I12" i="75"/>
  <c r="K12" i="75"/>
  <c r="I20" i="75"/>
  <c r="K20" i="75"/>
  <c r="K27" i="75"/>
  <c r="I27" i="75"/>
  <c r="I14" i="76"/>
  <c r="J3" i="76"/>
  <c r="K14" i="76"/>
  <c r="I22" i="76"/>
  <c r="K22" i="76"/>
  <c r="K20" i="77"/>
  <c r="I20" i="77"/>
  <c r="K29" i="77"/>
  <c r="I29" i="77"/>
  <c r="K5" i="78"/>
  <c r="I5" i="78"/>
  <c r="K13" i="78"/>
  <c r="I13" i="78"/>
  <c r="K21" i="78"/>
  <c r="I21" i="78"/>
  <c r="K29" i="78"/>
  <c r="I29" i="78"/>
  <c r="I28" i="74"/>
  <c r="K28" i="74"/>
  <c r="K29" i="74"/>
  <c r="I29" i="74"/>
  <c r="K30" i="74"/>
  <c r="I30" i="74"/>
  <c r="K29" i="75"/>
  <c r="I29" i="75"/>
  <c r="K30" i="75"/>
  <c r="I30" i="75"/>
  <c r="K18" i="76"/>
  <c r="I18" i="76"/>
  <c r="K26" i="76"/>
  <c r="I26" i="76"/>
  <c r="K32" i="76"/>
  <c r="I32" i="76"/>
  <c r="K4" i="77"/>
  <c r="I4" i="77"/>
  <c r="K12" i="77"/>
  <c r="I12" i="77"/>
  <c r="K21" i="77"/>
  <c r="I21" i="77"/>
  <c r="K31" i="77"/>
  <c r="I31" i="77"/>
  <c r="K7" i="78"/>
  <c r="I7" i="78"/>
  <c r="K15" i="78"/>
  <c r="I15" i="78"/>
  <c r="K23" i="78"/>
  <c r="I23" i="78"/>
  <c r="K31" i="78"/>
  <c r="I31" i="78"/>
  <c r="I32" i="77"/>
  <c r="J3" i="38" l="1"/>
  <c r="K16" i="38"/>
  <c r="I16" i="38"/>
  <c r="K3" i="22"/>
  <c r="I3" i="22"/>
  <c r="J3" i="1"/>
  <c r="K14" i="1"/>
  <c r="I14" i="1"/>
  <c r="I3" i="28"/>
  <c r="K3" i="28"/>
  <c r="I9" i="41"/>
  <c r="K9" i="41"/>
  <c r="J3" i="39"/>
  <c r="K4" i="39"/>
  <c r="I4" i="39"/>
  <c r="J3" i="16"/>
  <c r="K4" i="16"/>
  <c r="I4" i="16"/>
  <c r="J3" i="24"/>
  <c r="K4" i="24"/>
  <c r="I4" i="24"/>
  <c r="J3" i="35"/>
  <c r="I4" i="35"/>
  <c r="K4" i="35"/>
  <c r="K3" i="42"/>
  <c r="I3" i="42"/>
  <c r="I3" i="48"/>
  <c r="K3" i="48"/>
  <c r="I3" i="32"/>
  <c r="K3" i="32"/>
  <c r="J3" i="15"/>
  <c r="K4" i="15"/>
  <c r="I4" i="15"/>
  <c r="I4" i="18"/>
  <c r="J3" i="18"/>
  <c r="K4" i="18"/>
  <c r="I3" i="77"/>
  <c r="K3" i="77"/>
  <c r="J3" i="57"/>
  <c r="K4" i="57"/>
  <c r="I4" i="57"/>
  <c r="K4" i="50"/>
  <c r="I4" i="50"/>
  <c r="J3" i="50"/>
  <c r="K3" i="17"/>
  <c r="I3" i="17"/>
  <c r="J3" i="14"/>
  <c r="K4" i="14"/>
  <c r="I4" i="14"/>
  <c r="J3" i="13"/>
  <c r="K16" i="13"/>
  <c r="I16" i="13"/>
  <c r="J3" i="72"/>
  <c r="K4" i="72"/>
  <c r="I4" i="72"/>
  <c r="J3" i="58"/>
  <c r="K4" i="58"/>
  <c r="I4" i="58"/>
  <c r="K3" i="41"/>
  <c r="I3" i="41"/>
  <c r="I3" i="64"/>
  <c r="K3" i="64"/>
  <c r="K4" i="68"/>
  <c r="J3" i="68"/>
  <c r="I4" i="68"/>
  <c r="I3" i="67"/>
  <c r="K3" i="67"/>
  <c r="I6" i="62"/>
  <c r="K6" i="62"/>
  <c r="J3" i="55"/>
  <c r="K4" i="55"/>
  <c r="I4" i="55"/>
  <c r="I14" i="52"/>
  <c r="K14" i="52"/>
  <c r="J3" i="45"/>
  <c r="K4" i="45"/>
  <c r="I4" i="45"/>
  <c r="I3" i="30"/>
  <c r="K3" i="30"/>
  <c r="J3" i="12"/>
  <c r="K15" i="12"/>
  <c r="I15" i="12"/>
  <c r="J3" i="5"/>
  <c r="K25" i="5"/>
  <c r="I25" i="5"/>
  <c r="J3" i="52"/>
  <c r="J3" i="3"/>
  <c r="K21" i="3"/>
  <c r="I21" i="3"/>
  <c r="I18" i="10"/>
  <c r="J3" i="10"/>
  <c r="K18" i="10"/>
  <c r="J3" i="59"/>
  <c r="K4" i="59"/>
  <c r="I4" i="59"/>
  <c r="I3" i="7"/>
  <c r="K3" i="7"/>
  <c r="J3" i="73"/>
  <c r="K4" i="73"/>
  <c r="I4" i="73"/>
  <c r="J3" i="70"/>
  <c r="K4" i="70"/>
  <c r="I4" i="70"/>
  <c r="I3" i="66"/>
  <c r="K3" i="66"/>
  <c r="I3" i="63"/>
  <c r="K3" i="63"/>
  <c r="I6" i="61"/>
  <c r="K6" i="61"/>
  <c r="J3" i="61"/>
  <c r="J3" i="62"/>
  <c r="J3" i="56"/>
  <c r="K4" i="56"/>
  <c r="I4" i="56"/>
  <c r="J3" i="44"/>
  <c r="K4" i="44"/>
  <c r="I4" i="44"/>
  <c r="K3" i="40"/>
  <c r="I3" i="40"/>
  <c r="I3" i="49"/>
  <c r="K3" i="49"/>
  <c r="J3" i="26"/>
  <c r="K4" i="26"/>
  <c r="I4" i="26"/>
  <c r="J3" i="29"/>
  <c r="K15" i="29"/>
  <c r="I15" i="29"/>
  <c r="J3" i="25"/>
  <c r="K4" i="25"/>
  <c r="I4" i="25"/>
  <c r="J3" i="4"/>
  <c r="K19" i="4"/>
  <c r="I19" i="4"/>
  <c r="K3" i="6"/>
  <c r="I3" i="6"/>
  <c r="I29" i="23"/>
  <c r="K29" i="23"/>
  <c r="J3" i="23"/>
  <c r="J3" i="21"/>
  <c r="K4" i="21"/>
  <c r="I4" i="21"/>
  <c r="J3" i="20"/>
  <c r="K4" i="20"/>
  <c r="I4" i="20"/>
  <c r="I3" i="8"/>
  <c r="K3" i="8"/>
  <c r="I21" i="8"/>
  <c r="K21" i="8"/>
  <c r="J3" i="37"/>
  <c r="K4" i="37"/>
  <c r="I4" i="37"/>
  <c r="K3" i="76"/>
  <c r="I3" i="76"/>
  <c r="J3" i="74"/>
  <c r="K4" i="74"/>
  <c r="I4" i="74"/>
  <c r="I3" i="65"/>
  <c r="K3" i="65"/>
  <c r="K3" i="46"/>
  <c r="I3" i="46"/>
  <c r="J3" i="47"/>
  <c r="K6" i="47"/>
  <c r="I6" i="47"/>
  <c r="I3" i="53"/>
  <c r="K3" i="53"/>
  <c r="J3" i="34"/>
  <c r="K4" i="34"/>
  <c r="I4" i="34"/>
  <c r="I3" i="31"/>
  <c r="K3" i="31"/>
  <c r="J3" i="9"/>
  <c r="K19" i="9"/>
  <c r="I19" i="9"/>
  <c r="J3" i="11"/>
  <c r="K18" i="11"/>
  <c r="I18" i="11"/>
  <c r="K4" i="71"/>
  <c r="J3" i="71"/>
  <c r="I4" i="71"/>
  <c r="K4" i="69"/>
  <c r="J3" i="69"/>
  <c r="I4" i="69"/>
  <c r="K3" i="75"/>
  <c r="I3" i="75"/>
  <c r="K5" i="77"/>
  <c r="I5" i="77"/>
  <c r="J3" i="60"/>
  <c r="K14" i="60"/>
  <c r="I14" i="60"/>
  <c r="J3" i="54"/>
  <c r="I4" i="54"/>
  <c r="K4" i="54"/>
  <c r="I3" i="51"/>
  <c r="K3" i="51"/>
  <c r="I3" i="43"/>
  <c r="K3" i="43"/>
  <c r="J3" i="36"/>
  <c r="K4" i="36"/>
  <c r="I4" i="36"/>
  <c r="J3" i="33"/>
  <c r="K4" i="33"/>
  <c r="I4" i="33"/>
  <c r="K5" i="31"/>
  <c r="I5" i="31"/>
  <c r="J3" i="27"/>
  <c r="K4" i="27"/>
  <c r="I4" i="27"/>
  <c r="K5" i="22"/>
  <c r="I5" i="22"/>
  <c r="I16" i="19"/>
  <c r="J3" i="19"/>
  <c r="K16" i="19"/>
  <c r="K16" i="7"/>
  <c r="I16" i="7"/>
  <c r="I20" i="2"/>
  <c r="J3" i="2"/>
  <c r="K20" i="2"/>
  <c r="K3" i="2" l="1"/>
  <c r="I3" i="2"/>
  <c r="K3" i="33"/>
  <c r="I3" i="33"/>
  <c r="K3" i="25"/>
  <c r="I3" i="25"/>
  <c r="I3" i="56"/>
  <c r="K3" i="56"/>
  <c r="K3" i="12"/>
  <c r="I3" i="12"/>
  <c r="K3" i="68"/>
  <c r="I3" i="68"/>
  <c r="K3" i="58"/>
  <c r="I3" i="58"/>
  <c r="K3" i="16"/>
  <c r="I3" i="16"/>
  <c r="I3" i="62"/>
  <c r="K3" i="62"/>
  <c r="K3" i="3"/>
  <c r="I3" i="3"/>
  <c r="K3" i="14"/>
  <c r="I3" i="14"/>
  <c r="I3" i="57"/>
  <c r="K3" i="57"/>
  <c r="K3" i="15"/>
  <c r="I3" i="15"/>
  <c r="K3" i="54"/>
  <c r="I3" i="54"/>
  <c r="K3" i="11"/>
  <c r="I3" i="11"/>
  <c r="K3" i="34"/>
  <c r="I3" i="34"/>
  <c r="K3" i="20"/>
  <c r="I3" i="20"/>
  <c r="I3" i="61"/>
  <c r="K3" i="61"/>
  <c r="I3" i="52"/>
  <c r="K3" i="52"/>
  <c r="I3" i="55"/>
  <c r="K3" i="55"/>
  <c r="K3" i="35"/>
  <c r="I3" i="35"/>
  <c r="K3" i="1"/>
  <c r="I3" i="1"/>
  <c r="I3" i="27"/>
  <c r="K3" i="27"/>
  <c r="K3" i="69"/>
  <c r="I3" i="69"/>
  <c r="K3" i="37"/>
  <c r="I3" i="37"/>
  <c r="I3" i="29"/>
  <c r="K3" i="29"/>
  <c r="K3" i="70"/>
  <c r="I3" i="70"/>
  <c r="I3" i="59"/>
  <c r="K3" i="59"/>
  <c r="K3" i="72"/>
  <c r="I3" i="72"/>
  <c r="I3" i="39"/>
  <c r="K3" i="39"/>
  <c r="K3" i="36"/>
  <c r="I3" i="36"/>
  <c r="I3" i="50"/>
  <c r="K3" i="50"/>
  <c r="K3" i="21"/>
  <c r="I3" i="21"/>
  <c r="K3" i="4"/>
  <c r="I3" i="4"/>
  <c r="K3" i="44"/>
  <c r="I3" i="44"/>
  <c r="K3" i="10"/>
  <c r="I3" i="10"/>
  <c r="K3" i="5"/>
  <c r="I3" i="5"/>
  <c r="K3" i="45"/>
  <c r="I3" i="45"/>
  <c r="K3" i="18"/>
  <c r="I3" i="18"/>
  <c r="K3" i="24"/>
  <c r="I3" i="24"/>
  <c r="K3" i="19"/>
  <c r="I3" i="19"/>
  <c r="I3" i="60"/>
  <c r="K3" i="60"/>
  <c r="K3" i="71"/>
  <c r="I3" i="71"/>
  <c r="K3" i="74"/>
  <c r="I3" i="74"/>
  <c r="K3" i="23"/>
  <c r="I3" i="23"/>
  <c r="I3" i="26"/>
  <c r="K3" i="26"/>
  <c r="K3" i="73"/>
  <c r="I3" i="73"/>
  <c r="I3" i="13"/>
  <c r="K3" i="13"/>
  <c r="K3" i="9"/>
  <c r="I3" i="9"/>
  <c r="I3" i="47"/>
  <c r="K3" i="47"/>
  <c r="K3" i="38"/>
  <c r="I3" i="3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11"/>
            <color theme="1"/>
            <rFont val="Arial"/>
          </rPr>
          <t>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I think we could raise price more given competitive landscape, competitors are priced $3-7 more than us and we have great positioning allowing us to experiment with slightly higher prices
	-Pam Galeone
----
I think we could raise price more given competitive landscape, competitors are priced $3-7 more than us and we have great positioning allowing us to experiment with slightly higher prices
	-Pam Galeone
----
I think we could raise price more given competitive landscape, competitors are priced $3-7 more than us and we have great positioning allowing us to experiment with slightly higher prices
	-Pam Galeone
----
Would we do better at a lower margin? $26-$30 does best with the black.
	-Bryan Mercer
----
I think we could raise price more given competitive landscape, competitors are priced $3-7 more than us and we have great positioning allowing us to experiment with slightly higher prices
	-Pam Galeone
----
Would we do better at a lower margin? $26-$30 does best with the black.
	-Bryan Mercer
----
I think we could raise price more given competitive landscape, competitors are priced $3-7 more than us and we have great positioning allowing us to experiment with slightly higher prices
	-Pam Galeone
----
Would we do better at a lower margin? $26-$30 does best with the black.
	-Bryan Mercer
----
I think we could raise price more given competitive landscape, competitors are priced $3-7 more than us and we have great positioning allowing us to experiment with slightly higher prices
	-Pam Galeone
----
Would we do better at a lower margin? $26-$30 does best with the black.
	-Bryan Mercer
----
I think we could raise price more given competitive landscape, competitors are priced $3-7 more than us and we have great positioning allowing us to experiment with slightly higher prices
	-Pam Galeone
----
Would we do better at a lower margin? $26-$30 does best with the black.
	-Bryan Mercer
----
I think we could raise price more given competitive landscape, competitors are priced $3-7 more than us and we have great positioning allowing us to experiment with slightly higher prices
	-Pam Galeone
----
Would we do better at a lower margin? $26-$30 does best with the black.
	-Bryan Mercer
----
I think we could raise price more given competitive landscape, competitors are priced $3-7 more than us and we have great positioning allowing us to experiment with slightly higher prices
	-Pam Galeone
----
Would we do better at a lower margin? $26-$30 does best with the black.
	-Bryan Mercer
----
I think we could raise price more given competitive landscape, competitors are priced $3-7 more than us and we have great positioning allowing us to experiment with slightly higher prices
	-Pam Galeone
----
Would we do better at a lower margin? $26-$30 does best with the black.
	-Bryan Mercer
----
I think we could raise price more given competitive landscape, competitors are priced $3-7 more than us and we have great positioning allowing us to experiment with slightly higher prices
	-Pam Galeone
----
Would we do better at a lower margin? $26-$30 does best with the black.
	-Bryan Mercer
----
I think we could raise price more given competitive landscape, competitors are priced $3-7 more than us and we have great positioning allowing us to experiment with slightly higher prices
	-Pam Galeone
----
Would we do better at a lower margin? $26-$30 does best with the black.
	-Bryan Mercer
----
I think we could raise price more given competitive landscape, competitors are priced $3-7 more than us and we have great positioning allowing us to experiment with slightly higher prices
	-Pam Galeone
----
Would we do better at a lower margin? $26-$30 does best with the black.
	-Bryan Mercer
----
I think we could raise price more given competitive landscape, competitors are priced $3-7 more than us and we have great positioning allowing us to experiment with slightly higher prices
	-Pam Galeone
----
Would we do better at a lower margin? $26-$30 does best with the black.
	-Bryan Mercer
----
I think we could raise price more given competitive landscape, competitors are priced $3-7 more than us and we have great positioning allowing us to experiment with slightly higher prices
	-Pam Galeone</t>
        </r>
      </text>
    </comment>
    <comment ref="C3" authorId="0" shapeId="0" xr:uid="{00000000-0006-0000-0000-000002000000}">
      <text>
        <r>
          <rPr>
            <sz val="11"/>
            <color theme="1"/>
            <rFont val="Arial"/>
          </rPr>
          <t>Break Even Price
	-Cassidy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100-000001000000}">
      <text>
        <r>
          <rPr>
            <sz val="11"/>
            <color theme="1"/>
            <rFont val="Arial"/>
          </rPr>
          <t>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</t>
        </r>
      </text>
    </comment>
    <comment ref="C3" authorId="0" shapeId="0" xr:uid="{00000000-0006-0000-0100-000002000000}">
      <text>
        <r>
          <rPr>
            <sz val="11"/>
            <color theme="1"/>
            <rFont val="Arial"/>
          </rPr>
          <t>Break Even Price
	-Cassidy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200-000001000000}">
      <text>
        <r>
          <rPr>
            <sz val="11"/>
            <color theme="1"/>
            <rFont val="Arial"/>
          </rPr>
          <t>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</t>
        </r>
      </text>
    </comment>
    <comment ref="C3" authorId="0" shapeId="0" xr:uid="{00000000-0006-0000-0200-000002000000}">
      <text>
        <r>
          <rPr>
            <sz val="11"/>
            <color theme="1"/>
            <rFont val="Arial"/>
          </rPr>
          <t>Break Even Price
	-Cassidy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300-000001000000}">
      <text>
        <r>
          <rPr>
            <sz val="11"/>
            <color theme="1"/>
            <rFont val="Arial"/>
          </rPr>
          <t>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</t>
        </r>
      </text>
    </comment>
    <comment ref="C3" authorId="0" shapeId="0" xr:uid="{00000000-0006-0000-0300-000002000000}">
      <text>
        <r>
          <rPr>
            <sz val="11"/>
            <color theme="1"/>
            <rFont val="Arial"/>
          </rPr>
          <t>Break Even Price
	-Cassidy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400-000001000000}">
      <text>
        <r>
          <rPr>
            <sz val="11"/>
            <color theme="1"/>
            <rFont val="Arial"/>
          </rPr>
          <t>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</t>
        </r>
      </text>
    </comment>
    <comment ref="C3" authorId="0" shapeId="0" xr:uid="{00000000-0006-0000-0400-000002000000}">
      <text>
        <r>
          <rPr>
            <sz val="11"/>
            <color theme="1"/>
            <rFont val="Arial"/>
          </rPr>
          <t>Break Even Price
	-Cassidy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500-000001000000}">
      <text>
        <r>
          <rPr>
            <sz val="11"/>
            <color theme="1"/>
            <rFont val="Arial"/>
          </rPr>
          <t>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</t>
        </r>
      </text>
    </comment>
    <comment ref="C3" authorId="0" shapeId="0" xr:uid="{00000000-0006-0000-0500-000002000000}">
      <text>
        <r>
          <rPr>
            <sz val="11"/>
            <color theme="1"/>
            <rFont val="Arial"/>
          </rPr>
          <t>Break Even Price
	-Cassidy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600-000001000000}">
      <text>
        <r>
          <rPr>
            <sz val="11"/>
            <color theme="1"/>
            <rFont val="Arial"/>
          </rPr>
          <t>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</t>
        </r>
      </text>
    </comment>
    <comment ref="C3" authorId="0" shapeId="0" xr:uid="{00000000-0006-0000-0600-000002000000}">
      <text>
        <r>
          <rPr>
            <sz val="11"/>
            <color theme="1"/>
            <rFont val="Arial"/>
          </rPr>
          <t>Break Even Price
	-Cassidy</t>
        </r>
      </text>
    </comment>
    <comment ref="B22" authorId="0" shapeId="0" xr:uid="{00000000-0006-0000-0600-000003000000}">
      <text>
        <r>
          <rPr>
            <sz val="11"/>
            <color theme="1"/>
            <rFont val="Arial"/>
          </rPr>
          <t>Would we do better at a lower margin? $26-$30 does best with the black.
	-Bryan Mercer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700-000001000000}">
      <text>
        <r>
          <rPr>
            <sz val="11"/>
            <color theme="1"/>
            <rFont val="Arial"/>
          </rPr>
          <t>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</t>
        </r>
      </text>
    </comment>
    <comment ref="C3" authorId="0" shapeId="0" xr:uid="{00000000-0006-0000-0700-000002000000}">
      <text>
        <r>
          <rPr>
            <sz val="11"/>
            <color theme="1"/>
            <rFont val="Arial"/>
          </rPr>
          <t>Break Even Price
	-Cassidy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800-000001000000}">
      <text>
        <r>
          <rPr>
            <sz val="11"/>
            <color theme="1"/>
            <rFont val="Arial"/>
          </rPr>
          <t>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</t>
        </r>
      </text>
    </comment>
    <comment ref="C3" authorId="0" shapeId="0" xr:uid="{00000000-0006-0000-0800-000002000000}">
      <text>
        <r>
          <rPr>
            <sz val="11"/>
            <color theme="1"/>
            <rFont val="Arial"/>
          </rPr>
          <t>Break Even Price
	-Cassidy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900-000001000000}">
      <text>
        <r>
          <rPr>
            <sz val="11"/>
            <color theme="1"/>
            <rFont val="Arial"/>
          </rPr>
          <t>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</t>
        </r>
      </text>
    </comment>
    <comment ref="C3" authorId="0" shapeId="0" xr:uid="{00000000-0006-0000-0900-000002000000}">
      <text>
        <r>
          <rPr>
            <sz val="11"/>
            <color theme="1"/>
            <rFont val="Arial"/>
          </rPr>
          <t>Break Even Price
	-Cassidy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A00-000001000000}">
      <text>
        <r>
          <rPr>
            <sz val="11"/>
            <color theme="1"/>
            <rFont val="Arial"/>
          </rPr>
          <t>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</t>
        </r>
      </text>
    </comment>
    <comment ref="C3" authorId="0" shapeId="0" xr:uid="{00000000-0006-0000-0A00-000002000000}">
      <text>
        <r>
          <rPr>
            <sz val="11"/>
            <color theme="1"/>
            <rFont val="Arial"/>
          </rPr>
          <t>Break Even Price
	-Cassidy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B00-000001000000}">
      <text>
        <r>
          <rPr>
            <sz val="11"/>
            <color theme="1"/>
            <rFont val="Arial"/>
          </rPr>
          <t>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</t>
        </r>
      </text>
    </comment>
    <comment ref="C3" authorId="0" shapeId="0" xr:uid="{00000000-0006-0000-0B00-000002000000}">
      <text>
        <r>
          <rPr>
            <sz val="11"/>
            <color theme="1"/>
            <rFont val="Arial"/>
          </rPr>
          <t>Break Even Price
	-Cassidy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C00-000001000000}">
      <text>
        <r>
          <rPr>
            <sz val="11"/>
            <color theme="1"/>
            <rFont val="Arial"/>
          </rPr>
          <t>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</t>
        </r>
      </text>
    </comment>
    <comment ref="C3" authorId="0" shapeId="0" xr:uid="{00000000-0006-0000-0C00-000002000000}">
      <text>
        <r>
          <rPr>
            <sz val="11"/>
            <color theme="1"/>
            <rFont val="Arial"/>
          </rPr>
          <t>Break Even Price
	-Cassidy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D00-000001000000}">
      <text>
        <r>
          <rPr>
            <sz val="11"/>
            <color theme="1"/>
            <rFont val="Arial"/>
          </rPr>
          <t>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
----
can probably get a little more
	-Bryan Mercer
----
not much inventory inbound - I would raise
	-Bryan Mercer
----
I would continue to raise - not much inventory coming
	-Bryan Mercer
----
why so much?
	-Bryan Mercer
----
don't have enough inventory to sell at this velocity
	-Bryan Mercer
----
too low
	-Bryan Mercer
----
very little inventory
	-Bryan Mercer
----
don't see any inbound.  move higher
	-Bryan Mercer
----
low DOH - move higher
	-Bryan Mercer
----
I would like to try and get a higher margin if possible
	-Bryan Mercer</t>
        </r>
      </text>
    </comment>
    <comment ref="C3" authorId="0" shapeId="0" xr:uid="{00000000-0006-0000-0D00-000002000000}">
      <text>
        <r>
          <rPr>
            <sz val="11"/>
            <color theme="1"/>
            <rFont val="Arial"/>
          </rPr>
          <t>Break Even Price
	-Cassidy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E00-000001000000}">
      <text>
        <r>
          <rPr>
            <sz val="11"/>
            <color theme="1"/>
            <rFont val="Arial"/>
          </rPr>
          <t>Break Even Price
	-Cassidy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F00-000001000000}">
      <text>
        <r>
          <rPr>
            <sz val="11"/>
            <color theme="1"/>
            <rFont val="Arial"/>
          </rPr>
          <t>Break Even Price
	-Cassidy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000-000001000000}">
      <text>
        <r>
          <rPr>
            <sz val="11"/>
            <color theme="1"/>
            <rFont val="Arial"/>
          </rPr>
          <t>Break Even Price
	-Cassidy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100-000001000000}">
      <text>
        <r>
          <rPr>
            <sz val="11"/>
            <color theme="1"/>
            <rFont val="Arial"/>
          </rPr>
          <t>Break Even Price
	-Cassidy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200-000001000000}">
      <text>
        <r>
          <rPr>
            <sz val="11"/>
            <color theme="1"/>
            <rFont val="Arial"/>
          </rPr>
          <t>Break Even Price
	-Cassidy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300-000001000000}">
      <text>
        <r>
          <rPr>
            <sz val="11"/>
            <color theme="1"/>
            <rFont val="Arial"/>
          </rPr>
          <t>Break Even Price
	-Cassidy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400-000001000000}">
      <text>
        <r>
          <rPr>
            <sz val="11"/>
            <color theme="1"/>
            <rFont val="Arial"/>
          </rPr>
          <t>Break Even Price
	-Cassidy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500-000001000000}">
      <text>
        <r>
          <rPr>
            <sz val="11"/>
            <color theme="1"/>
            <rFont val="Arial"/>
          </rPr>
          <t>Break Even Price
	-Cassidy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600-000001000000}">
      <text>
        <r>
          <rPr>
            <sz val="11"/>
            <color theme="1"/>
            <rFont val="Arial"/>
          </rPr>
          <t>Break Even Price
	-Cassidy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700-000001000000}">
      <text>
        <r>
          <rPr>
            <sz val="11"/>
            <color theme="1"/>
            <rFont val="Arial"/>
          </rPr>
          <t>Break Even Price
	-Cassidy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800-000001000000}">
      <text>
        <r>
          <rPr>
            <sz val="11"/>
            <color theme="1"/>
            <rFont val="Arial"/>
          </rPr>
          <t>Break Even Price
	-Cassidy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900-000001000000}">
      <text>
        <r>
          <rPr>
            <sz val="11"/>
            <color theme="1"/>
            <rFont val="Arial"/>
          </rPr>
          <t>Break Even Price
	-Cassidy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A00-000001000000}">
      <text>
        <r>
          <rPr>
            <sz val="11"/>
            <color theme="1"/>
            <rFont val="Arial"/>
          </rPr>
          <t>Break Even Price
	-Cassidy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B00-000001000000}">
      <text>
        <r>
          <rPr>
            <sz val="11"/>
            <color theme="1"/>
            <rFont val="Arial"/>
          </rPr>
          <t>Break Even Price
	-Cassidy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C00-000001000000}">
      <text>
        <r>
          <rPr>
            <sz val="11"/>
            <color theme="1"/>
            <rFont val="Arial"/>
          </rPr>
          <t>Break Even Price
	-Cassidy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D00-000001000000}">
      <text>
        <r>
          <rPr>
            <sz val="11"/>
            <color theme="1"/>
            <rFont val="Arial"/>
          </rPr>
          <t>Break Even Price
	-Cassidy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E00-000001000000}">
      <text>
        <r>
          <rPr>
            <sz val="11"/>
            <color theme="1"/>
            <rFont val="Arial"/>
          </rPr>
          <t>Break Even Price
	-Cassidy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F00-000001000000}">
      <text>
        <r>
          <rPr>
            <sz val="11"/>
            <color theme="1"/>
            <rFont val="Arial"/>
          </rPr>
          <t>Break Even Price
	-Cassidy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000-000001000000}">
      <text>
        <r>
          <rPr>
            <sz val="11"/>
            <color theme="1"/>
            <rFont val="Arial"/>
          </rPr>
          <t>Break Even Price
	-Cassidy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100-000001000000}">
      <text>
        <r>
          <rPr>
            <sz val="11"/>
            <color theme="1"/>
            <rFont val="Arial"/>
          </rPr>
          <t>Break Even Price
	-Cassidy</t>
        </r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200-000001000000}">
      <text>
        <r>
          <rPr>
            <sz val="11"/>
            <color theme="1"/>
            <rFont val="Arial"/>
          </rPr>
          <t>Break Even Price
	-Cassidy</t>
        </r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300-000001000000}">
      <text>
        <r>
          <rPr>
            <sz val="11"/>
            <color theme="1"/>
            <rFont val="Arial"/>
          </rPr>
          <t>Break Even Price
	-Cassidy</t>
        </r>
      </text>
    </comment>
  </commentList>
</comments>
</file>

<file path=xl/comments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400-000001000000}">
      <text>
        <r>
          <rPr>
            <sz val="11"/>
            <color theme="1"/>
            <rFont val="Arial"/>
          </rPr>
          <t>Break Even Price
	-Cassidy</t>
        </r>
      </text>
    </comment>
  </commentList>
</comments>
</file>

<file path=xl/comments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500-000001000000}">
      <text>
        <r>
          <rPr>
            <sz val="11"/>
            <color theme="1"/>
            <rFont val="Arial"/>
          </rPr>
          <t>Break Even Price
	-Cassidy</t>
        </r>
      </text>
    </comment>
  </commentList>
</comments>
</file>

<file path=xl/comments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600-000001000000}">
      <text>
        <r>
          <rPr>
            <sz val="11"/>
            <color theme="1"/>
            <rFont val="Arial"/>
          </rPr>
          <t>Break Even Price
	-Cassidy</t>
        </r>
      </text>
    </comment>
  </commentList>
</comments>
</file>

<file path=xl/comments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700-000001000000}">
      <text>
        <r>
          <rPr>
            <sz val="11"/>
            <color theme="1"/>
            <rFont val="Arial"/>
          </rPr>
          <t>Break Even Price
	-Cassidy</t>
        </r>
      </text>
    </comment>
  </commentList>
</comments>
</file>

<file path=xl/comments4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800-000001000000}">
      <text>
        <r>
          <rPr>
            <sz val="11"/>
            <color theme="1"/>
            <rFont val="Arial"/>
          </rPr>
          <t>Break Even Price
	-Cassidy</t>
        </r>
      </text>
    </comment>
  </commentList>
</comments>
</file>

<file path=xl/comments4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900-000001000000}">
      <text>
        <r>
          <rPr>
            <sz val="11"/>
            <color theme="1"/>
            <rFont val="Arial"/>
          </rPr>
          <t>Break Even Price
	-Cassidy</t>
        </r>
      </text>
    </comment>
  </commentList>
</comments>
</file>

<file path=xl/comments4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A00-000001000000}">
      <text>
        <r>
          <rPr>
            <sz val="11"/>
            <color theme="1"/>
            <rFont val="Arial"/>
          </rPr>
          <t>Break Even Price
	-Cassidy</t>
        </r>
      </text>
    </comment>
  </commentList>
</comments>
</file>

<file path=xl/comments4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B00-000001000000}">
      <text>
        <r>
          <rPr>
            <sz val="11"/>
            <color theme="1"/>
            <rFont val="Arial"/>
          </rPr>
          <t>Break Even Price
	-Cassidy</t>
        </r>
      </text>
    </comment>
  </commentList>
</comments>
</file>

<file path=xl/comments4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C00-000001000000}">
      <text>
        <r>
          <rPr>
            <sz val="11"/>
            <color theme="1"/>
            <rFont val="Arial"/>
          </rPr>
          <t>Break Even Price
	-Cassidy</t>
        </r>
      </text>
    </comment>
  </commentList>
</comments>
</file>

<file path=xl/comments4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D00-000001000000}">
      <text>
        <r>
          <rPr>
            <sz val="11"/>
            <color theme="1"/>
            <rFont val="Arial"/>
          </rPr>
          <t>Break Even Price
	-Cassidy</t>
        </r>
      </text>
    </comment>
  </commentList>
</comments>
</file>

<file path=xl/comments4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E00-000001000000}">
      <text>
        <r>
          <rPr>
            <sz val="11"/>
            <color theme="1"/>
            <rFont val="Arial"/>
          </rPr>
          <t>Break Even Price
	-Cassidy</t>
        </r>
      </text>
    </comment>
  </commentList>
</comments>
</file>

<file path=xl/comments4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F00-000001000000}">
      <text>
        <r>
          <rPr>
            <sz val="11"/>
            <color theme="1"/>
            <rFont val="Arial"/>
          </rPr>
          <t>Break Even Price
	-Cassidy</t>
        </r>
      </text>
    </comment>
  </commentList>
</comments>
</file>

<file path=xl/comments4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000-000001000000}">
      <text>
        <r>
          <rPr>
            <sz val="11"/>
            <color theme="1"/>
            <rFont val="Arial"/>
          </rPr>
          <t>Break Even Price
	-Cassidy</t>
        </r>
      </text>
    </comment>
  </commentList>
</comments>
</file>

<file path=xl/comments5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100-000001000000}">
      <text>
        <r>
          <rPr>
            <sz val="11"/>
            <color theme="1"/>
            <rFont val="Arial"/>
          </rPr>
          <t>Break Even Price
	-Cassidy</t>
        </r>
      </text>
    </comment>
  </commentList>
</comments>
</file>

<file path=xl/comments5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200-000001000000}">
      <text>
        <r>
          <rPr>
            <sz val="11"/>
            <color theme="1"/>
            <rFont val="Arial"/>
          </rPr>
          <t>Break Even Price
	-Cassidy</t>
        </r>
      </text>
    </comment>
  </commentList>
</comments>
</file>

<file path=xl/comments5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300-000001000000}">
      <text>
        <r>
          <rPr>
            <sz val="11"/>
            <color theme="1"/>
            <rFont val="Arial"/>
          </rPr>
          <t>Break Even Price
	-Cassidy</t>
        </r>
      </text>
    </comment>
  </commentList>
</comments>
</file>

<file path=xl/comments5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400-000001000000}">
      <text>
        <r>
          <rPr>
            <sz val="11"/>
            <color theme="1"/>
            <rFont val="Arial"/>
          </rPr>
          <t>Break Even Price
	-Cassidy</t>
        </r>
      </text>
    </comment>
  </commentList>
</comments>
</file>

<file path=xl/comments5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500-000001000000}">
      <text>
        <r>
          <rPr>
            <sz val="11"/>
            <color theme="1"/>
            <rFont val="Arial"/>
          </rPr>
          <t>Break Even Price
	-Cassidy</t>
        </r>
      </text>
    </comment>
  </commentList>
</comments>
</file>

<file path=xl/comments5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600-000001000000}">
      <text>
        <r>
          <rPr>
            <sz val="11"/>
            <color theme="1"/>
            <rFont val="Arial"/>
          </rPr>
          <t>Break Even Price
	-Cassidy</t>
        </r>
      </text>
    </comment>
  </commentList>
</comments>
</file>

<file path=xl/comments5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700-000001000000}">
      <text>
        <r>
          <rPr>
            <sz val="11"/>
            <color theme="1"/>
            <rFont val="Arial"/>
          </rPr>
          <t>Break Even Price
	-Cassidy</t>
        </r>
      </text>
    </comment>
  </commentList>
</comments>
</file>

<file path=xl/comments5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800-000001000000}">
      <text>
        <r>
          <rPr>
            <sz val="11"/>
            <color theme="1"/>
            <rFont val="Arial"/>
          </rPr>
          <t>Break Even Price
	-Cassidy</t>
        </r>
      </text>
    </comment>
  </commentList>
</comments>
</file>

<file path=xl/comments5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900-000001000000}">
      <text>
        <r>
          <rPr>
            <sz val="11"/>
            <color theme="1"/>
            <rFont val="Arial"/>
          </rPr>
          <t>Break Even Price
	-Cassidy</t>
        </r>
      </text>
    </comment>
    <comment ref="B19" authorId="0" shapeId="0" xr:uid="{00000000-0006-0000-3900-000002000000}">
      <text>
        <r>
          <rPr>
            <sz val="11"/>
            <color theme="1"/>
            <rFont val="Arial"/>
          </rPr>
          <t>I think we could raise price more given competitive landscape, competitors are priced $3-7 more than us and we have great positioning allowing us to experiment with slightly higher prices
	-Pam Galeone</t>
        </r>
      </text>
    </comment>
  </commentList>
</comments>
</file>

<file path=xl/comments5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A00-000001000000}">
      <text>
        <r>
          <rPr>
            <sz val="11"/>
            <color theme="1"/>
            <rFont val="Arial"/>
          </rPr>
          <t>Break Even Price
	-Cassidy</t>
        </r>
      </text>
    </comment>
  </commentList>
</comments>
</file>

<file path=xl/comments6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B00-000001000000}">
      <text>
        <r>
          <rPr>
            <sz val="11"/>
            <color theme="1"/>
            <rFont val="Arial"/>
          </rPr>
          <t>Break Even Price
	-Cassidy</t>
        </r>
      </text>
    </comment>
  </commentList>
</comments>
</file>

<file path=xl/comments6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C00-000001000000}">
      <text>
        <r>
          <rPr>
            <sz val="11"/>
            <color theme="1"/>
            <rFont val="Arial"/>
          </rPr>
          <t>Break Even Price
	-Cassidy</t>
        </r>
      </text>
    </comment>
  </commentList>
</comments>
</file>

<file path=xl/comments6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D00-000001000000}">
      <text>
        <r>
          <rPr>
            <sz val="11"/>
            <color theme="1"/>
            <rFont val="Arial"/>
          </rPr>
          <t>Break Even Price
	-Cassidy</t>
        </r>
      </text>
    </comment>
  </commentList>
</comments>
</file>

<file path=xl/comments6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E00-000001000000}">
      <text>
        <r>
          <rPr>
            <sz val="11"/>
            <color theme="1"/>
            <rFont val="Arial"/>
          </rPr>
          <t>Break Even Price
	-Cassidy</t>
        </r>
      </text>
    </comment>
  </commentList>
</comments>
</file>

<file path=xl/comments6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F00-000001000000}">
      <text>
        <r>
          <rPr>
            <sz val="11"/>
            <color theme="1"/>
            <rFont val="Arial"/>
          </rPr>
          <t>Break Even Price
	-Cassidy</t>
        </r>
      </text>
    </comment>
  </commentList>
</comments>
</file>

<file path=xl/comments6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000-000001000000}">
      <text>
        <r>
          <rPr>
            <sz val="11"/>
            <color theme="1"/>
            <rFont val="Arial"/>
          </rPr>
          <t>Break Even Price
	-Cassidy</t>
        </r>
      </text>
    </comment>
  </commentList>
</comments>
</file>

<file path=xl/comments6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100-000001000000}">
      <text>
        <r>
          <rPr>
            <sz val="11"/>
            <color theme="1"/>
            <rFont val="Arial"/>
          </rPr>
          <t>Break Even Price
	-Cassidy</t>
        </r>
      </text>
    </comment>
  </commentList>
</comments>
</file>

<file path=xl/comments6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200-000001000000}">
      <text>
        <r>
          <rPr>
            <sz val="11"/>
            <color theme="1"/>
            <rFont val="Arial"/>
          </rPr>
          <t>Break Even Price
	-Cassidy</t>
        </r>
      </text>
    </comment>
  </commentList>
</comments>
</file>

<file path=xl/comments6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300-000001000000}">
      <text>
        <r>
          <rPr>
            <sz val="11"/>
            <color theme="1"/>
            <rFont val="Arial"/>
          </rPr>
          <t>Break Even Price
	-Cassidy</t>
        </r>
      </text>
    </comment>
  </commentList>
</comments>
</file>

<file path=xl/comments6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400-000001000000}">
      <text>
        <r>
          <rPr>
            <sz val="11"/>
            <color theme="1"/>
            <rFont val="Arial"/>
          </rPr>
          <t>Break Even Price
	-Cassidy</t>
        </r>
      </text>
    </comment>
  </commentList>
</comments>
</file>

<file path=xl/comments7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500-000001000000}">
      <text>
        <r>
          <rPr>
            <sz val="11"/>
            <color theme="1"/>
            <rFont val="Arial"/>
          </rPr>
          <t>Break Even Price
	-Cassidy</t>
        </r>
      </text>
    </comment>
  </commentList>
</comments>
</file>

<file path=xl/comments7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600-000001000000}">
      <text>
        <r>
          <rPr>
            <sz val="11"/>
            <color theme="1"/>
            <rFont val="Arial"/>
          </rPr>
          <t>Break Even Price
	-Cassidy</t>
        </r>
      </text>
    </comment>
  </commentList>
</comments>
</file>

<file path=xl/comments7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700-000001000000}">
      <text>
        <r>
          <rPr>
            <sz val="11"/>
            <color theme="1"/>
            <rFont val="Arial"/>
          </rPr>
          <t>Break Even Price
	-Cassidy</t>
        </r>
      </text>
    </comment>
  </commentList>
</comments>
</file>

<file path=xl/comments7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800-000001000000}">
      <text>
        <r>
          <rPr>
            <sz val="11"/>
            <color theme="1"/>
            <rFont val="Arial"/>
          </rPr>
          <t>Break Even Price
	-Cassidy</t>
        </r>
      </text>
    </comment>
  </commentList>
</comments>
</file>

<file path=xl/comments7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900-000001000000}">
      <text>
        <r>
          <rPr>
            <sz val="11"/>
            <color theme="1"/>
            <rFont val="Arial"/>
          </rPr>
          <t>Break Even Price
	-Cassidy</t>
        </r>
      </text>
    </comment>
  </commentList>
</comments>
</file>

<file path=xl/comments7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A00-000001000000}">
      <text>
        <r>
          <rPr>
            <sz val="11"/>
            <color theme="1"/>
            <rFont val="Arial"/>
          </rPr>
          <t>Break Even Price
	-Cassidy</t>
        </r>
      </text>
    </comment>
  </commentList>
</comments>
</file>

<file path=xl/comments7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B00-000001000000}">
      <text>
        <r>
          <rPr>
            <sz val="11"/>
            <color theme="1"/>
            <rFont val="Arial"/>
          </rPr>
          <t>Break Even Price
	-Cassidy</t>
        </r>
      </text>
    </comment>
  </commentList>
</comments>
</file>

<file path=xl/comments7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C00-000001000000}">
      <text>
        <r>
          <rPr>
            <sz val="11"/>
            <color theme="1"/>
            <rFont val="Arial"/>
          </rPr>
          <t>Break Even Price
	-Cassidy</t>
        </r>
      </text>
    </comment>
  </commentList>
</comments>
</file>

<file path=xl/comments7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D00-000001000000}">
      <text>
        <r>
          <rPr>
            <sz val="11"/>
            <color theme="1"/>
            <rFont val="Arial"/>
          </rPr>
          <t>Break Even Price
	-Cassidy</t>
        </r>
      </text>
    </comment>
  </commentList>
</comments>
</file>

<file path=xl/sharedStrings.xml><?xml version="1.0" encoding="utf-8"?>
<sst xmlns="http://schemas.openxmlformats.org/spreadsheetml/2006/main" count="10824" uniqueCount="2007">
  <si>
    <t>Price</t>
  </si>
  <si>
    <t>AMZ
Sales</t>
  </si>
  <si>
    <t>Non-AMZ 
Sales</t>
  </si>
  <si>
    <t>Revenue</t>
  </si>
  <si>
    <t>PPC Spend</t>
  </si>
  <si>
    <t>% 
Ad Spend</t>
  </si>
  <si>
    <t>Margin
(Incl. Storage)</t>
  </si>
  <si>
    <t>Net Profit 
(Incl. Storage)</t>
  </si>
  <si>
    <t>Profit / 
Piece</t>
  </si>
  <si>
    <t>Sessions</t>
  </si>
  <si>
    <t>Conversion
Rate</t>
  </si>
  <si>
    <t>QTY</t>
  </si>
  <si>
    <t>AMZ
7D Velocity</t>
  </si>
  <si>
    <t>Non-AMZ
7D Velocity</t>
  </si>
  <si>
    <t>DOH</t>
  </si>
  <si>
    <t>DOH of Comp Inv</t>
  </si>
  <si>
    <t>Sell
Through</t>
  </si>
  <si>
    <t>In 
Transit</t>
  </si>
  <si>
    <t>Arrival Date</t>
  </si>
  <si>
    <t xml:space="preserve">PPC
Sales </t>
  </si>
  <si>
    <t>% PPC Sales</t>
  </si>
  <si>
    <t>Cost per PPC Sale</t>
  </si>
  <si>
    <t>PPC Sales 
(Other SKUs)</t>
  </si>
  <si>
    <t>Size Tier</t>
  </si>
  <si>
    <t>Storage Per 
Cubic Ft.</t>
  </si>
  <si>
    <t xml:space="preserve">Volume </t>
  </si>
  <si>
    <t>Storage
Cost</t>
  </si>
  <si>
    <t>FBA 
Fee</t>
  </si>
  <si>
    <t>Blended 
Landed Cost</t>
  </si>
  <si>
    <t>Coupons</t>
  </si>
  <si>
    <t>PL-IFC-103B10</t>
  </si>
  <si>
    <t>Totals</t>
  </si>
  <si>
    <t>3/8 to 3/14</t>
  </si>
  <si>
    <t>Not in Profit Peak. Maintain</t>
  </si>
  <si>
    <t/>
  </si>
  <si>
    <t>UsLargeStandardSize</t>
  </si>
  <si>
    <t>3/15 to 3/21</t>
  </si>
  <si>
    <t>Turned on PP from $19.99 to $29.99. Raised min to $23.14</t>
  </si>
  <si>
    <t>3/22 to 3/28</t>
  </si>
  <si>
    <t>Raised min to $25.45</t>
  </si>
  <si>
    <t>3/29 to 4/4</t>
  </si>
  <si>
    <t>Raised min to $29.72</t>
  </si>
  <si>
    <t>4/5 to 4/11</t>
  </si>
  <si>
    <t>Raised min to $33.08</t>
  </si>
  <si>
    <t>4/12 to 4/18</t>
  </si>
  <si>
    <t>sold out</t>
  </si>
  <si>
    <t>4/19 to 4/25</t>
  </si>
  <si>
    <t>4/26 to 5/2</t>
  </si>
  <si>
    <t>5/3 to 5/9</t>
  </si>
  <si>
    <t>5/10 to 5/16</t>
  </si>
  <si>
    <t>5/17 to 5/23</t>
  </si>
  <si>
    <t>5/24 to 5/30</t>
  </si>
  <si>
    <t>5/31 to 6/6</t>
  </si>
  <si>
    <t>6/7 to 6/13</t>
  </si>
  <si>
    <t>6/14 to 6/20</t>
  </si>
  <si>
    <t>6/21 to 6/27</t>
  </si>
  <si>
    <t xml:space="preserve"> | #415: 200 - 08/20/21</t>
  </si>
  <si>
    <t>6/28 to 7/4</t>
  </si>
  <si>
    <t>7/5 to 7/11</t>
  </si>
  <si>
    <t>No Transit, But 304 At Factory 50-75 days from Earliest Arrival</t>
  </si>
  <si>
    <t>7/12 to 7/18</t>
  </si>
  <si>
    <t>PL-IFC-103B100</t>
  </si>
  <si>
    <t>Turned on Profit Peak from $105.95 with target of 1</t>
  </si>
  <si>
    <t>UsSmallOversize</t>
  </si>
  <si>
    <t>Turned PPC on</t>
  </si>
  <si>
    <t>Lowered min to $100.95</t>
  </si>
  <si>
    <t>Turned PPC off</t>
  </si>
  <si>
    <t>Raised min to $104.95</t>
  </si>
  <si>
    <t>Continue with Profit Peak</t>
  </si>
  <si>
    <t>Goal is improving profit. Raised min to $126.34</t>
  </si>
  <si>
    <t>No Transit, But 60 At Factory 50-75 days from Earliest Arrival</t>
  </si>
  <si>
    <t>PL-IFC-103B25</t>
  </si>
  <si>
    <t>Raised $4 to $35.99</t>
  </si>
  <si>
    <t>Turned on Profit Peak from $36.95 with target of 2</t>
  </si>
  <si>
    <t>Goal is improving profit. Raised min to $39.99</t>
  </si>
  <si>
    <t xml:space="preserve"> | #407: 252 - 06/25/21</t>
  </si>
  <si>
    <t xml:space="preserve"> | #407: 252 - 07/02/21</t>
  </si>
  <si>
    <t>Goal is selling out within 90 days. Lowered min to $37.95</t>
  </si>
  <si>
    <t>Raised min to $46.72</t>
  </si>
  <si>
    <t xml:space="preserve"> | #407: 252 - 07/07/21</t>
  </si>
  <si>
    <t>Raised min to $51.54</t>
  </si>
  <si>
    <t>Raised min to $57.67</t>
  </si>
  <si>
    <t xml:space="preserve"> | #407: 252 - 07/09/21</t>
  </si>
  <si>
    <t>Maintain</t>
  </si>
  <si>
    <t>No Transit, But 200 At Factory 50-75 days from Earliest Arrival</t>
  </si>
  <si>
    <t>PL-IFC-103B50</t>
  </si>
  <si>
    <t>Turned on Profit Peak from $55.99 with target of 1</t>
  </si>
  <si>
    <t xml:space="preserve"> | #393: 136 - 06/01/21</t>
  </si>
  <si>
    <t>Raised min to $64.95</t>
  </si>
  <si>
    <t xml:space="preserve"> | #393: 136 - 05/30/21</t>
  </si>
  <si>
    <t>Raised min to $74.53</t>
  </si>
  <si>
    <t xml:space="preserve"> | #393: 136 - 06/09/21</t>
  </si>
  <si>
    <t>sold out, lowered min to $64.95 for when new inventory hits</t>
  </si>
  <si>
    <t xml:space="preserve"> | #393: 136 - 06/10/21</t>
  </si>
  <si>
    <t>Turned PPC off. Raised min to $73.65</t>
  </si>
  <si>
    <t>PL-IFC-103B25P</t>
  </si>
  <si>
    <t>Turned on Profit Peak from $33.99 with target of 1</t>
  </si>
  <si>
    <t xml:space="preserve"> | #407: 160 - 07/02/21</t>
  </si>
  <si>
    <t>Raised target to 2. Turned PPC on</t>
  </si>
  <si>
    <t xml:space="preserve"> | #407: 160 - 07/07/21</t>
  </si>
  <si>
    <t>Raised min to $39.88</t>
  </si>
  <si>
    <t>Trimmed PPC for wasted spend</t>
  </si>
  <si>
    <t xml:space="preserve"> | #407: 160 - 07/09/21</t>
  </si>
  <si>
    <t>No Transit, But 100 At Factory 50-75 days from Earliest Arrival</t>
  </si>
  <si>
    <t>PL-IFC-103B50P</t>
  </si>
  <si>
    <t>Turned on Profit Peak from $57.99 with target of 1</t>
  </si>
  <si>
    <t xml:space="preserve"> | #393: 46 - 06/01/21</t>
  </si>
  <si>
    <t>Raised min to $67.95</t>
  </si>
  <si>
    <t xml:space="preserve"> | #393: 46 - 05/30/21</t>
  </si>
  <si>
    <t xml:space="preserve"> | #393: 46 - 06/09/21</t>
  </si>
  <si>
    <t xml:space="preserve"> | #393: 46 - 06/10/21</t>
  </si>
  <si>
    <t>Raised min to $71.95</t>
  </si>
  <si>
    <t>Lowered min to $69.95. Increased target to 2</t>
  </si>
  <si>
    <t>Lowered min to $66.95</t>
  </si>
  <si>
    <t>PL-IFC-103N10</t>
  </si>
  <si>
    <t>Turned on PP from $19.99 to $29.99. Raised min to $22.61</t>
  </si>
  <si>
    <t>Raised min to $25.36</t>
  </si>
  <si>
    <t>Raised min to $30.55</t>
  </si>
  <si>
    <t>Raised min to $33.6</t>
  </si>
  <si>
    <t>Lowered min to $32.95. Added target of 1</t>
  </si>
  <si>
    <t>Lowered min to $29.95</t>
  </si>
  <si>
    <t>Improving sell through. Lowered min to $19.95, increased target to 2</t>
  </si>
  <si>
    <t>Goal is selling out within 90 days, continue with profit peak</t>
  </si>
  <si>
    <t>PL-IFC-103N25</t>
  </si>
  <si>
    <t>Turned on Profit Peak from $31.99 with target of 1. Turned PPC on</t>
  </si>
  <si>
    <t xml:space="preserve"> | #393: 60 - 06/01/21</t>
  </si>
  <si>
    <t>Raised min to $36.95</t>
  </si>
  <si>
    <t>Raised min to $37.95</t>
  </si>
  <si>
    <t xml:space="preserve"> | #393: 60 - 05/30/21</t>
  </si>
  <si>
    <t>Lowered min to $36.95</t>
  </si>
  <si>
    <t>Raised min to $40.99, goal is raising profit</t>
  </si>
  <si>
    <t xml:space="preserve"> | #393: 60 - 06/09/21</t>
  </si>
  <si>
    <t xml:space="preserve"> | #393: 60 - 06/10/21</t>
  </si>
  <si>
    <t>Lowered min to $37.95</t>
  </si>
  <si>
    <t>Raised min to $43.17</t>
  </si>
  <si>
    <t>No Transit or Factory Storage, 320 In Production 60-100 days from Earliest Arrival</t>
  </si>
  <si>
    <t>PL-IFC-103N25P</t>
  </si>
  <si>
    <t>Turned on Profit Peak from $33.99 with target of 1. Turned PPC on</t>
  </si>
  <si>
    <t>Added bullet points and search terms</t>
  </si>
  <si>
    <t>Raised min to $38.95</t>
  </si>
  <si>
    <t>Lowered min to $35.95</t>
  </si>
  <si>
    <t>Lower price didn't help, raised to $36.95</t>
  </si>
  <si>
    <t>selling out</t>
  </si>
  <si>
    <t>Raised min to $39.99</t>
  </si>
  <si>
    <t>No Transit or Factory Storage, 200 In Production 60-100 days from Earliest Arrival</t>
  </si>
  <si>
    <t>PL-IFC-103N50</t>
  </si>
  <si>
    <t>Turned on Profit Peak with min of $61.58</t>
  </si>
  <si>
    <t>Lowered min to $59.99. Added target of 1</t>
  </si>
  <si>
    <t>Raised min to $64.99</t>
  </si>
  <si>
    <t>Goal is clearing inventory within 90 days, Continue with Profit Peak</t>
  </si>
  <si>
    <t>Raised min to $65.99</t>
  </si>
  <si>
    <t>selling out, 1 remaining</t>
  </si>
  <si>
    <t>Increased target to 2. Lowered min to $59.99</t>
  </si>
  <si>
    <t>Raised min to $65.98</t>
  </si>
  <si>
    <t>Raised min to $72.57</t>
  </si>
  <si>
    <t>PL-IFC-103N50P</t>
  </si>
  <si>
    <t>Turned on Profit Peak from $63.78</t>
  </si>
  <si>
    <t>Raised min to $66.99</t>
  </si>
  <si>
    <t>Raised min to $69.95</t>
  </si>
  <si>
    <t>Goal is increasing profit. Raised min to $71.95</t>
  </si>
  <si>
    <t>Lowered min to $70.95</t>
  </si>
  <si>
    <t>Raised target to 2. Lowered min to $60.5. Scheduled at $69.99 for a day</t>
  </si>
  <si>
    <t>Scheduled at $60.99 for two days, goal is selling out within 90 days of inventory hitting</t>
  </si>
  <si>
    <t>PL-IFC-103Y03</t>
  </si>
  <si>
    <t>Maintain, till on parent</t>
  </si>
  <si>
    <t>Not in Profit Peak. Lowered $2 to $13.99. Turned PPC on</t>
  </si>
  <si>
    <t>Turned PPC off. Turned on Profit Peak from $14.95</t>
  </si>
  <si>
    <t>Raised min to $16.44</t>
  </si>
  <si>
    <t>Raised min to $18.08</t>
  </si>
  <si>
    <t>Raised min to $19.89</t>
  </si>
  <si>
    <t xml:space="preserve"> | #415: 144 - 08/20/21</t>
  </si>
  <si>
    <t>No Transit, But 256 At Factory 50-75 days from Earliest Arrival</t>
  </si>
  <si>
    <t>PL-IFC-103Y03P</t>
  </si>
  <si>
    <t>Turned PPC off. Turned on Profit Peak from $19.99</t>
  </si>
  <si>
    <t>Lowered min to $17.95</t>
  </si>
  <si>
    <t>Lowered min to $12.95</t>
  </si>
  <si>
    <t>Raised min to $18.07</t>
  </si>
  <si>
    <t>Improving DOH. Lowered min to $12.95. Increased target to 2. Scheduled at $14.99 a few days</t>
  </si>
  <si>
    <t>Goal is clearing inventory within 90 days. Lowered min to $10.95</t>
  </si>
  <si>
    <t>Continue with Profit Peak, to sell out within almost 90 days of inventory hitting</t>
  </si>
  <si>
    <t>PL-IFC-103Y10</t>
  </si>
  <si>
    <t>12/28 to 1/3</t>
  </si>
  <si>
    <t>#302;SW: 576 - 01/07/21
#303;SW: 24 - 01/07/21</t>
  </si>
  <si>
    <t>1/4 to 1/10</t>
  </si>
  <si>
    <t>#302;SW: 576 - 01/07/21 #303;SW: 24 - 01/07/21</t>
  </si>
  <si>
    <t>1/11 to 1/17</t>
  </si>
  <si>
    <t xml:space="preserve">:  -  :  -  :  -  :  -  :  -  :  -  :  -  :  -  :  -  :  - :  -  :  -  :  -  :  -  :  -  :  -  :  -  :  -  :  - </t>
  </si>
  <si>
    <t>1/18 to 1/24</t>
  </si>
  <si>
    <t>Lowered PP to $18.5 to $49.99 with target of 3. Scheduled at $25.99 for a few days</t>
  </si>
  <si>
    <t>1/25 to 1/31</t>
  </si>
  <si>
    <t>Raised min to $31.3. Removed target</t>
  </si>
  <si>
    <t>2/1 to 2/7</t>
  </si>
  <si>
    <t>2/8 to 2/14</t>
  </si>
  <si>
    <t>2/15 to 2/21</t>
  </si>
  <si>
    <t>Lowered min to $29.95. Added a target of 6</t>
  </si>
  <si>
    <t>2/22 to 2/28</t>
  </si>
  <si>
    <t>Raised min to $38.42</t>
  </si>
  <si>
    <t>3/1 to 3/7</t>
  </si>
  <si>
    <t>Lowered min to $33.95 and target to 5</t>
  </si>
  <si>
    <t>sku missing</t>
  </si>
  <si>
    <t>Not in Profit Peak. Set price to $33.99</t>
  </si>
  <si>
    <t xml:space="preserve"> | 200: 200 - </t>
  </si>
  <si>
    <t>Raised min to $32.94</t>
  </si>
  <si>
    <t xml:space="preserve"> | #395: 200 - 06/08/21 | #408: 200 - 05/25/21</t>
  </si>
  <si>
    <t>Raised min to $37.11. Removed target</t>
  </si>
  <si>
    <t xml:space="preserve"> | #395: 200 - 06/06/21 | #408: 200 - 06/10/21</t>
  </si>
  <si>
    <t xml:space="preserve"> | #395: 200 - 06/04/21 | #408: 200 - 06/25/21</t>
  </si>
  <si>
    <t>Lowered min to $29.95. Added target of 5</t>
  </si>
  <si>
    <t>Goal is improving profit. Raised min to $35.08</t>
  </si>
  <si>
    <t xml:space="preserve"> | #395: 200 - 06/09/21 | #408: 200 - 06/24/21</t>
  </si>
  <si>
    <t xml:space="preserve"> | #395: 200 - 06/12/21 | #408: 200 - 06/30/21</t>
  </si>
  <si>
    <t xml:space="preserve"> | #395: 200 - 06/08/21 | #408: 200 - 07/07/21</t>
  </si>
  <si>
    <t>Lowered min to $19.95, increased target to 8. Scheduled at $29.99 a couple days</t>
  </si>
  <si>
    <t xml:space="preserve"> | #408: 200 - 07/15/21</t>
  </si>
  <si>
    <t>Raised min to $30.95</t>
  </si>
  <si>
    <t>#408: 200 - 07/15/21</t>
  </si>
  <si>
    <t>Raised min to $35.18</t>
  </si>
  <si>
    <t>#408: 200 - 07/15/21 | #418: 320 - 08/20/21</t>
  </si>
  <si>
    <t>No Transit, But 80 At Factory 50-75 days from Earliest Arrival</t>
  </si>
  <si>
    <t>PL-IFC-103Y100</t>
  </si>
  <si>
    <t>Not in Profit Peak. Set to $109.99. Set to $99.99</t>
  </si>
  <si>
    <t>Turned on PP from $100.99 tp $149.99 with target of 3</t>
  </si>
  <si>
    <t>Raised min to $109.99. Raised min to $119.95</t>
  </si>
  <si>
    <t>Raised min to $135.99</t>
  </si>
  <si>
    <t xml:space="preserve"> | #341: 190 - 03/18/21</t>
  </si>
  <si>
    <t>Lowered min to $129.95</t>
  </si>
  <si>
    <t xml:space="preserve"> | #341;SW: 190 - 03/26/21</t>
  </si>
  <si>
    <t xml:space="preserve"> | #341;SW: 190 - 03/27/21</t>
  </si>
  <si>
    <t>Raised min to $135.95</t>
  </si>
  <si>
    <t xml:space="preserve"> | #341;SW: 190 - 03/31/21</t>
  </si>
  <si>
    <t>Raised min to $139.95</t>
  </si>
  <si>
    <t>Lowered min to $135.95</t>
  </si>
  <si>
    <t>Lowered min to $132.95</t>
  </si>
  <si>
    <t>1 remaining</t>
  </si>
  <si>
    <t xml:space="preserve"> | 100: 100 - </t>
  </si>
  <si>
    <t xml:space="preserve"> | #395: 100 - 06/08/21</t>
  </si>
  <si>
    <t xml:space="preserve"> | #410: 100 - 07/02/21</t>
  </si>
  <si>
    <t>Lowered min to $127.95. Increased target to 5. Scheduled at $129.99 for a few days</t>
  </si>
  <si>
    <t>Raised min to $149.25</t>
  </si>
  <si>
    <t>Raised min to $159.25</t>
  </si>
  <si>
    <t>No Transit, But 400 At Factory 50-75 days from Earliest Arrival</t>
  </si>
  <si>
    <t>PL-IFC-103Y100P</t>
  </si>
  <si>
    <t>Lowered PP to $108.95 to $139.99 with target of 2. Turned PPC on</t>
  </si>
  <si>
    <t>#303;SW: 48 - 01/07/21</t>
  </si>
  <si>
    <t>Raised PP to $122.03 to $149.99</t>
  </si>
  <si>
    <t>Raised min to $134.23</t>
  </si>
  <si>
    <t xml:space="preserve"> | #341: 280 - 03/18/21</t>
  </si>
  <si>
    <t xml:space="preserve"> | #341;SW: 280 - 03/26/21</t>
  </si>
  <si>
    <t xml:space="preserve"> | #341;SW: 280 - 03/27/21</t>
  </si>
  <si>
    <t>Raised min to $157.78</t>
  </si>
  <si>
    <t xml:space="preserve"> | #341;SW: 280 - 03/31/21</t>
  </si>
  <si>
    <t>Lowered min to $149.95</t>
  </si>
  <si>
    <t>Lowered min to $132.95. Increased target to 3</t>
  </si>
  <si>
    <t>Lowered min to $129.95. Turned PPC on</t>
  </si>
  <si>
    <t>Trimmed PPC for wasted spend. Raised min to $130.95</t>
  </si>
  <si>
    <t>Turned PPC off. Raised min to $139.95</t>
  </si>
  <si>
    <t>Raised min to $149.95</t>
  </si>
  <si>
    <t>Raised min to $174.65. Removed target</t>
  </si>
  <si>
    <t>No Transit, But 140 At Factory 50-75 days from Earliest Arrival</t>
  </si>
  <si>
    <t>PL-IFC-103Y10-2PK</t>
  </si>
  <si>
    <t>Trimmed PPC</t>
  </si>
  <si>
    <t xml:space="preserve">:  -  :  -  :  -  :  -  :  -  :  -  :  -  #336: 80 - 02/24/21 :  -  :  - :  -  :  -  :  -  :  -  :  -  :  -  :  -  :  -  :  - </t>
  </si>
  <si>
    <t>Trimmed PPC. Turned on PP from $59.99 to $69.99</t>
  </si>
  <si>
    <t xml:space="preserve"> | #336: 80 - 02/27/21</t>
  </si>
  <si>
    <t>Lowered min to $31.95. Added target of 2</t>
  </si>
  <si>
    <t xml:space="preserve"> | #336: 80 - 03/03/21</t>
  </si>
  <si>
    <t>Turned PPC off. Lowered target to 1</t>
  </si>
  <si>
    <t xml:space="preserve"> | #336: 80 - 02/28/21</t>
  </si>
  <si>
    <t>Raised min to $48.24</t>
  </si>
  <si>
    <t xml:space="preserve"> | #336: 80 - 02/25/21</t>
  </si>
  <si>
    <t>Raised min to $53.06</t>
  </si>
  <si>
    <t>Raised min to $58.36</t>
  </si>
  <si>
    <t>Raised min to $64.19</t>
  </si>
  <si>
    <t>Raised min to $65.95</t>
  </si>
  <si>
    <t>Lowered min to $59.99</t>
  </si>
  <si>
    <t xml:space="preserve"> | #394: 100 - 06/01/21</t>
  </si>
  <si>
    <t>Lowered min to $54.95</t>
  </si>
  <si>
    <t xml:space="preserve"> | #394: 100 - 06/01/21 | #408: 100 - 05/25/21</t>
  </si>
  <si>
    <t>Raised min to $59.99</t>
  </si>
  <si>
    <t xml:space="preserve"> | #394: 100 - 06/06/21 | #408: 100 - 06/10/21</t>
  </si>
  <si>
    <t>Raised min to $60.99</t>
  </si>
  <si>
    <t xml:space="preserve"> | #394: 100 - 06/04/21 | #408: 100 - 06/25/21</t>
  </si>
  <si>
    <t>Lowered min to $59.95</t>
  </si>
  <si>
    <t xml:space="preserve"> | #394: 100 - 06/09/21 | #408: 100 - 06/25/21</t>
  </si>
  <si>
    <t>Goal is clearing inventory in 90 days. Lowered min to $58.95</t>
  </si>
  <si>
    <t xml:space="preserve"> | #394: 100 - 06/09/21 | #408: 100 - 06/24/21</t>
  </si>
  <si>
    <t xml:space="preserve"> | #394: 100 - 06/12/21 | #408: 100 - 06/30/21</t>
  </si>
  <si>
    <t xml:space="preserve"> | #394: 100 - 06/12/21 | #408: 100 - 07/07/21</t>
  </si>
  <si>
    <t>Lowered min to $31.95. Scheduled at $39.99 a couple days</t>
  </si>
  <si>
    <t xml:space="preserve"> | #408: 100 - 07/15/21</t>
  </si>
  <si>
    <t>Raised min to $49.95</t>
  </si>
  <si>
    <t>#408: 100 - 07/15/21</t>
  </si>
  <si>
    <t>Lowered min to $47.95</t>
  </si>
  <si>
    <t>#408: 100 - 07/15/21 | #417: 100 - 08/01/21 | #415: 120 - 08/20/21</t>
  </si>
  <si>
    <t>Lowered min to $28.95</t>
  </si>
  <si>
    <t>Raised min to $47.1</t>
  </si>
  <si>
    <t>No Transit or Factory Storage, 600 In Production 60-100 days from Earliest Arrival</t>
  </si>
  <si>
    <t>PL-IFC-103Y10P</t>
  </si>
  <si>
    <t>Trimmed PPC. Turned on PP from $35.99 to $39.99 with target of 2</t>
  </si>
  <si>
    <t>#303;SW: 80 - 01/07/21
#309: 120 - 01/27/21</t>
  </si>
  <si>
    <t>#303;SW: 80 - 01/07/21 #309: 120 - 01/30/21</t>
  </si>
  <si>
    <t xml:space="preserve">:  -  #309;SW: 120 - 01/30/21 :  -  :  -  :  -  :  -  :  -  :  -  :  -  :  - :  -  :  -  :  -  :  -  :  -  :  -  :  -  :  -  :  - </t>
  </si>
  <si>
    <t xml:space="preserve">:  -  #309;SW: 120 - 01/28/21 :  -  :  -  :  -  :  -  :  -  #336: 72 - 02/24/21 :  -  :  - :  -  :  -  :  -  :  -  :  -  :  -  :  -  :  -  :  - </t>
  </si>
  <si>
    <t xml:space="preserve"> | #336: 72 - 02/27/21</t>
  </si>
  <si>
    <t>Turned PPC off. Lowered min to $30.99. Increased target to 4</t>
  </si>
  <si>
    <t xml:space="preserve"> | #336: 72 - 03/03/21</t>
  </si>
  <si>
    <t>Lowered min to $29.99</t>
  </si>
  <si>
    <t xml:space="preserve"> | #336: 72 - 02/28/21</t>
  </si>
  <si>
    <t>Raised min to $33.12</t>
  </si>
  <si>
    <t xml:space="preserve"> | #336: 72 - 02/25/21</t>
  </si>
  <si>
    <t>Raised min to $36.43</t>
  </si>
  <si>
    <t>Lowered min to $36.99</t>
  </si>
  <si>
    <t>Lowered min to $33.99 and target to 3</t>
  </si>
  <si>
    <t>Lowered min to $29.99 and target to 2</t>
  </si>
  <si>
    <t xml:space="preserve"> | #394: 304 - 06/01/21</t>
  </si>
  <si>
    <t>Lowered min to $27.99. Increased target to 3</t>
  </si>
  <si>
    <t>Lowered min to $25.99</t>
  </si>
  <si>
    <t xml:space="preserve"> | #395: 304 - 06/06/21</t>
  </si>
  <si>
    <t>Raised min to $26.99</t>
  </si>
  <si>
    <t xml:space="preserve"> | #395: 304 - 06/04/21 | #410: 304 - 07/02/21</t>
  </si>
  <si>
    <t>Lowered min to $26.5</t>
  </si>
  <si>
    <t xml:space="preserve"> | #395: 304 - 06/04/21 | #410: 112 - 07/02/21</t>
  </si>
  <si>
    <t>Lowered min to $25.95. Increased target to 5</t>
  </si>
  <si>
    <t>Goal is improving sell through. Lowered min to $19.95</t>
  </si>
  <si>
    <t xml:space="preserve"> | #395: 304 - 06/09/21 | #410: 112 - 07/02/21</t>
  </si>
  <si>
    <t xml:space="preserve"> | #395: 304 - 06/12/21 | #410: 112 - 07/02/21</t>
  </si>
  <si>
    <t xml:space="preserve"> | #395: 304 - 06/08/21 | #410: 112 - 07/02/21</t>
  </si>
  <si>
    <t xml:space="preserve"> | #410: 112 - 07/07/21</t>
  </si>
  <si>
    <t>Raised min to $22.11. Trimmed PPC for wasted spend</t>
  </si>
  <si>
    <t>Turned PPC off. Raised min to $23.95. Lowered target to 2</t>
  </si>
  <si>
    <t xml:space="preserve"> | #410: 112 - 07/09/21</t>
  </si>
  <si>
    <t>Raised min to $29.2</t>
  </si>
  <si>
    <t>Raised min to $34.21</t>
  </si>
  <si>
    <t>No Transit, But 192 At Factory 50-75 days from Earliest Arrival</t>
  </si>
  <si>
    <t>PL-IFC-103Y10P-2PK</t>
  </si>
  <si>
    <t>Turned on Profit Peak from $39.99 to $69.99</t>
  </si>
  <si>
    <t>Added target of 1. Trimmed PPC</t>
  </si>
  <si>
    <t>Suppressed</t>
  </si>
  <si>
    <t>Lowered min to $35.99</t>
  </si>
  <si>
    <t>Turned PPC on. Lowered min to $34.99</t>
  </si>
  <si>
    <t>Goal is clearing inventory within 90 days. Lowered min to $27.95. Increased target to 2</t>
  </si>
  <si>
    <t>Raised min to $28.95</t>
  </si>
  <si>
    <t>PL-IFC-103Y200</t>
  </si>
  <si>
    <t>sold out, closed</t>
  </si>
  <si>
    <t xml:space="preserve">
AGL124-2: 80 - 01/08/21</t>
  </si>
  <si>
    <t>Not in Profit Peak. Lowered to $229.99</t>
  </si>
  <si>
    <t>Raised $10 to $239.99</t>
  </si>
  <si>
    <t>Lowered $4 to $235.99</t>
  </si>
  <si>
    <t>Raised $1 to $236.99</t>
  </si>
  <si>
    <t>Turned on PP from $237.99 to $299.99</t>
  </si>
  <si>
    <t>Raised min to $248.99</t>
  </si>
  <si>
    <t>Raised min to $259.99</t>
  </si>
  <si>
    <t>Raised min to $279.99</t>
  </si>
  <si>
    <t>Lowered min to $275.99</t>
  </si>
  <si>
    <t>Raised min to $289.99</t>
  </si>
  <si>
    <t>Raised min to $299.99</t>
  </si>
  <si>
    <t>Lowered min to $294.99. Added target of 1</t>
  </si>
  <si>
    <t>Inactive (Out of stock)</t>
  </si>
  <si>
    <t>Raised min to $304.99</t>
  </si>
  <si>
    <t>Raised min to $329.99</t>
  </si>
  <si>
    <t>No Transit, But 120 At Factory 50-75 days from Earliest Arrival</t>
  </si>
  <si>
    <t>PL-IFC-103Y25</t>
  </si>
  <si>
    <t>Raised PP to $48.38 to $59.99. Removed target</t>
  </si>
  <si>
    <t>Raised min to $49.99</t>
  </si>
  <si>
    <t xml:space="preserve">:  -  #309;SW: 56 - 01/30/21 :  -  #339: 884 - 02/24/21 :  -  :  -  :  -  :  -  :  -  :  - :  -  :  -  :  -  :  -  :  -  :  -  :  -  :  -  :  - </t>
  </si>
  <si>
    <t>Turned on PP from $32.95 to $49.99 with target of 19. Scheduled at $39.99 for a couple days</t>
  </si>
  <si>
    <t xml:space="preserve">:  -  #309;SW: 56 - 01/28/21 :  -  #339: 884 - 02/24/21 :  -  :  -  :  -  #336: 400 - 02/24/21 :  -  :  - :  -  :  -  :  -  :  -  :  -  :  -  :  -  :  -  :  - </t>
  </si>
  <si>
    <t>Lowered target to 13</t>
  </si>
  <si>
    <t xml:space="preserve"> | #339: 884 - 02/25/21 | #336: 400 - 02/27/21</t>
  </si>
  <si>
    <t>Raised min to $37.99</t>
  </si>
  <si>
    <t xml:space="preserve"> | #339;SW: 884 - 03/04/21 | #336: 400 - 03/03/21</t>
  </si>
  <si>
    <t>Raised min to $45.49</t>
  </si>
  <si>
    <t xml:space="preserve"> | #339;SW: 884 - 03/04/21 | #336: 400 - 02/28/21</t>
  </si>
  <si>
    <t xml:space="preserve"> | #339;SW: 884 - 03/04/21 | #336: 400 - 02/25/21</t>
  </si>
  <si>
    <t>Lowered min to $32.99. Increased target to 23. Scheduled at $39.99 a few days</t>
  </si>
  <si>
    <t xml:space="preserve"> | #339;SW: 884 - 03/04/21</t>
  </si>
  <si>
    <t>Raised min to $39.95</t>
  </si>
  <si>
    <t>Raised min to $43.94. Lowered target to 22</t>
  </si>
  <si>
    <t>Lowered min to $32.99. Scheduled at $39.99 for a few days</t>
  </si>
  <si>
    <t>Raised min to $38.3</t>
  </si>
  <si>
    <t>Raised min to $44.84. Removed target</t>
  </si>
  <si>
    <t xml:space="preserve"> | #394: 600 - 06/01/21</t>
  </si>
  <si>
    <t>Raised min to $49.32</t>
  </si>
  <si>
    <t>Raised min to $54.25</t>
  </si>
  <si>
    <t xml:space="preserve"> | #394: 600 - 06/06/21</t>
  </si>
  <si>
    <t>Lowered min to $51.99. Added target of 22</t>
  </si>
  <si>
    <t xml:space="preserve"> | #394: 600 - 06/04/21</t>
  </si>
  <si>
    <t>Lowered min to $47.99</t>
  </si>
  <si>
    <t xml:space="preserve"> | #394: 600 - 06/09/21</t>
  </si>
  <si>
    <t>Goal is improving profit. Raised min to $52.78</t>
  </si>
  <si>
    <t xml:space="preserve"> | #394: 600 - 06/09/21 | #406: 900 - 06/25/21</t>
  </si>
  <si>
    <t>Detail Page Removed</t>
  </si>
  <si>
    <t xml:space="preserve"> | #394: 600 - 06/12/21 | #406: 900 - 07/02/21</t>
  </si>
  <si>
    <t>Not in Profit Peak. Set to $39.99</t>
  </si>
  <si>
    <t xml:space="preserve"> | #406: 900 - 07/07/21</t>
  </si>
  <si>
    <t>Re-added to Profit Peak. Lowered min to $43.5. Updated unit cost</t>
  </si>
  <si>
    <t xml:space="preserve"> | #406: 900 - 07/07/21 | AGL259: 360 - 10/01/21</t>
  </si>
  <si>
    <t>Lowered min to $40.95. Scheduled at $43.99 a couple days</t>
  </si>
  <si>
    <t xml:space="preserve"> | #406: 900 - 07/09/21 | AGL259: 360 - 10/01/21</t>
  </si>
  <si>
    <t>Raised min to $44.99</t>
  </si>
  <si>
    <t xml:space="preserve"> | AGL259: 360 - 10/01/21</t>
  </si>
  <si>
    <t>Raised min to $49.48</t>
  </si>
  <si>
    <t>No Transit, But 800 At Factory 50-75 days from Earliest Arrival</t>
  </si>
  <si>
    <t>PL-IFC-103Y25P</t>
  </si>
  <si>
    <t xml:space="preserve">
#306;SW: 500 - 01/17/21</t>
  </si>
  <si>
    <t>Raised min to $54.98</t>
  </si>
  <si>
    <t xml:space="preserve"> #306;SW: 500 - 01/17/21</t>
  </si>
  <si>
    <t>sold out. Lowered min to $39.95 and target to 7</t>
  </si>
  <si>
    <t>Lowered max to $49.99. Lowered min to $32.99. Scheduled at $39.99 for a couple days</t>
  </si>
  <si>
    <t>Raised min to $39.99. Lowered target to 2</t>
  </si>
  <si>
    <t>Raised min to $48.6</t>
  </si>
  <si>
    <t xml:space="preserve"> | #360: 325 - 04/10/21 | #361;SW: 315 - 04/10/21</t>
  </si>
  <si>
    <t>Raised min to $53.99</t>
  </si>
  <si>
    <t xml:space="preserve"> | #361;SW: 651 - 04/10/21</t>
  </si>
  <si>
    <t xml:space="preserve"> | #361;SW: 400 - 04/17/21</t>
  </si>
  <si>
    <t>Lowered min to $49.95. Increased target to 6</t>
  </si>
  <si>
    <t xml:space="preserve"> | #361;SW: 400 - 04/19/21</t>
  </si>
  <si>
    <t>Lowered min to $39.95</t>
  </si>
  <si>
    <t>Lowered min to $34.95. Increased target to 9. Scheduled at $39.99 a couple days</t>
  </si>
  <si>
    <t xml:space="preserve"> | #361;SW: 400 - 04/06/21</t>
  </si>
  <si>
    <t xml:space="preserve"> | #361: 400 - 04/06/21</t>
  </si>
  <si>
    <t>Raised min to $43.98</t>
  </si>
  <si>
    <t>Raised min to $48.38</t>
  </si>
  <si>
    <t>Goal is clearing inventory withing 90 days. Lowered min to $39.95. Scheduled at $39.99 a few days</t>
  </si>
  <si>
    <t xml:space="preserve"> | #407: 800 - 06/25/21</t>
  </si>
  <si>
    <t xml:space="preserve"> | #407: 800 - 07/02/21</t>
  </si>
  <si>
    <t>Goal is clearing inventory withing 90 days, continue with Profit Peak</t>
  </si>
  <si>
    <t xml:space="preserve"> | #407: 800 - 07/07/21</t>
  </si>
  <si>
    <t xml:space="preserve"> | #407: 800 - 07/07/21 | AGL259: 800 - 10/01/21</t>
  </si>
  <si>
    <t xml:space="preserve"> | #407: 800 - 07/09/21 | AGL259: 800 - 10/01/21</t>
  </si>
  <si>
    <t xml:space="preserve"> | AGL259: 800 - 10/01/21 | #407: 800 - 07/09/21</t>
  </si>
  <si>
    <t>No Transit, But 300 At Factory 50-75 days from Earliest Arrival</t>
  </si>
  <si>
    <t>PL-IFC-103Y25P-2PK</t>
  </si>
  <si>
    <t>Added target of 1. Turned PPC on</t>
  </si>
  <si>
    <t>Raised min to $74.95</t>
  </si>
  <si>
    <t>Raised min to $82.45</t>
  </si>
  <si>
    <t>Lowered min to $79.95</t>
  </si>
  <si>
    <t>Raised min to $87.94</t>
  </si>
  <si>
    <t>Improving sell through. Lowered min to $79.95</t>
  </si>
  <si>
    <t>PL-IFC-103Y25-PK2</t>
  </si>
  <si>
    <t>#302;SW: 44 - 01/07/21</t>
  </si>
  <si>
    <t>Lowered PP to $59.95 to $79.99 with target of 1</t>
  </si>
  <si>
    <t xml:space="preserve">:  -  :  -  :  -  :  -  :  -  :  -  :  -  #336: 136 - 02/24/21 :  -  :  - :  -  :  -  :  -  :  -  :  -  :  -  :  -  :  -  :  - </t>
  </si>
  <si>
    <t>Increased target to 2</t>
  </si>
  <si>
    <t xml:space="preserve"> | #336: 136 - 02/27/21</t>
  </si>
  <si>
    <t>Raised min to $73.65</t>
  </si>
  <si>
    <t xml:space="preserve"> | #336: 136 - 03/03/21</t>
  </si>
  <si>
    <t xml:space="preserve"> | #336: 136 - 02/28/21</t>
  </si>
  <si>
    <t xml:space="preserve"> | #336: 136 - 02/25/21</t>
  </si>
  <si>
    <t>Not in Profit Peak. Set to $69.99</t>
  </si>
  <si>
    <t>Turned on PP from $70.95</t>
  </si>
  <si>
    <t>Raised min to $77.95</t>
  </si>
  <si>
    <t>Raised min to $79.99. Removed target</t>
  </si>
  <si>
    <t xml:space="preserve"> | #394: 240 - 06/01/21</t>
  </si>
  <si>
    <t>Raised min to $87.95</t>
  </si>
  <si>
    <t xml:space="preserve"> | #394: 240 - 06/06/21</t>
  </si>
  <si>
    <t xml:space="preserve"> | #394: 240 - 06/04/21 | #410: 300 - 07/02/21</t>
  </si>
  <si>
    <t xml:space="preserve"> | #394: 240 - 06/04/21 | #410: 80 - 07/02/21</t>
  </si>
  <si>
    <t xml:space="preserve"> | #394: 240 - 06/09/21 | #410: 80 - 07/02/21</t>
  </si>
  <si>
    <t xml:space="preserve"> | #394: 240 - 06/12/21 | #410: 80 - 07/02/21</t>
  </si>
  <si>
    <t>Lowered min to $58.95. Scheduled at $79.99 a couple days</t>
  </si>
  <si>
    <t xml:space="preserve"> | #410: 80 - 07/07/21</t>
  </si>
  <si>
    <t>Raised min to $69.95. Scheduled at $70.99 for a day</t>
  </si>
  <si>
    <t xml:space="preserve"> | #410: 80 - 07/07/21 | AGL259: 220 - 10/01/21</t>
  </si>
  <si>
    <t>Raised min to $77.55</t>
  </si>
  <si>
    <t xml:space="preserve"> | #410: 80 - 07/09/21 | AGL259: 220 - 10/01/21</t>
  </si>
  <si>
    <t xml:space="preserve"> | AGL259: 220 - 10/01/21</t>
  </si>
  <si>
    <t>Lowered min to $72.5</t>
  </si>
  <si>
    <t>No Transit or Factory Storage, 300 In Production 60-100 days from Earliest Arrival</t>
  </si>
  <si>
    <t>PL-IFC-103Y50</t>
  </si>
  <si>
    <t>#306;SW: 442 - 01/17/21</t>
  </si>
  <si>
    <t>Raised PP to $74.74 to $89.99</t>
  </si>
  <si>
    <t xml:space="preserve">:  -  :  -  :  -  :  -  :  -  #337;SW: 260 - 03/01/21 :  -  :  -  :  -  :  - :  -  :  -  :  -  :  -  :  -  :  -  :  -  :  -  :  - </t>
  </si>
  <si>
    <t>Raised PP to $82.21 to $99.99</t>
  </si>
  <si>
    <t xml:space="preserve">:  -  :  -  :  -  :  -  #340;SW: 124 - 03/01/21 #337;SW: 260 - 02/24/21 :  -  :  -  :  -  :  - :  -  :  -  :  -  :  -  :  -  :  -  :  -  :  -  :  - </t>
  </si>
  <si>
    <t>Lowered min to $77.95</t>
  </si>
  <si>
    <t xml:space="preserve"> | #340;SW: 124 - 03/12/21 | #337;SW: 260 - 03/12/21</t>
  </si>
  <si>
    <t>Lowered min to $74.95</t>
  </si>
  <si>
    <t xml:space="preserve"> | #340;SW: 124 - 03/24/21 | #337;SW: 260 - 03/20/21</t>
  </si>
  <si>
    <t xml:space="preserve"> | #340;SW: 124 - 03/23/21 | #337;SW: 260 - 03/14/21</t>
  </si>
  <si>
    <t xml:space="preserve"> | #340;SW: 124 - 03/24/21 | #337;SW: 260 - 03/09/21</t>
  </si>
  <si>
    <t>Lowered min to $59.95. Increased target to 10</t>
  </si>
  <si>
    <t xml:space="preserve"> | #340;SW: 124 - 03/19/21</t>
  </si>
  <si>
    <t>Raised min to $71.99</t>
  </si>
  <si>
    <t>Lowered min to $68.95</t>
  </si>
  <si>
    <t>#340;SW: 124 - 03/19/21</t>
  </si>
  <si>
    <t>Raised min to $75.84</t>
  </si>
  <si>
    <t xml:space="preserve"> | 400: 400 - </t>
  </si>
  <si>
    <t>Lowered min to $73.95</t>
  </si>
  <si>
    <t xml:space="preserve"> | #395: 400 - 06/08/21</t>
  </si>
  <si>
    <t>Lowered min to $71.95</t>
  </si>
  <si>
    <t xml:space="preserve"> | #394: 80 - 06/06/21 | #395: 320 - 06/06/21</t>
  </si>
  <si>
    <t>Raised min to $72.99</t>
  </si>
  <si>
    <t xml:space="preserve"> | #394: 80 - 06/04/21 | #395: 320 - 06/04/21</t>
  </si>
  <si>
    <t xml:space="preserve"> | #394: 80 - 06/09/21 | #395: 320 - 06/04/21</t>
  </si>
  <si>
    <t>Goal is raising profit. Raised min to $79.14</t>
  </si>
  <si>
    <t xml:space="preserve"> | #394: 80 - 06/09/21 | #395: 320 - 06/09/21 | #406: 800 - 06/25/21</t>
  </si>
  <si>
    <t xml:space="preserve"> | #394: 80 - 06/12/21 | #395: 320 - 06/12/21 | #406: 800 - 07/02/21</t>
  </si>
  <si>
    <t>sold out Lowered min to $68.95</t>
  </si>
  <si>
    <t xml:space="preserve"> | #394: 80 - 06/12/21 | #395: 320 - 06/08/21 | #406: 800 - 07/02/21</t>
  </si>
  <si>
    <t>Lowered min to $63.95. Scheduled at $69.99 a couple days. Turned PPC on</t>
  </si>
  <si>
    <t xml:space="preserve"> | #406: 800 - 07/07/21</t>
  </si>
  <si>
    <t>Turned PPC off. Raised min to $68.95</t>
  </si>
  <si>
    <t xml:space="preserve"> | #406: 800 - 07/07/21 | AGL259: 350 - 10/01/21</t>
  </si>
  <si>
    <t xml:space="preserve"> | #406: 800 - 07/09/21 | AGL259: 350 - 10/01/21</t>
  </si>
  <si>
    <t xml:space="preserve"> | AGL259: 350 - 10/01/21</t>
  </si>
  <si>
    <t>Raised min to $85.74</t>
  </si>
  <si>
    <t>No Transit, But 150 At Factory 50-75 days from Earliest Arrival</t>
  </si>
  <si>
    <t>PL-IFC-103Y50P</t>
  </si>
  <si>
    <t>Raised min to $82.44</t>
  </si>
  <si>
    <t xml:space="preserve">
#307;SW: 20 - 01/07/21
#309: 132 - 01/27/21</t>
  </si>
  <si>
    <t xml:space="preserve"> #307;SW: 20 - 01/07/21 #309: 132 - 01/30/21</t>
  </si>
  <si>
    <t xml:space="preserve">:  -  #309;SW: 132 - 01/30/21 #333: 120 - 02/17/21 :  -  :  -  :  -  #334: 86 - 03/01/21 :  -  :  -  :  - :  -  :  -  :  -  :  -  :  -  :  -  :  -  :  -  :  - </t>
  </si>
  <si>
    <t>Raised min to $90.68. Removed target</t>
  </si>
  <si>
    <t xml:space="preserve">:  -  #309;SW: 132 - 01/28/21 #333: 120 - 02/20/21 :  -  #340;SW: 68 - 03/01/21 :  -  #334: 86 - 03/02/21 #336: 100 - 02/24/21 :  -  :  - :  -  :  -  :  -  :  -  :  -  :  -  :  -  :  -  :  - </t>
  </si>
  <si>
    <t>Lowered min to $57.95. Added target of 7. Scheduled at $69.99 for a couple days</t>
  </si>
  <si>
    <t>#333: 120 - 02/20/21 | #340;SW: 68 - 03/12/21 | #334: 86 - 03/19/21 | #336: 100 - 02/27/21 | #335: 100 - 03/12/21</t>
  </si>
  <si>
    <t>Scheduled at $59.99 for a couple days</t>
  </si>
  <si>
    <t>#333: 120 - 02/24/21 | #340;SW: 68 - 03/24/21 | #334;SW: 86 - 03/23/21 | #336: 100 - 03/03/21 | #335;SW: 100 - 03/16/21</t>
  </si>
  <si>
    <t>#333: 120 - 03/21/21 | #340;SW: 68 - 03/23/21 | #334;SW: 86 - 03/31/21 | #336: 100 - 02/28/21 | #335;SW: 100 - 03/16/21 | #359;SW: 342 - 04/01/21</t>
  </si>
  <si>
    <t>#333: 120 - 03/27/21 | #340;SW: 68 - 03/23/21 | #334;SW: 86 - 04/06/21 | #335;SW: 100 - 03/25/21 | #359;SW: 342 - 04/01/21 | #336: 100 - 02/25/21</t>
  </si>
  <si>
    <t>#333: 120 - 04/07/21 | #340;SW: 68 - 03/24/21 | #334;SW: 86 - 04/17/21 | #335;SW: 100 - 03/30/21 | #359;SW: 342 - 04/13/21</t>
  </si>
  <si>
    <t>sold out. Raised min to $59.99</t>
  </si>
  <si>
    <t>#333: 120 - 04/07/21 | #340;SW: 68 - 03/19/21 | #334;SW: 86 - 04/17/21 | #335;SW: 100 - 03/30/21 | #359;SW: 342 - 04/13/21</t>
  </si>
  <si>
    <t>#333: 120 - 04/07/21 | #340;SW: 68 - 03/19/21 | #334;SW: 86 - 04/17/21 | #335;SW: 100 - 03/30/21 | #359;SW: 342 - 04/17/21</t>
  </si>
  <si>
    <t>#333: 120 - 04/08/21 | #340;SW: 68 - 03/19/21 | #334;SW: 86 - 04/18/21 | #335;SW: 100 - 03/30/21 | #359;SW: 342 - 04/17/21</t>
  </si>
  <si>
    <t>#340;SW: 68 - 03/19/21 | #334;SW: 86 - 04/18/21 | #335;SW: 100 - 03/30/21 | #359;SW: 342 - 04/17/21</t>
  </si>
  <si>
    <t>#359;SW: 342 - 04/17/21</t>
  </si>
  <si>
    <t>Raised min to $66.95. Lowered target to 5</t>
  </si>
  <si>
    <t>Raised min to $68.99</t>
  </si>
  <si>
    <t>Raised min to $70.95</t>
  </si>
  <si>
    <t xml:space="preserve"> | #410: 108 - 07/02/21</t>
  </si>
  <si>
    <t>Lowered min to $69.99</t>
  </si>
  <si>
    <t xml:space="preserve"> | #410: 212 - 07/02/21</t>
  </si>
  <si>
    <t>Increased target to 6. Lowered min to $68.99</t>
  </si>
  <si>
    <t xml:space="preserve"> | #410: 212 - 07/07/21</t>
  </si>
  <si>
    <t xml:space="preserve"> | #410: 212 - 07/07/21 | #414: 252 - 08/01/21 | AGL259: 528 - 10/01/21</t>
  </si>
  <si>
    <t>Raised min to $70.5</t>
  </si>
  <si>
    <t xml:space="preserve"> | #410: 212 - 07/09/21 | #414: 252 - 08/01/21 | AGL259: 528 - 10/01/21 | #418: 200 - 08/20/21</t>
  </si>
  <si>
    <t xml:space="preserve"> | #414: 252 - 08/01/21 | AGL259: 528 - 10/01/21 | #418: 200 - 08/20/21</t>
  </si>
  <si>
    <t>No Transit or Factory Storage, 700 In Production 60-100 days from Earliest Arrival</t>
  </si>
  <si>
    <t>PL-IFC-103Y75</t>
  </si>
  <si>
    <t xml:space="preserve">
#308: 100 - 01/23/21</t>
  </si>
  <si>
    <t>Lowered min to $89.99</t>
  </si>
  <si>
    <t xml:space="preserve"> #308: 100 - 01/23/21</t>
  </si>
  <si>
    <t xml:space="preserve">#308;SW: 100 - 01/23/21 :  -  #333: 158 - 02/17/21 :  -  :  -  :  -  :  -  :  -  :  -  :  - :  -  :  -  :  -  :  -  :  -  :  -  :  -  :  -  :  - </t>
  </si>
  <si>
    <t xml:space="preserve">#308;SW: 100 - 01/23/21 :  -  #333: 158 - 02/20/21 :  -  :  -  :  -  :  -  :  -  :  -  :  - :  -  :  -  :  -  :  -  :  -  :  -  :  -  :  -  :  - </t>
  </si>
  <si>
    <t>#333: 158 - 02/20/21</t>
  </si>
  <si>
    <t>#333: 158 - 02/24/21</t>
  </si>
  <si>
    <t>Raised min to $93.99. Lowered target to 1</t>
  </si>
  <si>
    <t>#333: 158 - 03/21/21 | #359;SW: 120 - 04/01/21</t>
  </si>
  <si>
    <t>Raised min to $94.99</t>
  </si>
  <si>
    <t>#333: 158 - 03/27/21 | #359;SW: 120 - 04/01/21</t>
  </si>
  <si>
    <t>Raised min to $99.99</t>
  </si>
  <si>
    <t>#333: 158 - 04/07/21 | #359;SW: 120 - 04/13/21</t>
  </si>
  <si>
    <t>Raised min to $112.68</t>
  </si>
  <si>
    <t>Raised min to $126.91</t>
  </si>
  <si>
    <t>#333: 158 - 04/07/21 | #359;SW: 120 - 04/17/21</t>
  </si>
  <si>
    <t>#333: 158 - 04/08/21 | #359;SW: 120 - 04/17/21</t>
  </si>
  <si>
    <t>Not in Profit Peak. Set to $89.99</t>
  </si>
  <si>
    <t xml:space="preserve"> | #359;SW: 120 - 04/17/21</t>
  </si>
  <si>
    <t>#359;SW: 120 - 04/17/21</t>
  </si>
  <si>
    <t>Turned on Profit Peak from $89.99 with target of 3</t>
  </si>
  <si>
    <t>Lowered max to $99.99</t>
  </si>
  <si>
    <t xml:space="preserve"> | #413: 36 - 07/01/21</t>
  </si>
  <si>
    <t>Raised max to $109.99</t>
  </si>
  <si>
    <t>Goal is raising profit. Raised min to $99.99</t>
  </si>
  <si>
    <t xml:space="preserve"> | #413: 36 - 07/02/21 | #414: 86 - 07/08/21</t>
  </si>
  <si>
    <t>Raised min to $105.95</t>
  </si>
  <si>
    <t xml:space="preserve"> | #413: 36 - 07/08/21 | #414: 86 - 07/08/21</t>
  </si>
  <si>
    <t>Raised min to $115.95</t>
  </si>
  <si>
    <t xml:space="preserve"> | #413: 36 - 07/15/21 | #414: 86 - 07/08/21</t>
  </si>
  <si>
    <t>Raised min to $125.95</t>
  </si>
  <si>
    <t xml:space="preserve"> | #413: 36 - 07/18/21 | #414: 86 - 08/01/21</t>
  </si>
  <si>
    <t xml:space="preserve"> | #414: 86 - 08/01/21 | #413: 36 - 07/23/21</t>
  </si>
  <si>
    <t>No Transit or Factory Storage, 420 In Production 60-100 days from Earliest Arrival</t>
  </si>
  <si>
    <t>PL-IFC-103Y75P</t>
  </si>
  <si>
    <t>closed</t>
  </si>
  <si>
    <t xml:space="preserve">
#306;SW: 50 - 01/17/21</t>
  </si>
  <si>
    <t xml:space="preserve"> #306;SW: 50 - 01/17/21</t>
  </si>
  <si>
    <t>Turned on PP from $83.99 to $139.99 with target of 1</t>
  </si>
  <si>
    <t>Raised PP to $130.99 to $199.99. Removed target</t>
  </si>
  <si>
    <t>Lowered min to $99.99. Added target of 1</t>
  </si>
  <si>
    <t>Raised min to $118.88</t>
  </si>
  <si>
    <t xml:space="preserve"> | #359;SW: 90 - 04/13/21</t>
  </si>
  <si>
    <t>Raised min to $129.95</t>
  </si>
  <si>
    <t>Lowered min to $125.95</t>
  </si>
  <si>
    <t>Raised min to $127.95</t>
  </si>
  <si>
    <t xml:space="preserve"> | #359;SW: 90 - 04/17/21</t>
  </si>
  <si>
    <t>Lowered min to $126.95</t>
  </si>
  <si>
    <t>#359;SW: 90 - 04/17/21</t>
  </si>
  <si>
    <t>Lowered min to $99.95. Increased target to 2</t>
  </si>
  <si>
    <t>Scheduled at $99.99 for a few days</t>
  </si>
  <si>
    <t>Lowered target to 1</t>
  </si>
  <si>
    <t>Raised min to $109.94</t>
  </si>
  <si>
    <t xml:space="preserve"> | #410: 90 - 07/02/21</t>
  </si>
  <si>
    <t>Increased target to 2. Lowered min to $107.95</t>
  </si>
  <si>
    <t>Goal is raising profit. Raised min to $108.95</t>
  </si>
  <si>
    <t>Raised min to $119.95</t>
  </si>
  <si>
    <t xml:space="preserve"> | #410: 90 - 07/07/21</t>
  </si>
  <si>
    <t xml:space="preserve"> | #410: 90 - 07/09/21 | #418: 50 - 08/20/21</t>
  </si>
  <si>
    <t xml:space="preserve"> | #418: 50 - 08/20/21</t>
  </si>
  <si>
    <t>selling out, 1 left</t>
  </si>
  <si>
    <t>PL-IFC-123B06</t>
  </si>
  <si>
    <t>Raised min to $15.76</t>
  </si>
  <si>
    <t>Raised min to $18.04</t>
  </si>
  <si>
    <t xml:space="preserve"> | #415: 240 - 08/20/21</t>
  </si>
  <si>
    <t>No Transit, But 160 At Factory 50-75 days from Earliest Arrival</t>
  </si>
  <si>
    <t>PL-IFC-123B10</t>
  </si>
  <si>
    <t>Turned on PP from $13.5 to $19.99 with target of 3. Turned mild PPC on</t>
  </si>
  <si>
    <t xml:space="preserve">
#307;SW: 100 - 01/07/21</t>
  </si>
  <si>
    <t>Turned PPC off. Raised PP to $15.78 to $29.99</t>
  </si>
  <si>
    <t xml:space="preserve"> #307;SW: 100 - 01/07/21</t>
  </si>
  <si>
    <t xml:space="preserve">:  -  :  -  :  -  :  -  :  -  :  -  #334: 260 - 03/01/21 :  -  :  -  :  - :  -  :  -  :  -  :  -  :  -  :  -  :  -  :  -  :  - </t>
  </si>
  <si>
    <t xml:space="preserve">:  -  :  -  :  -  :  -  #340;SW;SW: 40 - 02/24/21 :  -  #334: 260 - 03/02/21 #336: 60 - 02/24/21 :  -  :  - :  -  :  -  :  -  :  -  :  -  :  -  :  -  :  -  :  - </t>
  </si>
  <si>
    <t>Not in Profit Peak. Raised to $19.99</t>
  </si>
  <si>
    <t xml:space="preserve"> | #340;SW: 40 - 02/24/21 | #334: 260 - 03/19/21 | #336: 60 - 02/27/21</t>
  </si>
  <si>
    <t>Turned on PP from $13.95 to $19.99 with target of 3</t>
  </si>
  <si>
    <t xml:space="preserve"> | #340;SW: 40 - 03/24/21 | #334;SW: 260 - 03/23/21 | #336: 60 - 03/03/21</t>
  </si>
  <si>
    <t xml:space="preserve"> | #340;SW: 40 - 03/23/21 | #334;SW: 260 - 03/31/21 | #336: 60 - 02/28/21</t>
  </si>
  <si>
    <t xml:space="preserve"> | #340;SW: 40 - 03/23/21 | #334;SW: 260 - 04/06/21 | #336: 60 - 02/25/21</t>
  </si>
  <si>
    <t xml:space="preserve"> | #340;SW: 40 - 03/24/21 | #334;SW: 260 - 04/17/21</t>
  </si>
  <si>
    <t>Not in Profit Peak. Set to $14.99</t>
  </si>
  <si>
    <t xml:space="preserve"> | #340;SW: 40 - 03/19/21 | #334;SW: 260 - 04/17/21</t>
  </si>
  <si>
    <t>Turned on Profit Peak from $15.99</t>
  </si>
  <si>
    <t xml:space="preserve"> | #340;SW: 40 - 03/19/21 | #334;SW: 260 - 04/18/21</t>
  </si>
  <si>
    <t>#340;SW: 40 - 03/19/21 | #334;SW: 260 - 04/18/21</t>
  </si>
  <si>
    <t>Lowered min to $13.99. Increased target to 4</t>
  </si>
  <si>
    <t xml:space="preserve"> | #395: 200 - 06/08/21 | #408: 100 - 05/25/21</t>
  </si>
  <si>
    <t>Raised min to $19.4</t>
  </si>
  <si>
    <t xml:space="preserve"> | #395: 200 - 06/06/21 | #408: 100 - 06/10/21</t>
  </si>
  <si>
    <t>Raised min to $21.6</t>
  </si>
  <si>
    <t xml:space="preserve"> | #395: 200 - 06/04/21 | #408: 100 - 06/25/21</t>
  </si>
  <si>
    <t>Raised min to $25.07</t>
  </si>
  <si>
    <t xml:space="preserve"> | #395: 200 - 06/04/21 | #408: 100 - 06/25/21 | #413: 60 - 07/01/21</t>
  </si>
  <si>
    <t xml:space="preserve"> | #395: 200 - 06/09/21 | #408: 100 - 06/24/21 | #413: 60 - 07/02/21</t>
  </si>
  <si>
    <t xml:space="preserve"> | #395: 200 - 06/12/21 | #408: 100 - 06/30/21 | #413: 60 - 07/08/21</t>
  </si>
  <si>
    <t xml:space="preserve"> | #395: 200 - 06/08/21 | #408: 100 - 07/07/21 | #413: 60 - 07/15/21</t>
  </si>
  <si>
    <t>Lowered min to $14.99. Scheduled at $22.99 a day</t>
  </si>
  <si>
    <t xml:space="preserve"> | #408: 100 - 07/15/21 | #413: 60 - 07/18/21</t>
  </si>
  <si>
    <t>#408: 100 - 07/15/21 | #413: 60 - 07/18/21 | #414: 200 - 08/01/21</t>
  </si>
  <si>
    <t>Raised min to $25.86</t>
  </si>
  <si>
    <t>#408: 100 - 07/15/21 | #413: 60 - 07/18/21 | #414: 200 - 08/01/21 | #418: 200 - 08/20/21</t>
  </si>
  <si>
    <t>#408: 100 - 07/15/21 | #414: 200 - 08/01/21 | #418: 200 - 08/20/21 | #413: 60 - 07/23/21</t>
  </si>
  <si>
    <t>No Transit, But 40 At Factory 50-75 days from Earliest Arrival</t>
  </si>
  <si>
    <t>PL-IFC-123B100</t>
  </si>
  <si>
    <t xml:space="preserve">
#306;SW: 102 - 01/17/21</t>
  </si>
  <si>
    <t xml:space="preserve"> #306;SW: 102 - 01/17/21</t>
  </si>
  <si>
    <t xml:space="preserve">:  -  :  -  #333: 102 - 02/17/21 :  -  :  -  :  -  :  -  :  -  :  -  :  - :  -  :  -  :  -  :  -  :  -  :  -  :  -  :  -  :  - </t>
  </si>
  <si>
    <t xml:space="preserve">:  -  :  -  #333: 102 - 02/20/21 :  -  :  -  :  -  :  -  :  -  :  -  :  - :  -  :  -  :  -  :  -  :  -  :  -  :  -  :  -  :  - </t>
  </si>
  <si>
    <t>Turned on PP from $63.95 to $74.99 with target of 1</t>
  </si>
  <si>
    <t>#333: 102 - 02/20/21</t>
  </si>
  <si>
    <t>#333: 102 - 02/24/21</t>
  </si>
  <si>
    <t>Raised min to $72.21</t>
  </si>
  <si>
    <t>#333: 102 - 03/21/21</t>
  </si>
  <si>
    <t>Raised target to 2</t>
  </si>
  <si>
    <t>#333: 102 - 03/27/21</t>
  </si>
  <si>
    <t>#333: 102 - 04/07/21</t>
  </si>
  <si>
    <t>Raised min to $72.95</t>
  </si>
  <si>
    <t>Raised min to $81.54</t>
  </si>
  <si>
    <t>Raised min to $89.69</t>
  </si>
  <si>
    <t>#333: 102 - 04/08/21</t>
  </si>
  <si>
    <t>Lowered min to $87.95</t>
  </si>
  <si>
    <t>Raised min to $88.95</t>
  </si>
  <si>
    <t>Raised min to $97.84</t>
  </si>
  <si>
    <t xml:space="preserve"> | #413: 102 - 07/01/21</t>
  </si>
  <si>
    <t xml:space="preserve"> | #413: 88 - 07/01/21</t>
  </si>
  <si>
    <t>Goal is reducing DOH. Lowered min to $97.95</t>
  </si>
  <si>
    <t xml:space="preserve"> | #413: 88 - 07/02/21 | #414: 14 - 07/08/21</t>
  </si>
  <si>
    <t xml:space="preserve"> | #413: 88 - 07/08/21 | #414: 14 - 07/08/21</t>
  </si>
  <si>
    <t>Lowered min to $75.95. Scheduled at $79.99 for a few days</t>
  </si>
  <si>
    <t xml:space="preserve"> | #413: 88 - 07/15/21 | #414: 14 - 07/08/21</t>
  </si>
  <si>
    <t>Raised min to $79.99</t>
  </si>
  <si>
    <t xml:space="preserve"> | #413: 88 - 07/18/21 | #414: 14 - 08/01/21</t>
  </si>
  <si>
    <t xml:space="preserve"> | #413: 88 - 07/18/21</t>
  </si>
  <si>
    <t xml:space="preserve"> | #413: 88 - 07/18/21 | #418: 14 - 08/20/21</t>
  </si>
  <si>
    <t xml:space="preserve"> | #418: 14 - 08/20/21 | #413: 88 - 07/23/21</t>
  </si>
  <si>
    <t>No Transit, But 103 At Factory 50-75 days from Earliest Arrival</t>
  </si>
  <si>
    <t>PL-IFC-123B10-2PK</t>
  </si>
  <si>
    <t>Turned on PP from $21.95 to $29.99 with target of 1. Trimmed PPC</t>
  </si>
  <si>
    <t>#303;SW: 84 - 01/07/21</t>
  </si>
  <si>
    <t>Turned PPC off. Raised max to $39.99</t>
  </si>
  <si>
    <t>Raised min to $32.19. Removed target</t>
  </si>
  <si>
    <t>Raised PP to $35.4 to $49.99</t>
  </si>
  <si>
    <t>Raised min to $38.94</t>
  </si>
  <si>
    <t>Raised min to $44.38</t>
  </si>
  <si>
    <t>Raised min to $48.81</t>
  </si>
  <si>
    <t>Raised min to $53.69</t>
  </si>
  <si>
    <t>Lowered min to $48.95. Added target of 1</t>
  </si>
  <si>
    <t>Raised min to $48.95</t>
  </si>
  <si>
    <t>Raised min to $53.84</t>
  </si>
  <si>
    <t>Raised min to $59.22</t>
  </si>
  <si>
    <t>Lowered min to $58.5</t>
  </si>
  <si>
    <t>Lowered min to $50.95</t>
  </si>
  <si>
    <t>Lowered min to $49.95</t>
  </si>
  <si>
    <t>Raised min to $50.95</t>
  </si>
  <si>
    <t>Lowered min to $39.95. Scheduled at $39.99 for a few days</t>
  </si>
  <si>
    <t>Scheduled at $39.99</t>
  </si>
  <si>
    <t xml:space="preserve"> | #417: 120 - 08/01/21</t>
  </si>
  <si>
    <t>No Transit, But 240 At Factory 50-75 days from Earliest Arrival</t>
  </si>
  <si>
    <t>PL-IFC-123B10P</t>
  </si>
  <si>
    <t>Turned on PP from $17.99 to $19.99</t>
  </si>
  <si>
    <t>Raised min to $18.95 and max to $29.99. Added target of 2</t>
  </si>
  <si>
    <t>Lowered min to $17.95. Increased target to 4</t>
  </si>
  <si>
    <t xml:space="preserve">:  -  #309;SW: 120 - 01/28/21 :  -  :  -  :  -  :  -  :  -  :  -  :  -  :  - :  -  :  -  :  -  :  -  :  -  :  -  :  -  :  -  :  - </t>
  </si>
  <si>
    <t>Lowered min to $15.95</t>
  </si>
  <si>
    <t>Raised min to $17.95</t>
  </si>
  <si>
    <t>Raised min to $19.74. Removed target</t>
  </si>
  <si>
    <t>Raised min to $21.71</t>
  </si>
  <si>
    <t>Raised min to $22.95</t>
  </si>
  <si>
    <t>Raised min to $23.95</t>
  </si>
  <si>
    <t>Lowered min to $22.95</t>
  </si>
  <si>
    <t>Lowered min to $21.95. Added target of 1</t>
  </si>
  <si>
    <t xml:space="preserve"> | #394: 300 - 06/01/21</t>
  </si>
  <si>
    <t>Lowered min to $19.95</t>
  </si>
  <si>
    <t xml:space="preserve"> | #394: 300 - 06/06/21</t>
  </si>
  <si>
    <t>Lowered min to $18.95</t>
  </si>
  <si>
    <t xml:space="preserve"> | #394: 300 - 06/04/21</t>
  </si>
  <si>
    <t>Lowered min to $15.95. Increased target to 4</t>
  </si>
  <si>
    <t xml:space="preserve"> | #394: 300 - 06/09/21</t>
  </si>
  <si>
    <t>Goal is clearing inventory with 90 days. Lowered min to $12.95. Scheduled at $12.99 for a few days</t>
  </si>
  <si>
    <t xml:space="preserve"> | #394: 300 - 06/12/21</t>
  </si>
  <si>
    <t>Turned PPC off. Raised min to $14.95</t>
  </si>
  <si>
    <t>Raised min to $17.32</t>
  </si>
  <si>
    <t>Raised min to $19.6. Lowered target to 1</t>
  </si>
  <si>
    <t>Raised min to $21.56</t>
  </si>
  <si>
    <t>PL-IFC-123B25</t>
  </si>
  <si>
    <t>Turned on PP from $19.99 to $39.99 with target of 2</t>
  </si>
  <si>
    <t>Raised min to $31.5</t>
  </si>
  <si>
    <t xml:space="preserve">:  -  :  -  #333: 42 - 02/17/21 :  -  :  -  :  -  :  -  :  -  :  -  :  - :  -  :  -  :  -  :  -  :  -  :  -  :  -  :  -  :  - </t>
  </si>
  <si>
    <t xml:space="preserve">:  -  :  -  #333: 42 - 02/20/21 :  -  :  -  :  -  :  -  :  -  :  -  :  - :  -  :  -  :  -  :  -  :  -  :  -  :  -  :  -  :  - </t>
  </si>
  <si>
    <t>#333: 42 - 02/20/21 | #335: 60 - 03/12/21</t>
  </si>
  <si>
    <t>#333: 42 - 02/24/21 | #335;SW: 60 - 03/16/21</t>
  </si>
  <si>
    <t>Raised min to $35.95</t>
  </si>
  <si>
    <t>#333: 42 - 03/21/21 | #335;SW: 60 - 03/16/21</t>
  </si>
  <si>
    <t>Lowered min to $34.95</t>
  </si>
  <si>
    <t>#333: 42 - 03/27/21 | #335;SW: 60 - 03/25/21</t>
  </si>
  <si>
    <t>Lowered min to $32.95. Increased target to 5</t>
  </si>
  <si>
    <t>#333: 42 - 04/07/21 | #335;SW: 60 - 03/30/21</t>
  </si>
  <si>
    <t>Raised min to $33.84</t>
  </si>
  <si>
    <t>Raised min to $38.79</t>
  </si>
  <si>
    <t>Lowered min to $37.99</t>
  </si>
  <si>
    <t>#333: 42 - 04/08/21 | #335;SW: 60 - 03/30/21</t>
  </si>
  <si>
    <t xml:space="preserve"> | #335;SW: 60 - 03/30/21</t>
  </si>
  <si>
    <t>Raised min to $38.44. Removed target</t>
  </si>
  <si>
    <t xml:space="preserve"> | #394: 204 - 06/01/21</t>
  </si>
  <si>
    <t>Raised min to $38.99</t>
  </si>
  <si>
    <t>Raised min to $42.88</t>
  </si>
  <si>
    <t xml:space="preserve"> | #394: 204 - 06/06/21</t>
  </si>
  <si>
    <t>Raised min to $43.95</t>
  </si>
  <si>
    <t xml:space="preserve"> | #394: 204 - 06/04/21</t>
  </si>
  <si>
    <t>Raised min to $46.95</t>
  </si>
  <si>
    <t xml:space="preserve"> | #394: 204 - 06/04/21 | #413: 96 - 07/01/21</t>
  </si>
  <si>
    <t xml:space="preserve"> | #394: 204 - 06/09/21 | #413: 96 - 07/01/21</t>
  </si>
  <si>
    <t xml:space="preserve"> | #394: 204 - 06/09/21 | #413: 96 - 07/02/21 | #414: 204 - 07/08/21</t>
  </si>
  <si>
    <t xml:space="preserve"> | #394: 204 - 06/12/21 | #413: 96 - 07/08/21 | #414: 204 - 07/08/21</t>
  </si>
  <si>
    <t xml:space="preserve"> | #394: 204 - 06/12/21 | #413: 96 - 07/15/21 | #414: 204 - 07/08/21</t>
  </si>
  <si>
    <t>Lowered min to $24.5. Scheduled at $29.99 for a couple days</t>
  </si>
  <si>
    <t xml:space="preserve"> | #413: 96 - 07/18/21 | #414: 204 - 08/01/21</t>
  </si>
  <si>
    <t xml:space="preserve"> | #413: 96 - 07/18/21</t>
  </si>
  <si>
    <t>Raised min to $26.95</t>
  </si>
  <si>
    <t xml:space="preserve"> | #413: 96 - 07/18/21 | #417: 180 - 08/01/21 | #415: 84 - 08/20/21</t>
  </si>
  <si>
    <t xml:space="preserve"> | #417: 180 - 08/01/21 | #415: 84 - 08/20/21 | #413: 96 - 07/23/21</t>
  </si>
  <si>
    <t>No Transit, But 42 At Factory 50-75 days from Earliest Arrival</t>
  </si>
  <si>
    <t>PL-IFC-123B50</t>
  </si>
  <si>
    <t>Raised PP to $43.52 to $49.99. Lowered target to 3</t>
  </si>
  <si>
    <t xml:space="preserve">
#307;SW: 100 - 01/07/21
#308: 100 - 01/23/21</t>
  </si>
  <si>
    <t>Lowered min to $39.99</t>
  </si>
  <si>
    <t xml:space="preserve"> #307;SW: 100 - 01/07/21 #308: 100 - 01/23/21</t>
  </si>
  <si>
    <t>Raised min to $41.99</t>
  </si>
  <si>
    <t xml:space="preserve">#308;SW: 100 - 01/23/21 :  -  :  -  #339: 102 - 02/24/21 :  -  :  -  :  -  :  -  :  -  :  - :  -  :  -  :  -  :  -  :  -  :  -  :  -  :  -  :  - </t>
  </si>
  <si>
    <t>Lowered min to $35.99. Increased target to 8</t>
  </si>
  <si>
    <t xml:space="preserve"> | #339: 102 - 02/25/21 | #338: 180 - 03/18/21</t>
  </si>
  <si>
    <t xml:space="preserve"> | #339;SW: 102 - 03/04/21 | #338;SW: 180 - 03/26/21</t>
  </si>
  <si>
    <t>Raised min to $43.52</t>
  </si>
  <si>
    <t xml:space="preserve"> | #339;SW: 102 - 03/04/21 | #338;SW: 180 - 03/27/21 | #360: 36 - 04/10/21</t>
  </si>
  <si>
    <t xml:space="preserve"> | #339;SW: 102 - 03/04/21 | #338;SW: 180 - 03/31/21 | #360: 1108 - 04/10/21</t>
  </si>
  <si>
    <t>Lowered min to $39.95. Increased target to 11</t>
  </si>
  <si>
    <t xml:space="preserve"> | #339;SW: 102 - 03/04/21 | #338;SW: 180 - 03/31/21 | #360: 36 - 04/07/21</t>
  </si>
  <si>
    <t xml:space="preserve"> | #338;SW: 180 - 03/31/21 | #360: 36 - 04/09/21</t>
  </si>
  <si>
    <t xml:space="preserve"> | #338;SW: 180 - 03/31/21 | #360: 36 - 04/06/21</t>
  </si>
  <si>
    <t xml:space="preserve"> | #338;SW: 180 - 03/31/21</t>
  </si>
  <si>
    <t>Raised min to $40.95</t>
  </si>
  <si>
    <t xml:space="preserve"> | #394: 204 - 06/01/21 | #408: 400 - 05/25/21</t>
  </si>
  <si>
    <t>Raised min to $45.05</t>
  </si>
  <si>
    <t xml:space="preserve"> | #394: 204 - 06/06/21 | #408: 400 - 06/10/21</t>
  </si>
  <si>
    <t xml:space="preserve"> | #394: 204 - 06/04/21 | #408: 400 - 06/25/21 | #410: 150 - 07/02/21</t>
  </si>
  <si>
    <t xml:space="preserve"> | #394: 204 - 06/09/21 | #408: 400 - 06/25/21 | #410: 150 - 07/02/21</t>
  </si>
  <si>
    <t xml:space="preserve"> | #394: 204 - 06/09/21 | #408: 400 - 06/24/21 | #410: 150 - 07/02/21</t>
  </si>
  <si>
    <t xml:space="preserve"> | #394: 204 - 06/12/21 | #408: 400 - 06/30/21 | #410: 150 - 07/02/21</t>
  </si>
  <si>
    <t xml:space="preserve"> | #394: 204 - 06/12/21 | #408: 400 - 07/07/21 | #410: 150 - 07/02/21</t>
  </si>
  <si>
    <t>Lowered min to $38.95. Increased target to 11. Scheduled at $39.99 a couple days</t>
  </si>
  <si>
    <t xml:space="preserve"> | #408: 400 - 07/15/21 | #410: 150 - 07/07/21</t>
  </si>
  <si>
    <t>Raised min to $44.95. Lowered target to 9</t>
  </si>
  <si>
    <t>#408: 400 - 07/15/21 | #410: 150 - 07/07/21</t>
  </si>
  <si>
    <t>#408: 400 - 07/15/21 | #410: 150 - 07/09/21 | #418: 200 - 08/20/21</t>
  </si>
  <si>
    <t>#408: 400 - 07/15/21 | #418: 200 - 08/20/21</t>
  </si>
  <si>
    <t>PL-IFC-123B50-2PK</t>
  </si>
  <si>
    <t>#303;SW: 80 - 01/07/21</t>
  </si>
  <si>
    <t>Raised $6 to $55.99</t>
  </si>
  <si>
    <t>Raised $4 to $59.99</t>
  </si>
  <si>
    <t>Turned on PP from $69.99 to $99.99</t>
  </si>
  <si>
    <t>Raised min to $76.98</t>
  </si>
  <si>
    <t>Raised min to $84.67</t>
  </si>
  <si>
    <t xml:space="preserve"> | #359;SW: 120 - 04/01/21</t>
  </si>
  <si>
    <t>Lowered min to $71.99. Added target of 1</t>
  </si>
  <si>
    <t>Lowered min to $69.99. Scheduled at $71.99 for a few days</t>
  </si>
  <si>
    <t xml:space="preserve"> | #359;SW: 120 - 04/13/21</t>
  </si>
  <si>
    <t>Lowered min to $77.99</t>
  </si>
  <si>
    <t>Lowered min to $73.99</t>
  </si>
  <si>
    <t>Raised min to $84.66</t>
  </si>
  <si>
    <t>Raised min to $93.12</t>
  </si>
  <si>
    <t>Goal is selling out within 90 days. Lowered min to $89.95</t>
  </si>
  <si>
    <t>Raised min to $90.95</t>
  </si>
  <si>
    <t>Raised min to $99.95</t>
  </si>
  <si>
    <t>Lowered min to $96.95</t>
  </si>
  <si>
    <t>PL-IFC-123B50P</t>
  </si>
  <si>
    <t>Turned on PP from $39.95 to $49.99 with target of 1</t>
  </si>
  <si>
    <t>Raised PP to $45.69 to $59.99</t>
  </si>
  <si>
    <t>Removed target. Raised min to $50.25</t>
  </si>
  <si>
    <t>Lowered min to $49.95. Added target of 1</t>
  </si>
  <si>
    <t>Lowered min to $40.99</t>
  </si>
  <si>
    <t>Raised min to $48.42</t>
  </si>
  <si>
    <t>Lowered min to $46.95</t>
  </si>
  <si>
    <t xml:space="preserve"> | #413: 140 - 07/01/21</t>
  </si>
  <si>
    <t>Lowered min to $41.99. Increased target to 3</t>
  </si>
  <si>
    <t xml:space="preserve"> | #413: 80 - 07/01/21</t>
  </si>
  <si>
    <t>Improving DOH. Lowered min to $39.99</t>
  </si>
  <si>
    <t>Goal is raising profit, raised min to $40.95</t>
  </si>
  <si>
    <t xml:space="preserve"> | #413: 80 - 07/02/21 | #414: 60 - 07/08/21</t>
  </si>
  <si>
    <t xml:space="preserve"> | #413: 80 - 07/08/21 | #414: 60 - 07/08/21</t>
  </si>
  <si>
    <t xml:space="preserve"> | #413: 80 - 07/15/21 | #414: 60 - 07/08/21</t>
  </si>
  <si>
    <t>Raised min to $44.95</t>
  </si>
  <si>
    <t xml:space="preserve"> | #413: 80 - 07/18/21 | #414: 60 - 08/01/21</t>
  </si>
  <si>
    <t>Raised min to $49.44</t>
  </si>
  <si>
    <t xml:space="preserve"> | #413: 80 - 07/18/21</t>
  </si>
  <si>
    <t xml:space="preserve"> | #413: 80 - 07/18/21 | #417: 60 - 08/01/21</t>
  </si>
  <si>
    <t xml:space="preserve"> | #417: 60 - 08/01/21 | #413: 80 - 07/23/21</t>
  </si>
  <si>
    <t>PL-IFC-123N06</t>
  </si>
  <si>
    <t>Not in Profit Peak. Raised $2 to $16.99</t>
  </si>
  <si>
    <t>Raised min to $19.84</t>
  </si>
  <si>
    <t>Raised min to $21.86</t>
  </si>
  <si>
    <t>Lowered min to $19.99. Added target of 1</t>
  </si>
  <si>
    <t>Lowered min to $18.99</t>
  </si>
  <si>
    <t>Improving DOH / sell through. Increased target to 2. Lowered min to $12.5</t>
  </si>
  <si>
    <t>Goal is clearing inventory within 90 days. Scheduled at $12.99 a few days</t>
  </si>
  <si>
    <t>Raised min to $13.95</t>
  </si>
  <si>
    <t>PL-IFC-123N10</t>
  </si>
  <si>
    <t xml:space="preserve">
#307;SW: 100 - 01/07/21
#308: 90 - 01/23/21</t>
  </si>
  <si>
    <t xml:space="preserve"> #307;SW: 100 - 01/07/21 #308: 90 - 01/23/21</t>
  </si>
  <si>
    <t xml:space="preserve">#308;SW: 90 - 01/23/21 :  -  :  -  :  -  :  -  :  -  :  -  :  -  :  -  :  - :  -  :  -  :  -  :  -  :  -  :  -  :  -  :  -  :  - </t>
  </si>
  <si>
    <t>Lowered min to $17.99</t>
  </si>
  <si>
    <t>Raised min to $19.78</t>
  </si>
  <si>
    <t>Raised min to $19.99</t>
  </si>
  <si>
    <t>Raised min to $22.57</t>
  </si>
  <si>
    <t>Lowered min to $21.95</t>
  </si>
  <si>
    <t>Raised min to $22.5</t>
  </si>
  <si>
    <t>Lowered min to $16.95. Increased target to 4</t>
  </si>
  <si>
    <t xml:space="preserve"> | #408: 240 - 05/25/21</t>
  </si>
  <si>
    <t xml:space="preserve"> | #408: 240 - 06/10/21</t>
  </si>
  <si>
    <t>Raised min to $18.64</t>
  </si>
  <si>
    <t xml:space="preserve"> | #408: 240 - 06/25/21 | #410: 100 - 07/02/21</t>
  </si>
  <si>
    <t>Raised min to $19.95</t>
  </si>
  <si>
    <t xml:space="preserve"> | #408: 240 - 06/24/21 | #410: 100 - 07/02/21</t>
  </si>
  <si>
    <t xml:space="preserve"> | #408: 240 - 06/30/21 | #410: 100 - 07/02/21</t>
  </si>
  <si>
    <t>Goal is selling out within 90 days, lowered min to $17.95</t>
  </si>
  <si>
    <t xml:space="preserve"> | #408: 240 - 07/07/21 | #410: 100 - 07/02/21</t>
  </si>
  <si>
    <t xml:space="preserve"> | #408: 240 - 07/15/21 | #410: 100 - 07/07/21</t>
  </si>
  <si>
    <t>#408: 240 - 07/15/21 | #410: 100 - 07/07/21</t>
  </si>
  <si>
    <t>#408: 240 - 07/15/21 | #410: 100 - 07/09/21</t>
  </si>
  <si>
    <t>#408: 240 - 07/15/21</t>
  </si>
  <si>
    <t>PL-IFC-123N100</t>
  </si>
  <si>
    <t xml:space="preserve">
#306;SW: 60 - 01/17/21
#309: 64 - 01/27/21</t>
  </si>
  <si>
    <t xml:space="preserve"> #306;SW: 60 - 01/17/21 #309: 64 - 01/30/21</t>
  </si>
  <si>
    <t xml:space="preserve">:  -  #309;SW: 64 - 01/30/21 #333: 196 - 02/17/21 :  -  :  -  :  -  #334: 44 - 03/01/21 :  -  :  -  :  - :  -  :  -  :  -  :  -  :  -  :  -  :  -  :  -  :  - </t>
  </si>
  <si>
    <t xml:space="preserve">:  -  #309;SW: 64 - 01/28/21 #333: 196 - 02/20/21 :  -  :  -  :  -  #334: 44 - 03/02/21 :  -  :  -  :  - :  -  :  -  :  -  :  -  :  -  :  -  :  -  :  -  :  - </t>
  </si>
  <si>
    <t>#333: 196 - 02/20/21 | #334: 44 - 03/19/21</t>
  </si>
  <si>
    <t>#333: 196 - 02/24/21 | #334;SW: 44 - 03/23/21</t>
  </si>
  <si>
    <t>Raised min to $73.31</t>
  </si>
  <si>
    <t>#333: 196 - 03/21/21 | #334;SW: 44 - 03/31/21 | #359;SW: 120 - 04/01/21</t>
  </si>
  <si>
    <t>#333: 196 - 03/27/21 | #334;SW: 44 - 04/06/21 | #359;SW: 120 - 04/01/21 | #360: 113 - 04/10/21</t>
  </si>
  <si>
    <t>Lowered min to $72.95</t>
  </si>
  <si>
    <t>#333: 196 - 04/07/21 | #334;SW: 44 - 04/17/21 | #359;SW: 120 - 04/13/21 | #360: 100 - 04/07/21</t>
  </si>
  <si>
    <t>#333: 196 - 04/07/21 | #334;SW: 44 - 04/17/21 | #359;SW: 120 - 04/13/21 | #360: 100 - 04/09/21</t>
  </si>
  <si>
    <t>Lowered min to $67.95</t>
  </si>
  <si>
    <t>#333: 196 - 04/07/21 | #334;SW: 44 - 04/17/21 | #359;SW: 120 - 04/17/21 | #360: 100 - 04/06/21</t>
  </si>
  <si>
    <t>#333: 196 - 04/08/21 | #334;SW: 44 - 04/18/21 | #359;SW: 120 - 04/17/21 | #360: 100 - 04/06/21</t>
  </si>
  <si>
    <t>Lowered min to $62.95. Increased target to 4</t>
  </si>
  <si>
    <t xml:space="preserve"> | #334;SW: 44 - 04/18/21 | #359;SW: 120 - 04/17/21</t>
  </si>
  <si>
    <t>Raised min to $77.25</t>
  </si>
  <si>
    <t>Raised min to $84.97</t>
  </si>
  <si>
    <t>Lowered min to $80.95</t>
  </si>
  <si>
    <t>Lowered min to $75.95. Increased target to 5</t>
  </si>
  <si>
    <t>Lowered min to $65.95. Increased target to 8. Scheduled at $69.99 a few days. Lowered min to $59.95. Scheduled there a few days</t>
  </si>
  <si>
    <t>Goal is raising profit. Raised min to $60.95</t>
  </si>
  <si>
    <t>Raised min to $63.95</t>
  </si>
  <si>
    <t>Raised min to $66.95</t>
  </si>
  <si>
    <t xml:space="preserve"> | #414: 140 - 08/01/21</t>
  </si>
  <si>
    <t>No Transit or Factory Storage, 500 In Production 60-100 days from Earliest Arrival</t>
  </si>
  <si>
    <t>PL-IFC-123N25</t>
  </si>
  <si>
    <t>Lowered min to $30.95</t>
  </si>
  <si>
    <t xml:space="preserve">:  -  :  -  #333: 60 - 02/17/21 :  -  :  -  :  -  :  -  :  -  :  -  :  - :  -  :  -  :  -  :  -  :  -  :  -  :  -  :  -  :  - </t>
  </si>
  <si>
    <t xml:space="preserve">:  -  :  -  #333: 60 - 02/20/21 :  -  :  -  :  -  :  -  :  -  :  -  :  - :  -  :  -  :  -  :  -  :  -  :  -  :  -  :  -  :  - </t>
  </si>
  <si>
    <t>#333: 60 - 02/20/21</t>
  </si>
  <si>
    <t>Lowered min to $29.95 and target to 1</t>
  </si>
  <si>
    <t>#333: 60 - 02/24/21</t>
  </si>
  <si>
    <t>#333: 60 - 03/21/21</t>
  </si>
  <si>
    <t>#333: 60 - 03/27/21</t>
  </si>
  <si>
    <t>#333: 60 - 04/07/21</t>
  </si>
  <si>
    <t>Lowered min to $31.95</t>
  </si>
  <si>
    <t>#333: 60 - 04/08/21</t>
  </si>
  <si>
    <t>Lowered min to $23.95</t>
  </si>
  <si>
    <t xml:space="preserve"> | 42: 42 - </t>
  </si>
  <si>
    <t xml:space="preserve"> | #395: 42 - 06/08/21 | #408: 60 - 05/25/21</t>
  </si>
  <si>
    <t xml:space="preserve"> | #395: 42 - 06/06/21 | #408: 60 - 06/10/21</t>
  </si>
  <si>
    <t>Raised min to $26.34</t>
  </si>
  <si>
    <t xml:space="preserve"> | #395: 42 - 06/04/21 | #408: 60 - 06/25/21</t>
  </si>
  <si>
    <t>Raised min to $27.95</t>
  </si>
  <si>
    <t>Lowered min to $25.95</t>
  </si>
  <si>
    <t>Goal is raising profit. Raised min to $29.95</t>
  </si>
  <si>
    <t xml:space="preserve"> | #395: 42 - 06/09/21 | #408: 60 - 06/24/21</t>
  </si>
  <si>
    <t xml:space="preserve"> | #395: 42 - 06/12/21 | #408: 60 - 06/30/21</t>
  </si>
  <si>
    <t>Lowered min to $24.95. Scheduled at $29.99 for a couple days</t>
  </si>
  <si>
    <t xml:space="preserve"> | #395: 42 - 06/08/21 | #408: 60 - 07/07/21</t>
  </si>
  <si>
    <t xml:space="preserve"> | #408: 60 - 07/15/21</t>
  </si>
  <si>
    <t>#408: 60 - 07/15/21</t>
  </si>
  <si>
    <t>Lowered min to $26.95. Scheduled at $26.99 a few days</t>
  </si>
  <si>
    <t>Lowered min to $25.95. Turned PPC on</t>
  </si>
  <si>
    <t>No Transit, But 102 At Factory 50-75 days from Earliest Arrival</t>
  </si>
  <si>
    <t>PL-IFC-123N50</t>
  </si>
  <si>
    <t>Raised min to $42.99</t>
  </si>
  <si>
    <t xml:space="preserve">:  -  :  -  #333: 124 - 02/17/21 :  -  :  -  :  -  #334: 192 - 03/01/21 :  -  :  -  :  - :  -  :  -  :  -  :  -  :  -  :  -  :  -  :  -  :  - </t>
  </si>
  <si>
    <t>Lowered min to $41.99</t>
  </si>
  <si>
    <t xml:space="preserve">:  -  :  -  #333: 124 - 02/20/21 :  -  :  -  :  -  #334: 192 - 03/02/21 :  -  :  -  :  - :  -  :  -  :  -  :  -  :  -  :  -  :  -  :  -  :  - </t>
  </si>
  <si>
    <t>#333: 124 - 02/20/21 | #334: 192 - 03/19/21</t>
  </si>
  <si>
    <t>Lowered min to $39.99. Increased target to 2</t>
  </si>
  <si>
    <t>#333: 124 - 02/24/21 | #334;SW: 192 - 03/23/21</t>
  </si>
  <si>
    <t>Raised min to $45.68</t>
  </si>
  <si>
    <t>#333: 124 - 03/21/21 | #334;SW: 192 - 03/31/21 | #359;SW: 84 - 04/01/21</t>
  </si>
  <si>
    <t>Raised min to $50.24. Removed target</t>
  </si>
  <si>
    <t>#333: 124 - 03/27/21 | #334;SW: 192 - 04/06/21 | #359;SW: 84 - 04/01/21</t>
  </si>
  <si>
    <t>Raised min to $55.26</t>
  </si>
  <si>
    <t>#333: 124 - 04/07/21 | #334;SW: 192 - 04/17/21 | #359;SW: 84 - 04/13/21</t>
  </si>
  <si>
    <t>#333: 124 - 04/07/21 | #334;SW: 192 - 04/17/21 | #359;SW: 84 - 04/17/21</t>
  </si>
  <si>
    <t>#333: 124 - 04/08/21 | #334;SW: 192 - 04/18/21 | #359;SW: 84 - 04/17/21</t>
  </si>
  <si>
    <t>Lowered min to $39.95. Added target of 2</t>
  </si>
  <si>
    <t xml:space="preserve"> | #334;SW: 192 - 04/18/21 | #359;SW: 84 - 04/17/21</t>
  </si>
  <si>
    <t>Lowered min to $35.95. Scheduled at $39.99 a few days</t>
  </si>
  <si>
    <t>#359;SW: 84 - 04/17/21 | #393: 42 - 06/01/21</t>
  </si>
  <si>
    <t xml:space="preserve"> | #393: 42 - 06/01/21</t>
  </si>
  <si>
    <t xml:space="preserve"> | #393: 42 - 05/30/21</t>
  </si>
  <si>
    <t>Raised target to 5</t>
  </si>
  <si>
    <t>Raised min to $44.49</t>
  </si>
  <si>
    <t xml:space="preserve"> | #393: 42 - 06/09/21</t>
  </si>
  <si>
    <t xml:space="preserve"> | #393: 42 - 06/10/21</t>
  </si>
  <si>
    <t>Lowered target to 2 and min to $36.95</t>
  </si>
  <si>
    <t>sold out in both stores</t>
  </si>
  <si>
    <t>No Transit, But 164 At Factory 50-75 days from Earliest Arrival</t>
  </si>
  <si>
    <t>PL-IFC-123R06</t>
  </si>
  <si>
    <t>Turned PPC off. Not in Profit Peak</t>
  </si>
  <si>
    <t xml:space="preserve"> | #340;SW: 80 - 03/19/21</t>
  </si>
  <si>
    <t>Lowered min to $12.5. Added target of 2</t>
  </si>
  <si>
    <t>#340;SW: 80 - 03/19/21</t>
  </si>
  <si>
    <t>Turned PPC off. Lowered min to $9.95 and target to 1</t>
  </si>
  <si>
    <t>Raised min to $15.3</t>
  </si>
  <si>
    <t>Raised min to $17.56</t>
  </si>
  <si>
    <t>Increased target to 3. Lowered min to $13.95, goal is reducing DOH</t>
  </si>
  <si>
    <t>Goal is selling out within 90 days, increased target to 5. Lowered min to $12.5. Scheduled at $12.99</t>
  </si>
  <si>
    <t>PL-IFC-123R10</t>
  </si>
  <si>
    <t>Raised PP to $21.98 to $29.99</t>
  </si>
  <si>
    <t xml:space="preserve">:  -  :  -  #333: 340 - 02/17/21 :  -  :  -  :  -  #334: 300 - 03/01/21 :  -  :  -  :  - :  -  :  -  :  -  :  -  :  -  :  -  :  -  :  -  :  - </t>
  </si>
  <si>
    <t xml:space="preserve">:  -  :  -  #333: 340 - 02/20/21 :  -  #340;SW;SW: 100 - 02/24/21 :  -  #334: 300 - 03/02/21 :  -  :  -  :  - :  -  :  -  :  -  :  -  :  -  :  -  :  -  :  -  :  - </t>
  </si>
  <si>
    <t>#333: 340 - 02/20/21 | #340;SW: 100 - 02/24/21 | #334: 300 - 03/19/21 | #338: 400 - 03/18/21</t>
  </si>
  <si>
    <t>Lowered min to $19.95 and target to 10</t>
  </si>
  <si>
    <t>#333: 340 - 02/24/21 | #340;SW: 100 - 03/24/21 | #334;SW: 300 - 03/23/21 | #338;SW: 400 - 03/26/21</t>
  </si>
  <si>
    <t>Raised min to $21.94. Removed target</t>
  </si>
  <si>
    <t>#333: 340 - 03/21/21 | #340;SW: 100 - 03/23/21 | #334;SW: 300 - 03/31/21 | #338;SW: 400 - 03/27/21 | #359;SW: 300 - 04/01/21</t>
  </si>
  <si>
    <t>Raised min to $24.53</t>
  </si>
  <si>
    <t>#333: 340 - 03/27/21 | #340;SW: 100 - 03/23/21 | #334;SW: 300 - 04/06/21 | #338;SW: 400 - 03/31/21 | #359;SW: 300 - 04/01/21</t>
  </si>
  <si>
    <t>#333: 340 - 04/07/21 | #340;SW: 100 - 03/24/21 | #334;SW: 300 - 04/17/21 | #338;SW: 400 - 03/31/21 | #359;SW: 300 - 04/13/21</t>
  </si>
  <si>
    <t>#333: 340 - 04/07/21 | #340;SW: 100 - 03/19/21 | #334;SW: 300 - 04/17/21 | #338;SW: 400 - 03/31/21 | #359;SW: 300 - 04/13/21</t>
  </si>
  <si>
    <t>#333: 340 - 04/07/21 | #340;SW: 100 - 03/19/21 | #334;SW: 300 - 04/17/21 | #338;SW: 400 - 03/31/21 | #359;SW: 300 - 04/17/21</t>
  </si>
  <si>
    <t>#333: 340 - 04/08/21 | #340;SW: 100 - 03/19/21 | #334;SW: 300 - 04/18/21 | #338;SW: 400 - 03/31/21 | #359;SW: 300 - 04/17/21</t>
  </si>
  <si>
    <t>Lowered min to $15.95. Added target to 11</t>
  </si>
  <si>
    <t>#340;SW: 100 - 03/19/21 | #334;SW: 300 - 04/18/21 | #338;SW: 400 - 03/31/21 | #359;SW: 300 - 04/17/21</t>
  </si>
  <si>
    <t>Turned on PPC</t>
  </si>
  <si>
    <t>#359;SW: 300 - 04/17/21</t>
  </si>
  <si>
    <t>Raised min to $16.99. Removed target. Trimmed PPC</t>
  </si>
  <si>
    <t>Turned PPC off. Raised min to $17.99</t>
  </si>
  <si>
    <t>Added target of 11</t>
  </si>
  <si>
    <t>Goal is raising profit. Raised min to $19.99</t>
  </si>
  <si>
    <t>Raised min to $18.95</t>
  </si>
  <si>
    <t>Raised min to $19.5</t>
  </si>
  <si>
    <t xml:space="preserve"> | #417: 500 - 08/01/21 | #415: 300 - 08/20/21</t>
  </si>
  <si>
    <t>No Transit, But 460 At Factory 50-75 days from Earliest Arrival</t>
  </si>
  <si>
    <t>PL-IFC-123R100</t>
  </si>
  <si>
    <t>Lowered min to $62.99</t>
  </si>
  <si>
    <t>Increased target to 3</t>
  </si>
  <si>
    <t xml:space="preserve"> | #335: 100 - 03/12/21</t>
  </si>
  <si>
    <t>Raised PP to $76.63 to $99.99</t>
  </si>
  <si>
    <t xml:space="preserve"> | #335;SW: 100 - 03/16/21</t>
  </si>
  <si>
    <t xml:space="preserve"> | #335;SW: 100 - 03/16/21 | #359;SW: 150 - 04/01/21 | #360: 100 - 04/10/21</t>
  </si>
  <si>
    <t>Lowered min to $69.95</t>
  </si>
  <si>
    <t xml:space="preserve"> | #335;SW: 100 - 03/25/21 | #359;SW: 150 - 04/01/21 | #360: 925 - 04/10/21</t>
  </si>
  <si>
    <t>Lowered min to $62.95. Increased target to 7. Scheduled at $69.99 a few days</t>
  </si>
  <si>
    <t xml:space="preserve"> | #335;SW: 100 - 03/30/21 | #359;SW: 150 - 04/13/21 | #360: 100 - 04/07/21</t>
  </si>
  <si>
    <t xml:space="preserve"> | #335;SW: 100 - 03/30/21 | #359;SW: 150 - 04/13/21 | #360: 100 - 04/09/21</t>
  </si>
  <si>
    <t>Raised min to $73.99</t>
  </si>
  <si>
    <t>Raised min to $75.99</t>
  </si>
  <si>
    <t xml:space="preserve"> | #335;SW: 100 - 03/30/21 | #359;SW: 150 - 04/17/21 | #360: 100 - 04/06/21</t>
  </si>
  <si>
    <t>Lowered min to $65.99</t>
  </si>
  <si>
    <t xml:space="preserve"> | #335;SW: 100 - 03/30/21 | #359;SW: 150 - 04/17/21</t>
  </si>
  <si>
    <t xml:space="preserve">#359;SW: 150 - 04/17/21 | 300: 300 - </t>
  </si>
  <si>
    <t>Lowered target to 3. Raised min to $66.95</t>
  </si>
  <si>
    <t xml:space="preserve"> | #395: 300 - 06/08/21</t>
  </si>
  <si>
    <t>Raised min to $77.7. Removed target</t>
  </si>
  <si>
    <t xml:space="preserve"> | #395: 300 - 06/06/21</t>
  </si>
  <si>
    <t>Raised min to $85.47</t>
  </si>
  <si>
    <t xml:space="preserve"> | #395: 300 - 06/04/21</t>
  </si>
  <si>
    <t>Lowered min to $80.95. Added target of 3</t>
  </si>
  <si>
    <t>Improving DOH, Lowered min to $72.95. Scheduled at $75.99 a few days</t>
  </si>
  <si>
    <t>Goal is improving DOH. Lowered min to $55.95. Scheduled at $65.99 a few days</t>
  </si>
  <si>
    <t xml:space="preserve"> | #395: 300 - 06/09/21</t>
  </si>
  <si>
    <t xml:space="preserve"> | #395: 300 - 06/12/21</t>
  </si>
  <si>
    <t>Raised min to $59.95, raised target to 4</t>
  </si>
  <si>
    <t>Raised min to $68.79</t>
  </si>
  <si>
    <t>Raised min to $89.95</t>
  </si>
  <si>
    <t>Lowered min to $85.95 and target to 2</t>
  </si>
  <si>
    <t>PL-IFC-123R25</t>
  </si>
  <si>
    <t>Lowered min to $24.99</t>
  </si>
  <si>
    <t xml:space="preserve">
#308: 90 - 01/23/21</t>
  </si>
  <si>
    <t>Raised min to $29.99. Lowered target to 1</t>
  </si>
  <si>
    <t xml:space="preserve"> #308: 90 - 01/23/21</t>
  </si>
  <si>
    <t>Raised min to $33.26</t>
  </si>
  <si>
    <t>Lowered min to $21.95. Increased target to 3. Scheduled at $29.99 a couple days</t>
  </si>
  <si>
    <t>Scheduled at $22.99 for a couple days</t>
  </si>
  <si>
    <t>Raised min to $25.48</t>
  </si>
  <si>
    <t>Raised min to $25.99</t>
  </si>
  <si>
    <t>Lowered min to $24.99. Increased target to 6</t>
  </si>
  <si>
    <t>Lowered min to $20.99. Increased target to 7</t>
  </si>
  <si>
    <t>Raised min to $24.84. Removed target</t>
  </si>
  <si>
    <t>Raised min to $28.73</t>
  </si>
  <si>
    <t xml:space="preserve"> | #395: 102 - 06/06/21</t>
  </si>
  <si>
    <t xml:space="preserve"> | #395: 102 - 06/04/21 | #413: 300 - 07/01/21</t>
  </si>
  <si>
    <t>Lowered min to $26.95. Added target of 3</t>
  </si>
  <si>
    <t xml:space="preserve"> | #395: 102 - 06/04/21 | #413: 138 - 07/01/21</t>
  </si>
  <si>
    <t>Lowered min to $22.95. Added target of 4</t>
  </si>
  <si>
    <t>Goal is improving profit. Raised min to $25.53</t>
  </si>
  <si>
    <t xml:space="preserve"> | #395: 102 - 06/09/21 | #413: 138 - 07/02/21 | #414: 60 - 07/08/21</t>
  </si>
  <si>
    <t xml:space="preserve"> | #395: 102 - 06/12/21 | #413: 138 - 07/08/21 | #414: 60 - 07/08/21</t>
  </si>
  <si>
    <t xml:space="preserve"> | #395: 102 - 06/08/21 | #413: 138 - 07/15/21 | #414: 60 - 07/08/21</t>
  </si>
  <si>
    <t>Lowered min to $21.95. Increased target to 8. Scheduled at $23.99 a couple days</t>
  </si>
  <si>
    <t xml:space="preserve"> | #413: 138 - 07/18/21 | #414: 60 - 08/01/21</t>
  </si>
  <si>
    <t>Raised min to $26.5. Lowered target to 7</t>
  </si>
  <si>
    <t xml:space="preserve"> | #413: 138 - 07/18/21 | #414: 162 - 08/01/21</t>
  </si>
  <si>
    <t xml:space="preserve"> | #413: 138 - 07/18/21 | #414: 162 - 08/01/21 | #418: 102 - 08/20/21</t>
  </si>
  <si>
    <t xml:space="preserve"> | #414: 162 - 08/01/21 | #418: 102 - 08/20/21 | #413: 138 - 07/23/21</t>
  </si>
  <si>
    <t>No Transit, But 204 At Factory 50-75 days from Earliest Arrival</t>
  </si>
  <si>
    <t>PL-IFC-123R50</t>
  </si>
  <si>
    <t>Raised min to $41.74. Removed target</t>
  </si>
  <si>
    <t>Raised PP to $46.61 to $59.99</t>
  </si>
  <si>
    <t xml:space="preserve">:  -  :  -  :  -  #339: 12 - 02/24/21 :  -  :  -  :  -  :  -  :  -  :  - :  -  :  -  :  -  :  -  :  -  :  -  :  -  :  -  :  - </t>
  </si>
  <si>
    <t>Lowered min to $40.95. Added target of 3</t>
  </si>
  <si>
    <t xml:space="preserve">:  -  :  -  :  -  #339: 12 - 02/24/21 #340;SW;SW: 88 - 02/24/21 :  -  :  -  :  -  :  -  :  - :  -  :  -  :  -  :  -  :  -  :  -  :  -  :  -  :  - </t>
  </si>
  <si>
    <t xml:space="preserve"> | #339: 12 - 02/25/21 | #340;SW: 88 - 02/24/21 | #338: 112 - 03/18/21</t>
  </si>
  <si>
    <t xml:space="preserve"> | #339;SW: 12 - 03/04/21 | #340;SW: 88 - 03/24/21 | #338;SW: 112 - 03/26/21</t>
  </si>
  <si>
    <t xml:space="preserve"> | #339;SW: 12 - 03/04/21 | #340;SW: 88 - 03/23/21 | #338;SW: 112 - 03/27/21</t>
  </si>
  <si>
    <t xml:space="preserve"> | #339;SW: 12 - 03/04/21 | #340;SW: 88 - 03/23/21 | #338;SW: 112 - 03/31/21</t>
  </si>
  <si>
    <t xml:space="preserve"> | #339;SW: 12 - 03/04/21 | #340;SW: 88 - 03/24/21 | #338;SW: 112 - 03/31/21</t>
  </si>
  <si>
    <t>Raised min to $41.95</t>
  </si>
  <si>
    <t xml:space="preserve"> | #340;SW: 88 - 03/19/21 | #338;SW: 112 - 03/31/21</t>
  </si>
  <si>
    <t>Lowered min to $40.95</t>
  </si>
  <si>
    <t>Lowered min to $38.99. Increased target to 4</t>
  </si>
  <si>
    <t>#340;SW: 88 - 03/19/21 | #338;SW: 112 - 03/31/21</t>
  </si>
  <si>
    <t>Raised min to $39.99. Lowered target to 3</t>
  </si>
  <si>
    <t xml:space="preserve"> | 120: 120 - </t>
  </si>
  <si>
    <t>Raised min to $44.56. Removed target</t>
  </si>
  <si>
    <t xml:space="preserve"> | #395: 120 - 06/08/21</t>
  </si>
  <si>
    <t>Raised min to $49.02</t>
  </si>
  <si>
    <t xml:space="preserve"> | #395: 120 - 06/06/21</t>
  </si>
  <si>
    <t>Raised min to $53.92</t>
  </si>
  <si>
    <t xml:space="preserve"> | #395: 120 - 06/04/21</t>
  </si>
  <si>
    <t xml:space="preserve"> | #395: 120 - 06/04/21 | #413: 56 - 07/01/21</t>
  </si>
  <si>
    <t xml:space="preserve"> | #395: 120 - 06/09/21 | #413: 56 - 07/02/21 | #414: 208 - 07/08/21</t>
  </si>
  <si>
    <t xml:space="preserve"> | #395: 120 - 06/12/21 | #413: 56 - 07/08/21 | #414: 208 - 07/08/21</t>
  </si>
  <si>
    <t xml:space="preserve"> | #395: 120 - 06/08/21 | #413: 56 - 07/15/21 | #414: 208 - 07/08/21</t>
  </si>
  <si>
    <t>Lowered min to $39.95. Increased target to 4. Scheduled at $39.99 a couple days</t>
  </si>
  <si>
    <t xml:space="preserve"> | #413: 56 - 07/18/21 | #414: 208 - 08/01/21</t>
  </si>
  <si>
    <t>Raised min to $45.95</t>
  </si>
  <si>
    <t xml:space="preserve"> | #413: 56 - 07/18/21</t>
  </si>
  <si>
    <t xml:space="preserve"> | #413: 56 - 07/18/21 | #417: 60 - 08/01/21 | #415: 60 - 08/20/21</t>
  </si>
  <si>
    <t>Raised PPC</t>
  </si>
  <si>
    <t xml:space="preserve"> | #417: 60 - 08/01/21 | #415: 60 - 08/20/21 | #413: 56 - 07/23/21</t>
  </si>
  <si>
    <t>No Transit, But 224 At Factory 50-75 days from Earliest Arrival</t>
  </si>
  <si>
    <t>PL-IFC-123Y06</t>
  </si>
  <si>
    <t>Raised PP to $18.95 to $29.99 Lowered target to 7</t>
  </si>
  <si>
    <t>Raised min to $21.76</t>
  </si>
  <si>
    <t>Raised PP to $25.39 to $39.99</t>
  </si>
  <si>
    <t xml:space="preserve">:  -  :  -  #333: 260 - 02/17/21 #339: 320 - 02/24/21 :  -  :  -  :  -  :  -  :  -  :  - :  -  :  -  :  -  :  -  :  -  :  -  :  -  :  -  :  - </t>
  </si>
  <si>
    <t>Increased target to 11. Lowered min to $24.99</t>
  </si>
  <si>
    <t xml:space="preserve">:  -  :  -  #333: 260 - 02/20/21 #339: 320 - 02/24/21 :  -  :  -  :  -  #336: 80 - 02/24/21 :  -  :  - :  -  :  -  :  -  :  -  :  -  :  -  :  -  :  -  :  - </t>
  </si>
  <si>
    <t>#333: 260 - 02/20/21 | #339: 320 - 02/25/21 | #336: 80 - 02/27/21</t>
  </si>
  <si>
    <t>#333: 260 - 02/24/21 | #339;SW: 320 - 03/04/21 | #336: 80 - 03/03/21</t>
  </si>
  <si>
    <t>Raised min to $27.48</t>
  </si>
  <si>
    <t>#333: 260 - 03/21/21 | #339;SW: 320 - 03/04/21 | #336: 80 - 02/28/21</t>
  </si>
  <si>
    <t>Lowered min to $24.95</t>
  </si>
  <si>
    <t>#333: 260 - 03/27/21 | #339;SW: 320 - 03/04/21 | #336: 80 - 02/25/21</t>
  </si>
  <si>
    <t>#333: 260 - 04/07/21 | #339;SW: 320 - 03/04/21</t>
  </si>
  <si>
    <t>Lowered min to $11.95 and target to 10. Scheduled at $19.99 a couple days</t>
  </si>
  <si>
    <t>#333: 260 - 04/07/21</t>
  </si>
  <si>
    <t>Raised min to $15.99</t>
  </si>
  <si>
    <t>#333: 260 - 04/08/21</t>
  </si>
  <si>
    <t>Raised min to $17.99</t>
  </si>
  <si>
    <t xml:space="preserve"> | #394: 800 - 06/01/21</t>
  </si>
  <si>
    <t>Raised min to $23.94</t>
  </si>
  <si>
    <t xml:space="preserve"> | #393: 200 - 06/01/21 | #394: 600 - 06/06/21</t>
  </si>
  <si>
    <t>Raised min to $26.33</t>
  </si>
  <si>
    <t xml:space="preserve"> | #393: 200 - 05/30/21 | #394: 600 - 06/04/21 | #410: 400 - 07/02/21</t>
  </si>
  <si>
    <t xml:space="preserve"> | #393: 200 - 05/30/21 | #394: 600 - 06/04/21 | #410: 200 - 07/02/21</t>
  </si>
  <si>
    <t>Lowered min to $19.95. Scheduled at $20.99 a couple days</t>
  </si>
  <si>
    <t xml:space="preserve"> | #393: 200 - 05/30/21 | #394: 600 - 06/09/21 | #410: 200 - 07/02/21</t>
  </si>
  <si>
    <t>Goal is raising profit. Raised min to $21.94</t>
  </si>
  <si>
    <t xml:space="preserve"> | #393: 200 - 06/09/21 | #394: 600 - 06/09/21 | #410: 200 - 07/02/21</t>
  </si>
  <si>
    <t xml:space="preserve"> | #393: 200 - 06/09/21 | #394: 600 - 06/12/21 | #410: 200 - 07/02/21</t>
  </si>
  <si>
    <t xml:space="preserve"> | #393: 200 - 06/10/21 | #394: 600 - 06/12/21 | #410: 200 - 07/02/21</t>
  </si>
  <si>
    <t>Lowered min to $11.95. Increased target to 12. Scheduled at $15.99 a couple days</t>
  </si>
  <si>
    <t xml:space="preserve"> | #410: 200 - 07/07/21</t>
  </si>
  <si>
    <t>Updated blended cost in Profit Peak</t>
  </si>
  <si>
    <t>Continue with Profit Peak, on track to run out right before 8/20 units hit</t>
  </si>
  <si>
    <t xml:space="preserve"> | #410: 200 - 07/09/21 | #418: 240 - 08/20/21</t>
  </si>
  <si>
    <t>Raised min to $17.24</t>
  </si>
  <si>
    <t xml:space="preserve"> | #418: 240 - 08/20/21</t>
  </si>
  <si>
    <t>Lowered min to $15.5. Increased target to 15</t>
  </si>
  <si>
    <t>No Transit, But 560 At Factory 50-75 days from Earliest Arrival</t>
  </si>
  <si>
    <t>B073ZMW2QX</t>
  </si>
  <si>
    <t>PL-IFC-123Y10</t>
  </si>
  <si>
    <t>Raised PP to $20.73 to $29.99. Lowered target to 20</t>
  </si>
  <si>
    <t>Raised min to $23.27. Removed target</t>
  </si>
  <si>
    <t>Raised PP to $25.59 to $39.99</t>
  </si>
  <si>
    <t xml:space="preserve">:  -  :  -  :  -  #339: 300 - 02/24/21 :  -  :  -  #334: 400 - 03/01/21 :  -  :  -  :  - :  -  :  -  :  -  :  -  :  -  :  -  :  -  :  -  :  - </t>
  </si>
  <si>
    <t>Lowered min to $13.95. Added target of 29. Scheduled at $19.99 a few days</t>
  </si>
  <si>
    <t xml:space="preserve">:  -  :  -  :  -  #339: 300 - 02/24/21 :  -  :  -  #334: 400 - 03/02/21 #336: 200 - 02/24/21 :  -  :  - :  -  :  -  :  -  :  -  :  -  :  -  :  -  :  -  :  - </t>
  </si>
  <si>
    <t>Lowerd target to 23</t>
  </si>
  <si>
    <t xml:space="preserve"> | #339: 300 - 02/25/21 | #334: 400 - 03/19/21 | #336: 200 - 02/27/21 | #338: 440 - 03/18/21</t>
  </si>
  <si>
    <t xml:space="preserve"> | #339;SW: 300 - 03/04/21 | #334;SW: 400 - 03/23/21 | #336: 200 - 03/03/21 | #338;SW: 440 - 03/26/21</t>
  </si>
  <si>
    <t xml:space="preserve"> | #339;SW: 300 - 03/04/21 | #334;SW: 400 - 03/31/21 | #336: 200 - 02/28/21 | #338;SW: 440 - 03/27/21 | #360: 460 - 04/10/21</t>
  </si>
  <si>
    <t xml:space="preserve"> | #339;SW: 300 - 03/04/21 | #334;SW: 400 - 04/06/21 | #338;SW: 440 - 03/31/21 | #360: 4954 - 04/10/21 | #336: 200 - 02/25/21</t>
  </si>
  <si>
    <t xml:space="preserve"> | #339;SW: 300 - 03/04/21 | #334;SW: 400 - 04/17/21 | #338;SW: 440 - 03/31/21 | #360: 460 - 04/07/21</t>
  </si>
  <si>
    <t xml:space="preserve"> | #334;SW: 400 - 04/17/21 | #338;SW: 440 - 03/31/21 | #360: 460 - 04/09/21</t>
  </si>
  <si>
    <t xml:space="preserve"> | #334;SW: 400 - 04/17/21 | #338;SW: 440 - 03/31/21 | #360: 460 - 04/06/21</t>
  </si>
  <si>
    <t>Raised min to 30</t>
  </si>
  <si>
    <t xml:space="preserve"> | #334;SW: 400 - 04/18/21 | #338;SW: 440 - 03/31/21 | #360: 460 - 04/06/21</t>
  </si>
  <si>
    <t xml:space="preserve"> | #334;SW: 400 - 04/18/21 | #338;SW: 440 - 03/31/21</t>
  </si>
  <si>
    <t xml:space="preserve"> | 500: 500 - </t>
  </si>
  <si>
    <t xml:space="preserve"> | #395: 500 - 06/08/21 | #408: 200 - 05/25/21</t>
  </si>
  <si>
    <t xml:space="preserve"> | #395: 500 - 06/06/21 | #408: 200 - 06/10/21</t>
  </si>
  <si>
    <t>Raised min to $20.95</t>
  </si>
  <si>
    <t xml:space="preserve"> | #395: 500 - 06/04/21 | #408: 200 - 06/25/21 | #413: 1600 - 07/01/21</t>
  </si>
  <si>
    <t xml:space="preserve"> | #395: 500 - 06/04/21 | #408: 200 - 06/25/21 | #413: 920 - 07/01/21</t>
  </si>
  <si>
    <t>Goal is improving profit. Raised min to $21.94</t>
  </si>
  <si>
    <t xml:space="preserve"> | #395: 500 - 06/09/21 | #408: 200 - 06/24/21 | #413: 920 - 07/02/21 | #414: 680 - 07/08/21</t>
  </si>
  <si>
    <t>Lowered min to $19.95. Scheduled at $19.99 a few days</t>
  </si>
  <si>
    <t xml:space="preserve"> | #395: 500 - 06/12/21 | #408: 200 - 06/30/21 | #413: 920 - 07/08/21 | #414: 680 - 07/08/21</t>
  </si>
  <si>
    <t xml:space="preserve"> | #395: 500 - 06/08/21 | #408: 200 - 07/07/21 | #413: 920 - 07/15/21 | #414: 680 - 07/08/21</t>
  </si>
  <si>
    <t>Lowered min to $13.95. Scheduled at $19.99 a couple days, lowered target to 23</t>
  </si>
  <si>
    <t xml:space="preserve"> | #408: 200 - 07/15/21 | #413: 920 - 07/18/21 | #414: 680 - 08/01/21</t>
  </si>
  <si>
    <t>Continue with Profit Peak. Raised min to $19.95</t>
  </si>
  <si>
    <t>#408: 200 - 07/15/21 | #413: 920 - 07/18/21</t>
  </si>
  <si>
    <t>#408: 200 - 07/15/21 | #413: 920 - 07/18/21 | #417: 700 - 08/01/21</t>
  </si>
  <si>
    <t>sold out in OS. Lowered target to 16</t>
  </si>
  <si>
    <t>#408: 200 - 07/15/21 | #417: 700 - 08/01/21 | #413: 920 - 07/23/21</t>
  </si>
  <si>
    <t>No Transit, But 2380 At Factory 50-75 days from Earliest Arrival</t>
  </si>
  <si>
    <t>PL-IFC-123Y100</t>
  </si>
  <si>
    <t>Raised PP to $74.93 to $79.99</t>
  </si>
  <si>
    <t>Raised PP to $82.42 to $99.99</t>
  </si>
  <si>
    <t>Lowered min to $69.95 and target to 10</t>
  </si>
  <si>
    <t xml:space="preserve">#308;SW: 200 - 01/23/21 :  -  #333: 480 - 02/17/21 #339: 642 - 02/24/21 :  -  :  -  #334: 120 - 03/01/21 :  -  :  -  :  - :  -  :  -  :  -  :  -  :  -  :  -  :  -  :  -  :  - </t>
  </si>
  <si>
    <t>Lowered min to $61.95. Added target of 28</t>
  </si>
  <si>
    <t xml:space="preserve">#308;SW: 200 - 01/23/21 :  -  #333: 480 - 02/20/21 #339: 642 - 02/24/21 :  -  :  -  #334: 120 - 03/02/21 #336: 200 - 02/24/21 :  -  :  - :  -  :  -  :  -  :  -  :  -  :  -  :  -  :  -  :  - </t>
  </si>
  <si>
    <t>#333: 480 - 02/20/21 | #339: 642 - 02/25/21 | #334: 120 - 03/19/21 | #336: 200 - 02/27/21</t>
  </si>
  <si>
    <t>Lowered target to 20. Will try turning on PPC once new inventory hits</t>
  </si>
  <si>
    <t>#333: 480 - 02/24/21 | #339;SW: 642 - 03/04/21 | #334;SW: 120 - 03/23/21 | #336: 200 - 03/03/21</t>
  </si>
  <si>
    <t>#333: 480 - 03/21/21 | #339;SW: 642 - 03/04/21 | #334;SW: 120 - 03/31/21 | #336: 200 - 02/28/21 | #361;SW: 800 - 04/10/21</t>
  </si>
  <si>
    <t>#333: 480 - 03/27/21 | #339;SW: 642 - 03/04/21 | #334;SW: 120 - 04/06/21 | #361;SW: 952 - 04/10/21 | #336: 200 - 02/25/21</t>
  </si>
  <si>
    <t>#333: 480 - 04/07/21 | #339;SW: 642 - 03/04/21 | #334;SW: 120 - 04/17/21 | #361;SW: 600 - 04/17/21</t>
  </si>
  <si>
    <t>#333: 480 - 04/07/21 | #334;SW: 120 - 04/17/21 | #361;SW: 600 - 04/19/21</t>
  </si>
  <si>
    <t>#333: 480 - 04/07/21 | #334;SW: 120 - 04/17/21 | #361;SW: 600 - 04/06/21</t>
  </si>
  <si>
    <t>sold out. Raised min to $70.95</t>
  </si>
  <si>
    <t>#333: 480 - 04/08/21 | #334;SW: 120 - 04/18/21 | #361: 600 - 04/06/21</t>
  </si>
  <si>
    <t>Lowered min to $68.95. Increased target to 27</t>
  </si>
  <si>
    <t xml:space="preserve"> | #334;SW: 120 - 04/18/21 | #361: 600 - 04/20/21</t>
  </si>
  <si>
    <t xml:space="preserve"> | #392: 376 - 06/01/21</t>
  </si>
  <si>
    <t>Raised min to $74.5</t>
  </si>
  <si>
    <t>Lowered min to $78.95</t>
  </si>
  <si>
    <t>#392: 376 - 05/30/21</t>
  </si>
  <si>
    <t>Lowered min to $74.5</t>
  </si>
  <si>
    <t>#392: 376 - 05/30/21 | #413: 800 - 07/01/21</t>
  </si>
  <si>
    <t>#392: 376 - 06/09/21 | #413: 800 - 07/01/21</t>
  </si>
  <si>
    <t>Goal is improving profit. Raised min to $79.95</t>
  </si>
  <si>
    <t>#392: 376 - 06/09/21 | #413: 800 - 07/02/21</t>
  </si>
  <si>
    <t>Running out. Raised min to $80.95</t>
  </si>
  <si>
    <t>#392: 376 - 06/09/21 | #413: 800 - 07/08/21</t>
  </si>
  <si>
    <t>Lowered min to $79.95 and target to 16</t>
  </si>
  <si>
    <t>#392: 376 - 06/11/21 | #413: 800 - 07/15/21</t>
  </si>
  <si>
    <t>Raised min to $81.95</t>
  </si>
  <si>
    <t>#392: 376 - 06/20/21 | #413: 800 - 07/18/21</t>
  </si>
  <si>
    <t>sold out. Lowered min to $77.95 and target to 15</t>
  </si>
  <si>
    <t xml:space="preserve"> | #413: 800 - 07/18/21</t>
  </si>
  <si>
    <t>Lowered min to $76.95. Increased target to 20</t>
  </si>
  <si>
    <t>Lowered min to $76.95. Increased target to 27. Raised PPC</t>
  </si>
  <si>
    <t xml:space="preserve"> | #413: 800 - 07/23/21</t>
  </si>
  <si>
    <t>Heavily trimmed PPC. Raised min to $79.95</t>
  </si>
  <si>
    <t>No Transit, But 1200 At Factory 50-75 days from Earliest Arrival</t>
  </si>
  <si>
    <t>PL-IFC-123Y100P</t>
  </si>
  <si>
    <t>Lowered min to $79.99 and target to 2</t>
  </si>
  <si>
    <t>Raised min to $89.99</t>
  </si>
  <si>
    <t>Raised PP to $99.99 to $149.99</t>
  </si>
  <si>
    <t>Lowered PP to $63.99 to $99.99 with target of 3. Scheduled at $69.99 for a couple days</t>
  </si>
  <si>
    <t>Raised min to $78.99</t>
  </si>
  <si>
    <t>Lowered min to $86.95. Increased target to 5</t>
  </si>
  <si>
    <t>Raised min to $92.95</t>
  </si>
  <si>
    <t xml:space="preserve"> | 60: 60 - </t>
  </si>
  <si>
    <t>Raised min to $96.74</t>
  </si>
  <si>
    <t xml:space="preserve"> | #395: 60 - 06/08/21</t>
  </si>
  <si>
    <t xml:space="preserve"> | #395: 60 - 06/06/21</t>
  </si>
  <si>
    <t>Lowered min to $94.99 and target to 2</t>
  </si>
  <si>
    <t xml:space="preserve"> | #395: 60 - 06/04/21</t>
  </si>
  <si>
    <t>Lowered min to $85.99. Increased target to 5</t>
  </si>
  <si>
    <t xml:space="preserve"> | #395: 60 - 06/09/21</t>
  </si>
  <si>
    <t xml:space="preserve"> | #395: 60 - 06/12/21</t>
  </si>
  <si>
    <t>Goal is selling out within 90 days, lowered min to $83.95</t>
  </si>
  <si>
    <t>Raised min to $92.34</t>
  </si>
  <si>
    <t xml:space="preserve"> | #414: 204 - 08/01/21</t>
  </si>
  <si>
    <t xml:space="preserve"> | #414: 204 - 08/01/21 | #418: 96 - 08/20/21</t>
  </si>
  <si>
    <t>PL-IFC-123Y100-PK2</t>
  </si>
  <si>
    <t>Continue with Profit Peak (to avoid LTSF)</t>
  </si>
  <si>
    <t>Raised min to $144.99</t>
  </si>
  <si>
    <t>Raised PP to $159.99 to $199.99</t>
  </si>
  <si>
    <t>Raised min to $175.98</t>
  </si>
  <si>
    <t>Lowered min to $169.99</t>
  </si>
  <si>
    <t xml:space="preserve"> | #341: 120 - 03/18/21</t>
  </si>
  <si>
    <t xml:space="preserve"> | #341;SW: 120 - 03/26/21</t>
  </si>
  <si>
    <t xml:space="preserve"> | #341;SW: 120 - 03/27/21</t>
  </si>
  <si>
    <t xml:space="preserve"> | #341;SW: 120 - 03/31/21</t>
  </si>
  <si>
    <t>Relisted</t>
  </si>
  <si>
    <t>Lowered min to $147.95. Added target of 1. Scheduled at $149.99 a couple days</t>
  </si>
  <si>
    <t>Raised min to $157.95</t>
  </si>
  <si>
    <t>Raised min to $173.74</t>
  </si>
  <si>
    <t>PL-IFC-123Y10-2PK</t>
  </si>
  <si>
    <t>Raised min to $31.99</t>
  </si>
  <si>
    <t xml:space="preserve">
#307;SW: 210 - 01/07/21</t>
  </si>
  <si>
    <t xml:space="preserve"> #307;SW: 210 - 01/07/21</t>
  </si>
  <si>
    <t>Raised min to $32.99</t>
  </si>
  <si>
    <t xml:space="preserve">:  -  :  -  :  -  :  -  :  -  :  -  :  -  #336: 36 - 02/24/21 :  -  :  - :  -  :  -  :  -  :  -  :  -  :  -  :  -  :  -  :  - </t>
  </si>
  <si>
    <t xml:space="preserve"> | #336: 36 - 02/27/21</t>
  </si>
  <si>
    <t xml:space="preserve"> | #336: 36 - 03/03/21</t>
  </si>
  <si>
    <t>Raised min to $33.99</t>
  </si>
  <si>
    <t xml:space="preserve"> | #336: 36 - 02/28/21</t>
  </si>
  <si>
    <t>Raised min to $34.99</t>
  </si>
  <si>
    <t xml:space="preserve"> | #336: 36 - 02/25/21</t>
  </si>
  <si>
    <t>Raised min to $38.48</t>
  </si>
  <si>
    <t>Added target of 9</t>
  </si>
  <si>
    <t>Lowered min to $33.95</t>
  </si>
  <si>
    <t>Raised min to $37.34</t>
  </si>
  <si>
    <t xml:space="preserve"> | #394: 198 - 06/01/21</t>
  </si>
  <si>
    <t xml:space="preserve"> | #394: 198 - 06/01/21 | #408: 410 - 05/25/21</t>
  </si>
  <si>
    <t xml:space="preserve"> | #394: 198 - 06/06/21 | #408: 410 - 06/10/21</t>
  </si>
  <si>
    <t xml:space="preserve"> | #394: 198 - 06/04/21 | #408: 410 - 06/25/21</t>
  </si>
  <si>
    <t xml:space="preserve"> | #394: 198 - 06/09/21 | #408: 410 - 06/25/21</t>
  </si>
  <si>
    <t>Goal is improving profit. Raised min to $37.34</t>
  </si>
  <si>
    <t xml:space="preserve"> | #394: 198 - 06/09/21 | #408: 410 - 06/24/21</t>
  </si>
  <si>
    <t xml:space="preserve"> | #394: 198 - 06/12/21 | #408: 410 - 06/30/21</t>
  </si>
  <si>
    <t xml:space="preserve"> | #394: 198 - 06/12/21 | #408: 410 - 07/07/21</t>
  </si>
  <si>
    <t>Lowered min to $19.95. Scheduled at $29.99 a couple days</t>
  </si>
  <si>
    <t xml:space="preserve"> | #408: 410 - 07/15/21</t>
  </si>
  <si>
    <t>#408: 410 - 07/15/21</t>
  </si>
  <si>
    <t>#408: 410 - 07/15/21 | #418: 200 - 08/20/21</t>
  </si>
  <si>
    <t>Raised min to $29.99</t>
  </si>
  <si>
    <t>No Transit, But 620 At Factory 50-75 days from Earliest Arrival</t>
  </si>
  <si>
    <t>PL-IFC-123Y10P</t>
  </si>
  <si>
    <t>#302;SW: 240 - 01/07/21
#309: 200 - 01/27/21</t>
  </si>
  <si>
    <t>#302;SW: 240 - 01/07/21 #309: 200 - 01/30/21</t>
  </si>
  <si>
    <t xml:space="preserve">:  -  #309;SW: 200 - 01/30/21 :  -  #339: 440 - 02/24/21 :  -  :  -  :  -  :  -  :  -  :  - :  -  :  -  :  -  :  -  :  -  :  -  :  -  :  -  :  - </t>
  </si>
  <si>
    <t>Turned on PP from $14.95 to $19.99 with target of 9</t>
  </si>
  <si>
    <t xml:space="preserve">:  -  #309;SW: 200 - 01/28/21 :  -  #339: 440 - 02/24/21 #340;SW;SW: 40 - 02/24/21 :  -  :  -  #336: 190 - 02/24/21 :  -  :  - :  -  :  -  :  -  :  -  :  -  :  -  :  -  :  -  :  - </t>
  </si>
  <si>
    <t xml:space="preserve"> | #339: 440 - 02/25/21 | #340;SW: 40 - 02/24/21 | #336: 190 - 02/27/21</t>
  </si>
  <si>
    <t xml:space="preserve"> | #339;SW: 440 - 03/04/21 | #340;SW: 40 - 03/24/21 | #336: 190 - 03/03/21</t>
  </si>
  <si>
    <t>Raised min to $21.2. Lowered target to 8</t>
  </si>
  <si>
    <t xml:space="preserve"> | #339;SW: 440 - 03/04/21 | #340;SW: 40 - 03/23/21 | #336: 190 - 02/28/21 | #360: 200 - 04/10/21 | #361;SW: 160 - 04/10/21</t>
  </si>
  <si>
    <t>Raised min to $24.65</t>
  </si>
  <si>
    <t xml:space="preserve"> | #339;SW: 440 - 03/04/21 | #340;SW: 40 - 03/23/21 | #336: 190 - 02/25/21</t>
  </si>
  <si>
    <t>Raised min to $27.11</t>
  </si>
  <si>
    <t xml:space="preserve"> | #339;SW: 440 - 03/04/21 | #340;SW: 40 - 03/24/21</t>
  </si>
  <si>
    <t>Lowered min to $14.99. Increased target to 14. Scheduled at $19.99 a couple days</t>
  </si>
  <si>
    <t xml:space="preserve"> | #340;SW: 40 - 03/19/21 | #361;SW: 180 - 04/19/21</t>
  </si>
  <si>
    <t>Raised min to $16.95</t>
  </si>
  <si>
    <t xml:space="preserve"> | #340;SW: 40 - 03/19/21 | #361;SW: 180 - 04/06/21</t>
  </si>
  <si>
    <t xml:space="preserve"> | #340;SW: 40 - 03/19/21 | #361: 180 - 04/06/21</t>
  </si>
  <si>
    <t>#340;SW: 40 - 03/19/21 | #361: 180 - 04/20/21</t>
  </si>
  <si>
    <t>Raised min to $18.95. Removed target</t>
  </si>
  <si>
    <t xml:space="preserve"> | #394: 200 - 06/01/21</t>
  </si>
  <si>
    <t>Lowered min to $17.95. Added target of 14</t>
  </si>
  <si>
    <t xml:space="preserve"> | #394: 200 - 06/06/21</t>
  </si>
  <si>
    <t xml:space="preserve"> | #394: 200 - 06/04/21</t>
  </si>
  <si>
    <t>Lowered min to $16.95</t>
  </si>
  <si>
    <t xml:space="preserve"> | #394: 200 - 06/09/21</t>
  </si>
  <si>
    <t>Keeping moving because inventory has been in a while. Continue with Profit Peak</t>
  </si>
  <si>
    <t xml:space="preserve"> | #394: 200 - 06/09/21 | #406: 400 - 06/25/21</t>
  </si>
  <si>
    <t xml:space="preserve"> | #394: 200 - 06/12/21 | #406: 400 - 07/02/21</t>
  </si>
  <si>
    <t>Lowered min to $14.95</t>
  </si>
  <si>
    <t xml:space="preserve"> | #406: 400 - 07/07/21</t>
  </si>
  <si>
    <t>Raised min to $15.95</t>
  </si>
  <si>
    <t xml:space="preserve"> | #406: 400 - 07/09/21 | #415: 500 - 08/20/21</t>
  </si>
  <si>
    <t xml:space="preserve"> | #415: 500 - 08/20/21</t>
  </si>
  <si>
    <t>Raised min to $20.5</t>
  </si>
  <si>
    <t>No Transit, But 500 At Factory 50-75 days from Earliest Arrival</t>
  </si>
  <si>
    <t>PL-IFC-123Y15</t>
  </si>
  <si>
    <t>Raised min to $24.14</t>
  </si>
  <si>
    <t>Raised PP to $26.55 to $39.99. Removed target</t>
  </si>
  <si>
    <t>Lowered min to $16.95 and added target of 25</t>
  </si>
  <si>
    <t xml:space="preserve">:  -  #309;SW: 600 - 01/30/21 #333: 600 - 02/17/21 :  -  :  -  :  -  :  -  :  -  :  -  :  - :  -  :  -  :  -  :  -  :  -  :  -  :  -  :  -  :  - </t>
  </si>
  <si>
    <t>Scheduled at $19.99 for a few days</t>
  </si>
  <si>
    <t xml:space="preserve">:  -  #309;SW: 600 - 01/28/21 #333: 600 - 02/20/21 :  -  :  -  :  -  :  -  :  -  :  -  :  - :  -  :  -  :  -  :  -  :  -  :  -  :  -  :  -  :  - </t>
  </si>
  <si>
    <t>Turned mild PPC on</t>
  </si>
  <si>
    <t>#333: 600 - 02/20/21 | #335: 2200 - 03/12/21</t>
  </si>
  <si>
    <t>#333: 600 - 02/24/21 | #335;SW: 2200 - 03/16/21</t>
  </si>
  <si>
    <t>Raised min to $21.82</t>
  </si>
  <si>
    <t>#333: 600 - 03/21/21 | #335;SW: 2200 - 03/16/21 | #359;SW: 200 - 04/01/21</t>
  </si>
  <si>
    <t>Turned PPC off. Raised min to $23.99</t>
  </si>
  <si>
    <t>#333: 600 - 03/27/21 | #335;SW: 2200 - 03/25/21 | #359;SW: 200 - 04/01/21</t>
  </si>
  <si>
    <t>Raised min to $26.38</t>
  </si>
  <si>
    <t>#333: 600 - 04/07/21 | #335;SW: 2200 - 03/30/21 | #359;SW: 200 - 04/13/21</t>
  </si>
  <si>
    <t>Raised min to $29.01</t>
  </si>
  <si>
    <t>Raised min to $32.98</t>
  </si>
  <si>
    <t>#333: 600 - 04/07/21 | #335;SW: 2200 - 03/30/21 | #359;SW: 200 - 04/17/21</t>
  </si>
  <si>
    <t>#333: 600 - 04/08/21 | #335;SW: 2200 - 03/30/21 | #359;SW: 200 - 04/17/21</t>
  </si>
  <si>
    <t>Lowered min to $16.99. Increased target to 28</t>
  </si>
  <si>
    <t xml:space="preserve"> | #335;SW: 2200 - 03/30/21 | #359;SW: 200 - 04/17/21</t>
  </si>
  <si>
    <t>Scheduled at $19.99 for a few days. Turned PPC on</t>
  </si>
  <si>
    <t>#359;SW: 200 - 04/17/21</t>
  </si>
  <si>
    <t>Lowered bids, raised budget</t>
  </si>
  <si>
    <t xml:space="preserve"> | #408: 100 - 05/25/21</t>
  </si>
  <si>
    <t xml:space="preserve"> | #408: 100 - 06/10/21</t>
  </si>
  <si>
    <t>Lowered min to $16.99</t>
  </si>
  <si>
    <t xml:space="preserve"> | #408: 100 - 06/25/21 | #410: 100 - 07/02/21</t>
  </si>
  <si>
    <t xml:space="preserve"> | #408: 100 - 06/25/21 | #410: 100 - 07/02/21 | #413: 50 - 07/01/21</t>
  </si>
  <si>
    <t xml:space="preserve"> | #408: 100 - 06/24/21 | #410: 100 - 07/02/21 | #413: 50 - 07/02/21</t>
  </si>
  <si>
    <t xml:space="preserve"> | #408: 100 - 06/30/21 | #410: 100 - 07/02/21 | #413: 50 - 07/08/21</t>
  </si>
  <si>
    <t>Raised min to $19.91</t>
  </si>
  <si>
    <t xml:space="preserve"> | #408: 100 - 07/07/21 | #410: 100 - 07/02/21 | #413: 50 - 07/15/21</t>
  </si>
  <si>
    <t>Turned PPC off. Raised min to $22.31</t>
  </si>
  <si>
    <t xml:space="preserve"> | #408: 100 - 07/15/21 | #410: 100 - 07/07/21 | #413: 50 - 07/18/21</t>
  </si>
  <si>
    <t>#408: 100 - 07/15/21 | #410: 100 - 07/07/21 | #413: 50 - 07/18/21</t>
  </si>
  <si>
    <t>#408: 100 - 07/15/21 | #410: 100 - 07/09/21 | #413: 50 - 07/18/21 | #418: 900 - 08/20/21</t>
  </si>
  <si>
    <t>#408: 100 - 07/15/21 | #418: 900 - 08/20/21 | #413: 50 - 07/23/21</t>
  </si>
  <si>
    <t>No Transit, But 550 At Factory 50-75 days from Earliest Arrival</t>
  </si>
  <si>
    <t>PL-IFC-123Y15P</t>
  </si>
  <si>
    <t xml:space="preserve">:  -  :  -  #333: 246 - 02/17/21 :  -  :  -  :  -  :  -  :  -  :  -  :  - :  -  :  -  :  -  :  -  :  -  :  -  :  -  :  -  :  - </t>
  </si>
  <si>
    <t xml:space="preserve">:  -  :  -  #333: 246 - 02/20/21 :  -  #340;SW: 198 - 03/01/21 :  -  :  -  #336: 198 - 02/24/21 :  -  :  - :  -  :  -  :  -  :  -  :  -  :  -  :  -  :  -  :  - </t>
  </si>
  <si>
    <t>#333: 246 - 02/20/21 | #336: 198 - 02/27/21 | #335: 384 - 03/12/21</t>
  </si>
  <si>
    <t>#333: 246 - 02/24/21 | #336: 198 - 03/03/21 | #335;SW: 384 - 03/16/21</t>
  </si>
  <si>
    <t>#333: 246 - 03/21/21 | #336: 198 - 02/28/21 | #335;SW: 384 - 03/16/21 | #359;SW: 72 - 04/01/21</t>
  </si>
  <si>
    <t>#333: 246 - 03/27/21 | #335;SW: 384 - 03/25/21 | #359;SW: 72 - 04/01/21 | #336: 198 - 02/25/21</t>
  </si>
  <si>
    <t>#333: 246 - 04/07/21 | #335;SW: 384 - 03/30/21 | #359;SW: 72 - 04/13/21</t>
  </si>
  <si>
    <t>Lowered min to $17.5. Raised target to 7</t>
  </si>
  <si>
    <t>Raised min to $18.5</t>
  </si>
  <si>
    <t>Raised min to $21.85</t>
  </si>
  <si>
    <t>#333: 246 - 04/07/21 | #335;SW: 384 - 03/30/21 | #359;SW: 72 - 04/17/21</t>
  </si>
  <si>
    <t>#333: 246 - 04/08/21 | #335;SW: 384 - 03/30/21 | #359;SW: 72 - 04/17/21</t>
  </si>
  <si>
    <t xml:space="preserve"> | #335;SW: 384 - 03/30/21 | #359;SW: 72 - 04/17/21</t>
  </si>
  <si>
    <t>#359;SW: 72 - 04/17/21</t>
  </si>
  <si>
    <t>Raised min to $20.99</t>
  </si>
  <si>
    <t>Raised min to $21.99</t>
  </si>
  <si>
    <t xml:space="preserve"> | #395: 204 - 06/06/21</t>
  </si>
  <si>
    <t>Raised min to $22.99</t>
  </si>
  <si>
    <t xml:space="preserve"> | #395: 204 - 06/04/21 | #410: 300 - 07/02/21</t>
  </si>
  <si>
    <t xml:space="preserve"> | #395: 204 - 06/04/21 | #410: 180 - 07/02/21</t>
  </si>
  <si>
    <t>Goal is raising profit. Raised min to $23.55</t>
  </si>
  <si>
    <t xml:space="preserve"> | #395: 204 - 06/09/21 | #410: 180 - 07/02/21</t>
  </si>
  <si>
    <t xml:space="preserve"> | #395: 204 - 06/12/21 | #410: 180 - 07/02/21</t>
  </si>
  <si>
    <t>Increased target to 10</t>
  </si>
  <si>
    <t xml:space="preserve"> | #395: 204 - 06/08/21 | #410: 180 - 07/02/21</t>
  </si>
  <si>
    <t>Lowered min to $18.95. Scheduled at $19.99 a couple days</t>
  </si>
  <si>
    <t xml:space="preserve"> | #410: 180 - 07/07/21</t>
  </si>
  <si>
    <t>Lowered target to 7. Raised min to $19.95</t>
  </si>
  <si>
    <t xml:space="preserve"> | #410: 180 - 07/09/21</t>
  </si>
  <si>
    <t>Raised min to $23.3</t>
  </si>
  <si>
    <t>PL-IFC-123Y200</t>
  </si>
  <si>
    <t>Not in Profit Peak. Set to $149.99</t>
  </si>
  <si>
    <t>Turned on PP from $155.99 to $199.99 with target of 2</t>
  </si>
  <si>
    <t>Raised min to $171.99</t>
  </si>
  <si>
    <t xml:space="preserve"> | #341: 113 - 03/18/21</t>
  </si>
  <si>
    <t>Lowered min to $159.99</t>
  </si>
  <si>
    <t xml:space="preserve"> | #341;SW: 113 - 03/26/21</t>
  </si>
  <si>
    <t>Raised min to $173.99</t>
  </si>
  <si>
    <t xml:space="preserve"> | #341;SW: 113 - 03/27/21</t>
  </si>
  <si>
    <t>Raised min to $197.28</t>
  </si>
  <si>
    <t xml:space="preserve"> | #341;SW: 113 - 03/31/21</t>
  </si>
  <si>
    <t>Raised min to $221.68</t>
  </si>
  <si>
    <t>Raised min to $249.45</t>
  </si>
  <si>
    <t>Raised min to $253.99</t>
  </si>
  <si>
    <t>Lowered min to $157.95</t>
  </si>
  <si>
    <t>Lowered min to $249.95</t>
  </si>
  <si>
    <t>Lowered min to $245.95</t>
  </si>
  <si>
    <t>Raised min to $249.95</t>
  </si>
  <si>
    <t>Raised min to $259.95. Lowered target to 1</t>
  </si>
  <si>
    <t>PL-IFC-123Y25</t>
  </si>
  <si>
    <t>Raised min to $29.64</t>
  </si>
  <si>
    <t>Raised min to $29.99. Lowered target to 55</t>
  </si>
  <si>
    <t xml:space="preserve">#308;SW: 600 - 01/23/21 :  -  #333: 204 - 02/17/21 :  -  :  -  :  -  #334: 1200 - 03/01/21 :  -  :  -  :  - :  -  :  -  :  -  :  -  :  -  :  -  :  -  :  -  :  - </t>
  </si>
  <si>
    <t>Increased target to 56. Turned PPC on</t>
  </si>
  <si>
    <t xml:space="preserve">#308;SW: 600 - 01/23/21 :  -  #333: 204 - 02/20/21 :  -  :  -  :  -  #334: 1200 - 03/02/21 :  -  :  -  :  - :  -  :  -  :  -  :  -  :  -  :  -  :  -  :  -  :  - </t>
  </si>
  <si>
    <t>Optimized PPC</t>
  </si>
  <si>
    <t>#333: 204 - 02/20/21 | #334: 1200 - 03/19/21</t>
  </si>
  <si>
    <t>Raised min to $24.99</t>
  </si>
  <si>
    <t>#333: 204 - 02/24/21 | #334;SW: 1200 - 03/23/21</t>
  </si>
  <si>
    <t>Continue with Profit Peak. Updated targets</t>
  </si>
  <si>
    <t>#333: 204 - 03/21/21 | #334;SW: 1200 - 03/31/21 | #359;SW: 996 - 04/01/21 | #360: 246 - 04/10/21</t>
  </si>
  <si>
    <t>Optimum at 29, with velocity of 70, 23 DOH pausing ppc next arrival is more than 30 days out. Turned PPC on</t>
  </si>
  <si>
    <t>#333: 204 - 03/27/21 | #334;SW: 1200 - 04/06/21 | #359;SW: 996 - 04/01/21 | #360: 7381 - 04/10/21</t>
  </si>
  <si>
    <t>#333: 204 - 04/07/21 | #334;SW: 1200 - 04/17/21 | #359;SW: 996 - 04/13/21 | #360: 246 - 04/07/21</t>
  </si>
  <si>
    <t>Raised target from 56 to 77</t>
  </si>
  <si>
    <t>#333: 204 - 04/07/21 | #334;SW: 1200 - 04/17/21 | #359;SW: 996 - 04/13/21 | #360: 246 - 04/09/21</t>
  </si>
  <si>
    <t>Continue with Profit Peak (will try to increase velocity once new inventory hits)</t>
  </si>
  <si>
    <t>Turned PPC off. sold out</t>
  </si>
  <si>
    <t>#333: 204 - 04/07/21 | #334;SW: 1200 - 04/17/21 | #359;SW: 996 - 04/17/21 | #360: 246 - 04/06/21</t>
  </si>
  <si>
    <t>Lowered min to $22.95 and target to 68. Turned PPC on</t>
  </si>
  <si>
    <t>#333: 204 - 04/08/21 | #334;SW: 1200 - 04/18/21 | #359;SW: 996 - 04/17/21 | #360: 246 - 04/06/21</t>
  </si>
  <si>
    <t xml:space="preserve"> | #334;SW: 1200 - 04/18/21 | #359;SW: 996 - 04/17/21</t>
  </si>
  <si>
    <t xml:space="preserve">#359;SW: 996 - 04/17/21 | 204: 204 - </t>
  </si>
  <si>
    <t>Raised min $3 to $26.95</t>
  </si>
  <si>
    <t xml:space="preserve"> | #395: 204 - 06/08/21 | #408: 204 - 05/25/21</t>
  </si>
  <si>
    <t xml:space="preserve"> | #395: 204 - 06/06/21 | #408: 204 - 06/10/21</t>
  </si>
  <si>
    <t xml:space="preserve"> | #395: 204 - 06/04/21 | #408: 204 - 06/25/21 | #413: 3774 - 07/01/21</t>
  </si>
  <si>
    <t xml:space="preserve"> | #395: 204 - 06/04/21 | #408: 204 - 06/25/21 | #413: 1800 - 07/01/21</t>
  </si>
  <si>
    <t>Goal is raising profit. Turned PPC off</t>
  </si>
  <si>
    <t xml:space="preserve"> | #395: 204 - 06/09/21 | #408: 204 - 06/24/21 | #413: 1800 - 07/02/21 | #414: 1974 - 07/08/21</t>
  </si>
  <si>
    <t xml:space="preserve"> | #395: 204 - 06/12/21 | #408: 204 - 06/30/21 | #413: 1800 - 07/08/21 | #414: 1974 - 07/08/21</t>
  </si>
  <si>
    <t>Slowing down so we don't run out. Raised min to $27.95</t>
  </si>
  <si>
    <t xml:space="preserve"> | #395: 204 - 06/08/21 | #408: 204 - 07/07/21 | #413: 1800 - 07/15/21 | #414: 1974 - 07/08/21</t>
  </si>
  <si>
    <t xml:space="preserve"> | #408: 204 - 07/15/21 | #413: 1800 - 07/18/21 | #414: 1974 - 08/01/21</t>
  </si>
  <si>
    <t>Raised min to $29.95. Lowered target to 30</t>
  </si>
  <si>
    <t>#408: 204 - 07/15/21 | #413: 1800 - 07/18/21 | #414: 660 - 08/01/21</t>
  </si>
  <si>
    <t>Increased target to 33. Scheduled at $29.99 a couple days</t>
  </si>
  <si>
    <t>#408: 204 - 07/15/21 | #413: 1800 - 07/18/21 | #414: 660 - 08/01/21 | #417: 2400 - 08/01/21 | #415: 690 - 08/20/21</t>
  </si>
  <si>
    <t>Increased target to 36. Lowered min to $26.95</t>
  </si>
  <si>
    <t>#408: 204 - 07/15/21 | #414: 660 - 08/01/21 | #417: 2400 - 08/01/21 | #415: 690 - 08/20/21 | #413: 1800 - 07/23/21</t>
  </si>
  <si>
    <t>| 408  - 204 units 07/19| 413  - 1800 units 07/26| 414  - 660 units 08/02</t>
  </si>
  <si>
    <t>PL-IFC-123Y25P</t>
  </si>
  <si>
    <t>Not in Profit Peak. Set to $21.99</t>
  </si>
  <si>
    <t>#308: 198 - 01/23/21</t>
  </si>
  <si>
    <t>Turned on PP from $24.18 to $39.99 with target of 5</t>
  </si>
  <si>
    <t>Raised min to $35.32</t>
  </si>
  <si>
    <t xml:space="preserve">#308;SW: 198 - 01/23/21 :  -  :  -  :  -  :  -  :  -  #334: 72 - 03/01/21 :  -  :  -  :  - :  -  :  -  :  -  :  -  :  -  :  -  :  -  :  -  :  - </t>
  </si>
  <si>
    <t>Raised PP to $39.77 to $49.99</t>
  </si>
  <si>
    <t xml:space="preserve">#308;SW: 198 - 01/23/21 :  -  :  -  :  -  :  -  :  -  #334: 72 - 03/02/21 :  -  :  -  :  - :  -  :  -  :  -  :  -  :  -  :  -  :  -  :  -  :  - </t>
  </si>
  <si>
    <t>Lowered min to $35.32</t>
  </si>
  <si>
    <t xml:space="preserve"> | #334: 72 - 03/19/21</t>
  </si>
  <si>
    <t xml:space="preserve"> | #334;SW: 72 - 03/23/21</t>
  </si>
  <si>
    <t>Raised min to $43.98. Removed target of 5</t>
  </si>
  <si>
    <t xml:space="preserve"> | #334;SW: 72 - 03/31/21</t>
  </si>
  <si>
    <t>Raised min to $48.37</t>
  </si>
  <si>
    <t xml:space="preserve"> | #334;SW: 72 - 04/06/21</t>
  </si>
  <si>
    <t>Raised min to $53.2</t>
  </si>
  <si>
    <t xml:space="preserve"> | #334;SW: 72 - 04/17/21</t>
  </si>
  <si>
    <t>Lowered min to $50.95. Added target of 16</t>
  </si>
  <si>
    <t>Raised min to $58.52</t>
  </si>
  <si>
    <t>Lowered min to $56.95</t>
  </si>
  <si>
    <t xml:space="preserve"> | #334;SW: 72 - 04/18/21</t>
  </si>
  <si>
    <t>Raised min to $57.99</t>
  </si>
  <si>
    <t xml:space="preserve"> | #394: 1002 - 06/01/21</t>
  </si>
  <si>
    <t xml:space="preserve"> | #394: 1002 - 06/06/21</t>
  </si>
  <si>
    <t xml:space="preserve"> | #394: 1002 - 06/04/21</t>
  </si>
  <si>
    <t xml:space="preserve"> | #394: 1002 - 06/09/21</t>
  </si>
  <si>
    <t>Lowered min to $60.95</t>
  </si>
  <si>
    <t xml:space="preserve"> | #394: 1002 - 06/12/21</t>
  </si>
  <si>
    <t>Lowered min to $23.5. Scheduled at $29.99 for a couple days</t>
  </si>
  <si>
    <t>Updated blended landed cost. Turned PPC on</t>
  </si>
  <si>
    <t xml:space="preserve"> | #418: 480 - 08/20/21</t>
  </si>
  <si>
    <t>Raised min to $27.5</t>
  </si>
  <si>
    <t>| 418  - 480 units 09/03</t>
  </si>
  <si>
    <t>PL-IFC-123Y25P-2PK</t>
  </si>
  <si>
    <t>Maintain, till this gets added to parent sku</t>
  </si>
  <si>
    <t>Turned on Profit Peak from $45.95 with target of 1. Turned PPC on</t>
  </si>
  <si>
    <t>Raised min to $51.57. Removed target of 1</t>
  </si>
  <si>
    <t>Raised min to $51.95</t>
  </si>
  <si>
    <t>Added target of 1</t>
  </si>
  <si>
    <t>Improving sell through. Increased target to 2. Lowered min to $47.95. Scheduled at $49.99 a few days</t>
  </si>
  <si>
    <t>Goal is clearing inventory within 90 days. Turned mild PPC on</t>
  </si>
  <si>
    <t>Lowered min to $45.95. Trimmed PPC for wasted spend</t>
  </si>
  <si>
    <t>Reducing DOH, lowered min to $39.95. Scheduled at $39.99 for a couple days. Raised PPC</t>
  </si>
  <si>
    <t>PL-IFC-123Y25-PK2</t>
  </si>
  <si>
    <t>Raised PP to $58.33 to $69.99</t>
  </si>
  <si>
    <t>Raised min to $64.16</t>
  </si>
  <si>
    <t>Lowered PP to $33.99 to $59.99 with target of 7</t>
  </si>
  <si>
    <t xml:space="preserve">#308;SW: 348 - 01/23/21 :  -  :  -  :  -  :  -  :  -  :  -  :  -  :  -  :  - :  -  :  -  :  -  :  -  :  -  :  -  :  -  :  -  :  - </t>
  </si>
  <si>
    <t>Raised min to $46.99. Lowered target to 6</t>
  </si>
  <si>
    <t>Raised min to $54.14</t>
  </si>
  <si>
    <t xml:space="preserve"> | #359;SW: 200 - 04/01/21</t>
  </si>
  <si>
    <t>Raised target to 9</t>
  </si>
  <si>
    <t xml:space="preserve"> | #359;SW: 200 - 04/13/21</t>
  </si>
  <si>
    <t xml:space="preserve"> | #359;SW: 200 - 04/17/21</t>
  </si>
  <si>
    <t>Lowered min to $37.99. Increased target to 11. Scheduled at $49.99 a couple days</t>
  </si>
  <si>
    <t>Raised min to $46.6</t>
  </si>
  <si>
    <t>Raised min to $51.26. Removed target</t>
  </si>
  <si>
    <t>Raised min to $56.39</t>
  </si>
  <si>
    <t>Lowered min to $51.26. Added target of 11</t>
  </si>
  <si>
    <t>Lowered min to $47.95. Scheduled at $49.99 a few days</t>
  </si>
  <si>
    <t>Goal is raising profit. Raised min to $51.95. Raised min to $53.95</t>
  </si>
  <si>
    <t>Lowered min to $52.95</t>
  </si>
  <si>
    <t>Continue with Profit Peak, inventory set to run out over 90 days after hitting</t>
  </si>
  <si>
    <t>Raised min to $58.24</t>
  </si>
  <si>
    <t>Selling OS inventory first. Continue with Profit Peak</t>
  </si>
  <si>
    <t xml:space="preserve"> | #417: 300 - 08/01/21 | #418: 152 - 08/20/21 | #415: 150 - 08/20/21</t>
  </si>
  <si>
    <t>Raised min to $60.95</t>
  </si>
  <si>
    <t>| 417  - 300 units 08/14| 415  - 150 units 08/21| 418  - 152 units 09/03</t>
  </si>
  <si>
    <t>PL-IFC-123Y2P</t>
  </si>
  <si>
    <t>sold out, can't close</t>
  </si>
  <si>
    <t>#302;SW: 288 - 01/07/21</t>
  </si>
  <si>
    <t>Lowered min to $10.99. Added target of 5. Turned mild PPC on</t>
  </si>
  <si>
    <t xml:space="preserve">:  -  :  -  :  -  :  -  #340;SW: 720 - 03/01/21 :  -  :  -  #336: 528 - 02/24/21 :  -  :  - :  -  :  -  :  -  :  -  :  -  :  -  :  -  :  -  :  - </t>
  </si>
  <si>
    <t>Raised min to $12.99. Trimmed PPC</t>
  </si>
  <si>
    <t xml:space="preserve"> | #340;SW: 720 - 03/12/21 | #336: 528 - 02/27/21</t>
  </si>
  <si>
    <t xml:space="preserve"> | #340;SW: 720 - 03/24/21 | #336: 528 - 03/03/21</t>
  </si>
  <si>
    <t xml:space="preserve"> | #340;SW: 720 - 03/23/21 | #336: 528 - 02/28/21 | #360: 240 - 04/10/21</t>
  </si>
  <si>
    <t>Turned PPC off. Raised min to $15.27. Removed target</t>
  </si>
  <si>
    <t xml:space="preserve"> | #340;SW: 720 - 03/23/21 | #361;SW: 1296 - 04/10/21 | #336: 528 - 02/25/21</t>
  </si>
  <si>
    <t xml:space="preserve"> | #340;SW: 720 - 03/24/21 | #361;SW: 120 - 04/17/21</t>
  </si>
  <si>
    <t>Lowered min to $11.5. Added target of 9. Turned PPC on</t>
  </si>
  <si>
    <t xml:space="preserve"> | #340;SW: 720 - 03/19/21 | #361;SW: 120 - 04/19/21</t>
  </si>
  <si>
    <t>Raised min to $12.99</t>
  </si>
  <si>
    <t xml:space="preserve"> | #340;SW: 720 - 03/19/21 | #361;SW: 120 - 04/06/21</t>
  </si>
  <si>
    <t xml:space="preserve"> | #340;SW: 720 - 03/19/21 | #361: 120 - 04/06/21</t>
  </si>
  <si>
    <t>Continue with Profit Peak till more inventory hits</t>
  </si>
  <si>
    <t>#340;SW: 720 - 03/19/21 | #361: 120 - 04/20/21</t>
  </si>
  <si>
    <t>Raised min to $14.28. Removed target</t>
  </si>
  <si>
    <t xml:space="preserve"> | 312: 312 - </t>
  </si>
  <si>
    <t>Lowered min to $10.99. Increased target of 14. Scheduled at $10.99 a couple days</t>
  </si>
  <si>
    <t xml:space="preserve"> | #395: 312 - 06/08/21</t>
  </si>
  <si>
    <t xml:space="preserve"> | #395: 312 - 06/06/21</t>
  </si>
  <si>
    <t>Raised min to $11.5</t>
  </si>
  <si>
    <t xml:space="preserve"> | #395: 312 - 06/04/21 | #410: 912 - 07/02/21</t>
  </si>
  <si>
    <t>Lowered min to $10.95. Increased target to 16</t>
  </si>
  <si>
    <t>Goal is raising profit. Raised min to $11.99</t>
  </si>
  <si>
    <t xml:space="preserve"> | #395: 312 - 06/09/21 | #410: 912 - 07/02/21</t>
  </si>
  <si>
    <t>Raised min to $12.5</t>
  </si>
  <si>
    <t xml:space="preserve"> | #395: 312 - 06/12/21 | #410: 912 - 07/02/21</t>
  </si>
  <si>
    <t>Goal is raising profit. Lowered min to $11.99</t>
  </si>
  <si>
    <t xml:space="preserve"> | #395: 312 - 06/08/21 | #410: 912 - 07/02/21</t>
  </si>
  <si>
    <t>Lowered min to $10.95 and target to 14 to improve profit/velocity</t>
  </si>
  <si>
    <t xml:space="preserve"> | #410: 912 - 07/07/21</t>
  </si>
  <si>
    <t>Raised target to 15. Turned PPC on</t>
  </si>
  <si>
    <t>Raised PPC. Lowered min to $9.95</t>
  </si>
  <si>
    <t xml:space="preserve"> | #410: 912 - 07/09/21</t>
  </si>
  <si>
    <t>Lowered min to $9.95. Increased target to 17</t>
  </si>
  <si>
    <t>| 410  - 912 units 07/20| S210711-STAR STAR - 1008 units 11/01</t>
  </si>
  <si>
    <t>PL-IFC-123Y2P-2PK</t>
  </si>
  <si>
    <t>#302;SW: 80 - 01/07/21</t>
  </si>
  <si>
    <t>Lowered min to $15.95. Added target of 2</t>
  </si>
  <si>
    <t xml:space="preserve">:  -  :  -  :  -  :  -  #340;SW;SW: 1200 - 02/24/21 :  -  :  -  #336: 120 - 02/24/21 :  -  :  - :  -  :  -  :  -  :  -  :  -  :  -  :  -  :  -  :  - </t>
  </si>
  <si>
    <t xml:space="preserve"> | #340;SW: 900 - 02/24/21 | #336: 120 - 02/27/21</t>
  </si>
  <si>
    <t>Raised min to $18.88</t>
  </si>
  <si>
    <t xml:space="preserve"> | #340;SW: 900 - 03/24/21 | #336: 120 - 03/03/21</t>
  </si>
  <si>
    <t>Inactive (Out of Stock)</t>
  </si>
  <si>
    <t xml:space="preserve"> | #340;SW: 900 - 03/23/21 | #336: 120 - 02/28/21</t>
  </si>
  <si>
    <t xml:space="preserve"> | #340;SW: 900 - 03/23/21 | #336: 120 - 02/25/21</t>
  </si>
  <si>
    <t xml:space="preserve"> | #340;SW: 900 - 03/24/21</t>
  </si>
  <si>
    <t>Lowered min to $14.99. Added target of 3</t>
  </si>
  <si>
    <t xml:space="preserve"> | #340;SW: 900 - 03/19/21</t>
  </si>
  <si>
    <t>Scheduled at $22.99 for a few days</t>
  </si>
  <si>
    <t>Increased target to 4. Scheduled at $19.99 a couple days</t>
  </si>
  <si>
    <t>#340;SW: 900 - 03/19/21</t>
  </si>
  <si>
    <t>Lowered max to $19.99</t>
  </si>
  <si>
    <t>Increased target to 5 to see if that improves profit'</t>
  </si>
  <si>
    <t>35 DOH. Raised min to $16.48</t>
  </si>
  <si>
    <t>Continue with Profit Peak, plenty in US storage</t>
  </si>
  <si>
    <t>Lowered min to $15.95 and target to 4</t>
  </si>
  <si>
    <t>Raised min to $17.8</t>
  </si>
  <si>
    <t>PL-IFC-123Y3GFCI</t>
  </si>
  <si>
    <t>Raised min to $35.14. Removed target</t>
  </si>
  <si>
    <t>Turned PP on from $23.99 to $39.99 with target of 29. Turned PPC on</t>
  </si>
  <si>
    <t xml:space="preserve">:  -  :  -  :  -  :  -  #340;SW: 1600 - 03/01/21 :  -  :  -  #336: 400 - 02/24/21 :  -  :  - :  -  :  -  :  -  :  -  :  -  :  -  :  -  :  -  :  - </t>
  </si>
  <si>
    <t>Turned PPC on. Lowered max to $29.99</t>
  </si>
  <si>
    <t xml:space="preserve"> | #340;SW: 1600 - 03/12/21 | #336: 400 - 02/27/21</t>
  </si>
  <si>
    <t xml:space="preserve"> | #340;SW: 1600 - 03/24/21 | #336: 400 - 03/03/21</t>
  </si>
  <si>
    <t xml:space="preserve"> | #340;SW: 1600 - 03/23/21 | #336: 400 - 02/28/21</t>
  </si>
  <si>
    <t xml:space="preserve"> | #340;SW: 1600 - 03/23/21 | #336: 400 - 02/25/21</t>
  </si>
  <si>
    <t xml:space="preserve"> | #340;SW: 1600 - 03/24/21</t>
  </si>
  <si>
    <t xml:space="preserve"> | #340;SW: 1600 - 03/19/21</t>
  </si>
  <si>
    <t>Turned PPC back on</t>
  </si>
  <si>
    <t>#340;SW: 1600 - 03/19/21</t>
  </si>
  <si>
    <t>Profit Peak not working. Per Bryan, manually raised price to $24.99. Profit Peak working again. Set min to $24.99. Turned PPC off</t>
  </si>
  <si>
    <t xml:space="preserve"> | #392: 880 - 06/01/21</t>
  </si>
  <si>
    <t>Turned PPC off. Raised min to $27.95</t>
  </si>
  <si>
    <t>Lowered min to $24.99. Increased target to 36. Scheduled at $27.99</t>
  </si>
  <si>
    <t>#392: 880 - 05/30/21 | #410: 1000 - 07/02/21</t>
  </si>
  <si>
    <t>#392: 880 - 06/09/21 | #410: 1000 - 07/02/21</t>
  </si>
  <si>
    <t>Goal is clearing inventory in 90 days. Raised PPC</t>
  </si>
  <si>
    <t>Raised min to $24.95. Trimmed PPC</t>
  </si>
  <si>
    <t>Lowered target to 30, switched defensive campaign back on</t>
  </si>
  <si>
    <t>#392: 880 - 06/11/21 | #410: 1000 - 07/02/21</t>
  </si>
  <si>
    <t>#392: 880 - 06/20/21 | #410: 1000 - 07/07/21</t>
  </si>
  <si>
    <t>Updated blended landed cost</t>
  </si>
  <si>
    <t xml:space="preserve"> | #410: 1000 - 07/07/21</t>
  </si>
  <si>
    <t xml:space="preserve"> | #410: 1000 - 07/09/21</t>
  </si>
  <si>
    <t>No Transit, But 3000 At Factory 50-75 days from Earliest Arrival</t>
  </si>
  <si>
    <t>PL-IFC-123Y3GFCI-BK</t>
  </si>
  <si>
    <t>PL-IFC-123Y3GFCI-SO</t>
  </si>
  <si>
    <t xml:space="preserve">
#309: 140 - 01/27/21</t>
  </si>
  <si>
    <t xml:space="preserve"> #309: 140 - 01/30/21</t>
  </si>
  <si>
    <t xml:space="preserve">:  -  #309;SW: 140 - 01/30/21 :  -  :  -  :  -  :  -  :  -  :  -  :  -  :  - :  -  :  -  :  -  :  -  :  -  :  -  :  -  :  -  :  - </t>
  </si>
  <si>
    <t xml:space="preserve">:  -  #309;SW: 140 - 01/28/21 :  -  :  -  #340;SW;SW: 280 - 02/24/21 :  -  :  -  #336: 180 - 02/24/21 :  -  :  - :  -  :  -  :  -  :  -  :  -  :  -  :  -  :  -  :  - </t>
  </si>
  <si>
    <t>Not in Profit Peak. Set to $22.99</t>
  </si>
  <si>
    <t xml:space="preserve"> | #340;SW: 280 - 02/24/21 | #336: 180 - 02/27/21</t>
  </si>
  <si>
    <t>Turned on PP from $22.99 to $29.99 with target of 4</t>
  </si>
  <si>
    <t xml:space="preserve"> | #340;SW: 280 - 03/24/21 | #336: 180 - 03/03/21</t>
  </si>
  <si>
    <t xml:space="preserve"> | #340;SW: 280 - 03/23/21 | #336: 180 - 02/28/21</t>
  </si>
  <si>
    <t>Raised min to $30.74. Removed target</t>
  </si>
  <si>
    <t xml:space="preserve"> | #340;SW: 280 - 03/23/21 | #336: 180 - 02/25/21</t>
  </si>
  <si>
    <t>Lowered min to $21.99. Increased target to 5</t>
  </si>
  <si>
    <t xml:space="preserve"> | #340;SW: 280 - 03/24/21</t>
  </si>
  <si>
    <t>Scheduled at $21.99 for a few days</t>
  </si>
  <si>
    <t xml:space="preserve"> | #340;SW: 280 - 03/19/21</t>
  </si>
  <si>
    <t>#340;SW: 280 - 03/19/21</t>
  </si>
  <si>
    <t>Per Bryan, raised min to $24.97</t>
  </si>
  <si>
    <t xml:space="preserve"> | #410: 400 - 07/02/21</t>
  </si>
  <si>
    <t xml:space="preserve"> | #410: 340 - 07/02/21</t>
  </si>
  <si>
    <t>Improving velocity / profit. Lowered min to $24.95</t>
  </si>
  <si>
    <t>Goal is selling out within 90 days of inventory hitting. Continue with Profit peak</t>
  </si>
  <si>
    <t xml:space="preserve"> | #410: 340 - 07/07/21</t>
  </si>
  <si>
    <t>Moved up start dates</t>
  </si>
  <si>
    <t xml:space="preserve"> | #410: 340 - 07/09/21</t>
  </si>
  <si>
    <t>**No Inventory In The Works**</t>
  </si>
  <si>
    <t>PL-IFC-123Y50</t>
  </si>
  <si>
    <t>Lowered min to $34.99 and target to 13</t>
  </si>
  <si>
    <t xml:space="preserve">:  -  :  -  :  -  :  -  :  -  #337;SW: 102 - 03/01/21 #334: 492 - 03/01/21 :  -  :  -  :  - :  -  :  -  :  -  :  -  :  -  :  -  :  -  :  -  :  - </t>
  </si>
  <si>
    <t>Raised PP to $43.94 to $59.99. Removed target</t>
  </si>
  <si>
    <t xml:space="preserve">:  -  :  -  :  -  :  -  :  -  #337;SW: 102 - 02/24/21 #334: 492 - 03/02/21 :  -  :  -  :  - :  -  :  -  :  -  :  -  :  -  :  -  :  -  :  -  :  - </t>
  </si>
  <si>
    <t>Lowered min to $39.95. Added target of 14</t>
  </si>
  <si>
    <t xml:space="preserve"> | #337;SW: 102 - 03/12/21 | #334: 492 - 03/19/21 | #338: 102 - 03/18/21</t>
  </si>
  <si>
    <t xml:space="preserve"> | #337;SW: 102 - 03/20/21 | #334;SW: 492 - 03/23/21 | #338;SW: 102 - 03/26/21</t>
  </si>
  <si>
    <t xml:space="preserve"> | #337;SW: 102 - 03/14/21 | #334;SW: 492 - 03/31/21 | #338;SW: 102 - 03/27/21 | #359;SW: 12 - 04/01/21</t>
  </si>
  <si>
    <t xml:space="preserve"> | #337;SW: 102 - 03/14/21 | #334;SW: 492 - 04/06/21 | #338;SW: 102 - 03/31/21 | #359;SW: 12 - 04/01/21</t>
  </si>
  <si>
    <t>Increased target to 22</t>
  </si>
  <si>
    <t xml:space="preserve"> | #337;SW: 102 - 03/09/21 | #334;SW: 492 - 04/17/21 | #338;SW: 102 - 03/31/21</t>
  </si>
  <si>
    <t xml:space="preserve"> | #334;SW: 492 - 04/17/21 | #338;SW: 102 - 03/31/21</t>
  </si>
  <si>
    <t>Raised min slightly to $39.99</t>
  </si>
  <si>
    <t xml:space="preserve"> | #334;SW: 492 - 04/18/21 | #338;SW: 102 - 03/31/21</t>
  </si>
  <si>
    <t xml:space="preserve"> | #394: 402 - 06/01/21</t>
  </si>
  <si>
    <t xml:space="preserve"> | #394: 402 - 06/01/21 | #408: 804 - 05/25/21</t>
  </si>
  <si>
    <t xml:space="preserve"> | #394: 402 - 06/06/21 | #408: 804 - 06/10/21</t>
  </si>
  <si>
    <t>Raised min to $42.5</t>
  </si>
  <si>
    <t xml:space="preserve"> | #394: 402 - 06/04/21 | #408: 804 - 06/25/21</t>
  </si>
  <si>
    <t xml:space="preserve"> | #394: 402 - 06/04/21 | #408: 804 - 06/25/21 | #413: 124 - 07/01/21</t>
  </si>
  <si>
    <t xml:space="preserve"> | #394: 402 - 06/09/21 | #408: 804 - 06/25/21 | #413: 124 - 07/01/21</t>
  </si>
  <si>
    <t>Increasing profit. Raised min to $46.75</t>
  </si>
  <si>
    <t xml:space="preserve"> | #394: 402 - 06/09/21 | #408: 804 - 06/24/21 | #413: 124 - 07/02/21</t>
  </si>
  <si>
    <t xml:space="preserve"> | #394: 402 - 06/12/21 | #408: 804 - 06/30/21 | #413: 124 - 07/08/21</t>
  </si>
  <si>
    <t xml:space="preserve"> | #394: 402 - 06/12/21 | #408: 804 - 07/07/21 | #413: 124 - 07/15/21</t>
  </si>
  <si>
    <t>Lowered min to $39.95 and target to 17. Scheduled at $40.99</t>
  </si>
  <si>
    <t xml:space="preserve"> | #408: 804 - 07/15/21 | #413: 124 - 07/18/21</t>
  </si>
  <si>
    <t>Raised min to $44.5</t>
  </si>
  <si>
    <t>#408: 804 - 07/15/21 | #413: 124 - 07/18/21</t>
  </si>
  <si>
    <t>#408: 804 - 07/15/21 | #413: 124 - 07/18/21 | #417: 400 - 08/01/21 | #418: 140 - 08/20/21</t>
  </si>
  <si>
    <t>#408: 804 - 07/15/21 | #417: 400 - 08/01/21 | #418: 140 - 08/20/21 | #413: 112 - 07/23/21</t>
  </si>
  <si>
    <t>| 408  - 804 units 07/19| 413  - 124 units 07/26| 417  - 400 units 08/14| 418  - 140 units 09/03| S210711-STAR STAR - 300 units 11/01</t>
  </si>
  <si>
    <t>PL-IFC-123Y50P</t>
  </si>
  <si>
    <t>Raised min to $58.99</t>
  </si>
  <si>
    <t>Lowered min to $55.99</t>
  </si>
  <si>
    <t xml:space="preserve">:  -  :  -  #333: 32 - 02/17/21 :  -  :  -  :  -  #334: 1068 - 03/01/21 :  -  :  -  :  - :  -  :  -  :  -  :  -  :  -  :  -  :  -  :  -  :  - </t>
  </si>
  <si>
    <t>Raised min to $58.99. Lowered min to 3</t>
  </si>
  <si>
    <t xml:space="preserve">:  -  :  -  #333: 32 - 02/20/21 :  -  #340;SW: 100 - 03/01/21 :  -  #334: 1068 - 03/02/21 :  -  :  -  :  - :  -  :  -  :  -  :  -  :  -  :  -  :  -  :  -  :  - </t>
  </si>
  <si>
    <t>#333: 32 - 02/20/21 | #340;SW: 100 - 03/12/21 | #334: 1068 - 03/19/21 | #338: 300 - 03/18/21</t>
  </si>
  <si>
    <t>Lowered min to $35.99. Increased target to 7. Scheduled at $49.99 for a couple days</t>
  </si>
  <si>
    <t>#333: 32 - 02/24/21 | #340;SW: 100 - 03/24/21 | #334;SW: 1068 - 03/23/21 | #338;SW: 300 - 03/26/21</t>
  </si>
  <si>
    <t>#333: 32 - 03/21/21 | #340;SW: 100 - 03/23/21 | #334;SW: 1068 - 03/31/21 | #338;SW: 300 - 03/27/21</t>
  </si>
  <si>
    <t>Raised min to $49.1</t>
  </si>
  <si>
    <t>#333: 32 - 03/27/21 | #340;SW: 100 - 03/23/21 | #334;SW: 1068 - 04/06/21 | #338;SW: 300 - 03/31/21</t>
  </si>
  <si>
    <t>Raised min to $54.01</t>
  </si>
  <si>
    <t>#333: 32 - 04/07/21 | #340;SW: 100 - 03/24/21 | #334;SW: 1068 - 04/17/21 | #338;SW: 300 - 03/31/21</t>
  </si>
  <si>
    <t>#333: 32 - 04/07/21 | #340;SW: 100 - 03/19/21 | #334;SW: 1068 - 04/17/21 | #338;SW: 300 - 03/31/21</t>
  </si>
  <si>
    <t>Lowered min to $35.99. Increased target to 9. Scheduled at $49.99 a couple days</t>
  </si>
  <si>
    <t>Raised min to $47.99</t>
  </si>
  <si>
    <t>#333: 32 - 04/08/21 | #340;SW: 100 - 03/19/21 | #334;SW: 1068 - 04/18/21 | #338;SW: 300 - 03/31/21</t>
  </si>
  <si>
    <t>Scheduled at $39.99 a couple days</t>
  </si>
  <si>
    <t>#340;SW: 100 - 03/19/21 | #334;SW: 1068 - 04/18/21 | #338;SW: 300 - 03/31/21</t>
  </si>
  <si>
    <t xml:space="preserve"> | #393: 240 - 06/01/21</t>
  </si>
  <si>
    <t>sold out. Raised min to $39.95</t>
  </si>
  <si>
    <t>Raised min to $41.95. Lowered target to 4</t>
  </si>
  <si>
    <t xml:space="preserve"> | #393: 230 - 06/01/21 | #394: 10 - 06/06/21</t>
  </si>
  <si>
    <t>Raised min to $42.95</t>
  </si>
  <si>
    <t xml:space="preserve"> | #393: 230 - 05/30/21 | #394: 10 - 06/04/21</t>
  </si>
  <si>
    <t xml:space="preserve"> | #393: 230 - 05/30/21 | #394: 10 - 06/09/21</t>
  </si>
  <si>
    <t>Increasing profit. Raised min to $47.95</t>
  </si>
  <si>
    <t xml:space="preserve"> | #393: 230 - 06/09/21 | #394: 10 - 06/09/21</t>
  </si>
  <si>
    <t>Lowered min to $42.95</t>
  </si>
  <si>
    <t xml:space="preserve"> | #393: 230 - 06/09/21 | #394: 10 - 06/12/21</t>
  </si>
  <si>
    <t>Reducing DOH, raised target to 6. Lowered min to $41.95. Turned PPC on</t>
  </si>
  <si>
    <t xml:space="preserve"> | #393: 230 - 06/10/21 | #394: 10 - 06/12/21</t>
  </si>
  <si>
    <t>Plenty in storage. Lowered min to $41.95. Increased target to 10</t>
  </si>
  <si>
    <t>Raised min to $47.31</t>
  </si>
  <si>
    <t>Raised min to $47.95</t>
  </si>
  <si>
    <t>No Transit or Factory Storage, 800 In Production 60-100 days from Earliest Arrival</t>
  </si>
  <si>
    <t>PL-IFC-123Y50-PK2</t>
  </si>
  <si>
    <t>Raised min to $75.95</t>
  </si>
  <si>
    <t>Raised min to $83.94</t>
  </si>
  <si>
    <t xml:space="preserve">:  -  :  -  #333: 162 - 02/17/21 :  -  :  -  #337;SW: 100 - 03/01/21 :  -  :  -  :  -  :  - :  -  :  -  :  -  :  -  :  -  :  -  :  -  :  -  :  - </t>
  </si>
  <si>
    <t xml:space="preserve">:  -  :  -  #333: 162 - 02/20/21 :  -  #340;SW: 300 - 03/01/21 #337;SW: 100 - 02/24/21 :  -  :  -  :  -  :  - :  -  :  -  :  -  :  -  :  -  :  -  :  -  :  -  :  - </t>
  </si>
  <si>
    <t>#333: 162 - 02/20/21 | #340;SW: 100 - 03/12/21 | #337;SW: 100 - 03/12/21 | #335: 300 - 03/12/21</t>
  </si>
  <si>
    <t>Raised min to $81.95.Lowered target to 7</t>
  </si>
  <si>
    <t>#333: 162 - 02/24/21 | #340;SW: 100 - 03/24/21 | #337;SW: 100 - 03/20/21 | #335;SW: 300 - 03/16/21</t>
  </si>
  <si>
    <t>#333: 162 - 03/21/21 | #340;SW: 100 - 03/23/21 | #337;SW: 100 - 03/14/21 | #335;SW: 300 - 03/16/21 | #359;SW: 138 - 04/01/21</t>
  </si>
  <si>
    <t>Raised min to $99.99. Removed target</t>
  </si>
  <si>
    <t>#333: 162 - 03/27/21 | #340;SW: 100 - 03/23/21 | #337;SW: 100 - 03/14/21 | #335;SW: 300 - 03/25/21 | #359;SW: 138 - 04/01/21</t>
  </si>
  <si>
    <t>#333: 162 - 04/07/21 | #340;SW: 100 - 03/24/21 | #337;SW: 100 - 03/09/21 | #335;SW: 300 - 03/30/21 | #359;SW: 138 - 04/13/21</t>
  </si>
  <si>
    <t>#333: 162 - 04/07/21 | #340;SW: 100 - 03/19/21 | #335;SW: 300 - 03/30/21 | #359;SW: 138 - 04/13/21</t>
  </si>
  <si>
    <t>Lowered min to $65.99. Added target of 8. Scheduled at $89.99 for a few days</t>
  </si>
  <si>
    <t>Scheduled at $79.99 for a few days to get back up to speed (hijackers have been dealt with)</t>
  </si>
  <si>
    <t>#333: 162 - 04/07/21 | #340;SW: 100 - 03/19/21 | #335;SW: 300 - 03/30/21 | #359;SW: 138 - 04/17/21</t>
  </si>
  <si>
    <t>#333: 162 - 04/08/21 | #340;SW: 100 - 03/19/21 | #335;SW: 300 - 03/30/21 | #359;SW: 138 - 04/17/21</t>
  </si>
  <si>
    <t>#340;SW: 100 - 03/19/21 | #335;SW: 300 - 03/30/21 | #359;SW: 138 - 04/17/21</t>
  </si>
  <si>
    <t>#359;SW: 138 - 04/17/21</t>
  </si>
  <si>
    <t>Raised min to $73.95</t>
  </si>
  <si>
    <t>Raised min to $83.17. Lowered target to 7</t>
  </si>
  <si>
    <t>Raised min to $84.95</t>
  </si>
  <si>
    <t>Lowered min to $83.17</t>
  </si>
  <si>
    <t>Increasing profit. Raised min to $85.95</t>
  </si>
  <si>
    <t xml:space="preserve"> | #408: 100 - 06/24/21 | #410: 100 - 07/02/21</t>
  </si>
  <si>
    <t xml:space="preserve"> | #408: 100 - 06/30/21 | #410: 100 - 07/02/21</t>
  </si>
  <si>
    <t>No conversions for this sku, turned PPC off</t>
  </si>
  <si>
    <t xml:space="preserve"> | #408: 100 - 07/07/21 | #410: 100 - 07/02/21</t>
  </si>
  <si>
    <t xml:space="preserve"> | #408: 100 - 07/15/21 | #410: 100 - 07/07/21</t>
  </si>
  <si>
    <t>Raised min to $98.7</t>
  </si>
  <si>
    <t>#408: 100 - 07/15/21 | #410: 100 - 07/07/21</t>
  </si>
  <si>
    <t>#408: 100 - 07/15/21 | #410: 100 - 07/09/21 | #418: 360 - 08/20/21</t>
  </si>
  <si>
    <t>#408: 100 - 07/15/21 | #418: 360 - 08/20/21</t>
  </si>
  <si>
    <t>| 408  - 100 units 07/19| 410  - 100 units 07/20| 418  - 360 units 09/03</t>
  </si>
  <si>
    <t>PL-IFC-123Y75</t>
  </si>
  <si>
    <t>Raised PP to $63.99 to $69.99</t>
  </si>
  <si>
    <t xml:space="preserve">
#307;SW: 141 - 01/07/21
#308: 105 - 01/23/21</t>
  </si>
  <si>
    <t>Raised PP to $69.99 to $79.99. Removed target</t>
  </si>
  <si>
    <t xml:space="preserve"> #307;SW: 141 - 01/07/21 #308: 105 - 01/23/21</t>
  </si>
  <si>
    <t xml:space="preserve">#308;SW: 105 - 01/23/21 :  -  #333: 2 - 02/17/21 #339: 108 - 02/24/21 :  -  :  -  :  -  :  -  :  -  :  - :  -  :  -  :  -  :  -  :  -  :  -  :  -  :  -  :  - </t>
  </si>
  <si>
    <t>Lowered min to $59.99 to $69.99. Added target of 6</t>
  </si>
  <si>
    <t xml:space="preserve">#308;SW: 105 - 01/23/21 :  -  #333: 2 - 02/20/21 #339: 108 - 02/24/21 :  -  :  -  :  -  :  -  :  -  :  - :  -  :  -  :  -  :  -  :  -  :  -  :  -  :  -  :  - </t>
  </si>
  <si>
    <t>#333: 2 - 02/20/21 | #339: 108 - 02/25/21 | #338: 92 - 03/18/21</t>
  </si>
  <si>
    <t>Raised min to $69.12</t>
  </si>
  <si>
    <t>#333: 2 - 02/24/21 | #339;SW: 108 - 03/04/21 | #338;SW: 92 - 03/26/21</t>
  </si>
  <si>
    <t>#333: 2 - 03/21/21 | #339;SW: 108 - 03/04/21 | #338;SW: 92 - 03/27/21</t>
  </si>
  <si>
    <t>#333: 2 - 03/27/21 | #339;SW: 108 - 03/04/21 | #338;SW: 92 - 03/31/21</t>
  </si>
  <si>
    <t>Lowered min to $65.95</t>
  </si>
  <si>
    <t>#333: 2 - 04/07/21 | #339;SW: 108 - 03/04/21 | #338;SW: 92 - 03/31/21</t>
  </si>
  <si>
    <t>Lowered min to $47.99. Scheduled at $49.99 a couple days</t>
  </si>
  <si>
    <t>#333: 2 - 04/07/21 | #338;SW: 92 - 03/31/21</t>
  </si>
  <si>
    <t>#333: 2 - 04/08/21 | #338;SW: 92 - 03/31/21</t>
  </si>
  <si>
    <t xml:space="preserve"> | #338;SW: 92 - 03/31/21</t>
  </si>
  <si>
    <t>sold out, raised min to $49.95</t>
  </si>
  <si>
    <t xml:space="preserve"> | #394: 100 - 06/01/21 | #408: 300 - 05/25/21</t>
  </si>
  <si>
    <t xml:space="preserve"> | #394: 100 - 06/06/21 | #408: 300 - 06/10/21</t>
  </si>
  <si>
    <t xml:space="preserve"> | #394: 100 - 06/04/21 | #408: 300 - 06/25/21</t>
  </si>
  <si>
    <t xml:space="preserve"> | #394: 100 - 06/09/21 | #408: 300 - 06/25/21</t>
  </si>
  <si>
    <t xml:space="preserve"> | #394: 100 - 06/09/21 | #408: 300 - 06/24/21</t>
  </si>
  <si>
    <t xml:space="preserve"> | #394: 100 - 06/12/21 | #408: 300 - 06/30/21</t>
  </si>
  <si>
    <t xml:space="preserve"> | #394: 100 - 06/12/21 | #408: 300 - 07/07/21</t>
  </si>
  <si>
    <t>Lowered min to $46.5</t>
  </si>
  <si>
    <t xml:space="preserve"> | #408: 300 - 07/15/21</t>
  </si>
  <si>
    <t>Raised min to $59.95</t>
  </si>
  <si>
    <t>#408: 300 - 07/15/21</t>
  </si>
  <si>
    <t>#408: 300 - 07/15/21 | #418: 81 - 08/20/21</t>
  </si>
  <si>
    <t>| 408  - 300 units 07/19| 418  - 81 units 09/03</t>
  </si>
  <si>
    <t>PL-IFC-123Y75P</t>
  </si>
  <si>
    <t>#309: 48 - 01/27/21</t>
  </si>
  <si>
    <t>#309: 48 - 01/30/21</t>
  </si>
  <si>
    <t xml:space="preserve">:  -  #309;SW: 48 - 01/30/21 #333: 153 - 02/17/21 :  -  :  -  :  -  :  -  :  -  :  -  :  - :  -  :  -  :  -  :  -  :  -  :  -  :  -  :  -  :  - </t>
  </si>
  <si>
    <t xml:space="preserve">:  -  #309;SW: 48 - 01/28/21 #333: 150 - 02/20/21 :  -  :  -  :  -  :  -  :  -  :  -  :  - :  -  :  -  :  -  :  -  :  -  :  -  :  -  :  -  :  - </t>
  </si>
  <si>
    <t>Not in Profit Peak. Set to $49.99</t>
  </si>
  <si>
    <t>#333: 150 - 02/20/21</t>
  </si>
  <si>
    <t>#333: 150 - 02/24/21</t>
  </si>
  <si>
    <t>Turned on PP with min of $54.95</t>
  </si>
  <si>
    <t>#333: 150 - 03/21/21</t>
  </si>
  <si>
    <t>#333: 150 - 03/27/21</t>
  </si>
  <si>
    <t>Scheduled at $59.99 for a few days</t>
  </si>
  <si>
    <t>#333: 150 - 04/07/21</t>
  </si>
  <si>
    <t>Raised min to $67.6</t>
  </si>
  <si>
    <t>Raised min to $74.36</t>
  </si>
  <si>
    <t>#333: 150 - 04/08/21</t>
  </si>
  <si>
    <t>Lowered min to $49.99. Scheduled at $59.99 a few days</t>
  </si>
  <si>
    <t>Raised min to $72.78</t>
  </si>
  <si>
    <t>Improving sell through. Lowered min to $68.95</t>
  </si>
  <si>
    <t>Improving DOH. Increased target to 2. Lowered min to $42.95. Scheduled at $49.99 a couple days</t>
  </si>
  <si>
    <t>No Transit, But 2 At Factory 50-75 days from Earliest Arrival</t>
  </si>
  <si>
    <t>PL-IFC-143B10</t>
  </si>
  <si>
    <t xml:space="preserve">
#307;SW: 60 - 01/07/21
#308: 220 - 01/23/21</t>
  </si>
  <si>
    <t>Lowered min to $11.95</t>
  </si>
  <si>
    <t xml:space="preserve"> #307;SW: 60 - 01/07/21 #308: 220 - 01/23/21</t>
  </si>
  <si>
    <t xml:space="preserve">#308;SW: 220 - 01/23/21 :  -  #333: 120 - 02/17/21 :  -  :  -  :  -  :  -  :  -  :  -  :  - :  -  :  -  :  -  :  -  :  -  :  -  :  -  :  -  :  - </t>
  </si>
  <si>
    <t xml:space="preserve">#308;SW: 220 - 01/23/21 :  -  #333: 120 - 02/20/21 :  -  :  -  :  -  :  -  :  -  :  -  :  - :  -  :  -  :  -  :  -  :  -  :  -  :  -  :  -  :  - </t>
  </si>
  <si>
    <t>Raised min to $13.78</t>
  </si>
  <si>
    <t>#333: 120 - 02/20/21</t>
  </si>
  <si>
    <t>#333: 120 - 02/24/21</t>
  </si>
  <si>
    <t>#333: 120 - 03/21/21 | #359;SW: 100 - 04/01/21</t>
  </si>
  <si>
    <t>Not in Profit Peak. Set to $13.99</t>
  </si>
  <si>
    <t>#333: 120 - 03/27/21 | #359;SW: 100 - 04/01/21</t>
  </si>
  <si>
    <t>#333: 120 - 04/07/21 | #359;SW: 100 - 04/13/21</t>
  </si>
  <si>
    <t>Sku not in seller central</t>
  </si>
  <si>
    <t>#333: 120 - 04/07/21 | #359;SW: 100 - 04/17/21</t>
  </si>
  <si>
    <t>#333: 120 - 04/08/21 | #359;SW: 100 - 04/17/21</t>
  </si>
  <si>
    <t xml:space="preserve"> | #359;SW: 100 - 04/17/21</t>
  </si>
  <si>
    <t>#359;SW: 100 - 04/17/21</t>
  </si>
  <si>
    <t xml:space="preserve"> | #413: 100 - 07/01/21</t>
  </si>
  <si>
    <t>Turned on Profit Peak from $11.95 to $19.99 with target of 2. Turned PPC off (we're over 3x target velocity)</t>
  </si>
  <si>
    <t>Increased target to 3 to keep DOH under control</t>
  </si>
  <si>
    <t xml:space="preserve"> | #413: 80 - 07/02/21 | #414: 20 - 07/08/21</t>
  </si>
  <si>
    <t xml:space="preserve"> | #413: 80 - 07/08/21 | #414: 20 - 07/08/21</t>
  </si>
  <si>
    <t xml:space="preserve"> | #413: 80 - 07/15/21 | #414: 20 - 07/08/21</t>
  </si>
  <si>
    <t>Raised min to $17.5</t>
  </si>
  <si>
    <t xml:space="preserve"> | #413: 80 - 07/18/21 | #414: 20 - 08/01/21</t>
  </si>
  <si>
    <t>Raised min to $19.25</t>
  </si>
  <si>
    <t>Raised min to $21.94</t>
  </si>
  <si>
    <t xml:space="preserve"> | #413: 80 - 07/23/21</t>
  </si>
  <si>
    <t>| 413  - 80 units 07/26</t>
  </si>
  <si>
    <t>PL-IFC-143B10P</t>
  </si>
  <si>
    <t>Lowered target to 7. Raised min to $20.95</t>
  </si>
  <si>
    <t xml:space="preserve">:  -  :  -  :  -  :  -  #340;SW: 280 - 03/01/21 :  -  :  -  :  -  :  -  :  - :  -  :  -  :  -  :  -  :  -  :  -  :  -  :  -  :  - </t>
  </si>
  <si>
    <t xml:space="preserve"> | #340;SW: 280 - 03/12/21 | #335: 308 - 03/12/21 | #338: 28 - 03/18/21</t>
  </si>
  <si>
    <t>Lowered min to $16.95. Increased target to 8</t>
  </si>
  <si>
    <t xml:space="preserve"> | #340;SW: 280 - 03/24/21 | #335;SW: 308 - 03/16/21 | #338;SW: 28 - 03/26/21</t>
  </si>
  <si>
    <t xml:space="preserve"> | #340;SW: 280 - 03/23/21 | #335;SW: 308 - 03/16/21 | #338;SW: 28 - 03/27/21 | #359;SW: 238 - 04/01/21</t>
  </si>
  <si>
    <t>Scheduled at $12.99 for a few days</t>
  </si>
  <si>
    <t xml:space="preserve"> | #340;SW: 280 - 03/23/21 | #335;SW: 308 - 03/25/21 | #338;SW: 28 - 03/31/21 | #359;SW: 238 - 04/01/21</t>
  </si>
  <si>
    <t xml:space="preserve"> | #340;SW: 280 - 03/24/21 | #335;SW: 308 - 03/30/21 | #338;SW: 28 - 03/31/21 | #359;SW: 238 - 04/13/21</t>
  </si>
  <si>
    <t>Raised min to $14.95</t>
  </si>
  <si>
    <t xml:space="preserve"> | #340;SW: 280 - 03/19/21 | #335;SW: 308 - 03/30/21 | #338;SW: 28 - 03/31/21 | #359;SW: 238 - 04/13/21</t>
  </si>
  <si>
    <t>sold out, lowered min to $12.95</t>
  </si>
  <si>
    <t>sold out, raised min to $13.95</t>
  </si>
  <si>
    <t xml:space="preserve"> | #340;SW: 280 - 03/19/21 | #335;SW: 308 - 03/30/21 | #338;SW: 28 - 03/31/21 | #359;SW: 238 - 04/17/21</t>
  </si>
  <si>
    <t>#340;SW: 280 - 03/19/21 | #335;SW: 308 - 03/30/21 | #338;SW: 28 - 03/31/21 | #359;SW: 238 - 04/17/21</t>
  </si>
  <si>
    <t>#359;SW: 238 - 04/17/21</t>
  </si>
  <si>
    <t>Raised min to $15.95. Lowered target to 7</t>
  </si>
  <si>
    <t>Raised min to $18.81</t>
  </si>
  <si>
    <t>Improving velocity / profit. Lowered min to $17.95</t>
  </si>
  <si>
    <t>Improving profit. Raised min to $20.95</t>
  </si>
  <si>
    <t>Raised min to $23.96</t>
  </si>
  <si>
    <t>Raised min to $26.52</t>
  </si>
  <si>
    <t>Continue with Profit Peak to sell out within 90 days of units hitting</t>
  </si>
  <si>
    <t>Lowered min to $19.95, more units incoming</t>
  </si>
  <si>
    <t xml:space="preserve"> | #414: 266 - 08/01/21</t>
  </si>
  <si>
    <t>Raised min to $24.93</t>
  </si>
  <si>
    <t>Raised min to $27.42</t>
  </si>
  <si>
    <t>Lowered min to $25.95 and target to 2</t>
  </si>
  <si>
    <t>| 414  - 266 units 08/02</t>
  </si>
  <si>
    <t>PL-IFC-143B25P</t>
  </si>
  <si>
    <t>#307;SW: 108 - 01/07/21#309: 204 - 01/27/21</t>
  </si>
  <si>
    <t>Raised min to $20.95. Lowered target to 5</t>
  </si>
  <si>
    <t>#307;SW: 108 - 01/07/21#309: 204 - 01/30/21</t>
  </si>
  <si>
    <t>Raised min to $24.12</t>
  </si>
  <si>
    <t xml:space="preserve">:  -  #309;SW: 204 - 01/30/21 #333: 360 - 02/17/21 :  -  :  -  :  -  :  -  :  -  :  -  :  - :  -  :  -  :  -  :  -  :  -  :  -  :  -  :  -  :  - </t>
  </si>
  <si>
    <t xml:space="preserve">:  -  #309;SW: 204 - 01/28/21 #333: 360 - 02/20/21 :  -  :  -  :  -  :  -  :  -  :  -  :  - :  -  :  -  :  -  :  -  :  -  :  -  :  -  :  -  :  - </t>
  </si>
  <si>
    <t>Lowered min to $17.95. Increased target to 7</t>
  </si>
  <si>
    <t>#333: 360 - 02/20/21 | #335: 48 - 03/12/21</t>
  </si>
  <si>
    <t>Lowered PP to $16.95 to $19.99</t>
  </si>
  <si>
    <t>#333: 360 - 02/24/21 | #335;SW: 48 - 03/16/21</t>
  </si>
  <si>
    <t>#333: 360 - 03/21/21 | #335;SW: 48 - 03/16/21</t>
  </si>
  <si>
    <t>Raised min to $22.18</t>
  </si>
  <si>
    <t>#333: 360 - 03/27/21 | #335;SW: 48 - 03/25/21</t>
  </si>
  <si>
    <t>Raised min to $24.39</t>
  </si>
  <si>
    <t>#333: 360 - 04/07/21 | #335;SW: 48 - 03/30/21</t>
  </si>
  <si>
    <t>Raised min to $24.95</t>
  </si>
  <si>
    <t>#333: 360 - 04/08/21 | #335;SW: 48 - 03/30/21</t>
  </si>
  <si>
    <t>Lowered min to $19.5</t>
  </si>
  <si>
    <t xml:space="preserve"> | #335;SW: 48 - 03/30/21</t>
  </si>
  <si>
    <t xml:space="preserve"> | 408: 408 - </t>
  </si>
  <si>
    <t xml:space="preserve"> | #395: 408 - 06/08/21</t>
  </si>
  <si>
    <t>Turned PPC off. Raised min to $20.99</t>
  </si>
  <si>
    <t xml:space="preserve"> | #395: 408 - 06/06/21</t>
  </si>
  <si>
    <t>Raised min to $21.95</t>
  </si>
  <si>
    <t xml:space="preserve"> | #395: 408 - 06/04/21 | #410: 156 - 07/02/21</t>
  </si>
  <si>
    <t xml:space="preserve"> | #395: 408 - 06/04/21 | #410: 84 - 07/02/21</t>
  </si>
  <si>
    <t>Improving profit. Raised min to $24.37</t>
  </si>
  <si>
    <t xml:space="preserve"> | #395: 408 - 06/09/21 | #410: 84 - 07/02/21</t>
  </si>
  <si>
    <t xml:space="preserve"> | #395: 408 - 06/12/21 | #410: 84 - 07/02/21</t>
  </si>
  <si>
    <t>sold out, lowered min to $19.95</t>
  </si>
  <si>
    <t xml:space="preserve"> | #395: 408 - 06/08/21 | #410: 84 - 07/02/21</t>
  </si>
  <si>
    <t>Scheduled at $19.99 a couple days</t>
  </si>
  <si>
    <t xml:space="preserve"> | #410: 84 - 07/07/21</t>
  </si>
  <si>
    <t>Raised min to $21.95. Lowered target to 6</t>
  </si>
  <si>
    <t xml:space="preserve"> | #410: 84 - 07/09/21 | #417: 108 - 08/01/21</t>
  </si>
  <si>
    <t xml:space="preserve"> | #417: 108 - 08/01/21</t>
  </si>
  <si>
    <t>Raised min to $22.95 to improve profit</t>
  </si>
  <si>
    <t>| 410  - 156 units 07/20| 417  - 108 units 08/14</t>
  </si>
  <si>
    <t>PL-IFC-143B50</t>
  </si>
  <si>
    <t>#307;SW: 162 - 01/07/21</t>
  </si>
  <si>
    <t>Turned on PP from $25.99 to $29.99 with target of 5</t>
  </si>
  <si>
    <t xml:space="preserve">:  -  :  -  :  -  :  -  :  -  :  -  #334: 240 - 03/01/21 :  -  :  -  :  - :  -  :  -  :  -  :  -  :  -  :  -  :  -  :  -  :  - </t>
  </si>
  <si>
    <t>Lowered min to $24.95. Increased target to 6</t>
  </si>
  <si>
    <t xml:space="preserve">:  -  :  -  :  -  :  -  :  -  :  -  #334: 240 - 03/02/21 :  -  :  -  :  - :  -  :  -  :  -  :  -  :  -  :  -  :  -  :  -  :  - </t>
  </si>
  <si>
    <t>Increased min to $25.99</t>
  </si>
  <si>
    <t xml:space="preserve"> | #334: 240 - 03/19/21 | #338: 102 - 03/18/21</t>
  </si>
  <si>
    <t xml:space="preserve"> | #334;SW: 240 - 03/23/21 | #338;SW: 102 - 03/26/21</t>
  </si>
  <si>
    <t>Lowered target to 5</t>
  </si>
  <si>
    <t xml:space="preserve"> | #334;SW: 240 - 03/31/21 | #338;SW: 102 - 03/27/21 | #359;SW: 114 - 04/01/21</t>
  </si>
  <si>
    <t>Raised min to $28.65. Lowered target to 4</t>
  </si>
  <si>
    <t xml:space="preserve"> | #334;SW: 240 - 04/06/21 | #338;SW: 102 - 03/31/21 | #359;SW: 114 - 04/01/21</t>
  </si>
  <si>
    <t>Raised min to $33.59</t>
  </si>
  <si>
    <t xml:space="preserve"> | #334;SW: 240 - 04/17/21 | #338;SW: 102 - 03/31/21 | #359;SW: 114 - 04/13/21</t>
  </si>
  <si>
    <t>sku not in seller central</t>
  </si>
  <si>
    <t xml:space="preserve"> | #334;SW: 240 - 04/17/21 | #338;SW: 102 - 03/31/21 | #359;SW: 114 - 04/17/21</t>
  </si>
  <si>
    <t xml:space="preserve"> | #334;SW: 240 - 04/18/21 | #338;SW: 102 - 03/31/21 | #359;SW: 114 - 04/17/21</t>
  </si>
  <si>
    <t>#359;SW: 114 - 04/17/21</t>
  </si>
  <si>
    <t>Turned on Profit Peak from $27.99 with target of 7</t>
  </si>
  <si>
    <t xml:space="preserve"> | #413: 84 - 07/01/21</t>
  </si>
  <si>
    <t>Improving sell through. Turned PPC on</t>
  </si>
  <si>
    <t>Improving profit. Turned PPC off</t>
  </si>
  <si>
    <t xml:space="preserve"> | #413: 84 - 07/02/21</t>
  </si>
  <si>
    <t>Raised min to $30.78</t>
  </si>
  <si>
    <t xml:space="preserve"> | #413: 84 - 07/08/21</t>
  </si>
  <si>
    <t>Reducing DOH, lowered min to $29.95</t>
  </si>
  <si>
    <t xml:space="preserve"> | #413: 84 - 07/15/21</t>
  </si>
  <si>
    <t xml:space="preserve"> | #413: 84 - 07/18/21</t>
  </si>
  <si>
    <t>Lowered target to 3 and min to $28.95</t>
  </si>
  <si>
    <t>Lowered min to $28.95. Scheduled at $28.99 a couple days</t>
  </si>
  <si>
    <t xml:space="preserve"> | #413: 84 - 07/23/21</t>
  </si>
  <si>
    <t>| 413  - 84 units 07/26</t>
  </si>
  <si>
    <t>PL-IFC-143B50P</t>
  </si>
  <si>
    <t>Maintain, till this is added to parent</t>
  </si>
  <si>
    <t>Maintain, till this is added to parent. Turned on Profit Peak from $29.99</t>
  </si>
  <si>
    <t xml:space="preserve"> | #392: 204 - 06/01/21</t>
  </si>
  <si>
    <t>Raised min to $34.76</t>
  </si>
  <si>
    <t>#392: 204 - 05/30/21</t>
  </si>
  <si>
    <t>Improving sell through. Lowered min to $33.5</t>
  </si>
  <si>
    <t>#392: 204 - 06/09/21</t>
  </si>
  <si>
    <t>Improving profit. Raised min to $34.5</t>
  </si>
  <si>
    <t>#392: 204 - 06/11/21</t>
  </si>
  <si>
    <t>#392: 204 - 06/20/21</t>
  </si>
  <si>
    <t>Lowered min to $31.95. Increased target to 3</t>
  </si>
  <si>
    <t>Raised min to $36.3</t>
  </si>
  <si>
    <t>Raised min to $40.92</t>
  </si>
  <si>
    <t>No Transit or Factory Storage, 504 In Production 60-100 days from Earliest Arrival</t>
  </si>
  <si>
    <t>PL-IFC-143Y100</t>
  </si>
  <si>
    <t>Raised min to $51.99 to $59.99</t>
  </si>
  <si>
    <t>#309: 92 - 01/27/21</t>
  </si>
  <si>
    <t>Raised min to $57.18 to $69.99. Removed target</t>
  </si>
  <si>
    <t>#309: 92 - 01/30/21</t>
  </si>
  <si>
    <t xml:space="preserve">:  -  #309;SW: 92 - 01/30/21 #333: 288 - 02/17/21 :  -  :  -  :  -  #334: 56 - 03/01/21 :  -  :  -  :  - :  -  :  -  :  -  :  -  :  -  :  -  :  -  :  -  :  - </t>
  </si>
  <si>
    <t>Continue with Profit Peak (only 1 left)</t>
  </si>
  <si>
    <t xml:space="preserve">:  -  #309;SW: 92 - 01/28/21 #333: 288 - 02/20/21 :  -  :  -  :  -  #334: 56 - 03/02/21 :  -  :  -  :  - :  -  :  -  :  -  :  -  :  -  :  -  :  -  :  -  :  - </t>
  </si>
  <si>
    <t>Lowered min to $42.95. Added target of 8. Scheduled at $49.99 for a couple days</t>
  </si>
  <si>
    <t>#333: 288 - 02/20/21 | #334: 56 - 03/19/21 | #335: 256 - 03/12/21 | #338: 108 - 03/18/21</t>
  </si>
  <si>
    <t>#333: 288 - 02/24/21 | #334;SW: 56 - 03/23/21 | #335;SW: 256 - 03/16/21 | #338;SW: 108 - 03/26/21</t>
  </si>
  <si>
    <t>#333: 288 - 03/21/21 | #334;SW: 56 - 03/31/21 | #335;SW: 256 - 03/16/21 | #338;SW: 108 - 03/27/21</t>
  </si>
  <si>
    <t>#333: 288 - 03/27/21 | #334;SW: 56 - 04/06/21 | #335;SW: 256 - 03/25/21 | #338;SW: 108 - 03/31/21</t>
  </si>
  <si>
    <t>#333: 288 - 04/07/21 | #334;SW: 56 - 04/17/21 | #335;SW: 256 - 03/30/21 | #338;SW: 108 - 03/31/21</t>
  </si>
  <si>
    <t>#333: 288 - 04/08/21 | #334;SW: 56 - 04/18/21 | #335;SW: 256 - 03/30/21 | #338;SW: 108 - 03/31/21</t>
  </si>
  <si>
    <t xml:space="preserve"> | #334;SW: 56 - 04/18/21 | #335;SW: 256 - 03/30/21 | #338;SW: 108 - 03/31/21</t>
  </si>
  <si>
    <t xml:space="preserve"> | 300: 300 - </t>
  </si>
  <si>
    <t>Raised min to $53.99. Lowered target to 7</t>
  </si>
  <si>
    <t>Raised min to $63.82</t>
  </si>
  <si>
    <t>Raised target to 10. Lowered min to $49.95. Scheduled at $55.99 for a few days</t>
  </si>
  <si>
    <t xml:space="preserve"> | #395: 300 - 06/04/21 | #413: 200 - 07/01/21</t>
  </si>
  <si>
    <t>Now at target velocity. Continue with Profit Peak, sell through should improve soon</t>
  </si>
  <si>
    <t>Improving profit. Raised min to $53.95</t>
  </si>
  <si>
    <t xml:space="preserve"> | #395: 300 - 06/09/21 | #413: 200 - 07/02/21 | #414: 300 - 07/08/21</t>
  </si>
  <si>
    <t xml:space="preserve"> | #395: 300 - 06/12/21 | #413: 200 - 07/08/21 | #414: 300 - 07/08/21</t>
  </si>
  <si>
    <t xml:space="preserve"> | #395: 300 - 06/08/21 | #413: 200 - 07/15/21 | #414: 300 - 07/08/21</t>
  </si>
  <si>
    <t>Continue with Profit Peak, velocity has slowed since last week</t>
  </si>
  <si>
    <t xml:space="preserve"> | #413: 200 - 07/18/21 | #414: 300 - 08/01/21</t>
  </si>
  <si>
    <t>Raised min to $55.95</t>
  </si>
  <si>
    <t xml:space="preserve"> | #413: 200 - 07/18/21</t>
  </si>
  <si>
    <t>No longer in Profit Peak. Raised to $59.99</t>
  </si>
  <si>
    <t xml:space="preserve"> | #413: 200 - 07/18/21 | #417: 300 - 08/01/21 | #415: 100 - 08/20/21</t>
  </si>
  <si>
    <t xml:space="preserve"> | #417: 300 - 08/01/21 | #415: 100 - 08/20/21 | #413: 200 - 07/23/21</t>
  </si>
  <si>
    <t>Raised to $65.99</t>
  </si>
  <si>
    <t>| 413  - 200 units 07/26| 417  - 300 units 08/14| 415  - 100 units 08/21</t>
  </si>
  <si>
    <t>PL-IFC-143Y25</t>
  </si>
  <si>
    <t>Raised PP to $24.14 to $39.99</t>
  </si>
  <si>
    <t>Raised min to $26.55</t>
  </si>
  <si>
    <t xml:space="preserve">:  -  :  -  #333: 120 - 02/17/21 :  -  :  -  :  -  :  -  :  -  :  -  :  - :  -  :  -  :  -  :  -  :  -  :  -  :  -  :  -  :  - </t>
  </si>
  <si>
    <t>Raised min to $28.54. Removed target</t>
  </si>
  <si>
    <t xml:space="preserve">:  -  :  -  #333: 120 - 02/20/21 :  -  :  -  :  -  :  -  :  -  :  -  :  - :  -  :  -  :  -  :  -  :  -  :  -  :  -  :  -  :  - </t>
  </si>
  <si>
    <t>Lowered min to $25.95. Added target of 11</t>
  </si>
  <si>
    <t>#333: 120 - 02/20/21 | #335: 660 - 03/12/21</t>
  </si>
  <si>
    <t>#333: 120 - 02/24/21 | #335;SW: 660 - 03/16/21</t>
  </si>
  <si>
    <t>Raised min to $25.99. Lowered target to 6</t>
  </si>
  <si>
    <t>#333: 120 - 03/21/21 | #335;SW: 660 - 03/16/21 | #359;SW: 228 - 04/01/21</t>
  </si>
  <si>
    <t>#333: 120 - 03/27/21 | #335;SW: 660 - 03/25/21 | #359;SW: 228 - 04/01/21 | #360: 719 - 04/10/21</t>
  </si>
  <si>
    <t>Raised min to $28.58</t>
  </si>
  <si>
    <t>#333: 120 - 04/07/21 | #335;SW: 660 - 03/30/21 | #359;SW: 228 - 04/13/21 | #360: 240 - 04/07/21</t>
  </si>
  <si>
    <t>Raised min to $31.43</t>
  </si>
  <si>
    <t>#333: 120 - 04/07/21 | #335;SW: 660 - 03/30/21 | #359;SW: 228 - 04/13/21 | #360: 240 - 04/09/21</t>
  </si>
  <si>
    <t>#333: 120 - 04/07/21 | #335;SW: 660 - 03/30/21 | #359;SW: 228 - 04/17/21 | #360: 240 - 04/06/21</t>
  </si>
  <si>
    <t>#333: 120 - 04/08/21 | #335;SW: 660 - 03/30/21 | #359;SW: 228 - 04/17/21 | #360: 240 - 04/06/21</t>
  </si>
  <si>
    <t>Lowered min to $19.95. Increased target to 11</t>
  </si>
  <si>
    <t xml:space="preserve"> | #335;SW: 660 - 03/30/21 | #359;SW: 228 - 04/17/21</t>
  </si>
  <si>
    <t>Lowered min to $17.95. Scheduled at $19.99 a few days</t>
  </si>
  <si>
    <t>#359;SW: 228 - 04/17/21 | #392: 156 - 06/01/21</t>
  </si>
  <si>
    <t xml:space="preserve"> | #392: 156 - 06/01/21</t>
  </si>
  <si>
    <t>#392: 156 - 05/30/21</t>
  </si>
  <si>
    <t>#392: 156 - 06/09/21</t>
  </si>
  <si>
    <t>Improving profit. Raised min to $22.28</t>
  </si>
  <si>
    <t>Lowering min to $21.5 to improve profit</t>
  </si>
  <si>
    <t>#392: 156 - 06/11/21</t>
  </si>
  <si>
    <t>#392: 156 - 06/20/21</t>
  </si>
  <si>
    <t>Raised min to $21.68</t>
  </si>
  <si>
    <t xml:space="preserve"> | #417: 108 - 08/01/21 | #415: 204 - 08/20/21</t>
  </si>
  <si>
    <t>Lowered min to $19.99 and target to 4</t>
  </si>
  <si>
    <t>| 417  - 108 units 08/14| 415  - 204 units 08/21</t>
  </si>
  <si>
    <t>At Factory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</si>
</sst>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0.0%"/>
    <numFmt numFmtId="166" formatCode="0.000"/>
  </numFmts>
  <fonts count="9">
    <font>
      <sz val="11"/>
      <color theme="1"/>
      <name val="Arial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10"/>
      <color rgb="FF000000"/>
      <name val="Calibri"/>
      <family val="2"/>
    </font>
    <font>
      <b/>
      <sz val="12"/>
      <color rgb="FF000000"/>
      <name val="Calibri"/>
      <family val="2"/>
    </font>
    <font>
      <sz val="11"/>
      <name val="Arial"/>
      <family val="2"/>
    </font>
    <font>
      <b/>
      <sz val="11"/>
      <color rgb="FF3F3F3F"/>
      <name val="Calibri"/>
      <family val="2"/>
    </font>
    <font>
      <b/>
      <sz val="11"/>
      <color rgb="FFF2F2F2"/>
      <name val="Calibri"/>
      <family val="2"/>
    </font>
    <font>
      <sz val="9"/>
      <color rgb="FF666666"/>
      <name val="&quot;amazon ember&quot;"/>
    </font>
  </fonts>
  <fills count="5">
    <fill>
      <patternFill patternType="none"/>
    </fill>
    <fill>
      <patternFill patternType="gray125"/>
    </fill>
    <fill>
      <patternFill patternType="solid">
        <fgColor rgb="FFF2F2F2"/>
        <bgColor rgb="FFF2F2F2"/>
      </patternFill>
    </fill>
    <fill>
      <patternFill patternType="solid">
        <fgColor rgb="FF00FFFF"/>
        <bgColor rgb="FF00FFFF"/>
      </patternFill>
    </fill>
    <fill>
      <patternFill patternType="solid">
        <fgColor rgb="FFEDF5FF"/>
        <bgColor rgb="FFEDF5FF"/>
      </patternFill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3F3F3F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3F3F3F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000000"/>
      </top>
      <bottom style="thick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68">
    <xf numFmtId="0" fontId="0" fillId="0" borderId="0" xfId="0" applyFont="1" applyAlignmen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4" fontId="6" fillId="2" borderId="9" xfId="0" applyNumberFormat="1" applyFont="1" applyFill="1" applyBorder="1" applyAlignment="1">
      <alignment horizontal="center" vertical="center"/>
    </xf>
    <xf numFmtId="0" fontId="6" fillId="2" borderId="9" xfId="0" applyFont="1" applyFill="1" applyBorder="1" applyAlignment="1">
      <alignment horizontal="center" vertical="center" wrapText="1"/>
    </xf>
    <xf numFmtId="44" fontId="6" fillId="2" borderId="9" xfId="0" applyNumberFormat="1" applyFont="1" applyFill="1" applyBorder="1" applyAlignment="1">
      <alignment horizontal="center" vertical="center" wrapText="1"/>
    </xf>
    <xf numFmtId="9" fontId="6" fillId="2" borderId="9" xfId="0" applyNumberFormat="1" applyFont="1" applyFill="1" applyBorder="1" applyAlignment="1">
      <alignment horizontal="center" vertical="center" wrapText="1"/>
    </xf>
    <xf numFmtId="9" fontId="6" fillId="2" borderId="9" xfId="0" applyNumberFormat="1" applyFont="1" applyFill="1" applyBorder="1" applyAlignment="1">
      <alignment horizontal="center" vertical="center"/>
    </xf>
    <xf numFmtId="165" fontId="6" fillId="2" borderId="9" xfId="0" applyNumberFormat="1" applyFont="1" applyFill="1" applyBorder="1" applyAlignment="1">
      <alignment horizontal="center" vertical="center" wrapText="1"/>
    </xf>
    <xf numFmtId="0" fontId="6" fillId="2" borderId="9" xfId="0" applyFont="1" applyFill="1" applyBorder="1" applyAlignment="1">
      <alignment horizontal="center" vertical="center"/>
    </xf>
    <xf numFmtId="14" fontId="7" fillId="2" borderId="9" xfId="0" applyNumberFormat="1" applyFont="1" applyFill="1" applyBorder="1" applyAlignment="1">
      <alignment horizontal="center" vertical="center" wrapText="1"/>
    </xf>
    <xf numFmtId="2" fontId="6" fillId="2" borderId="9" xfId="0" applyNumberFormat="1" applyFont="1" applyFill="1" applyBorder="1" applyAlignment="1">
      <alignment horizontal="center" vertical="center"/>
    </xf>
    <xf numFmtId="0" fontId="6" fillId="2" borderId="10" xfId="0" applyFont="1" applyFill="1" applyBorder="1" applyAlignment="1">
      <alignment horizontal="center" vertical="center" wrapText="1"/>
    </xf>
    <xf numFmtId="0" fontId="2" fillId="0" borderId="0" xfId="0" applyFont="1"/>
    <xf numFmtId="164" fontId="2" fillId="2" borderId="11" xfId="0" applyNumberFormat="1" applyFont="1" applyFill="1" applyBorder="1" applyAlignment="1">
      <alignment horizontal="center" vertical="center" wrapText="1"/>
    </xf>
    <xf numFmtId="0" fontId="2" fillId="2" borderId="11" xfId="0" applyFont="1" applyFill="1" applyBorder="1" applyAlignment="1">
      <alignment horizontal="center"/>
    </xf>
    <xf numFmtId="44" fontId="2" fillId="2" borderId="11" xfId="0" applyNumberFormat="1" applyFont="1" applyFill="1" applyBorder="1" applyAlignment="1">
      <alignment horizontal="center"/>
    </xf>
    <xf numFmtId="9" fontId="2" fillId="2" borderId="11" xfId="0" applyNumberFormat="1" applyFont="1" applyFill="1" applyBorder="1" applyAlignment="1">
      <alignment horizontal="center"/>
    </xf>
    <xf numFmtId="165" fontId="2" fillId="2" borderId="11" xfId="0" applyNumberFormat="1" applyFont="1" applyFill="1" applyBorder="1" applyAlignment="1">
      <alignment horizontal="center"/>
    </xf>
    <xf numFmtId="2" fontId="2" fillId="2" borderId="11" xfId="0" applyNumberFormat="1" applyFont="1" applyFill="1" applyBorder="1" applyAlignment="1">
      <alignment horizontal="center"/>
    </xf>
    <xf numFmtId="2" fontId="2" fillId="0" borderId="0" xfId="0" applyNumberFormat="1" applyFont="1"/>
    <xf numFmtId="0" fontId="2" fillId="0" borderId="0" xfId="0" applyFont="1" applyAlignment="1">
      <alignment horizontal="right"/>
    </xf>
    <xf numFmtId="14" fontId="2" fillId="0" borderId="0" xfId="0" applyNumberFormat="1" applyFont="1" applyAlignment="1">
      <alignment horizontal="left"/>
    </xf>
    <xf numFmtId="9" fontId="2" fillId="0" borderId="0" xfId="0" applyNumberFormat="1" applyFont="1"/>
    <xf numFmtId="44" fontId="2" fillId="0" borderId="0" xfId="0" applyNumberFormat="1" applyFont="1"/>
    <xf numFmtId="0" fontId="2" fillId="0" borderId="0" xfId="0" applyFont="1" applyAlignment="1">
      <alignment horizontal="center"/>
    </xf>
    <xf numFmtId="44" fontId="2" fillId="0" borderId="0" xfId="0" applyNumberFormat="1" applyFont="1" applyAlignment="1">
      <alignment horizontal="center"/>
    </xf>
    <xf numFmtId="166" fontId="2" fillId="0" borderId="0" xfId="0" applyNumberFormat="1" applyFont="1"/>
    <xf numFmtId="44" fontId="2" fillId="2" borderId="11" xfId="0" applyNumberFormat="1" applyFont="1" applyFill="1" applyBorder="1"/>
    <xf numFmtId="0" fontId="0" fillId="0" borderId="0" xfId="0" applyFont="1"/>
    <xf numFmtId="0" fontId="1" fillId="0" borderId="0" xfId="0" applyFont="1"/>
    <xf numFmtId="164" fontId="1" fillId="2" borderId="11" xfId="0" applyNumberFormat="1" applyFont="1" applyFill="1" applyBorder="1" applyAlignment="1">
      <alignment horizontal="center"/>
    </xf>
    <xf numFmtId="0" fontId="1" fillId="2" borderId="11" xfId="0" applyFont="1" applyFill="1" applyBorder="1" applyAlignment="1">
      <alignment horizontal="center"/>
    </xf>
    <xf numFmtId="44" fontId="1" fillId="2" borderId="11" xfId="0" applyNumberFormat="1" applyFont="1" applyFill="1" applyBorder="1" applyAlignment="1">
      <alignment horizontal="center"/>
    </xf>
    <xf numFmtId="165" fontId="1" fillId="2" borderId="11" xfId="0" applyNumberFormat="1" applyFont="1" applyFill="1" applyBorder="1" applyAlignment="1">
      <alignment horizontal="center"/>
    </xf>
    <xf numFmtId="0" fontId="1" fillId="0" borderId="0" xfId="0" applyFont="1" applyAlignment="1">
      <alignment horizontal="right"/>
    </xf>
    <xf numFmtId="44" fontId="1" fillId="0" borderId="0" xfId="0" applyNumberFormat="1" applyFont="1"/>
    <xf numFmtId="0" fontId="1" fillId="2" borderId="11" xfId="0" applyFont="1" applyFill="1" applyBorder="1"/>
    <xf numFmtId="0" fontId="2" fillId="2" borderId="11" xfId="0" applyFont="1" applyFill="1" applyBorder="1"/>
    <xf numFmtId="2" fontId="0" fillId="0" borderId="0" xfId="0" applyNumberFormat="1" applyFont="1"/>
    <xf numFmtId="0" fontId="2" fillId="3" borderId="11" xfId="0" applyFont="1" applyFill="1" applyBorder="1"/>
    <xf numFmtId="0" fontId="8" fillId="4" borderId="11" xfId="0" applyFont="1" applyFill="1" applyBorder="1" applyAlignment="1">
      <alignment horizontal="left"/>
    </xf>
    <xf numFmtId="0" fontId="0" fillId="0" borderId="0" xfId="0" applyFont="1" applyAlignment="1">
      <alignment horizontal="center"/>
    </xf>
    <xf numFmtId="166" fontId="0" fillId="0" borderId="0" xfId="0" applyNumberFormat="1" applyFont="1"/>
    <xf numFmtId="44" fontId="0" fillId="0" borderId="0" xfId="0" applyNumberFormat="1" applyFont="1"/>
    <xf numFmtId="0" fontId="1" fillId="0" borderId="0" xfId="0" applyFont="1" applyAlignment="1">
      <alignment horizontal="left"/>
    </xf>
    <xf numFmtId="0" fontId="0" fillId="0" borderId="0" xfId="0" applyFont="1" applyAlignment="1"/>
    <xf numFmtId="164" fontId="1" fillId="2" borderId="1" xfId="0" applyNumberFormat="1" applyFont="1" applyFill="1" applyBorder="1" applyAlignment="1">
      <alignment horizontal="center" vertical="center" wrapText="1"/>
    </xf>
    <xf numFmtId="0" fontId="5" fillId="0" borderId="2" xfId="0" applyFont="1" applyBorder="1"/>
    <xf numFmtId="0" fontId="2" fillId="2" borderId="1" xfId="0" applyFont="1" applyFill="1" applyBorder="1" applyAlignment="1">
      <alignment horizontal="center" vertical="center" wrapText="1"/>
    </xf>
    <xf numFmtId="0" fontId="5" fillId="0" borderId="3" xfId="0" applyFont="1" applyBorder="1"/>
    <xf numFmtId="44" fontId="1" fillId="2" borderId="1" xfId="0" applyNumberFormat="1" applyFont="1" applyFill="1" applyBorder="1" applyAlignment="1">
      <alignment horizontal="center" vertical="center"/>
    </xf>
    <xf numFmtId="44" fontId="1" fillId="2" borderId="1" xfId="0" applyNumberFormat="1" applyFont="1" applyFill="1" applyBorder="1" applyAlignment="1">
      <alignment horizontal="center" vertical="center" wrapText="1"/>
    </xf>
    <xf numFmtId="0" fontId="5" fillId="0" borderId="4" xfId="0" applyFont="1" applyBorder="1"/>
    <xf numFmtId="0" fontId="6" fillId="2" borderId="7" xfId="0" applyFont="1" applyFill="1" applyBorder="1" applyAlignment="1">
      <alignment horizontal="left" vertical="center"/>
    </xf>
    <xf numFmtId="0" fontId="5" fillId="0" borderId="8" xfId="0" applyFont="1" applyBorder="1"/>
    <xf numFmtId="0" fontId="1" fillId="2" borderId="1" xfId="0" applyFont="1" applyFill="1" applyBorder="1" applyAlignment="1">
      <alignment horizontal="center" vertical="center" wrapText="1"/>
    </xf>
    <xf numFmtId="165" fontId="1" fillId="2" borderId="1" xfId="0" applyNumberFormat="1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2" fontId="2" fillId="0" borderId="0" xfId="0" applyNumberFormat="1" applyFont="1" applyAlignment="1">
      <alignment horizontal="center" vertical="center" wrapText="1"/>
    </xf>
    <xf numFmtId="0" fontId="5" fillId="0" borderId="5" xfId="0" applyFont="1" applyBorder="1"/>
    <xf numFmtId="0" fontId="1" fillId="0" borderId="0" xfId="0" applyFont="1" applyAlignment="1">
      <alignment horizontal="center" vertical="center" wrapText="1"/>
    </xf>
    <xf numFmtId="0" fontId="5" fillId="0" borderId="6" xfId="0" applyFont="1" applyBorder="1"/>
    <xf numFmtId="0" fontId="2" fillId="0" borderId="0" xfId="0" applyFont="1" applyAlignment="1">
      <alignment horizontal="center" vertical="center" wrapText="1"/>
    </xf>
    <xf numFmtId="44" fontId="1" fillId="0" borderId="0" xfId="0" applyNumberFormat="1" applyFont="1" applyAlignment="1">
      <alignment horizontal="center" vertical="center" wrapText="1"/>
    </xf>
    <xf numFmtId="44" fontId="3" fillId="0" borderId="0" xfId="0" applyNumberFormat="1" applyFont="1" applyAlignment="1">
      <alignment horizontal="center" vertical="center" wrapText="1"/>
    </xf>
    <xf numFmtId="0" fontId="1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calcChain" Target="calcChain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.xml"/><Relationship Id="rId1" Type="http://schemas.openxmlformats.org/officeDocument/2006/relationships/vmlDrawing" Target="../drawings/vmlDrawing18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.xml"/><Relationship Id="rId1" Type="http://schemas.openxmlformats.org/officeDocument/2006/relationships/vmlDrawing" Target="../drawings/vmlDrawing19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.xml"/><Relationship Id="rId1" Type="http://schemas.openxmlformats.org/officeDocument/2006/relationships/vmlDrawing" Target="../drawings/vmlDrawing20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21.xml"/><Relationship Id="rId1" Type="http://schemas.openxmlformats.org/officeDocument/2006/relationships/vmlDrawing" Target="../drawings/vmlDrawing21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2.xml"/><Relationship Id="rId1" Type="http://schemas.openxmlformats.org/officeDocument/2006/relationships/vmlDrawing" Target="../drawings/vmlDrawing22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3.xml"/><Relationship Id="rId1" Type="http://schemas.openxmlformats.org/officeDocument/2006/relationships/vmlDrawing" Target="../drawings/vmlDrawing23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4.xml"/><Relationship Id="rId1" Type="http://schemas.openxmlformats.org/officeDocument/2006/relationships/vmlDrawing" Target="../drawings/vmlDrawing24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5.xml"/><Relationship Id="rId1" Type="http://schemas.openxmlformats.org/officeDocument/2006/relationships/vmlDrawing" Target="../drawings/vmlDrawing25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26.xml"/><Relationship Id="rId1" Type="http://schemas.openxmlformats.org/officeDocument/2006/relationships/vmlDrawing" Target="../drawings/vmlDrawing26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7.xml"/><Relationship Id="rId1" Type="http://schemas.openxmlformats.org/officeDocument/2006/relationships/vmlDrawing" Target="../drawings/vmlDrawing27.v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8.xml"/><Relationship Id="rId1" Type="http://schemas.openxmlformats.org/officeDocument/2006/relationships/vmlDrawing" Target="../drawings/vmlDrawing28.v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9.xml"/><Relationship Id="rId1" Type="http://schemas.openxmlformats.org/officeDocument/2006/relationships/vmlDrawing" Target="../drawings/vmlDrawing29.v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comments" Target="../comments30.xml"/><Relationship Id="rId1" Type="http://schemas.openxmlformats.org/officeDocument/2006/relationships/vmlDrawing" Target="../drawings/vmlDrawing30.v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comments" Target="../comments31.xml"/><Relationship Id="rId1" Type="http://schemas.openxmlformats.org/officeDocument/2006/relationships/vmlDrawing" Target="../drawings/vmlDrawing31.v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comments" Target="../comments32.xml"/><Relationship Id="rId1" Type="http://schemas.openxmlformats.org/officeDocument/2006/relationships/vmlDrawing" Target="../drawings/vmlDrawing32.v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3.xml"/><Relationship Id="rId1" Type="http://schemas.openxmlformats.org/officeDocument/2006/relationships/vmlDrawing" Target="../drawings/vmlDrawing33.v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4.xml"/><Relationship Id="rId1" Type="http://schemas.openxmlformats.org/officeDocument/2006/relationships/vmlDrawing" Target="../drawings/vmlDrawing34.v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5.xml"/><Relationship Id="rId1" Type="http://schemas.openxmlformats.org/officeDocument/2006/relationships/vmlDrawing" Target="../drawings/vmlDrawing35.v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comments" Target="../comments36.xml"/><Relationship Id="rId1" Type="http://schemas.openxmlformats.org/officeDocument/2006/relationships/vmlDrawing" Target="../drawings/vmlDrawing36.v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comments" Target="../comments37.xml"/><Relationship Id="rId1" Type="http://schemas.openxmlformats.org/officeDocument/2006/relationships/vmlDrawing" Target="../drawings/vmlDrawing37.v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comments" Target="../comments38.xml"/><Relationship Id="rId1" Type="http://schemas.openxmlformats.org/officeDocument/2006/relationships/vmlDrawing" Target="../drawings/vmlDrawing38.v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comments" Target="../comments39.xml"/><Relationship Id="rId1" Type="http://schemas.openxmlformats.org/officeDocument/2006/relationships/vmlDrawing" Target="../drawings/vmlDrawing39.v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comments" Target="../comments40.xml"/><Relationship Id="rId1" Type="http://schemas.openxmlformats.org/officeDocument/2006/relationships/vmlDrawing" Target="../drawings/vmlDrawing40.v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comments" Target="../comments41.xml"/><Relationship Id="rId1" Type="http://schemas.openxmlformats.org/officeDocument/2006/relationships/vmlDrawing" Target="../drawings/vmlDrawing41.v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comments" Target="../comments42.xml"/><Relationship Id="rId1" Type="http://schemas.openxmlformats.org/officeDocument/2006/relationships/vmlDrawing" Target="../drawings/vmlDrawing42.v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comments" Target="../comments43.xml"/><Relationship Id="rId1" Type="http://schemas.openxmlformats.org/officeDocument/2006/relationships/vmlDrawing" Target="../drawings/vmlDrawing43.v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4.xml"/><Relationship Id="rId1" Type="http://schemas.openxmlformats.org/officeDocument/2006/relationships/vmlDrawing" Target="../drawings/vmlDrawing44.v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5.xml"/><Relationship Id="rId1" Type="http://schemas.openxmlformats.org/officeDocument/2006/relationships/vmlDrawing" Target="../drawings/vmlDrawing45.v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6.xml"/><Relationship Id="rId1" Type="http://schemas.openxmlformats.org/officeDocument/2006/relationships/vmlDrawing" Target="../drawings/vmlDrawing46.v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comments" Target="../comments47.xml"/><Relationship Id="rId1" Type="http://schemas.openxmlformats.org/officeDocument/2006/relationships/vmlDrawing" Target="../drawings/vmlDrawing47.v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comments" Target="../comments48.xml"/><Relationship Id="rId1" Type="http://schemas.openxmlformats.org/officeDocument/2006/relationships/vmlDrawing" Target="../drawings/vmlDrawing48.v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comments" Target="../comments49.xml"/><Relationship Id="rId1" Type="http://schemas.openxmlformats.org/officeDocument/2006/relationships/vmlDrawing" Target="../drawings/vmlDrawing49.v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comments" Target="../comments50.xml"/><Relationship Id="rId1" Type="http://schemas.openxmlformats.org/officeDocument/2006/relationships/vmlDrawing" Target="../drawings/vmlDrawing50.v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comments" Target="../comments51.xml"/><Relationship Id="rId1" Type="http://schemas.openxmlformats.org/officeDocument/2006/relationships/vmlDrawing" Target="../drawings/vmlDrawing51.v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comments" Target="../comments52.xml"/><Relationship Id="rId1" Type="http://schemas.openxmlformats.org/officeDocument/2006/relationships/vmlDrawing" Target="../drawings/vmlDrawing52.v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comments" Target="../comments53.xml"/><Relationship Id="rId1" Type="http://schemas.openxmlformats.org/officeDocument/2006/relationships/vmlDrawing" Target="../drawings/vmlDrawing53.v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comments" Target="../comments54.xml"/><Relationship Id="rId1" Type="http://schemas.openxmlformats.org/officeDocument/2006/relationships/vmlDrawing" Target="../drawings/vmlDrawing54.v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5.xml"/><Relationship Id="rId1" Type="http://schemas.openxmlformats.org/officeDocument/2006/relationships/vmlDrawing" Target="../drawings/vmlDrawing55.v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6.xml"/><Relationship Id="rId1" Type="http://schemas.openxmlformats.org/officeDocument/2006/relationships/vmlDrawing" Target="../drawings/vmlDrawing56.v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comments" Target="../comments57.xml"/><Relationship Id="rId1" Type="http://schemas.openxmlformats.org/officeDocument/2006/relationships/vmlDrawing" Target="../drawings/vmlDrawing57.v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comments" Target="../comments58.xml"/><Relationship Id="rId1" Type="http://schemas.openxmlformats.org/officeDocument/2006/relationships/vmlDrawing" Target="../drawings/vmlDrawing58.v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comments" Target="../comments59.xml"/><Relationship Id="rId1" Type="http://schemas.openxmlformats.org/officeDocument/2006/relationships/vmlDrawing" Target="../drawings/vmlDrawing59.v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comments" Target="../comments60.xml"/><Relationship Id="rId1" Type="http://schemas.openxmlformats.org/officeDocument/2006/relationships/vmlDrawing" Target="../drawings/vmlDrawing60.v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comments" Target="../comments61.xml"/><Relationship Id="rId1" Type="http://schemas.openxmlformats.org/officeDocument/2006/relationships/vmlDrawing" Target="../drawings/vmlDrawing61.vm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comments" Target="../comments62.xml"/><Relationship Id="rId1" Type="http://schemas.openxmlformats.org/officeDocument/2006/relationships/vmlDrawing" Target="../drawings/vmlDrawing62.v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comments" Target="../comments63.xml"/><Relationship Id="rId1" Type="http://schemas.openxmlformats.org/officeDocument/2006/relationships/vmlDrawing" Target="../drawings/vmlDrawing63.v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comments" Target="../comments64.xml"/><Relationship Id="rId1" Type="http://schemas.openxmlformats.org/officeDocument/2006/relationships/vmlDrawing" Target="../drawings/vmlDrawing64.v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comments" Target="../comments65.xml"/><Relationship Id="rId1" Type="http://schemas.openxmlformats.org/officeDocument/2006/relationships/vmlDrawing" Target="../drawings/vmlDrawing65.v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6.xml"/><Relationship Id="rId1" Type="http://schemas.openxmlformats.org/officeDocument/2006/relationships/vmlDrawing" Target="../drawings/vmlDrawing66.v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7.xml"/><Relationship Id="rId1" Type="http://schemas.openxmlformats.org/officeDocument/2006/relationships/vmlDrawing" Target="../drawings/vmlDrawing67.v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comments" Target="../comments68.xml"/><Relationship Id="rId1" Type="http://schemas.openxmlformats.org/officeDocument/2006/relationships/vmlDrawing" Target="../drawings/vmlDrawing68.v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comments" Target="../comments69.xml"/><Relationship Id="rId1" Type="http://schemas.openxmlformats.org/officeDocument/2006/relationships/vmlDrawing" Target="../drawings/vmlDrawing69.v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comments" Target="../comments70.xml"/><Relationship Id="rId1" Type="http://schemas.openxmlformats.org/officeDocument/2006/relationships/vmlDrawing" Target="../drawings/vmlDrawing70.v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comments" Target="../comments71.xml"/><Relationship Id="rId1" Type="http://schemas.openxmlformats.org/officeDocument/2006/relationships/vmlDrawing" Target="../drawings/vmlDrawing71.v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comments" Target="../comments72.xml"/><Relationship Id="rId1" Type="http://schemas.openxmlformats.org/officeDocument/2006/relationships/vmlDrawing" Target="../drawings/vmlDrawing72.v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comments" Target="../comments73.xml"/><Relationship Id="rId1" Type="http://schemas.openxmlformats.org/officeDocument/2006/relationships/vmlDrawing" Target="../drawings/vmlDrawing73.v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comments" Target="../comments74.xml"/><Relationship Id="rId1" Type="http://schemas.openxmlformats.org/officeDocument/2006/relationships/vmlDrawing" Target="../drawings/vmlDrawing74.v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comments" Target="../comments75.xml"/><Relationship Id="rId1" Type="http://schemas.openxmlformats.org/officeDocument/2006/relationships/vmlDrawing" Target="../drawings/vmlDrawing75.v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comments" Target="../comments76.xml"/><Relationship Id="rId1" Type="http://schemas.openxmlformats.org/officeDocument/2006/relationships/vmlDrawing" Target="../drawings/vmlDrawing76.v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7.xml"/><Relationship Id="rId1" Type="http://schemas.openxmlformats.org/officeDocument/2006/relationships/vmlDrawing" Target="../drawings/vmlDrawing77.v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8.xml"/><Relationship Id="rId1" Type="http://schemas.openxmlformats.org/officeDocument/2006/relationships/vmlDrawing" Target="../drawings/vmlDrawing78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1000"/>
  <sheetViews>
    <sheetView tabSelected="1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R32" sqref="R32"/>
    </sheetView>
  </sheetViews>
  <sheetFormatPr baseColWidth="10" defaultColWidth="12.6640625" defaultRowHeight="15" customHeight="1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8.6640625" customWidth="1"/>
    <col min="6" max="6" width="10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9.6640625" customWidth="1"/>
    <col min="16" max="16" width="8.1640625" customWidth="1"/>
    <col min="17" max="18" width="7.33203125" customWidth="1"/>
    <col min="19" max="19" width="7.1640625" customWidth="1"/>
    <col min="20" max="20" width="11.1640625" customWidth="1"/>
    <col min="21" max="21" width="13.5" customWidth="1"/>
    <col min="22" max="22" width="22" customWidth="1"/>
    <col min="23" max="24" width="7.6640625" customWidth="1"/>
    <col min="25" max="25" width="8.1640625" customWidth="1"/>
    <col min="26" max="26" width="11.1640625" customWidth="1"/>
    <col min="27" max="27" width="10.6640625" customWidth="1"/>
    <col min="28" max="28" width="9.6640625" customWidth="1"/>
    <col min="29" max="29" width="7.1640625" customWidth="1"/>
    <col min="30" max="30" width="10.83203125" customWidth="1"/>
    <col min="31" max="31" width="7.6640625" customWidth="1"/>
    <col min="32" max="32" width="10.1640625" customWidth="1"/>
    <col min="33" max="33" width="8.83203125" customWidth="1"/>
  </cols>
  <sheetData>
    <row r="1" spans="1:33" ht="18.75" customHeight="1">
      <c r="A1" s="46" t="str">
        <f ca="1">IFERROR(__xludf.DUMMYFUNCTION("IFERROR(VLOOKUP(B2,IMPORTRANGE(""https://docs.google.com/spreadsheets/d/1x0DhHglkXKoEBOD2MBsuK_EyIr1ouxD2ftIpqOYFa-k/edit?usp=sharing"",""Ubiquitty-SKU-Specific Info!B1:BJ5000""),3,FALSE),"""")"),"10 Foot Outdoor Extension Cord - 10/3 SJTW Black 10 Gauge Extension Cable with 3 Prong Grounded Plug for Safety - Great for Garden and Major Appliances")</f>
        <v>10 Foot Outdoor Extension Cord - 10/3 SJTW Black 10 Gauge Extension Cable with 3 Prong Grounded Plug for Safety - Great for Garden and Major Appliances</v>
      </c>
      <c r="B1" s="47"/>
      <c r="C1" s="48" t="s">
        <v>0</v>
      </c>
      <c r="D1" s="50" t="s">
        <v>1</v>
      </c>
      <c r="E1" s="50" t="s">
        <v>2</v>
      </c>
      <c r="F1" s="52" t="s">
        <v>3</v>
      </c>
      <c r="G1" s="52" t="s">
        <v>4</v>
      </c>
      <c r="H1" s="53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58" t="s">
        <v>10</v>
      </c>
      <c r="N1" s="59" t="s">
        <v>11</v>
      </c>
      <c r="O1" s="50" t="s">
        <v>12</v>
      </c>
      <c r="P1" s="50" t="s">
        <v>13</v>
      </c>
      <c r="Q1" s="57" t="s">
        <v>14</v>
      </c>
      <c r="R1" s="57" t="s">
        <v>15</v>
      </c>
      <c r="S1" s="60" t="s">
        <v>16</v>
      </c>
      <c r="T1" s="62" t="s">
        <v>2006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Info!B1:BJ5000""),2,FALSE),"""")"),"B08NFHZPXP")</f>
        <v>B08NFHZPXP</v>
      </c>
      <c r="B2" s="3" t="s">
        <v>30</v>
      </c>
      <c r="C2" s="49"/>
      <c r="D2" s="49"/>
      <c r="E2" s="51"/>
      <c r="F2" s="49"/>
      <c r="G2" s="49"/>
      <c r="H2" s="54"/>
      <c r="I2" s="49"/>
      <c r="J2" s="49"/>
      <c r="K2" s="54"/>
      <c r="L2" s="54"/>
      <c r="M2" s="54"/>
      <c r="N2" s="49"/>
      <c r="O2" s="49"/>
      <c r="P2" s="51"/>
      <c r="Q2" s="49"/>
      <c r="R2" s="49"/>
      <c r="S2" s="61"/>
      <c r="T2" s="47"/>
      <c r="U2" s="63"/>
      <c r="V2" s="63"/>
      <c r="W2" s="47"/>
      <c r="X2" s="47"/>
      <c r="Y2" s="47"/>
      <c r="Z2" s="47"/>
      <c r="AA2" s="63"/>
      <c r="AB2" s="63"/>
      <c r="AC2" s="63"/>
      <c r="AD2" s="63"/>
      <c r="AE2" s="47"/>
      <c r="AF2" s="47"/>
      <c r="AG2" s="47"/>
    </row>
    <row r="3" spans="1:33" ht="33.75" customHeight="1">
      <c r="A3" s="55" t="s">
        <v>31</v>
      </c>
      <c r="B3" s="56"/>
      <c r="C3" s="4">
        <f>((AE32+AF32)/0.85)*-1</f>
        <v>14.962322397941175</v>
      </c>
      <c r="D3" s="5">
        <f>SUM(D4:D99765)</f>
        <v>145</v>
      </c>
      <c r="E3" s="5"/>
      <c r="F3" s="6">
        <f t="shared" ref="F3:G3" si="0">SUM(F4:F99765)</f>
        <v>3750.5699999999993</v>
      </c>
      <c r="G3" s="6">
        <f t="shared" si="0"/>
        <v>0</v>
      </c>
      <c r="H3" s="7">
        <f>G3/F3*-1</f>
        <v>0</v>
      </c>
      <c r="I3" s="8">
        <f>J3/F3</f>
        <v>0.36047388286216608</v>
      </c>
      <c r="J3" s="6">
        <f>SUM(J4:J99765)</f>
        <v>1351.9825308463539</v>
      </c>
      <c r="K3" s="6">
        <f>J3/D3</f>
        <v>9.324017454112786</v>
      </c>
      <c r="L3" s="5"/>
      <c r="M3" s="9"/>
      <c r="N3" s="10"/>
      <c r="O3" s="5" t="str">
        <f ca="1">IFERROR(__xludf.DUMMYFUNCTION("VLOOKUP(B2,IMPORTRANGE(""https://docs.google.com/spreadsheets/d/1N8jvpEHDVkurDv7NrPxwI3eH6hQsvtb1QltGNCalRjU/edit#gid=865736387"",""Compiled Sheet!a1:g5000""),2,FALSE)"),"5 - March
5 - April
5 - May
5 - June
5 - July
5 - Aug
5 - Sept
5 - Oct
5 - Nov
5 - Dec
 - Jan
 - Feb")</f>
        <v>5 - March
5 - April
5 - May
5 - June
5 - July
5 - Aug
5 - Sept
5 - Oct
5 - Nov
5 -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0</v>
      </c>
      <c r="X3" s="7">
        <f>W3/D3</f>
        <v>0</v>
      </c>
      <c r="Y3" s="6"/>
      <c r="Z3" s="5"/>
      <c r="AA3" s="5"/>
      <c r="AB3" s="5"/>
      <c r="AC3" s="5"/>
      <c r="AD3" s="6">
        <f>SUM(AD4:AD99765)</f>
        <v>-15.386969153645833</v>
      </c>
      <c r="AE3" s="6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Info!B2:BZ3000""),37,FALSE)),"""")*-1"),-7.29797403825)</f>
        <v>-7.2979740382499996</v>
      </c>
      <c r="AG3" s="6">
        <f>SUM(AG4:AG99765)</f>
        <v>0</v>
      </c>
    </row>
    <row r="4" spans="1:33" ht="15.75" hidden="1" customHeight="1">
      <c r="A4" s="14"/>
      <c r="B4" s="14"/>
      <c r="C4" s="15"/>
      <c r="D4" s="16"/>
      <c r="E4" s="16"/>
      <c r="F4" s="17"/>
      <c r="G4" s="17"/>
      <c r="H4" s="18"/>
      <c r="I4" s="18"/>
      <c r="J4" s="17"/>
      <c r="K4" s="17"/>
      <c r="L4" s="16"/>
      <c r="M4" s="19"/>
      <c r="N4" s="16"/>
      <c r="O4" s="20"/>
      <c r="P4" s="20"/>
      <c r="Q4" s="16"/>
      <c r="R4" s="16"/>
      <c r="S4" s="21"/>
      <c r="T4" s="14"/>
      <c r="U4" s="22"/>
      <c r="V4" s="23"/>
      <c r="W4" s="14"/>
      <c r="X4" s="24"/>
      <c r="Y4" s="25"/>
      <c r="Z4" s="14"/>
      <c r="AA4" s="26"/>
      <c r="AB4" s="27"/>
      <c r="AC4" s="28"/>
      <c r="AD4" s="25"/>
      <c r="AE4" s="25"/>
      <c r="AF4" s="25"/>
      <c r="AG4" s="25"/>
    </row>
    <row r="5" spans="1:33" ht="15.75" hidden="1" customHeight="1">
      <c r="A5" s="14"/>
      <c r="B5" s="14"/>
      <c r="C5" s="15"/>
      <c r="D5" s="16"/>
      <c r="E5" s="16"/>
      <c r="F5" s="29"/>
      <c r="G5" s="29"/>
      <c r="H5" s="18"/>
      <c r="I5" s="18"/>
      <c r="J5" s="17"/>
      <c r="K5" s="17"/>
      <c r="L5" s="16"/>
      <c r="M5" s="19"/>
      <c r="N5" s="16"/>
      <c r="O5" s="20"/>
      <c r="P5" s="20"/>
      <c r="Q5" s="16"/>
      <c r="R5" s="16"/>
      <c r="S5" s="21"/>
      <c r="T5" s="14"/>
      <c r="U5" s="22"/>
      <c r="V5" s="23"/>
      <c r="W5" s="14"/>
      <c r="X5" s="24"/>
      <c r="Y5" s="25"/>
      <c r="Z5" s="14"/>
      <c r="AA5" s="14"/>
      <c r="AB5" s="27"/>
      <c r="AC5" s="28"/>
      <c r="AD5" s="25"/>
      <c r="AE5" s="25"/>
      <c r="AF5" s="25"/>
      <c r="AG5" s="25"/>
    </row>
    <row r="6" spans="1:33" ht="15.75" hidden="1" customHeight="1">
      <c r="A6" s="14"/>
      <c r="B6" s="14"/>
      <c r="C6" s="15"/>
      <c r="D6" s="16"/>
      <c r="E6" s="16"/>
      <c r="F6" s="29"/>
      <c r="G6" s="29"/>
      <c r="H6" s="18"/>
      <c r="I6" s="18"/>
      <c r="J6" s="17"/>
      <c r="K6" s="17"/>
      <c r="L6" s="16"/>
      <c r="M6" s="19"/>
      <c r="N6" s="16"/>
      <c r="O6" s="20"/>
      <c r="P6" s="20"/>
      <c r="Q6" s="16"/>
      <c r="R6" s="16"/>
      <c r="S6" s="21"/>
      <c r="T6" s="14"/>
      <c r="U6" s="22"/>
      <c r="V6" s="23"/>
      <c r="W6" s="14"/>
      <c r="X6" s="24"/>
      <c r="Y6" s="25"/>
      <c r="Z6" s="14"/>
      <c r="AA6" s="14"/>
      <c r="AB6" s="27"/>
      <c r="AC6" s="28"/>
      <c r="AD6" s="25"/>
      <c r="AE6" s="25"/>
      <c r="AF6" s="25"/>
      <c r="AG6" s="25"/>
    </row>
    <row r="7" spans="1:33" ht="15.75" hidden="1" customHeight="1">
      <c r="A7" s="14"/>
      <c r="B7" s="14"/>
      <c r="C7" s="15"/>
      <c r="D7" s="16"/>
      <c r="E7" s="16"/>
      <c r="F7" s="29"/>
      <c r="G7" s="29"/>
      <c r="H7" s="18"/>
      <c r="I7" s="18"/>
      <c r="J7" s="17"/>
      <c r="K7" s="17"/>
      <c r="L7" s="16"/>
      <c r="M7" s="19"/>
      <c r="N7" s="16"/>
      <c r="O7" s="20"/>
      <c r="P7" s="20"/>
      <c r="Q7" s="16"/>
      <c r="R7" s="16"/>
      <c r="S7" s="21"/>
      <c r="T7" s="14"/>
      <c r="U7" s="22"/>
      <c r="V7" s="23"/>
      <c r="W7" s="14"/>
      <c r="X7" s="24"/>
      <c r="Y7" s="25"/>
      <c r="Z7" s="14"/>
      <c r="AA7" s="14"/>
      <c r="AB7" s="27"/>
      <c r="AC7" s="28"/>
      <c r="AD7" s="25"/>
      <c r="AE7" s="25"/>
      <c r="AF7" s="25"/>
      <c r="AG7" s="25"/>
    </row>
    <row r="8" spans="1:33" ht="15.75" hidden="1" customHeight="1">
      <c r="A8" s="14"/>
      <c r="B8" s="14"/>
      <c r="C8" s="15"/>
      <c r="D8" s="16"/>
      <c r="E8" s="16"/>
      <c r="F8" s="29"/>
      <c r="G8" s="29"/>
      <c r="H8" s="18"/>
      <c r="I8" s="18"/>
      <c r="J8" s="17"/>
      <c r="K8" s="17"/>
      <c r="L8" s="16"/>
      <c r="M8" s="19"/>
      <c r="N8" s="16"/>
      <c r="O8" s="20"/>
      <c r="P8" s="20"/>
      <c r="Q8" s="16"/>
      <c r="R8" s="16"/>
      <c r="S8" s="21"/>
      <c r="T8" s="14"/>
      <c r="U8" s="22"/>
      <c r="V8" s="23"/>
      <c r="W8" s="14"/>
      <c r="X8" s="24"/>
      <c r="Y8" s="25"/>
      <c r="Z8" s="14"/>
      <c r="AA8" s="14"/>
      <c r="AB8" s="27"/>
      <c r="AC8" s="28"/>
      <c r="AD8" s="25"/>
      <c r="AE8" s="25"/>
      <c r="AF8" s="25"/>
      <c r="AG8" s="25"/>
    </row>
    <row r="9" spans="1:33" ht="15.75" hidden="1" customHeight="1">
      <c r="A9" s="14"/>
      <c r="B9" s="14"/>
      <c r="C9" s="15"/>
      <c r="D9" s="16"/>
      <c r="E9" s="16"/>
      <c r="F9" s="29"/>
      <c r="G9" s="29"/>
      <c r="H9" s="18"/>
      <c r="I9" s="18"/>
      <c r="J9" s="17"/>
      <c r="K9" s="17"/>
      <c r="L9" s="16"/>
      <c r="M9" s="19"/>
      <c r="N9" s="16"/>
      <c r="O9" s="20"/>
      <c r="P9" s="20"/>
      <c r="Q9" s="16"/>
      <c r="R9" s="16"/>
      <c r="S9" s="21"/>
      <c r="T9" s="14"/>
      <c r="U9" s="22"/>
      <c r="V9" s="23"/>
      <c r="W9" s="14"/>
      <c r="X9" s="24"/>
      <c r="Y9" s="25"/>
      <c r="Z9" s="14"/>
      <c r="AA9" s="14"/>
      <c r="AB9" s="27"/>
      <c r="AC9" s="28"/>
      <c r="AD9" s="25"/>
      <c r="AE9" s="25"/>
      <c r="AF9" s="25"/>
      <c r="AG9" s="25"/>
    </row>
    <row r="10" spans="1:33" ht="15.75" hidden="1" customHeight="1">
      <c r="A10" s="14"/>
      <c r="B10" s="14"/>
      <c r="C10" s="15"/>
      <c r="D10" s="16"/>
      <c r="E10" s="16"/>
      <c r="F10" s="29"/>
      <c r="G10" s="29"/>
      <c r="H10" s="18"/>
      <c r="I10" s="18"/>
      <c r="J10" s="17"/>
      <c r="K10" s="17"/>
      <c r="L10" s="16"/>
      <c r="M10" s="19"/>
      <c r="N10" s="16"/>
      <c r="O10" s="20"/>
      <c r="P10" s="20"/>
      <c r="Q10" s="16"/>
      <c r="R10" s="16"/>
      <c r="S10" s="21"/>
      <c r="T10" s="14"/>
      <c r="U10" s="22"/>
      <c r="V10" s="23"/>
      <c r="W10" s="14"/>
      <c r="X10" s="24"/>
      <c r="Y10" s="25"/>
      <c r="Z10" s="14"/>
      <c r="AA10" s="14"/>
      <c r="AB10" s="27"/>
      <c r="AC10" s="28"/>
      <c r="AD10" s="25"/>
      <c r="AE10" s="25"/>
      <c r="AF10" s="25"/>
      <c r="AG10" s="25"/>
    </row>
    <row r="11" spans="1:33" ht="15.75" hidden="1" customHeight="1">
      <c r="A11" s="14"/>
      <c r="B11" s="14"/>
      <c r="C11" s="15"/>
      <c r="D11" s="16"/>
      <c r="E11" s="16"/>
      <c r="F11" s="29"/>
      <c r="G11" s="29"/>
      <c r="H11" s="18"/>
      <c r="I11" s="18"/>
      <c r="J11" s="17"/>
      <c r="K11" s="17"/>
      <c r="L11" s="16"/>
      <c r="M11" s="19"/>
      <c r="N11" s="16"/>
      <c r="O11" s="20"/>
      <c r="P11" s="20"/>
      <c r="Q11" s="16"/>
      <c r="R11" s="16"/>
      <c r="S11" s="21"/>
      <c r="T11" s="14"/>
      <c r="U11" s="22"/>
      <c r="V11" s="23"/>
      <c r="W11" s="14"/>
      <c r="X11" s="24"/>
      <c r="Y11" s="25"/>
      <c r="Z11" s="14"/>
      <c r="AA11" s="14"/>
      <c r="AB11" s="27"/>
      <c r="AC11" s="28"/>
      <c r="AD11" s="25"/>
      <c r="AE11" s="25"/>
      <c r="AF11" s="25"/>
      <c r="AG11" s="25"/>
    </row>
    <row r="12" spans="1:33" ht="15.75" hidden="1" customHeight="1">
      <c r="A12" s="14"/>
      <c r="B12" s="14"/>
      <c r="C12" s="15"/>
      <c r="D12" s="16"/>
      <c r="E12" s="16"/>
      <c r="F12" s="29"/>
      <c r="G12" s="29"/>
      <c r="H12" s="18"/>
      <c r="I12" s="18"/>
      <c r="J12" s="17"/>
      <c r="K12" s="17"/>
      <c r="L12" s="16"/>
      <c r="M12" s="19"/>
      <c r="N12" s="16"/>
      <c r="O12" s="20"/>
      <c r="P12" s="20"/>
      <c r="Q12" s="16"/>
      <c r="R12" s="16"/>
      <c r="S12" s="21"/>
      <c r="T12" s="14"/>
      <c r="U12" s="22"/>
      <c r="V12" s="23"/>
      <c r="W12" s="14"/>
      <c r="X12" s="24"/>
      <c r="Y12" s="25"/>
      <c r="Z12" s="14"/>
      <c r="AA12" s="14"/>
      <c r="AB12" s="27"/>
      <c r="AC12" s="28"/>
      <c r="AD12" s="25"/>
      <c r="AE12" s="25"/>
      <c r="AF12" s="25"/>
      <c r="AG12" s="25"/>
    </row>
    <row r="13" spans="1:33" ht="15.75" hidden="1" customHeight="1">
      <c r="A13" s="14"/>
      <c r="B13" s="14"/>
      <c r="C13" s="15"/>
      <c r="D13" s="16"/>
      <c r="E13" s="16"/>
      <c r="F13" s="17"/>
      <c r="G13" s="29"/>
      <c r="H13" s="18"/>
      <c r="I13" s="18"/>
      <c r="J13" s="17"/>
      <c r="K13" s="17"/>
      <c r="L13" s="16"/>
      <c r="M13" s="19"/>
      <c r="N13" s="16"/>
      <c r="O13" s="20"/>
      <c r="P13" s="20"/>
      <c r="Q13" s="16"/>
      <c r="R13" s="16"/>
      <c r="S13" s="21"/>
      <c r="T13" s="14"/>
      <c r="U13" s="22"/>
      <c r="V13" s="23"/>
      <c r="W13" s="14"/>
      <c r="X13" s="24"/>
      <c r="Y13" s="25"/>
      <c r="Z13" s="14"/>
      <c r="AA13" s="14"/>
      <c r="AB13" s="27"/>
      <c r="AC13" s="28"/>
      <c r="AD13" s="25"/>
      <c r="AE13" s="25"/>
      <c r="AF13" s="25"/>
      <c r="AG13" s="25"/>
    </row>
    <row r="14" spans="1:33" ht="15.75" customHeight="1">
      <c r="A14" s="14" t="s">
        <v>32</v>
      </c>
      <c r="B14" s="14" t="s">
        <v>33</v>
      </c>
      <c r="C14" s="15">
        <f t="shared" ref="C14:C32" si="1">IFERROR(F14/D14," - ")</f>
        <v>17.989999999999998</v>
      </c>
      <c r="D14" s="16">
        <v>5</v>
      </c>
      <c r="E14" s="16">
        <v>0</v>
      </c>
      <c r="F14" s="17">
        <v>89.949999999999989</v>
      </c>
      <c r="G14" s="29">
        <v>0</v>
      </c>
      <c r="H14" s="18">
        <f t="shared" ref="H14:H32" si="2">G14/F14*-1</f>
        <v>0</v>
      </c>
      <c r="I14" s="18">
        <f t="shared" ref="I14:I32" si="3">J14/F14</f>
        <v>0.14843707456109853</v>
      </c>
      <c r="J14" s="17">
        <f t="shared" ref="J14:J32" si="4">F14*0.85+G14+AF14*D14+D14*AE14+AG14+AD14</f>
        <v>13.351914856770811</v>
      </c>
      <c r="K14" s="17">
        <f t="shared" ref="K14:K32" si="5">J14/D14</f>
        <v>2.6703829713541625</v>
      </c>
      <c r="L14" s="16">
        <v>6</v>
      </c>
      <c r="M14" s="19">
        <f t="shared" ref="M14:M32" si="6">IFERROR(D14/L14,"-")</f>
        <v>0.83333333333333337</v>
      </c>
      <c r="N14" s="16">
        <v>139</v>
      </c>
      <c r="O14" s="20">
        <f t="shared" ref="O14:P14" si="7">D14/7</f>
        <v>0.7142857142857143</v>
      </c>
      <c r="P14" s="20">
        <f t="shared" si="7"/>
        <v>0</v>
      </c>
      <c r="Q14" s="16">
        <f t="shared" ref="Q14:Q32" si="8">ROUNDDOWN(N14/(O14+P14),0)</f>
        <v>194</v>
      </c>
      <c r="R14" s="16"/>
      <c r="S14" s="21">
        <v>2.8169014084507001E-2</v>
      </c>
      <c r="T14" s="14">
        <v>0</v>
      </c>
      <c r="U14" s="22" t="s">
        <v>34</v>
      </c>
      <c r="V14" s="23" t="s">
        <v>34</v>
      </c>
      <c r="W14" s="14">
        <v>0</v>
      </c>
      <c r="X14" s="24">
        <f t="shared" ref="X14:X32" si="9">IFERROR(W14/D14,0)</f>
        <v>0</v>
      </c>
      <c r="Y14" s="25">
        <f t="shared" ref="Y14:Y32" si="10">IFERROR(G14/(W14+Z14)*-1,0)</f>
        <v>0</v>
      </c>
      <c r="Z14" s="14">
        <v>0</v>
      </c>
      <c r="AA14" s="14" t="s">
        <v>35</v>
      </c>
      <c r="AB14" s="27">
        <f t="shared" ref="AB14:AB32" si="11">IF(OR(AA14="UsLargeStandardSize",AA14="UsSmallStandardSize"),-0.69,-0.48)</f>
        <v>-0.69</v>
      </c>
      <c r="AC14" s="28">
        <v>7.6896397569444441E-2</v>
      </c>
      <c r="AD14" s="25">
        <f t="shared" ref="AD14:AD32" si="12">IFERROR(AB14*AC14*D14*2,0)</f>
        <v>-0.53058514322916661</v>
      </c>
      <c r="AE14" s="25">
        <v>-5.42</v>
      </c>
      <c r="AF14" s="25">
        <v>-7.0949999999999998</v>
      </c>
      <c r="AG14" s="25">
        <v>0</v>
      </c>
    </row>
    <row r="15" spans="1:33" ht="15.75" customHeight="1">
      <c r="A15" s="14" t="s">
        <v>36</v>
      </c>
      <c r="B15" s="14" t="s">
        <v>37</v>
      </c>
      <c r="C15" s="15">
        <f t="shared" si="1"/>
        <v>17.990000000000002</v>
      </c>
      <c r="D15" s="16">
        <v>27</v>
      </c>
      <c r="E15" s="16">
        <v>0</v>
      </c>
      <c r="F15" s="17">
        <v>485.73000000000008</v>
      </c>
      <c r="G15" s="29">
        <v>0</v>
      </c>
      <c r="H15" s="18">
        <f t="shared" si="2"/>
        <v>0</v>
      </c>
      <c r="I15" s="18">
        <f t="shared" si="3"/>
        <v>0.14843707456109884</v>
      </c>
      <c r="J15" s="17">
        <f t="shared" si="4"/>
        <v>72.100340226562551</v>
      </c>
      <c r="K15" s="17">
        <f t="shared" si="5"/>
        <v>2.6703829713541687</v>
      </c>
      <c r="L15" s="16">
        <v>61</v>
      </c>
      <c r="M15" s="19">
        <f t="shared" si="6"/>
        <v>0.44262295081967212</v>
      </c>
      <c r="N15" s="16">
        <v>122</v>
      </c>
      <c r="O15" s="20">
        <f t="shared" ref="O15:P15" si="13">D15/7</f>
        <v>3.8571428571428572</v>
      </c>
      <c r="P15" s="20">
        <f t="shared" si="13"/>
        <v>0</v>
      </c>
      <c r="Q15" s="16">
        <f t="shared" si="8"/>
        <v>31</v>
      </c>
      <c r="R15" s="16"/>
      <c r="S15" s="21">
        <v>0.39534883720930197</v>
      </c>
      <c r="T15" s="14">
        <v>0</v>
      </c>
      <c r="U15" s="22" t="s">
        <v>34</v>
      </c>
      <c r="V15" s="23" t="s">
        <v>34</v>
      </c>
      <c r="W15" s="14">
        <v>0</v>
      </c>
      <c r="X15" s="24">
        <f t="shared" si="9"/>
        <v>0</v>
      </c>
      <c r="Y15" s="25">
        <f t="shared" si="10"/>
        <v>0</v>
      </c>
      <c r="Z15" s="14">
        <v>0</v>
      </c>
      <c r="AA15" s="14" t="s">
        <v>35</v>
      </c>
      <c r="AB15" s="27">
        <f t="shared" si="11"/>
        <v>-0.69</v>
      </c>
      <c r="AC15" s="28">
        <v>7.6896397569444441E-2</v>
      </c>
      <c r="AD15" s="25">
        <f t="shared" si="12"/>
        <v>-2.8651597734374996</v>
      </c>
      <c r="AE15" s="25">
        <v>-5.42</v>
      </c>
      <c r="AF15" s="25">
        <v>-7.0949999999999998</v>
      </c>
      <c r="AG15" s="25">
        <v>0</v>
      </c>
    </row>
    <row r="16" spans="1:33" ht="15.75" customHeight="1">
      <c r="A16" s="14" t="s">
        <v>38</v>
      </c>
      <c r="B16" s="14" t="s">
        <v>39</v>
      </c>
      <c r="C16" s="15">
        <f t="shared" si="1"/>
        <v>22.787857142857138</v>
      </c>
      <c r="D16" s="16">
        <v>28</v>
      </c>
      <c r="E16" s="16">
        <v>0</v>
      </c>
      <c r="F16" s="17">
        <v>638.05999999999983</v>
      </c>
      <c r="G16" s="29">
        <v>0</v>
      </c>
      <c r="H16" s="18">
        <f t="shared" si="2"/>
        <v>0</v>
      </c>
      <c r="I16" s="18">
        <f t="shared" si="3"/>
        <v>0.29614726389041257</v>
      </c>
      <c r="J16" s="17">
        <f t="shared" si="4"/>
        <v>188.95972319791659</v>
      </c>
      <c r="K16" s="17">
        <f t="shared" si="5"/>
        <v>6.7485615427827357</v>
      </c>
      <c r="L16" s="16">
        <v>67</v>
      </c>
      <c r="M16" s="19">
        <f t="shared" si="6"/>
        <v>0.41791044776119401</v>
      </c>
      <c r="N16" s="16">
        <v>80</v>
      </c>
      <c r="O16" s="20">
        <f t="shared" ref="O16:P16" si="14">D16/7</f>
        <v>4</v>
      </c>
      <c r="P16" s="20">
        <f t="shared" si="14"/>
        <v>0</v>
      </c>
      <c r="Q16" s="16">
        <f t="shared" si="8"/>
        <v>20</v>
      </c>
      <c r="R16" s="16"/>
      <c r="S16" s="21">
        <v>1.8705882352941099</v>
      </c>
      <c r="T16" s="14">
        <v>0</v>
      </c>
      <c r="U16" s="22" t="s">
        <v>34</v>
      </c>
      <c r="V16" s="23" t="s">
        <v>34</v>
      </c>
      <c r="W16" s="14">
        <v>0</v>
      </c>
      <c r="X16" s="24">
        <f t="shared" si="9"/>
        <v>0</v>
      </c>
      <c r="Y16" s="25">
        <f t="shared" si="10"/>
        <v>0</v>
      </c>
      <c r="Z16" s="14">
        <v>0</v>
      </c>
      <c r="AA16" s="14" t="s">
        <v>35</v>
      </c>
      <c r="AB16" s="27">
        <f t="shared" si="11"/>
        <v>-0.69</v>
      </c>
      <c r="AC16" s="28">
        <v>7.6896397569444441E-2</v>
      </c>
      <c r="AD16" s="25">
        <f t="shared" si="12"/>
        <v>-2.9712768020833331</v>
      </c>
      <c r="AE16" s="25">
        <v>-5.42</v>
      </c>
      <c r="AF16" s="25">
        <v>-7.0949999999999998</v>
      </c>
      <c r="AG16" s="25">
        <v>0</v>
      </c>
    </row>
    <row r="17" spans="1:33" ht="15.75" customHeight="1">
      <c r="A17" s="14" t="s">
        <v>40</v>
      </c>
      <c r="B17" s="14" t="s">
        <v>41</v>
      </c>
      <c r="C17" s="15">
        <f t="shared" si="1"/>
        <v>26.85</v>
      </c>
      <c r="D17" s="16">
        <v>29</v>
      </c>
      <c r="E17" s="16">
        <v>0</v>
      </c>
      <c r="F17" s="17">
        <v>778.65000000000009</v>
      </c>
      <c r="G17" s="29">
        <v>0</v>
      </c>
      <c r="H17" s="18">
        <f t="shared" si="2"/>
        <v>0</v>
      </c>
      <c r="I17" s="18">
        <f t="shared" si="3"/>
        <v>0.37993977546942892</v>
      </c>
      <c r="J17" s="17">
        <f t="shared" si="4"/>
        <v>295.84010616927088</v>
      </c>
      <c r="K17" s="17">
        <f t="shared" si="5"/>
        <v>10.201382971354167</v>
      </c>
      <c r="L17" s="16">
        <v>86</v>
      </c>
      <c r="M17" s="19">
        <f t="shared" si="6"/>
        <v>0.33720930232558138</v>
      </c>
      <c r="N17" s="16">
        <v>59</v>
      </c>
      <c r="O17" s="20">
        <f t="shared" ref="O17:P17" si="15">D17/7</f>
        <v>4.1428571428571432</v>
      </c>
      <c r="P17" s="20">
        <f t="shared" si="15"/>
        <v>0</v>
      </c>
      <c r="Q17" s="16">
        <f t="shared" si="8"/>
        <v>14</v>
      </c>
      <c r="R17" s="16"/>
      <c r="S17" s="21">
        <v>3.25714285714285</v>
      </c>
      <c r="T17" s="14">
        <v>0</v>
      </c>
      <c r="U17" s="22" t="s">
        <v>34</v>
      </c>
      <c r="V17" s="23" t="s">
        <v>34</v>
      </c>
      <c r="W17" s="14">
        <v>0</v>
      </c>
      <c r="X17" s="24">
        <f t="shared" si="9"/>
        <v>0</v>
      </c>
      <c r="Y17" s="25">
        <f t="shared" si="10"/>
        <v>0</v>
      </c>
      <c r="Z17" s="14">
        <v>0</v>
      </c>
      <c r="AA17" s="14" t="s">
        <v>35</v>
      </c>
      <c r="AB17" s="27">
        <f t="shared" si="11"/>
        <v>-0.69</v>
      </c>
      <c r="AC17" s="28">
        <v>7.6896397569444441E-2</v>
      </c>
      <c r="AD17" s="25">
        <f t="shared" si="12"/>
        <v>-3.0773938307291662</v>
      </c>
      <c r="AE17" s="25">
        <v>-5.42</v>
      </c>
      <c r="AF17" s="25">
        <v>-7.0949999999999998</v>
      </c>
      <c r="AG17" s="25">
        <v>0</v>
      </c>
    </row>
    <row r="18" spans="1:33" ht="15.75" customHeight="1">
      <c r="A18" s="14" t="s">
        <v>42</v>
      </c>
      <c r="B18" s="14" t="s">
        <v>43</v>
      </c>
      <c r="C18" s="15">
        <f t="shared" si="1"/>
        <v>30.107631578947359</v>
      </c>
      <c r="D18" s="16">
        <v>38</v>
      </c>
      <c r="E18" s="16">
        <v>1</v>
      </c>
      <c r="F18" s="17">
        <v>1144.0899999999997</v>
      </c>
      <c r="G18" s="29">
        <v>0</v>
      </c>
      <c r="H18" s="18">
        <f t="shared" si="2"/>
        <v>0</v>
      </c>
      <c r="I18" s="18">
        <f t="shared" si="3"/>
        <v>0.43080007072123533</v>
      </c>
      <c r="J18" s="17">
        <f t="shared" si="4"/>
        <v>492.87405291145802</v>
      </c>
      <c r="K18" s="17">
        <f t="shared" si="5"/>
        <v>12.970369813459422</v>
      </c>
      <c r="L18" s="16">
        <v>105</v>
      </c>
      <c r="M18" s="19">
        <f t="shared" si="6"/>
        <v>0.3619047619047619</v>
      </c>
      <c r="N18" s="16">
        <v>20</v>
      </c>
      <c r="O18" s="20">
        <f t="shared" ref="O18:P18" si="16">D18/7</f>
        <v>5.4285714285714288</v>
      </c>
      <c r="P18" s="20">
        <f t="shared" si="16"/>
        <v>0.14285714285714285</v>
      </c>
      <c r="Q18" s="16">
        <f t="shared" si="8"/>
        <v>3</v>
      </c>
      <c r="R18" s="16"/>
      <c r="S18" s="21">
        <v>1.97142857142857</v>
      </c>
      <c r="T18" s="14">
        <v>0</v>
      </c>
      <c r="U18" s="22">
        <v>0</v>
      </c>
      <c r="V18" s="23" t="s">
        <v>34</v>
      </c>
      <c r="W18" s="14">
        <v>0</v>
      </c>
      <c r="X18" s="24">
        <f t="shared" si="9"/>
        <v>0</v>
      </c>
      <c r="Y18" s="25">
        <f t="shared" si="10"/>
        <v>0</v>
      </c>
      <c r="Z18" s="14">
        <v>0</v>
      </c>
      <c r="AA18" s="14" t="s">
        <v>35</v>
      </c>
      <c r="AB18" s="27">
        <f t="shared" si="11"/>
        <v>-0.69</v>
      </c>
      <c r="AC18" s="28">
        <v>7.6896397569444441E-2</v>
      </c>
      <c r="AD18" s="25">
        <f t="shared" si="12"/>
        <v>-4.0324470885416659</v>
      </c>
      <c r="AE18" s="25">
        <v>-5.42</v>
      </c>
      <c r="AF18" s="25">
        <v>-7.0949999999999998</v>
      </c>
      <c r="AG18" s="25">
        <v>0</v>
      </c>
    </row>
    <row r="19" spans="1:33" ht="15.75" customHeight="1">
      <c r="A19" s="14" t="s">
        <v>44</v>
      </c>
      <c r="B19" s="14" t="s">
        <v>45</v>
      </c>
      <c r="C19" s="15">
        <f t="shared" si="1"/>
        <v>34.310714285714283</v>
      </c>
      <c r="D19" s="16">
        <v>14</v>
      </c>
      <c r="E19" s="16">
        <v>0</v>
      </c>
      <c r="F19" s="17">
        <v>480.34999999999997</v>
      </c>
      <c r="G19" s="29">
        <v>0</v>
      </c>
      <c r="H19" s="18">
        <f t="shared" si="2"/>
        <v>0</v>
      </c>
      <c r="I19" s="18">
        <f t="shared" si="3"/>
        <v>0.472534322054665</v>
      </c>
      <c r="J19" s="17">
        <f t="shared" si="4"/>
        <v>226.98186159895832</v>
      </c>
      <c r="K19" s="17">
        <f t="shared" si="5"/>
        <v>16.212990114211308</v>
      </c>
      <c r="L19" s="16">
        <v>61</v>
      </c>
      <c r="M19" s="19">
        <f t="shared" si="6"/>
        <v>0.22950819672131148</v>
      </c>
      <c r="N19" s="16">
        <v>1</v>
      </c>
      <c r="O19" s="20">
        <f t="shared" ref="O19:P19" si="17">D19/7</f>
        <v>2</v>
      </c>
      <c r="P19" s="20">
        <f t="shared" si="17"/>
        <v>0</v>
      </c>
      <c r="Q19" s="16">
        <f t="shared" si="8"/>
        <v>0</v>
      </c>
      <c r="R19" s="16"/>
      <c r="S19" s="21">
        <v>2.63758389261745</v>
      </c>
      <c r="T19" s="14">
        <v>0</v>
      </c>
      <c r="U19" s="22" t="s">
        <v>34</v>
      </c>
      <c r="V19" s="23" t="s">
        <v>34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14" t="s">
        <v>35</v>
      </c>
      <c r="AB19" s="27">
        <f t="shared" si="11"/>
        <v>-0.69</v>
      </c>
      <c r="AC19" s="28">
        <v>7.6896397569444441E-2</v>
      </c>
      <c r="AD19" s="25">
        <f t="shared" si="12"/>
        <v>-1.4856384010416666</v>
      </c>
      <c r="AE19" s="25">
        <v>-5.42</v>
      </c>
      <c r="AF19" s="25">
        <v>-7.4249999999999998</v>
      </c>
      <c r="AG19" s="25">
        <v>0</v>
      </c>
    </row>
    <row r="20" spans="1:33" ht="15.75" customHeight="1">
      <c r="A20" s="14" t="s">
        <v>46</v>
      </c>
      <c r="B20" s="14"/>
      <c r="C20" s="15" t="str">
        <f t="shared" si="1"/>
        <v xml:space="preserve"> - </v>
      </c>
      <c r="D20" s="16">
        <v>0</v>
      </c>
      <c r="E20" s="16">
        <v>0</v>
      </c>
      <c r="F20" s="17">
        <v>0</v>
      </c>
      <c r="G20" s="29">
        <v>0</v>
      </c>
      <c r="H20" s="18" t="e">
        <f t="shared" si="2"/>
        <v>#DIV/0!</v>
      </c>
      <c r="I20" s="18" t="e">
        <f t="shared" si="3"/>
        <v>#DIV/0!</v>
      </c>
      <c r="J20" s="17">
        <f t="shared" si="4"/>
        <v>0</v>
      </c>
      <c r="K20" s="17" t="e">
        <f t="shared" si="5"/>
        <v>#DIV/0!</v>
      </c>
      <c r="L20" s="16">
        <v>0</v>
      </c>
      <c r="M20" s="19" t="str">
        <f t="shared" si="6"/>
        <v>-</v>
      </c>
      <c r="N20" s="16">
        <v>0</v>
      </c>
      <c r="O20" s="20">
        <f t="shared" ref="O20:P20" si="18">D20/7</f>
        <v>0</v>
      </c>
      <c r="P20" s="20">
        <f t="shared" si="18"/>
        <v>0</v>
      </c>
      <c r="Q20" s="16" t="e">
        <f t="shared" si="8"/>
        <v>#DIV/0!</v>
      </c>
      <c r="R20" s="16"/>
      <c r="S20" s="21">
        <v>5.0357142857142803</v>
      </c>
      <c r="T20" s="14">
        <v>0</v>
      </c>
      <c r="U20" s="22" t="s">
        <v>34</v>
      </c>
      <c r="V20" s="23" t="s">
        <v>34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14" t="s">
        <v>35</v>
      </c>
      <c r="AB20" s="27">
        <f t="shared" si="11"/>
        <v>-0.69</v>
      </c>
      <c r="AC20" s="28">
        <v>7.6896397569444441E-2</v>
      </c>
      <c r="AD20" s="25">
        <f t="shared" si="12"/>
        <v>0</v>
      </c>
      <c r="AE20" s="25">
        <v>-5.42</v>
      </c>
      <c r="AF20" s="25">
        <v>-7.4249999999999998</v>
      </c>
      <c r="AG20" s="25">
        <v>0</v>
      </c>
    </row>
    <row r="21" spans="1:33" ht="15.75" customHeight="1">
      <c r="A21" s="14" t="s">
        <v>47</v>
      </c>
      <c r="B21" s="14" t="s">
        <v>45</v>
      </c>
      <c r="C21" s="15">
        <f t="shared" si="1"/>
        <v>34.5</v>
      </c>
      <c r="D21" s="16">
        <v>1</v>
      </c>
      <c r="E21" s="16">
        <v>0</v>
      </c>
      <c r="F21" s="17">
        <v>34.5</v>
      </c>
      <c r="G21" s="29">
        <v>0</v>
      </c>
      <c r="H21" s="18">
        <f t="shared" si="2"/>
        <v>0</v>
      </c>
      <c r="I21" s="18">
        <f t="shared" si="3"/>
        <v>0.47460530351751196</v>
      </c>
      <c r="J21" s="17">
        <f t="shared" si="4"/>
        <v>16.373882971354163</v>
      </c>
      <c r="K21" s="17">
        <f t="shared" si="5"/>
        <v>16.373882971354163</v>
      </c>
      <c r="L21" s="16">
        <v>5</v>
      </c>
      <c r="M21" s="19">
        <f t="shared" si="6"/>
        <v>0.2</v>
      </c>
      <c r="N21" s="16">
        <v>1</v>
      </c>
      <c r="O21" s="20">
        <f t="shared" ref="O21:P21" si="19">D21/7</f>
        <v>0.14285714285714285</v>
      </c>
      <c r="P21" s="20">
        <f t="shared" si="19"/>
        <v>0</v>
      </c>
      <c r="Q21" s="16">
        <f t="shared" si="8"/>
        <v>7</v>
      </c>
      <c r="R21" s="16"/>
      <c r="S21" s="21">
        <v>7.1898734177215102</v>
      </c>
      <c r="T21" s="14">
        <v>400</v>
      </c>
      <c r="U21" s="22" t="s">
        <v>34</v>
      </c>
      <c r="V21" s="23" t="s">
        <v>34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14" t="s">
        <v>35</v>
      </c>
      <c r="AB21" s="27">
        <f t="shared" si="11"/>
        <v>-0.69</v>
      </c>
      <c r="AC21" s="28">
        <v>7.6896397569444441E-2</v>
      </c>
      <c r="AD21" s="25">
        <f t="shared" si="12"/>
        <v>-0.10611702864583332</v>
      </c>
      <c r="AE21" s="25">
        <v>-5.42</v>
      </c>
      <c r="AF21" s="25">
        <v>-7.4249999999999998</v>
      </c>
      <c r="AG21" s="25">
        <v>0</v>
      </c>
    </row>
    <row r="22" spans="1:33" ht="15.75" customHeight="1">
      <c r="A22" s="14" t="s">
        <v>48</v>
      </c>
      <c r="B22" s="14"/>
      <c r="C22" s="15">
        <f t="shared" si="1"/>
        <v>33.08</v>
      </c>
      <c r="D22" s="16">
        <v>1</v>
      </c>
      <c r="E22" s="16">
        <v>0</v>
      </c>
      <c r="F22" s="29">
        <v>33.08</v>
      </c>
      <c r="G22" s="29">
        <v>0</v>
      </c>
      <c r="H22" s="18">
        <f t="shared" si="2"/>
        <v>0</v>
      </c>
      <c r="I22" s="18">
        <f t="shared" si="3"/>
        <v>0.45849102089946087</v>
      </c>
      <c r="J22" s="17">
        <f t="shared" si="4"/>
        <v>15.166882971354164</v>
      </c>
      <c r="K22" s="17">
        <f t="shared" si="5"/>
        <v>15.166882971354164</v>
      </c>
      <c r="L22" s="16">
        <v>1</v>
      </c>
      <c r="M22" s="19">
        <f t="shared" si="6"/>
        <v>1</v>
      </c>
      <c r="N22" s="16">
        <v>0</v>
      </c>
      <c r="O22" s="20">
        <f t="shared" ref="O22:P22" si="20">D22/7</f>
        <v>0.14285714285714285</v>
      </c>
      <c r="P22" s="20">
        <f t="shared" si="20"/>
        <v>0</v>
      </c>
      <c r="Q22" s="16">
        <f t="shared" si="8"/>
        <v>0</v>
      </c>
      <c r="R22" s="16"/>
      <c r="S22" s="21">
        <v>14.4</v>
      </c>
      <c r="T22" s="14">
        <v>904</v>
      </c>
      <c r="U22" s="22" t="s">
        <v>34</v>
      </c>
      <c r="V22" s="23" t="s">
        <v>34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35</v>
      </c>
      <c r="AB22" s="27">
        <f t="shared" si="11"/>
        <v>-0.69</v>
      </c>
      <c r="AC22" s="28">
        <v>7.6896397569444441E-2</v>
      </c>
      <c r="AD22" s="25">
        <f t="shared" si="12"/>
        <v>-0.10611702864583332</v>
      </c>
      <c r="AE22" s="25">
        <v>-5.42</v>
      </c>
      <c r="AF22" s="25">
        <v>-7.4249999999999998</v>
      </c>
      <c r="AG22" s="25">
        <v>0</v>
      </c>
    </row>
    <row r="23" spans="1:33" ht="15.75" customHeight="1">
      <c r="A23" s="14" t="s">
        <v>49</v>
      </c>
      <c r="B23" s="14"/>
      <c r="C23" s="15" t="str">
        <f t="shared" si="1"/>
        <v xml:space="preserve"> - </v>
      </c>
      <c r="D23" s="16">
        <v>0</v>
      </c>
      <c r="E23" s="16">
        <v>0</v>
      </c>
      <c r="F23" s="17">
        <v>0</v>
      </c>
      <c r="G23" s="29">
        <v>0</v>
      </c>
      <c r="H23" s="18" t="e">
        <f t="shared" si="2"/>
        <v>#DIV/0!</v>
      </c>
      <c r="I23" s="18" t="e">
        <f t="shared" si="3"/>
        <v>#DIV/0!</v>
      </c>
      <c r="J23" s="17">
        <f t="shared" si="4"/>
        <v>0</v>
      </c>
      <c r="K23" s="17" t="e">
        <f t="shared" si="5"/>
        <v>#DIV/0!</v>
      </c>
      <c r="L23" s="16">
        <v>0</v>
      </c>
      <c r="M23" s="19" t="str">
        <f t="shared" si="6"/>
        <v>-</v>
      </c>
      <c r="N23" s="16">
        <v>0</v>
      </c>
      <c r="O23" s="20">
        <f t="shared" ref="O23:P23" si="21">D23/7</f>
        <v>0</v>
      </c>
      <c r="P23" s="20">
        <f t="shared" si="21"/>
        <v>0</v>
      </c>
      <c r="Q23" s="16" t="e">
        <f t="shared" si="8"/>
        <v>#DIV/0!</v>
      </c>
      <c r="R23" s="16"/>
      <c r="S23" s="21" t="e">
        <v>#N/A</v>
      </c>
      <c r="T23" s="14">
        <v>1304</v>
      </c>
      <c r="U23" s="22" t="s">
        <v>34</v>
      </c>
      <c r="V23" s="23" t="s">
        <v>34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35</v>
      </c>
      <c r="AB23" s="27">
        <f t="shared" si="11"/>
        <v>-0.69</v>
      </c>
      <c r="AC23" s="28">
        <v>7.6896397569444441E-2</v>
      </c>
      <c r="AD23" s="25">
        <f t="shared" si="12"/>
        <v>0</v>
      </c>
      <c r="AE23" s="25">
        <v>-5.42</v>
      </c>
      <c r="AF23" s="25">
        <v>-7.4249999999999998</v>
      </c>
      <c r="AG23" s="25">
        <v>0</v>
      </c>
    </row>
    <row r="24" spans="1:33" ht="15.75" customHeight="1">
      <c r="A24" s="14" t="s">
        <v>50</v>
      </c>
      <c r="B24" s="14" t="s">
        <v>45</v>
      </c>
      <c r="C24" s="15">
        <f t="shared" si="1"/>
        <v>33.08</v>
      </c>
      <c r="D24" s="16">
        <v>2</v>
      </c>
      <c r="E24" s="16">
        <v>0</v>
      </c>
      <c r="F24" s="17">
        <v>66.16</v>
      </c>
      <c r="G24" s="17">
        <v>0</v>
      </c>
      <c r="H24" s="18">
        <f t="shared" si="2"/>
        <v>0</v>
      </c>
      <c r="I24" s="18">
        <f t="shared" si="3"/>
        <v>0.45849102089946087</v>
      </c>
      <c r="J24" s="17">
        <f t="shared" si="4"/>
        <v>30.333765942708329</v>
      </c>
      <c r="K24" s="17">
        <f t="shared" si="5"/>
        <v>15.166882971354164</v>
      </c>
      <c r="L24" s="16">
        <v>6</v>
      </c>
      <c r="M24" s="19">
        <f t="shared" si="6"/>
        <v>0.33333333333333331</v>
      </c>
      <c r="N24" s="16">
        <v>0</v>
      </c>
      <c r="O24" s="20">
        <f t="shared" ref="O24:P24" si="22">D24/7</f>
        <v>0.2857142857142857</v>
      </c>
      <c r="P24" s="20">
        <f t="shared" si="22"/>
        <v>0</v>
      </c>
      <c r="Q24" s="16">
        <f t="shared" si="8"/>
        <v>0</v>
      </c>
      <c r="R24" s="16"/>
      <c r="S24" s="21">
        <v>4.33082706766917</v>
      </c>
      <c r="T24" s="14">
        <v>1304</v>
      </c>
      <c r="U24" s="22" t="s">
        <v>34</v>
      </c>
      <c r="V24" s="23" t="s">
        <v>34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14" t="s">
        <v>35</v>
      </c>
      <c r="AB24" s="27">
        <f t="shared" si="11"/>
        <v>-0.69</v>
      </c>
      <c r="AC24" s="28">
        <v>7.6896397569444441E-2</v>
      </c>
      <c r="AD24" s="25">
        <f t="shared" si="12"/>
        <v>-0.21223405729166664</v>
      </c>
      <c r="AE24" s="25">
        <v>-5.42</v>
      </c>
      <c r="AF24" s="25">
        <v>-7.4249999999999998</v>
      </c>
      <c r="AG24" s="25">
        <v>0</v>
      </c>
    </row>
    <row r="25" spans="1:33" ht="15.75" customHeight="1">
      <c r="A25" s="14" t="s">
        <v>51</v>
      </c>
      <c r="B25" s="14"/>
      <c r="C25" s="15" t="str">
        <f t="shared" si="1"/>
        <v xml:space="preserve"> - </v>
      </c>
      <c r="D25" s="16">
        <v>0</v>
      </c>
      <c r="E25" s="16">
        <v>0</v>
      </c>
      <c r="F25" s="17">
        <v>0</v>
      </c>
      <c r="G25" s="17">
        <v>0</v>
      </c>
      <c r="H25" s="18" t="e">
        <f t="shared" si="2"/>
        <v>#DIV/0!</v>
      </c>
      <c r="I25" s="18" t="e">
        <f t="shared" si="3"/>
        <v>#DIV/0!</v>
      </c>
      <c r="J25" s="17">
        <f t="shared" si="4"/>
        <v>0</v>
      </c>
      <c r="K25" s="17" t="e">
        <f t="shared" si="5"/>
        <v>#DIV/0!</v>
      </c>
      <c r="L25" s="16">
        <v>0</v>
      </c>
      <c r="M25" s="19" t="str">
        <f t="shared" si="6"/>
        <v>-</v>
      </c>
      <c r="N25" s="16">
        <v>0</v>
      </c>
      <c r="O25" s="20">
        <f t="shared" ref="O25:P25" si="23">D25/7</f>
        <v>0</v>
      </c>
      <c r="P25" s="20">
        <f t="shared" si="23"/>
        <v>0</v>
      </c>
      <c r="Q25" s="16" t="e">
        <f t="shared" si="8"/>
        <v>#DIV/0!</v>
      </c>
      <c r="R25" s="16"/>
      <c r="S25" s="21">
        <v>0</v>
      </c>
      <c r="T25" s="14">
        <v>1408</v>
      </c>
      <c r="U25" s="22" t="s">
        <v>34</v>
      </c>
      <c r="V25" s="23" t="s">
        <v>34</v>
      </c>
      <c r="W25" s="30">
        <v>0</v>
      </c>
      <c r="X25" s="24">
        <f t="shared" si="9"/>
        <v>0</v>
      </c>
      <c r="Y25" s="25">
        <f t="shared" si="10"/>
        <v>0</v>
      </c>
      <c r="Z25" s="30">
        <v>0</v>
      </c>
      <c r="AA25" s="14" t="s">
        <v>35</v>
      </c>
      <c r="AB25" s="27">
        <f t="shared" si="11"/>
        <v>-0.69</v>
      </c>
      <c r="AC25" s="28">
        <v>7.6896397569444441E-2</v>
      </c>
      <c r="AD25" s="25">
        <f t="shared" si="12"/>
        <v>0</v>
      </c>
      <c r="AE25" s="25">
        <v>-5.42</v>
      </c>
      <c r="AF25" s="25">
        <v>-7.43</v>
      </c>
      <c r="AG25" s="25">
        <v>0</v>
      </c>
    </row>
    <row r="26" spans="1:33" ht="15.75" customHeight="1">
      <c r="A26" s="14" t="s">
        <v>52</v>
      </c>
      <c r="B26" s="14"/>
      <c r="C26" s="15" t="str">
        <f t="shared" si="1"/>
        <v xml:space="preserve"> - </v>
      </c>
      <c r="D26" s="16">
        <v>0</v>
      </c>
      <c r="E26" s="16">
        <v>0</v>
      </c>
      <c r="F26" s="17">
        <v>0</v>
      </c>
      <c r="G26" s="17">
        <v>0</v>
      </c>
      <c r="H26" s="18" t="e">
        <f t="shared" si="2"/>
        <v>#DIV/0!</v>
      </c>
      <c r="I26" s="18" t="e">
        <f t="shared" si="3"/>
        <v>#DIV/0!</v>
      </c>
      <c r="J26" s="17">
        <f t="shared" si="4"/>
        <v>0</v>
      </c>
      <c r="K26" s="17" t="e">
        <f t="shared" si="5"/>
        <v>#DIV/0!</v>
      </c>
      <c r="L26" s="16">
        <v>0</v>
      </c>
      <c r="M26" s="19" t="str">
        <f t="shared" si="6"/>
        <v>-</v>
      </c>
      <c r="N26" s="16">
        <v>0</v>
      </c>
      <c r="O26" s="20">
        <f t="shared" ref="O26:P26" si="24">D26/7</f>
        <v>0</v>
      </c>
      <c r="P26" s="20">
        <f t="shared" si="24"/>
        <v>0</v>
      </c>
      <c r="Q26" s="16" t="e">
        <f t="shared" si="8"/>
        <v>#DIV/0!</v>
      </c>
      <c r="R26" s="16"/>
      <c r="S26" s="21">
        <v>0</v>
      </c>
      <c r="T26" s="14">
        <v>1408</v>
      </c>
      <c r="U26" s="22" t="s">
        <v>34</v>
      </c>
      <c r="V26" s="23" t="s">
        <v>34</v>
      </c>
      <c r="W26" s="30">
        <v>0</v>
      </c>
      <c r="X26" s="24">
        <f t="shared" si="9"/>
        <v>0</v>
      </c>
      <c r="Y26" s="25">
        <f t="shared" si="10"/>
        <v>0</v>
      </c>
      <c r="Z26" s="30">
        <v>0</v>
      </c>
      <c r="AA26" s="14" t="s">
        <v>35</v>
      </c>
      <c r="AB26" s="27">
        <f t="shared" si="11"/>
        <v>-0.69</v>
      </c>
      <c r="AC26" s="28">
        <v>7.6896397569444441E-2</v>
      </c>
      <c r="AD26" s="25">
        <f t="shared" si="12"/>
        <v>0</v>
      </c>
      <c r="AE26" s="25">
        <v>-5.42</v>
      </c>
      <c r="AF26" s="25">
        <v>-7.4249999999999998</v>
      </c>
      <c r="AG26" s="25">
        <v>0</v>
      </c>
    </row>
    <row r="27" spans="1:33" ht="15.75" customHeight="1">
      <c r="A27" s="14" t="s">
        <v>53</v>
      </c>
      <c r="B27" s="14"/>
      <c r="C27" s="15" t="str">
        <f t="shared" si="1"/>
        <v xml:space="preserve"> - </v>
      </c>
      <c r="D27" s="16">
        <v>0</v>
      </c>
      <c r="E27" s="16">
        <v>0</v>
      </c>
      <c r="F27" s="17">
        <v>0</v>
      </c>
      <c r="G27" s="17">
        <v>0</v>
      </c>
      <c r="H27" s="18" t="e">
        <f t="shared" si="2"/>
        <v>#DIV/0!</v>
      </c>
      <c r="I27" s="18" t="e">
        <f t="shared" si="3"/>
        <v>#DIV/0!</v>
      </c>
      <c r="J27" s="17">
        <f t="shared" si="4"/>
        <v>0</v>
      </c>
      <c r="K27" s="17" t="e">
        <f t="shared" si="5"/>
        <v>#DIV/0!</v>
      </c>
      <c r="L27" s="16">
        <v>0</v>
      </c>
      <c r="M27" s="19" t="str">
        <f t="shared" si="6"/>
        <v>-</v>
      </c>
      <c r="N27" s="16">
        <v>0</v>
      </c>
      <c r="O27" s="20">
        <f t="shared" ref="O27:P27" si="25">D27/7</f>
        <v>0</v>
      </c>
      <c r="P27" s="20">
        <f t="shared" si="25"/>
        <v>0</v>
      </c>
      <c r="Q27" s="16" t="e">
        <f t="shared" si="8"/>
        <v>#DIV/0!</v>
      </c>
      <c r="R27" s="16"/>
      <c r="S27" s="21">
        <v>0</v>
      </c>
      <c r="T27" s="14">
        <v>1408</v>
      </c>
      <c r="U27" s="22" t="s">
        <v>34</v>
      </c>
      <c r="V27" s="23" t="s">
        <v>34</v>
      </c>
      <c r="W27" s="30">
        <v>0</v>
      </c>
      <c r="X27" s="24">
        <f t="shared" si="9"/>
        <v>0</v>
      </c>
      <c r="Y27" s="25">
        <f t="shared" si="10"/>
        <v>0</v>
      </c>
      <c r="Z27" s="30">
        <v>0</v>
      </c>
      <c r="AA27" s="14" t="s">
        <v>35</v>
      </c>
      <c r="AB27" s="27">
        <f t="shared" si="11"/>
        <v>-0.69</v>
      </c>
      <c r="AC27" s="28">
        <v>7.6896397569444441E-2</v>
      </c>
      <c r="AD27" s="25">
        <f t="shared" si="12"/>
        <v>0</v>
      </c>
      <c r="AE27" s="25">
        <v>-5.42</v>
      </c>
      <c r="AF27" s="25">
        <v>-7.4497499999999999</v>
      </c>
      <c r="AG27" s="25">
        <v>0</v>
      </c>
    </row>
    <row r="28" spans="1:33" ht="15.75" customHeight="1">
      <c r="A28" s="14" t="s">
        <v>54</v>
      </c>
      <c r="B28" s="14"/>
      <c r="C28" s="15" t="str">
        <f t="shared" si="1"/>
        <v xml:space="preserve"> - </v>
      </c>
      <c r="D28" s="16">
        <v>0</v>
      </c>
      <c r="E28" s="16">
        <v>0</v>
      </c>
      <c r="F28" s="17">
        <v>0</v>
      </c>
      <c r="G28" s="17">
        <v>0</v>
      </c>
      <c r="H28" s="18" t="e">
        <f t="shared" si="2"/>
        <v>#DIV/0!</v>
      </c>
      <c r="I28" s="18" t="e">
        <f t="shared" si="3"/>
        <v>#DIV/0!</v>
      </c>
      <c r="J28" s="17">
        <f t="shared" si="4"/>
        <v>0</v>
      </c>
      <c r="K28" s="17" t="e">
        <f t="shared" si="5"/>
        <v>#DIV/0!</v>
      </c>
      <c r="L28" s="16">
        <v>0</v>
      </c>
      <c r="M28" s="19" t="str">
        <f t="shared" si="6"/>
        <v>-</v>
      </c>
      <c r="N28" s="16">
        <v>0</v>
      </c>
      <c r="O28" s="20">
        <f t="shared" ref="O28:P28" si="26">D28/7</f>
        <v>0</v>
      </c>
      <c r="P28" s="20">
        <f t="shared" si="26"/>
        <v>0</v>
      </c>
      <c r="Q28" s="16" t="e">
        <f t="shared" si="8"/>
        <v>#DIV/0!</v>
      </c>
      <c r="R28" s="16"/>
      <c r="S28" s="21">
        <v>0</v>
      </c>
      <c r="T28" s="14">
        <v>808</v>
      </c>
      <c r="U28" s="22" t="s">
        <v>34</v>
      </c>
      <c r="V28" s="23" t="s">
        <v>34</v>
      </c>
      <c r="W28" s="30">
        <v>0</v>
      </c>
      <c r="X28" s="24">
        <f t="shared" si="9"/>
        <v>0</v>
      </c>
      <c r="Y28" s="25">
        <f t="shared" si="10"/>
        <v>0</v>
      </c>
      <c r="Z28" s="30">
        <v>0</v>
      </c>
      <c r="AA28" s="14" t="s">
        <v>35</v>
      </c>
      <c r="AB28" s="27">
        <f t="shared" si="11"/>
        <v>-0.69</v>
      </c>
      <c r="AC28" s="28">
        <v>7.6896397569444441E-2</v>
      </c>
      <c r="AD28" s="25">
        <f t="shared" si="12"/>
        <v>0</v>
      </c>
      <c r="AE28" s="25">
        <v>-5.42</v>
      </c>
      <c r="AF28" s="25">
        <v>-7.4497499999999999</v>
      </c>
      <c r="AG28" s="25">
        <v>0</v>
      </c>
    </row>
    <row r="29" spans="1:33" ht="15.75" customHeight="1">
      <c r="A29" s="14" t="s">
        <v>55</v>
      </c>
      <c r="B29" s="14"/>
      <c r="C29" s="15" t="str">
        <f t="shared" si="1"/>
        <v xml:space="preserve"> - </v>
      </c>
      <c r="D29" s="16">
        <v>0</v>
      </c>
      <c r="E29" s="16">
        <v>0</v>
      </c>
      <c r="F29" s="17">
        <v>0</v>
      </c>
      <c r="G29" s="17">
        <v>0</v>
      </c>
      <c r="H29" s="18" t="e">
        <f t="shared" si="2"/>
        <v>#DIV/0!</v>
      </c>
      <c r="I29" s="18" t="e">
        <f t="shared" si="3"/>
        <v>#DIV/0!</v>
      </c>
      <c r="J29" s="17">
        <f t="shared" si="4"/>
        <v>0</v>
      </c>
      <c r="K29" s="17" t="e">
        <f t="shared" si="5"/>
        <v>#DIV/0!</v>
      </c>
      <c r="L29" s="16">
        <v>0</v>
      </c>
      <c r="M29" s="19" t="str">
        <f t="shared" si="6"/>
        <v>-</v>
      </c>
      <c r="N29" s="16">
        <v>0</v>
      </c>
      <c r="O29" s="20">
        <f t="shared" ref="O29:P29" si="27">D29/7</f>
        <v>0</v>
      </c>
      <c r="P29" s="20">
        <f t="shared" si="27"/>
        <v>0</v>
      </c>
      <c r="Q29" s="16" t="e">
        <f t="shared" si="8"/>
        <v>#DIV/0!</v>
      </c>
      <c r="R29" s="16"/>
      <c r="S29" s="21">
        <v>0</v>
      </c>
      <c r="T29" s="14">
        <v>1008</v>
      </c>
      <c r="U29" s="22">
        <v>44428</v>
      </c>
      <c r="V29" s="23" t="s">
        <v>56</v>
      </c>
      <c r="W29" s="30">
        <v>0</v>
      </c>
      <c r="X29" s="24">
        <f t="shared" si="9"/>
        <v>0</v>
      </c>
      <c r="Y29" s="25">
        <f t="shared" si="10"/>
        <v>0</v>
      </c>
      <c r="Z29" s="30">
        <v>0</v>
      </c>
      <c r="AA29" s="14" t="s">
        <v>35</v>
      </c>
      <c r="AB29" s="27">
        <f t="shared" si="11"/>
        <v>-0.69</v>
      </c>
      <c r="AC29" s="28">
        <v>7.6896397569444441E-2</v>
      </c>
      <c r="AD29" s="25">
        <f t="shared" si="12"/>
        <v>0</v>
      </c>
      <c r="AE29" s="25">
        <v>-5.42</v>
      </c>
      <c r="AF29" s="25">
        <v>-7.4497499999999999</v>
      </c>
      <c r="AG29" s="25">
        <v>0</v>
      </c>
    </row>
    <row r="30" spans="1:33" ht="15.75" customHeight="1">
      <c r="A30" s="14" t="s">
        <v>57</v>
      </c>
      <c r="B30" s="14"/>
      <c r="C30" s="15" t="str">
        <f t="shared" si="1"/>
        <v xml:space="preserve"> - </v>
      </c>
      <c r="D30" s="16">
        <v>0</v>
      </c>
      <c r="E30" s="16">
        <v>0</v>
      </c>
      <c r="F30" s="17">
        <v>0</v>
      </c>
      <c r="G30" s="17">
        <v>0</v>
      </c>
      <c r="H30" s="18" t="e">
        <f t="shared" si="2"/>
        <v>#DIV/0!</v>
      </c>
      <c r="I30" s="18" t="e">
        <f t="shared" si="3"/>
        <v>#DIV/0!</v>
      </c>
      <c r="J30" s="17">
        <f t="shared" si="4"/>
        <v>0</v>
      </c>
      <c r="K30" s="17" t="e">
        <f t="shared" si="5"/>
        <v>#DIV/0!</v>
      </c>
      <c r="L30" s="16">
        <v>0</v>
      </c>
      <c r="M30" s="19" t="str">
        <f t="shared" si="6"/>
        <v>-</v>
      </c>
      <c r="N30" s="16">
        <v>0</v>
      </c>
      <c r="O30" s="20">
        <f t="shared" ref="O30:P30" si="28">D30/7</f>
        <v>0</v>
      </c>
      <c r="P30" s="20">
        <f t="shared" si="28"/>
        <v>0</v>
      </c>
      <c r="Q30" s="16" t="e">
        <f t="shared" si="8"/>
        <v>#DIV/0!</v>
      </c>
      <c r="R30" s="16"/>
      <c r="S30" s="21">
        <v>0</v>
      </c>
      <c r="T30" s="14">
        <v>904</v>
      </c>
      <c r="U30" s="22">
        <v>200</v>
      </c>
      <c r="V30" s="23" t="s">
        <v>56</v>
      </c>
      <c r="W30" s="30">
        <v>0</v>
      </c>
      <c r="X30" s="24">
        <f t="shared" si="9"/>
        <v>0</v>
      </c>
      <c r="Y30" s="25">
        <f t="shared" si="10"/>
        <v>0</v>
      </c>
      <c r="Z30" s="30">
        <v>0</v>
      </c>
      <c r="AA30" s="14" t="s">
        <v>35</v>
      </c>
      <c r="AB30" s="27">
        <f t="shared" si="11"/>
        <v>-0.69</v>
      </c>
      <c r="AC30" s="28">
        <v>7.6896397569444441E-2</v>
      </c>
      <c r="AD30" s="25">
        <f t="shared" si="12"/>
        <v>0</v>
      </c>
      <c r="AE30" s="25">
        <v>-5.42</v>
      </c>
      <c r="AF30" s="25">
        <v>-7.2979740382499996</v>
      </c>
      <c r="AG30" s="25">
        <v>0</v>
      </c>
    </row>
    <row r="31" spans="1:33" ht="15.75" customHeight="1">
      <c r="A31" s="14" t="s">
        <v>58</v>
      </c>
      <c r="B31" s="14"/>
      <c r="C31" s="15" t="str">
        <f t="shared" si="1"/>
        <v xml:space="preserve"> - </v>
      </c>
      <c r="D31" s="16">
        <v>0</v>
      </c>
      <c r="E31" s="16">
        <v>0</v>
      </c>
      <c r="F31" s="17">
        <v>0</v>
      </c>
      <c r="G31" s="17">
        <v>0</v>
      </c>
      <c r="H31" s="18" t="e">
        <f t="shared" si="2"/>
        <v>#DIV/0!</v>
      </c>
      <c r="I31" s="18" t="e">
        <f t="shared" si="3"/>
        <v>#DIV/0!</v>
      </c>
      <c r="J31" s="17">
        <f t="shared" si="4"/>
        <v>0</v>
      </c>
      <c r="K31" s="17" t="e">
        <f t="shared" si="5"/>
        <v>#DIV/0!</v>
      </c>
      <c r="L31" s="16">
        <v>0</v>
      </c>
      <c r="M31" s="19" t="str">
        <f t="shared" si="6"/>
        <v>-</v>
      </c>
      <c r="N31" s="16">
        <v>0</v>
      </c>
      <c r="O31" s="20">
        <f t="shared" ref="O31:P31" si="29">D31/7</f>
        <v>0</v>
      </c>
      <c r="P31" s="20">
        <f t="shared" si="29"/>
        <v>0</v>
      </c>
      <c r="Q31" s="16" t="e">
        <f t="shared" si="8"/>
        <v>#DIV/0!</v>
      </c>
      <c r="R31" s="16"/>
      <c r="S31" s="21" t="e">
        <v>#N/A</v>
      </c>
      <c r="T31" s="14">
        <v>304</v>
      </c>
      <c r="U31" s="22" t="s">
        <v>34</v>
      </c>
      <c r="V31" s="23" t="s">
        <v>59</v>
      </c>
      <c r="W31" s="30">
        <v>0</v>
      </c>
      <c r="X31" s="24">
        <f t="shared" si="9"/>
        <v>0</v>
      </c>
      <c r="Y31" s="25">
        <f t="shared" si="10"/>
        <v>0</v>
      </c>
      <c r="Z31" s="30">
        <v>0</v>
      </c>
      <c r="AA31" s="14" t="s">
        <v>35</v>
      </c>
      <c r="AB31" s="27">
        <f t="shared" si="11"/>
        <v>-0.69</v>
      </c>
      <c r="AC31" s="28">
        <v>7.6896397569444441E-2</v>
      </c>
      <c r="AD31" s="25">
        <f t="shared" si="12"/>
        <v>0</v>
      </c>
      <c r="AE31" s="25">
        <v>-5.42</v>
      </c>
      <c r="AF31" s="25">
        <v>-7.2979740382499996</v>
      </c>
      <c r="AG31" s="25">
        <v>0</v>
      </c>
    </row>
    <row r="32" spans="1:33" ht="15.75" customHeight="1">
      <c r="A32" s="14" t="s">
        <v>60</v>
      </c>
      <c r="B32" s="14"/>
      <c r="C32" s="15" t="str">
        <f t="shared" si="1"/>
        <v xml:space="preserve"> - </v>
      </c>
      <c r="D32" s="16">
        <v>0</v>
      </c>
      <c r="E32" s="16">
        <v>0</v>
      </c>
      <c r="F32" s="17">
        <v>0</v>
      </c>
      <c r="G32" s="17">
        <v>0</v>
      </c>
      <c r="H32" s="18" t="e">
        <f t="shared" si="2"/>
        <v>#DIV/0!</v>
      </c>
      <c r="I32" s="18" t="e">
        <f t="shared" si="3"/>
        <v>#DIV/0!</v>
      </c>
      <c r="J32" s="17">
        <f t="shared" si="4"/>
        <v>0</v>
      </c>
      <c r="K32" s="17" t="e">
        <f t="shared" si="5"/>
        <v>#DIV/0!</v>
      </c>
      <c r="L32" s="16">
        <v>0</v>
      </c>
      <c r="M32" s="19" t="str">
        <f t="shared" si="6"/>
        <v>-</v>
      </c>
      <c r="N32" s="16">
        <v>0</v>
      </c>
      <c r="O32" s="20">
        <f t="shared" ref="O32:P32" si="30">D32/7</f>
        <v>0</v>
      </c>
      <c r="P32" s="20">
        <f t="shared" si="30"/>
        <v>0</v>
      </c>
      <c r="Q32" s="16" t="e">
        <f t="shared" si="8"/>
        <v>#DIV/0!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0</v>
      </c>
      <c r="T32" s="14">
        <f ca="1">IFERROR(__xludf.DUMMYFUNCTION("IFERROR(VLOOKUP($B$2,IMPORTRANGE(""https://docs.google.com/spreadsheets/d/1KiWZV1ko8G7lnRucBRBd29jj3Be6ltMfljMDqzOkQmI/edit#gid=1381463014"",""Lookup!A:D""),4,FALSE),"""")"),304)</f>
        <v>304</v>
      </c>
      <c r="U32" s="22">
        <f ca="1">IFERROR(__xludf.DUMMYFUNCTION("IFERROR(VLOOKUP($B$2,IMPORTRANGE(""https://docs.google.com/spreadsheets/d/1KiWZV1ko8G7lnRucBRBd29jj3Be6ltMfljMDqzOkQmI/edit#gid=1381463014"",""Lookup!A:D""),3,FALSE),"""")"),200)</f>
        <v>200</v>
      </c>
      <c r="V32" s="23" t="str">
        <f ca="1">IFERROR(__xludf.DUMMYFUNCTION("IFERROR(VLOOKUP($B$2,IMPORTRANGE(""https://docs.google.com/spreadsheets/d/1KiWZV1ko8G7lnRucBRBd29jj3Be6ltMfljMDqzOkQmI/edit#gid=1381463014"",""Lookup!A:D""),2,FALSE),"""")"),"| 415  - 200 units 08/21| S210711-STAR  - 400 units 11/01")</f>
        <v>| 415  - 200 units 08/21| S210711-STAR  - 400 units 11/01</v>
      </c>
      <c r="W32" s="30">
        <v>0</v>
      </c>
      <c r="X32" s="24">
        <f t="shared" si="9"/>
        <v>0</v>
      </c>
      <c r="Y32" s="25">
        <f t="shared" si="10"/>
        <v>0</v>
      </c>
      <c r="Z32" s="30">
        <v>0</v>
      </c>
      <c r="AA32" s="14" t="s">
        <v>35</v>
      </c>
      <c r="AB32" s="27">
        <f t="shared" si="11"/>
        <v>-0.69</v>
      </c>
      <c r="AC32" s="28">
        <v>7.6896397569444441E-2</v>
      </c>
      <c r="AD32" s="25">
        <f t="shared" si="12"/>
        <v>0</v>
      </c>
      <c r="AE32" s="25">
        <v>-5.42</v>
      </c>
      <c r="AF32" s="25">
        <v>-7.2979740382499996</v>
      </c>
      <c r="AG32" s="25">
        <v>0</v>
      </c>
    </row>
    <row r="33" spans="1:33" ht="15.75" customHeight="1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16"/>
      <c r="S33" s="21"/>
      <c r="T33" s="31"/>
      <c r="U33" s="36"/>
      <c r="V33" s="1"/>
      <c r="W33" s="31"/>
      <c r="X33" s="31"/>
      <c r="Y33" s="31"/>
      <c r="Z33" s="31"/>
      <c r="AA33" s="2"/>
      <c r="AB33" s="31"/>
      <c r="AC33" s="31"/>
      <c r="AD33" s="31"/>
      <c r="AE33" s="37"/>
      <c r="AF33" s="37"/>
      <c r="AG33" s="37"/>
    </row>
    <row r="34" spans="1:33" ht="15.75" customHeight="1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6"/>
      <c r="V34" s="1"/>
      <c r="W34" s="31"/>
      <c r="X34" s="31"/>
      <c r="Y34" s="31"/>
      <c r="Z34" s="31"/>
      <c r="AA34" s="2"/>
      <c r="AB34" s="31"/>
      <c r="AC34" s="31"/>
      <c r="AD34" s="31"/>
      <c r="AE34" s="37"/>
      <c r="AF34" s="37"/>
      <c r="AG34" s="37"/>
    </row>
    <row r="35" spans="1:33" ht="15.75" customHeight="1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6"/>
      <c r="V35" s="1"/>
      <c r="W35" s="31"/>
      <c r="X35" s="31"/>
      <c r="Y35" s="31"/>
      <c r="Z35" s="31"/>
      <c r="AA35" s="2"/>
      <c r="AB35" s="31"/>
      <c r="AC35" s="31"/>
      <c r="AD35" s="31"/>
      <c r="AE35" s="37"/>
      <c r="AF35" s="37"/>
      <c r="AG35" s="37"/>
    </row>
    <row r="36" spans="1:33" ht="15.75" customHeight="1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6"/>
      <c r="V36" s="1"/>
      <c r="W36" s="31"/>
      <c r="X36" s="31"/>
      <c r="Y36" s="31"/>
      <c r="Z36" s="31"/>
      <c r="AA36" s="2"/>
      <c r="AB36" s="31"/>
      <c r="AC36" s="31"/>
      <c r="AD36" s="31"/>
      <c r="AE36" s="37"/>
      <c r="AF36" s="37"/>
      <c r="AG36" s="37"/>
    </row>
    <row r="37" spans="1:33" ht="15.75" customHeight="1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6"/>
      <c r="V37" s="1"/>
      <c r="W37" s="31"/>
      <c r="X37" s="31"/>
      <c r="Y37" s="31"/>
      <c r="Z37" s="31"/>
      <c r="AA37" s="2"/>
      <c r="AB37" s="31"/>
      <c r="AC37" s="31"/>
      <c r="AD37" s="31"/>
      <c r="AE37" s="37"/>
      <c r="AF37" s="37"/>
      <c r="AG37" s="37"/>
    </row>
    <row r="38" spans="1:33" ht="15.75" customHeight="1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6"/>
      <c r="V38" s="1"/>
      <c r="W38" s="31"/>
      <c r="X38" s="31"/>
      <c r="Y38" s="31"/>
      <c r="Z38" s="31"/>
      <c r="AA38" s="2"/>
      <c r="AB38" s="31"/>
      <c r="AC38" s="31"/>
      <c r="AD38" s="31"/>
      <c r="AE38" s="37"/>
      <c r="AF38" s="37"/>
      <c r="AG38" s="37"/>
    </row>
    <row r="39" spans="1:33" ht="15.75" customHeight="1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6"/>
      <c r="V39" s="1"/>
      <c r="W39" s="31"/>
      <c r="X39" s="31"/>
      <c r="Y39" s="31"/>
      <c r="Z39" s="31"/>
      <c r="AA39" s="2"/>
      <c r="AB39" s="31"/>
      <c r="AC39" s="31"/>
      <c r="AD39" s="31"/>
      <c r="AE39" s="37"/>
      <c r="AF39" s="37"/>
      <c r="AG39" s="37"/>
    </row>
    <row r="40" spans="1:33" ht="15.75" customHeight="1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6"/>
      <c r="V40" s="1"/>
      <c r="W40" s="31"/>
      <c r="X40" s="31"/>
      <c r="Y40" s="31"/>
      <c r="Z40" s="31"/>
      <c r="AA40" s="2"/>
      <c r="AB40" s="31"/>
      <c r="AC40" s="31"/>
      <c r="AD40" s="31"/>
      <c r="AE40" s="37"/>
      <c r="AF40" s="37"/>
      <c r="AG40" s="37"/>
    </row>
    <row r="41" spans="1:33" ht="15.75" customHeight="1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6"/>
      <c r="V41" s="1"/>
      <c r="W41" s="31"/>
      <c r="X41" s="31"/>
      <c r="Y41" s="31"/>
      <c r="Z41" s="31"/>
      <c r="AA41" s="2"/>
      <c r="AB41" s="31"/>
      <c r="AC41" s="31"/>
      <c r="AD41" s="31"/>
      <c r="AE41" s="37"/>
      <c r="AF41" s="37"/>
      <c r="AG41" s="37"/>
    </row>
    <row r="42" spans="1:33" ht="15.75" customHeight="1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6"/>
      <c r="V42" s="1"/>
      <c r="W42" s="31"/>
      <c r="X42" s="31"/>
      <c r="Y42" s="31"/>
      <c r="Z42" s="31"/>
      <c r="AA42" s="2"/>
      <c r="AB42" s="31"/>
      <c r="AC42" s="31"/>
      <c r="AD42" s="31"/>
      <c r="AE42" s="37"/>
      <c r="AF42" s="37"/>
      <c r="AG42" s="37"/>
    </row>
    <row r="43" spans="1:33" ht="15.75" customHeight="1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6"/>
      <c r="V43" s="1"/>
      <c r="W43" s="31"/>
      <c r="X43" s="31"/>
      <c r="Y43" s="31"/>
      <c r="Z43" s="31"/>
      <c r="AA43" s="2"/>
      <c r="AB43" s="31"/>
      <c r="AC43" s="31"/>
      <c r="AD43" s="31"/>
      <c r="AE43" s="37"/>
      <c r="AF43" s="37"/>
      <c r="AG43" s="37"/>
    </row>
    <row r="44" spans="1:33" ht="15.75" customHeight="1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6"/>
      <c r="V44" s="1"/>
      <c r="W44" s="31"/>
      <c r="X44" s="31"/>
      <c r="Y44" s="31"/>
      <c r="Z44" s="31"/>
      <c r="AA44" s="2"/>
      <c r="AB44" s="31"/>
      <c r="AC44" s="31"/>
      <c r="AD44" s="31"/>
      <c r="AE44" s="37"/>
      <c r="AF44" s="37"/>
      <c r="AG44" s="37"/>
    </row>
    <row r="45" spans="1:33" ht="15.75" customHeight="1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6"/>
      <c r="V45" s="1"/>
      <c r="W45" s="31"/>
      <c r="X45" s="31"/>
      <c r="Y45" s="31"/>
      <c r="Z45" s="31"/>
      <c r="AA45" s="2"/>
      <c r="AB45" s="31"/>
      <c r="AC45" s="31"/>
      <c r="AD45" s="31"/>
      <c r="AE45" s="37"/>
      <c r="AF45" s="37"/>
      <c r="AG45" s="37"/>
    </row>
    <row r="46" spans="1:33" ht="15.75" customHeight="1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6"/>
      <c r="V46" s="1"/>
      <c r="W46" s="31"/>
      <c r="X46" s="31"/>
      <c r="Y46" s="31"/>
      <c r="Z46" s="31"/>
      <c r="AA46" s="2"/>
      <c r="AB46" s="31"/>
      <c r="AC46" s="31"/>
      <c r="AD46" s="31"/>
      <c r="AE46" s="37"/>
      <c r="AF46" s="37"/>
      <c r="AG46" s="37"/>
    </row>
    <row r="47" spans="1:33" ht="15.75" customHeight="1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6"/>
      <c r="V47" s="1"/>
      <c r="W47" s="31"/>
      <c r="X47" s="31"/>
      <c r="Y47" s="31"/>
      <c r="Z47" s="31"/>
      <c r="AA47" s="2"/>
      <c r="AB47" s="31"/>
      <c r="AC47" s="31"/>
      <c r="AD47" s="31"/>
      <c r="AE47" s="37"/>
      <c r="AF47" s="37"/>
      <c r="AG47" s="37"/>
    </row>
    <row r="48" spans="1:33" ht="15.75" customHeight="1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6"/>
      <c r="V48" s="1"/>
      <c r="W48" s="31"/>
      <c r="X48" s="31"/>
      <c r="Y48" s="31"/>
      <c r="Z48" s="31"/>
      <c r="AA48" s="2"/>
      <c r="AB48" s="31"/>
      <c r="AC48" s="31"/>
      <c r="AD48" s="31"/>
      <c r="AE48" s="37"/>
      <c r="AF48" s="37"/>
      <c r="AG48" s="37"/>
    </row>
    <row r="49" spans="1:33" ht="15.75" customHeight="1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6"/>
      <c r="V49" s="1"/>
      <c r="W49" s="31"/>
      <c r="X49" s="31"/>
      <c r="Y49" s="31"/>
      <c r="Z49" s="31"/>
      <c r="AA49" s="2"/>
      <c r="AB49" s="31"/>
      <c r="AC49" s="31"/>
      <c r="AD49" s="31"/>
      <c r="AE49" s="37"/>
      <c r="AF49" s="37"/>
      <c r="AG49" s="37"/>
    </row>
    <row r="50" spans="1:33" ht="15.75" customHeight="1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6"/>
      <c r="V50" s="1"/>
      <c r="W50" s="31"/>
      <c r="X50" s="31"/>
      <c r="Y50" s="31"/>
      <c r="Z50" s="31"/>
      <c r="AA50" s="2"/>
      <c r="AB50" s="31"/>
      <c r="AC50" s="31"/>
      <c r="AD50" s="31"/>
      <c r="AE50" s="37"/>
      <c r="AF50" s="37"/>
      <c r="AG50" s="37"/>
    </row>
    <row r="51" spans="1:33" ht="15.75" customHeight="1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6"/>
      <c r="V51" s="1"/>
      <c r="W51" s="31"/>
      <c r="X51" s="31"/>
      <c r="Y51" s="31"/>
      <c r="Z51" s="31"/>
      <c r="AA51" s="2"/>
      <c r="AB51" s="31"/>
      <c r="AC51" s="31"/>
      <c r="AD51" s="31"/>
      <c r="AE51" s="37"/>
      <c r="AF51" s="37"/>
      <c r="AG51" s="37"/>
    </row>
    <row r="52" spans="1:33" ht="15.75" customHeight="1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6"/>
      <c r="V52" s="1"/>
      <c r="W52" s="31"/>
      <c r="X52" s="31"/>
      <c r="Y52" s="31"/>
      <c r="Z52" s="31"/>
      <c r="AA52" s="2"/>
      <c r="AB52" s="31"/>
      <c r="AC52" s="31"/>
      <c r="AD52" s="31"/>
      <c r="AE52" s="37"/>
      <c r="AF52" s="37"/>
      <c r="AG52" s="37"/>
    </row>
    <row r="53" spans="1:33" ht="15.75" customHeight="1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6"/>
      <c r="V53" s="1"/>
      <c r="W53" s="31"/>
      <c r="X53" s="31"/>
      <c r="Y53" s="31"/>
      <c r="Z53" s="31"/>
      <c r="AA53" s="2"/>
      <c r="AB53" s="31"/>
      <c r="AC53" s="31"/>
      <c r="AD53" s="31"/>
      <c r="AE53" s="37"/>
      <c r="AF53" s="37"/>
      <c r="AG53" s="37"/>
    </row>
    <row r="54" spans="1:33" ht="15.75" customHeight="1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6"/>
      <c r="V54" s="1"/>
      <c r="W54" s="31"/>
      <c r="X54" s="31"/>
      <c r="Y54" s="31"/>
      <c r="Z54" s="31"/>
      <c r="AA54" s="2"/>
      <c r="AB54" s="31"/>
      <c r="AC54" s="31"/>
      <c r="AD54" s="31"/>
      <c r="AE54" s="37"/>
      <c r="AF54" s="37"/>
      <c r="AG54" s="37"/>
    </row>
    <row r="55" spans="1:33" ht="15.75" customHeight="1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6"/>
      <c r="V55" s="1"/>
      <c r="W55" s="31"/>
      <c r="X55" s="31"/>
      <c r="Y55" s="31"/>
      <c r="Z55" s="31"/>
      <c r="AA55" s="2"/>
      <c r="AB55" s="31"/>
      <c r="AC55" s="31"/>
      <c r="AD55" s="31"/>
      <c r="AE55" s="37"/>
      <c r="AF55" s="37"/>
      <c r="AG55" s="37"/>
    </row>
    <row r="56" spans="1:33" ht="15.75" customHeight="1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6"/>
      <c r="V56" s="1"/>
      <c r="W56" s="31"/>
      <c r="X56" s="31"/>
      <c r="Y56" s="31"/>
      <c r="Z56" s="31"/>
      <c r="AA56" s="2"/>
      <c r="AB56" s="31"/>
      <c r="AC56" s="31"/>
      <c r="AD56" s="31"/>
      <c r="AE56" s="37"/>
      <c r="AF56" s="37"/>
      <c r="AG56" s="37"/>
    </row>
    <row r="57" spans="1:33" ht="15.75" customHeight="1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6"/>
      <c r="V57" s="1"/>
      <c r="W57" s="31"/>
      <c r="X57" s="31"/>
      <c r="Y57" s="31"/>
      <c r="Z57" s="31"/>
      <c r="AA57" s="2"/>
      <c r="AB57" s="31"/>
      <c r="AC57" s="31"/>
      <c r="AD57" s="31"/>
      <c r="AE57" s="37"/>
      <c r="AF57" s="37"/>
      <c r="AG57" s="37"/>
    </row>
    <row r="58" spans="1:33" ht="15.75" customHeight="1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6"/>
      <c r="V58" s="1"/>
      <c r="W58" s="31"/>
      <c r="X58" s="31"/>
      <c r="Y58" s="31"/>
      <c r="Z58" s="31"/>
      <c r="AA58" s="2"/>
      <c r="AB58" s="31"/>
      <c r="AC58" s="31"/>
      <c r="AD58" s="31"/>
      <c r="AE58" s="37"/>
      <c r="AF58" s="37"/>
      <c r="AG58" s="37"/>
    </row>
    <row r="59" spans="1:33" ht="15.75" customHeight="1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6"/>
      <c r="V59" s="1"/>
      <c r="W59" s="31"/>
      <c r="X59" s="31"/>
      <c r="Y59" s="31"/>
      <c r="Z59" s="31"/>
      <c r="AA59" s="2"/>
      <c r="AB59" s="31"/>
      <c r="AC59" s="31"/>
      <c r="AD59" s="31"/>
      <c r="AE59" s="37"/>
      <c r="AF59" s="37"/>
      <c r="AG59" s="37"/>
    </row>
    <row r="60" spans="1:33" ht="15.75" customHeight="1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6"/>
      <c r="V60" s="1"/>
      <c r="W60" s="31"/>
      <c r="X60" s="31"/>
      <c r="Y60" s="31"/>
      <c r="Z60" s="31"/>
      <c r="AA60" s="2"/>
      <c r="AB60" s="31"/>
      <c r="AC60" s="31"/>
      <c r="AD60" s="31"/>
      <c r="AE60" s="37"/>
      <c r="AF60" s="37"/>
      <c r="AG60" s="37"/>
    </row>
    <row r="61" spans="1:33" ht="15.75" customHeight="1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6"/>
      <c r="V61" s="1"/>
      <c r="W61" s="31"/>
      <c r="X61" s="31"/>
      <c r="Y61" s="31"/>
      <c r="Z61" s="31"/>
      <c r="AA61" s="2"/>
      <c r="AB61" s="31"/>
      <c r="AC61" s="31"/>
      <c r="AD61" s="31"/>
      <c r="AE61" s="37"/>
      <c r="AF61" s="37"/>
      <c r="AG61" s="37"/>
    </row>
    <row r="62" spans="1:33" ht="15.75" customHeight="1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6"/>
      <c r="V62" s="1"/>
      <c r="W62" s="31"/>
      <c r="X62" s="31"/>
      <c r="Y62" s="31"/>
      <c r="Z62" s="31"/>
      <c r="AA62" s="2"/>
      <c r="AB62" s="31"/>
      <c r="AC62" s="31"/>
      <c r="AD62" s="31"/>
      <c r="AE62" s="37"/>
      <c r="AF62" s="37"/>
      <c r="AG62" s="37"/>
    </row>
    <row r="63" spans="1:33" ht="15.75" customHeight="1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6"/>
      <c r="V63" s="1"/>
      <c r="W63" s="31"/>
      <c r="X63" s="31"/>
      <c r="Y63" s="31"/>
      <c r="Z63" s="31"/>
      <c r="AA63" s="2"/>
      <c r="AB63" s="31"/>
      <c r="AC63" s="31"/>
      <c r="AD63" s="31"/>
      <c r="AE63" s="37"/>
      <c r="AF63" s="37"/>
      <c r="AG63" s="37"/>
    </row>
    <row r="64" spans="1:33" ht="15.75" customHeight="1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6"/>
      <c r="V64" s="1"/>
      <c r="W64" s="31"/>
      <c r="X64" s="31"/>
      <c r="Y64" s="31"/>
      <c r="Z64" s="31"/>
      <c r="AA64" s="2"/>
      <c r="AB64" s="31"/>
      <c r="AC64" s="31"/>
      <c r="AD64" s="31"/>
      <c r="AE64" s="37"/>
      <c r="AF64" s="37"/>
      <c r="AG64" s="37"/>
    </row>
    <row r="65" spans="1:33" ht="15.75" customHeight="1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6"/>
      <c r="V65" s="1"/>
      <c r="W65" s="31"/>
      <c r="X65" s="31"/>
      <c r="Y65" s="31"/>
      <c r="Z65" s="31"/>
      <c r="AA65" s="2"/>
      <c r="AB65" s="31"/>
      <c r="AC65" s="31"/>
      <c r="AD65" s="31"/>
      <c r="AE65" s="37"/>
      <c r="AF65" s="37"/>
      <c r="AG65" s="37"/>
    </row>
    <row r="66" spans="1:33" ht="15.75" customHeight="1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6"/>
      <c r="V66" s="1"/>
      <c r="W66" s="31"/>
      <c r="X66" s="31"/>
      <c r="Y66" s="31"/>
      <c r="Z66" s="31"/>
      <c r="AA66" s="2"/>
      <c r="AB66" s="31"/>
      <c r="AC66" s="31"/>
      <c r="AD66" s="31"/>
      <c r="AE66" s="37"/>
      <c r="AF66" s="37"/>
      <c r="AG66" s="37"/>
    </row>
    <row r="67" spans="1:33" ht="15.75" customHeight="1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6"/>
      <c r="V67" s="1"/>
      <c r="W67" s="31"/>
      <c r="X67" s="31"/>
      <c r="Y67" s="31"/>
      <c r="Z67" s="31"/>
      <c r="AA67" s="2"/>
      <c r="AB67" s="31"/>
      <c r="AC67" s="31"/>
      <c r="AD67" s="31"/>
      <c r="AE67" s="37"/>
      <c r="AF67" s="37"/>
      <c r="AG67" s="37"/>
    </row>
    <row r="68" spans="1:33" ht="15.75" customHeight="1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6"/>
      <c r="V68" s="1"/>
      <c r="W68" s="31"/>
      <c r="X68" s="31"/>
      <c r="Y68" s="31"/>
      <c r="Z68" s="31"/>
      <c r="AA68" s="2"/>
      <c r="AB68" s="31"/>
      <c r="AC68" s="31"/>
      <c r="AD68" s="31"/>
      <c r="AE68" s="37"/>
      <c r="AF68" s="37"/>
      <c r="AG68" s="37"/>
    </row>
    <row r="69" spans="1:33" ht="15.75" customHeight="1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6"/>
      <c r="V69" s="1"/>
      <c r="W69" s="31"/>
      <c r="X69" s="31"/>
      <c r="Y69" s="31"/>
      <c r="Z69" s="31"/>
      <c r="AA69" s="2"/>
      <c r="AB69" s="31"/>
      <c r="AC69" s="31"/>
      <c r="AD69" s="31"/>
      <c r="AE69" s="37"/>
      <c r="AF69" s="37"/>
      <c r="AG69" s="37"/>
    </row>
    <row r="70" spans="1:33" ht="15.75" customHeight="1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6"/>
      <c r="V70" s="1"/>
      <c r="W70" s="31"/>
      <c r="X70" s="31"/>
      <c r="Y70" s="31"/>
      <c r="Z70" s="31"/>
      <c r="AA70" s="2"/>
      <c r="AB70" s="31"/>
      <c r="AC70" s="31"/>
      <c r="AD70" s="31"/>
      <c r="AE70" s="37"/>
      <c r="AF70" s="37"/>
      <c r="AG70" s="37"/>
    </row>
    <row r="71" spans="1:33" ht="15.75" customHeight="1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6"/>
      <c r="V71" s="1"/>
      <c r="W71" s="31"/>
      <c r="X71" s="31"/>
      <c r="Y71" s="31"/>
      <c r="Z71" s="31"/>
      <c r="AA71" s="2"/>
      <c r="AB71" s="31"/>
      <c r="AC71" s="31"/>
      <c r="AD71" s="31"/>
      <c r="AE71" s="37"/>
      <c r="AF71" s="37"/>
      <c r="AG71" s="37"/>
    </row>
    <row r="72" spans="1:33" ht="15.75" customHeight="1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6"/>
      <c r="V72" s="1"/>
      <c r="W72" s="31"/>
      <c r="X72" s="31"/>
      <c r="Y72" s="31"/>
      <c r="Z72" s="31"/>
      <c r="AA72" s="2"/>
      <c r="AB72" s="31"/>
      <c r="AC72" s="31"/>
      <c r="AD72" s="31"/>
      <c r="AE72" s="37"/>
      <c r="AF72" s="37"/>
      <c r="AG72" s="37"/>
    </row>
    <row r="73" spans="1:33" ht="15.75" customHeight="1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6"/>
      <c r="V73" s="1"/>
      <c r="W73" s="31"/>
      <c r="X73" s="31"/>
      <c r="Y73" s="31"/>
      <c r="Z73" s="31"/>
      <c r="AA73" s="2"/>
      <c r="AB73" s="31"/>
      <c r="AC73" s="31"/>
      <c r="AD73" s="31"/>
      <c r="AE73" s="37"/>
      <c r="AF73" s="37"/>
      <c r="AG73" s="37"/>
    </row>
    <row r="74" spans="1:33" ht="15.75" customHeight="1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6"/>
      <c r="V74" s="1"/>
      <c r="W74" s="31"/>
      <c r="X74" s="31"/>
      <c r="Y74" s="31"/>
      <c r="Z74" s="31"/>
      <c r="AA74" s="2"/>
      <c r="AB74" s="31"/>
      <c r="AC74" s="31"/>
      <c r="AD74" s="31"/>
      <c r="AE74" s="37"/>
      <c r="AF74" s="37"/>
      <c r="AG74" s="37"/>
    </row>
    <row r="75" spans="1:33" ht="15.75" customHeight="1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6"/>
      <c r="V75" s="1"/>
      <c r="W75" s="31"/>
      <c r="X75" s="31"/>
      <c r="Y75" s="31"/>
      <c r="Z75" s="31"/>
      <c r="AA75" s="2"/>
      <c r="AB75" s="31"/>
      <c r="AC75" s="31"/>
      <c r="AD75" s="31"/>
      <c r="AE75" s="37"/>
      <c r="AF75" s="37"/>
      <c r="AG75" s="37"/>
    </row>
    <row r="76" spans="1:33" ht="15.75" customHeight="1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6"/>
      <c r="V76" s="1"/>
      <c r="W76" s="31"/>
      <c r="X76" s="31"/>
      <c r="Y76" s="31"/>
      <c r="Z76" s="31"/>
      <c r="AA76" s="2"/>
      <c r="AB76" s="31"/>
      <c r="AC76" s="31"/>
      <c r="AD76" s="31"/>
      <c r="AE76" s="37"/>
      <c r="AF76" s="37"/>
      <c r="AG76" s="37"/>
    </row>
    <row r="77" spans="1:33" ht="15.75" customHeight="1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6"/>
      <c r="V77" s="1"/>
      <c r="W77" s="31"/>
      <c r="X77" s="31"/>
      <c r="Y77" s="31"/>
      <c r="Z77" s="31"/>
      <c r="AA77" s="2"/>
      <c r="AB77" s="31"/>
      <c r="AC77" s="31"/>
      <c r="AD77" s="31"/>
      <c r="AE77" s="37"/>
      <c r="AF77" s="37"/>
      <c r="AG77" s="37"/>
    </row>
    <row r="78" spans="1:33" ht="15.75" customHeight="1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6"/>
      <c r="V78" s="1"/>
      <c r="W78" s="31"/>
      <c r="X78" s="31"/>
      <c r="Y78" s="31"/>
      <c r="Z78" s="31"/>
      <c r="AA78" s="2"/>
      <c r="AB78" s="31"/>
      <c r="AC78" s="31"/>
      <c r="AD78" s="31"/>
      <c r="AE78" s="37"/>
      <c r="AF78" s="37"/>
      <c r="AG78" s="37"/>
    </row>
    <row r="79" spans="1:33" ht="15.75" customHeight="1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6"/>
      <c r="V79" s="1"/>
      <c r="W79" s="31"/>
      <c r="X79" s="31"/>
      <c r="Y79" s="31"/>
      <c r="Z79" s="31"/>
      <c r="AA79" s="2"/>
      <c r="AB79" s="31"/>
      <c r="AC79" s="31"/>
      <c r="AD79" s="31"/>
      <c r="AE79" s="37"/>
      <c r="AF79" s="37"/>
      <c r="AG79" s="37"/>
    </row>
    <row r="80" spans="1:33" ht="15.75" customHeight="1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6"/>
      <c r="V80" s="1"/>
      <c r="W80" s="31"/>
      <c r="X80" s="31"/>
      <c r="Y80" s="31"/>
      <c r="Z80" s="31"/>
      <c r="AA80" s="2"/>
      <c r="AB80" s="31"/>
      <c r="AC80" s="31"/>
      <c r="AD80" s="31"/>
      <c r="AE80" s="37"/>
      <c r="AF80" s="37"/>
      <c r="AG80" s="37"/>
    </row>
    <row r="81" spans="1:33" ht="15.75" customHeight="1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6"/>
      <c r="V81" s="1"/>
      <c r="W81" s="31"/>
      <c r="X81" s="31"/>
      <c r="Y81" s="31"/>
      <c r="Z81" s="31"/>
      <c r="AA81" s="2"/>
      <c r="AB81" s="31"/>
      <c r="AC81" s="31"/>
      <c r="AD81" s="31"/>
      <c r="AE81" s="37"/>
      <c r="AF81" s="37"/>
      <c r="AG81" s="37"/>
    </row>
    <row r="82" spans="1:33" ht="15.75" customHeight="1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6"/>
      <c r="V82" s="1"/>
      <c r="W82" s="31"/>
      <c r="X82" s="31"/>
      <c r="Y82" s="31"/>
      <c r="Z82" s="31"/>
      <c r="AA82" s="2"/>
      <c r="AB82" s="31"/>
      <c r="AC82" s="31"/>
      <c r="AD82" s="31"/>
      <c r="AE82" s="37"/>
      <c r="AF82" s="37"/>
      <c r="AG82" s="37"/>
    </row>
    <row r="83" spans="1:33" ht="15.75" customHeight="1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6"/>
      <c r="V83" s="1"/>
      <c r="W83" s="31"/>
      <c r="X83" s="31"/>
      <c r="Y83" s="31"/>
      <c r="Z83" s="31"/>
      <c r="AA83" s="2"/>
      <c r="AB83" s="31"/>
      <c r="AC83" s="31"/>
      <c r="AD83" s="31"/>
      <c r="AE83" s="37"/>
      <c r="AF83" s="37"/>
      <c r="AG83" s="37"/>
    </row>
    <row r="84" spans="1:33" ht="15.75" customHeight="1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6"/>
      <c r="V84" s="1"/>
      <c r="W84" s="31"/>
      <c r="X84" s="31"/>
      <c r="Y84" s="31"/>
      <c r="Z84" s="31"/>
      <c r="AA84" s="2"/>
      <c r="AB84" s="31"/>
      <c r="AC84" s="31"/>
      <c r="AD84" s="31"/>
      <c r="AE84" s="37"/>
      <c r="AF84" s="37"/>
      <c r="AG84" s="37"/>
    </row>
    <row r="85" spans="1:33" ht="15.75" customHeight="1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6"/>
      <c r="V85" s="1"/>
      <c r="W85" s="31"/>
      <c r="X85" s="31"/>
      <c r="Y85" s="31"/>
      <c r="Z85" s="31"/>
      <c r="AA85" s="2"/>
      <c r="AB85" s="31"/>
      <c r="AC85" s="31"/>
      <c r="AD85" s="31"/>
      <c r="AE85" s="37"/>
      <c r="AF85" s="37"/>
      <c r="AG85" s="37"/>
    </row>
    <row r="86" spans="1:33" ht="15.75" customHeight="1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6"/>
      <c r="V86" s="1"/>
      <c r="W86" s="31"/>
      <c r="X86" s="31"/>
      <c r="Y86" s="31"/>
      <c r="Z86" s="31"/>
      <c r="AA86" s="2"/>
      <c r="AB86" s="31"/>
      <c r="AC86" s="31"/>
      <c r="AD86" s="31"/>
      <c r="AE86" s="37"/>
      <c r="AF86" s="37"/>
      <c r="AG86" s="37"/>
    </row>
    <row r="87" spans="1:33" ht="15.75" customHeight="1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6"/>
      <c r="V87" s="1"/>
      <c r="W87" s="31"/>
      <c r="X87" s="31"/>
      <c r="Y87" s="31"/>
      <c r="Z87" s="31"/>
      <c r="AA87" s="2"/>
      <c r="AB87" s="31"/>
      <c r="AC87" s="31"/>
      <c r="AD87" s="31"/>
      <c r="AE87" s="37"/>
      <c r="AF87" s="37"/>
      <c r="AG87" s="37"/>
    </row>
    <row r="88" spans="1:33" ht="15.75" customHeight="1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6"/>
      <c r="V88" s="1"/>
      <c r="W88" s="31"/>
      <c r="X88" s="31"/>
      <c r="Y88" s="31"/>
      <c r="Z88" s="31"/>
      <c r="AA88" s="2"/>
      <c r="AB88" s="31"/>
      <c r="AC88" s="31"/>
      <c r="AD88" s="31"/>
      <c r="AE88" s="37"/>
      <c r="AF88" s="37"/>
      <c r="AG88" s="37"/>
    </row>
    <row r="89" spans="1:33" ht="15.75" customHeight="1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6"/>
      <c r="V89" s="1"/>
      <c r="W89" s="31"/>
      <c r="X89" s="31"/>
      <c r="Y89" s="31"/>
      <c r="Z89" s="31"/>
      <c r="AA89" s="2"/>
      <c r="AB89" s="31"/>
      <c r="AC89" s="31"/>
      <c r="AD89" s="31"/>
      <c r="AE89" s="37"/>
      <c r="AF89" s="37"/>
      <c r="AG89" s="37"/>
    </row>
    <row r="90" spans="1:33" ht="15.75" customHeight="1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6"/>
      <c r="V90" s="1"/>
      <c r="W90" s="31"/>
      <c r="X90" s="31"/>
      <c r="Y90" s="31"/>
      <c r="Z90" s="31"/>
      <c r="AA90" s="2"/>
      <c r="AB90" s="31"/>
      <c r="AC90" s="31"/>
      <c r="AD90" s="31"/>
      <c r="AE90" s="37"/>
      <c r="AF90" s="37"/>
      <c r="AG90" s="37"/>
    </row>
    <row r="91" spans="1:33" ht="15.75" customHeight="1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6"/>
      <c r="V91" s="1"/>
      <c r="W91" s="31"/>
      <c r="X91" s="31"/>
      <c r="Y91" s="31"/>
      <c r="Z91" s="31"/>
      <c r="AA91" s="2"/>
      <c r="AB91" s="31"/>
      <c r="AC91" s="31"/>
      <c r="AD91" s="31"/>
      <c r="AE91" s="37"/>
      <c r="AF91" s="37"/>
      <c r="AG91" s="37"/>
    </row>
    <row r="92" spans="1:33" ht="15.75" customHeight="1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6"/>
      <c r="V92" s="1"/>
      <c r="W92" s="31"/>
      <c r="X92" s="31"/>
      <c r="Y92" s="31"/>
      <c r="Z92" s="31"/>
      <c r="AA92" s="2"/>
      <c r="AB92" s="31"/>
      <c r="AC92" s="31"/>
      <c r="AD92" s="31"/>
      <c r="AE92" s="37"/>
      <c r="AF92" s="37"/>
      <c r="AG92" s="37"/>
    </row>
    <row r="93" spans="1:33" ht="15.75" customHeight="1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6"/>
      <c r="V93" s="1"/>
      <c r="W93" s="31"/>
      <c r="X93" s="31"/>
      <c r="Y93" s="31"/>
      <c r="Z93" s="31"/>
      <c r="AA93" s="2"/>
      <c r="AB93" s="31"/>
      <c r="AC93" s="31"/>
      <c r="AD93" s="31"/>
      <c r="AE93" s="37"/>
      <c r="AF93" s="37"/>
      <c r="AG93" s="37"/>
    </row>
    <row r="94" spans="1:33" ht="15.75" customHeight="1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6"/>
      <c r="V94" s="1"/>
      <c r="W94" s="31"/>
      <c r="X94" s="31"/>
      <c r="Y94" s="31"/>
      <c r="Z94" s="31"/>
      <c r="AA94" s="2"/>
      <c r="AB94" s="31"/>
      <c r="AC94" s="31"/>
      <c r="AD94" s="31"/>
      <c r="AE94" s="37"/>
      <c r="AF94" s="37"/>
      <c r="AG94" s="37"/>
    </row>
    <row r="95" spans="1:33" ht="15.75" customHeight="1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6"/>
      <c r="V95" s="1"/>
      <c r="W95" s="31"/>
      <c r="X95" s="31"/>
      <c r="Y95" s="31"/>
      <c r="Z95" s="31"/>
      <c r="AA95" s="2"/>
      <c r="AB95" s="31"/>
      <c r="AC95" s="31"/>
      <c r="AD95" s="31"/>
      <c r="AE95" s="37"/>
      <c r="AF95" s="37"/>
      <c r="AG95" s="37"/>
    </row>
    <row r="96" spans="1:33" ht="15.75" customHeight="1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6"/>
      <c r="V96" s="1"/>
      <c r="W96" s="31"/>
      <c r="X96" s="31"/>
      <c r="Y96" s="31"/>
      <c r="Z96" s="31"/>
      <c r="AA96" s="2"/>
      <c r="AB96" s="31"/>
      <c r="AC96" s="31"/>
      <c r="AD96" s="31"/>
      <c r="AE96" s="37"/>
      <c r="AF96" s="37"/>
      <c r="AG96" s="37"/>
    </row>
    <row r="97" spans="1:33" ht="15.75" customHeight="1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8"/>
      <c r="R97" s="38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8"/>
      <c r="R98" s="38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8"/>
      <c r="R99" s="38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8"/>
      <c r="R100" s="38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8"/>
      <c r="R101" s="38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8"/>
      <c r="R102" s="38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8"/>
      <c r="R103" s="38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8"/>
      <c r="R104" s="38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8"/>
      <c r="R105" s="38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8"/>
      <c r="R106" s="38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8"/>
      <c r="R107" s="38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8"/>
      <c r="R108" s="38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8"/>
      <c r="R109" s="38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8"/>
      <c r="R110" s="38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8"/>
      <c r="R111" s="38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8"/>
      <c r="R112" s="38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8"/>
      <c r="R113" s="38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8"/>
      <c r="R114" s="38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>
      <c r="A115" s="31"/>
      <c r="B115" s="31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>
      <c r="A116" s="31"/>
      <c r="B116" s="31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>
      <c r="A117" s="31"/>
      <c r="B117" s="31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>
      <c r="A118" s="31"/>
      <c r="B118" s="31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>
      <c r="A119" s="31"/>
      <c r="B119" s="31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>
      <c r="A120" s="31"/>
      <c r="B120" s="31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>
      <c r="A121" s="31"/>
      <c r="B121" s="31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>
      <c r="A122" s="31"/>
      <c r="B122" s="31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>
      <c r="A123" s="31"/>
      <c r="B123" s="31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>
      <c r="A124" s="31"/>
      <c r="B124" s="31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>
      <c r="A125" s="31"/>
      <c r="B125" s="31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>
      <c r="A126" s="31"/>
      <c r="B126" s="31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>
      <c r="A127" s="31"/>
      <c r="B127" s="31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>
      <c r="A128" s="31"/>
      <c r="B128" s="31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>
      <c r="A129" s="31"/>
      <c r="B129" s="31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>
      <c r="A130" s="31"/>
      <c r="B130" s="31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>
      <c r="A131" s="31"/>
      <c r="B131" s="31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>
      <c r="A132" s="31"/>
      <c r="B132" s="31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>
      <c r="A133" s="31"/>
      <c r="B133" s="31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>
      <c r="A134" s="31"/>
      <c r="B134" s="31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>
      <c r="A135" s="31"/>
      <c r="B135" s="31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>
      <c r="A136" s="31"/>
      <c r="B136" s="31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>
      <c r="A137" s="31"/>
      <c r="B137" s="31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>
      <c r="A138" s="31"/>
      <c r="B138" s="31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>
      <c r="A139" s="31"/>
      <c r="B139" s="31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>
      <c r="A140" s="31"/>
      <c r="B140" s="31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>
      <c r="A141" s="31"/>
      <c r="B141" s="31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2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>
      <c r="A142" s="31"/>
      <c r="B142" s="31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2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>
      <c r="A143" s="31"/>
      <c r="B143" s="31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2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>
      <c r="A144" s="31"/>
      <c r="B144" s="31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2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>
      <c r="A145" s="31"/>
      <c r="B145" s="31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2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>
      <c r="A146" s="31"/>
      <c r="B146" s="31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2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>
      <c r="A147" s="31"/>
      <c r="B147" s="31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2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>
      <c r="A148" s="31"/>
      <c r="B148" s="31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2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</row>
    <row r="149" spans="1:33" ht="15.75" customHeight="1">
      <c r="A149" s="14"/>
      <c r="B149" s="14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>
      <c r="A150" s="14"/>
      <c r="B150" s="14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>
      <c r="A151" s="14"/>
      <c r="B151" s="14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>
      <c r="A152" s="14"/>
      <c r="B152" s="14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>
      <c r="A153" s="14"/>
      <c r="B153" s="14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>
      <c r="A154" s="14"/>
      <c r="B154" s="14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>
      <c r="A155" s="14"/>
      <c r="B155" s="14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>
      <c r="A156" s="14"/>
      <c r="B156" s="14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>
      <c r="A157" s="14"/>
      <c r="B157" s="14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>
      <c r="A158" s="14"/>
      <c r="B158" s="14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>
      <c r="A159" s="14"/>
      <c r="B159" s="14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>
      <c r="A160" s="14"/>
      <c r="B160" s="14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>
      <c r="A161" s="14"/>
      <c r="B161" s="14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>
      <c r="A162" s="14"/>
      <c r="B162" s="14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>
      <c r="A163" s="14"/>
      <c r="B163" s="14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>
      <c r="A164" s="14"/>
      <c r="B164" s="14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>
      <c r="A165" s="14"/>
      <c r="B165" s="14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>
      <c r="A166" s="14"/>
      <c r="B166" s="14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>
      <c r="A167" s="14"/>
      <c r="B167" s="14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>
      <c r="A168" s="14"/>
      <c r="B168" s="14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>
      <c r="A169" s="14"/>
      <c r="B169" s="14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>
      <c r="A170" s="14"/>
      <c r="B170" s="14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>
      <c r="A171" s="14"/>
      <c r="B171" s="14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>
      <c r="A172" s="14"/>
      <c r="B172" s="14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>
      <c r="A173" s="14"/>
      <c r="B173" s="14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>
      <c r="A174" s="14"/>
      <c r="B174" s="14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>
      <c r="A175" s="14"/>
      <c r="B175" s="14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>
      <c r="A176" s="14"/>
      <c r="B176" s="14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>
      <c r="A177" s="14"/>
      <c r="B177" s="14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>
      <c r="A178" s="14"/>
      <c r="B178" s="14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>
      <c r="A179" s="14"/>
      <c r="B179" s="14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>
      <c r="A180" s="14"/>
      <c r="B180" s="14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>
      <c r="A181" s="14"/>
      <c r="B181" s="14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>
      <c r="A182" s="14"/>
      <c r="B182" s="14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>
      <c r="A183" s="14"/>
      <c r="B183" s="14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>
      <c r="A184" s="14"/>
      <c r="B184" s="14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>
      <c r="A185" s="14"/>
      <c r="B185" s="14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>
      <c r="A186" s="14"/>
      <c r="B186" s="14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>
      <c r="A187" s="14"/>
      <c r="B187" s="14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>
      <c r="A188" s="14"/>
      <c r="B188" s="14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>
      <c r="A189" s="14"/>
      <c r="B189" s="14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>
      <c r="A190" s="14"/>
      <c r="B190" s="14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>
      <c r="A191" s="14"/>
      <c r="B191" s="14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>
      <c r="A192" s="14"/>
      <c r="B192" s="14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>
      <c r="A193" s="14"/>
      <c r="B193" s="14"/>
      <c r="C193" s="39"/>
      <c r="D193" s="39"/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>
      <c r="A194" s="14"/>
      <c r="B194" s="14"/>
      <c r="C194" s="39"/>
      <c r="D194" s="39"/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>
      <c r="A195" s="14"/>
      <c r="B195" s="14"/>
      <c r="C195" s="39"/>
      <c r="D195" s="39"/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>
      <c r="A196" s="14"/>
      <c r="B196" s="14"/>
      <c r="C196" s="39"/>
      <c r="D196" s="39"/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>
      <c r="A197" s="14"/>
      <c r="B197" s="14"/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>
      <c r="A198" s="14"/>
      <c r="B198" s="14"/>
      <c r="C198" s="39"/>
      <c r="D198" s="39"/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>
      <c r="A199" s="14"/>
      <c r="B199" s="14"/>
      <c r="C199" s="39"/>
      <c r="D199" s="39"/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>
      <c r="A200" s="14"/>
      <c r="B200" s="14"/>
      <c r="C200" s="39"/>
      <c r="D200" s="39"/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>
      <c r="A201" s="14"/>
      <c r="B201" s="14"/>
      <c r="C201" s="39"/>
      <c r="D201" s="39"/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>
      <c r="A202" s="14"/>
      <c r="B202" s="14"/>
      <c r="C202" s="39"/>
      <c r="D202" s="39"/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>
      <c r="A203" s="14"/>
      <c r="B203" s="14"/>
      <c r="C203" s="39"/>
      <c r="D203" s="39"/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>
      <c r="A204" s="14"/>
      <c r="B204" s="14"/>
      <c r="C204" s="39"/>
      <c r="D204" s="39"/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>
      <c r="A205" s="14"/>
      <c r="B205" s="14"/>
      <c r="C205" s="39"/>
      <c r="D205" s="39"/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>
      <c r="A206" s="14"/>
      <c r="B206" s="14"/>
      <c r="C206" s="39"/>
      <c r="D206" s="39"/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>
      <c r="A207" s="14"/>
      <c r="B207" s="14"/>
      <c r="C207" s="39"/>
      <c r="D207" s="39"/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>
      <c r="A208" s="14"/>
      <c r="B208" s="14"/>
      <c r="C208" s="39"/>
      <c r="D208" s="39"/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>
      <c r="A209" s="14"/>
      <c r="B209" s="14"/>
      <c r="C209" s="39"/>
      <c r="D209" s="39"/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>
      <c r="A210" s="14"/>
      <c r="B210" s="14"/>
      <c r="C210" s="39"/>
      <c r="D210" s="39"/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>
      <c r="A211" s="14"/>
      <c r="B211" s="14"/>
      <c r="C211" s="39"/>
      <c r="D211" s="39"/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>
      <c r="A212" s="14"/>
      <c r="B212" s="14"/>
      <c r="C212" s="39"/>
      <c r="D212" s="39"/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>
      <c r="A213" s="14"/>
      <c r="B213" s="14"/>
      <c r="C213" s="39"/>
      <c r="D213" s="39"/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>
      <c r="A214" s="14"/>
      <c r="B214" s="14"/>
      <c r="C214" s="39"/>
      <c r="D214" s="39"/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>
      <c r="A215" s="14"/>
      <c r="B215" s="14"/>
      <c r="C215" s="39"/>
      <c r="D215" s="39"/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>
      <c r="A216" s="14"/>
      <c r="B216" s="14"/>
      <c r="C216" s="39"/>
      <c r="D216" s="39"/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>
      <c r="A217" s="14"/>
      <c r="B217" s="14"/>
      <c r="C217" s="39"/>
      <c r="D217" s="39"/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>
      <c r="A218" s="14"/>
      <c r="B218" s="14"/>
      <c r="C218" s="39"/>
      <c r="D218" s="39"/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>
      <c r="A219" s="14"/>
      <c r="B219" s="14"/>
      <c r="C219" s="39"/>
      <c r="D219" s="39"/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>
      <c r="A220" s="14"/>
      <c r="B220" s="14"/>
      <c r="C220" s="39"/>
      <c r="D220" s="39"/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>
      <c r="R221" s="30"/>
      <c r="S221" s="40"/>
    </row>
    <row r="222" spans="1:33" ht="15.75" customHeight="1">
      <c r="R222" s="30"/>
      <c r="S222" s="40"/>
    </row>
    <row r="223" spans="1:33" ht="15.75" customHeight="1">
      <c r="R223" s="30"/>
      <c r="S223" s="40"/>
    </row>
    <row r="224" spans="1:33" ht="15.75" customHeight="1">
      <c r="R224" s="30"/>
      <c r="S224" s="40"/>
    </row>
    <row r="225" spans="18:18" ht="15.75" customHeight="1">
      <c r="R225" s="30"/>
    </row>
    <row r="226" spans="18:18" ht="15.75" customHeight="1">
      <c r="R226" s="30"/>
    </row>
    <row r="227" spans="18:18" ht="15.75" customHeight="1">
      <c r="R227" s="30"/>
    </row>
    <row r="228" spans="18:18" ht="15.75" customHeight="1">
      <c r="R228" s="30"/>
    </row>
    <row r="229" spans="18:18" ht="15.75" customHeight="1">
      <c r="R229" s="30"/>
    </row>
    <row r="230" spans="18:18" ht="15.75" customHeight="1">
      <c r="R230" s="30"/>
    </row>
    <row r="231" spans="18:18" ht="15.75" customHeight="1">
      <c r="R231" s="30"/>
    </row>
    <row r="232" spans="18:18" ht="15.75" customHeight="1">
      <c r="R232" s="30"/>
    </row>
    <row r="233" spans="18:18" ht="15.75" customHeight="1">
      <c r="R233" s="30"/>
    </row>
    <row r="234" spans="18:18" ht="15.75" customHeight="1">
      <c r="R234" s="30"/>
    </row>
    <row r="235" spans="18:18" ht="15.75" customHeight="1">
      <c r="R235" s="30"/>
    </row>
    <row r="236" spans="18:18" ht="15.75" customHeight="1">
      <c r="R236" s="30"/>
    </row>
    <row r="237" spans="18:18" ht="15.75" customHeight="1">
      <c r="R237" s="30"/>
    </row>
    <row r="238" spans="18:18" ht="15.75" customHeight="1">
      <c r="R238" s="30"/>
    </row>
    <row r="239" spans="18:18" ht="15.75" customHeight="1">
      <c r="R239" s="30"/>
    </row>
    <row r="240" spans="18:18" ht="15.75" customHeight="1">
      <c r="R240" s="30"/>
    </row>
    <row r="241" spans="18:18" ht="15.75" customHeight="1">
      <c r="R241" s="30"/>
    </row>
    <row r="242" spans="18:18" ht="15.75" customHeight="1">
      <c r="R242" s="30"/>
    </row>
    <row r="243" spans="18:18" ht="15.75" customHeight="1">
      <c r="R243" s="30"/>
    </row>
    <row r="244" spans="18:18" ht="15.75" customHeight="1">
      <c r="R244" s="30"/>
    </row>
    <row r="245" spans="18:18" ht="15.75" customHeight="1">
      <c r="R245" s="30"/>
    </row>
    <row r="246" spans="18:18" ht="15.75" customHeight="1">
      <c r="R246" s="30"/>
    </row>
    <row r="247" spans="18:18" ht="15.75" customHeight="1">
      <c r="R247" s="30"/>
    </row>
    <row r="248" spans="18:18" ht="15.75" customHeight="1">
      <c r="R248" s="30"/>
    </row>
    <row r="249" spans="18:18" ht="15.75" customHeight="1">
      <c r="R249" s="30"/>
    </row>
    <row r="250" spans="18:18" ht="15.75" customHeight="1">
      <c r="R250" s="30"/>
    </row>
    <row r="251" spans="18:18" ht="15.75" customHeight="1">
      <c r="R251" s="30"/>
    </row>
    <row r="252" spans="18:18" ht="15.75" customHeight="1">
      <c r="R252" s="30"/>
    </row>
    <row r="253" spans="18:18" ht="15.75" customHeight="1">
      <c r="R253" s="30"/>
    </row>
    <row r="254" spans="18:18" ht="15.75" customHeight="1">
      <c r="R254" s="30"/>
    </row>
    <row r="255" spans="18:18" ht="15.75" customHeight="1">
      <c r="R255" s="30"/>
    </row>
    <row r="256" spans="18:18" ht="15.75" customHeight="1">
      <c r="R256" s="30"/>
    </row>
    <row r="257" spans="18:18" ht="15.75" customHeight="1">
      <c r="R257" s="30"/>
    </row>
    <row r="258" spans="18:18" ht="15.75" customHeight="1">
      <c r="R258" s="30"/>
    </row>
    <row r="259" spans="18:18" ht="15.75" customHeight="1">
      <c r="R259" s="30"/>
    </row>
    <row r="260" spans="18:18" ht="15.75" customHeight="1">
      <c r="R260" s="30"/>
    </row>
    <row r="261" spans="18:18" ht="15.75" customHeight="1">
      <c r="R261" s="30"/>
    </row>
    <row r="262" spans="18:18" ht="15.75" customHeight="1">
      <c r="R262" s="30"/>
    </row>
    <row r="263" spans="18:18" ht="15.75" customHeight="1">
      <c r="R263" s="30"/>
    </row>
    <row r="264" spans="18:18" ht="15.75" customHeight="1">
      <c r="R264" s="30"/>
    </row>
    <row r="265" spans="18:18" ht="15.75" customHeight="1">
      <c r="R265" s="30"/>
    </row>
    <row r="266" spans="18:18" ht="15.75" customHeight="1">
      <c r="R266" s="30"/>
    </row>
    <row r="267" spans="18:18" ht="15.75" customHeight="1">
      <c r="R267" s="30"/>
    </row>
    <row r="268" spans="18:18" ht="15.75" customHeight="1">
      <c r="R268" s="30"/>
    </row>
    <row r="269" spans="18:18" ht="15.75" customHeight="1">
      <c r="R269" s="30"/>
    </row>
    <row r="270" spans="18:18" ht="15.75" customHeight="1">
      <c r="R270" s="30"/>
    </row>
    <row r="271" spans="18:18" ht="15.75" customHeight="1">
      <c r="R271" s="30"/>
    </row>
    <row r="272" spans="18:18" ht="15.75" customHeight="1">
      <c r="R272" s="30"/>
    </row>
    <row r="273" spans="18:18" ht="15.75" customHeight="1">
      <c r="R273" s="30"/>
    </row>
    <row r="274" spans="18:18" ht="15.75" customHeight="1">
      <c r="R274" s="30"/>
    </row>
    <row r="275" spans="18:18" ht="15.75" customHeight="1">
      <c r="R275" s="30"/>
    </row>
    <row r="276" spans="18:18" ht="15.75" customHeight="1">
      <c r="R276" s="30"/>
    </row>
    <row r="277" spans="18:18" ht="15.75" customHeight="1">
      <c r="R277" s="30"/>
    </row>
    <row r="278" spans="18:18" ht="15.75" customHeight="1">
      <c r="R278" s="30"/>
    </row>
    <row r="279" spans="18:18" ht="15.75" customHeight="1">
      <c r="R279" s="30"/>
    </row>
    <row r="280" spans="18:18" ht="15.75" customHeight="1">
      <c r="R280" s="30"/>
    </row>
    <row r="281" spans="18:18" ht="15.75" customHeight="1">
      <c r="R281" s="30"/>
    </row>
    <row r="282" spans="18:18" ht="15.75" customHeight="1">
      <c r="R282" s="30"/>
    </row>
    <row r="283" spans="18:18" ht="15.75" customHeight="1">
      <c r="R283" s="30"/>
    </row>
    <row r="284" spans="18:18" ht="15.75" customHeight="1">
      <c r="R284" s="30"/>
    </row>
    <row r="285" spans="18:18" ht="15.75" customHeight="1">
      <c r="R285" s="30"/>
    </row>
    <row r="286" spans="18:18" ht="15.75" customHeight="1">
      <c r="R286" s="30"/>
    </row>
    <row r="287" spans="18:18" ht="15.75" customHeight="1">
      <c r="R287" s="30"/>
    </row>
    <row r="288" spans="18:18" ht="15.75" customHeight="1">
      <c r="R288" s="30"/>
    </row>
    <row r="289" spans="18:18" ht="15.75" customHeight="1">
      <c r="R289" s="30"/>
    </row>
    <row r="290" spans="18:18" ht="15.75" customHeight="1">
      <c r="R290" s="30"/>
    </row>
    <row r="291" spans="18:18" ht="15.75" customHeight="1">
      <c r="R291" s="30"/>
    </row>
    <row r="292" spans="18:18" ht="15.75" customHeight="1">
      <c r="R292" s="30"/>
    </row>
    <row r="293" spans="18:18" ht="15.75" customHeight="1">
      <c r="R293" s="30"/>
    </row>
    <row r="294" spans="18:18" ht="15.75" customHeight="1">
      <c r="R294" s="30"/>
    </row>
    <row r="295" spans="18:18" ht="15.75" customHeight="1">
      <c r="R295" s="30"/>
    </row>
    <row r="296" spans="18:18" ht="15.75" customHeight="1">
      <c r="R296" s="30"/>
    </row>
    <row r="297" spans="18:18" ht="15.75" customHeight="1">
      <c r="R297" s="30"/>
    </row>
    <row r="298" spans="18:18" ht="15.75" customHeight="1">
      <c r="R298" s="30"/>
    </row>
    <row r="299" spans="18:18" ht="15.75" customHeight="1">
      <c r="R299" s="30"/>
    </row>
    <row r="300" spans="18:18" ht="15.75" customHeight="1">
      <c r="R300" s="30"/>
    </row>
    <row r="301" spans="18:18" ht="15.75" customHeight="1">
      <c r="R301" s="30"/>
    </row>
    <row r="302" spans="18:18" ht="15.75" customHeight="1">
      <c r="R302" s="30"/>
    </row>
    <row r="303" spans="18:18" ht="15.75" customHeight="1">
      <c r="R303" s="30"/>
    </row>
    <row r="304" spans="18:18" ht="15.75" customHeight="1">
      <c r="R304" s="30"/>
    </row>
    <row r="305" spans="18:18" ht="15.75" customHeight="1">
      <c r="R305" s="30"/>
    </row>
    <row r="306" spans="18:18" ht="15.75" customHeight="1">
      <c r="R306" s="30"/>
    </row>
    <row r="307" spans="18:18" ht="15.75" customHeight="1">
      <c r="R307" s="30"/>
    </row>
    <row r="308" spans="18:18" ht="15.75" customHeight="1">
      <c r="R308" s="30"/>
    </row>
    <row r="309" spans="18:18" ht="15.75" customHeight="1">
      <c r="R309" s="30"/>
    </row>
    <row r="310" spans="18:18" ht="15.75" customHeight="1">
      <c r="R310" s="30"/>
    </row>
    <row r="311" spans="18:18" ht="15.75" customHeight="1">
      <c r="R311" s="30"/>
    </row>
    <row r="312" spans="18:18" ht="15.75" customHeight="1">
      <c r="R312" s="30"/>
    </row>
    <row r="313" spans="18:18" ht="15.75" customHeight="1">
      <c r="R313" s="30"/>
    </row>
    <row r="314" spans="18:18" ht="15.75" customHeight="1">
      <c r="R314" s="30"/>
    </row>
    <row r="315" spans="18:18" ht="15.75" customHeight="1">
      <c r="R315" s="30"/>
    </row>
    <row r="316" spans="18:18" ht="15.75" customHeight="1">
      <c r="R316" s="30"/>
    </row>
    <row r="317" spans="18:18" ht="15.75" customHeight="1">
      <c r="R317" s="30"/>
    </row>
    <row r="318" spans="18:18" ht="15.75" customHeight="1">
      <c r="R318" s="30"/>
    </row>
    <row r="319" spans="18:18" ht="15.75" customHeight="1">
      <c r="R319" s="30"/>
    </row>
    <row r="320" spans="18:18" ht="15.75" customHeight="1">
      <c r="R320" s="30"/>
    </row>
    <row r="321" spans="18:18" ht="15.75" customHeight="1">
      <c r="R321" s="30"/>
    </row>
    <row r="322" spans="18:18" ht="15.75" customHeight="1">
      <c r="R322" s="30"/>
    </row>
    <row r="323" spans="18:18" ht="15.75" customHeight="1">
      <c r="R323" s="30"/>
    </row>
    <row r="324" spans="18:18" ht="15.75" customHeight="1">
      <c r="R324" s="30"/>
    </row>
    <row r="325" spans="18:18" ht="15.75" customHeight="1">
      <c r="R325" s="30"/>
    </row>
    <row r="326" spans="18:18" ht="15.75" customHeight="1">
      <c r="R326" s="30"/>
    </row>
    <row r="327" spans="18:18" ht="15.75" customHeight="1">
      <c r="R327" s="30"/>
    </row>
    <row r="328" spans="18:18" ht="15.75" customHeight="1">
      <c r="R328" s="30"/>
    </row>
    <row r="329" spans="18:18" ht="15.75" customHeight="1">
      <c r="R329" s="30"/>
    </row>
    <row r="330" spans="18:18" ht="15.75" customHeight="1">
      <c r="R330" s="30"/>
    </row>
    <row r="331" spans="18:18" ht="15.75" customHeight="1">
      <c r="R331" s="30"/>
    </row>
    <row r="332" spans="18:18" ht="15.75" customHeight="1">
      <c r="R332" s="30"/>
    </row>
    <row r="333" spans="18:18" ht="15.75" customHeight="1">
      <c r="R333" s="30"/>
    </row>
    <row r="334" spans="18:18" ht="15.75" customHeight="1">
      <c r="R334" s="30"/>
    </row>
    <row r="335" spans="18:18" ht="15.75" customHeight="1">
      <c r="R335" s="30"/>
    </row>
    <row r="336" spans="18:18" ht="15.75" customHeight="1">
      <c r="R336" s="30"/>
    </row>
    <row r="337" spans="18:18" ht="15.75" customHeight="1">
      <c r="R337" s="30"/>
    </row>
    <row r="338" spans="18:18" ht="15.75" customHeight="1">
      <c r="R338" s="30"/>
    </row>
    <row r="339" spans="18:18" ht="15.75" customHeight="1">
      <c r="R339" s="30"/>
    </row>
    <row r="340" spans="18:18" ht="15.75" customHeight="1">
      <c r="R340" s="30"/>
    </row>
    <row r="341" spans="18:18" ht="15.75" customHeight="1">
      <c r="R341" s="30"/>
    </row>
    <row r="342" spans="18:18" ht="15.75" customHeight="1">
      <c r="R342" s="30"/>
    </row>
    <row r="343" spans="18:18" ht="15.75" customHeight="1">
      <c r="R343" s="30"/>
    </row>
    <row r="344" spans="18:18" ht="15.75" customHeight="1">
      <c r="R344" s="30"/>
    </row>
    <row r="345" spans="18:18" ht="15.75" customHeight="1">
      <c r="R345" s="30"/>
    </row>
    <row r="346" spans="18:18" ht="15.75" customHeight="1">
      <c r="R346" s="30"/>
    </row>
    <row r="347" spans="18:18" ht="15.75" customHeight="1">
      <c r="R347" s="30"/>
    </row>
    <row r="348" spans="18:18" ht="15.75" customHeight="1">
      <c r="R348" s="30"/>
    </row>
    <row r="349" spans="18:18" ht="15.75" customHeight="1">
      <c r="R349" s="30"/>
    </row>
    <row r="350" spans="18:18" ht="15.75" customHeight="1">
      <c r="R350" s="30"/>
    </row>
    <row r="351" spans="18:18" ht="15.75" customHeight="1">
      <c r="R351" s="30"/>
    </row>
    <row r="352" spans="18:18" ht="15.75" customHeight="1">
      <c r="R352" s="30"/>
    </row>
    <row r="353" spans="18:18" ht="15.75" customHeight="1">
      <c r="R353" s="30"/>
    </row>
    <row r="354" spans="18:18" ht="15.75" customHeight="1">
      <c r="R354" s="30"/>
    </row>
    <row r="355" spans="18:18" ht="15.75" customHeight="1">
      <c r="R355" s="30"/>
    </row>
    <row r="356" spans="18:18" ht="15.75" customHeight="1">
      <c r="R356" s="30"/>
    </row>
    <row r="357" spans="18:18" ht="15.75" customHeight="1">
      <c r="R357" s="30"/>
    </row>
    <row r="358" spans="18:18" ht="15.75" customHeight="1">
      <c r="R358" s="30"/>
    </row>
    <row r="359" spans="18:18" ht="15.75" customHeight="1">
      <c r="R359" s="30"/>
    </row>
    <row r="360" spans="18:18" ht="15.75" customHeight="1">
      <c r="R360" s="30"/>
    </row>
    <row r="361" spans="18:18" ht="15.75" customHeight="1">
      <c r="R361" s="30"/>
    </row>
    <row r="362" spans="18:18" ht="15.75" customHeight="1">
      <c r="R362" s="30"/>
    </row>
    <row r="363" spans="18:18" ht="15.75" customHeight="1">
      <c r="R363" s="30"/>
    </row>
    <row r="364" spans="18:18" ht="15.75" customHeight="1">
      <c r="R364" s="30"/>
    </row>
    <row r="365" spans="18:18" ht="15.75" customHeight="1">
      <c r="R365" s="30"/>
    </row>
    <row r="366" spans="18:18" ht="15.75" customHeight="1">
      <c r="R366" s="30"/>
    </row>
    <row r="367" spans="18:18" ht="15.75" customHeight="1">
      <c r="R367" s="30"/>
    </row>
    <row r="368" spans="18:18" ht="15.75" customHeight="1">
      <c r="R368" s="30"/>
    </row>
    <row r="369" spans="18:18" ht="15.75" customHeight="1">
      <c r="R369" s="30"/>
    </row>
    <row r="370" spans="18:18" ht="15.75" customHeight="1">
      <c r="R370" s="30"/>
    </row>
    <row r="371" spans="18:18" ht="15.75" customHeight="1">
      <c r="R371" s="30"/>
    </row>
    <row r="372" spans="18:18" ht="15.75" customHeight="1">
      <c r="R372" s="30"/>
    </row>
    <row r="373" spans="18:18" ht="15.75" customHeight="1">
      <c r="R373" s="30"/>
    </row>
    <row r="374" spans="18:18" ht="15.75" customHeight="1">
      <c r="R374" s="30"/>
    </row>
    <row r="375" spans="18:18" ht="15.75" customHeight="1">
      <c r="R375" s="30"/>
    </row>
    <row r="376" spans="18:18" ht="15.75" customHeight="1">
      <c r="R376" s="30"/>
    </row>
    <row r="377" spans="18:18" ht="15.75" customHeight="1">
      <c r="R377" s="30"/>
    </row>
    <row r="378" spans="18:18" ht="15.75" customHeight="1">
      <c r="R378" s="30"/>
    </row>
    <row r="379" spans="18:18" ht="15.75" customHeight="1">
      <c r="R379" s="30"/>
    </row>
    <row r="380" spans="18:18" ht="15.75" customHeight="1">
      <c r="R380" s="30"/>
    </row>
    <row r="381" spans="18:18" ht="15.75" customHeight="1">
      <c r="R381" s="30"/>
    </row>
    <row r="382" spans="18:18" ht="15.75" customHeight="1">
      <c r="R382" s="30"/>
    </row>
    <row r="383" spans="18:18" ht="15.75" customHeight="1">
      <c r="R383" s="30"/>
    </row>
    <row r="384" spans="18:18" ht="15.75" customHeight="1">
      <c r="R384" s="30"/>
    </row>
    <row r="385" spans="18:18" ht="15.75" customHeight="1">
      <c r="R385" s="30"/>
    </row>
    <row r="386" spans="18:18" ht="15.75" customHeight="1">
      <c r="R386" s="30"/>
    </row>
    <row r="387" spans="18:18" ht="15.75" customHeight="1">
      <c r="R387" s="30"/>
    </row>
    <row r="388" spans="18:18" ht="15.75" customHeight="1">
      <c r="R388" s="30"/>
    </row>
    <row r="389" spans="18:18" ht="15.75" customHeight="1">
      <c r="R389" s="30"/>
    </row>
    <row r="390" spans="18:18" ht="15.75" customHeight="1">
      <c r="R390" s="30"/>
    </row>
    <row r="391" spans="18:18" ht="15.75" customHeight="1">
      <c r="R391" s="30"/>
    </row>
    <row r="392" spans="18:18" ht="15.75" customHeight="1">
      <c r="R392" s="30"/>
    </row>
    <row r="393" spans="18:18" ht="15.75" customHeight="1">
      <c r="R393" s="30"/>
    </row>
    <row r="394" spans="18:18" ht="15.75" customHeight="1">
      <c r="R394" s="30"/>
    </row>
    <row r="395" spans="18:18" ht="15.75" customHeight="1">
      <c r="R395" s="30"/>
    </row>
    <row r="396" spans="18:18" ht="15.75" customHeight="1">
      <c r="R396" s="30"/>
    </row>
    <row r="397" spans="18:18" ht="15.75" customHeight="1">
      <c r="R397" s="30"/>
    </row>
    <row r="398" spans="18:18" ht="15.75" customHeight="1">
      <c r="R398" s="30"/>
    </row>
    <row r="399" spans="18:18" ht="15.75" customHeight="1">
      <c r="R399" s="30"/>
    </row>
    <row r="400" spans="18:18" ht="15.75" customHeight="1">
      <c r="R400" s="30"/>
    </row>
    <row r="401" spans="18:18" ht="15.75" customHeight="1">
      <c r="R401" s="30"/>
    </row>
    <row r="402" spans="18:18" ht="15.75" customHeight="1">
      <c r="R402" s="30"/>
    </row>
    <row r="403" spans="18:18" ht="15.75" customHeight="1">
      <c r="R403" s="30"/>
    </row>
    <row r="404" spans="18:18" ht="15.75" customHeight="1">
      <c r="R404" s="30"/>
    </row>
    <row r="405" spans="18:18" ht="15.75" customHeight="1">
      <c r="R405" s="30"/>
    </row>
    <row r="406" spans="18:18" ht="15.75" customHeight="1">
      <c r="R406" s="30"/>
    </row>
    <row r="407" spans="18:18" ht="15.75" customHeight="1">
      <c r="R407" s="30"/>
    </row>
    <row r="408" spans="18:18" ht="15.75" customHeight="1">
      <c r="R408" s="30"/>
    </row>
    <row r="409" spans="18:18" ht="15.75" customHeight="1">
      <c r="R409" s="30"/>
    </row>
    <row r="410" spans="18:18" ht="15.75" customHeight="1">
      <c r="R410" s="30"/>
    </row>
    <row r="411" spans="18:18" ht="15.75" customHeight="1">
      <c r="R411" s="30"/>
    </row>
    <row r="412" spans="18:18" ht="15.75" customHeight="1">
      <c r="R412" s="30"/>
    </row>
    <row r="413" spans="18:18" ht="15.75" customHeight="1">
      <c r="R413" s="30"/>
    </row>
    <row r="414" spans="18:18" ht="15.75" customHeight="1">
      <c r="R414" s="30"/>
    </row>
    <row r="415" spans="18:18" ht="15.75" customHeight="1">
      <c r="R415" s="30"/>
    </row>
    <row r="416" spans="18:18" ht="15.75" customHeight="1">
      <c r="R416" s="30"/>
    </row>
    <row r="417" spans="18:18" ht="15.75" customHeight="1">
      <c r="R417" s="30"/>
    </row>
    <row r="418" spans="18:18" ht="15.75" customHeight="1">
      <c r="R418" s="30"/>
    </row>
    <row r="419" spans="18:18" ht="15.75" customHeight="1">
      <c r="R419" s="30"/>
    </row>
    <row r="420" spans="18:18" ht="15.75" customHeight="1">
      <c r="R420" s="30"/>
    </row>
    <row r="421" spans="18:18" ht="15.75" customHeight="1">
      <c r="R421" s="30"/>
    </row>
    <row r="422" spans="18:18" ht="15.75" customHeight="1">
      <c r="R422" s="30"/>
    </row>
    <row r="423" spans="18:18" ht="15.75" customHeight="1">
      <c r="R423" s="30"/>
    </row>
    <row r="424" spans="18:18" ht="15.75" customHeight="1">
      <c r="R424" s="30"/>
    </row>
    <row r="425" spans="18:18" ht="15.75" customHeight="1">
      <c r="R425" s="30"/>
    </row>
    <row r="426" spans="18:18" ht="15.75" customHeight="1">
      <c r="R426" s="30"/>
    </row>
    <row r="427" spans="18:18" ht="15.75" customHeight="1">
      <c r="R427" s="30"/>
    </row>
    <row r="428" spans="18:18" ht="15.75" customHeight="1">
      <c r="R428" s="30"/>
    </row>
    <row r="429" spans="18:18" ht="15.75" customHeight="1">
      <c r="R429" s="30"/>
    </row>
    <row r="430" spans="18:18" ht="15.75" customHeight="1">
      <c r="R430" s="30"/>
    </row>
    <row r="431" spans="18:18" ht="15.75" customHeight="1">
      <c r="R431" s="30"/>
    </row>
    <row r="432" spans="18:18" ht="15.75" customHeight="1">
      <c r="R432" s="30"/>
    </row>
    <row r="433" spans="18:18" ht="15.75" customHeight="1">
      <c r="R433" s="30"/>
    </row>
    <row r="434" spans="18:18" ht="15.75" customHeight="1">
      <c r="R434" s="30"/>
    </row>
    <row r="435" spans="18:18" ht="15.75" customHeight="1">
      <c r="R435" s="30"/>
    </row>
    <row r="436" spans="18:18" ht="15.75" customHeight="1">
      <c r="R436" s="30"/>
    </row>
    <row r="437" spans="18:18" ht="15.75" customHeight="1">
      <c r="R437" s="30"/>
    </row>
    <row r="438" spans="18:18" ht="15.75" customHeight="1">
      <c r="R438" s="30"/>
    </row>
    <row r="439" spans="18:18" ht="15.75" customHeight="1">
      <c r="R439" s="30"/>
    </row>
    <row r="440" spans="18:18" ht="15.75" customHeight="1">
      <c r="R440" s="30"/>
    </row>
    <row r="441" spans="18:18" ht="15.75" customHeight="1">
      <c r="R441" s="30"/>
    </row>
    <row r="442" spans="18:18" ht="15.75" customHeight="1">
      <c r="R442" s="30"/>
    </row>
    <row r="443" spans="18:18" ht="15.75" customHeight="1">
      <c r="R443" s="30"/>
    </row>
    <row r="444" spans="18:18" ht="15.75" customHeight="1">
      <c r="R444" s="30"/>
    </row>
    <row r="445" spans="18:18" ht="15.75" customHeight="1">
      <c r="R445" s="30"/>
    </row>
    <row r="446" spans="18:18" ht="15.75" customHeight="1">
      <c r="R446" s="30"/>
    </row>
    <row r="447" spans="18:18" ht="15.75" customHeight="1">
      <c r="R447" s="30"/>
    </row>
    <row r="448" spans="18:18" ht="15.75" customHeight="1">
      <c r="R448" s="30"/>
    </row>
    <row r="449" spans="18:18" ht="15.75" customHeight="1">
      <c r="R449" s="30"/>
    </row>
    <row r="450" spans="18:18" ht="15.75" customHeight="1">
      <c r="R450" s="30"/>
    </row>
    <row r="451" spans="18:18" ht="15.75" customHeight="1">
      <c r="R451" s="30"/>
    </row>
    <row r="452" spans="18:18" ht="15.75" customHeight="1">
      <c r="R452" s="30"/>
    </row>
    <row r="453" spans="18:18" ht="15.75" customHeight="1">
      <c r="R453" s="30"/>
    </row>
    <row r="454" spans="18:18" ht="15.75" customHeight="1">
      <c r="R454" s="30"/>
    </row>
    <row r="455" spans="18:18" ht="15.75" customHeight="1">
      <c r="R455" s="30"/>
    </row>
    <row r="456" spans="18:18" ht="15.75" customHeight="1">
      <c r="R456" s="30"/>
    </row>
    <row r="457" spans="18:18" ht="15.75" customHeight="1">
      <c r="R457" s="30"/>
    </row>
    <row r="458" spans="18:18" ht="15.75" customHeight="1">
      <c r="R458" s="30"/>
    </row>
    <row r="459" spans="18:18" ht="15.75" customHeight="1">
      <c r="R459" s="30"/>
    </row>
    <row r="460" spans="18:18" ht="15.75" customHeight="1">
      <c r="R460" s="30"/>
    </row>
    <row r="461" spans="18:18" ht="15.75" customHeight="1">
      <c r="R461" s="30"/>
    </row>
    <row r="462" spans="18:18" ht="15.75" customHeight="1">
      <c r="R462" s="30"/>
    </row>
    <row r="463" spans="18:18" ht="15.75" customHeight="1">
      <c r="R463" s="30"/>
    </row>
    <row r="464" spans="18:18" ht="15.75" customHeight="1">
      <c r="R464" s="30"/>
    </row>
    <row r="465" spans="18:18" ht="15.75" customHeight="1">
      <c r="R465" s="30"/>
    </row>
    <row r="466" spans="18:18" ht="15.75" customHeight="1">
      <c r="R466" s="30"/>
    </row>
    <row r="467" spans="18:18" ht="15.75" customHeight="1">
      <c r="R467" s="30"/>
    </row>
    <row r="468" spans="18:18" ht="15.75" customHeight="1">
      <c r="R468" s="30"/>
    </row>
    <row r="469" spans="18:18" ht="15.75" customHeight="1">
      <c r="R469" s="30"/>
    </row>
    <row r="470" spans="18:18" ht="15.75" customHeight="1">
      <c r="R470" s="30"/>
    </row>
    <row r="471" spans="18:18" ht="15.75" customHeight="1">
      <c r="R471" s="30"/>
    </row>
    <row r="472" spans="18:18" ht="15.75" customHeight="1">
      <c r="R472" s="30"/>
    </row>
    <row r="473" spans="18:18" ht="15.75" customHeight="1">
      <c r="R473" s="30"/>
    </row>
    <row r="474" spans="18:18" ht="15.75" customHeight="1">
      <c r="R474" s="30"/>
    </row>
    <row r="475" spans="18:18" ht="15.75" customHeight="1">
      <c r="R475" s="30"/>
    </row>
    <row r="476" spans="18:18" ht="15.75" customHeight="1">
      <c r="R476" s="30"/>
    </row>
    <row r="477" spans="18:18" ht="15.75" customHeight="1">
      <c r="R477" s="30"/>
    </row>
    <row r="478" spans="18:18" ht="15.75" customHeight="1">
      <c r="R478" s="30"/>
    </row>
    <row r="479" spans="18:18" ht="15.75" customHeight="1">
      <c r="R479" s="30"/>
    </row>
    <row r="480" spans="18:18" ht="15.75" customHeight="1">
      <c r="R480" s="30"/>
    </row>
    <row r="481" spans="18:18" ht="15.75" customHeight="1">
      <c r="R481" s="30"/>
    </row>
    <row r="482" spans="18:18" ht="15.75" customHeight="1">
      <c r="R482" s="30"/>
    </row>
    <row r="483" spans="18:18" ht="15.75" customHeight="1">
      <c r="R483" s="30"/>
    </row>
    <row r="484" spans="18:18" ht="15.75" customHeight="1">
      <c r="R484" s="30"/>
    </row>
    <row r="485" spans="18:18" ht="15.75" customHeight="1">
      <c r="R485" s="30"/>
    </row>
    <row r="486" spans="18:18" ht="15.75" customHeight="1">
      <c r="R486" s="30"/>
    </row>
    <row r="487" spans="18:18" ht="15.75" customHeight="1">
      <c r="R487" s="30"/>
    </row>
    <row r="488" spans="18:18" ht="15.75" customHeight="1">
      <c r="R488" s="30"/>
    </row>
    <row r="489" spans="18:18" ht="15.75" customHeight="1">
      <c r="R489" s="30"/>
    </row>
    <row r="490" spans="18:18" ht="15.75" customHeight="1">
      <c r="R490" s="30"/>
    </row>
    <row r="491" spans="18:18" ht="15.75" customHeight="1">
      <c r="R491" s="30"/>
    </row>
    <row r="492" spans="18:18" ht="15.75" customHeight="1">
      <c r="R492" s="30"/>
    </row>
    <row r="493" spans="18:18" ht="15.75" customHeight="1">
      <c r="R493" s="30"/>
    </row>
    <row r="494" spans="18:18" ht="15.75" customHeight="1">
      <c r="R494" s="30"/>
    </row>
    <row r="495" spans="18:18" ht="15.75" customHeight="1">
      <c r="R495" s="30"/>
    </row>
    <row r="496" spans="18:18" ht="15.75" customHeight="1">
      <c r="R496" s="30"/>
    </row>
    <row r="497" spans="18:18" ht="15.75" customHeight="1">
      <c r="R497" s="30"/>
    </row>
    <row r="498" spans="18:18" ht="15.75" customHeight="1">
      <c r="R498" s="30"/>
    </row>
    <row r="499" spans="18:18" ht="15.75" customHeight="1">
      <c r="R499" s="30"/>
    </row>
    <row r="500" spans="18:18" ht="15.75" customHeight="1">
      <c r="R500" s="30"/>
    </row>
    <row r="501" spans="18:18" ht="15.75" customHeight="1">
      <c r="R501" s="30"/>
    </row>
    <row r="502" spans="18:18" ht="15.75" customHeight="1">
      <c r="R502" s="30"/>
    </row>
    <row r="503" spans="18:18" ht="15.75" customHeight="1">
      <c r="R503" s="30"/>
    </row>
    <row r="504" spans="18:18" ht="15.75" customHeight="1">
      <c r="R504" s="30"/>
    </row>
    <row r="505" spans="18:18" ht="15.75" customHeight="1">
      <c r="R505" s="30"/>
    </row>
    <row r="506" spans="18:18" ht="15.75" customHeight="1">
      <c r="R506" s="30"/>
    </row>
    <row r="507" spans="18:18" ht="15.75" customHeight="1">
      <c r="R507" s="30"/>
    </row>
    <row r="508" spans="18:18" ht="15.75" customHeight="1">
      <c r="R508" s="30"/>
    </row>
    <row r="509" spans="18:18" ht="15.75" customHeight="1">
      <c r="R509" s="30"/>
    </row>
    <row r="510" spans="18:18" ht="15.75" customHeight="1">
      <c r="R510" s="30"/>
    </row>
    <row r="511" spans="18:18" ht="15.75" customHeight="1">
      <c r="R511" s="30"/>
    </row>
    <row r="512" spans="18:18" ht="15.75" customHeight="1">
      <c r="R512" s="30"/>
    </row>
    <row r="513" spans="18:18" ht="15.75" customHeight="1">
      <c r="R513" s="30"/>
    </row>
    <row r="514" spans="18:18" ht="15.75" customHeight="1">
      <c r="R514" s="30"/>
    </row>
    <row r="515" spans="18:18" ht="15.75" customHeight="1">
      <c r="R515" s="30"/>
    </row>
    <row r="516" spans="18:18" ht="15.75" customHeight="1">
      <c r="R516" s="30"/>
    </row>
    <row r="517" spans="18:18" ht="15.75" customHeight="1">
      <c r="R517" s="30"/>
    </row>
    <row r="518" spans="18:18" ht="15.75" customHeight="1">
      <c r="R518" s="30"/>
    </row>
    <row r="519" spans="18:18" ht="15.75" customHeight="1">
      <c r="R519" s="30"/>
    </row>
    <row r="520" spans="18:18" ht="15.75" customHeight="1">
      <c r="R520" s="30"/>
    </row>
    <row r="521" spans="18:18" ht="15.75" customHeight="1">
      <c r="R521" s="30"/>
    </row>
    <row r="522" spans="18:18" ht="15.75" customHeight="1">
      <c r="R522" s="30"/>
    </row>
    <row r="523" spans="18:18" ht="15.75" customHeight="1">
      <c r="R523" s="30"/>
    </row>
    <row r="524" spans="18:18" ht="15.75" customHeight="1">
      <c r="R524" s="30"/>
    </row>
    <row r="525" spans="18:18" ht="15.75" customHeight="1">
      <c r="R525" s="30"/>
    </row>
    <row r="526" spans="18:18" ht="15.75" customHeight="1">
      <c r="R526" s="30"/>
    </row>
    <row r="527" spans="18:18" ht="15.75" customHeight="1">
      <c r="R527" s="30"/>
    </row>
    <row r="528" spans="18:18" ht="15.75" customHeight="1">
      <c r="R528" s="30"/>
    </row>
    <row r="529" spans="18:18" ht="15.75" customHeight="1">
      <c r="R529" s="30"/>
    </row>
    <row r="530" spans="18:18" ht="15.75" customHeight="1">
      <c r="R530" s="30"/>
    </row>
    <row r="531" spans="18:18" ht="15.75" customHeight="1">
      <c r="R531" s="30"/>
    </row>
    <row r="532" spans="18:18" ht="15.75" customHeight="1">
      <c r="R532" s="30"/>
    </row>
    <row r="533" spans="18:18" ht="15.75" customHeight="1">
      <c r="R533" s="30"/>
    </row>
    <row r="534" spans="18:18" ht="15.75" customHeight="1">
      <c r="R534" s="30"/>
    </row>
    <row r="535" spans="18:18" ht="15.75" customHeight="1">
      <c r="R535" s="30"/>
    </row>
    <row r="536" spans="18:18" ht="15.75" customHeight="1">
      <c r="R536" s="30"/>
    </row>
    <row r="537" spans="18:18" ht="15.75" customHeight="1">
      <c r="R537" s="30"/>
    </row>
    <row r="538" spans="18:18" ht="15.75" customHeight="1">
      <c r="R538" s="30"/>
    </row>
    <row r="539" spans="18:18" ht="15.75" customHeight="1">
      <c r="R539" s="30"/>
    </row>
    <row r="540" spans="18:18" ht="15.75" customHeight="1">
      <c r="R540" s="30"/>
    </row>
    <row r="541" spans="18:18" ht="15.75" customHeight="1">
      <c r="R541" s="30"/>
    </row>
    <row r="542" spans="18:18" ht="15.75" customHeight="1">
      <c r="R542" s="30"/>
    </row>
    <row r="543" spans="18:18" ht="15.75" customHeight="1">
      <c r="R543" s="30"/>
    </row>
    <row r="544" spans="18:18" ht="15.75" customHeight="1">
      <c r="R544" s="30"/>
    </row>
    <row r="545" spans="18:18" ht="15.75" customHeight="1">
      <c r="R545" s="30"/>
    </row>
    <row r="546" spans="18:18" ht="15.75" customHeight="1">
      <c r="R546" s="30"/>
    </row>
    <row r="547" spans="18:18" ht="15.75" customHeight="1">
      <c r="R547" s="30"/>
    </row>
    <row r="548" spans="18:18" ht="15.75" customHeight="1">
      <c r="R548" s="30"/>
    </row>
    <row r="549" spans="18:18" ht="15.75" customHeight="1">
      <c r="R549" s="30"/>
    </row>
    <row r="550" spans="18:18" ht="15.75" customHeight="1">
      <c r="R550" s="30"/>
    </row>
    <row r="551" spans="18:18" ht="15.75" customHeight="1">
      <c r="R551" s="30"/>
    </row>
    <row r="552" spans="18:18" ht="15.75" customHeight="1">
      <c r="R552" s="30"/>
    </row>
    <row r="553" spans="18:18" ht="15.75" customHeight="1">
      <c r="R553" s="30"/>
    </row>
    <row r="554" spans="18:18" ht="15.75" customHeight="1">
      <c r="R554" s="30"/>
    </row>
    <row r="555" spans="18:18" ht="15.75" customHeight="1">
      <c r="R555" s="30"/>
    </row>
    <row r="556" spans="18:18" ht="15.75" customHeight="1">
      <c r="R556" s="30"/>
    </row>
    <row r="557" spans="18:18" ht="15.75" customHeight="1">
      <c r="R557" s="30"/>
    </row>
    <row r="558" spans="18:18" ht="15.75" customHeight="1">
      <c r="R558" s="30"/>
    </row>
    <row r="559" spans="18:18" ht="15.75" customHeight="1">
      <c r="R559" s="30"/>
    </row>
    <row r="560" spans="18:18" ht="15.75" customHeight="1">
      <c r="R560" s="30"/>
    </row>
    <row r="561" spans="18:18" ht="15.75" customHeight="1">
      <c r="R561" s="30"/>
    </row>
    <row r="562" spans="18:18" ht="15.75" customHeight="1">
      <c r="R562" s="30"/>
    </row>
    <row r="563" spans="18:18" ht="15.75" customHeight="1">
      <c r="R563" s="30"/>
    </row>
    <row r="564" spans="18:18" ht="15.75" customHeight="1">
      <c r="R564" s="30"/>
    </row>
    <row r="565" spans="18:18" ht="15.75" customHeight="1">
      <c r="R565" s="30"/>
    </row>
    <row r="566" spans="18:18" ht="15.75" customHeight="1">
      <c r="R566" s="30"/>
    </row>
    <row r="567" spans="18:18" ht="15.75" customHeight="1">
      <c r="R567" s="30"/>
    </row>
    <row r="568" spans="18:18" ht="15.75" customHeight="1">
      <c r="R568" s="30"/>
    </row>
    <row r="569" spans="18:18" ht="15.75" customHeight="1">
      <c r="R569" s="30"/>
    </row>
    <row r="570" spans="18:18" ht="15.75" customHeight="1">
      <c r="R570" s="30"/>
    </row>
    <row r="571" spans="18:18" ht="15.75" customHeight="1">
      <c r="R571" s="30"/>
    </row>
    <row r="572" spans="18:18" ht="15.75" customHeight="1">
      <c r="R572" s="30"/>
    </row>
    <row r="573" spans="18:18" ht="15.75" customHeight="1">
      <c r="R573" s="30"/>
    </row>
    <row r="574" spans="18:18" ht="15.75" customHeight="1">
      <c r="R574" s="30"/>
    </row>
    <row r="575" spans="18:18" ht="15.75" customHeight="1">
      <c r="R575" s="30"/>
    </row>
    <row r="576" spans="18:18" ht="15.75" customHeight="1">
      <c r="R576" s="30"/>
    </row>
    <row r="577" spans="18:18" ht="15.75" customHeight="1">
      <c r="R577" s="30"/>
    </row>
    <row r="578" spans="18:18" ht="15.75" customHeight="1">
      <c r="R578" s="30"/>
    </row>
    <row r="579" spans="18:18" ht="15.75" customHeight="1">
      <c r="R579" s="30"/>
    </row>
    <row r="580" spans="18:18" ht="15.75" customHeight="1">
      <c r="R580" s="30"/>
    </row>
    <row r="581" spans="18:18" ht="15.75" customHeight="1">
      <c r="R581" s="30"/>
    </row>
    <row r="582" spans="18:18" ht="15.75" customHeight="1">
      <c r="R582" s="30"/>
    </row>
    <row r="583" spans="18:18" ht="15.75" customHeight="1">
      <c r="R583" s="30"/>
    </row>
    <row r="584" spans="18:18" ht="15.75" customHeight="1">
      <c r="R584" s="30"/>
    </row>
    <row r="585" spans="18:18" ht="15.75" customHeight="1">
      <c r="R585" s="30"/>
    </row>
    <row r="586" spans="18:18" ht="15.75" customHeight="1">
      <c r="R586" s="30"/>
    </row>
    <row r="587" spans="18:18" ht="15.75" customHeight="1">
      <c r="R587" s="30"/>
    </row>
    <row r="588" spans="18:18" ht="15.75" customHeight="1">
      <c r="R588" s="30"/>
    </row>
    <row r="589" spans="18:18" ht="15.75" customHeight="1">
      <c r="R589" s="30"/>
    </row>
    <row r="590" spans="18:18" ht="15.75" customHeight="1">
      <c r="R590" s="30"/>
    </row>
    <row r="591" spans="18:18" ht="15.75" customHeight="1">
      <c r="R591" s="30"/>
    </row>
    <row r="592" spans="18:18" ht="15.75" customHeight="1">
      <c r="R592" s="30"/>
    </row>
    <row r="593" spans="18:18" ht="15.75" customHeight="1">
      <c r="R593" s="30"/>
    </row>
    <row r="594" spans="18:18" ht="15.75" customHeight="1">
      <c r="R594" s="30"/>
    </row>
    <row r="595" spans="18:18" ht="15.75" customHeight="1">
      <c r="R595" s="30"/>
    </row>
    <row r="596" spans="18:18" ht="15.75" customHeight="1">
      <c r="R596" s="30"/>
    </row>
    <row r="597" spans="18:18" ht="15.75" customHeight="1">
      <c r="R597" s="30"/>
    </row>
    <row r="598" spans="18:18" ht="15.75" customHeight="1">
      <c r="R598" s="30"/>
    </row>
    <row r="599" spans="18:18" ht="15.75" customHeight="1">
      <c r="R599" s="30"/>
    </row>
    <row r="600" spans="18:18" ht="15.75" customHeight="1">
      <c r="R600" s="30"/>
    </row>
    <row r="601" spans="18:18" ht="15.75" customHeight="1">
      <c r="R601" s="30"/>
    </row>
    <row r="602" spans="18:18" ht="15.75" customHeight="1">
      <c r="R602" s="30"/>
    </row>
    <row r="603" spans="18:18" ht="15.75" customHeight="1">
      <c r="R603" s="30"/>
    </row>
    <row r="604" spans="18:18" ht="15.75" customHeight="1">
      <c r="R604" s="30"/>
    </row>
    <row r="605" spans="18:18" ht="15.75" customHeight="1">
      <c r="R605" s="30"/>
    </row>
    <row r="606" spans="18:18" ht="15.75" customHeight="1">
      <c r="R606" s="30"/>
    </row>
    <row r="607" spans="18:18" ht="15.75" customHeight="1">
      <c r="R607" s="30"/>
    </row>
    <row r="608" spans="18:18" ht="15.75" customHeight="1">
      <c r="R608" s="30"/>
    </row>
    <row r="609" spans="18:18" ht="15.75" customHeight="1">
      <c r="R609" s="30"/>
    </row>
    <row r="610" spans="18:18" ht="15.75" customHeight="1">
      <c r="R610" s="30"/>
    </row>
    <row r="611" spans="18:18" ht="15.75" customHeight="1">
      <c r="R611" s="30"/>
    </row>
    <row r="612" spans="18:18" ht="15.75" customHeight="1">
      <c r="R612" s="30"/>
    </row>
    <row r="613" spans="18:18" ht="15.75" customHeight="1">
      <c r="R613" s="30"/>
    </row>
    <row r="614" spans="18:18" ht="15.75" customHeight="1">
      <c r="R614" s="30"/>
    </row>
    <row r="615" spans="18:18" ht="15.75" customHeight="1">
      <c r="R615" s="30"/>
    </row>
    <row r="616" spans="18:18" ht="15.75" customHeight="1">
      <c r="R616" s="30"/>
    </row>
    <row r="617" spans="18:18" ht="15.75" customHeight="1">
      <c r="R617" s="30"/>
    </row>
    <row r="618" spans="18:18" ht="15.75" customHeight="1">
      <c r="R618" s="30"/>
    </row>
    <row r="619" spans="18:18" ht="15.75" customHeight="1">
      <c r="R619" s="30"/>
    </row>
    <row r="620" spans="18:18" ht="15.75" customHeight="1">
      <c r="R620" s="30"/>
    </row>
    <row r="621" spans="18:18" ht="15.75" customHeight="1">
      <c r="R621" s="30"/>
    </row>
    <row r="622" spans="18:18" ht="15.75" customHeight="1">
      <c r="R622" s="30"/>
    </row>
    <row r="623" spans="18:18" ht="15.75" customHeight="1">
      <c r="R623" s="30"/>
    </row>
    <row r="624" spans="18:18" ht="15.75" customHeight="1">
      <c r="R624" s="30"/>
    </row>
    <row r="625" spans="18:18" ht="15.75" customHeight="1">
      <c r="R625" s="30"/>
    </row>
    <row r="626" spans="18:18" ht="15.75" customHeight="1">
      <c r="R626" s="30"/>
    </row>
    <row r="627" spans="18:18" ht="15.75" customHeight="1">
      <c r="R627" s="30"/>
    </row>
    <row r="628" spans="18:18" ht="15.75" customHeight="1">
      <c r="R628" s="30"/>
    </row>
    <row r="629" spans="18:18" ht="15.75" customHeight="1">
      <c r="R629" s="30"/>
    </row>
    <row r="630" spans="18:18" ht="15.75" customHeight="1">
      <c r="R630" s="30"/>
    </row>
    <row r="631" spans="18:18" ht="15.75" customHeight="1">
      <c r="R631" s="30"/>
    </row>
    <row r="632" spans="18:18" ht="15.75" customHeight="1">
      <c r="R632" s="30"/>
    </row>
    <row r="633" spans="18:18" ht="15.75" customHeight="1">
      <c r="R633" s="30"/>
    </row>
    <row r="634" spans="18:18" ht="15.75" customHeight="1">
      <c r="R634" s="30"/>
    </row>
    <row r="635" spans="18:18" ht="15.75" customHeight="1">
      <c r="R635" s="30"/>
    </row>
    <row r="636" spans="18:18" ht="15.75" customHeight="1">
      <c r="R636" s="30"/>
    </row>
    <row r="637" spans="18:18" ht="15.75" customHeight="1">
      <c r="R637" s="30"/>
    </row>
    <row r="638" spans="18:18" ht="15.75" customHeight="1">
      <c r="R638" s="30"/>
    </row>
    <row r="639" spans="18:18" ht="15.75" customHeight="1">
      <c r="R639" s="30"/>
    </row>
    <row r="640" spans="18:18" ht="15.75" customHeight="1">
      <c r="R640" s="30"/>
    </row>
    <row r="641" spans="18:18" ht="15.75" customHeight="1">
      <c r="R641" s="30"/>
    </row>
    <row r="642" spans="18:18" ht="15.75" customHeight="1">
      <c r="R642" s="30"/>
    </row>
    <row r="643" spans="18:18" ht="15.75" customHeight="1">
      <c r="R643" s="30"/>
    </row>
    <row r="644" spans="18:18" ht="15.75" customHeight="1">
      <c r="R644" s="30"/>
    </row>
    <row r="645" spans="18:18" ht="15.75" customHeight="1">
      <c r="R645" s="30"/>
    </row>
    <row r="646" spans="18:18" ht="15.75" customHeight="1">
      <c r="R646" s="30"/>
    </row>
    <row r="647" spans="18:18" ht="15.75" customHeight="1">
      <c r="R647" s="30"/>
    </row>
    <row r="648" spans="18:18" ht="15.75" customHeight="1">
      <c r="R648" s="30"/>
    </row>
    <row r="649" spans="18:18" ht="15.75" customHeight="1">
      <c r="R649" s="30"/>
    </row>
    <row r="650" spans="18:18" ht="15.75" customHeight="1">
      <c r="R650" s="30"/>
    </row>
    <row r="651" spans="18:18" ht="15.75" customHeight="1">
      <c r="R651" s="30"/>
    </row>
    <row r="652" spans="18:18" ht="15.75" customHeight="1">
      <c r="R652" s="30"/>
    </row>
    <row r="653" spans="18:18" ht="15.75" customHeight="1">
      <c r="R653" s="30"/>
    </row>
    <row r="654" spans="18:18" ht="15.75" customHeight="1">
      <c r="R654" s="30"/>
    </row>
    <row r="655" spans="18:18" ht="15.75" customHeight="1">
      <c r="R655" s="30"/>
    </row>
    <row r="656" spans="18:18" ht="15.75" customHeight="1">
      <c r="R656" s="30"/>
    </row>
    <row r="657" spans="18:18" ht="15.75" customHeight="1">
      <c r="R657" s="30"/>
    </row>
    <row r="658" spans="18:18" ht="15.75" customHeight="1">
      <c r="R658" s="30"/>
    </row>
    <row r="659" spans="18:18" ht="15.75" customHeight="1">
      <c r="R659" s="30"/>
    </row>
    <row r="660" spans="18:18" ht="15.75" customHeight="1">
      <c r="R660" s="30"/>
    </row>
    <row r="661" spans="18:18" ht="15.75" customHeight="1">
      <c r="R661" s="30"/>
    </row>
    <row r="662" spans="18:18" ht="15.75" customHeight="1">
      <c r="R662" s="30"/>
    </row>
    <row r="663" spans="18:18" ht="15.75" customHeight="1">
      <c r="R663" s="30"/>
    </row>
    <row r="664" spans="18:18" ht="15.75" customHeight="1">
      <c r="R664" s="30"/>
    </row>
    <row r="665" spans="18:18" ht="15.75" customHeight="1">
      <c r="R665" s="30"/>
    </row>
    <row r="666" spans="18:18" ht="15.75" customHeight="1">
      <c r="R666" s="30"/>
    </row>
    <row r="667" spans="18:18" ht="15.75" customHeight="1">
      <c r="R667" s="30"/>
    </row>
    <row r="668" spans="18:18" ht="15.75" customHeight="1">
      <c r="R668" s="30"/>
    </row>
    <row r="669" spans="18:18" ht="15.75" customHeight="1">
      <c r="R669" s="30"/>
    </row>
    <row r="670" spans="18:18" ht="15.75" customHeight="1">
      <c r="R670" s="30"/>
    </row>
    <row r="671" spans="18:18" ht="15.75" customHeight="1">
      <c r="R671" s="30"/>
    </row>
    <row r="672" spans="18:18" ht="15.75" customHeight="1">
      <c r="R672" s="30"/>
    </row>
    <row r="673" spans="18:18" ht="15.75" customHeight="1">
      <c r="R673" s="30"/>
    </row>
    <row r="674" spans="18:18" ht="15.75" customHeight="1">
      <c r="R674" s="30"/>
    </row>
    <row r="675" spans="18:18" ht="15.75" customHeight="1">
      <c r="R675" s="30"/>
    </row>
    <row r="676" spans="18:18" ht="15.75" customHeight="1">
      <c r="R676" s="30"/>
    </row>
    <row r="677" spans="18:18" ht="15.75" customHeight="1">
      <c r="R677" s="30"/>
    </row>
    <row r="678" spans="18:18" ht="15.75" customHeight="1">
      <c r="R678" s="30"/>
    </row>
    <row r="679" spans="18:18" ht="15.75" customHeight="1">
      <c r="R679" s="30"/>
    </row>
    <row r="680" spans="18:18" ht="15.75" customHeight="1">
      <c r="R680" s="30"/>
    </row>
    <row r="681" spans="18:18" ht="15.75" customHeight="1">
      <c r="R681" s="30"/>
    </row>
    <row r="682" spans="18:18" ht="15.75" customHeight="1">
      <c r="R682" s="30"/>
    </row>
    <row r="683" spans="18:18" ht="15.75" customHeight="1">
      <c r="R683" s="30"/>
    </row>
    <row r="684" spans="18:18" ht="15.75" customHeight="1">
      <c r="R684" s="30"/>
    </row>
    <row r="685" spans="18:18" ht="15.75" customHeight="1">
      <c r="R685" s="30"/>
    </row>
    <row r="686" spans="18:18" ht="15.75" customHeight="1">
      <c r="R686" s="30"/>
    </row>
    <row r="687" spans="18:18" ht="15.75" customHeight="1">
      <c r="R687" s="30"/>
    </row>
    <row r="688" spans="18:18" ht="15.75" customHeight="1">
      <c r="R688" s="30"/>
    </row>
    <row r="689" spans="18:18" ht="15.75" customHeight="1">
      <c r="R689" s="30"/>
    </row>
    <row r="690" spans="18:18" ht="15.75" customHeight="1">
      <c r="R690" s="30"/>
    </row>
    <row r="691" spans="18:18" ht="15.75" customHeight="1">
      <c r="R691" s="30"/>
    </row>
    <row r="692" spans="18:18" ht="15.75" customHeight="1">
      <c r="R692" s="30"/>
    </row>
    <row r="693" spans="18:18" ht="15.75" customHeight="1">
      <c r="R693" s="30"/>
    </row>
    <row r="694" spans="18:18" ht="15.75" customHeight="1">
      <c r="R694" s="30"/>
    </row>
    <row r="695" spans="18:18" ht="15.75" customHeight="1">
      <c r="R695" s="30"/>
    </row>
    <row r="696" spans="18:18" ht="15.75" customHeight="1">
      <c r="R696" s="30"/>
    </row>
    <row r="697" spans="18:18" ht="15.75" customHeight="1">
      <c r="R697" s="30"/>
    </row>
    <row r="698" spans="18:18" ht="15.75" customHeight="1">
      <c r="R698" s="30"/>
    </row>
    <row r="699" spans="18:18" ht="15.75" customHeight="1">
      <c r="R699" s="30"/>
    </row>
    <row r="700" spans="18:18" ht="15.75" customHeight="1">
      <c r="R700" s="30"/>
    </row>
    <row r="701" spans="18:18" ht="15.75" customHeight="1">
      <c r="R701" s="30"/>
    </row>
    <row r="702" spans="18:18" ht="15.75" customHeight="1">
      <c r="R702" s="30"/>
    </row>
    <row r="703" spans="18:18" ht="15.75" customHeight="1">
      <c r="R703" s="30"/>
    </row>
    <row r="704" spans="18:18" ht="15.75" customHeight="1">
      <c r="R704" s="30"/>
    </row>
    <row r="705" spans="18:18" ht="15.75" customHeight="1">
      <c r="R705" s="30"/>
    </row>
    <row r="706" spans="18:18" ht="15.75" customHeight="1">
      <c r="R706" s="30"/>
    </row>
    <row r="707" spans="18:18" ht="15.75" customHeight="1">
      <c r="R707" s="30"/>
    </row>
    <row r="708" spans="18:18" ht="15.75" customHeight="1">
      <c r="R708" s="30"/>
    </row>
    <row r="709" spans="18:18" ht="15.75" customHeight="1">
      <c r="R709" s="30"/>
    </row>
    <row r="710" spans="18:18" ht="15.75" customHeight="1">
      <c r="R710" s="30"/>
    </row>
    <row r="711" spans="18:18" ht="15.75" customHeight="1">
      <c r="R711" s="30"/>
    </row>
    <row r="712" spans="18:18" ht="15.75" customHeight="1">
      <c r="R712" s="30"/>
    </row>
    <row r="713" spans="18:18" ht="15.75" customHeight="1">
      <c r="R713" s="30"/>
    </row>
    <row r="714" spans="18:18" ht="15.75" customHeight="1">
      <c r="R714" s="30"/>
    </row>
    <row r="715" spans="18:18" ht="15.75" customHeight="1">
      <c r="R715" s="30"/>
    </row>
    <row r="716" spans="18:18" ht="15.75" customHeight="1">
      <c r="R716" s="30"/>
    </row>
    <row r="717" spans="18:18" ht="15.75" customHeight="1">
      <c r="R717" s="30"/>
    </row>
    <row r="718" spans="18:18" ht="15.75" customHeight="1">
      <c r="R718" s="30"/>
    </row>
    <row r="719" spans="18:18" ht="15.75" customHeight="1">
      <c r="R719" s="30"/>
    </row>
    <row r="720" spans="18:18" ht="15.75" customHeight="1">
      <c r="R720" s="30"/>
    </row>
    <row r="721" spans="18:18" ht="15.75" customHeight="1">
      <c r="R721" s="30"/>
    </row>
    <row r="722" spans="18:18" ht="15.75" customHeight="1">
      <c r="R722" s="30"/>
    </row>
    <row r="723" spans="18:18" ht="15.75" customHeight="1">
      <c r="R723" s="30"/>
    </row>
    <row r="724" spans="18:18" ht="15.75" customHeight="1">
      <c r="R724" s="30"/>
    </row>
    <row r="725" spans="18:18" ht="15.75" customHeight="1">
      <c r="R725" s="30"/>
    </row>
    <row r="726" spans="18:18" ht="15.75" customHeight="1">
      <c r="R726" s="30"/>
    </row>
    <row r="727" spans="18:18" ht="15.75" customHeight="1">
      <c r="R727" s="30"/>
    </row>
    <row r="728" spans="18:18" ht="15.75" customHeight="1">
      <c r="R728" s="30"/>
    </row>
    <row r="729" spans="18:18" ht="15.75" customHeight="1">
      <c r="R729" s="30"/>
    </row>
    <row r="730" spans="18:18" ht="15.75" customHeight="1">
      <c r="R730" s="30"/>
    </row>
    <row r="731" spans="18:18" ht="15.75" customHeight="1">
      <c r="R731" s="30"/>
    </row>
    <row r="732" spans="18:18" ht="15.75" customHeight="1">
      <c r="R732" s="30"/>
    </row>
    <row r="733" spans="18:18" ht="15.75" customHeight="1">
      <c r="R733" s="30"/>
    </row>
    <row r="734" spans="18:18" ht="15.75" customHeight="1">
      <c r="R734" s="30"/>
    </row>
    <row r="735" spans="18:18" ht="15.75" customHeight="1">
      <c r="R735" s="30"/>
    </row>
    <row r="736" spans="18:18" ht="15.75" customHeight="1">
      <c r="R736" s="30"/>
    </row>
    <row r="737" spans="18:18" ht="15.75" customHeight="1">
      <c r="R737" s="30"/>
    </row>
    <row r="738" spans="18:18" ht="15.75" customHeight="1">
      <c r="R738" s="30"/>
    </row>
    <row r="739" spans="18:18" ht="15.75" customHeight="1">
      <c r="R739" s="30"/>
    </row>
    <row r="740" spans="18:18" ht="15.75" customHeight="1">
      <c r="R740" s="30"/>
    </row>
    <row r="741" spans="18:18" ht="15.75" customHeight="1">
      <c r="R741" s="30"/>
    </row>
    <row r="742" spans="18:18" ht="15.75" customHeight="1">
      <c r="R742" s="30"/>
    </row>
    <row r="743" spans="18:18" ht="15.75" customHeight="1">
      <c r="R743" s="30"/>
    </row>
    <row r="744" spans="18:18" ht="15.75" customHeight="1">
      <c r="R744" s="30"/>
    </row>
    <row r="745" spans="18:18" ht="15.75" customHeight="1">
      <c r="R745" s="30"/>
    </row>
    <row r="746" spans="18:18" ht="15.75" customHeight="1">
      <c r="R746" s="30"/>
    </row>
    <row r="747" spans="18:18" ht="15.75" customHeight="1">
      <c r="R747" s="30"/>
    </row>
    <row r="748" spans="18:18" ht="15.75" customHeight="1">
      <c r="R748" s="30"/>
    </row>
    <row r="749" spans="18:18" ht="15.75" customHeight="1">
      <c r="R749" s="30"/>
    </row>
    <row r="750" spans="18:18" ht="15.75" customHeight="1">
      <c r="R750" s="30"/>
    </row>
    <row r="751" spans="18:18" ht="15.75" customHeight="1">
      <c r="R751" s="30"/>
    </row>
    <row r="752" spans="18:18" ht="15.75" customHeight="1">
      <c r="R752" s="30"/>
    </row>
    <row r="753" spans="18:18" ht="15.75" customHeight="1">
      <c r="R753" s="30"/>
    </row>
    <row r="754" spans="18:18" ht="15.75" customHeight="1">
      <c r="R754" s="30"/>
    </row>
    <row r="755" spans="18:18" ht="15.75" customHeight="1">
      <c r="R755" s="30"/>
    </row>
    <row r="756" spans="18:18" ht="15.75" customHeight="1">
      <c r="R756" s="30"/>
    </row>
    <row r="757" spans="18:18" ht="15.75" customHeight="1">
      <c r="R757" s="30"/>
    </row>
    <row r="758" spans="18:18" ht="15.75" customHeight="1">
      <c r="R758" s="30"/>
    </row>
    <row r="759" spans="18:18" ht="15.75" customHeight="1">
      <c r="R759" s="30"/>
    </row>
    <row r="760" spans="18:18" ht="15.75" customHeight="1">
      <c r="R760" s="30"/>
    </row>
    <row r="761" spans="18:18" ht="15.75" customHeight="1">
      <c r="R761" s="30"/>
    </row>
    <row r="762" spans="18:18" ht="15.75" customHeight="1">
      <c r="R762" s="30"/>
    </row>
    <row r="763" spans="18:18" ht="15.75" customHeight="1">
      <c r="R763" s="30"/>
    </row>
    <row r="764" spans="18:18" ht="15.75" customHeight="1">
      <c r="R764" s="30"/>
    </row>
    <row r="765" spans="18:18" ht="15.75" customHeight="1">
      <c r="R765" s="30"/>
    </row>
    <row r="766" spans="18:18" ht="15.75" customHeight="1">
      <c r="R766" s="30"/>
    </row>
    <row r="767" spans="18:18" ht="15.75" customHeight="1">
      <c r="R767" s="30"/>
    </row>
    <row r="768" spans="18:18" ht="15.75" customHeight="1">
      <c r="R768" s="30"/>
    </row>
    <row r="769" spans="18:18" ht="15.75" customHeight="1">
      <c r="R769" s="30"/>
    </row>
    <row r="770" spans="18:18" ht="15.75" customHeight="1">
      <c r="R770" s="30"/>
    </row>
    <row r="771" spans="18:18" ht="15.75" customHeight="1">
      <c r="R771" s="30"/>
    </row>
    <row r="772" spans="18:18" ht="15.75" customHeight="1">
      <c r="R772" s="30"/>
    </row>
    <row r="773" spans="18:18" ht="15.75" customHeight="1">
      <c r="R773" s="30"/>
    </row>
    <row r="774" spans="18:18" ht="15.75" customHeight="1">
      <c r="R774" s="30"/>
    </row>
    <row r="775" spans="18:18" ht="15.75" customHeight="1">
      <c r="R775" s="30"/>
    </row>
    <row r="776" spans="18:18" ht="15.75" customHeight="1">
      <c r="R776" s="30"/>
    </row>
    <row r="777" spans="18:18" ht="15.75" customHeight="1">
      <c r="R777" s="30"/>
    </row>
    <row r="778" spans="18:18" ht="15.75" customHeight="1">
      <c r="R778" s="30"/>
    </row>
    <row r="779" spans="18:18" ht="15.75" customHeight="1">
      <c r="R779" s="30"/>
    </row>
    <row r="780" spans="18:18" ht="15.75" customHeight="1">
      <c r="R780" s="30"/>
    </row>
    <row r="781" spans="18:18" ht="15.75" customHeight="1">
      <c r="R781" s="30"/>
    </row>
    <row r="782" spans="18:18" ht="15.75" customHeight="1">
      <c r="R782" s="30"/>
    </row>
    <row r="783" spans="18:18" ht="15.75" customHeight="1">
      <c r="R783" s="30"/>
    </row>
    <row r="784" spans="18:18" ht="15.75" customHeight="1">
      <c r="R784" s="30"/>
    </row>
    <row r="785" spans="18:18" ht="15.75" customHeight="1">
      <c r="R785" s="30"/>
    </row>
    <row r="786" spans="18:18" ht="15.75" customHeight="1">
      <c r="R786" s="30"/>
    </row>
    <row r="787" spans="18:18" ht="15.75" customHeight="1">
      <c r="R787" s="30"/>
    </row>
    <row r="788" spans="18:18" ht="15.75" customHeight="1">
      <c r="R788" s="30"/>
    </row>
    <row r="789" spans="18:18" ht="15.75" customHeight="1">
      <c r="R789" s="30"/>
    </row>
    <row r="790" spans="18:18" ht="15.75" customHeight="1">
      <c r="R790" s="30"/>
    </row>
    <row r="791" spans="18:18" ht="15.75" customHeight="1">
      <c r="R791" s="30"/>
    </row>
    <row r="792" spans="18:18" ht="15.75" customHeight="1">
      <c r="R792" s="30"/>
    </row>
    <row r="793" spans="18:18" ht="15.75" customHeight="1">
      <c r="R793" s="30"/>
    </row>
    <row r="794" spans="18:18" ht="15.75" customHeight="1">
      <c r="R794" s="30"/>
    </row>
    <row r="795" spans="18:18" ht="15.75" customHeight="1">
      <c r="R795" s="30"/>
    </row>
    <row r="796" spans="18:18" ht="15.75" customHeight="1">
      <c r="R796" s="30"/>
    </row>
    <row r="797" spans="18:18" ht="15.75" customHeight="1">
      <c r="R797" s="30"/>
    </row>
    <row r="798" spans="18:18" ht="15.75" customHeight="1">
      <c r="R798" s="30"/>
    </row>
    <row r="799" spans="18:18" ht="15.75" customHeight="1">
      <c r="R799" s="30"/>
    </row>
    <row r="800" spans="18:18" ht="15.75" customHeight="1">
      <c r="R800" s="30"/>
    </row>
    <row r="801" spans="18:18" ht="15.75" customHeight="1">
      <c r="R801" s="30"/>
    </row>
    <row r="802" spans="18:18" ht="15.75" customHeight="1">
      <c r="R802" s="30"/>
    </row>
    <row r="803" spans="18:18" ht="15.75" customHeight="1">
      <c r="R803" s="30"/>
    </row>
    <row r="804" spans="18:18" ht="15.75" customHeight="1">
      <c r="R804" s="30"/>
    </row>
    <row r="805" spans="18:18" ht="15.75" customHeight="1">
      <c r="R805" s="30"/>
    </row>
    <row r="806" spans="18:18" ht="15.75" customHeight="1">
      <c r="R806" s="30"/>
    </row>
    <row r="807" spans="18:18" ht="15.75" customHeight="1">
      <c r="R807" s="30"/>
    </row>
    <row r="808" spans="18:18" ht="15.75" customHeight="1">
      <c r="R808" s="30"/>
    </row>
    <row r="809" spans="18:18" ht="15.75" customHeight="1">
      <c r="R809" s="30"/>
    </row>
    <row r="810" spans="18:18" ht="15.75" customHeight="1">
      <c r="R810" s="30"/>
    </row>
    <row r="811" spans="18:18" ht="15.75" customHeight="1">
      <c r="R811" s="30"/>
    </row>
    <row r="812" spans="18:18" ht="15.75" customHeight="1">
      <c r="R812" s="30"/>
    </row>
    <row r="813" spans="18:18" ht="15.75" customHeight="1">
      <c r="R813" s="30"/>
    </row>
    <row r="814" spans="18:18" ht="15.75" customHeight="1">
      <c r="R814" s="30"/>
    </row>
    <row r="815" spans="18:18" ht="15.75" customHeight="1">
      <c r="R815" s="30"/>
    </row>
    <row r="816" spans="18:18" ht="15.75" customHeight="1">
      <c r="R816" s="30"/>
    </row>
    <row r="817" spans="18:18" ht="15.75" customHeight="1">
      <c r="R817" s="30"/>
    </row>
    <row r="818" spans="18:18" ht="15.75" customHeight="1">
      <c r="R818" s="30"/>
    </row>
    <row r="819" spans="18:18" ht="15.75" customHeight="1">
      <c r="R819" s="30"/>
    </row>
    <row r="820" spans="18:18" ht="15.75" customHeight="1">
      <c r="R820" s="30"/>
    </row>
    <row r="821" spans="18:18" ht="15.75" customHeight="1">
      <c r="R821" s="30"/>
    </row>
    <row r="822" spans="18:18" ht="15.75" customHeight="1">
      <c r="R822" s="30"/>
    </row>
    <row r="823" spans="18:18" ht="15.75" customHeight="1">
      <c r="R823" s="30"/>
    </row>
    <row r="824" spans="18:18" ht="15.75" customHeight="1">
      <c r="R824" s="30"/>
    </row>
    <row r="825" spans="18:18" ht="15.75" customHeight="1">
      <c r="R825" s="30"/>
    </row>
    <row r="826" spans="18:18" ht="15.75" customHeight="1">
      <c r="R826" s="30"/>
    </row>
    <row r="827" spans="18:18" ht="15.75" customHeight="1">
      <c r="R827" s="30"/>
    </row>
    <row r="828" spans="18:18" ht="15.75" customHeight="1">
      <c r="R828" s="30"/>
    </row>
    <row r="829" spans="18:18" ht="15.75" customHeight="1">
      <c r="R829" s="30"/>
    </row>
    <row r="830" spans="18:18" ht="15.75" customHeight="1">
      <c r="R830" s="30"/>
    </row>
    <row r="831" spans="18:18" ht="15.75" customHeight="1">
      <c r="R831" s="30"/>
    </row>
    <row r="832" spans="18:18" ht="15.75" customHeight="1">
      <c r="R832" s="30"/>
    </row>
    <row r="833" spans="18:18" ht="15.75" customHeight="1">
      <c r="R833" s="30"/>
    </row>
    <row r="834" spans="18:18" ht="15.75" customHeight="1">
      <c r="R834" s="30"/>
    </row>
    <row r="835" spans="18:18" ht="15.75" customHeight="1">
      <c r="R835" s="30"/>
    </row>
    <row r="836" spans="18:18" ht="15.75" customHeight="1">
      <c r="R836" s="30"/>
    </row>
    <row r="837" spans="18:18" ht="15.75" customHeight="1">
      <c r="R837" s="30"/>
    </row>
    <row r="838" spans="18:18" ht="15.75" customHeight="1">
      <c r="R838" s="30"/>
    </row>
    <row r="839" spans="18:18" ht="15.75" customHeight="1">
      <c r="R839" s="30"/>
    </row>
    <row r="840" spans="18:18" ht="15.75" customHeight="1">
      <c r="R840" s="30"/>
    </row>
    <row r="841" spans="18:18" ht="15.75" customHeight="1">
      <c r="R841" s="30"/>
    </row>
    <row r="842" spans="18:18" ht="15.75" customHeight="1">
      <c r="R842" s="30"/>
    </row>
    <row r="843" spans="18:18" ht="15.75" customHeight="1">
      <c r="R843" s="30"/>
    </row>
    <row r="844" spans="18:18" ht="15.75" customHeight="1">
      <c r="R844" s="30"/>
    </row>
    <row r="845" spans="18:18" ht="15.75" customHeight="1">
      <c r="R845" s="30"/>
    </row>
    <row r="846" spans="18:18" ht="15.75" customHeight="1">
      <c r="R846" s="30"/>
    </row>
    <row r="847" spans="18:18" ht="15.75" customHeight="1">
      <c r="R847" s="30"/>
    </row>
    <row r="848" spans="18:18" ht="15.75" customHeight="1">
      <c r="R848" s="30"/>
    </row>
    <row r="849" spans="18:18" ht="15.75" customHeight="1">
      <c r="R849" s="30"/>
    </row>
    <row r="850" spans="18:18" ht="15.75" customHeight="1">
      <c r="R850" s="30"/>
    </row>
    <row r="851" spans="18:18" ht="15.75" customHeight="1">
      <c r="R851" s="30"/>
    </row>
    <row r="852" spans="18:18" ht="15.75" customHeight="1">
      <c r="R852" s="30"/>
    </row>
    <row r="853" spans="18:18" ht="15.75" customHeight="1">
      <c r="R853" s="30"/>
    </row>
    <row r="854" spans="18:18" ht="15.75" customHeight="1">
      <c r="R854" s="30"/>
    </row>
    <row r="855" spans="18:18" ht="15.75" customHeight="1">
      <c r="R855" s="30"/>
    </row>
    <row r="856" spans="18:18" ht="15.75" customHeight="1">
      <c r="R856" s="30"/>
    </row>
    <row r="857" spans="18:18" ht="15.75" customHeight="1">
      <c r="R857" s="30"/>
    </row>
    <row r="858" spans="18:18" ht="15.75" customHeight="1">
      <c r="R858" s="30"/>
    </row>
    <row r="859" spans="18:18" ht="15.75" customHeight="1">
      <c r="R859" s="30"/>
    </row>
    <row r="860" spans="18:18" ht="15.75" customHeight="1">
      <c r="R860" s="30"/>
    </row>
    <row r="861" spans="18:18" ht="15.75" customHeight="1">
      <c r="R861" s="30"/>
    </row>
    <row r="862" spans="18:18" ht="15.75" customHeight="1">
      <c r="R862" s="30"/>
    </row>
    <row r="863" spans="18:18" ht="15.75" customHeight="1">
      <c r="R863" s="30"/>
    </row>
    <row r="864" spans="18:18" ht="15.75" customHeight="1">
      <c r="R864" s="30"/>
    </row>
    <row r="865" spans="18:18" ht="15.75" customHeight="1">
      <c r="R865" s="30"/>
    </row>
    <row r="866" spans="18:18" ht="15.75" customHeight="1">
      <c r="R866" s="30"/>
    </row>
    <row r="867" spans="18:18" ht="15.75" customHeight="1">
      <c r="R867" s="30"/>
    </row>
    <row r="868" spans="18:18" ht="15.75" customHeight="1">
      <c r="R868" s="30"/>
    </row>
    <row r="869" spans="18:18" ht="15.75" customHeight="1">
      <c r="R869" s="30"/>
    </row>
    <row r="870" spans="18:18" ht="15.75" customHeight="1">
      <c r="R870" s="30"/>
    </row>
    <row r="871" spans="18:18" ht="15.75" customHeight="1">
      <c r="R871" s="30"/>
    </row>
    <row r="872" spans="18:18" ht="15.75" customHeight="1">
      <c r="R872" s="30"/>
    </row>
    <row r="873" spans="18:18" ht="15.75" customHeight="1">
      <c r="R873" s="30"/>
    </row>
    <row r="874" spans="18:18" ht="15.75" customHeight="1">
      <c r="R874" s="30"/>
    </row>
    <row r="875" spans="18:18" ht="15.75" customHeight="1">
      <c r="R875" s="30"/>
    </row>
    <row r="876" spans="18:18" ht="15.75" customHeight="1">
      <c r="R876" s="30"/>
    </row>
    <row r="877" spans="18:18" ht="15.75" customHeight="1">
      <c r="R877" s="30"/>
    </row>
    <row r="878" spans="18:18" ht="15.75" customHeight="1">
      <c r="R878" s="30"/>
    </row>
    <row r="879" spans="18:18" ht="15.75" customHeight="1">
      <c r="R879" s="30"/>
    </row>
    <row r="880" spans="18:18" ht="15.75" customHeight="1">
      <c r="R880" s="30"/>
    </row>
    <row r="881" spans="18:18" ht="15.75" customHeight="1">
      <c r="R881" s="30"/>
    </row>
    <row r="882" spans="18:18" ht="15.75" customHeight="1">
      <c r="R882" s="30"/>
    </row>
    <row r="883" spans="18:18" ht="15.75" customHeight="1">
      <c r="R883" s="30"/>
    </row>
    <row r="884" spans="18:18" ht="15.75" customHeight="1">
      <c r="R884" s="30"/>
    </row>
    <row r="885" spans="18:18" ht="15.75" customHeight="1">
      <c r="R885" s="30"/>
    </row>
    <row r="886" spans="18:18" ht="15.75" customHeight="1">
      <c r="R886" s="30"/>
    </row>
    <row r="887" spans="18:18" ht="15.75" customHeight="1">
      <c r="R887" s="30"/>
    </row>
    <row r="888" spans="18:18" ht="15.75" customHeight="1">
      <c r="R888" s="30"/>
    </row>
    <row r="889" spans="18:18" ht="15.75" customHeight="1">
      <c r="R889" s="30"/>
    </row>
    <row r="890" spans="18:18" ht="15.75" customHeight="1">
      <c r="R890" s="30"/>
    </row>
    <row r="891" spans="18:18" ht="15.75" customHeight="1">
      <c r="R891" s="30"/>
    </row>
    <row r="892" spans="18:18" ht="15.75" customHeight="1">
      <c r="R892" s="30"/>
    </row>
    <row r="893" spans="18:18" ht="15.75" customHeight="1">
      <c r="R893" s="30"/>
    </row>
    <row r="894" spans="18:18" ht="15.75" customHeight="1">
      <c r="R894" s="30"/>
    </row>
    <row r="895" spans="18:18" ht="15.75" customHeight="1">
      <c r="R895" s="30"/>
    </row>
    <row r="896" spans="18:18" ht="15.75" customHeight="1">
      <c r="R896" s="30"/>
    </row>
    <row r="897" spans="18:18" ht="15.75" customHeight="1">
      <c r="R897" s="30"/>
    </row>
    <row r="898" spans="18:18" ht="15.75" customHeight="1">
      <c r="R898" s="30"/>
    </row>
    <row r="899" spans="18:18" ht="15.75" customHeight="1">
      <c r="R899" s="30"/>
    </row>
    <row r="900" spans="18:18" ht="15.75" customHeight="1">
      <c r="R900" s="30"/>
    </row>
    <row r="901" spans="18:18" ht="15.75" customHeight="1">
      <c r="R901" s="30"/>
    </row>
    <row r="902" spans="18:18" ht="15.75" customHeight="1">
      <c r="R902" s="30"/>
    </row>
    <row r="903" spans="18:18" ht="15.75" customHeight="1">
      <c r="R903" s="30"/>
    </row>
    <row r="904" spans="18:18" ht="15.75" customHeight="1">
      <c r="R904" s="30"/>
    </row>
    <row r="905" spans="18:18" ht="15.75" customHeight="1">
      <c r="R905" s="30"/>
    </row>
    <row r="906" spans="18:18" ht="15.75" customHeight="1">
      <c r="R906" s="30"/>
    </row>
    <row r="907" spans="18:18" ht="15.75" customHeight="1">
      <c r="R907" s="30"/>
    </row>
    <row r="908" spans="18:18" ht="15.75" customHeight="1">
      <c r="R908" s="30"/>
    </row>
    <row r="909" spans="18:18" ht="15.75" customHeight="1">
      <c r="R909" s="30"/>
    </row>
    <row r="910" spans="18:18" ht="15.75" customHeight="1">
      <c r="R910" s="30"/>
    </row>
    <row r="911" spans="18:18" ht="15.75" customHeight="1">
      <c r="R911" s="30"/>
    </row>
    <row r="912" spans="18:18" ht="15.75" customHeight="1">
      <c r="R912" s="30"/>
    </row>
    <row r="913" spans="18:18" ht="15.75" customHeight="1">
      <c r="R913" s="30"/>
    </row>
    <row r="914" spans="18:18" ht="15.75" customHeight="1">
      <c r="R914" s="30"/>
    </row>
    <row r="915" spans="18:18" ht="15.75" customHeight="1">
      <c r="R915" s="30"/>
    </row>
    <row r="916" spans="18:18" ht="15.75" customHeight="1">
      <c r="R916" s="30"/>
    </row>
    <row r="917" spans="18:18" ht="15.75" customHeight="1">
      <c r="R917" s="30"/>
    </row>
    <row r="918" spans="18:18" ht="15.75" customHeight="1">
      <c r="R918" s="30"/>
    </row>
    <row r="919" spans="18:18" ht="15.75" customHeight="1">
      <c r="R919" s="30"/>
    </row>
    <row r="920" spans="18:18" ht="15.75" customHeight="1">
      <c r="R920" s="30"/>
    </row>
    <row r="921" spans="18:18" ht="15.75" customHeight="1">
      <c r="R921" s="30"/>
    </row>
    <row r="922" spans="18:18" ht="15.75" customHeight="1">
      <c r="R922" s="30"/>
    </row>
    <row r="923" spans="18:18" ht="15.75" customHeight="1">
      <c r="R923" s="30"/>
    </row>
    <row r="924" spans="18:18" ht="15.75" customHeight="1">
      <c r="R924" s="30"/>
    </row>
    <row r="925" spans="18:18" ht="15.75" customHeight="1">
      <c r="R925" s="30"/>
    </row>
    <row r="926" spans="18:18" ht="15.75" customHeight="1">
      <c r="R926" s="30"/>
    </row>
    <row r="927" spans="18:18" ht="15.75" customHeight="1">
      <c r="R927" s="30"/>
    </row>
    <row r="928" spans="18:18" ht="15.75" customHeight="1">
      <c r="R928" s="30"/>
    </row>
    <row r="929" spans="18:18" ht="15.75" customHeight="1">
      <c r="R929" s="30"/>
    </row>
    <row r="930" spans="18:18" ht="15.75" customHeight="1">
      <c r="R930" s="30"/>
    </row>
    <row r="931" spans="18:18" ht="15.75" customHeight="1">
      <c r="R931" s="30"/>
    </row>
    <row r="932" spans="18:18" ht="15.75" customHeight="1">
      <c r="R932" s="30"/>
    </row>
    <row r="933" spans="18:18" ht="15.75" customHeight="1">
      <c r="R933" s="30"/>
    </row>
    <row r="934" spans="18:18" ht="15.75" customHeight="1">
      <c r="R934" s="30"/>
    </row>
    <row r="935" spans="18:18" ht="15.75" customHeight="1">
      <c r="R935" s="30"/>
    </row>
    <row r="936" spans="18:18" ht="15.75" customHeight="1">
      <c r="R936" s="30"/>
    </row>
    <row r="937" spans="18:18" ht="15.75" customHeight="1">
      <c r="R937" s="30"/>
    </row>
    <row r="938" spans="18:18" ht="15.75" customHeight="1">
      <c r="R938" s="30"/>
    </row>
    <row r="939" spans="18:18" ht="15.75" customHeight="1">
      <c r="R939" s="30"/>
    </row>
    <row r="940" spans="18:18" ht="15.75" customHeight="1">
      <c r="R940" s="30"/>
    </row>
    <row r="941" spans="18:18" ht="15.75" customHeight="1">
      <c r="R941" s="30"/>
    </row>
    <row r="942" spans="18:18" ht="15.75" customHeight="1">
      <c r="R942" s="30"/>
    </row>
    <row r="943" spans="18:18" ht="15.75" customHeight="1">
      <c r="R943" s="30"/>
    </row>
    <row r="944" spans="18:18" ht="15.75" customHeight="1">
      <c r="R944" s="30"/>
    </row>
    <row r="945" spans="18:18" ht="15.75" customHeight="1">
      <c r="R945" s="30"/>
    </row>
    <row r="946" spans="18:18" ht="15.75" customHeight="1">
      <c r="R946" s="30"/>
    </row>
    <row r="947" spans="18:18" ht="15.75" customHeight="1">
      <c r="R947" s="30"/>
    </row>
    <row r="948" spans="18:18" ht="15.75" customHeight="1">
      <c r="R948" s="30"/>
    </row>
    <row r="949" spans="18:18" ht="15.75" customHeight="1">
      <c r="R949" s="30"/>
    </row>
    <row r="950" spans="18:18" ht="15.75" customHeight="1">
      <c r="R950" s="30"/>
    </row>
    <row r="951" spans="18:18" ht="15.75" customHeight="1">
      <c r="R951" s="30"/>
    </row>
    <row r="952" spans="18:18" ht="15.75" customHeight="1">
      <c r="R952" s="30"/>
    </row>
    <row r="953" spans="18:18" ht="15.75" customHeight="1">
      <c r="R953" s="30"/>
    </row>
    <row r="954" spans="18:18" ht="15.75" customHeight="1">
      <c r="R954" s="30"/>
    </row>
    <row r="955" spans="18:18" ht="15.75" customHeight="1">
      <c r="R955" s="30"/>
    </row>
    <row r="956" spans="18:18" ht="15.75" customHeight="1">
      <c r="R956" s="30"/>
    </row>
    <row r="957" spans="18:18" ht="15.75" customHeight="1">
      <c r="R957" s="30"/>
    </row>
    <row r="958" spans="18:18" ht="15.75" customHeight="1">
      <c r="R958" s="30"/>
    </row>
    <row r="959" spans="18:18" ht="15.75" customHeight="1">
      <c r="R959" s="30"/>
    </row>
    <row r="960" spans="18:18" ht="15.75" customHeight="1">
      <c r="R960" s="30"/>
    </row>
    <row r="961" spans="18:18" ht="15.75" customHeight="1">
      <c r="R961" s="30"/>
    </row>
    <row r="962" spans="18:18" ht="15.75" customHeight="1">
      <c r="R962" s="30"/>
    </row>
    <row r="963" spans="18:18" ht="15.75" customHeight="1">
      <c r="R963" s="30"/>
    </row>
    <row r="964" spans="18:18" ht="15.75" customHeight="1">
      <c r="R964" s="30"/>
    </row>
    <row r="965" spans="18:18" ht="15.75" customHeight="1">
      <c r="R965" s="30"/>
    </row>
    <row r="966" spans="18:18" ht="15.75" customHeight="1">
      <c r="R966" s="30"/>
    </row>
    <row r="967" spans="18:18" ht="15.75" customHeight="1">
      <c r="R967" s="30"/>
    </row>
    <row r="968" spans="18:18" ht="15.75" customHeight="1">
      <c r="R968" s="30"/>
    </row>
    <row r="969" spans="18:18" ht="15.75" customHeight="1">
      <c r="R969" s="30"/>
    </row>
    <row r="970" spans="18:18" ht="15.75" customHeight="1">
      <c r="R970" s="30"/>
    </row>
    <row r="971" spans="18:18" ht="15.75" customHeight="1">
      <c r="R971" s="30"/>
    </row>
    <row r="972" spans="18:18" ht="15.75" customHeight="1">
      <c r="R972" s="30"/>
    </row>
    <row r="973" spans="18:18" ht="15.75" customHeight="1">
      <c r="R973" s="30"/>
    </row>
    <row r="974" spans="18:18" ht="15.75" customHeight="1">
      <c r="R974" s="30"/>
    </row>
    <row r="975" spans="18:18" ht="15.75" customHeight="1">
      <c r="R975" s="30"/>
    </row>
    <row r="976" spans="18:18" ht="15.75" customHeight="1">
      <c r="R976" s="30"/>
    </row>
    <row r="977" spans="18:18" ht="15.75" customHeight="1">
      <c r="R977" s="30"/>
    </row>
    <row r="978" spans="18:18" ht="15.75" customHeight="1">
      <c r="R978" s="30"/>
    </row>
    <row r="979" spans="18:18" ht="15.75" customHeight="1">
      <c r="R979" s="30"/>
    </row>
    <row r="980" spans="18:18" ht="15.75" customHeight="1">
      <c r="R980" s="30"/>
    </row>
    <row r="981" spans="18:18" ht="15.75" customHeight="1">
      <c r="R981" s="30"/>
    </row>
    <row r="982" spans="18:18" ht="15.75" customHeight="1">
      <c r="R982" s="30"/>
    </row>
    <row r="983" spans="18:18" ht="15.75" customHeight="1">
      <c r="R983" s="30"/>
    </row>
    <row r="984" spans="18:18" ht="15.75" customHeight="1">
      <c r="R984" s="30"/>
    </row>
    <row r="985" spans="18:18" ht="15.75" customHeight="1">
      <c r="R985" s="30"/>
    </row>
    <row r="986" spans="18:18" ht="15.75" customHeight="1">
      <c r="R986" s="30"/>
    </row>
    <row r="987" spans="18:18" ht="15.75" customHeight="1">
      <c r="R987" s="30"/>
    </row>
    <row r="988" spans="18:18" ht="15.75" customHeight="1">
      <c r="R988" s="30"/>
    </row>
    <row r="989" spans="18:18" ht="15.75" customHeight="1">
      <c r="R989" s="30"/>
    </row>
    <row r="990" spans="18:18" ht="15.75" customHeight="1">
      <c r="R990" s="30"/>
    </row>
    <row r="991" spans="18:18" ht="15.75" customHeight="1">
      <c r="R991" s="30"/>
    </row>
    <row r="992" spans="18:18" ht="15.75" customHeight="1">
      <c r="R992" s="30"/>
    </row>
    <row r="993" spans="18:18" ht="15.75" customHeight="1">
      <c r="R993" s="30"/>
    </row>
    <row r="994" spans="18:18" ht="15.75" customHeight="1">
      <c r="R994" s="30"/>
    </row>
    <row r="995" spans="18:18" ht="15.75" customHeight="1">
      <c r="R995" s="30"/>
    </row>
    <row r="996" spans="18:18" ht="15.75" customHeight="1">
      <c r="R996" s="30"/>
    </row>
    <row r="997" spans="18:18" ht="15.75" customHeight="1">
      <c r="R997" s="30"/>
    </row>
    <row r="998" spans="18:18" ht="15.75" customHeight="1">
      <c r="R998" s="30"/>
    </row>
    <row r="999" spans="18:18" ht="15.75" customHeight="1">
      <c r="R999" s="30"/>
    </row>
    <row r="1000" spans="18:18" ht="15.75" customHeight="1">
      <c r="R1000" s="3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2.6640625" defaultRowHeight="15" customHeight="1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8.6640625" customWidth="1"/>
    <col min="6" max="6" width="10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9.6640625" customWidth="1"/>
    <col min="16" max="16" width="8.1640625" customWidth="1"/>
    <col min="17" max="18" width="7.33203125" customWidth="1"/>
    <col min="19" max="19" width="7.1640625" customWidth="1"/>
    <col min="20" max="20" width="11.1640625" customWidth="1"/>
    <col min="21" max="21" width="13.5" customWidth="1"/>
    <col min="22" max="22" width="22" customWidth="1"/>
    <col min="23" max="24" width="7.6640625" customWidth="1"/>
    <col min="25" max="25" width="8.1640625" customWidth="1"/>
    <col min="26" max="26" width="11.1640625" customWidth="1"/>
    <col min="27" max="27" width="10.6640625" customWidth="1"/>
    <col min="28" max="28" width="9.6640625" customWidth="1"/>
    <col min="29" max="29" width="7.1640625" customWidth="1"/>
    <col min="30" max="30" width="10.83203125" customWidth="1"/>
    <col min="31" max="31" width="8.6640625" customWidth="1"/>
    <col min="32" max="32" width="10.1640625" customWidth="1"/>
    <col min="33" max="33" width="8.83203125" customWidth="1"/>
  </cols>
  <sheetData>
    <row r="1" spans="1:33" ht="18.75" customHeight="1">
      <c r="A1" s="46" t="str">
        <f ca="1">IFERROR(__xludf.DUMMYFUNCTION("IFERROR(VLOOKUP(B2,IMPORTRANGE(""https://docs.google.com/spreadsheets/d/1x0DhHglkXKoEBOD2MBsuK_EyIr1ouxD2ftIpqOYFa-k/edit?usp=sharing"",""Ubiquitty-SKU-Specific Info!B1:BJ5000""),3,FALSE),"""")"),"100 Foot Outdoor Extension Cord - 10/3 SJTW Black 10 Gauge Extension Cable with 3 Prong Grounded Plug for Safety - Great for Garden and Major Appliances")</f>
        <v>100 Foot Outdoor Extension Cord - 10/3 SJTW Black 10 Gauge Extension Cable with 3 Prong Grounded Plug for Safety - Great for Garden and Major Appliances</v>
      </c>
      <c r="B1" s="47"/>
      <c r="C1" s="48" t="s">
        <v>0</v>
      </c>
      <c r="D1" s="50" t="s">
        <v>1</v>
      </c>
      <c r="E1" s="50" t="s">
        <v>2</v>
      </c>
      <c r="F1" s="52" t="s">
        <v>3</v>
      </c>
      <c r="G1" s="52" t="s">
        <v>4</v>
      </c>
      <c r="H1" s="53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58" t="s">
        <v>10</v>
      </c>
      <c r="N1" s="59" t="s">
        <v>11</v>
      </c>
      <c r="O1" s="50" t="s">
        <v>12</v>
      </c>
      <c r="P1" s="50" t="s">
        <v>13</v>
      </c>
      <c r="Q1" s="57" t="s">
        <v>14</v>
      </c>
      <c r="R1" s="57" t="s">
        <v>15</v>
      </c>
      <c r="S1" s="60" t="s">
        <v>16</v>
      </c>
      <c r="T1" s="62" t="s">
        <v>2006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Info!B1:BJ5000""),2,FALSE),"""")"),"B08NFGJVGP")</f>
        <v>B08NFGJVGP</v>
      </c>
      <c r="B2" s="3" t="s">
        <v>61</v>
      </c>
      <c r="C2" s="49"/>
      <c r="D2" s="49"/>
      <c r="E2" s="51"/>
      <c r="F2" s="49"/>
      <c r="G2" s="49"/>
      <c r="H2" s="54"/>
      <c r="I2" s="49"/>
      <c r="J2" s="49"/>
      <c r="K2" s="54"/>
      <c r="L2" s="54"/>
      <c r="M2" s="54"/>
      <c r="N2" s="49"/>
      <c r="O2" s="49"/>
      <c r="P2" s="51"/>
      <c r="Q2" s="49"/>
      <c r="R2" s="49"/>
      <c r="S2" s="61"/>
      <c r="T2" s="47"/>
      <c r="U2" s="63"/>
      <c r="V2" s="63"/>
      <c r="W2" s="47"/>
      <c r="X2" s="47"/>
      <c r="Y2" s="47"/>
      <c r="Z2" s="47"/>
      <c r="AA2" s="63"/>
      <c r="AB2" s="63"/>
      <c r="AC2" s="63"/>
      <c r="AD2" s="63"/>
      <c r="AE2" s="47"/>
      <c r="AF2" s="47"/>
      <c r="AG2" s="47"/>
    </row>
    <row r="3" spans="1:33" ht="179.25" customHeight="1">
      <c r="A3" s="55" t="s">
        <v>31</v>
      </c>
      <c r="B3" s="56"/>
      <c r="C3" s="4">
        <f>((AE32+AF32)/0.85)*-1</f>
        <v>100.95602006235293</v>
      </c>
      <c r="D3" s="5">
        <f>SUM(D4:D99765)</f>
        <v>91</v>
      </c>
      <c r="E3" s="5"/>
      <c r="F3" s="6">
        <f t="shared" ref="F3:G3" si="0">SUM(F4:F99765)</f>
        <v>9945.5600000000013</v>
      </c>
      <c r="G3" s="6">
        <f t="shared" si="0"/>
        <v>-72.61</v>
      </c>
      <c r="H3" s="7">
        <f>G3/F3*-1</f>
        <v>7.3007452571800871E-3</v>
      </c>
      <c r="I3" s="8">
        <f>J3/F3</f>
        <v>5.5146062111300631E-2</v>
      </c>
      <c r="J3" s="6">
        <f>SUM(J4:J99765)</f>
        <v>548.45846949166719</v>
      </c>
      <c r="K3" s="6">
        <f>J3/D3</f>
        <v>6.0270161482600786</v>
      </c>
      <c r="L3" s="5"/>
      <c r="M3" s="9"/>
      <c r="N3" s="10"/>
      <c r="O3" s="5" t="str">
        <f ca="1">IFERROR(__xludf.DUMMYFUNCTION("VLOOKUP(B2,IMPORTRANGE(""https://docs.google.com/spreadsheets/d/1N8jvpEHDVkurDv7NrPxwI3eH6hQsvtb1QltGNCalRjU/edit#gid=865736387"",""Compiled Sheet!a1:g5000""),2,FALSE)")," - March
 - April
 - May
 - June
 - July
 - Aug
 - Sept
 - Oct
 - Nov
 - Dec
 - Jan
 - Feb")</f>
        <v xml:space="preserve"> - March
 - April
 - May
 - June
 - July
 - Aug
 - Sept
 - Oct
 - Nov
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QTY-0")</f>
        <v>US QTY-0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8</v>
      </c>
      <c r="X3" s="7">
        <f>W3/D3</f>
        <v>8.7912087912087919E-2</v>
      </c>
      <c r="Y3" s="6"/>
      <c r="Z3" s="5"/>
      <c r="AA3" s="5"/>
      <c r="AB3" s="5"/>
      <c r="AC3" s="5"/>
      <c r="AD3" s="6">
        <f>SUM(AD4:AD99765)</f>
        <v>-58.019530508333332</v>
      </c>
      <c r="AE3" s="6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Info!B2:BZ3000""),37,FALSE)),"""")*-1"),-67.652617053)</f>
        <v>-67.652617053</v>
      </c>
      <c r="AG3" s="6">
        <f>SUM(AG4:AG99765)</f>
        <v>0</v>
      </c>
    </row>
    <row r="4" spans="1:33" ht="15.75" hidden="1" customHeight="1">
      <c r="A4" s="14"/>
      <c r="B4" s="14"/>
      <c r="C4" s="15"/>
      <c r="D4" s="16"/>
      <c r="E4" s="16"/>
      <c r="F4" s="17"/>
      <c r="G4" s="17"/>
      <c r="H4" s="18"/>
      <c r="I4" s="18"/>
      <c r="J4" s="17"/>
      <c r="K4" s="17"/>
      <c r="L4" s="16"/>
      <c r="M4" s="19"/>
      <c r="N4" s="16"/>
      <c r="O4" s="20"/>
      <c r="P4" s="20"/>
      <c r="Q4" s="16"/>
      <c r="R4" s="16"/>
      <c r="S4" s="21"/>
      <c r="T4" s="14"/>
      <c r="U4" s="22"/>
      <c r="V4" s="23"/>
      <c r="W4" s="14"/>
      <c r="X4" s="24"/>
      <c r="Y4" s="25"/>
      <c r="Z4" s="14"/>
      <c r="AA4" s="26"/>
      <c r="AB4" s="27"/>
      <c r="AC4" s="28"/>
      <c r="AD4" s="25"/>
      <c r="AE4" s="25"/>
      <c r="AF4" s="25"/>
      <c r="AG4" s="25"/>
    </row>
    <row r="5" spans="1:33" ht="15.75" hidden="1" customHeight="1">
      <c r="A5" s="14"/>
      <c r="B5" s="14"/>
      <c r="C5" s="15"/>
      <c r="D5" s="16"/>
      <c r="E5" s="16"/>
      <c r="F5" s="29"/>
      <c r="G5" s="29"/>
      <c r="H5" s="18"/>
      <c r="I5" s="18"/>
      <c r="J5" s="17"/>
      <c r="K5" s="17"/>
      <c r="L5" s="16"/>
      <c r="M5" s="19"/>
      <c r="N5" s="16"/>
      <c r="O5" s="20"/>
      <c r="P5" s="20"/>
      <c r="Q5" s="16"/>
      <c r="R5" s="16"/>
      <c r="S5" s="21"/>
      <c r="T5" s="14"/>
      <c r="U5" s="22"/>
      <c r="V5" s="23"/>
      <c r="W5" s="14"/>
      <c r="X5" s="24"/>
      <c r="Y5" s="25"/>
      <c r="Z5" s="14"/>
      <c r="AA5" s="14"/>
      <c r="AB5" s="27"/>
      <c r="AC5" s="28"/>
      <c r="AD5" s="25"/>
      <c r="AE5" s="25"/>
      <c r="AF5" s="25"/>
      <c r="AG5" s="25"/>
    </row>
    <row r="6" spans="1:33" ht="15.75" hidden="1" customHeight="1">
      <c r="A6" s="14"/>
      <c r="B6" s="14"/>
      <c r="C6" s="15"/>
      <c r="D6" s="16"/>
      <c r="E6" s="16"/>
      <c r="F6" s="29"/>
      <c r="G6" s="29"/>
      <c r="H6" s="18"/>
      <c r="I6" s="18"/>
      <c r="J6" s="17"/>
      <c r="K6" s="17"/>
      <c r="L6" s="16"/>
      <c r="M6" s="19"/>
      <c r="N6" s="16"/>
      <c r="O6" s="20"/>
      <c r="P6" s="20"/>
      <c r="Q6" s="16"/>
      <c r="R6" s="16"/>
      <c r="S6" s="21"/>
      <c r="T6" s="14"/>
      <c r="U6" s="22"/>
      <c r="V6" s="23"/>
      <c r="W6" s="14"/>
      <c r="X6" s="24"/>
      <c r="Y6" s="25"/>
      <c r="Z6" s="14"/>
      <c r="AA6" s="14"/>
      <c r="AB6" s="27"/>
      <c r="AC6" s="28"/>
      <c r="AD6" s="25"/>
      <c r="AE6" s="25"/>
      <c r="AF6" s="25"/>
      <c r="AG6" s="25"/>
    </row>
    <row r="7" spans="1:33" ht="15.75" hidden="1" customHeight="1">
      <c r="A7" s="14"/>
      <c r="B7" s="14"/>
      <c r="C7" s="15"/>
      <c r="D7" s="16"/>
      <c r="E7" s="16"/>
      <c r="F7" s="29"/>
      <c r="G7" s="29"/>
      <c r="H7" s="18"/>
      <c r="I7" s="18"/>
      <c r="J7" s="17"/>
      <c r="K7" s="17"/>
      <c r="L7" s="16"/>
      <c r="M7" s="19"/>
      <c r="N7" s="16"/>
      <c r="O7" s="20"/>
      <c r="P7" s="20"/>
      <c r="Q7" s="16"/>
      <c r="R7" s="16"/>
      <c r="S7" s="21"/>
      <c r="T7" s="14"/>
      <c r="U7" s="22"/>
      <c r="V7" s="23"/>
      <c r="W7" s="14"/>
      <c r="X7" s="24"/>
      <c r="Y7" s="25"/>
      <c r="Z7" s="14"/>
      <c r="AA7" s="14"/>
      <c r="AB7" s="27"/>
      <c r="AC7" s="28"/>
      <c r="AD7" s="25"/>
      <c r="AE7" s="25"/>
      <c r="AF7" s="25"/>
      <c r="AG7" s="25"/>
    </row>
    <row r="8" spans="1:33" ht="15.75" hidden="1" customHeight="1">
      <c r="A8" s="14"/>
      <c r="B8" s="14"/>
      <c r="C8" s="15"/>
      <c r="D8" s="16"/>
      <c r="E8" s="16"/>
      <c r="F8" s="29"/>
      <c r="G8" s="29"/>
      <c r="H8" s="18"/>
      <c r="I8" s="18"/>
      <c r="J8" s="17"/>
      <c r="K8" s="17"/>
      <c r="L8" s="16"/>
      <c r="M8" s="19"/>
      <c r="N8" s="16"/>
      <c r="O8" s="20"/>
      <c r="P8" s="20"/>
      <c r="Q8" s="16"/>
      <c r="R8" s="16"/>
      <c r="S8" s="21"/>
      <c r="T8" s="14"/>
      <c r="U8" s="22"/>
      <c r="V8" s="23"/>
      <c r="W8" s="14"/>
      <c r="X8" s="24"/>
      <c r="Y8" s="25"/>
      <c r="Z8" s="14"/>
      <c r="AA8" s="14"/>
      <c r="AB8" s="27"/>
      <c r="AC8" s="28"/>
      <c r="AD8" s="25"/>
      <c r="AE8" s="25"/>
      <c r="AF8" s="25"/>
      <c r="AG8" s="25"/>
    </row>
    <row r="9" spans="1:33" ht="15.75" hidden="1" customHeight="1">
      <c r="A9" s="14"/>
      <c r="B9" s="14"/>
      <c r="C9" s="15"/>
      <c r="D9" s="16"/>
      <c r="E9" s="16"/>
      <c r="F9" s="29"/>
      <c r="G9" s="29"/>
      <c r="H9" s="18"/>
      <c r="I9" s="18"/>
      <c r="J9" s="17"/>
      <c r="K9" s="17"/>
      <c r="L9" s="16"/>
      <c r="M9" s="19"/>
      <c r="N9" s="16"/>
      <c r="O9" s="20"/>
      <c r="P9" s="20"/>
      <c r="Q9" s="16"/>
      <c r="R9" s="16"/>
      <c r="S9" s="21"/>
      <c r="T9" s="14"/>
      <c r="U9" s="22"/>
      <c r="V9" s="23"/>
      <c r="W9" s="14"/>
      <c r="X9" s="24"/>
      <c r="Y9" s="25"/>
      <c r="Z9" s="14"/>
      <c r="AA9" s="14"/>
      <c r="AB9" s="27"/>
      <c r="AC9" s="28"/>
      <c r="AD9" s="25"/>
      <c r="AE9" s="25"/>
      <c r="AF9" s="25"/>
      <c r="AG9" s="25"/>
    </row>
    <row r="10" spans="1:33" ht="15.75" hidden="1" customHeight="1">
      <c r="A10" s="14"/>
      <c r="B10" s="14"/>
      <c r="C10" s="15"/>
      <c r="D10" s="16"/>
      <c r="E10" s="16"/>
      <c r="F10" s="29"/>
      <c r="G10" s="29"/>
      <c r="H10" s="18"/>
      <c r="I10" s="18"/>
      <c r="J10" s="17"/>
      <c r="K10" s="17"/>
      <c r="L10" s="16"/>
      <c r="M10" s="19"/>
      <c r="N10" s="16"/>
      <c r="O10" s="20"/>
      <c r="P10" s="20"/>
      <c r="Q10" s="16"/>
      <c r="R10" s="16"/>
      <c r="S10" s="21"/>
      <c r="T10" s="14"/>
      <c r="U10" s="22"/>
      <c r="V10" s="23"/>
      <c r="W10" s="14"/>
      <c r="X10" s="24"/>
      <c r="Y10" s="25"/>
      <c r="Z10" s="14"/>
      <c r="AA10" s="14"/>
      <c r="AB10" s="27"/>
      <c r="AC10" s="28"/>
      <c r="AD10" s="25"/>
      <c r="AE10" s="25"/>
      <c r="AF10" s="25"/>
      <c r="AG10" s="25"/>
    </row>
    <row r="11" spans="1:33" ht="15.75" hidden="1" customHeight="1">
      <c r="A11" s="14"/>
      <c r="B11" s="14"/>
      <c r="C11" s="15"/>
      <c r="D11" s="16"/>
      <c r="E11" s="16"/>
      <c r="F11" s="29"/>
      <c r="G11" s="29"/>
      <c r="H11" s="18"/>
      <c r="I11" s="18"/>
      <c r="J11" s="17"/>
      <c r="K11" s="17"/>
      <c r="L11" s="16"/>
      <c r="M11" s="19"/>
      <c r="N11" s="16"/>
      <c r="O11" s="20"/>
      <c r="P11" s="20"/>
      <c r="Q11" s="16"/>
      <c r="R11" s="16"/>
      <c r="S11" s="21"/>
      <c r="T11" s="14"/>
      <c r="U11" s="22"/>
      <c r="V11" s="23"/>
      <c r="W11" s="14"/>
      <c r="X11" s="24"/>
      <c r="Y11" s="25"/>
      <c r="Z11" s="14"/>
      <c r="AA11" s="14"/>
      <c r="AB11" s="27"/>
      <c r="AC11" s="28"/>
      <c r="AD11" s="25"/>
      <c r="AE11" s="25"/>
      <c r="AF11" s="25"/>
      <c r="AG11" s="25"/>
    </row>
    <row r="12" spans="1:33" ht="15.75" hidden="1" customHeight="1">
      <c r="A12" s="14"/>
      <c r="B12" s="14"/>
      <c r="C12" s="15"/>
      <c r="D12" s="16"/>
      <c r="E12" s="16"/>
      <c r="F12" s="29"/>
      <c r="G12" s="29"/>
      <c r="H12" s="18"/>
      <c r="I12" s="18"/>
      <c r="J12" s="17"/>
      <c r="K12" s="17"/>
      <c r="L12" s="16"/>
      <c r="M12" s="19"/>
      <c r="N12" s="16"/>
      <c r="O12" s="20"/>
      <c r="P12" s="20"/>
      <c r="Q12" s="16"/>
      <c r="R12" s="16"/>
      <c r="S12" s="21"/>
      <c r="T12" s="14"/>
      <c r="U12" s="22"/>
      <c r="V12" s="23"/>
      <c r="W12" s="14"/>
      <c r="X12" s="24"/>
      <c r="Y12" s="25"/>
      <c r="Z12" s="14"/>
      <c r="AA12" s="14"/>
      <c r="AB12" s="27"/>
      <c r="AC12" s="28"/>
      <c r="AD12" s="25"/>
      <c r="AE12" s="25"/>
      <c r="AF12" s="25"/>
      <c r="AG12" s="25"/>
    </row>
    <row r="13" spans="1:33" ht="15.75" hidden="1" customHeight="1">
      <c r="A13" s="14"/>
      <c r="B13" s="14"/>
      <c r="C13" s="15"/>
      <c r="D13" s="16"/>
      <c r="E13" s="16"/>
      <c r="F13" s="17"/>
      <c r="G13" s="29"/>
      <c r="H13" s="18"/>
      <c r="I13" s="18"/>
      <c r="J13" s="17"/>
      <c r="K13" s="17"/>
      <c r="L13" s="16"/>
      <c r="M13" s="19"/>
      <c r="N13" s="16"/>
      <c r="O13" s="20"/>
      <c r="P13" s="20"/>
      <c r="Q13" s="16"/>
      <c r="R13" s="16"/>
      <c r="S13" s="21"/>
      <c r="T13" s="14"/>
      <c r="U13" s="22"/>
      <c r="V13" s="23"/>
      <c r="W13" s="14"/>
      <c r="X13" s="24"/>
      <c r="Y13" s="25"/>
      <c r="Z13" s="14"/>
      <c r="AA13" s="14"/>
      <c r="AB13" s="27"/>
      <c r="AC13" s="28"/>
      <c r="AD13" s="25"/>
      <c r="AE13" s="25"/>
      <c r="AF13" s="25"/>
      <c r="AG13" s="25"/>
    </row>
    <row r="14" spans="1:33" ht="15.75" hidden="1" customHeight="1">
      <c r="A14" s="14"/>
      <c r="B14" s="14"/>
      <c r="C14" s="15"/>
      <c r="D14" s="16"/>
      <c r="E14" s="16"/>
      <c r="F14" s="17"/>
      <c r="G14" s="29"/>
      <c r="H14" s="18"/>
      <c r="I14" s="18"/>
      <c r="J14" s="17"/>
      <c r="K14" s="17"/>
      <c r="L14" s="16"/>
      <c r="M14" s="19"/>
      <c r="N14" s="16"/>
      <c r="O14" s="20"/>
      <c r="P14" s="20"/>
      <c r="Q14" s="16"/>
      <c r="R14" s="16"/>
      <c r="S14" s="21"/>
      <c r="T14" s="14"/>
      <c r="U14" s="22"/>
      <c r="V14" s="23"/>
      <c r="W14" s="14"/>
      <c r="X14" s="24"/>
      <c r="Y14" s="25"/>
      <c r="Z14" s="14"/>
      <c r="AA14" s="14"/>
      <c r="AB14" s="27"/>
      <c r="AC14" s="28"/>
      <c r="AD14" s="25"/>
      <c r="AE14" s="25"/>
      <c r="AF14" s="25"/>
      <c r="AG14" s="25"/>
    </row>
    <row r="15" spans="1:33" ht="15.75" hidden="1" customHeight="1">
      <c r="A15" s="14"/>
      <c r="B15" s="14"/>
      <c r="C15" s="15"/>
      <c r="D15" s="16"/>
      <c r="E15" s="16"/>
      <c r="F15" s="17"/>
      <c r="G15" s="29"/>
      <c r="H15" s="18"/>
      <c r="I15" s="18"/>
      <c r="J15" s="17"/>
      <c r="K15" s="17"/>
      <c r="L15" s="16"/>
      <c r="M15" s="19"/>
      <c r="N15" s="16"/>
      <c r="O15" s="20"/>
      <c r="P15" s="20"/>
      <c r="Q15" s="16"/>
      <c r="R15" s="16"/>
      <c r="S15" s="21"/>
      <c r="T15" s="14"/>
      <c r="U15" s="22"/>
      <c r="V15" s="23"/>
      <c r="W15" s="14"/>
      <c r="X15" s="24"/>
      <c r="Y15" s="25"/>
      <c r="Z15" s="14"/>
      <c r="AA15" s="14"/>
      <c r="AB15" s="27"/>
      <c r="AC15" s="28"/>
      <c r="AD15" s="25"/>
      <c r="AE15" s="25"/>
      <c r="AF15" s="25"/>
      <c r="AG15" s="25"/>
    </row>
    <row r="16" spans="1:33" ht="15.75" hidden="1" customHeight="1">
      <c r="A16" s="14"/>
      <c r="B16" s="14"/>
      <c r="C16" s="15"/>
      <c r="D16" s="16"/>
      <c r="E16" s="16"/>
      <c r="F16" s="17"/>
      <c r="G16" s="29"/>
      <c r="H16" s="18"/>
      <c r="I16" s="18"/>
      <c r="J16" s="17"/>
      <c r="K16" s="17"/>
      <c r="L16" s="16"/>
      <c r="M16" s="19"/>
      <c r="N16" s="16"/>
      <c r="O16" s="20"/>
      <c r="P16" s="20"/>
      <c r="Q16" s="16"/>
      <c r="R16" s="16"/>
      <c r="S16" s="21"/>
      <c r="T16" s="14"/>
      <c r="U16" s="22"/>
      <c r="V16" s="23"/>
      <c r="W16" s="14"/>
      <c r="X16" s="24"/>
      <c r="Y16" s="25"/>
      <c r="Z16" s="14"/>
      <c r="AA16" s="14"/>
      <c r="AB16" s="27"/>
      <c r="AC16" s="28"/>
      <c r="AD16" s="25"/>
      <c r="AE16" s="25"/>
      <c r="AF16" s="25"/>
      <c r="AG16" s="25"/>
    </row>
    <row r="17" spans="1:33" ht="15.75" hidden="1" customHeight="1">
      <c r="A17" s="14"/>
      <c r="B17" s="14"/>
      <c r="C17" s="15"/>
      <c r="D17" s="16"/>
      <c r="E17" s="16"/>
      <c r="F17" s="17"/>
      <c r="G17" s="29"/>
      <c r="H17" s="18"/>
      <c r="I17" s="18"/>
      <c r="J17" s="17"/>
      <c r="K17" s="17"/>
      <c r="L17" s="16"/>
      <c r="M17" s="19"/>
      <c r="N17" s="16"/>
      <c r="O17" s="20"/>
      <c r="P17" s="20"/>
      <c r="Q17" s="16"/>
      <c r="R17" s="16"/>
      <c r="S17" s="21"/>
      <c r="T17" s="14"/>
      <c r="U17" s="22"/>
      <c r="V17" s="23"/>
      <c r="W17" s="14"/>
      <c r="X17" s="24"/>
      <c r="Y17" s="25"/>
      <c r="Z17" s="14"/>
      <c r="AA17" s="14"/>
      <c r="AB17" s="27"/>
      <c r="AC17" s="28"/>
      <c r="AD17" s="25"/>
      <c r="AE17" s="25"/>
      <c r="AF17" s="25"/>
      <c r="AG17" s="25"/>
    </row>
    <row r="18" spans="1:33" ht="15.75" customHeight="1">
      <c r="A18" s="14" t="s">
        <v>42</v>
      </c>
      <c r="B18" s="14" t="s">
        <v>62</v>
      </c>
      <c r="C18" s="15">
        <f t="shared" ref="C18:C32" si="1">IFERROR(F18/D18," - ")</f>
        <v>115.99</v>
      </c>
      <c r="D18" s="16">
        <v>1</v>
      </c>
      <c r="E18" s="16">
        <v>0</v>
      </c>
      <c r="F18" s="17">
        <v>115.99</v>
      </c>
      <c r="G18" s="29">
        <v>0</v>
      </c>
      <c r="H18" s="18">
        <f t="shared" ref="H18:H32" si="2">G18/F18*-1</f>
        <v>0</v>
      </c>
      <c r="I18" s="18">
        <f t="shared" ref="I18:I32" si="3">J18/F18</f>
        <v>0.1337522436560632</v>
      </c>
      <c r="J18" s="17">
        <f t="shared" ref="J18:J32" si="4">F18*0.85+G18+AF18*D18+D18*AE18+AG18+AD18</f>
        <v>15.513922741666768</v>
      </c>
      <c r="K18" s="17">
        <f t="shared" ref="K18:K32" si="5">J18/D18</f>
        <v>15.513922741666768</v>
      </c>
      <c r="L18" s="16">
        <v>19</v>
      </c>
      <c r="M18" s="19">
        <f t="shared" ref="M18:M32" si="6">IFERROR(D18/L18,"-")</f>
        <v>5.2631578947368418E-2</v>
      </c>
      <c r="N18" s="16">
        <v>56</v>
      </c>
      <c r="O18" s="20">
        <f t="shared" ref="O18:P18" si="7">D18/7</f>
        <v>0.14285714285714285</v>
      </c>
      <c r="P18" s="20">
        <f t="shared" si="7"/>
        <v>0</v>
      </c>
      <c r="Q18" s="16">
        <f t="shared" ref="Q18:Q32" si="8">ROUNDDOWN(N18/(O18+P18),0)</f>
        <v>392</v>
      </c>
      <c r="R18" s="16"/>
      <c r="S18" s="21">
        <v>0</v>
      </c>
      <c r="T18" s="14">
        <v>0</v>
      </c>
      <c r="U18" s="22">
        <v>0</v>
      </c>
      <c r="V18" s="23" t="s">
        <v>34</v>
      </c>
      <c r="W18" s="14">
        <v>0</v>
      </c>
      <c r="X18" s="24">
        <f t="shared" ref="X18:X32" si="9">IFERROR(W18/D18,0)</f>
        <v>0</v>
      </c>
      <c r="Y18" s="25">
        <f t="shared" ref="Y18:Y32" si="10">IFERROR(G18/(W18+Z18)*-1,0)</f>
        <v>0</v>
      </c>
      <c r="Z18" s="14">
        <v>0</v>
      </c>
      <c r="AA18" s="14" t="s">
        <v>63</v>
      </c>
      <c r="AB18" s="27">
        <f t="shared" ref="AB18:AB32" si="11">IF(OR(AA18="UsLargeStandardSize",AA18="UsSmallStandardSize"),-0.69,-0.48)</f>
        <v>-0.48</v>
      </c>
      <c r="AC18" s="28">
        <v>0.66414297743055573</v>
      </c>
      <c r="AD18" s="25">
        <f t="shared" ref="AD18:AD32" si="12">IFERROR(AB18*AC18*D18*2,0)</f>
        <v>-0.63757725833333345</v>
      </c>
      <c r="AE18" s="25">
        <v>-17.760000000000002</v>
      </c>
      <c r="AF18" s="25">
        <v>-64.679999999999893</v>
      </c>
      <c r="AG18" s="25">
        <v>0</v>
      </c>
    </row>
    <row r="19" spans="1:33" ht="15.75" customHeight="1">
      <c r="A19" s="14" t="s">
        <v>44</v>
      </c>
      <c r="B19" s="14" t="s">
        <v>64</v>
      </c>
      <c r="C19" s="15">
        <f t="shared" si="1"/>
        <v>107.95</v>
      </c>
      <c r="D19" s="16">
        <v>2</v>
      </c>
      <c r="E19" s="16">
        <v>0</v>
      </c>
      <c r="F19" s="17">
        <v>215.9</v>
      </c>
      <c r="G19" s="29">
        <v>0</v>
      </c>
      <c r="H19" s="18">
        <f t="shared" si="2"/>
        <v>0</v>
      </c>
      <c r="I19" s="18">
        <f t="shared" si="3"/>
        <v>5.2579182414698104E-2</v>
      </c>
      <c r="J19" s="17">
        <f t="shared" si="4"/>
        <v>11.351845483333321</v>
      </c>
      <c r="K19" s="17">
        <f t="shared" si="5"/>
        <v>5.6759227416666604</v>
      </c>
      <c r="L19" s="16">
        <v>27</v>
      </c>
      <c r="M19" s="19">
        <f t="shared" si="6"/>
        <v>7.407407407407407E-2</v>
      </c>
      <c r="N19" s="16">
        <v>100</v>
      </c>
      <c r="O19" s="20">
        <f t="shared" ref="O19:P19" si="13">D19/7</f>
        <v>0.2857142857142857</v>
      </c>
      <c r="P19" s="20">
        <f t="shared" si="13"/>
        <v>0</v>
      </c>
      <c r="Q19" s="16">
        <f t="shared" si="8"/>
        <v>350</v>
      </c>
      <c r="R19" s="16"/>
      <c r="S19" s="21">
        <v>3.9215686274509803E-2</v>
      </c>
      <c r="T19" s="14">
        <v>0</v>
      </c>
      <c r="U19" s="22" t="s">
        <v>34</v>
      </c>
      <c r="V19" s="23" t="s">
        <v>34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14" t="s">
        <v>63</v>
      </c>
      <c r="AB19" s="27">
        <f t="shared" si="11"/>
        <v>-0.48</v>
      </c>
      <c r="AC19" s="28">
        <v>0.66414297743055573</v>
      </c>
      <c r="AD19" s="25">
        <f t="shared" si="12"/>
        <v>-1.2751545166666669</v>
      </c>
      <c r="AE19" s="25">
        <v>-17.760000000000002</v>
      </c>
      <c r="AF19" s="25">
        <v>-67.683999999999997</v>
      </c>
      <c r="AG19" s="25">
        <v>0</v>
      </c>
    </row>
    <row r="20" spans="1:33" ht="15.75" customHeight="1">
      <c r="A20" s="14" t="s">
        <v>46</v>
      </c>
      <c r="B20" s="14" t="s">
        <v>65</v>
      </c>
      <c r="C20" s="15">
        <f t="shared" si="1"/>
        <v>105.95</v>
      </c>
      <c r="D20" s="16">
        <v>3</v>
      </c>
      <c r="E20" s="16">
        <v>0</v>
      </c>
      <c r="F20" s="17">
        <v>317.85000000000002</v>
      </c>
      <c r="G20" s="29">
        <v>-31.419999999999998</v>
      </c>
      <c r="H20" s="18">
        <f t="shared" si="2"/>
        <v>9.8851659587855897E-2</v>
      </c>
      <c r="I20" s="18">
        <f t="shared" si="3"/>
        <v>-6.1325253342771648E-2</v>
      </c>
      <c r="J20" s="17">
        <f t="shared" si="4"/>
        <v>-19.492231774999969</v>
      </c>
      <c r="K20" s="17">
        <f t="shared" si="5"/>
        <v>-6.4974105916666565</v>
      </c>
      <c r="L20" s="16">
        <v>22</v>
      </c>
      <c r="M20" s="19">
        <f t="shared" si="6"/>
        <v>0.13636363636363635</v>
      </c>
      <c r="N20" s="16">
        <v>87</v>
      </c>
      <c r="O20" s="20">
        <f t="shared" ref="O20:P20" si="14">D20/7</f>
        <v>0.42857142857142855</v>
      </c>
      <c r="P20" s="20">
        <f t="shared" si="14"/>
        <v>0</v>
      </c>
      <c r="Q20" s="16">
        <f t="shared" si="8"/>
        <v>203</v>
      </c>
      <c r="R20" s="16"/>
      <c r="S20" s="21">
        <v>0.12903225806451599</v>
      </c>
      <c r="T20" s="14">
        <v>0</v>
      </c>
      <c r="U20" s="22" t="s">
        <v>34</v>
      </c>
      <c r="V20" s="23" t="s">
        <v>34</v>
      </c>
      <c r="W20" s="14">
        <v>2</v>
      </c>
      <c r="X20" s="24">
        <f t="shared" si="9"/>
        <v>0.66666666666666663</v>
      </c>
      <c r="Y20" s="25">
        <f t="shared" si="10"/>
        <v>7.8549999999999995</v>
      </c>
      <c r="Z20" s="14">
        <v>2</v>
      </c>
      <c r="AA20" s="14" t="s">
        <v>63</v>
      </c>
      <c r="AB20" s="27">
        <f t="shared" si="11"/>
        <v>-0.48</v>
      </c>
      <c r="AC20" s="28">
        <v>0.66414297743055573</v>
      </c>
      <c r="AD20" s="25">
        <f t="shared" si="12"/>
        <v>-1.9127317750000004</v>
      </c>
      <c r="AE20" s="25">
        <v>-17.760000000000002</v>
      </c>
      <c r="AF20" s="25">
        <v>-67.683999999999997</v>
      </c>
      <c r="AG20" s="25">
        <v>0</v>
      </c>
    </row>
    <row r="21" spans="1:33" ht="15.75" customHeight="1">
      <c r="A21" s="14" t="s">
        <v>47</v>
      </c>
      <c r="B21" s="14" t="s">
        <v>66</v>
      </c>
      <c r="C21" s="15">
        <f t="shared" si="1"/>
        <v>103.90777777777778</v>
      </c>
      <c r="D21" s="16">
        <v>9</v>
      </c>
      <c r="E21" s="16">
        <v>0</v>
      </c>
      <c r="F21" s="17">
        <v>935.17000000000007</v>
      </c>
      <c r="G21" s="29">
        <v>-36.32</v>
      </c>
      <c r="H21" s="18">
        <f t="shared" si="2"/>
        <v>3.8837858357304016E-2</v>
      </c>
      <c r="I21" s="18">
        <f t="shared" si="3"/>
        <v>-1.7279954794315478E-2</v>
      </c>
      <c r="J21" s="17">
        <f t="shared" si="4"/>
        <v>-16.159695325000008</v>
      </c>
      <c r="K21" s="17">
        <f t="shared" si="5"/>
        <v>-1.7955217027777788</v>
      </c>
      <c r="L21" s="16">
        <v>15</v>
      </c>
      <c r="M21" s="19">
        <f t="shared" si="6"/>
        <v>0.6</v>
      </c>
      <c r="N21" s="16">
        <v>77</v>
      </c>
      <c r="O21" s="20">
        <f t="shared" ref="O21:P21" si="15">D21/7</f>
        <v>1.2857142857142858</v>
      </c>
      <c r="P21" s="20">
        <f t="shared" si="15"/>
        <v>0</v>
      </c>
      <c r="Q21" s="16">
        <f t="shared" si="8"/>
        <v>59</v>
      </c>
      <c r="R21" s="16"/>
      <c r="S21" s="21">
        <v>0.44444444444444398</v>
      </c>
      <c r="T21" s="14">
        <v>0</v>
      </c>
      <c r="U21" s="22" t="s">
        <v>34</v>
      </c>
      <c r="V21" s="23" t="s">
        <v>34</v>
      </c>
      <c r="W21" s="14">
        <v>5</v>
      </c>
      <c r="X21" s="24">
        <f t="shared" si="9"/>
        <v>0.55555555555555558</v>
      </c>
      <c r="Y21" s="25">
        <f t="shared" si="10"/>
        <v>3.6320000000000001</v>
      </c>
      <c r="Z21" s="14">
        <v>5</v>
      </c>
      <c r="AA21" s="14" t="s">
        <v>63</v>
      </c>
      <c r="AB21" s="27">
        <f t="shared" si="11"/>
        <v>-0.48</v>
      </c>
      <c r="AC21" s="28">
        <v>0.66414297743055573</v>
      </c>
      <c r="AD21" s="25">
        <f t="shared" si="12"/>
        <v>-5.7381953250000013</v>
      </c>
      <c r="AE21" s="25">
        <v>-17.760000000000002</v>
      </c>
      <c r="AF21" s="25">
        <v>-67.683999999999997</v>
      </c>
      <c r="AG21" s="25">
        <v>0</v>
      </c>
    </row>
    <row r="22" spans="1:33" ht="15.75" customHeight="1">
      <c r="A22" s="14" t="s">
        <v>48</v>
      </c>
      <c r="B22" s="14" t="s">
        <v>67</v>
      </c>
      <c r="C22" s="15">
        <f t="shared" si="1"/>
        <v>100.95</v>
      </c>
      <c r="D22" s="16">
        <v>6</v>
      </c>
      <c r="E22" s="16">
        <v>1</v>
      </c>
      <c r="F22" s="29">
        <v>605.70000000000005</v>
      </c>
      <c r="G22" s="29">
        <v>-4.87</v>
      </c>
      <c r="H22" s="18">
        <f t="shared" si="2"/>
        <v>8.0402839689615313E-3</v>
      </c>
      <c r="I22" s="18">
        <f t="shared" si="3"/>
        <v>-1.0755264239722576E-2</v>
      </c>
      <c r="J22" s="17">
        <f t="shared" si="4"/>
        <v>-6.5144635499999648</v>
      </c>
      <c r="K22" s="17">
        <f t="shared" si="5"/>
        <v>-1.0857439249999941</v>
      </c>
      <c r="L22" s="16">
        <v>33</v>
      </c>
      <c r="M22" s="19">
        <f t="shared" si="6"/>
        <v>0.18181818181818182</v>
      </c>
      <c r="N22" s="16">
        <v>71</v>
      </c>
      <c r="O22" s="20">
        <f t="shared" ref="O22:P22" si="16">D22/7</f>
        <v>0.8571428571428571</v>
      </c>
      <c r="P22" s="20">
        <f t="shared" si="16"/>
        <v>0.14285714285714285</v>
      </c>
      <c r="Q22" s="16">
        <f t="shared" si="8"/>
        <v>71</v>
      </c>
      <c r="R22" s="16"/>
      <c r="S22" s="21">
        <v>0.40909090909090901</v>
      </c>
      <c r="T22" s="14">
        <v>60</v>
      </c>
      <c r="U22" s="22" t="s">
        <v>34</v>
      </c>
      <c r="V22" s="23" t="s">
        <v>34</v>
      </c>
      <c r="W22" s="14">
        <v>1</v>
      </c>
      <c r="X22" s="24">
        <f t="shared" si="9"/>
        <v>0.16666666666666666</v>
      </c>
      <c r="Y22" s="25">
        <f t="shared" si="10"/>
        <v>4.87</v>
      </c>
      <c r="Z22" s="14">
        <v>0</v>
      </c>
      <c r="AA22" s="14" t="s">
        <v>63</v>
      </c>
      <c r="AB22" s="27">
        <f t="shared" si="11"/>
        <v>-0.48</v>
      </c>
      <c r="AC22" s="28">
        <v>0.66414297743055573</v>
      </c>
      <c r="AD22" s="25">
        <f t="shared" si="12"/>
        <v>-3.8254635500000007</v>
      </c>
      <c r="AE22" s="25">
        <v>-17.760000000000002</v>
      </c>
      <c r="AF22" s="25">
        <v>-67.683999999999997</v>
      </c>
      <c r="AG22" s="25">
        <v>0</v>
      </c>
    </row>
    <row r="23" spans="1:33" ht="15.75" customHeight="1">
      <c r="A23" s="14" t="s">
        <v>49</v>
      </c>
      <c r="B23" s="14" t="s">
        <v>68</v>
      </c>
      <c r="C23" s="15">
        <f t="shared" si="1"/>
        <v>104.76115384615386</v>
      </c>
      <c r="D23" s="16">
        <v>26</v>
      </c>
      <c r="E23" s="16">
        <v>0</v>
      </c>
      <c r="F23" s="17">
        <v>2723.7900000000004</v>
      </c>
      <c r="G23" s="29">
        <v>0</v>
      </c>
      <c r="H23" s="18">
        <f t="shared" si="2"/>
        <v>0</v>
      </c>
      <c r="I23" s="18">
        <f t="shared" si="3"/>
        <v>2.8306327317206354E-2</v>
      </c>
      <c r="J23" s="17">
        <f t="shared" si="4"/>
        <v>77.100491283333511</v>
      </c>
      <c r="K23" s="17">
        <f t="shared" si="5"/>
        <v>2.9654035108974428</v>
      </c>
      <c r="L23" s="16">
        <v>42</v>
      </c>
      <c r="M23" s="19">
        <f t="shared" si="6"/>
        <v>0.61904761904761907</v>
      </c>
      <c r="N23" s="16">
        <v>51</v>
      </c>
      <c r="O23" s="20">
        <f t="shared" ref="O23:P23" si="17">D23/7</f>
        <v>3.7142857142857144</v>
      </c>
      <c r="P23" s="20">
        <f t="shared" si="17"/>
        <v>0</v>
      </c>
      <c r="Q23" s="16">
        <f t="shared" si="8"/>
        <v>13</v>
      </c>
      <c r="R23" s="16"/>
      <c r="S23" s="21">
        <v>0.59523809523809501</v>
      </c>
      <c r="T23" s="14">
        <v>60</v>
      </c>
      <c r="U23" s="22" t="s">
        <v>34</v>
      </c>
      <c r="V23" s="23" t="s">
        <v>34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63</v>
      </c>
      <c r="AB23" s="27">
        <f t="shared" si="11"/>
        <v>-0.48</v>
      </c>
      <c r="AC23" s="28">
        <v>0.66414297743055573</v>
      </c>
      <c r="AD23" s="25">
        <f t="shared" si="12"/>
        <v>-16.577008716666668</v>
      </c>
      <c r="AE23" s="25">
        <v>-17.760000000000002</v>
      </c>
      <c r="AF23" s="25">
        <v>-67.683999999999997</v>
      </c>
      <c r="AG23" s="25">
        <v>0</v>
      </c>
    </row>
    <row r="24" spans="1:33" ht="15.75" customHeight="1">
      <c r="A24" s="14" t="s">
        <v>50</v>
      </c>
      <c r="B24" s="14" t="s">
        <v>69</v>
      </c>
      <c r="C24" s="15">
        <f t="shared" si="1"/>
        <v>108.4462962962963</v>
      </c>
      <c r="D24" s="16">
        <v>27</v>
      </c>
      <c r="E24" s="16">
        <v>1</v>
      </c>
      <c r="F24" s="17">
        <v>2928.05</v>
      </c>
      <c r="G24" s="17">
        <v>0</v>
      </c>
      <c r="H24" s="18">
        <f t="shared" si="2"/>
        <v>0</v>
      </c>
      <c r="I24" s="18">
        <f t="shared" si="3"/>
        <v>5.6228518647222656E-2</v>
      </c>
      <c r="J24" s="17">
        <f t="shared" si="4"/>
        <v>164.63991402500031</v>
      </c>
      <c r="K24" s="17">
        <f t="shared" si="5"/>
        <v>6.0977745935185297</v>
      </c>
      <c r="L24" s="16">
        <v>55</v>
      </c>
      <c r="M24" s="19">
        <f t="shared" si="6"/>
        <v>0.49090909090909091</v>
      </c>
      <c r="N24" s="16">
        <v>20</v>
      </c>
      <c r="O24" s="20">
        <f t="shared" ref="O24:P24" si="18">D24/7</f>
        <v>3.8571428571428572</v>
      </c>
      <c r="P24" s="20">
        <f t="shared" si="18"/>
        <v>0.14285714285714285</v>
      </c>
      <c r="Q24" s="16">
        <f t="shared" si="8"/>
        <v>5</v>
      </c>
      <c r="R24" s="16"/>
      <c r="S24" s="21">
        <v>1.4769230769230699</v>
      </c>
      <c r="T24" s="14">
        <v>60</v>
      </c>
      <c r="U24" s="22" t="s">
        <v>34</v>
      </c>
      <c r="V24" s="23" t="s">
        <v>34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14" t="s">
        <v>63</v>
      </c>
      <c r="AB24" s="27">
        <f t="shared" si="11"/>
        <v>-0.48</v>
      </c>
      <c r="AC24" s="28">
        <v>0.66414297743055573</v>
      </c>
      <c r="AD24" s="25">
        <f t="shared" si="12"/>
        <v>-17.214585975000002</v>
      </c>
      <c r="AE24" s="25">
        <v>-17.760000000000002</v>
      </c>
      <c r="AF24" s="25">
        <v>-67.683999999999997</v>
      </c>
      <c r="AG24" s="25">
        <v>0</v>
      </c>
    </row>
    <row r="25" spans="1:33" ht="15.75" customHeight="1">
      <c r="A25" s="14" t="s">
        <v>51</v>
      </c>
      <c r="B25" s="14"/>
      <c r="C25" s="15">
        <f t="shared" si="1"/>
        <v>122.66384615384617</v>
      </c>
      <c r="D25" s="16">
        <v>13</v>
      </c>
      <c r="E25" s="16">
        <v>2</v>
      </c>
      <c r="F25" s="17">
        <v>1594.63</v>
      </c>
      <c r="G25" s="17">
        <v>0</v>
      </c>
      <c r="H25" s="18">
        <f t="shared" si="2"/>
        <v>0</v>
      </c>
      <c r="I25" s="18">
        <f t="shared" si="3"/>
        <v>0.14826448495366731</v>
      </c>
      <c r="J25" s="17">
        <f t="shared" si="4"/>
        <v>236.42699564166654</v>
      </c>
      <c r="K25" s="17">
        <f t="shared" si="5"/>
        <v>18.186691972435888</v>
      </c>
      <c r="L25" s="16">
        <v>61</v>
      </c>
      <c r="M25" s="19">
        <f t="shared" si="6"/>
        <v>0.21311475409836064</v>
      </c>
      <c r="N25" s="16">
        <v>4</v>
      </c>
      <c r="O25" s="20">
        <f t="shared" ref="O25:P25" si="19">D25/7</f>
        <v>1.8571428571428572</v>
      </c>
      <c r="P25" s="20">
        <f t="shared" si="19"/>
        <v>0.2857142857142857</v>
      </c>
      <c r="Q25" s="16">
        <f t="shared" si="8"/>
        <v>1</v>
      </c>
      <c r="R25" s="16"/>
      <c r="S25" s="21">
        <v>3.9555555555555562</v>
      </c>
      <c r="T25" s="14">
        <v>60</v>
      </c>
      <c r="U25" s="22" t="s">
        <v>34</v>
      </c>
      <c r="V25" s="23" t="s">
        <v>34</v>
      </c>
      <c r="W25" s="30">
        <v>0</v>
      </c>
      <c r="X25" s="24">
        <f t="shared" si="9"/>
        <v>0</v>
      </c>
      <c r="Y25" s="25">
        <f t="shared" si="10"/>
        <v>0</v>
      </c>
      <c r="Z25" s="30">
        <v>0</v>
      </c>
      <c r="AA25" s="14" t="s">
        <v>63</v>
      </c>
      <c r="AB25" s="27">
        <f t="shared" si="11"/>
        <v>-0.48</v>
      </c>
      <c r="AC25" s="28">
        <v>0.66414297743055573</v>
      </c>
      <c r="AD25" s="25">
        <f t="shared" si="12"/>
        <v>-8.2885043583333342</v>
      </c>
      <c r="AE25" s="25">
        <v>-17.760000000000002</v>
      </c>
      <c r="AF25" s="25">
        <v>-67.680000000000007</v>
      </c>
      <c r="AG25" s="25">
        <v>0</v>
      </c>
    </row>
    <row r="26" spans="1:33" ht="15.75" customHeight="1">
      <c r="A26" s="14" t="s">
        <v>52</v>
      </c>
      <c r="B26" s="14" t="s">
        <v>45</v>
      </c>
      <c r="C26" s="15">
        <f t="shared" si="1"/>
        <v>126.34</v>
      </c>
      <c r="D26" s="16">
        <v>1</v>
      </c>
      <c r="E26" s="16">
        <v>0</v>
      </c>
      <c r="F26" s="17">
        <v>126.34</v>
      </c>
      <c r="G26" s="17">
        <v>0</v>
      </c>
      <c r="H26" s="18">
        <f t="shared" si="2"/>
        <v>0</v>
      </c>
      <c r="I26" s="18">
        <f t="shared" si="3"/>
        <v>0.16548537867394858</v>
      </c>
      <c r="J26" s="17">
        <f t="shared" si="4"/>
        <v>20.907422741666664</v>
      </c>
      <c r="K26" s="17">
        <f t="shared" si="5"/>
        <v>20.907422741666664</v>
      </c>
      <c r="L26" s="16">
        <v>25</v>
      </c>
      <c r="M26" s="19">
        <f t="shared" si="6"/>
        <v>0.04</v>
      </c>
      <c r="N26" s="16">
        <v>5</v>
      </c>
      <c r="O26" s="20">
        <f t="shared" ref="O26:P26" si="20">D26/7</f>
        <v>0.14285714285714285</v>
      </c>
      <c r="P26" s="20">
        <f t="shared" si="20"/>
        <v>0</v>
      </c>
      <c r="Q26" s="16">
        <f t="shared" si="8"/>
        <v>35</v>
      </c>
      <c r="R26" s="16"/>
      <c r="S26" s="21">
        <v>4.2380952380952381</v>
      </c>
      <c r="T26" s="14">
        <v>60</v>
      </c>
      <c r="U26" s="22" t="s">
        <v>34</v>
      </c>
      <c r="V26" s="23" t="s">
        <v>34</v>
      </c>
      <c r="W26" s="30">
        <v>0</v>
      </c>
      <c r="X26" s="24">
        <f t="shared" si="9"/>
        <v>0</v>
      </c>
      <c r="Y26" s="25">
        <f t="shared" si="10"/>
        <v>0</v>
      </c>
      <c r="Z26" s="30">
        <v>0</v>
      </c>
      <c r="AA26" s="14" t="s">
        <v>63</v>
      </c>
      <c r="AB26" s="27">
        <f t="shared" si="11"/>
        <v>-0.48</v>
      </c>
      <c r="AC26" s="28">
        <v>0.66414297743055573</v>
      </c>
      <c r="AD26" s="25">
        <f t="shared" si="12"/>
        <v>-0.63757725833333345</v>
      </c>
      <c r="AE26" s="25">
        <v>-18.16</v>
      </c>
      <c r="AF26" s="25">
        <v>-67.683999999999997</v>
      </c>
      <c r="AG26" s="25">
        <v>0</v>
      </c>
    </row>
    <row r="27" spans="1:33" ht="15.75" customHeight="1">
      <c r="A27" s="14" t="s">
        <v>53</v>
      </c>
      <c r="B27" s="14" t="s">
        <v>45</v>
      </c>
      <c r="C27" s="15">
        <f t="shared" si="1"/>
        <v>127.38</v>
      </c>
      <c r="D27" s="16">
        <v>3</v>
      </c>
      <c r="E27" s="16">
        <v>0</v>
      </c>
      <c r="F27" s="17">
        <v>382.14</v>
      </c>
      <c r="G27" s="17">
        <v>0</v>
      </c>
      <c r="H27" s="18">
        <f t="shared" si="2"/>
        <v>0</v>
      </c>
      <c r="I27" s="18">
        <f t="shared" si="3"/>
        <v>0.1692685095122205</v>
      </c>
      <c r="J27" s="17">
        <f t="shared" si="4"/>
        <v>64.68426822499994</v>
      </c>
      <c r="K27" s="17">
        <f t="shared" si="5"/>
        <v>21.561422741666647</v>
      </c>
      <c r="L27" s="16">
        <v>44</v>
      </c>
      <c r="M27" s="19">
        <f t="shared" si="6"/>
        <v>6.8181818181818177E-2</v>
      </c>
      <c r="N27" s="16">
        <v>3</v>
      </c>
      <c r="O27" s="20">
        <f t="shared" ref="O27:P27" si="21">D27/7</f>
        <v>0.42857142857142855</v>
      </c>
      <c r="P27" s="20">
        <f t="shared" si="21"/>
        <v>0</v>
      </c>
      <c r="Q27" s="16">
        <f t="shared" si="8"/>
        <v>7</v>
      </c>
      <c r="R27" s="16"/>
      <c r="S27" s="21">
        <v>2.8091603053435108</v>
      </c>
      <c r="T27" s="14">
        <v>60</v>
      </c>
      <c r="U27" s="22" t="s">
        <v>34</v>
      </c>
      <c r="V27" s="23" t="s">
        <v>34</v>
      </c>
      <c r="W27" s="30">
        <v>0</v>
      </c>
      <c r="X27" s="24">
        <f t="shared" si="9"/>
        <v>0</v>
      </c>
      <c r="Y27" s="25">
        <f t="shared" si="10"/>
        <v>0</v>
      </c>
      <c r="Z27" s="30">
        <v>0</v>
      </c>
      <c r="AA27" s="14" t="s">
        <v>63</v>
      </c>
      <c r="AB27" s="27">
        <f t="shared" si="11"/>
        <v>-0.48</v>
      </c>
      <c r="AC27" s="28">
        <v>0.66414297743055573</v>
      </c>
      <c r="AD27" s="25">
        <f t="shared" si="12"/>
        <v>-1.9127317750000004</v>
      </c>
      <c r="AE27" s="25">
        <v>-18.16</v>
      </c>
      <c r="AF27" s="25">
        <v>-67.914000000000001</v>
      </c>
      <c r="AG27" s="25">
        <v>0</v>
      </c>
    </row>
    <row r="28" spans="1:33" ht="15.75" customHeight="1">
      <c r="A28" s="14" t="s">
        <v>54</v>
      </c>
      <c r="B28" s="14" t="s">
        <v>45</v>
      </c>
      <c r="C28" s="15" t="str">
        <f t="shared" si="1"/>
        <v xml:space="preserve"> - </v>
      </c>
      <c r="D28" s="16">
        <v>0</v>
      </c>
      <c r="E28" s="16">
        <v>0</v>
      </c>
      <c r="F28" s="17">
        <v>0</v>
      </c>
      <c r="G28" s="17">
        <v>0</v>
      </c>
      <c r="H28" s="18" t="e">
        <f t="shared" si="2"/>
        <v>#DIV/0!</v>
      </c>
      <c r="I28" s="18" t="e">
        <f t="shared" si="3"/>
        <v>#DIV/0!</v>
      </c>
      <c r="J28" s="17">
        <f t="shared" si="4"/>
        <v>0</v>
      </c>
      <c r="K28" s="17" t="e">
        <f t="shared" si="5"/>
        <v>#DIV/0!</v>
      </c>
      <c r="L28" s="16">
        <v>0</v>
      </c>
      <c r="M28" s="19" t="str">
        <f t="shared" si="6"/>
        <v>-</v>
      </c>
      <c r="N28" s="16">
        <v>2</v>
      </c>
      <c r="O28" s="20">
        <f t="shared" ref="O28:P28" si="22">D28/7</f>
        <v>0</v>
      </c>
      <c r="P28" s="20">
        <f t="shared" si="22"/>
        <v>0</v>
      </c>
      <c r="Q28" s="16" t="e">
        <f t="shared" si="8"/>
        <v>#DIV/0!</v>
      </c>
      <c r="R28" s="16"/>
      <c r="S28" s="21">
        <v>2.6293706293706292</v>
      </c>
      <c r="T28" s="14">
        <v>60</v>
      </c>
      <c r="U28" s="22" t="s">
        <v>34</v>
      </c>
      <c r="V28" s="23" t="s">
        <v>34</v>
      </c>
      <c r="W28" s="30">
        <v>0</v>
      </c>
      <c r="X28" s="24">
        <f t="shared" si="9"/>
        <v>0</v>
      </c>
      <c r="Y28" s="25">
        <f t="shared" si="10"/>
        <v>0</v>
      </c>
      <c r="Z28" s="30">
        <v>0</v>
      </c>
      <c r="AA28" s="14" t="s">
        <v>63</v>
      </c>
      <c r="AB28" s="27">
        <f t="shared" si="11"/>
        <v>-0.48</v>
      </c>
      <c r="AC28" s="28">
        <v>0.66414297743055573</v>
      </c>
      <c r="AD28" s="25">
        <f t="shared" si="12"/>
        <v>0</v>
      </c>
      <c r="AE28" s="25">
        <v>-18.16</v>
      </c>
      <c r="AF28" s="25">
        <v>-67.914000000000001</v>
      </c>
      <c r="AG28" s="25">
        <v>0</v>
      </c>
    </row>
    <row r="29" spans="1:33" ht="15.75" customHeight="1">
      <c r="A29" s="14" t="s">
        <v>55</v>
      </c>
      <c r="B29" s="14" t="s">
        <v>45</v>
      </c>
      <c r="C29" s="15" t="str">
        <f t="shared" si="1"/>
        <v xml:space="preserve"> - </v>
      </c>
      <c r="D29" s="16">
        <v>0</v>
      </c>
      <c r="E29" s="16">
        <v>0</v>
      </c>
      <c r="F29" s="17">
        <v>0</v>
      </c>
      <c r="G29" s="17">
        <v>0</v>
      </c>
      <c r="H29" s="18" t="e">
        <f t="shared" si="2"/>
        <v>#DIV/0!</v>
      </c>
      <c r="I29" s="18" t="e">
        <f t="shared" si="3"/>
        <v>#DIV/0!</v>
      </c>
      <c r="J29" s="17">
        <f t="shared" si="4"/>
        <v>0</v>
      </c>
      <c r="K29" s="17" t="e">
        <f t="shared" si="5"/>
        <v>#DIV/0!</v>
      </c>
      <c r="L29" s="16">
        <v>0</v>
      </c>
      <c r="M29" s="19" t="str">
        <f t="shared" si="6"/>
        <v>-</v>
      </c>
      <c r="N29" s="16">
        <v>1</v>
      </c>
      <c r="O29" s="20">
        <f t="shared" ref="O29:P29" si="23">D29/7</f>
        <v>0</v>
      </c>
      <c r="P29" s="20">
        <f t="shared" si="23"/>
        <v>0</v>
      </c>
      <c r="Q29" s="16" t="e">
        <f t="shared" si="8"/>
        <v>#DIV/0!</v>
      </c>
      <c r="R29" s="16"/>
      <c r="S29" s="21">
        <v>3.722772277227723</v>
      </c>
      <c r="T29" s="14">
        <v>60</v>
      </c>
      <c r="U29" s="22" t="s">
        <v>34</v>
      </c>
      <c r="V29" s="23" t="s">
        <v>34</v>
      </c>
      <c r="W29" s="30">
        <v>0</v>
      </c>
      <c r="X29" s="24">
        <f t="shared" si="9"/>
        <v>0</v>
      </c>
      <c r="Y29" s="25">
        <f t="shared" si="10"/>
        <v>0</v>
      </c>
      <c r="Z29" s="30">
        <v>0</v>
      </c>
      <c r="AA29" s="14" t="s">
        <v>63</v>
      </c>
      <c r="AB29" s="27">
        <f t="shared" si="11"/>
        <v>-0.48</v>
      </c>
      <c r="AC29" s="28">
        <v>0.66414297743055573</v>
      </c>
      <c r="AD29" s="25">
        <f t="shared" si="12"/>
        <v>0</v>
      </c>
      <c r="AE29" s="25">
        <v>-18.16</v>
      </c>
      <c r="AF29" s="25">
        <v>-67.914000000000001</v>
      </c>
      <c r="AG29" s="25">
        <v>0</v>
      </c>
    </row>
    <row r="30" spans="1:33" ht="15.75" customHeight="1">
      <c r="A30" s="14" t="s">
        <v>57</v>
      </c>
      <c r="B30" s="14"/>
      <c r="C30" s="15" t="str">
        <f t="shared" si="1"/>
        <v xml:space="preserve"> - </v>
      </c>
      <c r="D30" s="16">
        <v>0</v>
      </c>
      <c r="E30" s="16">
        <v>0</v>
      </c>
      <c r="F30" s="17">
        <v>0</v>
      </c>
      <c r="G30" s="17">
        <v>0</v>
      </c>
      <c r="H30" s="18" t="e">
        <f t="shared" si="2"/>
        <v>#DIV/0!</v>
      </c>
      <c r="I30" s="18" t="e">
        <f t="shared" si="3"/>
        <v>#DIV/0!</v>
      </c>
      <c r="J30" s="17">
        <f t="shared" si="4"/>
        <v>0</v>
      </c>
      <c r="K30" s="17" t="e">
        <f t="shared" si="5"/>
        <v>#DIV/0!</v>
      </c>
      <c r="L30" s="16">
        <v>0</v>
      </c>
      <c r="M30" s="19" t="str">
        <f t="shared" si="6"/>
        <v>-</v>
      </c>
      <c r="N30" s="16">
        <v>1</v>
      </c>
      <c r="O30" s="20">
        <f t="shared" ref="O30:P30" si="24">D30/7</f>
        <v>0</v>
      </c>
      <c r="P30" s="20">
        <f t="shared" si="24"/>
        <v>0</v>
      </c>
      <c r="Q30" s="16" t="e">
        <f t="shared" si="8"/>
        <v>#DIV/0!</v>
      </c>
      <c r="R30" s="16"/>
      <c r="S30" s="21">
        <v>4.043010752688172</v>
      </c>
      <c r="T30" s="14">
        <v>60</v>
      </c>
      <c r="U30" s="22" t="s">
        <v>34</v>
      </c>
      <c r="V30" s="23" t="s">
        <v>34</v>
      </c>
      <c r="W30" s="30">
        <v>0</v>
      </c>
      <c r="X30" s="24">
        <f t="shared" si="9"/>
        <v>0</v>
      </c>
      <c r="Y30" s="25">
        <f t="shared" si="10"/>
        <v>0</v>
      </c>
      <c r="Z30" s="30">
        <v>0</v>
      </c>
      <c r="AA30" s="14" t="s">
        <v>63</v>
      </c>
      <c r="AB30" s="27">
        <f t="shared" si="11"/>
        <v>-0.48</v>
      </c>
      <c r="AC30" s="28">
        <v>0.66414297743055573</v>
      </c>
      <c r="AD30" s="25">
        <f t="shared" si="12"/>
        <v>0</v>
      </c>
      <c r="AE30" s="25">
        <v>-18.16</v>
      </c>
      <c r="AF30" s="25">
        <v>-67.652617053</v>
      </c>
      <c r="AG30" s="25">
        <v>0</v>
      </c>
    </row>
    <row r="31" spans="1:33" ht="15.75" customHeight="1">
      <c r="A31" s="14" t="s">
        <v>58</v>
      </c>
      <c r="B31" s="14" t="s">
        <v>45</v>
      </c>
      <c r="C31" s="15" t="str">
        <f t="shared" si="1"/>
        <v xml:space="preserve"> - </v>
      </c>
      <c r="D31" s="16">
        <v>0</v>
      </c>
      <c r="E31" s="16">
        <v>0</v>
      </c>
      <c r="F31" s="17">
        <v>0</v>
      </c>
      <c r="G31" s="17">
        <v>0</v>
      </c>
      <c r="H31" s="18" t="e">
        <f t="shared" si="2"/>
        <v>#DIV/0!</v>
      </c>
      <c r="I31" s="18" t="e">
        <f t="shared" si="3"/>
        <v>#DIV/0!</v>
      </c>
      <c r="J31" s="17">
        <f t="shared" si="4"/>
        <v>0</v>
      </c>
      <c r="K31" s="17" t="e">
        <f t="shared" si="5"/>
        <v>#DIV/0!</v>
      </c>
      <c r="L31" s="16">
        <v>0</v>
      </c>
      <c r="M31" s="19" t="str">
        <f t="shared" si="6"/>
        <v>-</v>
      </c>
      <c r="N31" s="16">
        <v>1</v>
      </c>
      <c r="O31" s="20">
        <f t="shared" ref="O31:P31" si="25">D31/7</f>
        <v>0</v>
      </c>
      <c r="P31" s="20">
        <f t="shared" si="25"/>
        <v>0</v>
      </c>
      <c r="Q31" s="16" t="e">
        <f t="shared" si="8"/>
        <v>#DIV/0!</v>
      </c>
      <c r="R31" s="16"/>
      <c r="S31" s="21">
        <v>2.6027397260273899</v>
      </c>
      <c r="T31" s="14">
        <v>60</v>
      </c>
      <c r="U31" s="22" t="s">
        <v>34</v>
      </c>
      <c r="V31" s="23" t="s">
        <v>70</v>
      </c>
      <c r="W31" s="30">
        <v>0</v>
      </c>
      <c r="X31" s="24">
        <f t="shared" si="9"/>
        <v>0</v>
      </c>
      <c r="Y31" s="25">
        <f t="shared" si="10"/>
        <v>0</v>
      </c>
      <c r="Z31" s="30">
        <v>0</v>
      </c>
      <c r="AA31" s="14" t="s">
        <v>63</v>
      </c>
      <c r="AB31" s="27">
        <f t="shared" si="11"/>
        <v>-0.48</v>
      </c>
      <c r="AC31" s="28">
        <v>0.66414297743055573</v>
      </c>
      <c r="AD31" s="25">
        <f t="shared" si="12"/>
        <v>0</v>
      </c>
      <c r="AE31" s="25">
        <v>-18.16</v>
      </c>
      <c r="AF31" s="25">
        <v>-67.652617053</v>
      </c>
      <c r="AG31" s="25">
        <v>0</v>
      </c>
    </row>
    <row r="32" spans="1:33" ht="15.75" customHeight="1">
      <c r="A32" s="14" t="s">
        <v>60</v>
      </c>
      <c r="B32" s="14"/>
      <c r="C32" s="15" t="str">
        <f t="shared" si="1"/>
        <v xml:space="preserve"> - </v>
      </c>
      <c r="D32" s="16">
        <v>0</v>
      </c>
      <c r="E32" s="16">
        <v>0</v>
      </c>
      <c r="F32" s="17">
        <v>0</v>
      </c>
      <c r="G32" s="17">
        <v>0</v>
      </c>
      <c r="H32" s="18" t="e">
        <f t="shared" si="2"/>
        <v>#DIV/0!</v>
      </c>
      <c r="I32" s="18" t="e">
        <f t="shared" si="3"/>
        <v>#DIV/0!</v>
      </c>
      <c r="J32" s="17">
        <f t="shared" si="4"/>
        <v>0</v>
      </c>
      <c r="K32" s="17" t="e">
        <f t="shared" si="5"/>
        <v>#DIV/0!</v>
      </c>
      <c r="L32" s="16">
        <v>0</v>
      </c>
      <c r="M32" s="19" t="str">
        <f t="shared" si="6"/>
        <v>-</v>
      </c>
      <c r="N32" s="16">
        <v>1</v>
      </c>
      <c r="O32" s="20">
        <f t="shared" ref="O32:P32" si="26">D32/7</f>
        <v>0</v>
      </c>
      <c r="P32" s="20">
        <f t="shared" si="26"/>
        <v>0</v>
      </c>
      <c r="Q32" s="16" t="e">
        <f t="shared" si="8"/>
        <v>#DIV/0!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2.4210526315789469</v>
      </c>
      <c r="T32" s="14">
        <f ca="1">IFERROR(__xludf.DUMMYFUNCTION("IFERROR(VLOOKUP($B$2,IMPORTRANGE(""https://docs.google.com/spreadsheets/d/1KiWZV1ko8G7lnRucBRBd29jj3Be6ltMfljMDqzOkQmI/edit#gid=1381463014"",""Lookup!A:D""),4,FALSE),"""")"),60)</f>
        <v>60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23" t="str">
        <f ca="1">IFERROR(__xludf.DUMMYFUNCTION("IFERROR(VLOOKUP($B$2,IMPORTRANGE(""https://docs.google.com/spreadsheets/d/1KiWZV1ko8G7lnRucBRBd29jj3Be6ltMfljMDqzOkQmI/edit#gid=1381463014"",""Lookup!A:D""),2,FALSE),"""")"),"No Transit, But 60 At Factory 50-75 days from Earliest Arrival")</f>
        <v>No Transit, But 60 At Factory 50-75 days from Earliest Arrival</v>
      </c>
      <c r="W32" s="30">
        <v>0</v>
      </c>
      <c r="X32" s="24">
        <f t="shared" si="9"/>
        <v>0</v>
      </c>
      <c r="Y32" s="25">
        <f t="shared" si="10"/>
        <v>0</v>
      </c>
      <c r="Z32" s="30">
        <v>0</v>
      </c>
      <c r="AA32" s="14" t="s">
        <v>63</v>
      </c>
      <c r="AB32" s="27">
        <f t="shared" si="11"/>
        <v>-0.48</v>
      </c>
      <c r="AC32" s="28">
        <v>0.66414297743055573</v>
      </c>
      <c r="AD32" s="25">
        <f t="shared" si="12"/>
        <v>0</v>
      </c>
      <c r="AE32" s="25">
        <v>-18.16</v>
      </c>
      <c r="AF32" s="25">
        <v>-67.652617053</v>
      </c>
      <c r="AG32" s="25">
        <v>0</v>
      </c>
    </row>
    <row r="33" spans="1:33" ht="15.75" customHeight="1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16"/>
      <c r="S33" s="21"/>
      <c r="T33" s="31"/>
      <c r="U33" s="36"/>
      <c r="V33" s="1"/>
      <c r="W33" s="31"/>
      <c r="X33" s="31"/>
      <c r="Y33" s="31"/>
      <c r="Z33" s="31"/>
      <c r="AA33" s="2"/>
      <c r="AB33" s="31"/>
      <c r="AC33" s="31"/>
      <c r="AD33" s="31"/>
      <c r="AE33" s="37"/>
      <c r="AF33" s="37"/>
      <c r="AG33" s="37"/>
    </row>
    <row r="34" spans="1:33" ht="15.75" customHeight="1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6"/>
      <c r="V34" s="1"/>
      <c r="W34" s="31"/>
      <c r="X34" s="31"/>
      <c r="Y34" s="31"/>
      <c r="Z34" s="31"/>
      <c r="AA34" s="2"/>
      <c r="AB34" s="31"/>
      <c r="AC34" s="31"/>
      <c r="AD34" s="31"/>
      <c r="AE34" s="37"/>
      <c r="AF34" s="37"/>
      <c r="AG34" s="37"/>
    </row>
    <row r="35" spans="1:33" ht="15.75" customHeight="1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6"/>
      <c r="V35" s="1"/>
      <c r="W35" s="31"/>
      <c r="X35" s="31"/>
      <c r="Y35" s="31"/>
      <c r="Z35" s="31"/>
      <c r="AA35" s="2"/>
      <c r="AB35" s="31"/>
      <c r="AC35" s="31"/>
      <c r="AD35" s="31"/>
      <c r="AE35" s="37"/>
      <c r="AF35" s="37"/>
      <c r="AG35" s="37"/>
    </row>
    <row r="36" spans="1:33" ht="15.75" customHeight="1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6"/>
      <c r="V36" s="1"/>
      <c r="W36" s="31"/>
      <c r="X36" s="31"/>
      <c r="Y36" s="31"/>
      <c r="Z36" s="31"/>
      <c r="AA36" s="2"/>
      <c r="AB36" s="31"/>
      <c r="AC36" s="31"/>
      <c r="AD36" s="31"/>
      <c r="AE36" s="37"/>
      <c r="AF36" s="37"/>
      <c r="AG36" s="37"/>
    </row>
    <row r="37" spans="1:33" ht="15.75" customHeight="1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6"/>
      <c r="V37" s="1"/>
      <c r="W37" s="31"/>
      <c r="X37" s="31"/>
      <c r="Y37" s="31"/>
      <c r="Z37" s="31"/>
      <c r="AA37" s="2"/>
      <c r="AB37" s="31"/>
      <c r="AC37" s="31"/>
      <c r="AD37" s="31"/>
      <c r="AE37" s="37"/>
      <c r="AF37" s="37"/>
      <c r="AG37" s="37"/>
    </row>
    <row r="38" spans="1:33" ht="15.75" customHeight="1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6"/>
      <c r="V38" s="1"/>
      <c r="W38" s="31"/>
      <c r="X38" s="31"/>
      <c r="Y38" s="31"/>
      <c r="Z38" s="31"/>
      <c r="AA38" s="2"/>
      <c r="AB38" s="31"/>
      <c r="AC38" s="31"/>
      <c r="AD38" s="31"/>
      <c r="AE38" s="37"/>
      <c r="AF38" s="37"/>
      <c r="AG38" s="37"/>
    </row>
    <row r="39" spans="1:33" ht="15.75" customHeight="1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6"/>
      <c r="V39" s="1"/>
      <c r="W39" s="31"/>
      <c r="X39" s="31"/>
      <c r="Y39" s="31"/>
      <c r="Z39" s="31"/>
      <c r="AA39" s="2"/>
      <c r="AB39" s="31"/>
      <c r="AC39" s="31"/>
      <c r="AD39" s="31"/>
      <c r="AE39" s="37"/>
      <c r="AF39" s="37"/>
      <c r="AG39" s="37"/>
    </row>
    <row r="40" spans="1:33" ht="15.75" customHeight="1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6"/>
      <c r="V40" s="1"/>
      <c r="W40" s="31"/>
      <c r="X40" s="31"/>
      <c r="Y40" s="31"/>
      <c r="Z40" s="31"/>
      <c r="AA40" s="2"/>
      <c r="AB40" s="31"/>
      <c r="AC40" s="31"/>
      <c r="AD40" s="31"/>
      <c r="AE40" s="37"/>
      <c r="AF40" s="37"/>
      <c r="AG40" s="37"/>
    </row>
    <row r="41" spans="1:33" ht="15.75" customHeight="1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6"/>
      <c r="V41" s="1"/>
      <c r="W41" s="31"/>
      <c r="X41" s="31"/>
      <c r="Y41" s="31"/>
      <c r="Z41" s="31"/>
      <c r="AA41" s="2"/>
      <c r="AB41" s="31"/>
      <c r="AC41" s="31"/>
      <c r="AD41" s="31"/>
      <c r="AE41" s="37"/>
      <c r="AF41" s="37"/>
      <c r="AG41" s="37"/>
    </row>
    <row r="42" spans="1:33" ht="15.75" customHeight="1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6"/>
      <c r="V42" s="1"/>
      <c r="W42" s="31"/>
      <c r="X42" s="31"/>
      <c r="Y42" s="31"/>
      <c r="Z42" s="31"/>
      <c r="AA42" s="2"/>
      <c r="AB42" s="31"/>
      <c r="AC42" s="31"/>
      <c r="AD42" s="31"/>
      <c r="AE42" s="37"/>
      <c r="AF42" s="37"/>
      <c r="AG42" s="37"/>
    </row>
    <row r="43" spans="1:33" ht="15.75" customHeight="1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6"/>
      <c r="V43" s="1"/>
      <c r="W43" s="31"/>
      <c r="X43" s="31"/>
      <c r="Y43" s="31"/>
      <c r="Z43" s="31"/>
      <c r="AA43" s="2"/>
      <c r="AB43" s="31"/>
      <c r="AC43" s="31"/>
      <c r="AD43" s="31"/>
      <c r="AE43" s="37"/>
      <c r="AF43" s="37"/>
      <c r="AG43" s="37"/>
    </row>
    <row r="44" spans="1:33" ht="15.75" customHeight="1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6"/>
      <c r="V44" s="1"/>
      <c r="W44" s="31"/>
      <c r="X44" s="31"/>
      <c r="Y44" s="31"/>
      <c r="Z44" s="31"/>
      <c r="AA44" s="2"/>
      <c r="AB44" s="31"/>
      <c r="AC44" s="31"/>
      <c r="AD44" s="31"/>
      <c r="AE44" s="37"/>
      <c r="AF44" s="37"/>
      <c r="AG44" s="37"/>
    </row>
    <row r="45" spans="1:33" ht="15.75" customHeight="1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6"/>
      <c r="V45" s="1"/>
      <c r="W45" s="31"/>
      <c r="X45" s="31"/>
      <c r="Y45" s="31"/>
      <c r="Z45" s="31"/>
      <c r="AA45" s="2"/>
      <c r="AB45" s="31"/>
      <c r="AC45" s="31"/>
      <c r="AD45" s="31"/>
      <c r="AE45" s="37"/>
      <c r="AF45" s="37"/>
      <c r="AG45" s="37"/>
    </row>
    <row r="46" spans="1:33" ht="15.75" customHeight="1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6"/>
      <c r="V46" s="1"/>
      <c r="W46" s="31"/>
      <c r="X46" s="31"/>
      <c r="Y46" s="31"/>
      <c r="Z46" s="31"/>
      <c r="AA46" s="2"/>
      <c r="AB46" s="31"/>
      <c r="AC46" s="31"/>
      <c r="AD46" s="31"/>
      <c r="AE46" s="37"/>
      <c r="AF46" s="37"/>
      <c r="AG46" s="37"/>
    </row>
    <row r="47" spans="1:33" ht="15.75" customHeight="1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6"/>
      <c r="V47" s="1"/>
      <c r="W47" s="31"/>
      <c r="X47" s="31"/>
      <c r="Y47" s="31"/>
      <c r="Z47" s="31"/>
      <c r="AA47" s="2"/>
      <c r="AB47" s="31"/>
      <c r="AC47" s="31"/>
      <c r="AD47" s="31"/>
      <c r="AE47" s="37"/>
      <c r="AF47" s="37"/>
      <c r="AG47" s="37"/>
    </row>
    <row r="48" spans="1:33" ht="15.75" customHeight="1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6"/>
      <c r="V48" s="1"/>
      <c r="W48" s="31"/>
      <c r="X48" s="31"/>
      <c r="Y48" s="31"/>
      <c r="Z48" s="31"/>
      <c r="AA48" s="2"/>
      <c r="AB48" s="31"/>
      <c r="AC48" s="31"/>
      <c r="AD48" s="31"/>
      <c r="AE48" s="37"/>
      <c r="AF48" s="37"/>
      <c r="AG48" s="37"/>
    </row>
    <row r="49" spans="1:33" ht="15.75" customHeight="1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6"/>
      <c r="V49" s="1"/>
      <c r="W49" s="31"/>
      <c r="X49" s="31"/>
      <c r="Y49" s="31"/>
      <c r="Z49" s="31"/>
      <c r="AA49" s="2"/>
      <c r="AB49" s="31"/>
      <c r="AC49" s="31"/>
      <c r="AD49" s="31"/>
      <c r="AE49" s="37"/>
      <c r="AF49" s="37"/>
      <c r="AG49" s="37"/>
    </row>
    <row r="50" spans="1:33" ht="15.75" customHeight="1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6"/>
      <c r="V50" s="1"/>
      <c r="W50" s="31"/>
      <c r="X50" s="31"/>
      <c r="Y50" s="31"/>
      <c r="Z50" s="31"/>
      <c r="AA50" s="2"/>
      <c r="AB50" s="31"/>
      <c r="AC50" s="31"/>
      <c r="AD50" s="31"/>
      <c r="AE50" s="37"/>
      <c r="AF50" s="37"/>
      <c r="AG50" s="37"/>
    </row>
    <row r="51" spans="1:33" ht="15.75" customHeight="1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6"/>
      <c r="V51" s="1"/>
      <c r="W51" s="31"/>
      <c r="X51" s="31"/>
      <c r="Y51" s="31"/>
      <c r="Z51" s="31"/>
      <c r="AA51" s="2"/>
      <c r="AB51" s="31"/>
      <c r="AC51" s="31"/>
      <c r="AD51" s="31"/>
      <c r="AE51" s="37"/>
      <c r="AF51" s="37"/>
      <c r="AG51" s="37"/>
    </row>
    <row r="52" spans="1:33" ht="15.75" customHeight="1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6"/>
      <c r="V52" s="1"/>
      <c r="W52" s="31"/>
      <c r="X52" s="31"/>
      <c r="Y52" s="31"/>
      <c r="Z52" s="31"/>
      <c r="AA52" s="2"/>
      <c r="AB52" s="31"/>
      <c r="AC52" s="31"/>
      <c r="AD52" s="31"/>
      <c r="AE52" s="37"/>
      <c r="AF52" s="37"/>
      <c r="AG52" s="37"/>
    </row>
    <row r="53" spans="1:33" ht="15.75" customHeight="1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6"/>
      <c r="V53" s="1"/>
      <c r="W53" s="31"/>
      <c r="X53" s="31"/>
      <c r="Y53" s="31"/>
      <c r="Z53" s="31"/>
      <c r="AA53" s="2"/>
      <c r="AB53" s="31"/>
      <c r="AC53" s="31"/>
      <c r="AD53" s="31"/>
      <c r="AE53" s="37"/>
      <c r="AF53" s="37"/>
      <c r="AG53" s="37"/>
    </row>
    <row r="54" spans="1:33" ht="15.75" customHeight="1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6"/>
      <c r="V54" s="1"/>
      <c r="W54" s="31"/>
      <c r="X54" s="31"/>
      <c r="Y54" s="31"/>
      <c r="Z54" s="31"/>
      <c r="AA54" s="2"/>
      <c r="AB54" s="31"/>
      <c r="AC54" s="31"/>
      <c r="AD54" s="31"/>
      <c r="AE54" s="37"/>
      <c r="AF54" s="37"/>
      <c r="AG54" s="37"/>
    </row>
    <row r="55" spans="1:33" ht="15.75" customHeight="1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6"/>
      <c r="V55" s="1"/>
      <c r="W55" s="31"/>
      <c r="X55" s="31"/>
      <c r="Y55" s="31"/>
      <c r="Z55" s="31"/>
      <c r="AA55" s="2"/>
      <c r="AB55" s="31"/>
      <c r="AC55" s="31"/>
      <c r="AD55" s="31"/>
      <c r="AE55" s="37"/>
      <c r="AF55" s="37"/>
      <c r="AG55" s="37"/>
    </row>
    <row r="56" spans="1:33" ht="15.75" customHeight="1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6"/>
      <c r="V56" s="1"/>
      <c r="W56" s="31"/>
      <c r="X56" s="31"/>
      <c r="Y56" s="31"/>
      <c r="Z56" s="31"/>
      <c r="AA56" s="2"/>
      <c r="AB56" s="31"/>
      <c r="AC56" s="31"/>
      <c r="AD56" s="31"/>
      <c r="AE56" s="37"/>
      <c r="AF56" s="37"/>
      <c r="AG56" s="37"/>
    </row>
    <row r="57" spans="1:33" ht="15.75" customHeight="1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6"/>
      <c r="V57" s="1"/>
      <c r="W57" s="31"/>
      <c r="X57" s="31"/>
      <c r="Y57" s="31"/>
      <c r="Z57" s="31"/>
      <c r="AA57" s="2"/>
      <c r="AB57" s="31"/>
      <c r="AC57" s="31"/>
      <c r="AD57" s="31"/>
      <c r="AE57" s="37"/>
      <c r="AF57" s="37"/>
      <c r="AG57" s="37"/>
    </row>
    <row r="58" spans="1:33" ht="15.75" customHeight="1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6"/>
      <c r="V58" s="1"/>
      <c r="W58" s="31"/>
      <c r="X58" s="31"/>
      <c r="Y58" s="31"/>
      <c r="Z58" s="31"/>
      <c r="AA58" s="2"/>
      <c r="AB58" s="31"/>
      <c r="AC58" s="31"/>
      <c r="AD58" s="31"/>
      <c r="AE58" s="37"/>
      <c r="AF58" s="37"/>
      <c r="AG58" s="37"/>
    </row>
    <row r="59" spans="1:33" ht="15.75" customHeight="1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6"/>
      <c r="V59" s="1"/>
      <c r="W59" s="31"/>
      <c r="X59" s="31"/>
      <c r="Y59" s="31"/>
      <c r="Z59" s="31"/>
      <c r="AA59" s="2"/>
      <c r="AB59" s="31"/>
      <c r="AC59" s="31"/>
      <c r="AD59" s="31"/>
      <c r="AE59" s="37"/>
      <c r="AF59" s="37"/>
      <c r="AG59" s="37"/>
    </row>
    <row r="60" spans="1:33" ht="15.75" customHeight="1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6"/>
      <c r="V60" s="1"/>
      <c r="W60" s="31"/>
      <c r="X60" s="31"/>
      <c r="Y60" s="31"/>
      <c r="Z60" s="31"/>
      <c r="AA60" s="2"/>
      <c r="AB60" s="31"/>
      <c r="AC60" s="31"/>
      <c r="AD60" s="31"/>
      <c r="AE60" s="37"/>
      <c r="AF60" s="37"/>
      <c r="AG60" s="37"/>
    </row>
    <row r="61" spans="1:33" ht="15.75" customHeight="1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6"/>
      <c r="V61" s="1"/>
      <c r="W61" s="31"/>
      <c r="X61" s="31"/>
      <c r="Y61" s="31"/>
      <c r="Z61" s="31"/>
      <c r="AA61" s="2"/>
      <c r="AB61" s="31"/>
      <c r="AC61" s="31"/>
      <c r="AD61" s="31"/>
      <c r="AE61" s="37"/>
      <c r="AF61" s="37"/>
      <c r="AG61" s="37"/>
    </row>
    <row r="62" spans="1:33" ht="15.75" customHeight="1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6"/>
      <c r="V62" s="1"/>
      <c r="W62" s="31"/>
      <c r="X62" s="31"/>
      <c r="Y62" s="31"/>
      <c r="Z62" s="31"/>
      <c r="AA62" s="2"/>
      <c r="AB62" s="31"/>
      <c r="AC62" s="31"/>
      <c r="AD62" s="31"/>
      <c r="AE62" s="37"/>
      <c r="AF62" s="37"/>
      <c r="AG62" s="37"/>
    </row>
    <row r="63" spans="1:33" ht="15.75" customHeight="1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6"/>
      <c r="V63" s="1"/>
      <c r="W63" s="31"/>
      <c r="X63" s="31"/>
      <c r="Y63" s="31"/>
      <c r="Z63" s="31"/>
      <c r="AA63" s="2"/>
      <c r="AB63" s="31"/>
      <c r="AC63" s="31"/>
      <c r="AD63" s="31"/>
      <c r="AE63" s="37"/>
      <c r="AF63" s="37"/>
      <c r="AG63" s="37"/>
    </row>
    <row r="64" spans="1:33" ht="15.75" customHeight="1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6"/>
      <c r="V64" s="1"/>
      <c r="W64" s="31"/>
      <c r="X64" s="31"/>
      <c r="Y64" s="31"/>
      <c r="Z64" s="31"/>
      <c r="AA64" s="2"/>
      <c r="AB64" s="31"/>
      <c r="AC64" s="31"/>
      <c r="AD64" s="31"/>
      <c r="AE64" s="37"/>
      <c r="AF64" s="37"/>
      <c r="AG64" s="37"/>
    </row>
    <row r="65" spans="1:33" ht="15.75" customHeight="1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6"/>
      <c r="V65" s="1"/>
      <c r="W65" s="31"/>
      <c r="X65" s="31"/>
      <c r="Y65" s="31"/>
      <c r="Z65" s="31"/>
      <c r="AA65" s="2"/>
      <c r="AB65" s="31"/>
      <c r="AC65" s="31"/>
      <c r="AD65" s="31"/>
      <c r="AE65" s="37"/>
      <c r="AF65" s="37"/>
      <c r="AG65" s="37"/>
    </row>
    <row r="66" spans="1:33" ht="15.75" customHeight="1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6"/>
      <c r="V66" s="1"/>
      <c r="W66" s="31"/>
      <c r="X66" s="31"/>
      <c r="Y66" s="31"/>
      <c r="Z66" s="31"/>
      <c r="AA66" s="2"/>
      <c r="AB66" s="31"/>
      <c r="AC66" s="31"/>
      <c r="AD66" s="31"/>
      <c r="AE66" s="37"/>
      <c r="AF66" s="37"/>
      <c r="AG66" s="37"/>
    </row>
    <row r="67" spans="1:33" ht="15.75" customHeight="1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6"/>
      <c r="V67" s="1"/>
      <c r="W67" s="31"/>
      <c r="X67" s="31"/>
      <c r="Y67" s="31"/>
      <c r="Z67" s="31"/>
      <c r="AA67" s="2"/>
      <c r="AB67" s="31"/>
      <c r="AC67" s="31"/>
      <c r="AD67" s="31"/>
      <c r="AE67" s="37"/>
      <c r="AF67" s="37"/>
      <c r="AG67" s="37"/>
    </row>
    <row r="68" spans="1:33" ht="15.75" customHeight="1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6"/>
      <c r="V68" s="1"/>
      <c r="W68" s="31"/>
      <c r="X68" s="31"/>
      <c r="Y68" s="31"/>
      <c r="Z68" s="31"/>
      <c r="AA68" s="2"/>
      <c r="AB68" s="31"/>
      <c r="AC68" s="31"/>
      <c r="AD68" s="31"/>
      <c r="AE68" s="37"/>
      <c r="AF68" s="37"/>
      <c r="AG68" s="37"/>
    </row>
    <row r="69" spans="1:33" ht="15.75" customHeight="1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6"/>
      <c r="V69" s="1"/>
      <c r="W69" s="31"/>
      <c r="X69" s="31"/>
      <c r="Y69" s="31"/>
      <c r="Z69" s="31"/>
      <c r="AA69" s="2"/>
      <c r="AB69" s="31"/>
      <c r="AC69" s="31"/>
      <c r="AD69" s="31"/>
      <c r="AE69" s="37"/>
      <c r="AF69" s="37"/>
      <c r="AG69" s="37"/>
    </row>
    <row r="70" spans="1:33" ht="15.75" customHeight="1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6"/>
      <c r="V70" s="1"/>
      <c r="W70" s="31"/>
      <c r="X70" s="31"/>
      <c r="Y70" s="31"/>
      <c r="Z70" s="31"/>
      <c r="AA70" s="2"/>
      <c r="AB70" s="31"/>
      <c r="AC70" s="31"/>
      <c r="AD70" s="31"/>
      <c r="AE70" s="37"/>
      <c r="AF70" s="37"/>
      <c r="AG70" s="37"/>
    </row>
    <row r="71" spans="1:33" ht="15.75" customHeight="1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6"/>
      <c r="V71" s="1"/>
      <c r="W71" s="31"/>
      <c r="X71" s="31"/>
      <c r="Y71" s="31"/>
      <c r="Z71" s="31"/>
      <c r="AA71" s="2"/>
      <c r="AB71" s="31"/>
      <c r="AC71" s="31"/>
      <c r="AD71" s="31"/>
      <c r="AE71" s="37"/>
      <c r="AF71" s="37"/>
      <c r="AG71" s="37"/>
    </row>
    <row r="72" spans="1:33" ht="15.75" customHeight="1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6"/>
      <c r="V72" s="1"/>
      <c r="W72" s="31"/>
      <c r="X72" s="31"/>
      <c r="Y72" s="31"/>
      <c r="Z72" s="31"/>
      <c r="AA72" s="2"/>
      <c r="AB72" s="31"/>
      <c r="AC72" s="31"/>
      <c r="AD72" s="31"/>
      <c r="AE72" s="37"/>
      <c r="AF72" s="37"/>
      <c r="AG72" s="37"/>
    </row>
    <row r="73" spans="1:33" ht="15.75" customHeight="1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6"/>
      <c r="V73" s="1"/>
      <c r="W73" s="31"/>
      <c r="X73" s="31"/>
      <c r="Y73" s="31"/>
      <c r="Z73" s="31"/>
      <c r="AA73" s="2"/>
      <c r="AB73" s="31"/>
      <c r="AC73" s="31"/>
      <c r="AD73" s="31"/>
      <c r="AE73" s="37"/>
      <c r="AF73" s="37"/>
      <c r="AG73" s="37"/>
    </row>
    <row r="74" spans="1:33" ht="15.75" customHeight="1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6"/>
      <c r="V74" s="1"/>
      <c r="W74" s="31"/>
      <c r="X74" s="31"/>
      <c r="Y74" s="31"/>
      <c r="Z74" s="31"/>
      <c r="AA74" s="2"/>
      <c r="AB74" s="31"/>
      <c r="AC74" s="31"/>
      <c r="AD74" s="31"/>
      <c r="AE74" s="37"/>
      <c r="AF74" s="37"/>
      <c r="AG74" s="37"/>
    </row>
    <row r="75" spans="1:33" ht="15.75" customHeight="1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6"/>
      <c r="V75" s="1"/>
      <c r="W75" s="31"/>
      <c r="X75" s="31"/>
      <c r="Y75" s="31"/>
      <c r="Z75" s="31"/>
      <c r="AA75" s="2"/>
      <c r="AB75" s="31"/>
      <c r="AC75" s="31"/>
      <c r="AD75" s="31"/>
      <c r="AE75" s="37"/>
      <c r="AF75" s="37"/>
      <c r="AG75" s="37"/>
    </row>
    <row r="76" spans="1:33" ht="15.75" customHeight="1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6"/>
      <c r="V76" s="1"/>
      <c r="W76" s="31"/>
      <c r="X76" s="31"/>
      <c r="Y76" s="31"/>
      <c r="Z76" s="31"/>
      <c r="AA76" s="2"/>
      <c r="AB76" s="31"/>
      <c r="AC76" s="31"/>
      <c r="AD76" s="31"/>
      <c r="AE76" s="37"/>
      <c r="AF76" s="37"/>
      <c r="AG76" s="37"/>
    </row>
    <row r="77" spans="1:33" ht="15.75" customHeight="1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6"/>
      <c r="V77" s="1"/>
      <c r="W77" s="31"/>
      <c r="X77" s="31"/>
      <c r="Y77" s="31"/>
      <c r="Z77" s="31"/>
      <c r="AA77" s="2"/>
      <c r="AB77" s="31"/>
      <c r="AC77" s="31"/>
      <c r="AD77" s="31"/>
      <c r="AE77" s="37"/>
      <c r="AF77" s="37"/>
      <c r="AG77" s="37"/>
    </row>
    <row r="78" spans="1:33" ht="15.75" customHeight="1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6"/>
      <c r="V78" s="1"/>
      <c r="W78" s="31"/>
      <c r="X78" s="31"/>
      <c r="Y78" s="31"/>
      <c r="Z78" s="31"/>
      <c r="AA78" s="2"/>
      <c r="AB78" s="31"/>
      <c r="AC78" s="31"/>
      <c r="AD78" s="31"/>
      <c r="AE78" s="37"/>
      <c r="AF78" s="37"/>
      <c r="AG78" s="37"/>
    </row>
    <row r="79" spans="1:33" ht="15.75" customHeight="1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6"/>
      <c r="V79" s="1"/>
      <c r="W79" s="31"/>
      <c r="X79" s="31"/>
      <c r="Y79" s="31"/>
      <c r="Z79" s="31"/>
      <c r="AA79" s="2"/>
      <c r="AB79" s="31"/>
      <c r="AC79" s="31"/>
      <c r="AD79" s="31"/>
      <c r="AE79" s="37"/>
      <c r="AF79" s="37"/>
      <c r="AG79" s="37"/>
    </row>
    <row r="80" spans="1:33" ht="15.75" customHeight="1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6"/>
      <c r="V80" s="1"/>
      <c r="W80" s="31"/>
      <c r="X80" s="31"/>
      <c r="Y80" s="31"/>
      <c r="Z80" s="31"/>
      <c r="AA80" s="2"/>
      <c r="AB80" s="31"/>
      <c r="AC80" s="31"/>
      <c r="AD80" s="31"/>
      <c r="AE80" s="37"/>
      <c r="AF80" s="37"/>
      <c r="AG80" s="37"/>
    </row>
    <row r="81" spans="1:33" ht="15.75" customHeight="1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6"/>
      <c r="V81" s="1"/>
      <c r="W81" s="31"/>
      <c r="X81" s="31"/>
      <c r="Y81" s="31"/>
      <c r="Z81" s="31"/>
      <c r="AA81" s="2"/>
      <c r="AB81" s="31"/>
      <c r="AC81" s="31"/>
      <c r="AD81" s="31"/>
      <c r="AE81" s="37"/>
      <c r="AF81" s="37"/>
      <c r="AG81" s="37"/>
    </row>
    <row r="82" spans="1:33" ht="15.75" customHeight="1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6"/>
      <c r="V82" s="1"/>
      <c r="W82" s="31"/>
      <c r="X82" s="31"/>
      <c r="Y82" s="31"/>
      <c r="Z82" s="31"/>
      <c r="AA82" s="2"/>
      <c r="AB82" s="31"/>
      <c r="AC82" s="31"/>
      <c r="AD82" s="31"/>
      <c r="AE82" s="37"/>
      <c r="AF82" s="37"/>
      <c r="AG82" s="37"/>
    </row>
    <row r="83" spans="1:33" ht="15.75" customHeight="1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6"/>
      <c r="V83" s="1"/>
      <c r="W83" s="31"/>
      <c r="X83" s="31"/>
      <c r="Y83" s="31"/>
      <c r="Z83" s="31"/>
      <c r="AA83" s="2"/>
      <c r="AB83" s="31"/>
      <c r="AC83" s="31"/>
      <c r="AD83" s="31"/>
      <c r="AE83" s="37"/>
      <c r="AF83" s="37"/>
      <c r="AG83" s="37"/>
    </row>
    <row r="84" spans="1:33" ht="15.75" customHeight="1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6"/>
      <c r="V84" s="1"/>
      <c r="W84" s="31"/>
      <c r="X84" s="31"/>
      <c r="Y84" s="31"/>
      <c r="Z84" s="31"/>
      <c r="AA84" s="2"/>
      <c r="AB84" s="31"/>
      <c r="AC84" s="31"/>
      <c r="AD84" s="31"/>
      <c r="AE84" s="37"/>
      <c r="AF84" s="37"/>
      <c r="AG84" s="37"/>
    </row>
    <row r="85" spans="1:33" ht="15.75" customHeight="1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6"/>
      <c r="V85" s="1"/>
      <c r="W85" s="31"/>
      <c r="X85" s="31"/>
      <c r="Y85" s="31"/>
      <c r="Z85" s="31"/>
      <c r="AA85" s="2"/>
      <c r="AB85" s="31"/>
      <c r="AC85" s="31"/>
      <c r="AD85" s="31"/>
      <c r="AE85" s="37"/>
      <c r="AF85" s="37"/>
      <c r="AG85" s="37"/>
    </row>
    <row r="86" spans="1:33" ht="15.75" customHeight="1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6"/>
      <c r="V86" s="1"/>
      <c r="W86" s="31"/>
      <c r="X86" s="31"/>
      <c r="Y86" s="31"/>
      <c r="Z86" s="31"/>
      <c r="AA86" s="2"/>
      <c r="AB86" s="31"/>
      <c r="AC86" s="31"/>
      <c r="AD86" s="31"/>
      <c r="AE86" s="37"/>
      <c r="AF86" s="37"/>
      <c r="AG86" s="37"/>
    </row>
    <row r="87" spans="1:33" ht="15.75" customHeight="1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6"/>
      <c r="V87" s="1"/>
      <c r="W87" s="31"/>
      <c r="X87" s="31"/>
      <c r="Y87" s="31"/>
      <c r="Z87" s="31"/>
      <c r="AA87" s="2"/>
      <c r="AB87" s="31"/>
      <c r="AC87" s="31"/>
      <c r="AD87" s="31"/>
      <c r="AE87" s="37"/>
      <c r="AF87" s="37"/>
      <c r="AG87" s="37"/>
    </row>
    <row r="88" spans="1:33" ht="15.75" customHeight="1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6"/>
      <c r="V88" s="1"/>
      <c r="W88" s="31"/>
      <c r="X88" s="31"/>
      <c r="Y88" s="31"/>
      <c r="Z88" s="31"/>
      <c r="AA88" s="2"/>
      <c r="AB88" s="31"/>
      <c r="AC88" s="31"/>
      <c r="AD88" s="31"/>
      <c r="AE88" s="37"/>
      <c r="AF88" s="37"/>
      <c r="AG88" s="37"/>
    </row>
    <row r="89" spans="1:33" ht="15.75" customHeight="1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6"/>
      <c r="V89" s="1"/>
      <c r="W89" s="31"/>
      <c r="X89" s="31"/>
      <c r="Y89" s="31"/>
      <c r="Z89" s="31"/>
      <c r="AA89" s="2"/>
      <c r="AB89" s="31"/>
      <c r="AC89" s="31"/>
      <c r="AD89" s="31"/>
      <c r="AE89" s="37"/>
      <c r="AF89" s="37"/>
      <c r="AG89" s="37"/>
    </row>
    <row r="90" spans="1:33" ht="15.75" customHeight="1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6"/>
      <c r="V90" s="1"/>
      <c r="W90" s="31"/>
      <c r="X90" s="31"/>
      <c r="Y90" s="31"/>
      <c r="Z90" s="31"/>
      <c r="AA90" s="2"/>
      <c r="AB90" s="31"/>
      <c r="AC90" s="31"/>
      <c r="AD90" s="31"/>
      <c r="AE90" s="37"/>
      <c r="AF90" s="37"/>
      <c r="AG90" s="37"/>
    </row>
    <row r="91" spans="1:33" ht="15.75" customHeight="1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6"/>
      <c r="V91" s="1"/>
      <c r="W91" s="31"/>
      <c r="X91" s="31"/>
      <c r="Y91" s="31"/>
      <c r="Z91" s="31"/>
      <c r="AA91" s="2"/>
      <c r="AB91" s="31"/>
      <c r="AC91" s="31"/>
      <c r="AD91" s="31"/>
      <c r="AE91" s="37"/>
      <c r="AF91" s="37"/>
      <c r="AG91" s="37"/>
    </row>
    <row r="92" spans="1:33" ht="15.75" customHeight="1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6"/>
      <c r="V92" s="1"/>
      <c r="W92" s="31"/>
      <c r="X92" s="31"/>
      <c r="Y92" s="31"/>
      <c r="Z92" s="31"/>
      <c r="AA92" s="2"/>
      <c r="AB92" s="31"/>
      <c r="AC92" s="31"/>
      <c r="AD92" s="31"/>
      <c r="AE92" s="37"/>
      <c r="AF92" s="37"/>
      <c r="AG92" s="37"/>
    </row>
    <row r="93" spans="1:33" ht="15.75" customHeight="1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6"/>
      <c r="V93" s="1"/>
      <c r="W93" s="31"/>
      <c r="X93" s="31"/>
      <c r="Y93" s="31"/>
      <c r="Z93" s="31"/>
      <c r="AA93" s="2"/>
      <c r="AB93" s="31"/>
      <c r="AC93" s="31"/>
      <c r="AD93" s="31"/>
      <c r="AE93" s="37"/>
      <c r="AF93" s="37"/>
      <c r="AG93" s="37"/>
    </row>
    <row r="94" spans="1:33" ht="15.75" customHeight="1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6"/>
      <c r="V94" s="1"/>
      <c r="W94" s="31"/>
      <c r="X94" s="31"/>
      <c r="Y94" s="31"/>
      <c r="Z94" s="31"/>
      <c r="AA94" s="2"/>
      <c r="AB94" s="31"/>
      <c r="AC94" s="31"/>
      <c r="AD94" s="31"/>
      <c r="AE94" s="37"/>
      <c r="AF94" s="37"/>
      <c r="AG94" s="37"/>
    </row>
    <row r="95" spans="1:33" ht="15.75" customHeight="1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6"/>
      <c r="V95" s="1"/>
      <c r="W95" s="31"/>
      <c r="X95" s="31"/>
      <c r="Y95" s="31"/>
      <c r="Z95" s="31"/>
      <c r="AA95" s="2"/>
      <c r="AB95" s="31"/>
      <c r="AC95" s="31"/>
      <c r="AD95" s="31"/>
      <c r="AE95" s="37"/>
      <c r="AF95" s="37"/>
      <c r="AG95" s="37"/>
    </row>
    <row r="96" spans="1:33" ht="15.75" customHeight="1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6"/>
      <c r="V96" s="1"/>
      <c r="W96" s="31"/>
      <c r="X96" s="31"/>
      <c r="Y96" s="31"/>
      <c r="Z96" s="31"/>
      <c r="AA96" s="2"/>
      <c r="AB96" s="31"/>
      <c r="AC96" s="31"/>
      <c r="AD96" s="31"/>
      <c r="AE96" s="37"/>
      <c r="AF96" s="37"/>
      <c r="AG96" s="37"/>
    </row>
    <row r="97" spans="1:33" ht="15.75" customHeight="1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8"/>
      <c r="R97" s="38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8"/>
      <c r="R98" s="38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8"/>
      <c r="R99" s="38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8"/>
      <c r="R100" s="38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8"/>
      <c r="R101" s="38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8"/>
      <c r="R102" s="38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8"/>
      <c r="R103" s="38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8"/>
      <c r="R104" s="38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8"/>
      <c r="R105" s="38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8"/>
      <c r="R106" s="38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8"/>
      <c r="R107" s="38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8"/>
      <c r="R108" s="38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8"/>
      <c r="R109" s="38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8"/>
      <c r="R110" s="38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8"/>
      <c r="R111" s="38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8"/>
      <c r="R112" s="38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8"/>
      <c r="R113" s="38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8"/>
      <c r="R114" s="38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>
      <c r="A115" s="31"/>
      <c r="B115" s="31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>
      <c r="A116" s="31"/>
      <c r="B116" s="31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>
      <c r="A117" s="31"/>
      <c r="B117" s="31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>
      <c r="A118" s="31"/>
      <c r="B118" s="31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>
      <c r="A119" s="31"/>
      <c r="B119" s="31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>
      <c r="A120" s="31"/>
      <c r="B120" s="31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>
      <c r="A121" s="31"/>
      <c r="B121" s="31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>
      <c r="A122" s="31"/>
      <c r="B122" s="31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>
      <c r="A123" s="31"/>
      <c r="B123" s="31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>
      <c r="A124" s="31"/>
      <c r="B124" s="31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>
      <c r="A125" s="31"/>
      <c r="B125" s="31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>
      <c r="A126" s="31"/>
      <c r="B126" s="31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>
      <c r="A127" s="31"/>
      <c r="B127" s="31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>
      <c r="A128" s="31"/>
      <c r="B128" s="31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>
      <c r="A129" s="31"/>
      <c r="B129" s="31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>
      <c r="A130" s="31"/>
      <c r="B130" s="31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>
      <c r="A131" s="31"/>
      <c r="B131" s="31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>
      <c r="A132" s="31"/>
      <c r="B132" s="31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>
      <c r="A133" s="31"/>
      <c r="B133" s="31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>
      <c r="A134" s="31"/>
      <c r="B134" s="31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>
      <c r="A135" s="31"/>
      <c r="B135" s="31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>
      <c r="A136" s="31"/>
      <c r="B136" s="31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>
      <c r="A137" s="31"/>
      <c r="B137" s="31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>
      <c r="A138" s="31"/>
      <c r="B138" s="31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>
      <c r="A139" s="31"/>
      <c r="B139" s="31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>
      <c r="A140" s="31"/>
      <c r="B140" s="31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>
      <c r="A141" s="31"/>
      <c r="B141" s="31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2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>
      <c r="A142" s="31"/>
      <c r="B142" s="31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2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>
      <c r="A143" s="31"/>
      <c r="B143" s="31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2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>
      <c r="A144" s="31"/>
      <c r="B144" s="31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2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>
      <c r="A145" s="31"/>
      <c r="B145" s="31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2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>
      <c r="A146" s="31"/>
      <c r="B146" s="31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2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>
      <c r="A147" s="31"/>
      <c r="B147" s="31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2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>
      <c r="A148" s="31"/>
      <c r="B148" s="31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2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</row>
    <row r="149" spans="1:33" ht="15.75" customHeight="1">
      <c r="A149" s="14"/>
      <c r="B149" s="14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>
      <c r="A150" s="14"/>
      <c r="B150" s="14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>
      <c r="A151" s="14"/>
      <c r="B151" s="14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>
      <c r="A152" s="14"/>
      <c r="B152" s="14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>
      <c r="A153" s="14"/>
      <c r="B153" s="14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>
      <c r="A154" s="14"/>
      <c r="B154" s="14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>
      <c r="A155" s="14"/>
      <c r="B155" s="14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>
      <c r="A156" s="14"/>
      <c r="B156" s="14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>
      <c r="A157" s="14"/>
      <c r="B157" s="14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>
      <c r="A158" s="14"/>
      <c r="B158" s="14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>
      <c r="A159" s="14"/>
      <c r="B159" s="14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>
      <c r="A160" s="14"/>
      <c r="B160" s="14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>
      <c r="A161" s="14"/>
      <c r="B161" s="14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>
      <c r="A162" s="14"/>
      <c r="B162" s="14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>
      <c r="A163" s="14"/>
      <c r="B163" s="14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>
      <c r="A164" s="14"/>
      <c r="B164" s="14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>
      <c r="A165" s="14"/>
      <c r="B165" s="14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>
      <c r="A166" s="14"/>
      <c r="B166" s="14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>
      <c r="A167" s="14"/>
      <c r="B167" s="14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>
      <c r="A168" s="14"/>
      <c r="B168" s="14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>
      <c r="A169" s="14"/>
      <c r="B169" s="14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>
      <c r="A170" s="14"/>
      <c r="B170" s="14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>
      <c r="A171" s="14"/>
      <c r="B171" s="14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>
      <c r="A172" s="14"/>
      <c r="B172" s="14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>
      <c r="A173" s="14"/>
      <c r="B173" s="14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>
      <c r="A174" s="14"/>
      <c r="B174" s="14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>
      <c r="A175" s="14"/>
      <c r="B175" s="14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>
      <c r="A176" s="14"/>
      <c r="B176" s="14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>
      <c r="A177" s="14"/>
      <c r="B177" s="14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>
      <c r="A178" s="14"/>
      <c r="B178" s="14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>
      <c r="A179" s="14"/>
      <c r="B179" s="14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>
      <c r="A180" s="14"/>
      <c r="B180" s="14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>
      <c r="A181" s="14"/>
      <c r="B181" s="14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>
      <c r="A182" s="14"/>
      <c r="B182" s="14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>
      <c r="A183" s="14"/>
      <c r="B183" s="14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>
      <c r="A184" s="14"/>
      <c r="B184" s="14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>
      <c r="A185" s="14"/>
      <c r="B185" s="14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>
      <c r="A186" s="14"/>
      <c r="B186" s="14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>
      <c r="A187" s="14"/>
      <c r="B187" s="14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>
      <c r="A188" s="14"/>
      <c r="B188" s="14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>
      <c r="A189" s="14"/>
      <c r="B189" s="14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>
      <c r="A190" s="14"/>
      <c r="B190" s="14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>
      <c r="A191" s="14"/>
      <c r="B191" s="14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>
      <c r="A192" s="14"/>
      <c r="B192" s="14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>
      <c r="A193" s="14"/>
      <c r="B193" s="14"/>
      <c r="C193" s="39"/>
      <c r="D193" s="39"/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>
      <c r="A194" s="14"/>
      <c r="B194" s="14"/>
      <c r="C194" s="39"/>
      <c r="D194" s="39"/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>
      <c r="A195" s="14"/>
      <c r="B195" s="14"/>
      <c r="C195" s="39"/>
      <c r="D195" s="39"/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>
      <c r="A196" s="14"/>
      <c r="B196" s="14"/>
      <c r="C196" s="39"/>
      <c r="D196" s="39"/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>
      <c r="A197" s="14"/>
      <c r="B197" s="14"/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>
      <c r="A198" s="14"/>
      <c r="B198" s="14"/>
      <c r="C198" s="39"/>
      <c r="D198" s="39"/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>
      <c r="A199" s="14"/>
      <c r="B199" s="14"/>
      <c r="C199" s="39"/>
      <c r="D199" s="39"/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>
      <c r="A200" s="14"/>
      <c r="B200" s="14"/>
      <c r="C200" s="39"/>
      <c r="D200" s="39"/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>
      <c r="A201" s="14"/>
      <c r="B201" s="14"/>
      <c r="C201" s="39"/>
      <c r="D201" s="39"/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>
      <c r="A202" s="14"/>
      <c r="B202" s="14"/>
      <c r="C202" s="39"/>
      <c r="D202" s="39"/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>
      <c r="A203" s="14"/>
      <c r="B203" s="14"/>
      <c r="C203" s="39"/>
      <c r="D203" s="39"/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>
      <c r="A204" s="14"/>
      <c r="B204" s="14"/>
      <c r="C204" s="39"/>
      <c r="D204" s="39"/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>
      <c r="A205" s="14"/>
      <c r="B205" s="14"/>
      <c r="C205" s="39"/>
      <c r="D205" s="39"/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>
      <c r="A206" s="14"/>
      <c r="B206" s="14"/>
      <c r="C206" s="39"/>
      <c r="D206" s="39"/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>
      <c r="A207" s="14"/>
      <c r="B207" s="14"/>
      <c r="C207" s="39"/>
      <c r="D207" s="39"/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>
      <c r="A208" s="14"/>
      <c r="B208" s="14"/>
      <c r="C208" s="39"/>
      <c r="D208" s="39"/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>
      <c r="A209" s="14"/>
      <c r="B209" s="14"/>
      <c r="C209" s="39"/>
      <c r="D209" s="39"/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>
      <c r="A210" s="14"/>
      <c r="B210" s="14"/>
      <c r="C210" s="39"/>
      <c r="D210" s="39"/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>
      <c r="A211" s="14"/>
      <c r="B211" s="14"/>
      <c r="C211" s="39"/>
      <c r="D211" s="39"/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>
      <c r="A212" s="14"/>
      <c r="B212" s="14"/>
      <c r="C212" s="39"/>
      <c r="D212" s="39"/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>
      <c r="A213" s="14"/>
      <c r="B213" s="14"/>
      <c r="C213" s="39"/>
      <c r="D213" s="39"/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>
      <c r="A214" s="14"/>
      <c r="B214" s="14"/>
      <c r="C214" s="39"/>
      <c r="D214" s="39"/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>
      <c r="A215" s="14"/>
      <c r="B215" s="14"/>
      <c r="C215" s="39"/>
      <c r="D215" s="39"/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>
      <c r="A216" s="14"/>
      <c r="B216" s="14"/>
      <c r="C216" s="39"/>
      <c r="D216" s="39"/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>
      <c r="A217" s="14"/>
      <c r="B217" s="14"/>
      <c r="C217" s="39"/>
      <c r="D217" s="39"/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>
      <c r="A218" s="14"/>
      <c r="B218" s="14"/>
      <c r="C218" s="39"/>
      <c r="D218" s="39"/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>
      <c r="A219" s="14"/>
      <c r="B219" s="14"/>
      <c r="C219" s="39"/>
      <c r="D219" s="39"/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>
      <c r="A220" s="14"/>
      <c r="B220" s="14"/>
      <c r="C220" s="39"/>
      <c r="D220" s="39"/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>
      <c r="R221" s="30"/>
      <c r="S221" s="40"/>
    </row>
    <row r="222" spans="1:33" ht="15.75" customHeight="1">
      <c r="R222" s="30"/>
      <c r="S222" s="40"/>
    </row>
    <row r="223" spans="1:33" ht="15.75" customHeight="1">
      <c r="R223" s="30"/>
      <c r="S223" s="40"/>
    </row>
    <row r="224" spans="1:33" ht="15.75" customHeight="1">
      <c r="R224" s="30"/>
      <c r="S224" s="40"/>
    </row>
    <row r="225" spans="18:18" ht="15.75" customHeight="1">
      <c r="R225" s="30"/>
    </row>
    <row r="226" spans="18:18" ht="15.75" customHeight="1">
      <c r="R226" s="30"/>
    </row>
    <row r="227" spans="18:18" ht="15.75" customHeight="1">
      <c r="R227" s="30"/>
    </row>
    <row r="228" spans="18:18" ht="15.75" customHeight="1">
      <c r="R228" s="30"/>
    </row>
    <row r="229" spans="18:18" ht="15.75" customHeight="1">
      <c r="R229" s="30"/>
    </row>
    <row r="230" spans="18:18" ht="15.75" customHeight="1">
      <c r="R230" s="30"/>
    </row>
    <row r="231" spans="18:18" ht="15.75" customHeight="1">
      <c r="R231" s="30"/>
    </row>
    <row r="232" spans="18:18" ht="15.75" customHeight="1">
      <c r="R232" s="30"/>
    </row>
    <row r="233" spans="18:18" ht="15.75" customHeight="1">
      <c r="R233" s="30"/>
    </row>
    <row r="234" spans="18:18" ht="15.75" customHeight="1">
      <c r="R234" s="30"/>
    </row>
    <row r="235" spans="18:18" ht="15.75" customHeight="1">
      <c r="R235" s="30"/>
    </row>
    <row r="236" spans="18:18" ht="15.75" customHeight="1">
      <c r="R236" s="30"/>
    </row>
    <row r="237" spans="18:18" ht="15.75" customHeight="1">
      <c r="R237" s="30"/>
    </row>
    <row r="238" spans="18:18" ht="15.75" customHeight="1">
      <c r="R238" s="30"/>
    </row>
    <row r="239" spans="18:18" ht="15.75" customHeight="1">
      <c r="R239" s="30"/>
    </row>
    <row r="240" spans="18:18" ht="15.75" customHeight="1">
      <c r="R240" s="30"/>
    </row>
    <row r="241" spans="18:18" ht="15.75" customHeight="1">
      <c r="R241" s="30"/>
    </row>
    <row r="242" spans="18:18" ht="15.75" customHeight="1">
      <c r="R242" s="30"/>
    </row>
    <row r="243" spans="18:18" ht="15.75" customHeight="1">
      <c r="R243" s="30"/>
    </row>
    <row r="244" spans="18:18" ht="15.75" customHeight="1">
      <c r="R244" s="30"/>
    </row>
    <row r="245" spans="18:18" ht="15.75" customHeight="1">
      <c r="R245" s="30"/>
    </row>
    <row r="246" spans="18:18" ht="15.75" customHeight="1">
      <c r="R246" s="30"/>
    </row>
    <row r="247" spans="18:18" ht="15.75" customHeight="1">
      <c r="R247" s="30"/>
    </row>
    <row r="248" spans="18:18" ht="15.75" customHeight="1">
      <c r="R248" s="30"/>
    </row>
    <row r="249" spans="18:18" ht="15.75" customHeight="1">
      <c r="R249" s="30"/>
    </row>
    <row r="250" spans="18:18" ht="15.75" customHeight="1">
      <c r="R250" s="30"/>
    </row>
    <row r="251" spans="18:18" ht="15.75" customHeight="1">
      <c r="R251" s="30"/>
    </row>
    <row r="252" spans="18:18" ht="15.75" customHeight="1">
      <c r="R252" s="30"/>
    </row>
    <row r="253" spans="18:18" ht="15.75" customHeight="1">
      <c r="R253" s="30"/>
    </row>
    <row r="254" spans="18:18" ht="15.75" customHeight="1">
      <c r="R254" s="30"/>
    </row>
    <row r="255" spans="18:18" ht="15.75" customHeight="1">
      <c r="R255" s="30"/>
    </row>
    <row r="256" spans="18:18" ht="15.75" customHeight="1">
      <c r="R256" s="30"/>
    </row>
    <row r="257" spans="18:18" ht="15.75" customHeight="1">
      <c r="R257" s="30"/>
    </row>
    <row r="258" spans="18:18" ht="15.75" customHeight="1">
      <c r="R258" s="30"/>
    </row>
    <row r="259" spans="18:18" ht="15.75" customHeight="1">
      <c r="R259" s="30"/>
    </row>
    <row r="260" spans="18:18" ht="15.75" customHeight="1">
      <c r="R260" s="30"/>
    </row>
    <row r="261" spans="18:18" ht="15.75" customHeight="1">
      <c r="R261" s="30"/>
    </row>
    <row r="262" spans="18:18" ht="15.75" customHeight="1">
      <c r="R262" s="30"/>
    </row>
    <row r="263" spans="18:18" ht="15.75" customHeight="1">
      <c r="R263" s="30"/>
    </row>
    <row r="264" spans="18:18" ht="15.75" customHeight="1">
      <c r="R264" s="30"/>
    </row>
    <row r="265" spans="18:18" ht="15.75" customHeight="1">
      <c r="R265" s="30"/>
    </row>
    <row r="266" spans="18:18" ht="15.75" customHeight="1">
      <c r="R266" s="30"/>
    </row>
    <row r="267" spans="18:18" ht="15.75" customHeight="1">
      <c r="R267" s="30"/>
    </row>
    <row r="268" spans="18:18" ht="15.75" customHeight="1">
      <c r="R268" s="30"/>
    </row>
    <row r="269" spans="18:18" ht="15.75" customHeight="1">
      <c r="R269" s="30"/>
    </row>
    <row r="270" spans="18:18" ht="15.75" customHeight="1">
      <c r="R270" s="30"/>
    </row>
    <row r="271" spans="18:18" ht="15.75" customHeight="1">
      <c r="R271" s="30"/>
    </row>
    <row r="272" spans="18:18" ht="15.75" customHeight="1">
      <c r="R272" s="30"/>
    </row>
    <row r="273" spans="18:18" ht="15.75" customHeight="1">
      <c r="R273" s="30"/>
    </row>
    <row r="274" spans="18:18" ht="15.75" customHeight="1">
      <c r="R274" s="30"/>
    </row>
    <row r="275" spans="18:18" ht="15.75" customHeight="1">
      <c r="R275" s="30"/>
    </row>
    <row r="276" spans="18:18" ht="15.75" customHeight="1">
      <c r="R276" s="30"/>
    </row>
    <row r="277" spans="18:18" ht="15.75" customHeight="1">
      <c r="R277" s="30"/>
    </row>
    <row r="278" spans="18:18" ht="15.75" customHeight="1">
      <c r="R278" s="30"/>
    </row>
    <row r="279" spans="18:18" ht="15.75" customHeight="1">
      <c r="R279" s="30"/>
    </row>
    <row r="280" spans="18:18" ht="15.75" customHeight="1">
      <c r="R280" s="30"/>
    </row>
    <row r="281" spans="18:18" ht="15.75" customHeight="1">
      <c r="R281" s="30"/>
    </row>
    <row r="282" spans="18:18" ht="15.75" customHeight="1">
      <c r="R282" s="30"/>
    </row>
    <row r="283" spans="18:18" ht="15.75" customHeight="1">
      <c r="R283" s="30"/>
    </row>
    <row r="284" spans="18:18" ht="15.75" customHeight="1">
      <c r="R284" s="30"/>
    </row>
    <row r="285" spans="18:18" ht="15.75" customHeight="1">
      <c r="R285" s="30"/>
    </row>
    <row r="286" spans="18:18" ht="15.75" customHeight="1">
      <c r="R286" s="30"/>
    </row>
    <row r="287" spans="18:18" ht="15.75" customHeight="1">
      <c r="R287" s="30"/>
    </row>
    <row r="288" spans="18:18" ht="15.75" customHeight="1">
      <c r="R288" s="30"/>
    </row>
    <row r="289" spans="18:18" ht="15.75" customHeight="1">
      <c r="R289" s="30"/>
    </row>
    <row r="290" spans="18:18" ht="15.75" customHeight="1">
      <c r="R290" s="30"/>
    </row>
    <row r="291" spans="18:18" ht="15.75" customHeight="1">
      <c r="R291" s="30"/>
    </row>
    <row r="292" spans="18:18" ht="15.75" customHeight="1">
      <c r="R292" s="30"/>
    </row>
    <row r="293" spans="18:18" ht="15.75" customHeight="1">
      <c r="R293" s="30"/>
    </row>
    <row r="294" spans="18:18" ht="15.75" customHeight="1">
      <c r="R294" s="30"/>
    </row>
    <row r="295" spans="18:18" ht="15.75" customHeight="1">
      <c r="R295" s="30"/>
    </row>
    <row r="296" spans="18:18" ht="15.75" customHeight="1">
      <c r="R296" s="30"/>
    </row>
    <row r="297" spans="18:18" ht="15.75" customHeight="1">
      <c r="R297" s="30"/>
    </row>
    <row r="298" spans="18:18" ht="15.75" customHeight="1">
      <c r="R298" s="30"/>
    </row>
    <row r="299" spans="18:18" ht="15.75" customHeight="1">
      <c r="R299" s="30"/>
    </row>
    <row r="300" spans="18:18" ht="15.75" customHeight="1">
      <c r="R300" s="30"/>
    </row>
    <row r="301" spans="18:18" ht="15.75" customHeight="1">
      <c r="R301" s="30"/>
    </row>
    <row r="302" spans="18:18" ht="15.75" customHeight="1">
      <c r="R302" s="30"/>
    </row>
    <row r="303" spans="18:18" ht="15.75" customHeight="1">
      <c r="R303" s="30"/>
    </row>
    <row r="304" spans="18:18" ht="15.75" customHeight="1">
      <c r="R304" s="30"/>
    </row>
    <row r="305" spans="18:18" ht="15.75" customHeight="1">
      <c r="R305" s="30"/>
    </row>
    <row r="306" spans="18:18" ht="15.75" customHeight="1">
      <c r="R306" s="30"/>
    </row>
    <row r="307" spans="18:18" ht="15.75" customHeight="1">
      <c r="R307" s="30"/>
    </row>
    <row r="308" spans="18:18" ht="15.75" customHeight="1">
      <c r="R308" s="30"/>
    </row>
    <row r="309" spans="18:18" ht="15.75" customHeight="1">
      <c r="R309" s="30"/>
    </row>
    <row r="310" spans="18:18" ht="15.75" customHeight="1">
      <c r="R310" s="30"/>
    </row>
    <row r="311" spans="18:18" ht="15.75" customHeight="1">
      <c r="R311" s="30"/>
    </row>
    <row r="312" spans="18:18" ht="15.75" customHeight="1">
      <c r="R312" s="30"/>
    </row>
    <row r="313" spans="18:18" ht="15.75" customHeight="1">
      <c r="R313" s="30"/>
    </row>
    <row r="314" spans="18:18" ht="15.75" customHeight="1">
      <c r="R314" s="30"/>
    </row>
    <row r="315" spans="18:18" ht="15.75" customHeight="1">
      <c r="R315" s="30"/>
    </row>
    <row r="316" spans="18:18" ht="15.75" customHeight="1">
      <c r="R316" s="30"/>
    </row>
    <row r="317" spans="18:18" ht="15.75" customHeight="1">
      <c r="R317" s="30"/>
    </row>
    <row r="318" spans="18:18" ht="15.75" customHeight="1">
      <c r="R318" s="30"/>
    </row>
    <row r="319" spans="18:18" ht="15.75" customHeight="1">
      <c r="R319" s="30"/>
    </row>
    <row r="320" spans="18:18" ht="15.75" customHeight="1">
      <c r="R320" s="30"/>
    </row>
    <row r="321" spans="18:18" ht="15.75" customHeight="1">
      <c r="R321" s="30"/>
    </row>
    <row r="322" spans="18:18" ht="15.75" customHeight="1">
      <c r="R322" s="30"/>
    </row>
    <row r="323" spans="18:18" ht="15.75" customHeight="1">
      <c r="R323" s="30"/>
    </row>
    <row r="324" spans="18:18" ht="15.75" customHeight="1">
      <c r="R324" s="30"/>
    </row>
    <row r="325" spans="18:18" ht="15.75" customHeight="1">
      <c r="R325" s="30"/>
    </row>
    <row r="326" spans="18:18" ht="15.75" customHeight="1">
      <c r="R326" s="30"/>
    </row>
    <row r="327" spans="18:18" ht="15.75" customHeight="1">
      <c r="R327" s="30"/>
    </row>
    <row r="328" spans="18:18" ht="15.75" customHeight="1">
      <c r="R328" s="30"/>
    </row>
    <row r="329" spans="18:18" ht="15.75" customHeight="1">
      <c r="R329" s="30"/>
    </row>
    <row r="330" spans="18:18" ht="15.75" customHeight="1">
      <c r="R330" s="30"/>
    </row>
    <row r="331" spans="18:18" ht="15.75" customHeight="1">
      <c r="R331" s="30"/>
    </row>
    <row r="332" spans="18:18" ht="15.75" customHeight="1">
      <c r="R332" s="30"/>
    </row>
    <row r="333" spans="18:18" ht="15.75" customHeight="1">
      <c r="R333" s="30"/>
    </row>
    <row r="334" spans="18:18" ht="15.75" customHeight="1">
      <c r="R334" s="30"/>
    </row>
    <row r="335" spans="18:18" ht="15.75" customHeight="1">
      <c r="R335" s="30"/>
    </row>
    <row r="336" spans="18:18" ht="15.75" customHeight="1">
      <c r="R336" s="30"/>
    </row>
    <row r="337" spans="18:18" ht="15.75" customHeight="1">
      <c r="R337" s="30"/>
    </row>
    <row r="338" spans="18:18" ht="15.75" customHeight="1">
      <c r="R338" s="30"/>
    </row>
    <row r="339" spans="18:18" ht="15.75" customHeight="1">
      <c r="R339" s="30"/>
    </row>
    <row r="340" spans="18:18" ht="15.75" customHeight="1">
      <c r="R340" s="30"/>
    </row>
    <row r="341" spans="18:18" ht="15.75" customHeight="1">
      <c r="R341" s="30"/>
    </row>
    <row r="342" spans="18:18" ht="15.75" customHeight="1">
      <c r="R342" s="30"/>
    </row>
    <row r="343" spans="18:18" ht="15.75" customHeight="1">
      <c r="R343" s="30"/>
    </row>
    <row r="344" spans="18:18" ht="15.75" customHeight="1">
      <c r="R344" s="30"/>
    </row>
    <row r="345" spans="18:18" ht="15.75" customHeight="1">
      <c r="R345" s="30"/>
    </row>
    <row r="346" spans="18:18" ht="15.75" customHeight="1">
      <c r="R346" s="30"/>
    </row>
    <row r="347" spans="18:18" ht="15.75" customHeight="1">
      <c r="R347" s="30"/>
    </row>
    <row r="348" spans="18:18" ht="15.75" customHeight="1">
      <c r="R348" s="30"/>
    </row>
    <row r="349" spans="18:18" ht="15.75" customHeight="1">
      <c r="R349" s="30"/>
    </row>
    <row r="350" spans="18:18" ht="15.75" customHeight="1">
      <c r="R350" s="30"/>
    </row>
    <row r="351" spans="18:18" ht="15.75" customHeight="1">
      <c r="R351" s="30"/>
    </row>
    <row r="352" spans="18:18" ht="15.75" customHeight="1">
      <c r="R352" s="30"/>
    </row>
    <row r="353" spans="18:18" ht="15.75" customHeight="1">
      <c r="R353" s="30"/>
    </row>
    <row r="354" spans="18:18" ht="15.75" customHeight="1">
      <c r="R354" s="30"/>
    </row>
    <row r="355" spans="18:18" ht="15.75" customHeight="1">
      <c r="R355" s="30"/>
    </row>
    <row r="356" spans="18:18" ht="15.75" customHeight="1">
      <c r="R356" s="30"/>
    </row>
    <row r="357" spans="18:18" ht="15.75" customHeight="1">
      <c r="R357" s="30"/>
    </row>
    <row r="358" spans="18:18" ht="15.75" customHeight="1">
      <c r="R358" s="30"/>
    </row>
    <row r="359" spans="18:18" ht="15.75" customHeight="1">
      <c r="R359" s="30"/>
    </row>
    <row r="360" spans="18:18" ht="15.75" customHeight="1">
      <c r="R360" s="30"/>
    </row>
    <row r="361" spans="18:18" ht="15.75" customHeight="1">
      <c r="R361" s="30"/>
    </row>
    <row r="362" spans="18:18" ht="15.75" customHeight="1">
      <c r="R362" s="30"/>
    </row>
    <row r="363" spans="18:18" ht="15.75" customHeight="1">
      <c r="R363" s="30"/>
    </row>
    <row r="364" spans="18:18" ht="15.75" customHeight="1">
      <c r="R364" s="30"/>
    </row>
    <row r="365" spans="18:18" ht="15.75" customHeight="1">
      <c r="R365" s="30"/>
    </row>
    <row r="366" spans="18:18" ht="15.75" customHeight="1">
      <c r="R366" s="30"/>
    </row>
    <row r="367" spans="18:18" ht="15.75" customHeight="1">
      <c r="R367" s="30"/>
    </row>
    <row r="368" spans="18:18" ht="15.75" customHeight="1">
      <c r="R368" s="30"/>
    </row>
    <row r="369" spans="18:18" ht="15.75" customHeight="1">
      <c r="R369" s="30"/>
    </row>
    <row r="370" spans="18:18" ht="15.75" customHeight="1">
      <c r="R370" s="30"/>
    </row>
    <row r="371" spans="18:18" ht="15.75" customHeight="1">
      <c r="R371" s="30"/>
    </row>
    <row r="372" spans="18:18" ht="15.75" customHeight="1">
      <c r="R372" s="30"/>
    </row>
    <row r="373" spans="18:18" ht="15.75" customHeight="1">
      <c r="R373" s="30"/>
    </row>
    <row r="374" spans="18:18" ht="15.75" customHeight="1">
      <c r="R374" s="30"/>
    </row>
    <row r="375" spans="18:18" ht="15.75" customHeight="1">
      <c r="R375" s="30"/>
    </row>
    <row r="376" spans="18:18" ht="15.75" customHeight="1">
      <c r="R376" s="30"/>
    </row>
    <row r="377" spans="18:18" ht="15.75" customHeight="1">
      <c r="R377" s="30"/>
    </row>
    <row r="378" spans="18:18" ht="15.75" customHeight="1">
      <c r="R378" s="30"/>
    </row>
    <row r="379" spans="18:18" ht="15.75" customHeight="1">
      <c r="R379" s="30"/>
    </row>
    <row r="380" spans="18:18" ht="15.75" customHeight="1">
      <c r="R380" s="30"/>
    </row>
    <row r="381" spans="18:18" ht="15.75" customHeight="1">
      <c r="R381" s="30"/>
    </row>
    <row r="382" spans="18:18" ht="15.75" customHeight="1">
      <c r="R382" s="30"/>
    </row>
    <row r="383" spans="18:18" ht="15.75" customHeight="1">
      <c r="R383" s="30"/>
    </row>
    <row r="384" spans="18:18" ht="15.75" customHeight="1">
      <c r="R384" s="30"/>
    </row>
    <row r="385" spans="18:18" ht="15.75" customHeight="1">
      <c r="R385" s="30"/>
    </row>
    <row r="386" spans="18:18" ht="15.75" customHeight="1">
      <c r="R386" s="30"/>
    </row>
    <row r="387" spans="18:18" ht="15.75" customHeight="1">
      <c r="R387" s="30"/>
    </row>
    <row r="388" spans="18:18" ht="15.75" customHeight="1">
      <c r="R388" s="30"/>
    </row>
    <row r="389" spans="18:18" ht="15.75" customHeight="1">
      <c r="R389" s="30"/>
    </row>
    <row r="390" spans="18:18" ht="15.75" customHeight="1">
      <c r="R390" s="30"/>
    </row>
    <row r="391" spans="18:18" ht="15.75" customHeight="1">
      <c r="R391" s="30"/>
    </row>
    <row r="392" spans="18:18" ht="15.75" customHeight="1">
      <c r="R392" s="30"/>
    </row>
    <row r="393" spans="18:18" ht="15.75" customHeight="1">
      <c r="R393" s="30"/>
    </row>
    <row r="394" spans="18:18" ht="15.75" customHeight="1">
      <c r="R394" s="30"/>
    </row>
    <row r="395" spans="18:18" ht="15.75" customHeight="1">
      <c r="R395" s="30"/>
    </row>
    <row r="396" spans="18:18" ht="15.75" customHeight="1">
      <c r="R396" s="30"/>
    </row>
    <row r="397" spans="18:18" ht="15.75" customHeight="1">
      <c r="R397" s="30"/>
    </row>
    <row r="398" spans="18:18" ht="15.75" customHeight="1">
      <c r="R398" s="30"/>
    </row>
    <row r="399" spans="18:18" ht="15.75" customHeight="1">
      <c r="R399" s="30"/>
    </row>
    <row r="400" spans="18:18" ht="15.75" customHeight="1">
      <c r="R400" s="30"/>
    </row>
    <row r="401" spans="18:18" ht="15.75" customHeight="1">
      <c r="R401" s="30"/>
    </row>
    <row r="402" spans="18:18" ht="15.75" customHeight="1">
      <c r="R402" s="30"/>
    </row>
    <row r="403" spans="18:18" ht="15.75" customHeight="1">
      <c r="R403" s="30"/>
    </row>
    <row r="404" spans="18:18" ht="15.75" customHeight="1">
      <c r="R404" s="30"/>
    </row>
    <row r="405" spans="18:18" ht="15.75" customHeight="1">
      <c r="R405" s="30"/>
    </row>
    <row r="406" spans="18:18" ht="15.75" customHeight="1">
      <c r="R406" s="30"/>
    </row>
    <row r="407" spans="18:18" ht="15.75" customHeight="1">
      <c r="R407" s="30"/>
    </row>
    <row r="408" spans="18:18" ht="15.75" customHeight="1">
      <c r="R408" s="30"/>
    </row>
    <row r="409" spans="18:18" ht="15.75" customHeight="1">
      <c r="R409" s="30"/>
    </row>
    <row r="410" spans="18:18" ht="15.75" customHeight="1">
      <c r="R410" s="30"/>
    </row>
    <row r="411" spans="18:18" ht="15.75" customHeight="1">
      <c r="R411" s="30"/>
    </row>
    <row r="412" spans="18:18" ht="15.75" customHeight="1">
      <c r="R412" s="30"/>
    </row>
    <row r="413" spans="18:18" ht="15.75" customHeight="1">
      <c r="R413" s="30"/>
    </row>
    <row r="414" spans="18:18" ht="15.75" customHeight="1">
      <c r="R414" s="30"/>
    </row>
    <row r="415" spans="18:18" ht="15.75" customHeight="1">
      <c r="R415" s="30"/>
    </row>
    <row r="416" spans="18:18" ht="15.75" customHeight="1">
      <c r="R416" s="30"/>
    </row>
    <row r="417" spans="18:18" ht="15.75" customHeight="1">
      <c r="R417" s="30"/>
    </row>
    <row r="418" spans="18:18" ht="15.75" customHeight="1">
      <c r="R418" s="30"/>
    </row>
    <row r="419" spans="18:18" ht="15.75" customHeight="1">
      <c r="R419" s="30"/>
    </row>
    <row r="420" spans="18:18" ht="15.75" customHeight="1">
      <c r="R420" s="30"/>
    </row>
    <row r="421" spans="18:18" ht="15.75" customHeight="1">
      <c r="R421" s="30"/>
    </row>
    <row r="422" spans="18:18" ht="15.75" customHeight="1">
      <c r="R422" s="30"/>
    </row>
    <row r="423" spans="18:18" ht="15.75" customHeight="1">
      <c r="R423" s="30"/>
    </row>
    <row r="424" spans="18:18" ht="15.75" customHeight="1">
      <c r="R424" s="30"/>
    </row>
    <row r="425" spans="18:18" ht="15.75" customHeight="1">
      <c r="R425" s="30"/>
    </row>
    <row r="426" spans="18:18" ht="15.75" customHeight="1">
      <c r="R426" s="30"/>
    </row>
    <row r="427" spans="18:18" ht="15.75" customHeight="1">
      <c r="R427" s="30"/>
    </row>
    <row r="428" spans="18:18" ht="15.75" customHeight="1">
      <c r="R428" s="30"/>
    </row>
    <row r="429" spans="18:18" ht="15.75" customHeight="1">
      <c r="R429" s="30"/>
    </row>
    <row r="430" spans="18:18" ht="15.75" customHeight="1">
      <c r="R430" s="30"/>
    </row>
    <row r="431" spans="18:18" ht="15.75" customHeight="1">
      <c r="R431" s="30"/>
    </row>
    <row r="432" spans="18:18" ht="15.75" customHeight="1">
      <c r="R432" s="30"/>
    </row>
    <row r="433" spans="18:18" ht="15.75" customHeight="1">
      <c r="R433" s="30"/>
    </row>
    <row r="434" spans="18:18" ht="15.75" customHeight="1">
      <c r="R434" s="30"/>
    </row>
    <row r="435" spans="18:18" ht="15.75" customHeight="1">
      <c r="R435" s="30"/>
    </row>
    <row r="436" spans="18:18" ht="15.75" customHeight="1">
      <c r="R436" s="30"/>
    </row>
    <row r="437" spans="18:18" ht="15.75" customHeight="1">
      <c r="R437" s="30"/>
    </row>
    <row r="438" spans="18:18" ht="15.75" customHeight="1">
      <c r="R438" s="30"/>
    </row>
    <row r="439" spans="18:18" ht="15.75" customHeight="1">
      <c r="R439" s="30"/>
    </row>
    <row r="440" spans="18:18" ht="15.75" customHeight="1">
      <c r="R440" s="30"/>
    </row>
    <row r="441" spans="18:18" ht="15.75" customHeight="1">
      <c r="R441" s="30"/>
    </row>
    <row r="442" spans="18:18" ht="15.75" customHeight="1">
      <c r="R442" s="30"/>
    </row>
    <row r="443" spans="18:18" ht="15.75" customHeight="1">
      <c r="R443" s="30"/>
    </row>
    <row r="444" spans="18:18" ht="15.75" customHeight="1">
      <c r="R444" s="30"/>
    </row>
    <row r="445" spans="18:18" ht="15.75" customHeight="1">
      <c r="R445" s="30"/>
    </row>
    <row r="446" spans="18:18" ht="15.75" customHeight="1">
      <c r="R446" s="30"/>
    </row>
    <row r="447" spans="18:18" ht="15.75" customHeight="1">
      <c r="R447" s="30"/>
    </row>
    <row r="448" spans="18:18" ht="15.75" customHeight="1">
      <c r="R448" s="30"/>
    </row>
    <row r="449" spans="18:18" ht="15.75" customHeight="1">
      <c r="R449" s="30"/>
    </row>
    <row r="450" spans="18:18" ht="15.75" customHeight="1">
      <c r="R450" s="30"/>
    </row>
    <row r="451" spans="18:18" ht="15.75" customHeight="1">
      <c r="R451" s="30"/>
    </row>
    <row r="452" spans="18:18" ht="15.75" customHeight="1">
      <c r="R452" s="30"/>
    </row>
    <row r="453" spans="18:18" ht="15.75" customHeight="1">
      <c r="R453" s="30"/>
    </row>
    <row r="454" spans="18:18" ht="15.75" customHeight="1">
      <c r="R454" s="30"/>
    </row>
    <row r="455" spans="18:18" ht="15.75" customHeight="1">
      <c r="R455" s="30"/>
    </row>
    <row r="456" spans="18:18" ht="15.75" customHeight="1">
      <c r="R456" s="30"/>
    </row>
    <row r="457" spans="18:18" ht="15.75" customHeight="1">
      <c r="R457" s="30"/>
    </row>
    <row r="458" spans="18:18" ht="15.75" customHeight="1">
      <c r="R458" s="30"/>
    </row>
    <row r="459" spans="18:18" ht="15.75" customHeight="1">
      <c r="R459" s="30"/>
    </row>
    <row r="460" spans="18:18" ht="15.75" customHeight="1">
      <c r="R460" s="30"/>
    </row>
    <row r="461" spans="18:18" ht="15.75" customHeight="1">
      <c r="R461" s="30"/>
    </row>
    <row r="462" spans="18:18" ht="15.75" customHeight="1">
      <c r="R462" s="30"/>
    </row>
    <row r="463" spans="18:18" ht="15.75" customHeight="1">
      <c r="R463" s="30"/>
    </row>
    <row r="464" spans="18:18" ht="15.75" customHeight="1">
      <c r="R464" s="30"/>
    </row>
    <row r="465" spans="18:18" ht="15.75" customHeight="1">
      <c r="R465" s="30"/>
    </row>
    <row r="466" spans="18:18" ht="15.75" customHeight="1">
      <c r="R466" s="30"/>
    </row>
    <row r="467" spans="18:18" ht="15.75" customHeight="1">
      <c r="R467" s="30"/>
    </row>
    <row r="468" spans="18:18" ht="15.75" customHeight="1">
      <c r="R468" s="30"/>
    </row>
    <row r="469" spans="18:18" ht="15.75" customHeight="1">
      <c r="R469" s="30"/>
    </row>
    <row r="470" spans="18:18" ht="15.75" customHeight="1">
      <c r="R470" s="30"/>
    </row>
    <row r="471" spans="18:18" ht="15.75" customHeight="1">
      <c r="R471" s="30"/>
    </row>
    <row r="472" spans="18:18" ht="15.75" customHeight="1">
      <c r="R472" s="30"/>
    </row>
    <row r="473" spans="18:18" ht="15.75" customHeight="1">
      <c r="R473" s="30"/>
    </row>
    <row r="474" spans="18:18" ht="15.75" customHeight="1">
      <c r="R474" s="30"/>
    </row>
    <row r="475" spans="18:18" ht="15.75" customHeight="1">
      <c r="R475" s="30"/>
    </row>
    <row r="476" spans="18:18" ht="15.75" customHeight="1">
      <c r="R476" s="30"/>
    </row>
    <row r="477" spans="18:18" ht="15.75" customHeight="1">
      <c r="R477" s="30"/>
    </row>
    <row r="478" spans="18:18" ht="15.75" customHeight="1">
      <c r="R478" s="30"/>
    </row>
    <row r="479" spans="18:18" ht="15.75" customHeight="1">
      <c r="R479" s="30"/>
    </row>
    <row r="480" spans="18:18" ht="15.75" customHeight="1">
      <c r="R480" s="30"/>
    </row>
    <row r="481" spans="18:18" ht="15.75" customHeight="1">
      <c r="R481" s="30"/>
    </row>
    <row r="482" spans="18:18" ht="15.75" customHeight="1">
      <c r="R482" s="30"/>
    </row>
    <row r="483" spans="18:18" ht="15.75" customHeight="1">
      <c r="R483" s="30"/>
    </row>
    <row r="484" spans="18:18" ht="15.75" customHeight="1">
      <c r="R484" s="30"/>
    </row>
    <row r="485" spans="18:18" ht="15.75" customHeight="1">
      <c r="R485" s="30"/>
    </row>
    <row r="486" spans="18:18" ht="15.75" customHeight="1">
      <c r="R486" s="30"/>
    </row>
    <row r="487" spans="18:18" ht="15.75" customHeight="1">
      <c r="R487" s="30"/>
    </row>
    <row r="488" spans="18:18" ht="15.75" customHeight="1">
      <c r="R488" s="30"/>
    </row>
    <row r="489" spans="18:18" ht="15.75" customHeight="1">
      <c r="R489" s="30"/>
    </row>
    <row r="490" spans="18:18" ht="15.75" customHeight="1">
      <c r="R490" s="30"/>
    </row>
    <row r="491" spans="18:18" ht="15.75" customHeight="1">
      <c r="R491" s="30"/>
    </row>
    <row r="492" spans="18:18" ht="15.75" customHeight="1">
      <c r="R492" s="30"/>
    </row>
    <row r="493" spans="18:18" ht="15.75" customHeight="1">
      <c r="R493" s="30"/>
    </row>
    <row r="494" spans="18:18" ht="15.75" customHeight="1">
      <c r="R494" s="30"/>
    </row>
    <row r="495" spans="18:18" ht="15.75" customHeight="1">
      <c r="R495" s="30"/>
    </row>
    <row r="496" spans="18:18" ht="15.75" customHeight="1">
      <c r="R496" s="30"/>
    </row>
    <row r="497" spans="18:18" ht="15.75" customHeight="1">
      <c r="R497" s="30"/>
    </row>
    <row r="498" spans="18:18" ht="15.75" customHeight="1">
      <c r="R498" s="30"/>
    </row>
    <row r="499" spans="18:18" ht="15.75" customHeight="1">
      <c r="R499" s="30"/>
    </row>
    <row r="500" spans="18:18" ht="15.75" customHeight="1">
      <c r="R500" s="30"/>
    </row>
    <row r="501" spans="18:18" ht="15.75" customHeight="1">
      <c r="R501" s="30"/>
    </row>
    <row r="502" spans="18:18" ht="15.75" customHeight="1">
      <c r="R502" s="30"/>
    </row>
    <row r="503" spans="18:18" ht="15.75" customHeight="1">
      <c r="R503" s="30"/>
    </row>
    <row r="504" spans="18:18" ht="15.75" customHeight="1">
      <c r="R504" s="30"/>
    </row>
    <row r="505" spans="18:18" ht="15.75" customHeight="1">
      <c r="R505" s="30"/>
    </row>
    <row r="506" spans="18:18" ht="15.75" customHeight="1">
      <c r="R506" s="30"/>
    </row>
    <row r="507" spans="18:18" ht="15.75" customHeight="1">
      <c r="R507" s="30"/>
    </row>
    <row r="508" spans="18:18" ht="15.75" customHeight="1">
      <c r="R508" s="30"/>
    </row>
    <row r="509" spans="18:18" ht="15.75" customHeight="1">
      <c r="R509" s="30"/>
    </row>
    <row r="510" spans="18:18" ht="15.75" customHeight="1">
      <c r="R510" s="30"/>
    </row>
    <row r="511" spans="18:18" ht="15.75" customHeight="1">
      <c r="R511" s="30"/>
    </row>
    <row r="512" spans="18:18" ht="15.75" customHeight="1">
      <c r="R512" s="30"/>
    </row>
    <row r="513" spans="18:18" ht="15.75" customHeight="1">
      <c r="R513" s="30"/>
    </row>
    <row r="514" spans="18:18" ht="15.75" customHeight="1">
      <c r="R514" s="30"/>
    </row>
    <row r="515" spans="18:18" ht="15.75" customHeight="1">
      <c r="R515" s="30"/>
    </row>
    <row r="516" spans="18:18" ht="15.75" customHeight="1">
      <c r="R516" s="30"/>
    </row>
    <row r="517" spans="18:18" ht="15.75" customHeight="1">
      <c r="R517" s="30"/>
    </row>
    <row r="518" spans="18:18" ht="15.75" customHeight="1">
      <c r="R518" s="30"/>
    </row>
    <row r="519" spans="18:18" ht="15.75" customHeight="1">
      <c r="R519" s="30"/>
    </row>
    <row r="520" spans="18:18" ht="15.75" customHeight="1">
      <c r="R520" s="30"/>
    </row>
    <row r="521" spans="18:18" ht="15.75" customHeight="1">
      <c r="R521" s="30"/>
    </row>
    <row r="522" spans="18:18" ht="15.75" customHeight="1">
      <c r="R522" s="30"/>
    </row>
    <row r="523" spans="18:18" ht="15.75" customHeight="1">
      <c r="R523" s="30"/>
    </row>
    <row r="524" spans="18:18" ht="15.75" customHeight="1">
      <c r="R524" s="30"/>
    </row>
    <row r="525" spans="18:18" ht="15.75" customHeight="1">
      <c r="R525" s="30"/>
    </row>
    <row r="526" spans="18:18" ht="15.75" customHeight="1">
      <c r="R526" s="30"/>
    </row>
    <row r="527" spans="18:18" ht="15.75" customHeight="1">
      <c r="R527" s="30"/>
    </row>
    <row r="528" spans="18:18" ht="15.75" customHeight="1">
      <c r="R528" s="30"/>
    </row>
    <row r="529" spans="18:18" ht="15.75" customHeight="1">
      <c r="R529" s="30"/>
    </row>
    <row r="530" spans="18:18" ht="15.75" customHeight="1">
      <c r="R530" s="30"/>
    </row>
    <row r="531" spans="18:18" ht="15.75" customHeight="1">
      <c r="R531" s="30"/>
    </row>
    <row r="532" spans="18:18" ht="15.75" customHeight="1">
      <c r="R532" s="30"/>
    </row>
    <row r="533" spans="18:18" ht="15.75" customHeight="1">
      <c r="R533" s="30"/>
    </row>
    <row r="534" spans="18:18" ht="15.75" customHeight="1">
      <c r="R534" s="30"/>
    </row>
    <row r="535" spans="18:18" ht="15.75" customHeight="1">
      <c r="R535" s="30"/>
    </row>
    <row r="536" spans="18:18" ht="15.75" customHeight="1">
      <c r="R536" s="30"/>
    </row>
    <row r="537" spans="18:18" ht="15.75" customHeight="1">
      <c r="R537" s="30"/>
    </row>
    <row r="538" spans="18:18" ht="15.75" customHeight="1">
      <c r="R538" s="30"/>
    </row>
    <row r="539" spans="18:18" ht="15.75" customHeight="1">
      <c r="R539" s="30"/>
    </row>
    <row r="540" spans="18:18" ht="15.75" customHeight="1">
      <c r="R540" s="30"/>
    </row>
    <row r="541" spans="18:18" ht="15.75" customHeight="1">
      <c r="R541" s="30"/>
    </row>
    <row r="542" spans="18:18" ht="15.75" customHeight="1">
      <c r="R542" s="30"/>
    </row>
    <row r="543" spans="18:18" ht="15.75" customHeight="1">
      <c r="R543" s="30"/>
    </row>
    <row r="544" spans="18:18" ht="15.75" customHeight="1">
      <c r="R544" s="30"/>
    </row>
    <row r="545" spans="18:18" ht="15.75" customHeight="1">
      <c r="R545" s="30"/>
    </row>
    <row r="546" spans="18:18" ht="15.75" customHeight="1">
      <c r="R546" s="30"/>
    </row>
    <row r="547" spans="18:18" ht="15.75" customHeight="1">
      <c r="R547" s="30"/>
    </row>
    <row r="548" spans="18:18" ht="15.75" customHeight="1">
      <c r="R548" s="30"/>
    </row>
    <row r="549" spans="18:18" ht="15.75" customHeight="1">
      <c r="R549" s="30"/>
    </row>
    <row r="550" spans="18:18" ht="15.75" customHeight="1">
      <c r="R550" s="30"/>
    </row>
    <row r="551" spans="18:18" ht="15.75" customHeight="1">
      <c r="R551" s="30"/>
    </row>
    <row r="552" spans="18:18" ht="15.75" customHeight="1">
      <c r="R552" s="30"/>
    </row>
    <row r="553" spans="18:18" ht="15.75" customHeight="1">
      <c r="R553" s="30"/>
    </row>
    <row r="554" spans="18:18" ht="15.75" customHeight="1">
      <c r="R554" s="30"/>
    </row>
    <row r="555" spans="18:18" ht="15.75" customHeight="1">
      <c r="R555" s="30"/>
    </row>
    <row r="556" spans="18:18" ht="15.75" customHeight="1">
      <c r="R556" s="30"/>
    </row>
    <row r="557" spans="18:18" ht="15.75" customHeight="1">
      <c r="R557" s="30"/>
    </row>
    <row r="558" spans="18:18" ht="15.75" customHeight="1">
      <c r="R558" s="30"/>
    </row>
    <row r="559" spans="18:18" ht="15.75" customHeight="1">
      <c r="R559" s="30"/>
    </row>
    <row r="560" spans="18:18" ht="15.75" customHeight="1">
      <c r="R560" s="30"/>
    </row>
    <row r="561" spans="18:18" ht="15.75" customHeight="1">
      <c r="R561" s="30"/>
    </row>
    <row r="562" spans="18:18" ht="15.75" customHeight="1">
      <c r="R562" s="30"/>
    </row>
    <row r="563" spans="18:18" ht="15.75" customHeight="1">
      <c r="R563" s="30"/>
    </row>
    <row r="564" spans="18:18" ht="15.75" customHeight="1">
      <c r="R564" s="30"/>
    </row>
    <row r="565" spans="18:18" ht="15.75" customHeight="1">
      <c r="R565" s="30"/>
    </row>
    <row r="566" spans="18:18" ht="15.75" customHeight="1">
      <c r="R566" s="30"/>
    </row>
    <row r="567" spans="18:18" ht="15.75" customHeight="1">
      <c r="R567" s="30"/>
    </row>
    <row r="568" spans="18:18" ht="15.75" customHeight="1">
      <c r="R568" s="30"/>
    </row>
    <row r="569" spans="18:18" ht="15.75" customHeight="1">
      <c r="R569" s="30"/>
    </row>
    <row r="570" spans="18:18" ht="15.75" customHeight="1">
      <c r="R570" s="30"/>
    </row>
    <row r="571" spans="18:18" ht="15.75" customHeight="1">
      <c r="R571" s="30"/>
    </row>
    <row r="572" spans="18:18" ht="15.75" customHeight="1">
      <c r="R572" s="30"/>
    </row>
    <row r="573" spans="18:18" ht="15.75" customHeight="1">
      <c r="R573" s="30"/>
    </row>
    <row r="574" spans="18:18" ht="15.75" customHeight="1">
      <c r="R574" s="30"/>
    </row>
    <row r="575" spans="18:18" ht="15.75" customHeight="1">
      <c r="R575" s="30"/>
    </row>
    <row r="576" spans="18:18" ht="15.75" customHeight="1">
      <c r="R576" s="30"/>
    </row>
    <row r="577" spans="18:18" ht="15.75" customHeight="1">
      <c r="R577" s="30"/>
    </row>
    <row r="578" spans="18:18" ht="15.75" customHeight="1">
      <c r="R578" s="30"/>
    </row>
    <row r="579" spans="18:18" ht="15.75" customHeight="1">
      <c r="R579" s="30"/>
    </row>
    <row r="580" spans="18:18" ht="15.75" customHeight="1">
      <c r="R580" s="30"/>
    </row>
    <row r="581" spans="18:18" ht="15.75" customHeight="1">
      <c r="R581" s="30"/>
    </row>
    <row r="582" spans="18:18" ht="15.75" customHeight="1">
      <c r="R582" s="30"/>
    </row>
    <row r="583" spans="18:18" ht="15.75" customHeight="1">
      <c r="R583" s="30"/>
    </row>
    <row r="584" spans="18:18" ht="15.75" customHeight="1">
      <c r="R584" s="30"/>
    </row>
    <row r="585" spans="18:18" ht="15.75" customHeight="1">
      <c r="R585" s="30"/>
    </row>
    <row r="586" spans="18:18" ht="15.75" customHeight="1">
      <c r="R586" s="30"/>
    </row>
    <row r="587" spans="18:18" ht="15.75" customHeight="1">
      <c r="R587" s="30"/>
    </row>
    <row r="588" spans="18:18" ht="15.75" customHeight="1">
      <c r="R588" s="30"/>
    </row>
    <row r="589" spans="18:18" ht="15.75" customHeight="1">
      <c r="R589" s="30"/>
    </row>
    <row r="590" spans="18:18" ht="15.75" customHeight="1">
      <c r="R590" s="30"/>
    </row>
    <row r="591" spans="18:18" ht="15.75" customHeight="1">
      <c r="R591" s="30"/>
    </row>
    <row r="592" spans="18:18" ht="15.75" customHeight="1">
      <c r="R592" s="30"/>
    </row>
    <row r="593" spans="18:18" ht="15.75" customHeight="1">
      <c r="R593" s="30"/>
    </row>
    <row r="594" spans="18:18" ht="15.75" customHeight="1">
      <c r="R594" s="30"/>
    </row>
    <row r="595" spans="18:18" ht="15.75" customHeight="1">
      <c r="R595" s="30"/>
    </row>
    <row r="596" spans="18:18" ht="15.75" customHeight="1">
      <c r="R596" s="30"/>
    </row>
    <row r="597" spans="18:18" ht="15.75" customHeight="1">
      <c r="R597" s="30"/>
    </row>
    <row r="598" spans="18:18" ht="15.75" customHeight="1">
      <c r="R598" s="30"/>
    </row>
    <row r="599" spans="18:18" ht="15.75" customHeight="1">
      <c r="R599" s="30"/>
    </row>
    <row r="600" spans="18:18" ht="15.75" customHeight="1">
      <c r="R600" s="30"/>
    </row>
    <row r="601" spans="18:18" ht="15.75" customHeight="1">
      <c r="R601" s="30"/>
    </row>
    <row r="602" spans="18:18" ht="15.75" customHeight="1">
      <c r="R602" s="30"/>
    </row>
    <row r="603" spans="18:18" ht="15.75" customHeight="1">
      <c r="R603" s="30"/>
    </row>
    <row r="604" spans="18:18" ht="15.75" customHeight="1">
      <c r="R604" s="30"/>
    </row>
    <row r="605" spans="18:18" ht="15.75" customHeight="1">
      <c r="R605" s="30"/>
    </row>
    <row r="606" spans="18:18" ht="15.75" customHeight="1">
      <c r="R606" s="30"/>
    </row>
    <row r="607" spans="18:18" ht="15.75" customHeight="1">
      <c r="R607" s="30"/>
    </row>
    <row r="608" spans="18:18" ht="15.75" customHeight="1">
      <c r="R608" s="30"/>
    </row>
    <row r="609" spans="18:18" ht="15.75" customHeight="1">
      <c r="R609" s="30"/>
    </row>
    <row r="610" spans="18:18" ht="15.75" customHeight="1">
      <c r="R610" s="30"/>
    </row>
    <row r="611" spans="18:18" ht="15.75" customHeight="1">
      <c r="R611" s="30"/>
    </row>
    <row r="612" spans="18:18" ht="15.75" customHeight="1">
      <c r="R612" s="30"/>
    </row>
    <row r="613" spans="18:18" ht="15.75" customHeight="1">
      <c r="R613" s="30"/>
    </row>
    <row r="614" spans="18:18" ht="15.75" customHeight="1">
      <c r="R614" s="30"/>
    </row>
    <row r="615" spans="18:18" ht="15.75" customHeight="1">
      <c r="R615" s="30"/>
    </row>
    <row r="616" spans="18:18" ht="15.75" customHeight="1">
      <c r="R616" s="30"/>
    </row>
    <row r="617" spans="18:18" ht="15.75" customHeight="1">
      <c r="R617" s="30"/>
    </row>
    <row r="618" spans="18:18" ht="15.75" customHeight="1">
      <c r="R618" s="30"/>
    </row>
    <row r="619" spans="18:18" ht="15.75" customHeight="1">
      <c r="R619" s="30"/>
    </row>
    <row r="620" spans="18:18" ht="15.75" customHeight="1">
      <c r="R620" s="30"/>
    </row>
    <row r="621" spans="18:18" ht="15.75" customHeight="1">
      <c r="R621" s="30"/>
    </row>
    <row r="622" spans="18:18" ht="15.75" customHeight="1">
      <c r="R622" s="30"/>
    </row>
    <row r="623" spans="18:18" ht="15.75" customHeight="1">
      <c r="R623" s="30"/>
    </row>
    <row r="624" spans="18:18" ht="15.75" customHeight="1">
      <c r="R624" s="30"/>
    </row>
    <row r="625" spans="18:18" ht="15.75" customHeight="1">
      <c r="R625" s="30"/>
    </row>
    <row r="626" spans="18:18" ht="15.75" customHeight="1">
      <c r="R626" s="30"/>
    </row>
    <row r="627" spans="18:18" ht="15.75" customHeight="1">
      <c r="R627" s="30"/>
    </row>
    <row r="628" spans="18:18" ht="15.75" customHeight="1">
      <c r="R628" s="30"/>
    </row>
    <row r="629" spans="18:18" ht="15.75" customHeight="1">
      <c r="R629" s="30"/>
    </row>
    <row r="630" spans="18:18" ht="15.75" customHeight="1">
      <c r="R630" s="30"/>
    </row>
    <row r="631" spans="18:18" ht="15.75" customHeight="1">
      <c r="R631" s="30"/>
    </row>
    <row r="632" spans="18:18" ht="15.75" customHeight="1">
      <c r="R632" s="30"/>
    </row>
    <row r="633" spans="18:18" ht="15.75" customHeight="1">
      <c r="R633" s="30"/>
    </row>
    <row r="634" spans="18:18" ht="15.75" customHeight="1">
      <c r="R634" s="30"/>
    </row>
    <row r="635" spans="18:18" ht="15.75" customHeight="1">
      <c r="R635" s="30"/>
    </row>
    <row r="636" spans="18:18" ht="15.75" customHeight="1">
      <c r="R636" s="30"/>
    </row>
    <row r="637" spans="18:18" ht="15.75" customHeight="1">
      <c r="R637" s="30"/>
    </row>
    <row r="638" spans="18:18" ht="15.75" customHeight="1">
      <c r="R638" s="30"/>
    </row>
    <row r="639" spans="18:18" ht="15.75" customHeight="1">
      <c r="R639" s="30"/>
    </row>
    <row r="640" spans="18:18" ht="15.75" customHeight="1">
      <c r="R640" s="30"/>
    </row>
    <row r="641" spans="18:18" ht="15.75" customHeight="1">
      <c r="R641" s="30"/>
    </row>
    <row r="642" spans="18:18" ht="15.75" customHeight="1">
      <c r="R642" s="30"/>
    </row>
    <row r="643" spans="18:18" ht="15.75" customHeight="1">
      <c r="R643" s="30"/>
    </row>
    <row r="644" spans="18:18" ht="15.75" customHeight="1">
      <c r="R644" s="30"/>
    </row>
    <row r="645" spans="18:18" ht="15.75" customHeight="1">
      <c r="R645" s="30"/>
    </row>
    <row r="646" spans="18:18" ht="15.75" customHeight="1">
      <c r="R646" s="30"/>
    </row>
    <row r="647" spans="18:18" ht="15.75" customHeight="1">
      <c r="R647" s="30"/>
    </row>
    <row r="648" spans="18:18" ht="15.75" customHeight="1">
      <c r="R648" s="30"/>
    </row>
    <row r="649" spans="18:18" ht="15.75" customHeight="1">
      <c r="R649" s="30"/>
    </row>
    <row r="650" spans="18:18" ht="15.75" customHeight="1">
      <c r="R650" s="30"/>
    </row>
    <row r="651" spans="18:18" ht="15.75" customHeight="1">
      <c r="R651" s="30"/>
    </row>
    <row r="652" spans="18:18" ht="15.75" customHeight="1">
      <c r="R652" s="30"/>
    </row>
    <row r="653" spans="18:18" ht="15.75" customHeight="1">
      <c r="R653" s="30"/>
    </row>
    <row r="654" spans="18:18" ht="15.75" customHeight="1">
      <c r="R654" s="30"/>
    </row>
    <row r="655" spans="18:18" ht="15.75" customHeight="1">
      <c r="R655" s="30"/>
    </row>
    <row r="656" spans="18:18" ht="15.75" customHeight="1">
      <c r="R656" s="30"/>
    </row>
    <row r="657" spans="18:18" ht="15.75" customHeight="1">
      <c r="R657" s="30"/>
    </row>
    <row r="658" spans="18:18" ht="15.75" customHeight="1">
      <c r="R658" s="30"/>
    </row>
    <row r="659" spans="18:18" ht="15.75" customHeight="1">
      <c r="R659" s="30"/>
    </row>
    <row r="660" spans="18:18" ht="15.75" customHeight="1">
      <c r="R660" s="30"/>
    </row>
    <row r="661" spans="18:18" ht="15.75" customHeight="1">
      <c r="R661" s="30"/>
    </row>
    <row r="662" spans="18:18" ht="15.75" customHeight="1">
      <c r="R662" s="30"/>
    </row>
    <row r="663" spans="18:18" ht="15.75" customHeight="1">
      <c r="R663" s="30"/>
    </row>
    <row r="664" spans="18:18" ht="15.75" customHeight="1">
      <c r="R664" s="30"/>
    </row>
    <row r="665" spans="18:18" ht="15.75" customHeight="1">
      <c r="R665" s="30"/>
    </row>
    <row r="666" spans="18:18" ht="15.75" customHeight="1">
      <c r="R666" s="30"/>
    </row>
    <row r="667" spans="18:18" ht="15.75" customHeight="1">
      <c r="R667" s="30"/>
    </row>
    <row r="668" spans="18:18" ht="15.75" customHeight="1">
      <c r="R668" s="30"/>
    </row>
    <row r="669" spans="18:18" ht="15.75" customHeight="1">
      <c r="R669" s="30"/>
    </row>
    <row r="670" spans="18:18" ht="15.75" customHeight="1">
      <c r="R670" s="30"/>
    </row>
    <row r="671" spans="18:18" ht="15.75" customHeight="1">
      <c r="R671" s="30"/>
    </row>
    <row r="672" spans="18:18" ht="15.75" customHeight="1">
      <c r="R672" s="30"/>
    </row>
    <row r="673" spans="18:18" ht="15.75" customHeight="1">
      <c r="R673" s="30"/>
    </row>
    <row r="674" spans="18:18" ht="15.75" customHeight="1">
      <c r="R674" s="30"/>
    </row>
    <row r="675" spans="18:18" ht="15.75" customHeight="1">
      <c r="R675" s="30"/>
    </row>
    <row r="676" spans="18:18" ht="15.75" customHeight="1">
      <c r="R676" s="30"/>
    </row>
    <row r="677" spans="18:18" ht="15.75" customHeight="1">
      <c r="R677" s="30"/>
    </row>
    <row r="678" spans="18:18" ht="15.75" customHeight="1">
      <c r="R678" s="30"/>
    </row>
    <row r="679" spans="18:18" ht="15.75" customHeight="1">
      <c r="R679" s="30"/>
    </row>
    <row r="680" spans="18:18" ht="15.75" customHeight="1">
      <c r="R680" s="30"/>
    </row>
    <row r="681" spans="18:18" ht="15.75" customHeight="1">
      <c r="R681" s="30"/>
    </row>
    <row r="682" spans="18:18" ht="15.75" customHeight="1">
      <c r="R682" s="30"/>
    </row>
    <row r="683" spans="18:18" ht="15.75" customHeight="1">
      <c r="R683" s="30"/>
    </row>
    <row r="684" spans="18:18" ht="15.75" customHeight="1">
      <c r="R684" s="30"/>
    </row>
    <row r="685" spans="18:18" ht="15.75" customHeight="1">
      <c r="R685" s="30"/>
    </row>
    <row r="686" spans="18:18" ht="15.75" customHeight="1">
      <c r="R686" s="30"/>
    </row>
    <row r="687" spans="18:18" ht="15.75" customHeight="1">
      <c r="R687" s="30"/>
    </row>
    <row r="688" spans="18:18" ht="15.75" customHeight="1">
      <c r="R688" s="30"/>
    </row>
    <row r="689" spans="18:18" ht="15.75" customHeight="1">
      <c r="R689" s="30"/>
    </row>
    <row r="690" spans="18:18" ht="15.75" customHeight="1">
      <c r="R690" s="30"/>
    </row>
    <row r="691" spans="18:18" ht="15.75" customHeight="1">
      <c r="R691" s="30"/>
    </row>
    <row r="692" spans="18:18" ht="15.75" customHeight="1">
      <c r="R692" s="30"/>
    </row>
    <row r="693" spans="18:18" ht="15.75" customHeight="1">
      <c r="R693" s="30"/>
    </row>
    <row r="694" spans="18:18" ht="15.75" customHeight="1">
      <c r="R694" s="30"/>
    </row>
    <row r="695" spans="18:18" ht="15.75" customHeight="1">
      <c r="R695" s="30"/>
    </row>
    <row r="696" spans="18:18" ht="15.75" customHeight="1">
      <c r="R696" s="30"/>
    </row>
    <row r="697" spans="18:18" ht="15.75" customHeight="1">
      <c r="R697" s="30"/>
    </row>
    <row r="698" spans="18:18" ht="15.75" customHeight="1">
      <c r="R698" s="30"/>
    </row>
    <row r="699" spans="18:18" ht="15.75" customHeight="1">
      <c r="R699" s="30"/>
    </row>
    <row r="700" spans="18:18" ht="15.75" customHeight="1">
      <c r="R700" s="30"/>
    </row>
    <row r="701" spans="18:18" ht="15.75" customHeight="1">
      <c r="R701" s="30"/>
    </row>
    <row r="702" spans="18:18" ht="15.75" customHeight="1">
      <c r="R702" s="30"/>
    </row>
    <row r="703" spans="18:18" ht="15.75" customHeight="1">
      <c r="R703" s="30"/>
    </row>
    <row r="704" spans="18:18" ht="15.75" customHeight="1">
      <c r="R704" s="30"/>
    </row>
    <row r="705" spans="18:18" ht="15.75" customHeight="1">
      <c r="R705" s="30"/>
    </row>
    <row r="706" spans="18:18" ht="15.75" customHeight="1">
      <c r="R706" s="30"/>
    </row>
    <row r="707" spans="18:18" ht="15.75" customHeight="1">
      <c r="R707" s="30"/>
    </row>
    <row r="708" spans="18:18" ht="15.75" customHeight="1">
      <c r="R708" s="30"/>
    </row>
    <row r="709" spans="18:18" ht="15.75" customHeight="1">
      <c r="R709" s="30"/>
    </row>
    <row r="710" spans="18:18" ht="15.75" customHeight="1">
      <c r="R710" s="30"/>
    </row>
    <row r="711" spans="18:18" ht="15.75" customHeight="1">
      <c r="R711" s="30"/>
    </row>
    <row r="712" spans="18:18" ht="15.75" customHeight="1">
      <c r="R712" s="30"/>
    </row>
    <row r="713" spans="18:18" ht="15.75" customHeight="1">
      <c r="R713" s="30"/>
    </row>
    <row r="714" spans="18:18" ht="15.75" customHeight="1">
      <c r="R714" s="30"/>
    </row>
    <row r="715" spans="18:18" ht="15.75" customHeight="1">
      <c r="R715" s="30"/>
    </row>
    <row r="716" spans="18:18" ht="15.75" customHeight="1">
      <c r="R716" s="30"/>
    </row>
    <row r="717" spans="18:18" ht="15.75" customHeight="1">
      <c r="R717" s="30"/>
    </row>
    <row r="718" spans="18:18" ht="15.75" customHeight="1">
      <c r="R718" s="30"/>
    </row>
    <row r="719" spans="18:18" ht="15.75" customHeight="1">
      <c r="R719" s="30"/>
    </row>
    <row r="720" spans="18:18" ht="15.75" customHeight="1">
      <c r="R720" s="30"/>
    </row>
    <row r="721" spans="18:18" ht="15.75" customHeight="1">
      <c r="R721" s="30"/>
    </row>
    <row r="722" spans="18:18" ht="15.75" customHeight="1">
      <c r="R722" s="30"/>
    </row>
    <row r="723" spans="18:18" ht="15.75" customHeight="1">
      <c r="R723" s="30"/>
    </row>
    <row r="724" spans="18:18" ht="15.75" customHeight="1">
      <c r="R724" s="30"/>
    </row>
    <row r="725" spans="18:18" ht="15.75" customHeight="1">
      <c r="R725" s="30"/>
    </row>
    <row r="726" spans="18:18" ht="15.75" customHeight="1">
      <c r="R726" s="30"/>
    </row>
    <row r="727" spans="18:18" ht="15.75" customHeight="1">
      <c r="R727" s="30"/>
    </row>
    <row r="728" spans="18:18" ht="15.75" customHeight="1">
      <c r="R728" s="30"/>
    </row>
    <row r="729" spans="18:18" ht="15.75" customHeight="1">
      <c r="R729" s="30"/>
    </row>
    <row r="730" spans="18:18" ht="15.75" customHeight="1">
      <c r="R730" s="30"/>
    </row>
    <row r="731" spans="18:18" ht="15.75" customHeight="1">
      <c r="R731" s="30"/>
    </row>
    <row r="732" spans="18:18" ht="15.75" customHeight="1">
      <c r="R732" s="30"/>
    </row>
    <row r="733" spans="18:18" ht="15.75" customHeight="1">
      <c r="R733" s="30"/>
    </row>
    <row r="734" spans="18:18" ht="15.75" customHeight="1">
      <c r="R734" s="30"/>
    </row>
    <row r="735" spans="18:18" ht="15.75" customHeight="1">
      <c r="R735" s="30"/>
    </row>
    <row r="736" spans="18:18" ht="15.75" customHeight="1">
      <c r="R736" s="30"/>
    </row>
    <row r="737" spans="18:18" ht="15.75" customHeight="1">
      <c r="R737" s="30"/>
    </row>
    <row r="738" spans="18:18" ht="15.75" customHeight="1">
      <c r="R738" s="30"/>
    </row>
    <row r="739" spans="18:18" ht="15.75" customHeight="1">
      <c r="R739" s="30"/>
    </row>
    <row r="740" spans="18:18" ht="15.75" customHeight="1">
      <c r="R740" s="30"/>
    </row>
    <row r="741" spans="18:18" ht="15.75" customHeight="1">
      <c r="R741" s="30"/>
    </row>
    <row r="742" spans="18:18" ht="15.75" customHeight="1">
      <c r="R742" s="30"/>
    </row>
    <row r="743" spans="18:18" ht="15.75" customHeight="1">
      <c r="R743" s="30"/>
    </row>
    <row r="744" spans="18:18" ht="15.75" customHeight="1">
      <c r="R744" s="30"/>
    </row>
    <row r="745" spans="18:18" ht="15.75" customHeight="1">
      <c r="R745" s="30"/>
    </row>
    <row r="746" spans="18:18" ht="15.75" customHeight="1">
      <c r="R746" s="30"/>
    </row>
    <row r="747" spans="18:18" ht="15.75" customHeight="1">
      <c r="R747" s="30"/>
    </row>
    <row r="748" spans="18:18" ht="15.75" customHeight="1">
      <c r="R748" s="30"/>
    </row>
    <row r="749" spans="18:18" ht="15.75" customHeight="1">
      <c r="R749" s="30"/>
    </row>
    <row r="750" spans="18:18" ht="15.75" customHeight="1">
      <c r="R750" s="30"/>
    </row>
    <row r="751" spans="18:18" ht="15.75" customHeight="1">
      <c r="R751" s="30"/>
    </row>
    <row r="752" spans="18:18" ht="15.75" customHeight="1">
      <c r="R752" s="30"/>
    </row>
    <row r="753" spans="18:18" ht="15.75" customHeight="1">
      <c r="R753" s="30"/>
    </row>
    <row r="754" spans="18:18" ht="15.75" customHeight="1">
      <c r="R754" s="30"/>
    </row>
    <row r="755" spans="18:18" ht="15.75" customHeight="1">
      <c r="R755" s="30"/>
    </row>
    <row r="756" spans="18:18" ht="15.75" customHeight="1">
      <c r="R756" s="30"/>
    </row>
    <row r="757" spans="18:18" ht="15.75" customHeight="1">
      <c r="R757" s="30"/>
    </row>
    <row r="758" spans="18:18" ht="15.75" customHeight="1">
      <c r="R758" s="30"/>
    </row>
    <row r="759" spans="18:18" ht="15.75" customHeight="1">
      <c r="R759" s="30"/>
    </row>
    <row r="760" spans="18:18" ht="15.75" customHeight="1">
      <c r="R760" s="30"/>
    </row>
    <row r="761" spans="18:18" ht="15.75" customHeight="1">
      <c r="R761" s="30"/>
    </row>
    <row r="762" spans="18:18" ht="15.75" customHeight="1">
      <c r="R762" s="30"/>
    </row>
    <row r="763" spans="18:18" ht="15.75" customHeight="1">
      <c r="R763" s="30"/>
    </row>
    <row r="764" spans="18:18" ht="15.75" customHeight="1">
      <c r="R764" s="30"/>
    </row>
    <row r="765" spans="18:18" ht="15.75" customHeight="1">
      <c r="R765" s="30"/>
    </row>
    <row r="766" spans="18:18" ht="15.75" customHeight="1">
      <c r="R766" s="30"/>
    </row>
    <row r="767" spans="18:18" ht="15.75" customHeight="1">
      <c r="R767" s="30"/>
    </row>
    <row r="768" spans="18:18" ht="15.75" customHeight="1">
      <c r="R768" s="30"/>
    </row>
    <row r="769" spans="18:18" ht="15.75" customHeight="1">
      <c r="R769" s="30"/>
    </row>
    <row r="770" spans="18:18" ht="15.75" customHeight="1">
      <c r="R770" s="30"/>
    </row>
    <row r="771" spans="18:18" ht="15.75" customHeight="1">
      <c r="R771" s="30"/>
    </row>
    <row r="772" spans="18:18" ht="15.75" customHeight="1">
      <c r="R772" s="30"/>
    </row>
    <row r="773" spans="18:18" ht="15.75" customHeight="1">
      <c r="R773" s="30"/>
    </row>
    <row r="774" spans="18:18" ht="15.75" customHeight="1">
      <c r="R774" s="30"/>
    </row>
    <row r="775" spans="18:18" ht="15.75" customHeight="1">
      <c r="R775" s="30"/>
    </row>
    <row r="776" spans="18:18" ht="15.75" customHeight="1">
      <c r="R776" s="30"/>
    </row>
    <row r="777" spans="18:18" ht="15.75" customHeight="1">
      <c r="R777" s="30"/>
    </row>
    <row r="778" spans="18:18" ht="15.75" customHeight="1">
      <c r="R778" s="30"/>
    </row>
    <row r="779" spans="18:18" ht="15.75" customHeight="1">
      <c r="R779" s="30"/>
    </row>
    <row r="780" spans="18:18" ht="15.75" customHeight="1">
      <c r="R780" s="30"/>
    </row>
    <row r="781" spans="18:18" ht="15.75" customHeight="1">
      <c r="R781" s="30"/>
    </row>
    <row r="782" spans="18:18" ht="15.75" customHeight="1">
      <c r="R782" s="30"/>
    </row>
    <row r="783" spans="18:18" ht="15.75" customHeight="1">
      <c r="R783" s="30"/>
    </row>
    <row r="784" spans="18:18" ht="15.75" customHeight="1">
      <c r="R784" s="30"/>
    </row>
    <row r="785" spans="18:18" ht="15.75" customHeight="1">
      <c r="R785" s="30"/>
    </row>
    <row r="786" spans="18:18" ht="15.75" customHeight="1">
      <c r="R786" s="30"/>
    </row>
    <row r="787" spans="18:18" ht="15.75" customHeight="1">
      <c r="R787" s="30"/>
    </row>
    <row r="788" spans="18:18" ht="15.75" customHeight="1">
      <c r="R788" s="30"/>
    </row>
    <row r="789" spans="18:18" ht="15.75" customHeight="1">
      <c r="R789" s="30"/>
    </row>
    <row r="790" spans="18:18" ht="15.75" customHeight="1">
      <c r="R790" s="30"/>
    </row>
    <row r="791" spans="18:18" ht="15.75" customHeight="1">
      <c r="R791" s="30"/>
    </row>
    <row r="792" spans="18:18" ht="15.75" customHeight="1">
      <c r="R792" s="30"/>
    </row>
    <row r="793" spans="18:18" ht="15.75" customHeight="1">
      <c r="R793" s="30"/>
    </row>
    <row r="794" spans="18:18" ht="15.75" customHeight="1">
      <c r="R794" s="30"/>
    </row>
    <row r="795" spans="18:18" ht="15.75" customHeight="1">
      <c r="R795" s="30"/>
    </row>
    <row r="796" spans="18:18" ht="15.75" customHeight="1">
      <c r="R796" s="30"/>
    </row>
    <row r="797" spans="18:18" ht="15.75" customHeight="1">
      <c r="R797" s="30"/>
    </row>
    <row r="798" spans="18:18" ht="15.75" customHeight="1">
      <c r="R798" s="30"/>
    </row>
    <row r="799" spans="18:18" ht="15.75" customHeight="1">
      <c r="R799" s="30"/>
    </row>
    <row r="800" spans="18:18" ht="15.75" customHeight="1">
      <c r="R800" s="30"/>
    </row>
    <row r="801" spans="18:18" ht="15.75" customHeight="1">
      <c r="R801" s="30"/>
    </row>
    <row r="802" spans="18:18" ht="15.75" customHeight="1">
      <c r="R802" s="30"/>
    </row>
    <row r="803" spans="18:18" ht="15.75" customHeight="1">
      <c r="R803" s="30"/>
    </row>
    <row r="804" spans="18:18" ht="15.75" customHeight="1">
      <c r="R804" s="30"/>
    </row>
    <row r="805" spans="18:18" ht="15.75" customHeight="1">
      <c r="R805" s="30"/>
    </row>
    <row r="806" spans="18:18" ht="15.75" customHeight="1">
      <c r="R806" s="30"/>
    </row>
    <row r="807" spans="18:18" ht="15.75" customHeight="1">
      <c r="R807" s="30"/>
    </row>
    <row r="808" spans="18:18" ht="15.75" customHeight="1">
      <c r="R808" s="30"/>
    </row>
    <row r="809" spans="18:18" ht="15.75" customHeight="1">
      <c r="R809" s="30"/>
    </row>
    <row r="810" spans="18:18" ht="15.75" customHeight="1">
      <c r="R810" s="30"/>
    </row>
    <row r="811" spans="18:18" ht="15.75" customHeight="1">
      <c r="R811" s="30"/>
    </row>
    <row r="812" spans="18:18" ht="15.75" customHeight="1">
      <c r="R812" s="30"/>
    </row>
    <row r="813" spans="18:18" ht="15.75" customHeight="1">
      <c r="R813" s="30"/>
    </row>
    <row r="814" spans="18:18" ht="15.75" customHeight="1">
      <c r="R814" s="30"/>
    </row>
    <row r="815" spans="18:18" ht="15.75" customHeight="1">
      <c r="R815" s="30"/>
    </row>
    <row r="816" spans="18:18" ht="15.75" customHeight="1">
      <c r="R816" s="30"/>
    </row>
    <row r="817" spans="18:18" ht="15.75" customHeight="1">
      <c r="R817" s="30"/>
    </row>
    <row r="818" spans="18:18" ht="15.75" customHeight="1">
      <c r="R818" s="30"/>
    </row>
    <row r="819" spans="18:18" ht="15.75" customHeight="1">
      <c r="R819" s="30"/>
    </row>
    <row r="820" spans="18:18" ht="15.75" customHeight="1">
      <c r="R820" s="30"/>
    </row>
    <row r="821" spans="18:18" ht="15.75" customHeight="1">
      <c r="R821" s="30"/>
    </row>
    <row r="822" spans="18:18" ht="15.75" customHeight="1">
      <c r="R822" s="30"/>
    </row>
    <row r="823" spans="18:18" ht="15.75" customHeight="1">
      <c r="R823" s="30"/>
    </row>
    <row r="824" spans="18:18" ht="15.75" customHeight="1">
      <c r="R824" s="30"/>
    </row>
    <row r="825" spans="18:18" ht="15.75" customHeight="1">
      <c r="R825" s="30"/>
    </row>
    <row r="826" spans="18:18" ht="15.75" customHeight="1">
      <c r="R826" s="30"/>
    </row>
    <row r="827" spans="18:18" ht="15.75" customHeight="1">
      <c r="R827" s="30"/>
    </row>
    <row r="828" spans="18:18" ht="15.75" customHeight="1">
      <c r="R828" s="30"/>
    </row>
    <row r="829" spans="18:18" ht="15.75" customHeight="1">
      <c r="R829" s="30"/>
    </row>
    <row r="830" spans="18:18" ht="15.75" customHeight="1">
      <c r="R830" s="30"/>
    </row>
    <row r="831" spans="18:18" ht="15.75" customHeight="1">
      <c r="R831" s="30"/>
    </row>
    <row r="832" spans="18:18" ht="15.75" customHeight="1">
      <c r="R832" s="30"/>
    </row>
    <row r="833" spans="18:18" ht="15.75" customHeight="1">
      <c r="R833" s="30"/>
    </row>
    <row r="834" spans="18:18" ht="15.75" customHeight="1">
      <c r="R834" s="30"/>
    </row>
    <row r="835" spans="18:18" ht="15.75" customHeight="1">
      <c r="R835" s="30"/>
    </row>
    <row r="836" spans="18:18" ht="15.75" customHeight="1">
      <c r="R836" s="30"/>
    </row>
    <row r="837" spans="18:18" ht="15.75" customHeight="1">
      <c r="R837" s="30"/>
    </row>
    <row r="838" spans="18:18" ht="15.75" customHeight="1">
      <c r="R838" s="30"/>
    </row>
    <row r="839" spans="18:18" ht="15.75" customHeight="1">
      <c r="R839" s="30"/>
    </row>
    <row r="840" spans="18:18" ht="15.75" customHeight="1">
      <c r="R840" s="30"/>
    </row>
    <row r="841" spans="18:18" ht="15.75" customHeight="1">
      <c r="R841" s="30"/>
    </row>
    <row r="842" spans="18:18" ht="15.75" customHeight="1">
      <c r="R842" s="30"/>
    </row>
    <row r="843" spans="18:18" ht="15.75" customHeight="1">
      <c r="R843" s="30"/>
    </row>
    <row r="844" spans="18:18" ht="15.75" customHeight="1">
      <c r="R844" s="30"/>
    </row>
    <row r="845" spans="18:18" ht="15.75" customHeight="1">
      <c r="R845" s="30"/>
    </row>
    <row r="846" spans="18:18" ht="15.75" customHeight="1">
      <c r="R846" s="30"/>
    </row>
    <row r="847" spans="18:18" ht="15.75" customHeight="1">
      <c r="R847" s="30"/>
    </row>
    <row r="848" spans="18:18" ht="15.75" customHeight="1">
      <c r="R848" s="30"/>
    </row>
    <row r="849" spans="18:18" ht="15.75" customHeight="1">
      <c r="R849" s="30"/>
    </row>
    <row r="850" spans="18:18" ht="15.75" customHeight="1">
      <c r="R850" s="30"/>
    </row>
    <row r="851" spans="18:18" ht="15.75" customHeight="1">
      <c r="R851" s="30"/>
    </row>
    <row r="852" spans="18:18" ht="15.75" customHeight="1">
      <c r="R852" s="30"/>
    </row>
    <row r="853" spans="18:18" ht="15.75" customHeight="1">
      <c r="R853" s="30"/>
    </row>
    <row r="854" spans="18:18" ht="15.75" customHeight="1">
      <c r="R854" s="30"/>
    </row>
    <row r="855" spans="18:18" ht="15.75" customHeight="1">
      <c r="R855" s="30"/>
    </row>
    <row r="856" spans="18:18" ht="15.75" customHeight="1">
      <c r="R856" s="30"/>
    </row>
    <row r="857" spans="18:18" ht="15.75" customHeight="1">
      <c r="R857" s="30"/>
    </row>
    <row r="858" spans="18:18" ht="15.75" customHeight="1">
      <c r="R858" s="30"/>
    </row>
    <row r="859" spans="18:18" ht="15.75" customHeight="1">
      <c r="R859" s="30"/>
    </row>
    <row r="860" spans="18:18" ht="15.75" customHeight="1">
      <c r="R860" s="30"/>
    </row>
    <row r="861" spans="18:18" ht="15.75" customHeight="1">
      <c r="R861" s="30"/>
    </row>
    <row r="862" spans="18:18" ht="15.75" customHeight="1">
      <c r="R862" s="30"/>
    </row>
    <row r="863" spans="18:18" ht="15.75" customHeight="1">
      <c r="R863" s="30"/>
    </row>
    <row r="864" spans="18:18" ht="15.75" customHeight="1">
      <c r="R864" s="30"/>
    </row>
    <row r="865" spans="18:18" ht="15.75" customHeight="1">
      <c r="R865" s="30"/>
    </row>
    <row r="866" spans="18:18" ht="15.75" customHeight="1">
      <c r="R866" s="30"/>
    </row>
    <row r="867" spans="18:18" ht="15.75" customHeight="1">
      <c r="R867" s="30"/>
    </row>
    <row r="868" spans="18:18" ht="15.75" customHeight="1">
      <c r="R868" s="30"/>
    </row>
    <row r="869" spans="18:18" ht="15.75" customHeight="1">
      <c r="R869" s="30"/>
    </row>
    <row r="870" spans="18:18" ht="15.75" customHeight="1">
      <c r="R870" s="30"/>
    </row>
    <row r="871" spans="18:18" ht="15.75" customHeight="1">
      <c r="R871" s="30"/>
    </row>
    <row r="872" spans="18:18" ht="15.75" customHeight="1">
      <c r="R872" s="30"/>
    </row>
    <row r="873" spans="18:18" ht="15.75" customHeight="1">
      <c r="R873" s="30"/>
    </row>
    <row r="874" spans="18:18" ht="15.75" customHeight="1">
      <c r="R874" s="30"/>
    </row>
    <row r="875" spans="18:18" ht="15.75" customHeight="1">
      <c r="R875" s="30"/>
    </row>
    <row r="876" spans="18:18" ht="15.75" customHeight="1">
      <c r="R876" s="30"/>
    </row>
    <row r="877" spans="18:18" ht="15.75" customHeight="1">
      <c r="R877" s="30"/>
    </row>
    <row r="878" spans="18:18" ht="15.75" customHeight="1">
      <c r="R878" s="30"/>
    </row>
    <row r="879" spans="18:18" ht="15.75" customHeight="1">
      <c r="R879" s="30"/>
    </row>
    <row r="880" spans="18:18" ht="15.75" customHeight="1">
      <c r="R880" s="30"/>
    </row>
    <row r="881" spans="18:18" ht="15.75" customHeight="1">
      <c r="R881" s="30"/>
    </row>
    <row r="882" spans="18:18" ht="15.75" customHeight="1">
      <c r="R882" s="30"/>
    </row>
    <row r="883" spans="18:18" ht="15.75" customHeight="1">
      <c r="R883" s="30"/>
    </row>
    <row r="884" spans="18:18" ht="15.75" customHeight="1">
      <c r="R884" s="30"/>
    </row>
    <row r="885" spans="18:18" ht="15.75" customHeight="1">
      <c r="R885" s="30"/>
    </row>
    <row r="886" spans="18:18" ht="15.75" customHeight="1">
      <c r="R886" s="30"/>
    </row>
    <row r="887" spans="18:18" ht="15.75" customHeight="1">
      <c r="R887" s="30"/>
    </row>
    <row r="888" spans="18:18" ht="15.75" customHeight="1">
      <c r="R888" s="30"/>
    </row>
    <row r="889" spans="18:18" ht="15.75" customHeight="1">
      <c r="R889" s="30"/>
    </row>
    <row r="890" spans="18:18" ht="15.75" customHeight="1">
      <c r="R890" s="30"/>
    </row>
    <row r="891" spans="18:18" ht="15.75" customHeight="1">
      <c r="R891" s="30"/>
    </row>
    <row r="892" spans="18:18" ht="15.75" customHeight="1">
      <c r="R892" s="30"/>
    </row>
    <row r="893" spans="18:18" ht="15.75" customHeight="1">
      <c r="R893" s="30"/>
    </row>
    <row r="894" spans="18:18" ht="15.75" customHeight="1">
      <c r="R894" s="30"/>
    </row>
    <row r="895" spans="18:18" ht="15.75" customHeight="1">
      <c r="R895" s="30"/>
    </row>
    <row r="896" spans="18:18" ht="15.75" customHeight="1">
      <c r="R896" s="30"/>
    </row>
    <row r="897" spans="18:18" ht="15.75" customHeight="1">
      <c r="R897" s="30"/>
    </row>
    <row r="898" spans="18:18" ht="15.75" customHeight="1">
      <c r="R898" s="30"/>
    </row>
    <row r="899" spans="18:18" ht="15.75" customHeight="1">
      <c r="R899" s="30"/>
    </row>
    <row r="900" spans="18:18" ht="15.75" customHeight="1">
      <c r="R900" s="30"/>
    </row>
    <row r="901" spans="18:18" ht="15.75" customHeight="1">
      <c r="R901" s="30"/>
    </row>
    <row r="902" spans="18:18" ht="15.75" customHeight="1">
      <c r="R902" s="30"/>
    </row>
    <row r="903" spans="18:18" ht="15.75" customHeight="1">
      <c r="R903" s="30"/>
    </row>
    <row r="904" spans="18:18" ht="15.75" customHeight="1">
      <c r="R904" s="30"/>
    </row>
    <row r="905" spans="18:18" ht="15.75" customHeight="1">
      <c r="R905" s="30"/>
    </row>
    <row r="906" spans="18:18" ht="15.75" customHeight="1">
      <c r="R906" s="30"/>
    </row>
    <row r="907" spans="18:18" ht="15.75" customHeight="1">
      <c r="R907" s="30"/>
    </row>
    <row r="908" spans="18:18" ht="15.75" customHeight="1">
      <c r="R908" s="30"/>
    </row>
    <row r="909" spans="18:18" ht="15.75" customHeight="1">
      <c r="R909" s="30"/>
    </row>
    <row r="910" spans="18:18" ht="15.75" customHeight="1">
      <c r="R910" s="30"/>
    </row>
    <row r="911" spans="18:18" ht="15.75" customHeight="1">
      <c r="R911" s="30"/>
    </row>
    <row r="912" spans="18:18" ht="15.75" customHeight="1">
      <c r="R912" s="30"/>
    </row>
    <row r="913" spans="18:18" ht="15.75" customHeight="1">
      <c r="R913" s="30"/>
    </row>
    <row r="914" spans="18:18" ht="15.75" customHeight="1">
      <c r="R914" s="30"/>
    </row>
    <row r="915" spans="18:18" ht="15.75" customHeight="1">
      <c r="R915" s="30"/>
    </row>
    <row r="916" spans="18:18" ht="15.75" customHeight="1">
      <c r="R916" s="30"/>
    </row>
    <row r="917" spans="18:18" ht="15.75" customHeight="1">
      <c r="R917" s="30"/>
    </row>
    <row r="918" spans="18:18" ht="15.75" customHeight="1">
      <c r="R918" s="30"/>
    </row>
    <row r="919" spans="18:18" ht="15.75" customHeight="1">
      <c r="R919" s="30"/>
    </row>
    <row r="920" spans="18:18" ht="15.75" customHeight="1">
      <c r="R920" s="30"/>
    </row>
    <row r="921" spans="18:18" ht="15.75" customHeight="1">
      <c r="R921" s="30"/>
    </row>
    <row r="922" spans="18:18" ht="15.75" customHeight="1">
      <c r="R922" s="30"/>
    </row>
    <row r="923" spans="18:18" ht="15.75" customHeight="1">
      <c r="R923" s="30"/>
    </row>
    <row r="924" spans="18:18" ht="15.75" customHeight="1">
      <c r="R924" s="30"/>
    </row>
    <row r="925" spans="18:18" ht="15.75" customHeight="1">
      <c r="R925" s="30"/>
    </row>
    <row r="926" spans="18:18" ht="15.75" customHeight="1">
      <c r="R926" s="30"/>
    </row>
    <row r="927" spans="18:18" ht="15.75" customHeight="1">
      <c r="R927" s="30"/>
    </row>
    <row r="928" spans="18:18" ht="15.75" customHeight="1">
      <c r="R928" s="30"/>
    </row>
    <row r="929" spans="18:18" ht="15.75" customHeight="1">
      <c r="R929" s="30"/>
    </row>
    <row r="930" spans="18:18" ht="15.75" customHeight="1">
      <c r="R930" s="30"/>
    </row>
    <row r="931" spans="18:18" ht="15.75" customHeight="1">
      <c r="R931" s="30"/>
    </row>
    <row r="932" spans="18:18" ht="15.75" customHeight="1">
      <c r="R932" s="30"/>
    </row>
    <row r="933" spans="18:18" ht="15.75" customHeight="1">
      <c r="R933" s="30"/>
    </row>
    <row r="934" spans="18:18" ht="15.75" customHeight="1">
      <c r="R934" s="30"/>
    </row>
    <row r="935" spans="18:18" ht="15.75" customHeight="1">
      <c r="R935" s="30"/>
    </row>
    <row r="936" spans="18:18" ht="15.75" customHeight="1">
      <c r="R936" s="30"/>
    </row>
    <row r="937" spans="18:18" ht="15.75" customHeight="1">
      <c r="R937" s="30"/>
    </row>
    <row r="938" spans="18:18" ht="15.75" customHeight="1">
      <c r="R938" s="30"/>
    </row>
    <row r="939" spans="18:18" ht="15.75" customHeight="1">
      <c r="R939" s="30"/>
    </row>
    <row r="940" spans="18:18" ht="15.75" customHeight="1">
      <c r="R940" s="30"/>
    </row>
    <row r="941" spans="18:18" ht="15.75" customHeight="1">
      <c r="R941" s="30"/>
    </row>
    <row r="942" spans="18:18" ht="15.75" customHeight="1">
      <c r="R942" s="30"/>
    </row>
    <row r="943" spans="18:18" ht="15.75" customHeight="1">
      <c r="R943" s="30"/>
    </row>
    <row r="944" spans="18:18" ht="15.75" customHeight="1">
      <c r="R944" s="30"/>
    </row>
    <row r="945" spans="18:18" ht="15.75" customHeight="1">
      <c r="R945" s="30"/>
    </row>
    <row r="946" spans="18:18" ht="15.75" customHeight="1">
      <c r="R946" s="30"/>
    </row>
    <row r="947" spans="18:18" ht="15.75" customHeight="1">
      <c r="R947" s="30"/>
    </row>
    <row r="948" spans="18:18" ht="15.75" customHeight="1">
      <c r="R948" s="30"/>
    </row>
    <row r="949" spans="18:18" ht="15.75" customHeight="1">
      <c r="R949" s="30"/>
    </row>
    <row r="950" spans="18:18" ht="15.75" customHeight="1">
      <c r="R950" s="30"/>
    </row>
    <row r="951" spans="18:18" ht="15.75" customHeight="1">
      <c r="R951" s="30"/>
    </row>
    <row r="952" spans="18:18" ht="15.75" customHeight="1">
      <c r="R952" s="30"/>
    </row>
    <row r="953" spans="18:18" ht="15.75" customHeight="1">
      <c r="R953" s="30"/>
    </row>
    <row r="954" spans="18:18" ht="15.75" customHeight="1">
      <c r="R954" s="30"/>
    </row>
    <row r="955" spans="18:18" ht="15.75" customHeight="1">
      <c r="R955" s="30"/>
    </row>
    <row r="956" spans="18:18" ht="15.75" customHeight="1">
      <c r="R956" s="30"/>
    </row>
    <row r="957" spans="18:18" ht="15.75" customHeight="1">
      <c r="R957" s="30"/>
    </row>
    <row r="958" spans="18:18" ht="15.75" customHeight="1">
      <c r="R958" s="30"/>
    </row>
    <row r="959" spans="18:18" ht="15.75" customHeight="1">
      <c r="R959" s="30"/>
    </row>
    <row r="960" spans="18:18" ht="15.75" customHeight="1">
      <c r="R960" s="30"/>
    </row>
    <row r="961" spans="18:18" ht="15.75" customHeight="1">
      <c r="R961" s="30"/>
    </row>
    <row r="962" spans="18:18" ht="15.75" customHeight="1">
      <c r="R962" s="30"/>
    </row>
    <row r="963" spans="18:18" ht="15.75" customHeight="1">
      <c r="R963" s="30"/>
    </row>
    <row r="964" spans="18:18" ht="15.75" customHeight="1">
      <c r="R964" s="30"/>
    </row>
    <row r="965" spans="18:18" ht="15.75" customHeight="1">
      <c r="R965" s="30"/>
    </row>
    <row r="966" spans="18:18" ht="15.75" customHeight="1">
      <c r="R966" s="30"/>
    </row>
    <row r="967" spans="18:18" ht="15.75" customHeight="1">
      <c r="R967" s="30"/>
    </row>
    <row r="968" spans="18:18" ht="15.75" customHeight="1">
      <c r="R968" s="30"/>
    </row>
    <row r="969" spans="18:18" ht="15.75" customHeight="1">
      <c r="R969" s="30"/>
    </row>
    <row r="970" spans="18:18" ht="15.75" customHeight="1">
      <c r="R970" s="30"/>
    </row>
    <row r="971" spans="18:18" ht="15.75" customHeight="1">
      <c r="R971" s="30"/>
    </row>
    <row r="972" spans="18:18" ht="15.75" customHeight="1">
      <c r="R972" s="30"/>
    </row>
    <row r="973" spans="18:18" ht="15.75" customHeight="1">
      <c r="R973" s="30"/>
    </row>
    <row r="974" spans="18:18" ht="15.75" customHeight="1">
      <c r="R974" s="30"/>
    </row>
    <row r="975" spans="18:18" ht="15.75" customHeight="1">
      <c r="R975" s="30"/>
    </row>
    <row r="976" spans="18:18" ht="15.75" customHeight="1">
      <c r="R976" s="30"/>
    </row>
    <row r="977" spans="18:18" ht="15.75" customHeight="1">
      <c r="R977" s="30"/>
    </row>
    <row r="978" spans="18:18" ht="15.75" customHeight="1">
      <c r="R978" s="30"/>
    </row>
    <row r="979" spans="18:18" ht="15.75" customHeight="1">
      <c r="R979" s="30"/>
    </row>
    <row r="980" spans="18:18" ht="15.75" customHeight="1">
      <c r="R980" s="30"/>
    </row>
    <row r="981" spans="18:18" ht="15.75" customHeight="1">
      <c r="R981" s="30"/>
    </row>
    <row r="982" spans="18:18" ht="15.75" customHeight="1">
      <c r="R982" s="30"/>
    </row>
    <row r="983" spans="18:18" ht="15.75" customHeight="1">
      <c r="R983" s="30"/>
    </row>
    <row r="984" spans="18:18" ht="15.75" customHeight="1">
      <c r="R984" s="30"/>
    </row>
    <row r="985" spans="18:18" ht="15.75" customHeight="1">
      <c r="R985" s="30"/>
    </row>
    <row r="986" spans="18:18" ht="15.75" customHeight="1">
      <c r="R986" s="30"/>
    </row>
    <row r="987" spans="18:18" ht="15.75" customHeight="1">
      <c r="R987" s="30"/>
    </row>
    <row r="988" spans="18:18" ht="15.75" customHeight="1">
      <c r="R988" s="30"/>
    </row>
    <row r="989" spans="18:18" ht="15.75" customHeight="1">
      <c r="R989" s="30"/>
    </row>
    <row r="990" spans="18:18" ht="15.75" customHeight="1">
      <c r="R990" s="30"/>
    </row>
    <row r="991" spans="18:18" ht="15.75" customHeight="1">
      <c r="R991" s="30"/>
    </row>
    <row r="992" spans="18:18" ht="15.75" customHeight="1">
      <c r="R992" s="30"/>
    </row>
    <row r="993" spans="18:18" ht="15.75" customHeight="1">
      <c r="R993" s="30"/>
    </row>
    <row r="994" spans="18:18" ht="15.75" customHeight="1">
      <c r="R994" s="30"/>
    </row>
    <row r="995" spans="18:18" ht="15.75" customHeight="1">
      <c r="R995" s="30"/>
    </row>
    <row r="996" spans="18:18" ht="15.75" customHeight="1">
      <c r="R996" s="30"/>
    </row>
    <row r="997" spans="18:18" ht="15.75" customHeight="1">
      <c r="R997" s="30"/>
    </row>
    <row r="998" spans="18:18" ht="15.75" customHeight="1">
      <c r="R998" s="30"/>
    </row>
    <row r="999" spans="18:18" ht="15.75" customHeight="1">
      <c r="R999" s="30"/>
    </row>
    <row r="1000" spans="18:18" ht="15.75" customHeight="1">
      <c r="R1000" s="3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2.6640625" defaultRowHeight="15" customHeight="1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8.6640625" customWidth="1"/>
    <col min="6" max="6" width="10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9.6640625" customWidth="1"/>
    <col min="16" max="16" width="8.1640625" customWidth="1"/>
    <col min="17" max="18" width="7.33203125" customWidth="1"/>
    <col min="19" max="19" width="7.1640625" customWidth="1"/>
    <col min="20" max="20" width="11.1640625" customWidth="1"/>
    <col min="21" max="21" width="13.5" customWidth="1"/>
    <col min="22" max="22" width="22" customWidth="1"/>
    <col min="23" max="24" width="7.6640625" customWidth="1"/>
    <col min="25" max="25" width="8.1640625" customWidth="1"/>
    <col min="26" max="26" width="11.1640625" customWidth="1"/>
    <col min="27" max="27" width="10.6640625" customWidth="1"/>
    <col min="28" max="28" width="9.6640625" customWidth="1"/>
    <col min="29" max="29" width="7.1640625" customWidth="1"/>
    <col min="30" max="30" width="10.83203125" customWidth="1"/>
    <col min="31" max="31" width="7.6640625" customWidth="1"/>
    <col min="32" max="32" width="10.1640625" customWidth="1"/>
    <col min="33" max="33" width="8.83203125" customWidth="1"/>
  </cols>
  <sheetData>
    <row r="1" spans="1:33" ht="18.75" customHeight="1">
      <c r="A1" s="46" t="str">
        <f ca="1">IFERROR(__xludf.DUMMYFUNCTION("IFERROR(VLOOKUP(B2,IMPORTRANGE(""https://docs.google.com/spreadsheets/d/1x0DhHglkXKoEBOD2MBsuK_EyIr1ouxD2ftIpqOYFa-k/edit?usp=sharing"",""Ubiquitty-SKU-Specific Info!B1:BJ5000""),3,FALSE),"""")"),"25 Foot Outdoor Extension Cord - 10/3 SJTW Black 10 Gauge Extension Cable with 3 Prong Grounded Plug for Safety - Great for Garden and Major Appliances")</f>
        <v>25 Foot Outdoor Extension Cord - 10/3 SJTW Black 10 Gauge Extension Cable with 3 Prong Grounded Plug for Safety - Great for Garden and Major Appliances</v>
      </c>
      <c r="B1" s="47"/>
      <c r="C1" s="48" t="s">
        <v>0</v>
      </c>
      <c r="D1" s="50" t="s">
        <v>1</v>
      </c>
      <c r="E1" s="50" t="s">
        <v>2</v>
      </c>
      <c r="F1" s="52" t="s">
        <v>3</v>
      </c>
      <c r="G1" s="52" t="s">
        <v>4</v>
      </c>
      <c r="H1" s="53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58" t="s">
        <v>10</v>
      </c>
      <c r="N1" s="59" t="s">
        <v>11</v>
      </c>
      <c r="O1" s="50" t="s">
        <v>12</v>
      </c>
      <c r="P1" s="50" t="s">
        <v>13</v>
      </c>
      <c r="Q1" s="57" t="s">
        <v>14</v>
      </c>
      <c r="R1" s="57" t="s">
        <v>15</v>
      </c>
      <c r="S1" s="60" t="s">
        <v>16</v>
      </c>
      <c r="T1" s="62" t="s">
        <v>2006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Info!B1:BJ5000""),2,FALSE),"""")"),"B08NFFV36T")</f>
        <v>B08NFFV36T</v>
      </c>
      <c r="B2" s="3" t="s">
        <v>71</v>
      </c>
      <c r="C2" s="49"/>
      <c r="D2" s="49"/>
      <c r="E2" s="51"/>
      <c r="F2" s="49"/>
      <c r="G2" s="49"/>
      <c r="H2" s="54"/>
      <c r="I2" s="49"/>
      <c r="J2" s="49"/>
      <c r="K2" s="54"/>
      <c r="L2" s="54"/>
      <c r="M2" s="54"/>
      <c r="N2" s="49"/>
      <c r="O2" s="49"/>
      <c r="P2" s="51"/>
      <c r="Q2" s="49"/>
      <c r="R2" s="49"/>
      <c r="S2" s="61"/>
      <c r="T2" s="47"/>
      <c r="U2" s="63"/>
      <c r="V2" s="63"/>
      <c r="W2" s="47"/>
      <c r="X2" s="47"/>
      <c r="Y2" s="47"/>
      <c r="Z2" s="47"/>
      <c r="AA2" s="63"/>
      <c r="AB2" s="63"/>
      <c r="AC2" s="63"/>
      <c r="AD2" s="63"/>
      <c r="AE2" s="47"/>
      <c r="AF2" s="47"/>
      <c r="AG2" s="47"/>
    </row>
    <row r="3" spans="1:33" ht="179.25" customHeight="1">
      <c r="A3" s="55" t="s">
        <v>31</v>
      </c>
      <c r="B3" s="56"/>
      <c r="C3" s="4">
        <f>((AE32+AF32)/0.85)*-1</f>
        <v>28.409246611176471</v>
      </c>
      <c r="D3" s="5">
        <f>SUM(D4:D99765)</f>
        <v>204</v>
      </c>
      <c r="E3" s="5"/>
      <c r="F3" s="6">
        <f t="shared" ref="F3:G3" si="0">SUM(F4:F99765)</f>
        <v>8424.2300000000014</v>
      </c>
      <c r="G3" s="6">
        <f t="shared" si="0"/>
        <v>0</v>
      </c>
      <c r="H3" s="7">
        <f>G3/F3*-1</f>
        <v>0</v>
      </c>
      <c r="I3" s="8">
        <f>J3/F3</f>
        <v>0.24549669618695116</v>
      </c>
      <c r="J3" s="6">
        <f>SUM(J4:J99765)</f>
        <v>2068.1206329189999</v>
      </c>
      <c r="K3" s="6">
        <f>J3/D3</f>
        <v>10.137846239799019</v>
      </c>
      <c r="L3" s="5"/>
      <c r="M3" s="9"/>
      <c r="N3" s="10"/>
      <c r="O3" s="5" t="str">
        <f ca="1">IFERROR(__xludf.DUMMYFUNCTION("VLOOKUP(B2,IMPORTRANGE(""https://docs.google.com/spreadsheets/d/1N8jvpEHDVkurDv7NrPxwI3eH6hQsvtb1QltGNCalRjU/edit#gid=865736387"",""Compiled Sheet!a1:g5000""),2,FALSE)")," - March
 - April
 - May
 - June
 - July
 - Aug
 - Sept
 - Oct
 - Nov
 - Dec
 - Jan
 - Feb")</f>
        <v xml:space="preserve"> - March
 - April
 - May
 - June
 - July
 - Aug
 - Sept
 - Oct
 - Nov
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QTY-0")</f>
        <v>US QTY-0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0</v>
      </c>
      <c r="X3" s="7">
        <f>W3/D3</f>
        <v>0</v>
      </c>
      <c r="Y3" s="6"/>
      <c r="Z3" s="5"/>
      <c r="AA3" s="5"/>
      <c r="AB3" s="5"/>
      <c r="AC3" s="5"/>
      <c r="AD3" s="6">
        <f>SUM(AD4:AD99765)</f>
        <v>-96.079990124999995</v>
      </c>
      <c r="AE3" s="6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Info!B2:BZ3000""),37,FALSE)),"""")*-1"),-17.2678596195)</f>
        <v>-17.267859619500001</v>
      </c>
      <c r="AG3" s="6">
        <f>SUM(AG4:AG99765)</f>
        <v>0</v>
      </c>
    </row>
    <row r="4" spans="1:33" ht="15.75" hidden="1" customHeight="1">
      <c r="A4" s="14"/>
      <c r="B4" s="14"/>
      <c r="C4" s="15"/>
      <c r="D4" s="16"/>
      <c r="E4" s="16"/>
      <c r="F4" s="17"/>
      <c r="G4" s="17"/>
      <c r="H4" s="18"/>
      <c r="I4" s="18"/>
      <c r="J4" s="17"/>
      <c r="K4" s="17"/>
      <c r="L4" s="16"/>
      <c r="M4" s="19"/>
      <c r="N4" s="16"/>
      <c r="O4" s="20"/>
      <c r="P4" s="20"/>
      <c r="Q4" s="16"/>
      <c r="R4" s="16"/>
      <c r="S4" s="21"/>
      <c r="T4" s="14"/>
      <c r="U4" s="22"/>
      <c r="V4" s="23"/>
      <c r="W4" s="14"/>
      <c r="X4" s="24"/>
      <c r="Y4" s="25"/>
      <c r="Z4" s="14"/>
      <c r="AA4" s="26"/>
      <c r="AB4" s="27"/>
      <c r="AC4" s="28"/>
      <c r="AD4" s="25"/>
      <c r="AE4" s="25"/>
      <c r="AF4" s="25"/>
      <c r="AG4" s="25"/>
    </row>
    <row r="5" spans="1:33" ht="15.75" hidden="1" customHeight="1">
      <c r="A5" s="14"/>
      <c r="B5" s="14"/>
      <c r="C5" s="15"/>
      <c r="D5" s="16"/>
      <c r="E5" s="16"/>
      <c r="F5" s="29"/>
      <c r="G5" s="29"/>
      <c r="H5" s="18"/>
      <c r="I5" s="18"/>
      <c r="J5" s="17"/>
      <c r="K5" s="17"/>
      <c r="L5" s="16"/>
      <c r="M5" s="19"/>
      <c r="N5" s="16"/>
      <c r="O5" s="20"/>
      <c r="P5" s="20"/>
      <c r="Q5" s="16"/>
      <c r="R5" s="16"/>
      <c r="S5" s="21"/>
      <c r="T5" s="14"/>
      <c r="U5" s="22"/>
      <c r="V5" s="23"/>
      <c r="W5" s="14"/>
      <c r="X5" s="24"/>
      <c r="Y5" s="25"/>
      <c r="Z5" s="14"/>
      <c r="AA5" s="14"/>
      <c r="AB5" s="27"/>
      <c r="AC5" s="28"/>
      <c r="AD5" s="25"/>
      <c r="AE5" s="25"/>
      <c r="AF5" s="25"/>
      <c r="AG5" s="25"/>
    </row>
    <row r="6" spans="1:33" ht="15.75" hidden="1" customHeight="1">
      <c r="A6" s="14"/>
      <c r="B6" s="14"/>
      <c r="C6" s="15"/>
      <c r="D6" s="16"/>
      <c r="E6" s="16"/>
      <c r="F6" s="29"/>
      <c r="G6" s="29"/>
      <c r="H6" s="18"/>
      <c r="I6" s="18"/>
      <c r="J6" s="17"/>
      <c r="K6" s="17"/>
      <c r="L6" s="16"/>
      <c r="M6" s="19"/>
      <c r="N6" s="16"/>
      <c r="O6" s="20"/>
      <c r="P6" s="20"/>
      <c r="Q6" s="16"/>
      <c r="R6" s="16"/>
      <c r="S6" s="21"/>
      <c r="T6" s="14"/>
      <c r="U6" s="22"/>
      <c r="V6" s="23"/>
      <c r="W6" s="14"/>
      <c r="X6" s="24"/>
      <c r="Y6" s="25"/>
      <c r="Z6" s="14"/>
      <c r="AA6" s="14"/>
      <c r="AB6" s="27"/>
      <c r="AC6" s="28"/>
      <c r="AD6" s="25"/>
      <c r="AE6" s="25"/>
      <c r="AF6" s="25"/>
      <c r="AG6" s="25"/>
    </row>
    <row r="7" spans="1:33" ht="15.75" hidden="1" customHeight="1">
      <c r="A7" s="14"/>
      <c r="B7" s="14"/>
      <c r="C7" s="15"/>
      <c r="D7" s="16"/>
      <c r="E7" s="16"/>
      <c r="F7" s="29"/>
      <c r="G7" s="29"/>
      <c r="H7" s="18"/>
      <c r="I7" s="18"/>
      <c r="J7" s="17"/>
      <c r="K7" s="17"/>
      <c r="L7" s="16"/>
      <c r="M7" s="19"/>
      <c r="N7" s="16"/>
      <c r="O7" s="20"/>
      <c r="P7" s="20"/>
      <c r="Q7" s="16"/>
      <c r="R7" s="16"/>
      <c r="S7" s="21"/>
      <c r="T7" s="14"/>
      <c r="U7" s="22"/>
      <c r="V7" s="23"/>
      <c r="W7" s="14"/>
      <c r="X7" s="24"/>
      <c r="Y7" s="25"/>
      <c r="Z7" s="14"/>
      <c r="AA7" s="14"/>
      <c r="AB7" s="27"/>
      <c r="AC7" s="28"/>
      <c r="AD7" s="25"/>
      <c r="AE7" s="25"/>
      <c r="AF7" s="25"/>
      <c r="AG7" s="25"/>
    </row>
    <row r="8" spans="1:33" ht="15.75" hidden="1" customHeight="1">
      <c r="A8" s="14"/>
      <c r="B8" s="14"/>
      <c r="C8" s="15"/>
      <c r="D8" s="16"/>
      <c r="E8" s="16"/>
      <c r="F8" s="29"/>
      <c r="G8" s="29"/>
      <c r="H8" s="18"/>
      <c r="I8" s="18"/>
      <c r="J8" s="17"/>
      <c r="K8" s="17"/>
      <c r="L8" s="16"/>
      <c r="M8" s="19"/>
      <c r="N8" s="16"/>
      <c r="O8" s="20"/>
      <c r="P8" s="20"/>
      <c r="Q8" s="16"/>
      <c r="R8" s="16"/>
      <c r="S8" s="21"/>
      <c r="T8" s="14"/>
      <c r="U8" s="22"/>
      <c r="V8" s="23"/>
      <c r="W8" s="14"/>
      <c r="X8" s="24"/>
      <c r="Y8" s="25"/>
      <c r="Z8" s="14"/>
      <c r="AA8" s="14"/>
      <c r="AB8" s="27"/>
      <c r="AC8" s="28"/>
      <c r="AD8" s="25"/>
      <c r="AE8" s="25"/>
      <c r="AF8" s="25"/>
      <c r="AG8" s="25"/>
    </row>
    <row r="9" spans="1:33" ht="15.75" hidden="1" customHeight="1">
      <c r="A9" s="14"/>
      <c r="B9" s="14"/>
      <c r="C9" s="15"/>
      <c r="D9" s="16"/>
      <c r="E9" s="16"/>
      <c r="F9" s="29"/>
      <c r="G9" s="29"/>
      <c r="H9" s="18"/>
      <c r="I9" s="18"/>
      <c r="J9" s="17"/>
      <c r="K9" s="17"/>
      <c r="L9" s="16"/>
      <c r="M9" s="19"/>
      <c r="N9" s="16"/>
      <c r="O9" s="20"/>
      <c r="P9" s="20"/>
      <c r="Q9" s="16"/>
      <c r="R9" s="16"/>
      <c r="S9" s="21"/>
      <c r="T9" s="14"/>
      <c r="U9" s="22"/>
      <c r="V9" s="23"/>
      <c r="W9" s="14"/>
      <c r="X9" s="24"/>
      <c r="Y9" s="25"/>
      <c r="Z9" s="14"/>
      <c r="AA9" s="14"/>
      <c r="AB9" s="27"/>
      <c r="AC9" s="28"/>
      <c r="AD9" s="25"/>
      <c r="AE9" s="25"/>
      <c r="AF9" s="25"/>
      <c r="AG9" s="25"/>
    </row>
    <row r="10" spans="1:33" ht="15.75" hidden="1" customHeight="1">
      <c r="A10" s="14"/>
      <c r="B10" s="14"/>
      <c r="C10" s="15"/>
      <c r="D10" s="16"/>
      <c r="E10" s="16"/>
      <c r="F10" s="29"/>
      <c r="G10" s="29"/>
      <c r="H10" s="18"/>
      <c r="I10" s="18"/>
      <c r="J10" s="17"/>
      <c r="K10" s="17"/>
      <c r="L10" s="16"/>
      <c r="M10" s="19"/>
      <c r="N10" s="16"/>
      <c r="O10" s="20"/>
      <c r="P10" s="20"/>
      <c r="Q10" s="16"/>
      <c r="R10" s="16"/>
      <c r="S10" s="21"/>
      <c r="T10" s="14"/>
      <c r="U10" s="22"/>
      <c r="V10" s="23"/>
      <c r="W10" s="14"/>
      <c r="X10" s="24"/>
      <c r="Y10" s="25"/>
      <c r="Z10" s="14"/>
      <c r="AA10" s="14"/>
      <c r="AB10" s="27"/>
      <c r="AC10" s="28"/>
      <c r="AD10" s="25"/>
      <c r="AE10" s="25"/>
      <c r="AF10" s="25"/>
      <c r="AG10" s="25"/>
    </row>
    <row r="11" spans="1:33" ht="15.75" hidden="1" customHeight="1">
      <c r="A11" s="14"/>
      <c r="B11" s="14"/>
      <c r="C11" s="15"/>
      <c r="D11" s="16"/>
      <c r="E11" s="16"/>
      <c r="F11" s="29"/>
      <c r="G11" s="29"/>
      <c r="H11" s="18"/>
      <c r="I11" s="18"/>
      <c r="J11" s="17"/>
      <c r="K11" s="17"/>
      <c r="L11" s="16"/>
      <c r="M11" s="19"/>
      <c r="N11" s="16"/>
      <c r="O11" s="20"/>
      <c r="P11" s="20"/>
      <c r="Q11" s="16"/>
      <c r="R11" s="16"/>
      <c r="S11" s="21"/>
      <c r="T11" s="14"/>
      <c r="U11" s="22"/>
      <c r="V11" s="23"/>
      <c r="W11" s="14"/>
      <c r="X11" s="24"/>
      <c r="Y11" s="25"/>
      <c r="Z11" s="14"/>
      <c r="AA11" s="14"/>
      <c r="AB11" s="27"/>
      <c r="AC11" s="28"/>
      <c r="AD11" s="25"/>
      <c r="AE11" s="25"/>
      <c r="AF11" s="25"/>
      <c r="AG11" s="25"/>
    </row>
    <row r="12" spans="1:33" ht="15.75" hidden="1" customHeight="1">
      <c r="A12" s="14"/>
      <c r="B12" s="14"/>
      <c r="C12" s="15"/>
      <c r="D12" s="16"/>
      <c r="E12" s="16"/>
      <c r="F12" s="29"/>
      <c r="G12" s="29"/>
      <c r="H12" s="18"/>
      <c r="I12" s="18"/>
      <c r="J12" s="17"/>
      <c r="K12" s="17"/>
      <c r="L12" s="16"/>
      <c r="M12" s="19"/>
      <c r="N12" s="16"/>
      <c r="O12" s="20"/>
      <c r="P12" s="20"/>
      <c r="Q12" s="16"/>
      <c r="R12" s="16"/>
      <c r="S12" s="21"/>
      <c r="T12" s="14"/>
      <c r="U12" s="22"/>
      <c r="V12" s="23"/>
      <c r="W12" s="14"/>
      <c r="X12" s="24"/>
      <c r="Y12" s="25"/>
      <c r="Z12" s="14"/>
      <c r="AA12" s="14"/>
      <c r="AB12" s="27"/>
      <c r="AC12" s="28"/>
      <c r="AD12" s="25"/>
      <c r="AE12" s="25"/>
      <c r="AF12" s="25"/>
      <c r="AG12" s="25"/>
    </row>
    <row r="13" spans="1:33" ht="15.75" hidden="1" customHeight="1">
      <c r="A13" s="14"/>
      <c r="B13" s="14"/>
      <c r="C13" s="15"/>
      <c r="D13" s="16"/>
      <c r="E13" s="16"/>
      <c r="F13" s="17"/>
      <c r="G13" s="29"/>
      <c r="H13" s="18"/>
      <c r="I13" s="18"/>
      <c r="J13" s="17"/>
      <c r="K13" s="17"/>
      <c r="L13" s="16"/>
      <c r="M13" s="19"/>
      <c r="N13" s="16"/>
      <c r="O13" s="20"/>
      <c r="P13" s="20"/>
      <c r="Q13" s="16"/>
      <c r="R13" s="16"/>
      <c r="S13" s="21"/>
      <c r="T13" s="14"/>
      <c r="U13" s="22"/>
      <c r="V13" s="23"/>
      <c r="W13" s="14"/>
      <c r="X13" s="24"/>
      <c r="Y13" s="25"/>
      <c r="Z13" s="14"/>
      <c r="AA13" s="14"/>
      <c r="AB13" s="27"/>
      <c r="AC13" s="28"/>
      <c r="AD13" s="25"/>
      <c r="AE13" s="25"/>
      <c r="AF13" s="25"/>
      <c r="AG13" s="25"/>
    </row>
    <row r="14" spans="1:33" ht="15.75" hidden="1" customHeight="1">
      <c r="A14" s="14"/>
      <c r="B14" s="14"/>
      <c r="C14" s="15"/>
      <c r="D14" s="16"/>
      <c r="E14" s="16"/>
      <c r="F14" s="17"/>
      <c r="G14" s="29"/>
      <c r="H14" s="18"/>
      <c r="I14" s="18"/>
      <c r="J14" s="17"/>
      <c r="K14" s="17"/>
      <c r="L14" s="16"/>
      <c r="M14" s="19"/>
      <c r="N14" s="16"/>
      <c r="O14" s="20"/>
      <c r="P14" s="20"/>
      <c r="Q14" s="16"/>
      <c r="R14" s="16"/>
      <c r="S14" s="21"/>
      <c r="T14" s="14"/>
      <c r="U14" s="22"/>
      <c r="V14" s="23"/>
      <c r="W14" s="14"/>
      <c r="X14" s="24"/>
      <c r="Y14" s="25"/>
      <c r="Z14" s="14"/>
      <c r="AA14" s="14"/>
      <c r="AB14" s="27"/>
      <c r="AC14" s="28"/>
      <c r="AD14" s="25"/>
      <c r="AE14" s="25"/>
      <c r="AF14" s="25"/>
      <c r="AG14" s="25"/>
    </row>
    <row r="15" spans="1:33" ht="15.75" hidden="1" customHeight="1">
      <c r="A15" s="14"/>
      <c r="B15" s="14"/>
      <c r="C15" s="15"/>
      <c r="D15" s="16"/>
      <c r="E15" s="16"/>
      <c r="F15" s="17"/>
      <c r="G15" s="29"/>
      <c r="H15" s="18"/>
      <c r="I15" s="18"/>
      <c r="J15" s="17"/>
      <c r="K15" s="17"/>
      <c r="L15" s="16"/>
      <c r="M15" s="19"/>
      <c r="N15" s="16"/>
      <c r="O15" s="20"/>
      <c r="P15" s="20"/>
      <c r="Q15" s="16"/>
      <c r="R15" s="16"/>
      <c r="S15" s="21"/>
      <c r="T15" s="14"/>
      <c r="U15" s="22"/>
      <c r="V15" s="23"/>
      <c r="W15" s="14"/>
      <c r="X15" s="24"/>
      <c r="Y15" s="25"/>
      <c r="Z15" s="14"/>
      <c r="AA15" s="14"/>
      <c r="AB15" s="27"/>
      <c r="AC15" s="28"/>
      <c r="AD15" s="25"/>
      <c r="AE15" s="25"/>
      <c r="AF15" s="25"/>
      <c r="AG15" s="25"/>
    </row>
    <row r="16" spans="1:33" ht="15.75" hidden="1" customHeight="1">
      <c r="A16" s="14"/>
      <c r="B16" s="14"/>
      <c r="C16" s="15"/>
      <c r="D16" s="16"/>
      <c r="E16" s="16"/>
      <c r="F16" s="17"/>
      <c r="G16" s="29"/>
      <c r="H16" s="18"/>
      <c r="I16" s="18"/>
      <c r="J16" s="17"/>
      <c r="K16" s="17"/>
      <c r="L16" s="16"/>
      <c r="M16" s="19"/>
      <c r="N16" s="16"/>
      <c r="O16" s="20"/>
      <c r="P16" s="20"/>
      <c r="Q16" s="16"/>
      <c r="R16" s="16"/>
      <c r="S16" s="21"/>
      <c r="T16" s="14"/>
      <c r="U16" s="22"/>
      <c r="V16" s="23"/>
      <c r="W16" s="14"/>
      <c r="X16" s="24"/>
      <c r="Y16" s="25"/>
      <c r="Z16" s="14"/>
      <c r="AA16" s="14"/>
      <c r="AB16" s="27"/>
      <c r="AC16" s="28"/>
      <c r="AD16" s="25"/>
      <c r="AE16" s="25"/>
      <c r="AF16" s="25"/>
      <c r="AG16" s="25"/>
    </row>
    <row r="17" spans="1:33" ht="15.75" hidden="1" customHeight="1">
      <c r="A17" s="14"/>
      <c r="B17" s="14"/>
      <c r="C17" s="15"/>
      <c r="D17" s="16"/>
      <c r="E17" s="16"/>
      <c r="F17" s="17"/>
      <c r="G17" s="29"/>
      <c r="H17" s="18"/>
      <c r="I17" s="18"/>
      <c r="J17" s="17"/>
      <c r="K17" s="17"/>
      <c r="L17" s="16"/>
      <c r="M17" s="19"/>
      <c r="N17" s="16"/>
      <c r="O17" s="20"/>
      <c r="P17" s="20"/>
      <c r="Q17" s="16"/>
      <c r="R17" s="16"/>
      <c r="S17" s="21"/>
      <c r="T17" s="14"/>
      <c r="U17" s="22"/>
      <c r="V17" s="23"/>
      <c r="W17" s="14"/>
      <c r="X17" s="24"/>
      <c r="Y17" s="25"/>
      <c r="Z17" s="14"/>
      <c r="AA17" s="14"/>
      <c r="AB17" s="27"/>
      <c r="AC17" s="28"/>
      <c r="AD17" s="25"/>
      <c r="AE17" s="25"/>
      <c r="AF17" s="25"/>
      <c r="AG17" s="25"/>
    </row>
    <row r="18" spans="1:33" ht="15.75" hidden="1" customHeight="1">
      <c r="A18" s="14"/>
      <c r="B18" s="14"/>
      <c r="C18" s="15"/>
      <c r="D18" s="16"/>
      <c r="E18" s="16"/>
      <c r="F18" s="17"/>
      <c r="G18" s="29"/>
      <c r="H18" s="18"/>
      <c r="I18" s="18"/>
      <c r="J18" s="17"/>
      <c r="K18" s="17"/>
      <c r="L18" s="16"/>
      <c r="M18" s="19"/>
      <c r="N18" s="16"/>
      <c r="O18" s="20"/>
      <c r="P18" s="20"/>
      <c r="Q18" s="16"/>
      <c r="R18" s="16"/>
      <c r="S18" s="21"/>
      <c r="T18" s="14"/>
      <c r="U18" s="22"/>
      <c r="V18" s="23"/>
      <c r="W18" s="14"/>
      <c r="X18" s="24"/>
      <c r="Y18" s="25"/>
      <c r="Z18" s="14"/>
      <c r="AA18" s="14"/>
      <c r="AB18" s="27"/>
      <c r="AC18" s="28"/>
      <c r="AD18" s="25"/>
      <c r="AE18" s="25"/>
      <c r="AF18" s="25"/>
      <c r="AG18" s="25"/>
    </row>
    <row r="19" spans="1:33" ht="15.75" hidden="1" customHeight="1">
      <c r="A19" s="14"/>
      <c r="B19" s="14"/>
      <c r="C19" s="15"/>
      <c r="D19" s="16"/>
      <c r="E19" s="16"/>
      <c r="F19" s="17"/>
      <c r="G19" s="29"/>
      <c r="H19" s="18"/>
      <c r="I19" s="18"/>
      <c r="J19" s="17"/>
      <c r="K19" s="17"/>
      <c r="L19" s="16"/>
      <c r="M19" s="19"/>
      <c r="N19" s="16"/>
      <c r="O19" s="20"/>
      <c r="P19" s="20"/>
      <c r="Q19" s="16"/>
      <c r="R19" s="16"/>
      <c r="S19" s="21"/>
      <c r="T19" s="14"/>
      <c r="U19" s="22"/>
      <c r="V19" s="23"/>
      <c r="W19" s="14"/>
      <c r="X19" s="24"/>
      <c r="Y19" s="25"/>
      <c r="Z19" s="14"/>
      <c r="AA19" s="14"/>
      <c r="AB19" s="27"/>
      <c r="AC19" s="28"/>
      <c r="AD19" s="25"/>
      <c r="AE19" s="25"/>
      <c r="AF19" s="25"/>
      <c r="AG19" s="25"/>
    </row>
    <row r="20" spans="1:33" ht="15.75" hidden="1" customHeight="1">
      <c r="A20" s="14"/>
      <c r="B20" s="14"/>
      <c r="C20" s="15"/>
      <c r="D20" s="16"/>
      <c r="E20" s="16"/>
      <c r="F20" s="17"/>
      <c r="G20" s="29"/>
      <c r="H20" s="18"/>
      <c r="I20" s="18"/>
      <c r="J20" s="17"/>
      <c r="K20" s="17"/>
      <c r="L20" s="16"/>
      <c r="M20" s="19"/>
      <c r="N20" s="16"/>
      <c r="O20" s="20"/>
      <c r="P20" s="20"/>
      <c r="Q20" s="16"/>
      <c r="R20" s="16"/>
      <c r="S20" s="21"/>
      <c r="T20" s="14"/>
      <c r="U20" s="22"/>
      <c r="V20" s="23"/>
      <c r="W20" s="14"/>
      <c r="X20" s="24"/>
      <c r="Y20" s="25"/>
      <c r="Z20" s="14"/>
      <c r="AA20" s="14"/>
      <c r="AB20" s="27"/>
      <c r="AC20" s="28"/>
      <c r="AD20" s="25"/>
      <c r="AE20" s="25"/>
      <c r="AF20" s="25"/>
      <c r="AG20" s="25"/>
    </row>
    <row r="21" spans="1:33" ht="15.75" customHeight="1">
      <c r="A21" s="14" t="s">
        <v>47</v>
      </c>
      <c r="B21" s="14" t="s">
        <v>72</v>
      </c>
      <c r="C21" s="15">
        <f t="shared" ref="C21:C32" si="1">IFERROR(F21/D21," - ")</f>
        <v>31.990000000000006</v>
      </c>
      <c r="D21" s="16">
        <v>15</v>
      </c>
      <c r="E21" s="16">
        <v>0</v>
      </c>
      <c r="F21" s="17">
        <v>479.85000000000008</v>
      </c>
      <c r="G21" s="29">
        <v>0</v>
      </c>
      <c r="H21" s="18">
        <f t="shared" ref="H21:H32" si="2">G21/F21*-1</f>
        <v>0</v>
      </c>
      <c r="I21" s="18">
        <f t="shared" ref="I21:I32" si="3">J21/F21</f>
        <v>6.9115962996248878E-2</v>
      </c>
      <c r="J21" s="17">
        <f t="shared" ref="J21:J32" si="4">F21*0.85+G21+AF21*D21+D21*AE21+AG21+AD21</f>
        <v>33.165294843750033</v>
      </c>
      <c r="K21" s="17">
        <f t="shared" ref="K21:K32" si="5">J21/D21</f>
        <v>2.2110196562500022</v>
      </c>
      <c r="L21" s="16">
        <v>7</v>
      </c>
      <c r="M21" s="19">
        <f t="shared" ref="M21:M32" si="6">IFERROR(D21/L21,"-")</f>
        <v>2.1428571428571428</v>
      </c>
      <c r="N21" s="16">
        <v>186</v>
      </c>
      <c r="O21" s="20">
        <f t="shared" ref="O21:P21" si="7">D21/7</f>
        <v>2.1428571428571428</v>
      </c>
      <c r="P21" s="20">
        <f t="shared" si="7"/>
        <v>0</v>
      </c>
      <c r="Q21" s="16">
        <f t="shared" ref="Q21:Q32" si="8">ROUNDDOWN(N21/(O21+P21),0)</f>
        <v>86</v>
      </c>
      <c r="R21" s="16"/>
      <c r="S21" s="21">
        <v>4.7368421052631497E-2</v>
      </c>
      <c r="T21" s="14">
        <v>200</v>
      </c>
      <c r="U21" s="22" t="s">
        <v>34</v>
      </c>
      <c r="V21" s="23" t="s">
        <v>34</v>
      </c>
      <c r="W21" s="14">
        <v>0</v>
      </c>
      <c r="X21" s="24">
        <f t="shared" ref="X21:X32" si="9">IFERROR(W21/D21,0)</f>
        <v>0</v>
      </c>
      <c r="Y21" s="25">
        <f t="shared" ref="Y21:Y32" si="10">IFERROR(G21/(W21+Z21)*-1,0)</f>
        <v>0</v>
      </c>
      <c r="Z21" s="14">
        <v>0</v>
      </c>
      <c r="AA21" s="14" t="s">
        <v>35</v>
      </c>
      <c r="AB21" s="27">
        <f t="shared" ref="AB21:AB32" si="11">IF(OR(AA21="UsLargeStandardSize",AA21="UsSmallStandardSize"),-0.69,-0.48)</f>
        <v>-0.69</v>
      </c>
      <c r="AC21" s="28">
        <v>0.34129010416666666</v>
      </c>
      <c r="AD21" s="25">
        <f t="shared" ref="AD21:AD32" si="12">IFERROR(AB21*AC21*D21*2,0)</f>
        <v>-7.0647051562499996</v>
      </c>
      <c r="AE21" s="25">
        <v>-6.94</v>
      </c>
      <c r="AF21" s="25">
        <v>-17.569500000000001</v>
      </c>
      <c r="AG21" s="25">
        <v>0</v>
      </c>
    </row>
    <row r="22" spans="1:33" ht="15.75" customHeight="1">
      <c r="A22" s="14" t="s">
        <v>48</v>
      </c>
      <c r="B22" s="14" t="s">
        <v>73</v>
      </c>
      <c r="C22" s="15">
        <f t="shared" si="1"/>
        <v>35.74</v>
      </c>
      <c r="D22" s="16">
        <v>16</v>
      </c>
      <c r="E22" s="16">
        <v>0</v>
      </c>
      <c r="F22" s="29">
        <v>571.84</v>
      </c>
      <c r="G22" s="29">
        <v>0</v>
      </c>
      <c r="H22" s="18">
        <f t="shared" si="2"/>
        <v>0</v>
      </c>
      <c r="I22" s="18">
        <f t="shared" si="3"/>
        <v>0.15104979452294345</v>
      </c>
      <c r="J22" s="17">
        <f t="shared" si="4"/>
        <v>86.376314499999992</v>
      </c>
      <c r="K22" s="17">
        <f t="shared" si="5"/>
        <v>5.3985196562499995</v>
      </c>
      <c r="L22" s="16">
        <v>42</v>
      </c>
      <c r="M22" s="19">
        <f t="shared" si="6"/>
        <v>0.38095238095238093</v>
      </c>
      <c r="N22" s="16">
        <v>173</v>
      </c>
      <c r="O22" s="20">
        <f t="shared" ref="O22:P22" si="13">D22/7</f>
        <v>2.2857142857142856</v>
      </c>
      <c r="P22" s="20">
        <f t="shared" si="13"/>
        <v>0</v>
      </c>
      <c r="Q22" s="16">
        <f t="shared" si="8"/>
        <v>75</v>
      </c>
      <c r="R22" s="16"/>
      <c r="S22" s="21">
        <v>0.25988700564971701</v>
      </c>
      <c r="T22" s="14">
        <v>200</v>
      </c>
      <c r="U22" s="22" t="s">
        <v>34</v>
      </c>
      <c r="V22" s="23" t="s">
        <v>34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35</v>
      </c>
      <c r="AB22" s="27">
        <f t="shared" si="11"/>
        <v>-0.69</v>
      </c>
      <c r="AC22" s="28">
        <v>0.34129010416666666</v>
      </c>
      <c r="AD22" s="25">
        <f t="shared" si="12"/>
        <v>-7.5356854999999996</v>
      </c>
      <c r="AE22" s="25">
        <v>-6.94</v>
      </c>
      <c r="AF22" s="25">
        <v>-17.569500000000001</v>
      </c>
      <c r="AG22" s="25">
        <v>0</v>
      </c>
    </row>
    <row r="23" spans="1:33" ht="15.75" customHeight="1">
      <c r="A23" s="14" t="s">
        <v>49</v>
      </c>
      <c r="B23" s="14" t="s">
        <v>68</v>
      </c>
      <c r="C23" s="15">
        <f t="shared" si="1"/>
        <v>37.195172413793109</v>
      </c>
      <c r="D23" s="16">
        <v>29</v>
      </c>
      <c r="E23" s="16">
        <v>0</v>
      </c>
      <c r="F23" s="17">
        <v>1078.6600000000001</v>
      </c>
      <c r="G23" s="29">
        <v>0</v>
      </c>
      <c r="H23" s="18">
        <f t="shared" si="2"/>
        <v>0</v>
      </c>
      <c r="I23" s="18">
        <f t="shared" si="3"/>
        <v>0.17839455438344792</v>
      </c>
      <c r="J23" s="17">
        <f t="shared" si="4"/>
        <v>192.42707003124994</v>
      </c>
      <c r="K23" s="17">
        <f t="shared" si="5"/>
        <v>6.6354162079741359</v>
      </c>
      <c r="L23" s="16">
        <v>53</v>
      </c>
      <c r="M23" s="19">
        <f t="shared" si="6"/>
        <v>0.54716981132075471</v>
      </c>
      <c r="N23" s="16">
        <v>137</v>
      </c>
      <c r="O23" s="20">
        <f t="shared" ref="O23:P23" si="14">D23/7</f>
        <v>4.1428571428571432</v>
      </c>
      <c r="P23" s="20">
        <f t="shared" si="14"/>
        <v>0</v>
      </c>
      <c r="Q23" s="16">
        <f t="shared" si="8"/>
        <v>33</v>
      </c>
      <c r="R23" s="16"/>
      <c r="S23" s="21">
        <v>0.73949579831932699</v>
      </c>
      <c r="T23" s="14">
        <v>400</v>
      </c>
      <c r="U23" s="22" t="s">
        <v>34</v>
      </c>
      <c r="V23" s="23" t="s">
        <v>34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35</v>
      </c>
      <c r="AB23" s="27">
        <f t="shared" si="11"/>
        <v>-0.69</v>
      </c>
      <c r="AC23" s="28">
        <v>0.34129010416666666</v>
      </c>
      <c r="AD23" s="25">
        <f t="shared" si="12"/>
        <v>-13.658429968749999</v>
      </c>
      <c r="AE23" s="25">
        <v>-6.94</v>
      </c>
      <c r="AF23" s="25">
        <v>-17.569500000000001</v>
      </c>
      <c r="AG23" s="25">
        <v>0</v>
      </c>
    </row>
    <row r="24" spans="1:33" ht="15.75" customHeight="1">
      <c r="A24" s="14" t="s">
        <v>50</v>
      </c>
      <c r="B24" s="14" t="s">
        <v>74</v>
      </c>
      <c r="C24" s="15">
        <f t="shared" si="1"/>
        <v>37.893750000000004</v>
      </c>
      <c r="D24" s="16">
        <v>16</v>
      </c>
      <c r="E24" s="16">
        <v>0</v>
      </c>
      <c r="F24" s="17">
        <v>606.30000000000007</v>
      </c>
      <c r="G24" s="17">
        <v>0</v>
      </c>
      <c r="H24" s="18">
        <f t="shared" si="2"/>
        <v>0</v>
      </c>
      <c r="I24" s="18">
        <f t="shared" si="3"/>
        <v>0.19077571251855513</v>
      </c>
      <c r="J24" s="17">
        <f t="shared" si="4"/>
        <v>115.66731449999999</v>
      </c>
      <c r="K24" s="17">
        <f t="shared" si="5"/>
        <v>7.2292071562499993</v>
      </c>
      <c r="L24" s="16">
        <v>55</v>
      </c>
      <c r="M24" s="19">
        <f t="shared" si="6"/>
        <v>0.29090909090909089</v>
      </c>
      <c r="N24" s="16">
        <v>124</v>
      </c>
      <c r="O24" s="20">
        <f t="shared" ref="O24:P24" si="15">D24/7</f>
        <v>2.2857142857142856</v>
      </c>
      <c r="P24" s="20">
        <f t="shared" si="15"/>
        <v>0</v>
      </c>
      <c r="Q24" s="16">
        <f t="shared" si="8"/>
        <v>54</v>
      </c>
      <c r="R24" s="16"/>
      <c r="S24" s="21">
        <v>1.0076335877862499</v>
      </c>
      <c r="T24" s="14">
        <v>652</v>
      </c>
      <c r="U24" s="22">
        <v>252</v>
      </c>
      <c r="V24" s="23" t="s">
        <v>75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14" t="s">
        <v>35</v>
      </c>
      <c r="AB24" s="27">
        <f t="shared" si="11"/>
        <v>-0.69</v>
      </c>
      <c r="AC24" s="28">
        <v>0.34129010416666666</v>
      </c>
      <c r="AD24" s="25">
        <f t="shared" si="12"/>
        <v>-7.5356854999999996</v>
      </c>
      <c r="AE24" s="25">
        <v>-6.94</v>
      </c>
      <c r="AF24" s="25">
        <v>-17.569500000000001</v>
      </c>
      <c r="AG24" s="25">
        <v>0</v>
      </c>
    </row>
    <row r="25" spans="1:33" ht="15.75" customHeight="1">
      <c r="A25" s="14" t="s">
        <v>51</v>
      </c>
      <c r="B25" s="14"/>
      <c r="C25" s="15">
        <f t="shared" si="1"/>
        <v>40.329500000000003</v>
      </c>
      <c r="D25" s="16">
        <v>20</v>
      </c>
      <c r="E25" s="16">
        <v>0</v>
      </c>
      <c r="F25" s="17">
        <v>806.59</v>
      </c>
      <c r="G25" s="17">
        <v>0</v>
      </c>
      <c r="H25" s="18">
        <f t="shared" si="2"/>
        <v>0</v>
      </c>
      <c r="I25" s="18">
        <f t="shared" si="3"/>
        <v>0.23057798029358162</v>
      </c>
      <c r="J25" s="17">
        <f t="shared" si="4"/>
        <v>185.981893125</v>
      </c>
      <c r="K25" s="17">
        <f t="shared" si="5"/>
        <v>9.2990946562500003</v>
      </c>
      <c r="L25" s="16">
        <v>54</v>
      </c>
      <c r="M25" s="19">
        <f t="shared" si="6"/>
        <v>0.37037037037037035</v>
      </c>
      <c r="N25" s="16">
        <v>99</v>
      </c>
      <c r="O25" s="20">
        <f t="shared" ref="O25:P25" si="16">D25/7</f>
        <v>2.8571428571428572</v>
      </c>
      <c r="P25" s="20">
        <f t="shared" si="16"/>
        <v>0</v>
      </c>
      <c r="Q25" s="16">
        <f t="shared" si="8"/>
        <v>34</v>
      </c>
      <c r="R25" s="16"/>
      <c r="S25" s="21">
        <v>0.62046204620462042</v>
      </c>
      <c r="T25" s="14">
        <v>652</v>
      </c>
      <c r="U25" s="22">
        <v>252</v>
      </c>
      <c r="V25" s="23" t="s">
        <v>76</v>
      </c>
      <c r="W25" s="30">
        <v>0</v>
      </c>
      <c r="X25" s="24">
        <f t="shared" si="9"/>
        <v>0</v>
      </c>
      <c r="Y25" s="25">
        <f t="shared" si="10"/>
        <v>0</v>
      </c>
      <c r="Z25" s="30">
        <v>0</v>
      </c>
      <c r="AA25" s="14" t="s">
        <v>35</v>
      </c>
      <c r="AB25" s="27">
        <f t="shared" si="11"/>
        <v>-0.69</v>
      </c>
      <c r="AC25" s="28">
        <v>0.34129010416666666</v>
      </c>
      <c r="AD25" s="25">
        <f t="shared" si="12"/>
        <v>-9.4196068749999995</v>
      </c>
      <c r="AE25" s="25">
        <v>-6.94</v>
      </c>
      <c r="AF25" s="25">
        <v>-17.57</v>
      </c>
      <c r="AG25" s="25">
        <v>0</v>
      </c>
    </row>
    <row r="26" spans="1:33" ht="15.75" customHeight="1">
      <c r="A26" s="14" t="s">
        <v>52</v>
      </c>
      <c r="B26" s="14" t="s">
        <v>77</v>
      </c>
      <c r="C26" s="15">
        <f t="shared" si="1"/>
        <v>40.164545454545454</v>
      </c>
      <c r="D26" s="16">
        <v>11</v>
      </c>
      <c r="E26" s="16">
        <v>1</v>
      </c>
      <c r="F26" s="17">
        <v>441.81</v>
      </c>
      <c r="G26" s="17">
        <v>0</v>
      </c>
      <c r="H26" s="18">
        <f t="shared" si="2"/>
        <v>0</v>
      </c>
      <c r="I26" s="18">
        <f t="shared" si="3"/>
        <v>0.22954033683879943</v>
      </c>
      <c r="J26" s="17">
        <f t="shared" si="4"/>
        <v>101.41321621874998</v>
      </c>
      <c r="K26" s="17">
        <f t="shared" si="5"/>
        <v>9.2193832926136352</v>
      </c>
      <c r="L26" s="16">
        <v>50</v>
      </c>
      <c r="M26" s="19">
        <f t="shared" si="6"/>
        <v>0.22</v>
      </c>
      <c r="N26" s="16">
        <v>100</v>
      </c>
      <c r="O26" s="20">
        <f t="shared" ref="O26:P26" si="17">D26/7</f>
        <v>1.5714285714285714</v>
      </c>
      <c r="P26" s="20">
        <f t="shared" si="17"/>
        <v>0.14285714285714285</v>
      </c>
      <c r="Q26" s="16">
        <f t="shared" si="8"/>
        <v>58</v>
      </c>
      <c r="R26" s="16"/>
      <c r="S26" s="21">
        <v>0.72982456140350882</v>
      </c>
      <c r="T26" s="14">
        <v>652</v>
      </c>
      <c r="U26" s="22">
        <v>252</v>
      </c>
      <c r="V26" s="23" t="s">
        <v>76</v>
      </c>
      <c r="W26" s="30">
        <v>0</v>
      </c>
      <c r="X26" s="24">
        <f t="shared" si="9"/>
        <v>0</v>
      </c>
      <c r="Y26" s="25">
        <f t="shared" si="10"/>
        <v>0</v>
      </c>
      <c r="Z26" s="30">
        <v>0</v>
      </c>
      <c r="AA26" s="14" t="s">
        <v>35</v>
      </c>
      <c r="AB26" s="27">
        <f t="shared" si="11"/>
        <v>-0.69</v>
      </c>
      <c r="AC26" s="28">
        <v>0.34129010416666666</v>
      </c>
      <c r="AD26" s="25">
        <f t="shared" si="12"/>
        <v>-5.1807837812499997</v>
      </c>
      <c r="AE26" s="25">
        <v>-6.88</v>
      </c>
      <c r="AF26" s="25">
        <v>-17.569500000000001</v>
      </c>
      <c r="AG26" s="25">
        <v>0</v>
      </c>
    </row>
    <row r="27" spans="1:33" ht="15.75" customHeight="1">
      <c r="A27" s="14" t="s">
        <v>53</v>
      </c>
      <c r="B27" s="14" t="s">
        <v>78</v>
      </c>
      <c r="C27" s="15">
        <f t="shared" si="1"/>
        <v>40.588888888888889</v>
      </c>
      <c r="D27" s="16">
        <v>36</v>
      </c>
      <c r="E27" s="16">
        <v>3</v>
      </c>
      <c r="F27" s="17">
        <v>1461.2</v>
      </c>
      <c r="G27" s="17">
        <v>0</v>
      </c>
      <c r="H27" s="18">
        <f t="shared" si="2"/>
        <v>0</v>
      </c>
      <c r="I27" s="18">
        <f t="shared" si="3"/>
        <v>0.23454880072885295</v>
      </c>
      <c r="J27" s="17">
        <f t="shared" si="4"/>
        <v>342.72270762499994</v>
      </c>
      <c r="K27" s="17">
        <f t="shared" si="5"/>
        <v>9.5200752118055547</v>
      </c>
      <c r="L27" s="16">
        <v>71</v>
      </c>
      <c r="M27" s="19">
        <f t="shared" si="6"/>
        <v>0.50704225352112675</v>
      </c>
      <c r="N27" s="16">
        <v>65</v>
      </c>
      <c r="O27" s="20">
        <f t="shared" ref="O27:P27" si="18">D27/7</f>
        <v>5.1428571428571432</v>
      </c>
      <c r="P27" s="20">
        <f t="shared" si="18"/>
        <v>0.42857142857142855</v>
      </c>
      <c r="Q27" s="16">
        <f t="shared" si="8"/>
        <v>11</v>
      </c>
      <c r="R27" s="16"/>
      <c r="S27" s="21">
        <v>2.0051020408163271</v>
      </c>
      <c r="T27" s="14">
        <v>652</v>
      </c>
      <c r="U27" s="22">
        <v>252</v>
      </c>
      <c r="V27" s="23" t="s">
        <v>79</v>
      </c>
      <c r="W27" s="30">
        <v>0</v>
      </c>
      <c r="X27" s="24">
        <f t="shared" si="9"/>
        <v>0</v>
      </c>
      <c r="Y27" s="25">
        <f t="shared" si="10"/>
        <v>0</v>
      </c>
      <c r="Z27" s="30">
        <v>0</v>
      </c>
      <c r="AA27" s="14" t="s">
        <v>35</v>
      </c>
      <c r="AB27" s="27">
        <f t="shared" si="11"/>
        <v>-0.69</v>
      </c>
      <c r="AC27" s="28">
        <v>0.34129010416666666</v>
      </c>
      <c r="AD27" s="25">
        <f t="shared" si="12"/>
        <v>-16.955292374999999</v>
      </c>
      <c r="AE27" s="25">
        <v>-6.88</v>
      </c>
      <c r="AF27" s="25">
        <v>-17.6295</v>
      </c>
      <c r="AG27" s="25">
        <v>0</v>
      </c>
    </row>
    <row r="28" spans="1:33" ht="15.75" customHeight="1">
      <c r="A28" s="14" t="s">
        <v>54</v>
      </c>
      <c r="B28" s="14" t="s">
        <v>80</v>
      </c>
      <c r="C28" s="15">
        <f t="shared" si="1"/>
        <v>46.494062499999998</v>
      </c>
      <c r="D28" s="16">
        <v>32</v>
      </c>
      <c r="E28" s="16">
        <v>0</v>
      </c>
      <c r="F28" s="17">
        <v>1487.81</v>
      </c>
      <c r="G28" s="17">
        <v>0</v>
      </c>
      <c r="H28" s="18">
        <f t="shared" si="2"/>
        <v>0</v>
      </c>
      <c r="I28" s="18">
        <f t="shared" si="3"/>
        <v>0.31271676423736905</v>
      </c>
      <c r="J28" s="17">
        <f t="shared" si="4"/>
        <v>465.26312900000005</v>
      </c>
      <c r="K28" s="17">
        <f t="shared" si="5"/>
        <v>14.539472781250002</v>
      </c>
      <c r="L28" s="16">
        <v>90</v>
      </c>
      <c r="M28" s="19">
        <f t="shared" si="6"/>
        <v>0.35555555555555557</v>
      </c>
      <c r="N28" s="16">
        <v>26</v>
      </c>
      <c r="O28" s="20">
        <f t="shared" ref="O28:P28" si="19">D28/7</f>
        <v>4.5714285714285712</v>
      </c>
      <c r="P28" s="20">
        <f t="shared" si="19"/>
        <v>0</v>
      </c>
      <c r="Q28" s="16">
        <f t="shared" si="8"/>
        <v>5</v>
      </c>
      <c r="R28" s="16"/>
      <c r="S28" s="21">
        <v>3.0898203592814371</v>
      </c>
      <c r="T28" s="14">
        <v>452</v>
      </c>
      <c r="U28" s="22">
        <v>44384</v>
      </c>
      <c r="V28" s="23" t="s">
        <v>79</v>
      </c>
      <c r="W28" s="30">
        <v>0</v>
      </c>
      <c r="X28" s="24">
        <f t="shared" si="9"/>
        <v>0</v>
      </c>
      <c r="Y28" s="25">
        <f t="shared" si="10"/>
        <v>0</v>
      </c>
      <c r="Z28" s="30">
        <v>0</v>
      </c>
      <c r="AA28" s="14" t="s">
        <v>35</v>
      </c>
      <c r="AB28" s="27">
        <f t="shared" si="11"/>
        <v>-0.69</v>
      </c>
      <c r="AC28" s="28">
        <v>0.34129010416666666</v>
      </c>
      <c r="AD28" s="25">
        <f t="shared" si="12"/>
        <v>-15.071370999999999</v>
      </c>
      <c r="AE28" s="25">
        <v>-6.88</v>
      </c>
      <c r="AF28" s="25">
        <v>-17.6295</v>
      </c>
      <c r="AG28" s="25">
        <v>0</v>
      </c>
    </row>
    <row r="29" spans="1:33" ht="15.75" customHeight="1">
      <c r="A29" s="14" t="s">
        <v>55</v>
      </c>
      <c r="B29" s="14" t="s">
        <v>81</v>
      </c>
      <c r="C29" s="15">
        <f t="shared" si="1"/>
        <v>50.231428571428566</v>
      </c>
      <c r="D29" s="16">
        <v>21</v>
      </c>
      <c r="E29" s="16">
        <v>0</v>
      </c>
      <c r="F29" s="17">
        <v>1054.8599999999999</v>
      </c>
      <c r="G29" s="17">
        <v>0</v>
      </c>
      <c r="H29" s="18">
        <f t="shared" si="2"/>
        <v>0</v>
      </c>
      <c r="I29" s="18">
        <f t="shared" si="3"/>
        <v>0.35269221771727999</v>
      </c>
      <c r="J29" s="17">
        <f t="shared" si="4"/>
        <v>372.04091278124992</v>
      </c>
      <c r="K29" s="17">
        <f t="shared" si="5"/>
        <v>17.716233941964283</v>
      </c>
      <c r="L29" s="16">
        <v>80</v>
      </c>
      <c r="M29" s="19">
        <f t="shared" si="6"/>
        <v>0.26250000000000001</v>
      </c>
      <c r="N29" s="16">
        <v>5</v>
      </c>
      <c r="O29" s="20">
        <f t="shared" ref="O29:P29" si="20">D29/7</f>
        <v>3</v>
      </c>
      <c r="P29" s="20">
        <f t="shared" si="20"/>
        <v>0</v>
      </c>
      <c r="Q29" s="16">
        <f t="shared" si="8"/>
        <v>1</v>
      </c>
      <c r="R29" s="16"/>
      <c r="S29" s="21">
        <v>1.7522935779816511</v>
      </c>
      <c r="T29" s="14">
        <v>452</v>
      </c>
      <c r="U29" s="22">
        <v>44386</v>
      </c>
      <c r="V29" s="23" t="s">
        <v>82</v>
      </c>
      <c r="W29" s="30">
        <v>0</v>
      </c>
      <c r="X29" s="24">
        <f t="shared" si="9"/>
        <v>0</v>
      </c>
      <c r="Y29" s="25">
        <f t="shared" si="10"/>
        <v>0</v>
      </c>
      <c r="Z29" s="30">
        <v>0</v>
      </c>
      <c r="AA29" s="14" t="s">
        <v>35</v>
      </c>
      <c r="AB29" s="27">
        <f t="shared" si="11"/>
        <v>-0.69</v>
      </c>
      <c r="AC29" s="28">
        <v>0.34129010416666666</v>
      </c>
      <c r="AD29" s="25">
        <f t="shared" si="12"/>
        <v>-9.8905872187499995</v>
      </c>
      <c r="AE29" s="25">
        <v>-6.88</v>
      </c>
      <c r="AF29" s="25">
        <v>-17.6295</v>
      </c>
      <c r="AG29" s="25">
        <v>0</v>
      </c>
    </row>
    <row r="30" spans="1:33" ht="15.75" customHeight="1">
      <c r="A30" s="14" t="s">
        <v>57</v>
      </c>
      <c r="B30" s="14" t="s">
        <v>45</v>
      </c>
      <c r="C30" s="15">
        <f t="shared" si="1"/>
        <v>53.32833333333334</v>
      </c>
      <c r="D30" s="16">
        <v>6</v>
      </c>
      <c r="E30" s="16">
        <v>0</v>
      </c>
      <c r="F30" s="17">
        <v>319.97000000000003</v>
      </c>
      <c r="G30" s="17">
        <v>0</v>
      </c>
      <c r="H30" s="18">
        <f t="shared" si="2"/>
        <v>0</v>
      </c>
      <c r="I30" s="18">
        <f t="shared" si="3"/>
        <v>0.38835347132699943</v>
      </c>
      <c r="J30" s="17">
        <f t="shared" si="4"/>
        <v>124.26146022050003</v>
      </c>
      <c r="K30" s="17">
        <f t="shared" si="5"/>
        <v>20.710243370083337</v>
      </c>
      <c r="L30" s="16">
        <v>70</v>
      </c>
      <c r="M30" s="19">
        <f t="shared" si="6"/>
        <v>8.5714285714285715E-2</v>
      </c>
      <c r="N30" s="16">
        <v>0</v>
      </c>
      <c r="O30" s="20">
        <f t="shared" ref="O30:P30" si="21">D30/7</f>
        <v>0.8571428571428571</v>
      </c>
      <c r="P30" s="20">
        <f t="shared" si="21"/>
        <v>0</v>
      </c>
      <c r="Q30" s="16">
        <f t="shared" si="8"/>
        <v>0</v>
      </c>
      <c r="R30" s="16"/>
      <c r="S30" s="21">
        <v>1.97029702970297</v>
      </c>
      <c r="T30" s="14">
        <v>452</v>
      </c>
      <c r="U30" s="22">
        <v>252</v>
      </c>
      <c r="V30" s="23" t="s">
        <v>82</v>
      </c>
      <c r="W30" s="30">
        <v>0</v>
      </c>
      <c r="X30" s="24">
        <f t="shared" si="9"/>
        <v>0</v>
      </c>
      <c r="Y30" s="25">
        <f t="shared" si="10"/>
        <v>0</v>
      </c>
      <c r="Z30" s="30">
        <v>0</v>
      </c>
      <c r="AA30" s="14" t="s">
        <v>35</v>
      </c>
      <c r="AB30" s="27">
        <f t="shared" si="11"/>
        <v>-0.69</v>
      </c>
      <c r="AC30" s="28">
        <v>0.34129010416666666</v>
      </c>
      <c r="AD30" s="25">
        <f t="shared" si="12"/>
        <v>-2.8258820624999998</v>
      </c>
      <c r="AE30" s="25">
        <v>-6.88</v>
      </c>
      <c r="AF30" s="25">
        <v>-17.267859619500001</v>
      </c>
      <c r="AG30" s="25">
        <v>0</v>
      </c>
    </row>
    <row r="31" spans="1:33" ht="15.75" customHeight="1">
      <c r="A31" s="14" t="s">
        <v>58</v>
      </c>
      <c r="B31" s="14" t="s">
        <v>83</v>
      </c>
      <c r="C31" s="15" t="str">
        <f t="shared" si="1"/>
        <v xml:space="preserve"> - </v>
      </c>
      <c r="D31" s="16">
        <v>0</v>
      </c>
      <c r="E31" s="16">
        <v>0</v>
      </c>
      <c r="F31" s="17">
        <v>0</v>
      </c>
      <c r="G31" s="17">
        <v>0</v>
      </c>
      <c r="H31" s="18" t="e">
        <f t="shared" si="2"/>
        <v>#DIV/0!</v>
      </c>
      <c r="I31" s="18" t="e">
        <f t="shared" si="3"/>
        <v>#DIV/0!</v>
      </c>
      <c r="J31" s="17">
        <f t="shared" si="4"/>
        <v>0</v>
      </c>
      <c r="K31" s="17" t="e">
        <f t="shared" si="5"/>
        <v>#DIV/0!</v>
      </c>
      <c r="L31" s="16">
        <v>0</v>
      </c>
      <c r="M31" s="19" t="str">
        <f t="shared" si="6"/>
        <v>-</v>
      </c>
      <c r="N31" s="16">
        <v>2</v>
      </c>
      <c r="O31" s="20">
        <f t="shared" ref="O31:P31" si="22">D31/7</f>
        <v>0</v>
      </c>
      <c r="P31" s="20">
        <f t="shared" si="22"/>
        <v>0</v>
      </c>
      <c r="Q31" s="16" t="e">
        <f t="shared" si="8"/>
        <v>#DIV/0!</v>
      </c>
      <c r="R31" s="16"/>
      <c r="S31" s="21" t="e">
        <v>#N/A</v>
      </c>
      <c r="T31" s="14">
        <v>200</v>
      </c>
      <c r="U31" s="22" t="s">
        <v>34</v>
      </c>
      <c r="V31" s="23" t="s">
        <v>84</v>
      </c>
      <c r="W31" s="30">
        <v>0</v>
      </c>
      <c r="X31" s="24">
        <f t="shared" si="9"/>
        <v>0</v>
      </c>
      <c r="Y31" s="25">
        <f t="shared" si="10"/>
        <v>0</v>
      </c>
      <c r="Z31" s="30">
        <v>0</v>
      </c>
      <c r="AA31" s="14" t="s">
        <v>35</v>
      </c>
      <c r="AB31" s="27">
        <f t="shared" si="11"/>
        <v>-0.69</v>
      </c>
      <c r="AC31" s="28">
        <v>0.34129010416666666</v>
      </c>
      <c r="AD31" s="25">
        <f t="shared" si="12"/>
        <v>0</v>
      </c>
      <c r="AE31" s="25">
        <v>-6.88</v>
      </c>
      <c r="AF31" s="25">
        <v>-17.267859619500001</v>
      </c>
      <c r="AG31" s="25">
        <v>0</v>
      </c>
    </row>
    <row r="32" spans="1:33" ht="15.75" customHeight="1">
      <c r="A32" s="14" t="s">
        <v>60</v>
      </c>
      <c r="B32" s="14"/>
      <c r="C32" s="15">
        <f t="shared" si="1"/>
        <v>57.67</v>
      </c>
      <c r="D32" s="16">
        <v>2</v>
      </c>
      <c r="E32" s="16">
        <v>0</v>
      </c>
      <c r="F32" s="17">
        <v>115.34</v>
      </c>
      <c r="G32" s="17">
        <v>0</v>
      </c>
      <c r="H32" s="18">
        <f t="shared" si="2"/>
        <v>0</v>
      </c>
      <c r="I32" s="18">
        <f t="shared" si="3"/>
        <v>0.4231083758756719</v>
      </c>
      <c r="J32" s="17">
        <f t="shared" si="4"/>
        <v>48.801320073500001</v>
      </c>
      <c r="K32" s="17">
        <f t="shared" si="5"/>
        <v>24.400660036750001</v>
      </c>
      <c r="L32" s="16">
        <v>3</v>
      </c>
      <c r="M32" s="19">
        <f t="shared" si="6"/>
        <v>0.66666666666666663</v>
      </c>
      <c r="N32" s="16">
        <v>0</v>
      </c>
      <c r="O32" s="20">
        <f t="shared" ref="O32:P32" si="23">D32/7</f>
        <v>0.2857142857142857</v>
      </c>
      <c r="P32" s="20">
        <f t="shared" si="23"/>
        <v>0</v>
      </c>
      <c r="Q32" s="16">
        <f t="shared" si="8"/>
        <v>0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0</v>
      </c>
      <c r="T32" s="14">
        <f ca="1">IFERROR(__xludf.DUMMYFUNCTION("IFERROR(VLOOKUP($B$2,IMPORTRANGE(""https://docs.google.com/spreadsheets/d/1KiWZV1ko8G7lnRucBRBd29jj3Be6ltMfljMDqzOkQmI/edit#gid=1381463014"",""Lookup!A:D""),4,FALSE),"""")"),200)</f>
        <v>200</v>
      </c>
      <c r="U32" s="22">
        <f ca="1">IFERROR(__xludf.DUMMYFUNCTION("IFERROR(VLOOKUP($B$2,IMPORTRANGE(""https://docs.google.com/spreadsheets/d/1KiWZV1ko8G7lnRucBRBd29jj3Be6ltMfljMDqzOkQmI/edit#gid=1381463014"",""Lookup!A:D""),3,FALSE),"""")"),252)</f>
        <v>252</v>
      </c>
      <c r="V32" s="23" t="str">
        <f ca="1">IFERROR(__xludf.DUMMYFUNCTION("IFERROR(VLOOKUP($B$2,IMPORTRANGE(""https://docs.google.com/spreadsheets/d/1KiWZV1ko8G7lnRucBRBd29jj3Be6ltMfljMDqzOkQmI/edit#gid=1381463014"",""Lookup!A:D""),2,FALSE),"""")"),"| 407  - 252 units 07/20")</f>
        <v>| 407  - 252 units 07/20</v>
      </c>
      <c r="W32" s="30">
        <v>0</v>
      </c>
      <c r="X32" s="24">
        <f t="shared" si="9"/>
        <v>0</v>
      </c>
      <c r="Y32" s="25">
        <f t="shared" si="10"/>
        <v>0</v>
      </c>
      <c r="Z32" s="30">
        <v>0</v>
      </c>
      <c r="AA32" s="14" t="s">
        <v>35</v>
      </c>
      <c r="AB32" s="27">
        <f t="shared" si="11"/>
        <v>-0.69</v>
      </c>
      <c r="AC32" s="28">
        <v>0.34129010416666666</v>
      </c>
      <c r="AD32" s="25">
        <f t="shared" si="12"/>
        <v>-0.94196068749999995</v>
      </c>
      <c r="AE32" s="25">
        <v>-6.88</v>
      </c>
      <c r="AF32" s="25">
        <v>-17.267859619500001</v>
      </c>
      <c r="AG32" s="25">
        <v>0</v>
      </c>
    </row>
    <row r="33" spans="1:33" ht="15.75" customHeight="1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16"/>
      <c r="S33" s="21"/>
      <c r="T33" s="31"/>
      <c r="U33" s="36"/>
      <c r="V33" s="1"/>
      <c r="W33" s="31"/>
      <c r="X33" s="31"/>
      <c r="Y33" s="31"/>
      <c r="Z33" s="31"/>
      <c r="AA33" s="2"/>
      <c r="AB33" s="31"/>
      <c r="AC33" s="31"/>
      <c r="AD33" s="31"/>
      <c r="AE33" s="37"/>
      <c r="AF33" s="37"/>
      <c r="AG33" s="37"/>
    </row>
    <row r="34" spans="1:33" ht="15.75" customHeight="1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6"/>
      <c r="V34" s="1"/>
      <c r="W34" s="31"/>
      <c r="X34" s="31"/>
      <c r="Y34" s="31"/>
      <c r="Z34" s="31"/>
      <c r="AA34" s="2"/>
      <c r="AB34" s="31"/>
      <c r="AC34" s="31"/>
      <c r="AD34" s="31"/>
      <c r="AE34" s="37"/>
      <c r="AF34" s="37"/>
      <c r="AG34" s="37"/>
    </row>
    <row r="35" spans="1:33" ht="15.75" customHeight="1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6"/>
      <c r="V35" s="1"/>
      <c r="W35" s="31"/>
      <c r="X35" s="31"/>
      <c r="Y35" s="31"/>
      <c r="Z35" s="31"/>
      <c r="AA35" s="2"/>
      <c r="AB35" s="31"/>
      <c r="AC35" s="31"/>
      <c r="AD35" s="31"/>
      <c r="AE35" s="37"/>
      <c r="AF35" s="37"/>
      <c r="AG35" s="37"/>
    </row>
    <row r="36" spans="1:33" ht="15.75" customHeight="1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6"/>
      <c r="V36" s="1"/>
      <c r="W36" s="31"/>
      <c r="X36" s="31"/>
      <c r="Y36" s="31"/>
      <c r="Z36" s="31"/>
      <c r="AA36" s="2"/>
      <c r="AB36" s="31"/>
      <c r="AC36" s="31"/>
      <c r="AD36" s="31"/>
      <c r="AE36" s="37"/>
      <c r="AF36" s="37"/>
      <c r="AG36" s="37"/>
    </row>
    <row r="37" spans="1:33" ht="15.75" customHeight="1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6"/>
      <c r="V37" s="1"/>
      <c r="W37" s="31"/>
      <c r="X37" s="31"/>
      <c r="Y37" s="31"/>
      <c r="Z37" s="31"/>
      <c r="AA37" s="2"/>
      <c r="AB37" s="31"/>
      <c r="AC37" s="31"/>
      <c r="AD37" s="31"/>
      <c r="AE37" s="37"/>
      <c r="AF37" s="37"/>
      <c r="AG37" s="37"/>
    </row>
    <row r="38" spans="1:33" ht="15.75" customHeight="1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6"/>
      <c r="V38" s="1"/>
      <c r="W38" s="31"/>
      <c r="X38" s="31"/>
      <c r="Y38" s="31"/>
      <c r="Z38" s="31"/>
      <c r="AA38" s="2"/>
      <c r="AB38" s="31"/>
      <c r="AC38" s="31"/>
      <c r="AD38" s="31"/>
      <c r="AE38" s="37"/>
      <c r="AF38" s="37"/>
      <c r="AG38" s="37"/>
    </row>
    <row r="39" spans="1:33" ht="15.75" customHeight="1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6"/>
      <c r="V39" s="1"/>
      <c r="W39" s="31"/>
      <c r="X39" s="31"/>
      <c r="Y39" s="31"/>
      <c r="Z39" s="31"/>
      <c r="AA39" s="2"/>
      <c r="AB39" s="31"/>
      <c r="AC39" s="31"/>
      <c r="AD39" s="31"/>
      <c r="AE39" s="37"/>
      <c r="AF39" s="37"/>
      <c r="AG39" s="37"/>
    </row>
    <row r="40" spans="1:33" ht="15.75" customHeight="1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6"/>
      <c r="V40" s="1"/>
      <c r="W40" s="31"/>
      <c r="X40" s="31"/>
      <c r="Y40" s="31"/>
      <c r="Z40" s="31"/>
      <c r="AA40" s="2"/>
      <c r="AB40" s="31"/>
      <c r="AC40" s="31"/>
      <c r="AD40" s="31"/>
      <c r="AE40" s="37"/>
      <c r="AF40" s="37"/>
      <c r="AG40" s="37"/>
    </row>
    <row r="41" spans="1:33" ht="15.75" customHeight="1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6"/>
      <c r="V41" s="1"/>
      <c r="W41" s="31"/>
      <c r="X41" s="31"/>
      <c r="Y41" s="31"/>
      <c r="Z41" s="31"/>
      <c r="AA41" s="2"/>
      <c r="AB41" s="31"/>
      <c r="AC41" s="31"/>
      <c r="AD41" s="31"/>
      <c r="AE41" s="37"/>
      <c r="AF41" s="37"/>
      <c r="AG41" s="37"/>
    </row>
    <row r="42" spans="1:33" ht="15.75" customHeight="1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6"/>
      <c r="V42" s="1"/>
      <c r="W42" s="31"/>
      <c r="X42" s="31"/>
      <c r="Y42" s="31"/>
      <c r="Z42" s="31"/>
      <c r="AA42" s="2"/>
      <c r="AB42" s="31"/>
      <c r="AC42" s="31"/>
      <c r="AD42" s="31"/>
      <c r="AE42" s="37"/>
      <c r="AF42" s="37"/>
      <c r="AG42" s="37"/>
    </row>
    <row r="43" spans="1:33" ht="15.75" customHeight="1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6"/>
      <c r="V43" s="1"/>
      <c r="W43" s="31"/>
      <c r="X43" s="31"/>
      <c r="Y43" s="31"/>
      <c r="Z43" s="31"/>
      <c r="AA43" s="2"/>
      <c r="AB43" s="31"/>
      <c r="AC43" s="31"/>
      <c r="AD43" s="31"/>
      <c r="AE43" s="37"/>
      <c r="AF43" s="37"/>
      <c r="AG43" s="37"/>
    </row>
    <row r="44" spans="1:33" ht="15.75" customHeight="1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6"/>
      <c r="V44" s="1"/>
      <c r="W44" s="31"/>
      <c r="X44" s="31"/>
      <c r="Y44" s="31"/>
      <c r="Z44" s="31"/>
      <c r="AA44" s="2"/>
      <c r="AB44" s="31"/>
      <c r="AC44" s="31"/>
      <c r="AD44" s="31"/>
      <c r="AE44" s="37"/>
      <c r="AF44" s="37"/>
      <c r="AG44" s="37"/>
    </row>
    <row r="45" spans="1:33" ht="15.75" customHeight="1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6"/>
      <c r="V45" s="1"/>
      <c r="W45" s="31"/>
      <c r="X45" s="31"/>
      <c r="Y45" s="31"/>
      <c r="Z45" s="31"/>
      <c r="AA45" s="2"/>
      <c r="AB45" s="31"/>
      <c r="AC45" s="31"/>
      <c r="AD45" s="31"/>
      <c r="AE45" s="37"/>
      <c r="AF45" s="37"/>
      <c r="AG45" s="37"/>
    </row>
    <row r="46" spans="1:33" ht="15.75" customHeight="1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6"/>
      <c r="V46" s="1"/>
      <c r="W46" s="31"/>
      <c r="X46" s="31"/>
      <c r="Y46" s="31"/>
      <c r="Z46" s="31"/>
      <c r="AA46" s="2"/>
      <c r="AB46" s="31"/>
      <c r="AC46" s="31"/>
      <c r="AD46" s="31"/>
      <c r="AE46" s="37"/>
      <c r="AF46" s="37"/>
      <c r="AG46" s="37"/>
    </row>
    <row r="47" spans="1:33" ht="15.75" customHeight="1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6"/>
      <c r="V47" s="1"/>
      <c r="W47" s="31"/>
      <c r="X47" s="31"/>
      <c r="Y47" s="31"/>
      <c r="Z47" s="31"/>
      <c r="AA47" s="2"/>
      <c r="AB47" s="31"/>
      <c r="AC47" s="31"/>
      <c r="AD47" s="31"/>
      <c r="AE47" s="37"/>
      <c r="AF47" s="37"/>
      <c r="AG47" s="37"/>
    </row>
    <row r="48" spans="1:33" ht="15.75" customHeight="1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6"/>
      <c r="V48" s="1"/>
      <c r="W48" s="31"/>
      <c r="X48" s="31"/>
      <c r="Y48" s="31"/>
      <c r="Z48" s="31"/>
      <c r="AA48" s="2"/>
      <c r="AB48" s="31"/>
      <c r="AC48" s="31"/>
      <c r="AD48" s="31"/>
      <c r="AE48" s="37"/>
      <c r="AF48" s="37"/>
      <c r="AG48" s="37"/>
    </row>
    <row r="49" spans="1:33" ht="15.75" customHeight="1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6"/>
      <c r="V49" s="1"/>
      <c r="W49" s="31"/>
      <c r="X49" s="31"/>
      <c r="Y49" s="31"/>
      <c r="Z49" s="31"/>
      <c r="AA49" s="2"/>
      <c r="AB49" s="31"/>
      <c r="AC49" s="31"/>
      <c r="AD49" s="31"/>
      <c r="AE49" s="37"/>
      <c r="AF49" s="37"/>
      <c r="AG49" s="37"/>
    </row>
    <row r="50" spans="1:33" ht="15.75" customHeight="1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6"/>
      <c r="V50" s="1"/>
      <c r="W50" s="31"/>
      <c r="X50" s="31"/>
      <c r="Y50" s="31"/>
      <c r="Z50" s="31"/>
      <c r="AA50" s="2"/>
      <c r="AB50" s="31"/>
      <c r="AC50" s="31"/>
      <c r="AD50" s="31"/>
      <c r="AE50" s="37"/>
      <c r="AF50" s="37"/>
      <c r="AG50" s="37"/>
    </row>
    <row r="51" spans="1:33" ht="15.75" customHeight="1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6"/>
      <c r="V51" s="1"/>
      <c r="W51" s="31"/>
      <c r="X51" s="31"/>
      <c r="Y51" s="31"/>
      <c r="Z51" s="31"/>
      <c r="AA51" s="2"/>
      <c r="AB51" s="31"/>
      <c r="AC51" s="31"/>
      <c r="AD51" s="31"/>
      <c r="AE51" s="37"/>
      <c r="AF51" s="37"/>
      <c r="AG51" s="37"/>
    </row>
    <row r="52" spans="1:33" ht="15.75" customHeight="1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6"/>
      <c r="V52" s="1"/>
      <c r="W52" s="31"/>
      <c r="X52" s="31"/>
      <c r="Y52" s="31"/>
      <c r="Z52" s="31"/>
      <c r="AA52" s="2"/>
      <c r="AB52" s="31"/>
      <c r="AC52" s="31"/>
      <c r="AD52" s="31"/>
      <c r="AE52" s="37"/>
      <c r="AF52" s="37"/>
      <c r="AG52" s="37"/>
    </row>
    <row r="53" spans="1:33" ht="15.75" customHeight="1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6"/>
      <c r="V53" s="1"/>
      <c r="W53" s="31"/>
      <c r="X53" s="31"/>
      <c r="Y53" s="31"/>
      <c r="Z53" s="31"/>
      <c r="AA53" s="2"/>
      <c r="AB53" s="31"/>
      <c r="AC53" s="31"/>
      <c r="AD53" s="31"/>
      <c r="AE53" s="37"/>
      <c r="AF53" s="37"/>
      <c r="AG53" s="37"/>
    </row>
    <row r="54" spans="1:33" ht="15.75" customHeight="1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6"/>
      <c r="V54" s="1"/>
      <c r="W54" s="31"/>
      <c r="X54" s="31"/>
      <c r="Y54" s="31"/>
      <c r="Z54" s="31"/>
      <c r="AA54" s="2"/>
      <c r="AB54" s="31"/>
      <c r="AC54" s="31"/>
      <c r="AD54" s="31"/>
      <c r="AE54" s="37"/>
      <c r="AF54" s="37"/>
      <c r="AG54" s="37"/>
    </row>
    <row r="55" spans="1:33" ht="15.75" customHeight="1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6"/>
      <c r="V55" s="1"/>
      <c r="W55" s="31"/>
      <c r="X55" s="31"/>
      <c r="Y55" s="31"/>
      <c r="Z55" s="31"/>
      <c r="AA55" s="2"/>
      <c r="AB55" s="31"/>
      <c r="AC55" s="31"/>
      <c r="AD55" s="31"/>
      <c r="AE55" s="37"/>
      <c r="AF55" s="37"/>
      <c r="AG55" s="37"/>
    </row>
    <row r="56" spans="1:33" ht="15.75" customHeight="1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6"/>
      <c r="V56" s="1"/>
      <c r="W56" s="31"/>
      <c r="X56" s="31"/>
      <c r="Y56" s="31"/>
      <c r="Z56" s="31"/>
      <c r="AA56" s="2"/>
      <c r="AB56" s="31"/>
      <c r="AC56" s="31"/>
      <c r="AD56" s="31"/>
      <c r="AE56" s="37"/>
      <c r="AF56" s="37"/>
      <c r="AG56" s="37"/>
    </row>
    <row r="57" spans="1:33" ht="15.75" customHeight="1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6"/>
      <c r="V57" s="1"/>
      <c r="W57" s="31"/>
      <c r="X57" s="31"/>
      <c r="Y57" s="31"/>
      <c r="Z57" s="31"/>
      <c r="AA57" s="2"/>
      <c r="AB57" s="31"/>
      <c r="AC57" s="31"/>
      <c r="AD57" s="31"/>
      <c r="AE57" s="37"/>
      <c r="AF57" s="37"/>
      <c r="AG57" s="37"/>
    </row>
    <row r="58" spans="1:33" ht="15.75" customHeight="1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6"/>
      <c r="V58" s="1"/>
      <c r="W58" s="31"/>
      <c r="X58" s="31"/>
      <c r="Y58" s="31"/>
      <c r="Z58" s="31"/>
      <c r="AA58" s="2"/>
      <c r="AB58" s="31"/>
      <c r="AC58" s="31"/>
      <c r="AD58" s="31"/>
      <c r="AE58" s="37"/>
      <c r="AF58" s="37"/>
      <c r="AG58" s="37"/>
    </row>
    <row r="59" spans="1:33" ht="15.75" customHeight="1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6"/>
      <c r="V59" s="1"/>
      <c r="W59" s="31"/>
      <c r="X59" s="31"/>
      <c r="Y59" s="31"/>
      <c r="Z59" s="31"/>
      <c r="AA59" s="2"/>
      <c r="AB59" s="31"/>
      <c r="AC59" s="31"/>
      <c r="AD59" s="31"/>
      <c r="AE59" s="37"/>
      <c r="AF59" s="37"/>
      <c r="AG59" s="37"/>
    </row>
    <row r="60" spans="1:33" ht="15.75" customHeight="1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6"/>
      <c r="V60" s="1"/>
      <c r="W60" s="31"/>
      <c r="X60" s="31"/>
      <c r="Y60" s="31"/>
      <c r="Z60" s="31"/>
      <c r="AA60" s="2"/>
      <c r="AB60" s="31"/>
      <c r="AC60" s="31"/>
      <c r="AD60" s="31"/>
      <c r="AE60" s="37"/>
      <c r="AF60" s="37"/>
      <c r="AG60" s="37"/>
    </row>
    <row r="61" spans="1:33" ht="15.75" customHeight="1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6"/>
      <c r="V61" s="1"/>
      <c r="W61" s="31"/>
      <c r="X61" s="31"/>
      <c r="Y61" s="31"/>
      <c r="Z61" s="31"/>
      <c r="AA61" s="2"/>
      <c r="AB61" s="31"/>
      <c r="AC61" s="31"/>
      <c r="AD61" s="31"/>
      <c r="AE61" s="37"/>
      <c r="AF61" s="37"/>
      <c r="AG61" s="37"/>
    </row>
    <row r="62" spans="1:33" ht="15.75" customHeight="1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6"/>
      <c r="V62" s="1"/>
      <c r="W62" s="31"/>
      <c r="X62" s="31"/>
      <c r="Y62" s="31"/>
      <c r="Z62" s="31"/>
      <c r="AA62" s="2"/>
      <c r="AB62" s="31"/>
      <c r="AC62" s="31"/>
      <c r="AD62" s="31"/>
      <c r="AE62" s="37"/>
      <c r="AF62" s="37"/>
      <c r="AG62" s="37"/>
    </row>
    <row r="63" spans="1:33" ht="15.75" customHeight="1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6"/>
      <c r="V63" s="1"/>
      <c r="W63" s="31"/>
      <c r="X63" s="31"/>
      <c r="Y63" s="31"/>
      <c r="Z63" s="31"/>
      <c r="AA63" s="2"/>
      <c r="AB63" s="31"/>
      <c r="AC63" s="31"/>
      <c r="AD63" s="31"/>
      <c r="AE63" s="37"/>
      <c r="AF63" s="37"/>
      <c r="AG63" s="37"/>
    </row>
    <row r="64" spans="1:33" ht="15.75" customHeight="1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6"/>
      <c r="V64" s="1"/>
      <c r="W64" s="31"/>
      <c r="X64" s="31"/>
      <c r="Y64" s="31"/>
      <c r="Z64" s="31"/>
      <c r="AA64" s="2"/>
      <c r="AB64" s="31"/>
      <c r="AC64" s="31"/>
      <c r="AD64" s="31"/>
      <c r="AE64" s="37"/>
      <c r="AF64" s="37"/>
      <c r="AG64" s="37"/>
    </row>
    <row r="65" spans="1:33" ht="15.75" customHeight="1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6"/>
      <c r="V65" s="1"/>
      <c r="W65" s="31"/>
      <c r="X65" s="31"/>
      <c r="Y65" s="31"/>
      <c r="Z65" s="31"/>
      <c r="AA65" s="2"/>
      <c r="AB65" s="31"/>
      <c r="AC65" s="31"/>
      <c r="AD65" s="31"/>
      <c r="AE65" s="37"/>
      <c r="AF65" s="37"/>
      <c r="AG65" s="37"/>
    </row>
    <row r="66" spans="1:33" ht="15.75" customHeight="1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6"/>
      <c r="V66" s="1"/>
      <c r="W66" s="31"/>
      <c r="X66" s="31"/>
      <c r="Y66" s="31"/>
      <c r="Z66" s="31"/>
      <c r="AA66" s="2"/>
      <c r="AB66" s="31"/>
      <c r="AC66" s="31"/>
      <c r="AD66" s="31"/>
      <c r="AE66" s="37"/>
      <c r="AF66" s="37"/>
      <c r="AG66" s="37"/>
    </row>
    <row r="67" spans="1:33" ht="15.75" customHeight="1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6"/>
      <c r="V67" s="1"/>
      <c r="W67" s="31"/>
      <c r="X67" s="31"/>
      <c r="Y67" s="31"/>
      <c r="Z67" s="31"/>
      <c r="AA67" s="2"/>
      <c r="AB67" s="31"/>
      <c r="AC67" s="31"/>
      <c r="AD67" s="31"/>
      <c r="AE67" s="37"/>
      <c r="AF67" s="37"/>
      <c r="AG67" s="37"/>
    </row>
    <row r="68" spans="1:33" ht="15.75" customHeight="1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6"/>
      <c r="V68" s="1"/>
      <c r="W68" s="31"/>
      <c r="X68" s="31"/>
      <c r="Y68" s="31"/>
      <c r="Z68" s="31"/>
      <c r="AA68" s="2"/>
      <c r="AB68" s="31"/>
      <c r="AC68" s="31"/>
      <c r="AD68" s="31"/>
      <c r="AE68" s="37"/>
      <c r="AF68" s="37"/>
      <c r="AG68" s="37"/>
    </row>
    <row r="69" spans="1:33" ht="15.75" customHeight="1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6"/>
      <c r="V69" s="1"/>
      <c r="W69" s="31"/>
      <c r="X69" s="31"/>
      <c r="Y69" s="31"/>
      <c r="Z69" s="31"/>
      <c r="AA69" s="2"/>
      <c r="AB69" s="31"/>
      <c r="AC69" s="31"/>
      <c r="AD69" s="31"/>
      <c r="AE69" s="37"/>
      <c r="AF69" s="37"/>
      <c r="AG69" s="37"/>
    </row>
    <row r="70" spans="1:33" ht="15.75" customHeight="1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6"/>
      <c r="V70" s="1"/>
      <c r="W70" s="31"/>
      <c r="X70" s="31"/>
      <c r="Y70" s="31"/>
      <c r="Z70" s="31"/>
      <c r="AA70" s="2"/>
      <c r="AB70" s="31"/>
      <c r="AC70" s="31"/>
      <c r="AD70" s="31"/>
      <c r="AE70" s="37"/>
      <c r="AF70" s="37"/>
      <c r="AG70" s="37"/>
    </row>
    <row r="71" spans="1:33" ht="15.75" customHeight="1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6"/>
      <c r="V71" s="1"/>
      <c r="W71" s="31"/>
      <c r="X71" s="31"/>
      <c r="Y71" s="31"/>
      <c r="Z71" s="31"/>
      <c r="AA71" s="2"/>
      <c r="AB71" s="31"/>
      <c r="AC71" s="31"/>
      <c r="AD71" s="31"/>
      <c r="AE71" s="37"/>
      <c r="AF71" s="37"/>
      <c r="AG71" s="37"/>
    </row>
    <row r="72" spans="1:33" ht="15.75" customHeight="1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6"/>
      <c r="V72" s="1"/>
      <c r="W72" s="31"/>
      <c r="X72" s="31"/>
      <c r="Y72" s="31"/>
      <c r="Z72" s="31"/>
      <c r="AA72" s="2"/>
      <c r="AB72" s="31"/>
      <c r="AC72" s="31"/>
      <c r="AD72" s="31"/>
      <c r="AE72" s="37"/>
      <c r="AF72" s="37"/>
      <c r="AG72" s="37"/>
    </row>
    <row r="73" spans="1:33" ht="15.75" customHeight="1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6"/>
      <c r="V73" s="1"/>
      <c r="W73" s="31"/>
      <c r="X73" s="31"/>
      <c r="Y73" s="31"/>
      <c r="Z73" s="31"/>
      <c r="AA73" s="2"/>
      <c r="AB73" s="31"/>
      <c r="AC73" s="31"/>
      <c r="AD73" s="31"/>
      <c r="AE73" s="37"/>
      <c r="AF73" s="37"/>
      <c r="AG73" s="37"/>
    </row>
    <row r="74" spans="1:33" ht="15.75" customHeight="1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6"/>
      <c r="V74" s="1"/>
      <c r="W74" s="31"/>
      <c r="X74" s="31"/>
      <c r="Y74" s="31"/>
      <c r="Z74" s="31"/>
      <c r="AA74" s="2"/>
      <c r="AB74" s="31"/>
      <c r="AC74" s="31"/>
      <c r="AD74" s="31"/>
      <c r="AE74" s="37"/>
      <c r="AF74" s="37"/>
      <c r="AG74" s="37"/>
    </row>
    <row r="75" spans="1:33" ht="15.75" customHeight="1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6"/>
      <c r="V75" s="1"/>
      <c r="W75" s="31"/>
      <c r="X75" s="31"/>
      <c r="Y75" s="31"/>
      <c r="Z75" s="31"/>
      <c r="AA75" s="2"/>
      <c r="AB75" s="31"/>
      <c r="AC75" s="31"/>
      <c r="AD75" s="31"/>
      <c r="AE75" s="37"/>
      <c r="AF75" s="37"/>
      <c r="AG75" s="37"/>
    </row>
    <row r="76" spans="1:33" ht="15.75" customHeight="1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6"/>
      <c r="V76" s="1"/>
      <c r="W76" s="31"/>
      <c r="X76" s="31"/>
      <c r="Y76" s="31"/>
      <c r="Z76" s="31"/>
      <c r="AA76" s="2"/>
      <c r="AB76" s="31"/>
      <c r="AC76" s="31"/>
      <c r="AD76" s="31"/>
      <c r="AE76" s="37"/>
      <c r="AF76" s="37"/>
      <c r="AG76" s="37"/>
    </row>
    <row r="77" spans="1:33" ht="15.75" customHeight="1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6"/>
      <c r="V77" s="1"/>
      <c r="W77" s="31"/>
      <c r="X77" s="31"/>
      <c r="Y77" s="31"/>
      <c r="Z77" s="31"/>
      <c r="AA77" s="2"/>
      <c r="AB77" s="31"/>
      <c r="AC77" s="31"/>
      <c r="AD77" s="31"/>
      <c r="AE77" s="37"/>
      <c r="AF77" s="37"/>
      <c r="AG77" s="37"/>
    </row>
    <row r="78" spans="1:33" ht="15.75" customHeight="1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6"/>
      <c r="V78" s="1"/>
      <c r="W78" s="31"/>
      <c r="X78" s="31"/>
      <c r="Y78" s="31"/>
      <c r="Z78" s="31"/>
      <c r="AA78" s="2"/>
      <c r="AB78" s="31"/>
      <c r="AC78" s="31"/>
      <c r="AD78" s="31"/>
      <c r="AE78" s="37"/>
      <c r="AF78" s="37"/>
      <c r="AG78" s="37"/>
    </row>
    <row r="79" spans="1:33" ht="15.75" customHeight="1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6"/>
      <c r="V79" s="1"/>
      <c r="W79" s="31"/>
      <c r="X79" s="31"/>
      <c r="Y79" s="31"/>
      <c r="Z79" s="31"/>
      <c r="AA79" s="2"/>
      <c r="AB79" s="31"/>
      <c r="AC79" s="31"/>
      <c r="AD79" s="31"/>
      <c r="AE79" s="37"/>
      <c r="AF79" s="37"/>
      <c r="AG79" s="37"/>
    </row>
    <row r="80" spans="1:33" ht="15.75" customHeight="1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6"/>
      <c r="V80" s="1"/>
      <c r="W80" s="31"/>
      <c r="X80" s="31"/>
      <c r="Y80" s="31"/>
      <c r="Z80" s="31"/>
      <c r="AA80" s="2"/>
      <c r="AB80" s="31"/>
      <c r="AC80" s="31"/>
      <c r="AD80" s="31"/>
      <c r="AE80" s="37"/>
      <c r="AF80" s="37"/>
      <c r="AG80" s="37"/>
    </row>
    <row r="81" spans="1:33" ht="15.75" customHeight="1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6"/>
      <c r="V81" s="1"/>
      <c r="W81" s="31"/>
      <c r="X81" s="31"/>
      <c r="Y81" s="31"/>
      <c r="Z81" s="31"/>
      <c r="AA81" s="2"/>
      <c r="AB81" s="31"/>
      <c r="AC81" s="31"/>
      <c r="AD81" s="31"/>
      <c r="AE81" s="37"/>
      <c r="AF81" s="37"/>
      <c r="AG81" s="37"/>
    </row>
    <row r="82" spans="1:33" ht="15.75" customHeight="1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6"/>
      <c r="V82" s="1"/>
      <c r="W82" s="31"/>
      <c r="X82" s="31"/>
      <c r="Y82" s="31"/>
      <c r="Z82" s="31"/>
      <c r="AA82" s="2"/>
      <c r="AB82" s="31"/>
      <c r="AC82" s="31"/>
      <c r="AD82" s="31"/>
      <c r="AE82" s="37"/>
      <c r="AF82" s="37"/>
      <c r="AG82" s="37"/>
    </row>
    <row r="83" spans="1:33" ht="15.75" customHeight="1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6"/>
      <c r="V83" s="1"/>
      <c r="W83" s="31"/>
      <c r="X83" s="31"/>
      <c r="Y83" s="31"/>
      <c r="Z83" s="31"/>
      <c r="AA83" s="2"/>
      <c r="AB83" s="31"/>
      <c r="AC83" s="31"/>
      <c r="AD83" s="31"/>
      <c r="AE83" s="37"/>
      <c r="AF83" s="37"/>
      <c r="AG83" s="37"/>
    </row>
    <row r="84" spans="1:33" ht="15.75" customHeight="1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6"/>
      <c r="V84" s="1"/>
      <c r="W84" s="31"/>
      <c r="X84" s="31"/>
      <c r="Y84" s="31"/>
      <c r="Z84" s="31"/>
      <c r="AA84" s="2"/>
      <c r="AB84" s="31"/>
      <c r="AC84" s="31"/>
      <c r="AD84" s="31"/>
      <c r="AE84" s="37"/>
      <c r="AF84" s="37"/>
      <c r="AG84" s="37"/>
    </row>
    <row r="85" spans="1:33" ht="15.75" customHeight="1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6"/>
      <c r="V85" s="1"/>
      <c r="W85" s="31"/>
      <c r="X85" s="31"/>
      <c r="Y85" s="31"/>
      <c r="Z85" s="31"/>
      <c r="AA85" s="2"/>
      <c r="AB85" s="31"/>
      <c r="AC85" s="31"/>
      <c r="AD85" s="31"/>
      <c r="AE85" s="37"/>
      <c r="AF85" s="37"/>
      <c r="AG85" s="37"/>
    </row>
    <row r="86" spans="1:33" ht="15.75" customHeight="1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6"/>
      <c r="V86" s="1"/>
      <c r="W86" s="31"/>
      <c r="X86" s="31"/>
      <c r="Y86" s="31"/>
      <c r="Z86" s="31"/>
      <c r="AA86" s="2"/>
      <c r="AB86" s="31"/>
      <c r="AC86" s="31"/>
      <c r="AD86" s="31"/>
      <c r="AE86" s="37"/>
      <c r="AF86" s="37"/>
      <c r="AG86" s="37"/>
    </row>
    <row r="87" spans="1:33" ht="15.75" customHeight="1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6"/>
      <c r="V87" s="1"/>
      <c r="W87" s="31"/>
      <c r="X87" s="31"/>
      <c r="Y87" s="31"/>
      <c r="Z87" s="31"/>
      <c r="AA87" s="2"/>
      <c r="AB87" s="31"/>
      <c r="AC87" s="31"/>
      <c r="AD87" s="31"/>
      <c r="AE87" s="37"/>
      <c r="AF87" s="37"/>
      <c r="AG87" s="37"/>
    </row>
    <row r="88" spans="1:33" ht="15.75" customHeight="1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6"/>
      <c r="V88" s="1"/>
      <c r="W88" s="31"/>
      <c r="X88" s="31"/>
      <c r="Y88" s="31"/>
      <c r="Z88" s="31"/>
      <c r="AA88" s="2"/>
      <c r="AB88" s="31"/>
      <c r="AC88" s="31"/>
      <c r="AD88" s="31"/>
      <c r="AE88" s="37"/>
      <c r="AF88" s="37"/>
      <c r="AG88" s="37"/>
    </row>
    <row r="89" spans="1:33" ht="15.75" customHeight="1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6"/>
      <c r="V89" s="1"/>
      <c r="W89" s="31"/>
      <c r="X89" s="31"/>
      <c r="Y89" s="31"/>
      <c r="Z89" s="31"/>
      <c r="AA89" s="2"/>
      <c r="AB89" s="31"/>
      <c r="AC89" s="31"/>
      <c r="AD89" s="31"/>
      <c r="AE89" s="37"/>
      <c r="AF89" s="37"/>
      <c r="AG89" s="37"/>
    </row>
    <row r="90" spans="1:33" ht="15.75" customHeight="1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6"/>
      <c r="V90" s="1"/>
      <c r="W90" s="31"/>
      <c r="X90" s="31"/>
      <c r="Y90" s="31"/>
      <c r="Z90" s="31"/>
      <c r="AA90" s="2"/>
      <c r="AB90" s="31"/>
      <c r="AC90" s="31"/>
      <c r="AD90" s="31"/>
      <c r="AE90" s="37"/>
      <c r="AF90" s="37"/>
      <c r="AG90" s="37"/>
    </row>
    <row r="91" spans="1:33" ht="15.75" customHeight="1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6"/>
      <c r="V91" s="1"/>
      <c r="W91" s="31"/>
      <c r="X91" s="31"/>
      <c r="Y91" s="31"/>
      <c r="Z91" s="31"/>
      <c r="AA91" s="2"/>
      <c r="AB91" s="31"/>
      <c r="AC91" s="31"/>
      <c r="AD91" s="31"/>
      <c r="AE91" s="37"/>
      <c r="AF91" s="37"/>
      <c r="AG91" s="37"/>
    </row>
    <row r="92" spans="1:33" ht="15.75" customHeight="1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6"/>
      <c r="V92" s="1"/>
      <c r="W92" s="31"/>
      <c r="X92" s="31"/>
      <c r="Y92" s="31"/>
      <c r="Z92" s="31"/>
      <c r="AA92" s="2"/>
      <c r="AB92" s="31"/>
      <c r="AC92" s="31"/>
      <c r="AD92" s="31"/>
      <c r="AE92" s="37"/>
      <c r="AF92" s="37"/>
      <c r="AG92" s="37"/>
    </row>
    <row r="93" spans="1:33" ht="15.75" customHeight="1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6"/>
      <c r="V93" s="1"/>
      <c r="W93" s="31"/>
      <c r="X93" s="31"/>
      <c r="Y93" s="31"/>
      <c r="Z93" s="31"/>
      <c r="AA93" s="2"/>
      <c r="AB93" s="31"/>
      <c r="AC93" s="31"/>
      <c r="AD93" s="31"/>
      <c r="AE93" s="37"/>
      <c r="AF93" s="37"/>
      <c r="AG93" s="37"/>
    </row>
    <row r="94" spans="1:33" ht="15.75" customHeight="1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6"/>
      <c r="V94" s="1"/>
      <c r="W94" s="31"/>
      <c r="X94" s="31"/>
      <c r="Y94" s="31"/>
      <c r="Z94" s="31"/>
      <c r="AA94" s="2"/>
      <c r="AB94" s="31"/>
      <c r="AC94" s="31"/>
      <c r="AD94" s="31"/>
      <c r="AE94" s="37"/>
      <c r="AF94" s="37"/>
      <c r="AG94" s="37"/>
    </row>
    <row r="95" spans="1:33" ht="15.75" customHeight="1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6"/>
      <c r="V95" s="1"/>
      <c r="W95" s="31"/>
      <c r="X95" s="31"/>
      <c r="Y95" s="31"/>
      <c r="Z95" s="31"/>
      <c r="AA95" s="2"/>
      <c r="AB95" s="31"/>
      <c r="AC95" s="31"/>
      <c r="AD95" s="31"/>
      <c r="AE95" s="37"/>
      <c r="AF95" s="37"/>
      <c r="AG95" s="37"/>
    </row>
    <row r="96" spans="1:33" ht="15.75" customHeight="1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6"/>
      <c r="V96" s="1"/>
      <c r="W96" s="31"/>
      <c r="X96" s="31"/>
      <c r="Y96" s="31"/>
      <c r="Z96" s="31"/>
      <c r="AA96" s="2"/>
      <c r="AB96" s="31"/>
      <c r="AC96" s="31"/>
      <c r="AD96" s="31"/>
      <c r="AE96" s="37"/>
      <c r="AF96" s="37"/>
      <c r="AG96" s="37"/>
    </row>
    <row r="97" spans="1:33" ht="15.75" customHeight="1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8"/>
      <c r="R97" s="38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8"/>
      <c r="R98" s="38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8"/>
      <c r="R99" s="38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8"/>
      <c r="R100" s="38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8"/>
      <c r="R101" s="38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8"/>
      <c r="R102" s="38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8"/>
      <c r="R103" s="38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8"/>
      <c r="R104" s="38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8"/>
      <c r="R105" s="38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8"/>
      <c r="R106" s="38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8"/>
      <c r="R107" s="38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8"/>
      <c r="R108" s="38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8"/>
      <c r="R109" s="38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8"/>
      <c r="R110" s="38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8"/>
      <c r="R111" s="38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8"/>
      <c r="R112" s="38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8"/>
      <c r="R113" s="38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8"/>
      <c r="R114" s="38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>
      <c r="A115" s="31"/>
      <c r="B115" s="31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>
      <c r="A116" s="31"/>
      <c r="B116" s="31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>
      <c r="A117" s="31"/>
      <c r="B117" s="31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>
      <c r="A118" s="31"/>
      <c r="B118" s="31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>
      <c r="A119" s="31"/>
      <c r="B119" s="31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>
      <c r="A120" s="31"/>
      <c r="B120" s="31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>
      <c r="A121" s="31"/>
      <c r="B121" s="31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>
      <c r="A122" s="31"/>
      <c r="B122" s="31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>
      <c r="A123" s="31"/>
      <c r="B123" s="31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>
      <c r="A124" s="31"/>
      <c r="B124" s="31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>
      <c r="A125" s="31"/>
      <c r="B125" s="31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>
      <c r="A126" s="31"/>
      <c r="B126" s="31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>
      <c r="A127" s="31"/>
      <c r="B127" s="31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>
      <c r="A128" s="31"/>
      <c r="B128" s="31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>
      <c r="A129" s="31"/>
      <c r="B129" s="31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>
      <c r="A130" s="31"/>
      <c r="B130" s="31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>
      <c r="A131" s="31"/>
      <c r="B131" s="31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>
      <c r="A132" s="31"/>
      <c r="B132" s="31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>
      <c r="A133" s="31"/>
      <c r="B133" s="31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>
      <c r="A134" s="31"/>
      <c r="B134" s="31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>
      <c r="A135" s="31"/>
      <c r="B135" s="31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>
      <c r="A136" s="31"/>
      <c r="B136" s="31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>
      <c r="A137" s="31"/>
      <c r="B137" s="31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>
      <c r="A138" s="31"/>
      <c r="B138" s="31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>
      <c r="A139" s="31"/>
      <c r="B139" s="31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>
      <c r="A140" s="31"/>
      <c r="B140" s="31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>
      <c r="A141" s="31"/>
      <c r="B141" s="31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2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>
      <c r="A142" s="31"/>
      <c r="B142" s="31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2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>
      <c r="A143" s="31"/>
      <c r="B143" s="31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2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>
      <c r="A144" s="31"/>
      <c r="B144" s="31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2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>
      <c r="A145" s="31"/>
      <c r="B145" s="31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2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>
      <c r="A146" s="31"/>
      <c r="B146" s="31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2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>
      <c r="A147" s="31"/>
      <c r="B147" s="31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2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>
      <c r="A148" s="31"/>
      <c r="B148" s="31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2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</row>
    <row r="149" spans="1:33" ht="15.75" customHeight="1">
      <c r="A149" s="14"/>
      <c r="B149" s="14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>
      <c r="A150" s="14"/>
      <c r="B150" s="14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>
      <c r="A151" s="14"/>
      <c r="B151" s="14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>
      <c r="A152" s="14"/>
      <c r="B152" s="14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>
      <c r="A153" s="14"/>
      <c r="B153" s="14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>
      <c r="A154" s="14"/>
      <c r="B154" s="14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>
      <c r="A155" s="14"/>
      <c r="B155" s="14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>
      <c r="A156" s="14"/>
      <c r="B156" s="14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>
      <c r="A157" s="14"/>
      <c r="B157" s="14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>
      <c r="A158" s="14"/>
      <c r="B158" s="14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>
      <c r="A159" s="14"/>
      <c r="B159" s="14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>
      <c r="A160" s="14"/>
      <c r="B160" s="14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>
      <c r="A161" s="14"/>
      <c r="B161" s="14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>
      <c r="A162" s="14"/>
      <c r="B162" s="14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>
      <c r="A163" s="14"/>
      <c r="B163" s="14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>
      <c r="A164" s="14"/>
      <c r="B164" s="14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>
      <c r="A165" s="14"/>
      <c r="B165" s="14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>
      <c r="A166" s="14"/>
      <c r="B166" s="14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>
      <c r="A167" s="14"/>
      <c r="B167" s="14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>
      <c r="A168" s="14"/>
      <c r="B168" s="14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>
      <c r="A169" s="14"/>
      <c r="B169" s="14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>
      <c r="A170" s="14"/>
      <c r="B170" s="14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>
      <c r="A171" s="14"/>
      <c r="B171" s="14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>
      <c r="A172" s="14"/>
      <c r="B172" s="14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>
      <c r="A173" s="14"/>
      <c r="B173" s="14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>
      <c r="A174" s="14"/>
      <c r="B174" s="14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>
      <c r="A175" s="14"/>
      <c r="B175" s="14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>
      <c r="A176" s="14"/>
      <c r="B176" s="14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>
      <c r="A177" s="14"/>
      <c r="B177" s="14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>
      <c r="A178" s="14"/>
      <c r="B178" s="14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>
      <c r="A179" s="14"/>
      <c r="B179" s="14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>
      <c r="A180" s="14"/>
      <c r="B180" s="14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>
      <c r="A181" s="14"/>
      <c r="B181" s="14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>
      <c r="A182" s="14"/>
      <c r="B182" s="14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>
      <c r="A183" s="14"/>
      <c r="B183" s="14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>
      <c r="A184" s="14"/>
      <c r="B184" s="14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>
      <c r="A185" s="14"/>
      <c r="B185" s="14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>
      <c r="A186" s="14"/>
      <c r="B186" s="14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>
      <c r="A187" s="14"/>
      <c r="B187" s="14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>
      <c r="A188" s="14"/>
      <c r="B188" s="14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>
      <c r="A189" s="14"/>
      <c r="B189" s="14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>
      <c r="A190" s="14"/>
      <c r="B190" s="14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>
      <c r="A191" s="14"/>
      <c r="B191" s="14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>
      <c r="A192" s="14"/>
      <c r="B192" s="14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>
      <c r="A193" s="14"/>
      <c r="B193" s="14"/>
      <c r="C193" s="39"/>
      <c r="D193" s="39"/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>
      <c r="A194" s="14"/>
      <c r="B194" s="14"/>
      <c r="C194" s="39"/>
      <c r="D194" s="39"/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>
      <c r="A195" s="14"/>
      <c r="B195" s="14"/>
      <c r="C195" s="39"/>
      <c r="D195" s="39"/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>
      <c r="A196" s="14"/>
      <c r="B196" s="14"/>
      <c r="C196" s="39"/>
      <c r="D196" s="39"/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>
      <c r="A197" s="14"/>
      <c r="B197" s="14"/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>
      <c r="A198" s="14"/>
      <c r="B198" s="14"/>
      <c r="C198" s="39"/>
      <c r="D198" s="39"/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>
      <c r="A199" s="14"/>
      <c r="B199" s="14"/>
      <c r="C199" s="39"/>
      <c r="D199" s="39"/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>
      <c r="A200" s="14"/>
      <c r="B200" s="14"/>
      <c r="C200" s="39"/>
      <c r="D200" s="39"/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>
      <c r="A201" s="14"/>
      <c r="B201" s="14"/>
      <c r="C201" s="39"/>
      <c r="D201" s="39"/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>
      <c r="A202" s="14"/>
      <c r="B202" s="14"/>
      <c r="C202" s="39"/>
      <c r="D202" s="39"/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>
      <c r="A203" s="14"/>
      <c r="B203" s="14"/>
      <c r="C203" s="39"/>
      <c r="D203" s="39"/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>
      <c r="A204" s="14"/>
      <c r="B204" s="14"/>
      <c r="C204" s="39"/>
      <c r="D204" s="39"/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>
      <c r="A205" s="14"/>
      <c r="B205" s="14"/>
      <c r="C205" s="39"/>
      <c r="D205" s="39"/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>
      <c r="A206" s="14"/>
      <c r="B206" s="14"/>
      <c r="C206" s="39"/>
      <c r="D206" s="39"/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>
      <c r="A207" s="14"/>
      <c r="B207" s="14"/>
      <c r="C207" s="39"/>
      <c r="D207" s="39"/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>
      <c r="A208" s="14"/>
      <c r="B208" s="14"/>
      <c r="C208" s="39"/>
      <c r="D208" s="39"/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>
      <c r="A209" s="14"/>
      <c r="B209" s="14"/>
      <c r="C209" s="39"/>
      <c r="D209" s="39"/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>
      <c r="A210" s="14"/>
      <c r="B210" s="14"/>
      <c r="C210" s="39"/>
      <c r="D210" s="39"/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>
      <c r="A211" s="14"/>
      <c r="B211" s="14"/>
      <c r="C211" s="39"/>
      <c r="D211" s="39"/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>
      <c r="A212" s="14"/>
      <c r="B212" s="14"/>
      <c r="C212" s="39"/>
      <c r="D212" s="39"/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>
      <c r="A213" s="14"/>
      <c r="B213" s="14"/>
      <c r="C213" s="39"/>
      <c r="D213" s="39"/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>
      <c r="A214" s="14"/>
      <c r="B214" s="14"/>
      <c r="C214" s="39"/>
      <c r="D214" s="39"/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>
      <c r="A215" s="14"/>
      <c r="B215" s="14"/>
      <c r="C215" s="39"/>
      <c r="D215" s="39"/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>
      <c r="A216" s="14"/>
      <c r="B216" s="14"/>
      <c r="C216" s="39"/>
      <c r="D216" s="39"/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>
      <c r="A217" s="14"/>
      <c r="B217" s="14"/>
      <c r="C217" s="39"/>
      <c r="D217" s="39"/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>
      <c r="A218" s="14"/>
      <c r="B218" s="14"/>
      <c r="C218" s="39"/>
      <c r="D218" s="39"/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>
      <c r="A219" s="14"/>
      <c r="B219" s="14"/>
      <c r="C219" s="39"/>
      <c r="D219" s="39"/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>
      <c r="A220" s="14"/>
      <c r="B220" s="14"/>
      <c r="C220" s="39"/>
      <c r="D220" s="39"/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>
      <c r="A221" s="30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40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</row>
    <row r="222" spans="1:33" ht="15.75" customHeight="1">
      <c r="A222" s="30"/>
      <c r="B222" s="30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40"/>
      <c r="T222" s="30"/>
      <c r="U222" s="30"/>
      <c r="V222" s="30"/>
      <c r="W222" s="30"/>
      <c r="X222" s="30"/>
      <c r="Y222" s="30"/>
      <c r="Z222" s="30"/>
      <c r="AA222" s="30"/>
      <c r="AB222" s="30"/>
      <c r="AC222" s="30"/>
      <c r="AD222" s="30"/>
      <c r="AE222" s="30"/>
      <c r="AF222" s="30"/>
      <c r="AG222" s="30"/>
    </row>
    <row r="223" spans="1:33" ht="15.75" customHeight="1">
      <c r="R223" s="30"/>
      <c r="S223" s="40"/>
    </row>
    <row r="224" spans="1:33" ht="15.75" customHeight="1">
      <c r="R224" s="30"/>
      <c r="S224" s="40"/>
    </row>
    <row r="225" spans="18:18" ht="15.75" customHeight="1">
      <c r="R225" s="30"/>
    </row>
    <row r="226" spans="18:18" ht="15.75" customHeight="1">
      <c r="R226" s="30"/>
    </row>
    <row r="227" spans="18:18" ht="15.75" customHeight="1">
      <c r="R227" s="30"/>
    </row>
    <row r="228" spans="18:18" ht="15.75" customHeight="1">
      <c r="R228" s="30"/>
    </row>
    <row r="229" spans="18:18" ht="15.75" customHeight="1">
      <c r="R229" s="30"/>
    </row>
    <row r="230" spans="18:18" ht="15.75" customHeight="1">
      <c r="R230" s="30"/>
    </row>
    <row r="231" spans="18:18" ht="15.75" customHeight="1">
      <c r="R231" s="30"/>
    </row>
    <row r="232" spans="18:18" ht="15.75" customHeight="1">
      <c r="R232" s="30"/>
    </row>
    <row r="233" spans="18:18" ht="15.75" customHeight="1">
      <c r="R233" s="30"/>
    </row>
    <row r="234" spans="18:18" ht="15.75" customHeight="1">
      <c r="R234" s="30"/>
    </row>
    <row r="235" spans="18:18" ht="15.75" customHeight="1">
      <c r="R235" s="30"/>
    </row>
    <row r="236" spans="18:18" ht="15.75" customHeight="1">
      <c r="R236" s="30"/>
    </row>
    <row r="237" spans="18:18" ht="15.75" customHeight="1">
      <c r="R237" s="30"/>
    </row>
    <row r="238" spans="18:18" ht="15.75" customHeight="1">
      <c r="R238" s="30"/>
    </row>
    <row r="239" spans="18:18" ht="15.75" customHeight="1">
      <c r="R239" s="30"/>
    </row>
    <row r="240" spans="18:18" ht="15.75" customHeight="1">
      <c r="R240" s="30"/>
    </row>
    <row r="241" spans="18:18" ht="15.75" customHeight="1">
      <c r="R241" s="30"/>
    </row>
    <row r="242" spans="18:18" ht="15.75" customHeight="1">
      <c r="R242" s="30"/>
    </row>
    <row r="243" spans="18:18" ht="15.75" customHeight="1">
      <c r="R243" s="30"/>
    </row>
    <row r="244" spans="18:18" ht="15.75" customHeight="1">
      <c r="R244" s="30"/>
    </row>
    <row r="245" spans="18:18" ht="15.75" customHeight="1">
      <c r="R245" s="30"/>
    </row>
    <row r="246" spans="18:18" ht="15.75" customHeight="1">
      <c r="R246" s="30"/>
    </row>
    <row r="247" spans="18:18" ht="15.75" customHeight="1">
      <c r="R247" s="30"/>
    </row>
    <row r="248" spans="18:18" ht="15.75" customHeight="1">
      <c r="R248" s="30"/>
    </row>
    <row r="249" spans="18:18" ht="15.75" customHeight="1">
      <c r="R249" s="30"/>
    </row>
    <row r="250" spans="18:18" ht="15.75" customHeight="1">
      <c r="R250" s="30"/>
    </row>
    <row r="251" spans="18:18" ht="15.75" customHeight="1">
      <c r="R251" s="30"/>
    </row>
    <row r="252" spans="18:18" ht="15.75" customHeight="1">
      <c r="R252" s="30"/>
    </row>
    <row r="253" spans="18:18" ht="15.75" customHeight="1">
      <c r="R253" s="30"/>
    </row>
    <row r="254" spans="18:18" ht="15.75" customHeight="1">
      <c r="R254" s="30"/>
    </row>
    <row r="255" spans="18:18" ht="15.75" customHeight="1">
      <c r="R255" s="30"/>
    </row>
    <row r="256" spans="18:18" ht="15.75" customHeight="1">
      <c r="R256" s="30"/>
    </row>
    <row r="257" spans="18:18" ht="15.75" customHeight="1">
      <c r="R257" s="30"/>
    </row>
    <row r="258" spans="18:18" ht="15.75" customHeight="1">
      <c r="R258" s="30"/>
    </row>
    <row r="259" spans="18:18" ht="15.75" customHeight="1">
      <c r="R259" s="30"/>
    </row>
    <row r="260" spans="18:18" ht="15.75" customHeight="1">
      <c r="R260" s="30"/>
    </row>
    <row r="261" spans="18:18" ht="15.75" customHeight="1">
      <c r="R261" s="30"/>
    </row>
    <row r="262" spans="18:18" ht="15.75" customHeight="1">
      <c r="R262" s="30"/>
    </row>
    <row r="263" spans="18:18" ht="15.75" customHeight="1">
      <c r="R263" s="30"/>
    </row>
    <row r="264" spans="18:18" ht="15.75" customHeight="1">
      <c r="R264" s="30"/>
    </row>
    <row r="265" spans="18:18" ht="15.75" customHeight="1">
      <c r="R265" s="30"/>
    </row>
    <row r="266" spans="18:18" ht="15.75" customHeight="1">
      <c r="R266" s="30"/>
    </row>
    <row r="267" spans="18:18" ht="15.75" customHeight="1">
      <c r="R267" s="30"/>
    </row>
    <row r="268" spans="18:18" ht="15.75" customHeight="1">
      <c r="R268" s="30"/>
    </row>
    <row r="269" spans="18:18" ht="15.75" customHeight="1">
      <c r="R269" s="30"/>
    </row>
    <row r="270" spans="18:18" ht="15.75" customHeight="1">
      <c r="R270" s="30"/>
    </row>
    <row r="271" spans="18:18" ht="15.75" customHeight="1">
      <c r="R271" s="30"/>
    </row>
    <row r="272" spans="18:18" ht="15.75" customHeight="1">
      <c r="R272" s="30"/>
    </row>
    <row r="273" spans="18:18" ht="15.75" customHeight="1">
      <c r="R273" s="30"/>
    </row>
    <row r="274" spans="18:18" ht="15.75" customHeight="1">
      <c r="R274" s="30"/>
    </row>
    <row r="275" spans="18:18" ht="15.75" customHeight="1">
      <c r="R275" s="30"/>
    </row>
    <row r="276" spans="18:18" ht="15.75" customHeight="1">
      <c r="R276" s="30"/>
    </row>
    <row r="277" spans="18:18" ht="15.75" customHeight="1">
      <c r="R277" s="30"/>
    </row>
    <row r="278" spans="18:18" ht="15.75" customHeight="1">
      <c r="R278" s="30"/>
    </row>
    <row r="279" spans="18:18" ht="15.75" customHeight="1">
      <c r="R279" s="30"/>
    </row>
    <row r="280" spans="18:18" ht="15.75" customHeight="1">
      <c r="R280" s="30"/>
    </row>
    <row r="281" spans="18:18" ht="15.75" customHeight="1">
      <c r="R281" s="30"/>
    </row>
    <row r="282" spans="18:18" ht="15.75" customHeight="1">
      <c r="R282" s="30"/>
    </row>
    <row r="283" spans="18:18" ht="15.75" customHeight="1">
      <c r="R283" s="30"/>
    </row>
    <row r="284" spans="18:18" ht="15.75" customHeight="1">
      <c r="R284" s="30"/>
    </row>
    <row r="285" spans="18:18" ht="15.75" customHeight="1">
      <c r="R285" s="30"/>
    </row>
    <row r="286" spans="18:18" ht="15.75" customHeight="1">
      <c r="R286" s="30"/>
    </row>
    <row r="287" spans="18:18" ht="15.75" customHeight="1">
      <c r="R287" s="30"/>
    </row>
    <row r="288" spans="18:18" ht="15.75" customHeight="1">
      <c r="R288" s="30"/>
    </row>
    <row r="289" spans="18:18" ht="15.75" customHeight="1">
      <c r="R289" s="30"/>
    </row>
    <row r="290" spans="18:18" ht="15.75" customHeight="1">
      <c r="R290" s="30"/>
    </row>
    <row r="291" spans="18:18" ht="15.75" customHeight="1">
      <c r="R291" s="30"/>
    </row>
    <row r="292" spans="18:18" ht="15.75" customHeight="1">
      <c r="R292" s="30"/>
    </row>
    <row r="293" spans="18:18" ht="15.75" customHeight="1">
      <c r="R293" s="30"/>
    </row>
    <row r="294" spans="18:18" ht="15.75" customHeight="1">
      <c r="R294" s="30"/>
    </row>
    <row r="295" spans="18:18" ht="15.75" customHeight="1">
      <c r="R295" s="30"/>
    </row>
    <row r="296" spans="18:18" ht="15.75" customHeight="1">
      <c r="R296" s="30"/>
    </row>
    <row r="297" spans="18:18" ht="15.75" customHeight="1">
      <c r="R297" s="30"/>
    </row>
    <row r="298" spans="18:18" ht="15.75" customHeight="1">
      <c r="R298" s="30"/>
    </row>
    <row r="299" spans="18:18" ht="15.75" customHeight="1">
      <c r="R299" s="30"/>
    </row>
    <row r="300" spans="18:18" ht="15.75" customHeight="1">
      <c r="R300" s="30"/>
    </row>
    <row r="301" spans="18:18" ht="15.75" customHeight="1">
      <c r="R301" s="30"/>
    </row>
    <row r="302" spans="18:18" ht="15.75" customHeight="1">
      <c r="R302" s="30"/>
    </row>
    <row r="303" spans="18:18" ht="15.75" customHeight="1">
      <c r="R303" s="30"/>
    </row>
    <row r="304" spans="18:18" ht="15.75" customHeight="1">
      <c r="R304" s="30"/>
    </row>
    <row r="305" spans="18:18" ht="15.75" customHeight="1">
      <c r="R305" s="30"/>
    </row>
    <row r="306" spans="18:18" ht="15.75" customHeight="1">
      <c r="R306" s="30"/>
    </row>
    <row r="307" spans="18:18" ht="15.75" customHeight="1">
      <c r="R307" s="30"/>
    </row>
    <row r="308" spans="18:18" ht="15.75" customHeight="1">
      <c r="R308" s="30"/>
    </row>
    <row r="309" spans="18:18" ht="15.75" customHeight="1">
      <c r="R309" s="30"/>
    </row>
    <row r="310" spans="18:18" ht="15.75" customHeight="1">
      <c r="R310" s="30"/>
    </row>
    <row r="311" spans="18:18" ht="15.75" customHeight="1">
      <c r="R311" s="30"/>
    </row>
    <row r="312" spans="18:18" ht="15.75" customHeight="1">
      <c r="R312" s="30"/>
    </row>
    <row r="313" spans="18:18" ht="15.75" customHeight="1">
      <c r="R313" s="30"/>
    </row>
    <row r="314" spans="18:18" ht="15.75" customHeight="1">
      <c r="R314" s="30"/>
    </row>
    <row r="315" spans="18:18" ht="15.75" customHeight="1">
      <c r="R315" s="30"/>
    </row>
    <row r="316" spans="18:18" ht="15.75" customHeight="1">
      <c r="R316" s="30"/>
    </row>
    <row r="317" spans="18:18" ht="15.75" customHeight="1">
      <c r="R317" s="30"/>
    </row>
    <row r="318" spans="18:18" ht="15.75" customHeight="1">
      <c r="R318" s="30"/>
    </row>
    <row r="319" spans="18:18" ht="15.75" customHeight="1">
      <c r="R319" s="30"/>
    </row>
    <row r="320" spans="18:18" ht="15.75" customHeight="1">
      <c r="R320" s="30"/>
    </row>
    <row r="321" spans="18:18" ht="15.75" customHeight="1">
      <c r="R321" s="30"/>
    </row>
    <row r="322" spans="18:18" ht="15.75" customHeight="1">
      <c r="R322" s="30"/>
    </row>
    <row r="323" spans="18:18" ht="15.75" customHeight="1">
      <c r="R323" s="30"/>
    </row>
    <row r="324" spans="18:18" ht="15.75" customHeight="1">
      <c r="R324" s="30"/>
    </row>
    <row r="325" spans="18:18" ht="15.75" customHeight="1">
      <c r="R325" s="30"/>
    </row>
    <row r="326" spans="18:18" ht="15.75" customHeight="1">
      <c r="R326" s="30"/>
    </row>
    <row r="327" spans="18:18" ht="15.75" customHeight="1">
      <c r="R327" s="30"/>
    </row>
    <row r="328" spans="18:18" ht="15.75" customHeight="1">
      <c r="R328" s="30"/>
    </row>
    <row r="329" spans="18:18" ht="15.75" customHeight="1">
      <c r="R329" s="30"/>
    </row>
    <row r="330" spans="18:18" ht="15.75" customHeight="1">
      <c r="R330" s="30"/>
    </row>
    <row r="331" spans="18:18" ht="15.75" customHeight="1">
      <c r="R331" s="30"/>
    </row>
    <row r="332" spans="18:18" ht="15.75" customHeight="1">
      <c r="R332" s="30"/>
    </row>
    <row r="333" spans="18:18" ht="15.75" customHeight="1">
      <c r="R333" s="30"/>
    </row>
    <row r="334" spans="18:18" ht="15.75" customHeight="1">
      <c r="R334" s="30"/>
    </row>
    <row r="335" spans="18:18" ht="15.75" customHeight="1">
      <c r="R335" s="30"/>
    </row>
    <row r="336" spans="18:18" ht="15.75" customHeight="1">
      <c r="R336" s="30"/>
    </row>
    <row r="337" spans="18:18" ht="15.75" customHeight="1">
      <c r="R337" s="30"/>
    </row>
    <row r="338" spans="18:18" ht="15.75" customHeight="1">
      <c r="R338" s="30"/>
    </row>
    <row r="339" spans="18:18" ht="15.75" customHeight="1">
      <c r="R339" s="30"/>
    </row>
    <row r="340" spans="18:18" ht="15.75" customHeight="1">
      <c r="R340" s="30"/>
    </row>
    <row r="341" spans="18:18" ht="15.75" customHeight="1">
      <c r="R341" s="30"/>
    </row>
    <row r="342" spans="18:18" ht="15.75" customHeight="1">
      <c r="R342" s="30"/>
    </row>
    <row r="343" spans="18:18" ht="15.75" customHeight="1">
      <c r="R343" s="30"/>
    </row>
    <row r="344" spans="18:18" ht="15.75" customHeight="1">
      <c r="R344" s="30"/>
    </row>
    <row r="345" spans="18:18" ht="15.75" customHeight="1">
      <c r="R345" s="30"/>
    </row>
    <row r="346" spans="18:18" ht="15.75" customHeight="1">
      <c r="R346" s="30"/>
    </row>
    <row r="347" spans="18:18" ht="15.75" customHeight="1">
      <c r="R347" s="30"/>
    </row>
    <row r="348" spans="18:18" ht="15.75" customHeight="1">
      <c r="R348" s="30"/>
    </row>
    <row r="349" spans="18:18" ht="15.75" customHeight="1">
      <c r="R349" s="30"/>
    </row>
    <row r="350" spans="18:18" ht="15.75" customHeight="1">
      <c r="R350" s="30"/>
    </row>
    <row r="351" spans="18:18" ht="15.75" customHeight="1">
      <c r="R351" s="30"/>
    </row>
    <row r="352" spans="18:18" ht="15.75" customHeight="1">
      <c r="R352" s="30"/>
    </row>
    <row r="353" spans="18:18" ht="15.75" customHeight="1">
      <c r="R353" s="30"/>
    </row>
    <row r="354" spans="18:18" ht="15.75" customHeight="1">
      <c r="R354" s="30"/>
    </row>
    <row r="355" spans="18:18" ht="15.75" customHeight="1">
      <c r="R355" s="30"/>
    </row>
    <row r="356" spans="18:18" ht="15.75" customHeight="1">
      <c r="R356" s="30"/>
    </row>
    <row r="357" spans="18:18" ht="15.75" customHeight="1">
      <c r="R357" s="30"/>
    </row>
    <row r="358" spans="18:18" ht="15.75" customHeight="1">
      <c r="R358" s="30"/>
    </row>
    <row r="359" spans="18:18" ht="15.75" customHeight="1">
      <c r="R359" s="30"/>
    </row>
    <row r="360" spans="18:18" ht="15.75" customHeight="1">
      <c r="R360" s="30"/>
    </row>
    <row r="361" spans="18:18" ht="15.75" customHeight="1">
      <c r="R361" s="30"/>
    </row>
    <row r="362" spans="18:18" ht="15.75" customHeight="1">
      <c r="R362" s="30"/>
    </row>
    <row r="363" spans="18:18" ht="15.75" customHeight="1">
      <c r="R363" s="30"/>
    </row>
    <row r="364" spans="18:18" ht="15.75" customHeight="1">
      <c r="R364" s="30"/>
    </row>
    <row r="365" spans="18:18" ht="15.75" customHeight="1">
      <c r="R365" s="30"/>
    </row>
    <row r="366" spans="18:18" ht="15.75" customHeight="1">
      <c r="R366" s="30"/>
    </row>
    <row r="367" spans="18:18" ht="15.75" customHeight="1">
      <c r="R367" s="30"/>
    </row>
    <row r="368" spans="18:18" ht="15.75" customHeight="1">
      <c r="R368" s="30"/>
    </row>
    <row r="369" spans="18:18" ht="15.75" customHeight="1">
      <c r="R369" s="30"/>
    </row>
    <row r="370" spans="18:18" ht="15.75" customHeight="1">
      <c r="R370" s="30"/>
    </row>
    <row r="371" spans="18:18" ht="15.75" customHeight="1">
      <c r="R371" s="30"/>
    </row>
    <row r="372" spans="18:18" ht="15.75" customHeight="1">
      <c r="R372" s="30"/>
    </row>
    <row r="373" spans="18:18" ht="15.75" customHeight="1">
      <c r="R373" s="30"/>
    </row>
    <row r="374" spans="18:18" ht="15.75" customHeight="1">
      <c r="R374" s="30"/>
    </row>
    <row r="375" spans="18:18" ht="15.75" customHeight="1">
      <c r="R375" s="30"/>
    </row>
    <row r="376" spans="18:18" ht="15.75" customHeight="1">
      <c r="R376" s="30"/>
    </row>
    <row r="377" spans="18:18" ht="15.75" customHeight="1">
      <c r="R377" s="30"/>
    </row>
    <row r="378" spans="18:18" ht="15.75" customHeight="1">
      <c r="R378" s="30"/>
    </row>
    <row r="379" spans="18:18" ht="15.75" customHeight="1">
      <c r="R379" s="30"/>
    </row>
    <row r="380" spans="18:18" ht="15.75" customHeight="1">
      <c r="R380" s="30"/>
    </row>
    <row r="381" spans="18:18" ht="15.75" customHeight="1">
      <c r="R381" s="30"/>
    </row>
    <row r="382" spans="18:18" ht="15.75" customHeight="1">
      <c r="R382" s="30"/>
    </row>
    <row r="383" spans="18:18" ht="15.75" customHeight="1">
      <c r="R383" s="30"/>
    </row>
    <row r="384" spans="18:18" ht="15.75" customHeight="1">
      <c r="R384" s="30"/>
    </row>
    <row r="385" spans="18:18" ht="15.75" customHeight="1">
      <c r="R385" s="30"/>
    </row>
    <row r="386" spans="18:18" ht="15.75" customHeight="1">
      <c r="R386" s="30"/>
    </row>
    <row r="387" spans="18:18" ht="15.75" customHeight="1">
      <c r="R387" s="30"/>
    </row>
    <row r="388" spans="18:18" ht="15.75" customHeight="1">
      <c r="R388" s="30"/>
    </row>
    <row r="389" spans="18:18" ht="15.75" customHeight="1">
      <c r="R389" s="30"/>
    </row>
    <row r="390" spans="18:18" ht="15.75" customHeight="1">
      <c r="R390" s="30"/>
    </row>
    <row r="391" spans="18:18" ht="15.75" customHeight="1">
      <c r="R391" s="30"/>
    </row>
    <row r="392" spans="18:18" ht="15.75" customHeight="1">
      <c r="R392" s="30"/>
    </row>
    <row r="393" spans="18:18" ht="15.75" customHeight="1">
      <c r="R393" s="30"/>
    </row>
    <row r="394" spans="18:18" ht="15.75" customHeight="1">
      <c r="R394" s="30"/>
    </row>
    <row r="395" spans="18:18" ht="15.75" customHeight="1">
      <c r="R395" s="30"/>
    </row>
    <row r="396" spans="18:18" ht="15.75" customHeight="1">
      <c r="R396" s="30"/>
    </row>
    <row r="397" spans="18:18" ht="15.75" customHeight="1">
      <c r="R397" s="30"/>
    </row>
    <row r="398" spans="18:18" ht="15.75" customHeight="1">
      <c r="R398" s="30"/>
    </row>
    <row r="399" spans="18:18" ht="15.75" customHeight="1">
      <c r="R399" s="30"/>
    </row>
    <row r="400" spans="18:18" ht="15.75" customHeight="1">
      <c r="R400" s="30"/>
    </row>
    <row r="401" spans="18:18" ht="15.75" customHeight="1">
      <c r="R401" s="30"/>
    </row>
    <row r="402" spans="18:18" ht="15.75" customHeight="1">
      <c r="R402" s="30"/>
    </row>
    <row r="403" spans="18:18" ht="15.75" customHeight="1">
      <c r="R403" s="30"/>
    </row>
    <row r="404" spans="18:18" ht="15.75" customHeight="1">
      <c r="R404" s="30"/>
    </row>
    <row r="405" spans="18:18" ht="15.75" customHeight="1">
      <c r="R405" s="30"/>
    </row>
    <row r="406" spans="18:18" ht="15.75" customHeight="1">
      <c r="R406" s="30"/>
    </row>
    <row r="407" spans="18:18" ht="15.75" customHeight="1">
      <c r="R407" s="30"/>
    </row>
    <row r="408" spans="18:18" ht="15.75" customHeight="1">
      <c r="R408" s="30"/>
    </row>
    <row r="409" spans="18:18" ht="15.75" customHeight="1">
      <c r="R409" s="30"/>
    </row>
    <row r="410" spans="18:18" ht="15.75" customHeight="1">
      <c r="R410" s="30"/>
    </row>
    <row r="411" spans="18:18" ht="15.75" customHeight="1">
      <c r="R411" s="30"/>
    </row>
    <row r="412" spans="18:18" ht="15.75" customHeight="1">
      <c r="R412" s="30"/>
    </row>
    <row r="413" spans="18:18" ht="15.75" customHeight="1">
      <c r="R413" s="30"/>
    </row>
    <row r="414" spans="18:18" ht="15.75" customHeight="1">
      <c r="R414" s="30"/>
    </row>
    <row r="415" spans="18:18" ht="15.75" customHeight="1">
      <c r="R415" s="30"/>
    </row>
    <row r="416" spans="18:18" ht="15.75" customHeight="1">
      <c r="R416" s="30"/>
    </row>
    <row r="417" spans="18:18" ht="15.75" customHeight="1">
      <c r="R417" s="30"/>
    </row>
    <row r="418" spans="18:18" ht="15.75" customHeight="1">
      <c r="R418" s="30"/>
    </row>
    <row r="419" spans="18:18" ht="15.75" customHeight="1">
      <c r="R419" s="30"/>
    </row>
    <row r="420" spans="18:18" ht="15.75" customHeight="1">
      <c r="R420" s="30"/>
    </row>
    <row r="421" spans="18:18" ht="15.75" customHeight="1">
      <c r="R421" s="30"/>
    </row>
    <row r="422" spans="18:18" ht="15.75" customHeight="1">
      <c r="R422" s="30"/>
    </row>
    <row r="423" spans="18:18" ht="15.75" customHeight="1">
      <c r="R423" s="30"/>
    </row>
    <row r="424" spans="18:18" ht="15.75" customHeight="1">
      <c r="R424" s="30"/>
    </row>
    <row r="425" spans="18:18" ht="15.75" customHeight="1">
      <c r="R425" s="30"/>
    </row>
    <row r="426" spans="18:18" ht="15.75" customHeight="1">
      <c r="R426" s="30"/>
    </row>
    <row r="427" spans="18:18" ht="15.75" customHeight="1">
      <c r="R427" s="30"/>
    </row>
    <row r="428" spans="18:18" ht="15.75" customHeight="1">
      <c r="R428" s="30"/>
    </row>
    <row r="429" spans="18:18" ht="15.75" customHeight="1">
      <c r="R429" s="30"/>
    </row>
    <row r="430" spans="18:18" ht="15.75" customHeight="1">
      <c r="R430" s="30"/>
    </row>
    <row r="431" spans="18:18" ht="15.75" customHeight="1">
      <c r="R431" s="30"/>
    </row>
    <row r="432" spans="18:18" ht="15.75" customHeight="1">
      <c r="R432" s="30"/>
    </row>
    <row r="433" spans="18:18" ht="15.75" customHeight="1">
      <c r="R433" s="30"/>
    </row>
    <row r="434" spans="18:18" ht="15.75" customHeight="1">
      <c r="R434" s="30"/>
    </row>
    <row r="435" spans="18:18" ht="15.75" customHeight="1">
      <c r="R435" s="30"/>
    </row>
    <row r="436" spans="18:18" ht="15.75" customHeight="1">
      <c r="R436" s="30"/>
    </row>
    <row r="437" spans="18:18" ht="15.75" customHeight="1">
      <c r="R437" s="30"/>
    </row>
    <row r="438" spans="18:18" ht="15.75" customHeight="1">
      <c r="R438" s="30"/>
    </row>
    <row r="439" spans="18:18" ht="15.75" customHeight="1">
      <c r="R439" s="30"/>
    </row>
    <row r="440" spans="18:18" ht="15.75" customHeight="1">
      <c r="R440" s="30"/>
    </row>
    <row r="441" spans="18:18" ht="15.75" customHeight="1">
      <c r="R441" s="30"/>
    </row>
    <row r="442" spans="18:18" ht="15.75" customHeight="1">
      <c r="R442" s="30"/>
    </row>
    <row r="443" spans="18:18" ht="15.75" customHeight="1">
      <c r="R443" s="30"/>
    </row>
    <row r="444" spans="18:18" ht="15.75" customHeight="1">
      <c r="R444" s="30"/>
    </row>
    <row r="445" spans="18:18" ht="15.75" customHeight="1">
      <c r="R445" s="30"/>
    </row>
    <row r="446" spans="18:18" ht="15.75" customHeight="1">
      <c r="R446" s="30"/>
    </row>
    <row r="447" spans="18:18" ht="15.75" customHeight="1">
      <c r="R447" s="30"/>
    </row>
    <row r="448" spans="18:18" ht="15.75" customHeight="1">
      <c r="R448" s="30"/>
    </row>
    <row r="449" spans="18:18" ht="15.75" customHeight="1">
      <c r="R449" s="30"/>
    </row>
    <row r="450" spans="18:18" ht="15.75" customHeight="1">
      <c r="R450" s="30"/>
    </row>
    <row r="451" spans="18:18" ht="15.75" customHeight="1">
      <c r="R451" s="30"/>
    </row>
    <row r="452" spans="18:18" ht="15.75" customHeight="1">
      <c r="R452" s="30"/>
    </row>
    <row r="453" spans="18:18" ht="15.75" customHeight="1">
      <c r="R453" s="30"/>
    </row>
    <row r="454" spans="18:18" ht="15.75" customHeight="1">
      <c r="R454" s="30"/>
    </row>
    <row r="455" spans="18:18" ht="15.75" customHeight="1">
      <c r="R455" s="30"/>
    </row>
    <row r="456" spans="18:18" ht="15.75" customHeight="1">
      <c r="R456" s="30"/>
    </row>
    <row r="457" spans="18:18" ht="15.75" customHeight="1">
      <c r="R457" s="30"/>
    </row>
    <row r="458" spans="18:18" ht="15.75" customHeight="1">
      <c r="R458" s="30"/>
    </row>
    <row r="459" spans="18:18" ht="15.75" customHeight="1">
      <c r="R459" s="30"/>
    </row>
    <row r="460" spans="18:18" ht="15.75" customHeight="1">
      <c r="R460" s="30"/>
    </row>
    <row r="461" spans="18:18" ht="15.75" customHeight="1">
      <c r="R461" s="30"/>
    </row>
    <row r="462" spans="18:18" ht="15.75" customHeight="1">
      <c r="R462" s="30"/>
    </row>
    <row r="463" spans="18:18" ht="15.75" customHeight="1">
      <c r="R463" s="30"/>
    </row>
    <row r="464" spans="18:18" ht="15.75" customHeight="1">
      <c r="R464" s="30"/>
    </row>
    <row r="465" spans="18:18" ht="15.75" customHeight="1">
      <c r="R465" s="30"/>
    </row>
    <row r="466" spans="18:18" ht="15.75" customHeight="1">
      <c r="R466" s="30"/>
    </row>
    <row r="467" spans="18:18" ht="15.75" customHeight="1">
      <c r="R467" s="30"/>
    </row>
    <row r="468" spans="18:18" ht="15.75" customHeight="1">
      <c r="R468" s="30"/>
    </row>
    <row r="469" spans="18:18" ht="15.75" customHeight="1">
      <c r="R469" s="30"/>
    </row>
    <row r="470" spans="18:18" ht="15.75" customHeight="1">
      <c r="R470" s="30"/>
    </row>
    <row r="471" spans="18:18" ht="15.75" customHeight="1">
      <c r="R471" s="30"/>
    </row>
    <row r="472" spans="18:18" ht="15.75" customHeight="1">
      <c r="R472" s="30"/>
    </row>
    <row r="473" spans="18:18" ht="15.75" customHeight="1">
      <c r="R473" s="30"/>
    </row>
    <row r="474" spans="18:18" ht="15.75" customHeight="1">
      <c r="R474" s="30"/>
    </row>
    <row r="475" spans="18:18" ht="15.75" customHeight="1">
      <c r="R475" s="30"/>
    </row>
    <row r="476" spans="18:18" ht="15.75" customHeight="1">
      <c r="R476" s="30"/>
    </row>
    <row r="477" spans="18:18" ht="15.75" customHeight="1">
      <c r="R477" s="30"/>
    </row>
    <row r="478" spans="18:18" ht="15.75" customHeight="1">
      <c r="R478" s="30"/>
    </row>
    <row r="479" spans="18:18" ht="15.75" customHeight="1">
      <c r="R479" s="30"/>
    </row>
    <row r="480" spans="18:18" ht="15.75" customHeight="1">
      <c r="R480" s="30"/>
    </row>
    <row r="481" spans="18:18" ht="15.75" customHeight="1">
      <c r="R481" s="30"/>
    </row>
    <row r="482" spans="18:18" ht="15.75" customHeight="1">
      <c r="R482" s="30"/>
    </row>
    <row r="483" spans="18:18" ht="15.75" customHeight="1">
      <c r="R483" s="30"/>
    </row>
    <row r="484" spans="18:18" ht="15.75" customHeight="1">
      <c r="R484" s="30"/>
    </row>
    <row r="485" spans="18:18" ht="15.75" customHeight="1">
      <c r="R485" s="30"/>
    </row>
    <row r="486" spans="18:18" ht="15.75" customHeight="1">
      <c r="R486" s="30"/>
    </row>
    <row r="487" spans="18:18" ht="15.75" customHeight="1">
      <c r="R487" s="30"/>
    </row>
    <row r="488" spans="18:18" ht="15.75" customHeight="1">
      <c r="R488" s="30"/>
    </row>
    <row r="489" spans="18:18" ht="15.75" customHeight="1">
      <c r="R489" s="30"/>
    </row>
    <row r="490" spans="18:18" ht="15.75" customHeight="1">
      <c r="R490" s="30"/>
    </row>
    <row r="491" spans="18:18" ht="15.75" customHeight="1">
      <c r="R491" s="30"/>
    </row>
    <row r="492" spans="18:18" ht="15.75" customHeight="1">
      <c r="R492" s="30"/>
    </row>
    <row r="493" spans="18:18" ht="15.75" customHeight="1">
      <c r="R493" s="30"/>
    </row>
    <row r="494" spans="18:18" ht="15.75" customHeight="1">
      <c r="R494" s="30"/>
    </row>
    <row r="495" spans="18:18" ht="15.75" customHeight="1">
      <c r="R495" s="30"/>
    </row>
    <row r="496" spans="18:18" ht="15.75" customHeight="1">
      <c r="R496" s="30"/>
    </row>
    <row r="497" spans="18:18" ht="15.75" customHeight="1">
      <c r="R497" s="30"/>
    </row>
    <row r="498" spans="18:18" ht="15.75" customHeight="1">
      <c r="R498" s="30"/>
    </row>
    <row r="499" spans="18:18" ht="15.75" customHeight="1">
      <c r="R499" s="30"/>
    </row>
    <row r="500" spans="18:18" ht="15.75" customHeight="1">
      <c r="R500" s="30"/>
    </row>
    <row r="501" spans="18:18" ht="15.75" customHeight="1">
      <c r="R501" s="30"/>
    </row>
    <row r="502" spans="18:18" ht="15.75" customHeight="1">
      <c r="R502" s="30"/>
    </row>
    <row r="503" spans="18:18" ht="15.75" customHeight="1">
      <c r="R503" s="30"/>
    </row>
    <row r="504" spans="18:18" ht="15.75" customHeight="1">
      <c r="R504" s="30"/>
    </row>
    <row r="505" spans="18:18" ht="15.75" customHeight="1">
      <c r="R505" s="30"/>
    </row>
    <row r="506" spans="18:18" ht="15.75" customHeight="1">
      <c r="R506" s="30"/>
    </row>
    <row r="507" spans="18:18" ht="15.75" customHeight="1">
      <c r="R507" s="30"/>
    </row>
    <row r="508" spans="18:18" ht="15.75" customHeight="1">
      <c r="R508" s="30"/>
    </row>
    <row r="509" spans="18:18" ht="15.75" customHeight="1">
      <c r="R509" s="30"/>
    </row>
    <row r="510" spans="18:18" ht="15.75" customHeight="1">
      <c r="R510" s="30"/>
    </row>
    <row r="511" spans="18:18" ht="15.75" customHeight="1">
      <c r="R511" s="30"/>
    </row>
    <row r="512" spans="18:18" ht="15.75" customHeight="1">
      <c r="R512" s="30"/>
    </row>
    <row r="513" spans="18:18" ht="15.75" customHeight="1">
      <c r="R513" s="30"/>
    </row>
    <row r="514" spans="18:18" ht="15.75" customHeight="1">
      <c r="R514" s="30"/>
    </row>
    <row r="515" spans="18:18" ht="15.75" customHeight="1">
      <c r="R515" s="30"/>
    </row>
    <row r="516" spans="18:18" ht="15.75" customHeight="1">
      <c r="R516" s="30"/>
    </row>
    <row r="517" spans="18:18" ht="15.75" customHeight="1">
      <c r="R517" s="30"/>
    </row>
    <row r="518" spans="18:18" ht="15.75" customHeight="1">
      <c r="R518" s="30"/>
    </row>
    <row r="519" spans="18:18" ht="15.75" customHeight="1">
      <c r="R519" s="30"/>
    </row>
    <row r="520" spans="18:18" ht="15.75" customHeight="1">
      <c r="R520" s="30"/>
    </row>
    <row r="521" spans="18:18" ht="15.75" customHeight="1">
      <c r="R521" s="30"/>
    </row>
    <row r="522" spans="18:18" ht="15.75" customHeight="1">
      <c r="R522" s="30"/>
    </row>
    <row r="523" spans="18:18" ht="15.75" customHeight="1">
      <c r="R523" s="30"/>
    </row>
    <row r="524" spans="18:18" ht="15.75" customHeight="1">
      <c r="R524" s="30"/>
    </row>
    <row r="525" spans="18:18" ht="15.75" customHeight="1">
      <c r="R525" s="30"/>
    </row>
    <row r="526" spans="18:18" ht="15.75" customHeight="1">
      <c r="R526" s="30"/>
    </row>
    <row r="527" spans="18:18" ht="15.75" customHeight="1">
      <c r="R527" s="30"/>
    </row>
    <row r="528" spans="18:18" ht="15.75" customHeight="1">
      <c r="R528" s="30"/>
    </row>
    <row r="529" spans="18:18" ht="15.75" customHeight="1">
      <c r="R529" s="30"/>
    </row>
    <row r="530" spans="18:18" ht="15.75" customHeight="1">
      <c r="R530" s="30"/>
    </row>
    <row r="531" spans="18:18" ht="15.75" customHeight="1">
      <c r="R531" s="30"/>
    </row>
    <row r="532" spans="18:18" ht="15.75" customHeight="1">
      <c r="R532" s="30"/>
    </row>
    <row r="533" spans="18:18" ht="15.75" customHeight="1">
      <c r="R533" s="30"/>
    </row>
    <row r="534" spans="18:18" ht="15.75" customHeight="1">
      <c r="R534" s="30"/>
    </row>
    <row r="535" spans="18:18" ht="15.75" customHeight="1">
      <c r="R535" s="30"/>
    </row>
    <row r="536" spans="18:18" ht="15.75" customHeight="1">
      <c r="R536" s="30"/>
    </row>
    <row r="537" spans="18:18" ht="15.75" customHeight="1">
      <c r="R537" s="30"/>
    </row>
    <row r="538" spans="18:18" ht="15.75" customHeight="1">
      <c r="R538" s="30"/>
    </row>
    <row r="539" spans="18:18" ht="15.75" customHeight="1">
      <c r="R539" s="30"/>
    </row>
    <row r="540" spans="18:18" ht="15.75" customHeight="1">
      <c r="R540" s="30"/>
    </row>
    <row r="541" spans="18:18" ht="15.75" customHeight="1">
      <c r="R541" s="30"/>
    </row>
    <row r="542" spans="18:18" ht="15.75" customHeight="1">
      <c r="R542" s="30"/>
    </row>
    <row r="543" spans="18:18" ht="15.75" customHeight="1">
      <c r="R543" s="30"/>
    </row>
    <row r="544" spans="18:18" ht="15.75" customHeight="1">
      <c r="R544" s="30"/>
    </row>
    <row r="545" spans="18:18" ht="15.75" customHeight="1">
      <c r="R545" s="30"/>
    </row>
    <row r="546" spans="18:18" ht="15.75" customHeight="1">
      <c r="R546" s="30"/>
    </row>
    <row r="547" spans="18:18" ht="15.75" customHeight="1">
      <c r="R547" s="30"/>
    </row>
    <row r="548" spans="18:18" ht="15.75" customHeight="1">
      <c r="R548" s="30"/>
    </row>
    <row r="549" spans="18:18" ht="15.75" customHeight="1">
      <c r="R549" s="30"/>
    </row>
    <row r="550" spans="18:18" ht="15.75" customHeight="1">
      <c r="R550" s="30"/>
    </row>
    <row r="551" spans="18:18" ht="15.75" customHeight="1">
      <c r="R551" s="30"/>
    </row>
    <row r="552" spans="18:18" ht="15.75" customHeight="1">
      <c r="R552" s="30"/>
    </row>
    <row r="553" spans="18:18" ht="15.75" customHeight="1">
      <c r="R553" s="30"/>
    </row>
    <row r="554" spans="18:18" ht="15.75" customHeight="1">
      <c r="R554" s="30"/>
    </row>
    <row r="555" spans="18:18" ht="15.75" customHeight="1">
      <c r="R555" s="30"/>
    </row>
    <row r="556" spans="18:18" ht="15.75" customHeight="1">
      <c r="R556" s="30"/>
    </row>
    <row r="557" spans="18:18" ht="15.75" customHeight="1">
      <c r="R557" s="30"/>
    </row>
    <row r="558" spans="18:18" ht="15.75" customHeight="1">
      <c r="R558" s="30"/>
    </row>
    <row r="559" spans="18:18" ht="15.75" customHeight="1">
      <c r="R559" s="30"/>
    </row>
    <row r="560" spans="18:18" ht="15.75" customHeight="1">
      <c r="R560" s="30"/>
    </row>
    <row r="561" spans="18:18" ht="15.75" customHeight="1">
      <c r="R561" s="30"/>
    </row>
    <row r="562" spans="18:18" ht="15.75" customHeight="1">
      <c r="R562" s="30"/>
    </row>
    <row r="563" spans="18:18" ht="15.75" customHeight="1">
      <c r="R563" s="30"/>
    </row>
    <row r="564" spans="18:18" ht="15.75" customHeight="1">
      <c r="R564" s="30"/>
    </row>
    <row r="565" spans="18:18" ht="15.75" customHeight="1">
      <c r="R565" s="30"/>
    </row>
    <row r="566" spans="18:18" ht="15.75" customHeight="1">
      <c r="R566" s="30"/>
    </row>
    <row r="567" spans="18:18" ht="15.75" customHeight="1">
      <c r="R567" s="30"/>
    </row>
    <row r="568" spans="18:18" ht="15.75" customHeight="1">
      <c r="R568" s="30"/>
    </row>
    <row r="569" spans="18:18" ht="15.75" customHeight="1">
      <c r="R569" s="30"/>
    </row>
    <row r="570" spans="18:18" ht="15.75" customHeight="1">
      <c r="R570" s="30"/>
    </row>
    <row r="571" spans="18:18" ht="15.75" customHeight="1">
      <c r="R571" s="30"/>
    </row>
    <row r="572" spans="18:18" ht="15.75" customHeight="1">
      <c r="R572" s="30"/>
    </row>
    <row r="573" spans="18:18" ht="15.75" customHeight="1">
      <c r="R573" s="30"/>
    </row>
    <row r="574" spans="18:18" ht="15.75" customHeight="1">
      <c r="R574" s="30"/>
    </row>
    <row r="575" spans="18:18" ht="15.75" customHeight="1">
      <c r="R575" s="30"/>
    </row>
    <row r="576" spans="18:18" ht="15.75" customHeight="1">
      <c r="R576" s="30"/>
    </row>
    <row r="577" spans="18:18" ht="15.75" customHeight="1">
      <c r="R577" s="30"/>
    </row>
    <row r="578" spans="18:18" ht="15.75" customHeight="1">
      <c r="R578" s="30"/>
    </row>
    <row r="579" spans="18:18" ht="15.75" customHeight="1">
      <c r="R579" s="30"/>
    </row>
    <row r="580" spans="18:18" ht="15.75" customHeight="1">
      <c r="R580" s="30"/>
    </row>
    <row r="581" spans="18:18" ht="15.75" customHeight="1">
      <c r="R581" s="30"/>
    </row>
    <row r="582" spans="18:18" ht="15.75" customHeight="1">
      <c r="R582" s="30"/>
    </row>
    <row r="583" spans="18:18" ht="15.75" customHeight="1">
      <c r="R583" s="30"/>
    </row>
    <row r="584" spans="18:18" ht="15.75" customHeight="1">
      <c r="R584" s="30"/>
    </row>
    <row r="585" spans="18:18" ht="15.75" customHeight="1">
      <c r="R585" s="30"/>
    </row>
    <row r="586" spans="18:18" ht="15.75" customHeight="1">
      <c r="R586" s="30"/>
    </row>
    <row r="587" spans="18:18" ht="15.75" customHeight="1">
      <c r="R587" s="30"/>
    </row>
    <row r="588" spans="18:18" ht="15.75" customHeight="1">
      <c r="R588" s="30"/>
    </row>
    <row r="589" spans="18:18" ht="15.75" customHeight="1">
      <c r="R589" s="30"/>
    </row>
    <row r="590" spans="18:18" ht="15.75" customHeight="1">
      <c r="R590" s="30"/>
    </row>
    <row r="591" spans="18:18" ht="15.75" customHeight="1">
      <c r="R591" s="30"/>
    </row>
    <row r="592" spans="18:18" ht="15.75" customHeight="1">
      <c r="R592" s="30"/>
    </row>
    <row r="593" spans="18:18" ht="15.75" customHeight="1">
      <c r="R593" s="30"/>
    </row>
    <row r="594" spans="18:18" ht="15.75" customHeight="1">
      <c r="R594" s="30"/>
    </row>
    <row r="595" spans="18:18" ht="15.75" customHeight="1">
      <c r="R595" s="30"/>
    </row>
    <row r="596" spans="18:18" ht="15.75" customHeight="1">
      <c r="R596" s="30"/>
    </row>
    <row r="597" spans="18:18" ht="15.75" customHeight="1">
      <c r="R597" s="30"/>
    </row>
    <row r="598" spans="18:18" ht="15.75" customHeight="1">
      <c r="R598" s="30"/>
    </row>
    <row r="599" spans="18:18" ht="15.75" customHeight="1">
      <c r="R599" s="30"/>
    </row>
    <row r="600" spans="18:18" ht="15.75" customHeight="1">
      <c r="R600" s="30"/>
    </row>
    <row r="601" spans="18:18" ht="15.75" customHeight="1">
      <c r="R601" s="30"/>
    </row>
    <row r="602" spans="18:18" ht="15.75" customHeight="1">
      <c r="R602" s="30"/>
    </row>
    <row r="603" spans="18:18" ht="15.75" customHeight="1">
      <c r="R603" s="30"/>
    </row>
    <row r="604" spans="18:18" ht="15.75" customHeight="1">
      <c r="R604" s="30"/>
    </row>
    <row r="605" spans="18:18" ht="15.75" customHeight="1">
      <c r="R605" s="30"/>
    </row>
    <row r="606" spans="18:18" ht="15.75" customHeight="1">
      <c r="R606" s="30"/>
    </row>
    <row r="607" spans="18:18" ht="15.75" customHeight="1">
      <c r="R607" s="30"/>
    </row>
    <row r="608" spans="18:18" ht="15.75" customHeight="1">
      <c r="R608" s="30"/>
    </row>
    <row r="609" spans="18:18" ht="15.75" customHeight="1">
      <c r="R609" s="30"/>
    </row>
    <row r="610" spans="18:18" ht="15.75" customHeight="1">
      <c r="R610" s="30"/>
    </row>
    <row r="611" spans="18:18" ht="15.75" customHeight="1">
      <c r="R611" s="30"/>
    </row>
    <row r="612" spans="18:18" ht="15.75" customHeight="1">
      <c r="R612" s="30"/>
    </row>
    <row r="613" spans="18:18" ht="15.75" customHeight="1">
      <c r="R613" s="30"/>
    </row>
    <row r="614" spans="18:18" ht="15.75" customHeight="1">
      <c r="R614" s="30"/>
    </row>
    <row r="615" spans="18:18" ht="15.75" customHeight="1">
      <c r="R615" s="30"/>
    </row>
    <row r="616" spans="18:18" ht="15.75" customHeight="1">
      <c r="R616" s="30"/>
    </row>
    <row r="617" spans="18:18" ht="15.75" customHeight="1">
      <c r="R617" s="30"/>
    </row>
    <row r="618" spans="18:18" ht="15.75" customHeight="1">
      <c r="R618" s="30"/>
    </row>
    <row r="619" spans="18:18" ht="15.75" customHeight="1">
      <c r="R619" s="30"/>
    </row>
    <row r="620" spans="18:18" ht="15.75" customHeight="1">
      <c r="R620" s="30"/>
    </row>
    <row r="621" spans="18:18" ht="15.75" customHeight="1">
      <c r="R621" s="30"/>
    </row>
    <row r="622" spans="18:18" ht="15.75" customHeight="1">
      <c r="R622" s="30"/>
    </row>
    <row r="623" spans="18:18" ht="15.75" customHeight="1">
      <c r="R623" s="30"/>
    </row>
    <row r="624" spans="18:18" ht="15.75" customHeight="1">
      <c r="R624" s="30"/>
    </row>
    <row r="625" spans="18:18" ht="15.75" customHeight="1">
      <c r="R625" s="30"/>
    </row>
    <row r="626" spans="18:18" ht="15.75" customHeight="1">
      <c r="R626" s="30"/>
    </row>
    <row r="627" spans="18:18" ht="15.75" customHeight="1">
      <c r="R627" s="30"/>
    </row>
    <row r="628" spans="18:18" ht="15.75" customHeight="1">
      <c r="R628" s="30"/>
    </row>
    <row r="629" spans="18:18" ht="15.75" customHeight="1">
      <c r="R629" s="30"/>
    </row>
    <row r="630" spans="18:18" ht="15.75" customHeight="1">
      <c r="R630" s="30"/>
    </row>
    <row r="631" spans="18:18" ht="15.75" customHeight="1">
      <c r="R631" s="30"/>
    </row>
    <row r="632" spans="18:18" ht="15.75" customHeight="1">
      <c r="R632" s="30"/>
    </row>
    <row r="633" spans="18:18" ht="15.75" customHeight="1">
      <c r="R633" s="30"/>
    </row>
    <row r="634" spans="18:18" ht="15.75" customHeight="1">
      <c r="R634" s="30"/>
    </row>
    <row r="635" spans="18:18" ht="15.75" customHeight="1">
      <c r="R635" s="30"/>
    </row>
    <row r="636" spans="18:18" ht="15.75" customHeight="1">
      <c r="R636" s="30"/>
    </row>
    <row r="637" spans="18:18" ht="15.75" customHeight="1">
      <c r="R637" s="30"/>
    </row>
    <row r="638" spans="18:18" ht="15.75" customHeight="1">
      <c r="R638" s="30"/>
    </row>
    <row r="639" spans="18:18" ht="15.75" customHeight="1">
      <c r="R639" s="30"/>
    </row>
    <row r="640" spans="18:18" ht="15.75" customHeight="1">
      <c r="R640" s="30"/>
    </row>
    <row r="641" spans="18:18" ht="15.75" customHeight="1">
      <c r="R641" s="30"/>
    </row>
    <row r="642" spans="18:18" ht="15.75" customHeight="1">
      <c r="R642" s="30"/>
    </row>
    <row r="643" spans="18:18" ht="15.75" customHeight="1">
      <c r="R643" s="30"/>
    </row>
    <row r="644" spans="18:18" ht="15.75" customHeight="1">
      <c r="R644" s="30"/>
    </row>
    <row r="645" spans="18:18" ht="15.75" customHeight="1">
      <c r="R645" s="30"/>
    </row>
    <row r="646" spans="18:18" ht="15.75" customHeight="1">
      <c r="R646" s="30"/>
    </row>
    <row r="647" spans="18:18" ht="15.75" customHeight="1">
      <c r="R647" s="30"/>
    </row>
    <row r="648" spans="18:18" ht="15.75" customHeight="1">
      <c r="R648" s="30"/>
    </row>
    <row r="649" spans="18:18" ht="15.75" customHeight="1">
      <c r="R649" s="30"/>
    </row>
    <row r="650" spans="18:18" ht="15.75" customHeight="1">
      <c r="R650" s="30"/>
    </row>
    <row r="651" spans="18:18" ht="15.75" customHeight="1">
      <c r="R651" s="30"/>
    </row>
    <row r="652" spans="18:18" ht="15.75" customHeight="1">
      <c r="R652" s="30"/>
    </row>
    <row r="653" spans="18:18" ht="15.75" customHeight="1">
      <c r="R653" s="30"/>
    </row>
    <row r="654" spans="18:18" ht="15.75" customHeight="1">
      <c r="R654" s="30"/>
    </row>
    <row r="655" spans="18:18" ht="15.75" customHeight="1">
      <c r="R655" s="30"/>
    </row>
    <row r="656" spans="18:18" ht="15.75" customHeight="1">
      <c r="R656" s="30"/>
    </row>
    <row r="657" spans="18:18" ht="15.75" customHeight="1">
      <c r="R657" s="30"/>
    </row>
    <row r="658" spans="18:18" ht="15.75" customHeight="1">
      <c r="R658" s="30"/>
    </row>
    <row r="659" spans="18:18" ht="15.75" customHeight="1">
      <c r="R659" s="30"/>
    </row>
    <row r="660" spans="18:18" ht="15.75" customHeight="1">
      <c r="R660" s="30"/>
    </row>
    <row r="661" spans="18:18" ht="15.75" customHeight="1">
      <c r="R661" s="30"/>
    </row>
    <row r="662" spans="18:18" ht="15.75" customHeight="1">
      <c r="R662" s="30"/>
    </row>
    <row r="663" spans="18:18" ht="15.75" customHeight="1">
      <c r="R663" s="30"/>
    </row>
    <row r="664" spans="18:18" ht="15.75" customHeight="1">
      <c r="R664" s="30"/>
    </row>
    <row r="665" spans="18:18" ht="15.75" customHeight="1">
      <c r="R665" s="30"/>
    </row>
    <row r="666" spans="18:18" ht="15.75" customHeight="1">
      <c r="R666" s="30"/>
    </row>
    <row r="667" spans="18:18" ht="15.75" customHeight="1">
      <c r="R667" s="30"/>
    </row>
    <row r="668" spans="18:18" ht="15.75" customHeight="1">
      <c r="R668" s="30"/>
    </row>
    <row r="669" spans="18:18" ht="15.75" customHeight="1">
      <c r="R669" s="30"/>
    </row>
    <row r="670" spans="18:18" ht="15.75" customHeight="1">
      <c r="R670" s="30"/>
    </row>
    <row r="671" spans="18:18" ht="15.75" customHeight="1">
      <c r="R671" s="30"/>
    </row>
    <row r="672" spans="18:18" ht="15.75" customHeight="1">
      <c r="R672" s="30"/>
    </row>
    <row r="673" spans="18:18" ht="15.75" customHeight="1">
      <c r="R673" s="30"/>
    </row>
    <row r="674" spans="18:18" ht="15.75" customHeight="1">
      <c r="R674" s="30"/>
    </row>
    <row r="675" spans="18:18" ht="15.75" customHeight="1">
      <c r="R675" s="30"/>
    </row>
    <row r="676" spans="18:18" ht="15.75" customHeight="1">
      <c r="R676" s="30"/>
    </row>
    <row r="677" spans="18:18" ht="15.75" customHeight="1">
      <c r="R677" s="30"/>
    </row>
    <row r="678" spans="18:18" ht="15.75" customHeight="1">
      <c r="R678" s="30"/>
    </row>
    <row r="679" spans="18:18" ht="15.75" customHeight="1">
      <c r="R679" s="30"/>
    </row>
    <row r="680" spans="18:18" ht="15.75" customHeight="1">
      <c r="R680" s="30"/>
    </row>
    <row r="681" spans="18:18" ht="15.75" customHeight="1">
      <c r="R681" s="30"/>
    </row>
    <row r="682" spans="18:18" ht="15.75" customHeight="1">
      <c r="R682" s="30"/>
    </row>
    <row r="683" spans="18:18" ht="15.75" customHeight="1">
      <c r="R683" s="30"/>
    </row>
    <row r="684" spans="18:18" ht="15.75" customHeight="1">
      <c r="R684" s="30"/>
    </row>
    <row r="685" spans="18:18" ht="15.75" customHeight="1">
      <c r="R685" s="30"/>
    </row>
    <row r="686" spans="18:18" ht="15.75" customHeight="1">
      <c r="R686" s="30"/>
    </row>
    <row r="687" spans="18:18" ht="15.75" customHeight="1">
      <c r="R687" s="30"/>
    </row>
    <row r="688" spans="18:18" ht="15.75" customHeight="1">
      <c r="R688" s="30"/>
    </row>
    <row r="689" spans="18:18" ht="15.75" customHeight="1">
      <c r="R689" s="30"/>
    </row>
    <row r="690" spans="18:18" ht="15.75" customHeight="1">
      <c r="R690" s="30"/>
    </row>
    <row r="691" spans="18:18" ht="15.75" customHeight="1">
      <c r="R691" s="30"/>
    </row>
    <row r="692" spans="18:18" ht="15.75" customHeight="1">
      <c r="R692" s="30"/>
    </row>
    <row r="693" spans="18:18" ht="15.75" customHeight="1">
      <c r="R693" s="30"/>
    </row>
    <row r="694" spans="18:18" ht="15.75" customHeight="1">
      <c r="R694" s="30"/>
    </row>
    <row r="695" spans="18:18" ht="15.75" customHeight="1">
      <c r="R695" s="30"/>
    </row>
    <row r="696" spans="18:18" ht="15.75" customHeight="1">
      <c r="R696" s="30"/>
    </row>
    <row r="697" spans="18:18" ht="15.75" customHeight="1">
      <c r="R697" s="30"/>
    </row>
    <row r="698" spans="18:18" ht="15.75" customHeight="1">
      <c r="R698" s="30"/>
    </row>
    <row r="699" spans="18:18" ht="15.75" customHeight="1">
      <c r="R699" s="30"/>
    </row>
    <row r="700" spans="18:18" ht="15.75" customHeight="1">
      <c r="R700" s="30"/>
    </row>
    <row r="701" spans="18:18" ht="15.75" customHeight="1">
      <c r="R701" s="30"/>
    </row>
    <row r="702" spans="18:18" ht="15.75" customHeight="1">
      <c r="R702" s="30"/>
    </row>
    <row r="703" spans="18:18" ht="15.75" customHeight="1">
      <c r="R703" s="30"/>
    </row>
    <row r="704" spans="18:18" ht="15.75" customHeight="1">
      <c r="R704" s="30"/>
    </row>
    <row r="705" spans="18:18" ht="15.75" customHeight="1">
      <c r="R705" s="30"/>
    </row>
    <row r="706" spans="18:18" ht="15.75" customHeight="1">
      <c r="R706" s="30"/>
    </row>
    <row r="707" spans="18:18" ht="15.75" customHeight="1">
      <c r="R707" s="30"/>
    </row>
    <row r="708" spans="18:18" ht="15.75" customHeight="1">
      <c r="R708" s="30"/>
    </row>
    <row r="709" spans="18:18" ht="15.75" customHeight="1">
      <c r="R709" s="30"/>
    </row>
    <row r="710" spans="18:18" ht="15.75" customHeight="1">
      <c r="R710" s="30"/>
    </row>
    <row r="711" spans="18:18" ht="15.75" customHeight="1">
      <c r="R711" s="30"/>
    </row>
    <row r="712" spans="18:18" ht="15.75" customHeight="1">
      <c r="R712" s="30"/>
    </row>
    <row r="713" spans="18:18" ht="15.75" customHeight="1">
      <c r="R713" s="30"/>
    </row>
    <row r="714" spans="18:18" ht="15.75" customHeight="1">
      <c r="R714" s="30"/>
    </row>
    <row r="715" spans="18:18" ht="15.75" customHeight="1">
      <c r="R715" s="30"/>
    </row>
    <row r="716" spans="18:18" ht="15.75" customHeight="1">
      <c r="R716" s="30"/>
    </row>
    <row r="717" spans="18:18" ht="15.75" customHeight="1">
      <c r="R717" s="30"/>
    </row>
    <row r="718" spans="18:18" ht="15.75" customHeight="1">
      <c r="R718" s="30"/>
    </row>
    <row r="719" spans="18:18" ht="15.75" customHeight="1">
      <c r="R719" s="30"/>
    </row>
    <row r="720" spans="18:18" ht="15.75" customHeight="1">
      <c r="R720" s="30"/>
    </row>
    <row r="721" spans="18:18" ht="15.75" customHeight="1">
      <c r="R721" s="30"/>
    </row>
    <row r="722" spans="18:18" ht="15.75" customHeight="1">
      <c r="R722" s="30"/>
    </row>
    <row r="723" spans="18:18" ht="15.75" customHeight="1">
      <c r="R723" s="30"/>
    </row>
    <row r="724" spans="18:18" ht="15.75" customHeight="1">
      <c r="R724" s="30"/>
    </row>
    <row r="725" spans="18:18" ht="15.75" customHeight="1">
      <c r="R725" s="30"/>
    </row>
    <row r="726" spans="18:18" ht="15.75" customHeight="1">
      <c r="R726" s="30"/>
    </row>
    <row r="727" spans="18:18" ht="15.75" customHeight="1">
      <c r="R727" s="30"/>
    </row>
    <row r="728" spans="18:18" ht="15.75" customHeight="1">
      <c r="R728" s="30"/>
    </row>
    <row r="729" spans="18:18" ht="15.75" customHeight="1">
      <c r="R729" s="30"/>
    </row>
    <row r="730" spans="18:18" ht="15.75" customHeight="1">
      <c r="R730" s="30"/>
    </row>
    <row r="731" spans="18:18" ht="15.75" customHeight="1">
      <c r="R731" s="30"/>
    </row>
    <row r="732" spans="18:18" ht="15.75" customHeight="1">
      <c r="R732" s="30"/>
    </row>
    <row r="733" spans="18:18" ht="15.75" customHeight="1">
      <c r="R733" s="30"/>
    </row>
    <row r="734" spans="18:18" ht="15.75" customHeight="1">
      <c r="R734" s="30"/>
    </row>
    <row r="735" spans="18:18" ht="15.75" customHeight="1">
      <c r="R735" s="30"/>
    </row>
    <row r="736" spans="18:18" ht="15.75" customHeight="1">
      <c r="R736" s="30"/>
    </row>
    <row r="737" spans="18:18" ht="15.75" customHeight="1">
      <c r="R737" s="30"/>
    </row>
    <row r="738" spans="18:18" ht="15.75" customHeight="1">
      <c r="R738" s="30"/>
    </row>
    <row r="739" spans="18:18" ht="15.75" customHeight="1">
      <c r="R739" s="30"/>
    </row>
    <row r="740" spans="18:18" ht="15.75" customHeight="1">
      <c r="R740" s="30"/>
    </row>
    <row r="741" spans="18:18" ht="15.75" customHeight="1">
      <c r="R741" s="30"/>
    </row>
    <row r="742" spans="18:18" ht="15.75" customHeight="1">
      <c r="R742" s="30"/>
    </row>
    <row r="743" spans="18:18" ht="15.75" customHeight="1">
      <c r="R743" s="30"/>
    </row>
    <row r="744" spans="18:18" ht="15.75" customHeight="1">
      <c r="R744" s="30"/>
    </row>
    <row r="745" spans="18:18" ht="15.75" customHeight="1">
      <c r="R745" s="30"/>
    </row>
    <row r="746" spans="18:18" ht="15.75" customHeight="1">
      <c r="R746" s="30"/>
    </row>
    <row r="747" spans="18:18" ht="15.75" customHeight="1">
      <c r="R747" s="30"/>
    </row>
    <row r="748" spans="18:18" ht="15.75" customHeight="1">
      <c r="R748" s="30"/>
    </row>
    <row r="749" spans="18:18" ht="15.75" customHeight="1">
      <c r="R749" s="30"/>
    </row>
    <row r="750" spans="18:18" ht="15.75" customHeight="1">
      <c r="R750" s="30"/>
    </row>
    <row r="751" spans="18:18" ht="15.75" customHeight="1">
      <c r="R751" s="30"/>
    </row>
    <row r="752" spans="18:18" ht="15.75" customHeight="1">
      <c r="R752" s="30"/>
    </row>
    <row r="753" spans="18:18" ht="15.75" customHeight="1">
      <c r="R753" s="30"/>
    </row>
    <row r="754" spans="18:18" ht="15.75" customHeight="1">
      <c r="R754" s="30"/>
    </row>
    <row r="755" spans="18:18" ht="15.75" customHeight="1">
      <c r="R755" s="30"/>
    </row>
    <row r="756" spans="18:18" ht="15.75" customHeight="1">
      <c r="R756" s="30"/>
    </row>
    <row r="757" spans="18:18" ht="15.75" customHeight="1">
      <c r="R757" s="30"/>
    </row>
    <row r="758" spans="18:18" ht="15.75" customHeight="1">
      <c r="R758" s="30"/>
    </row>
    <row r="759" spans="18:18" ht="15.75" customHeight="1">
      <c r="R759" s="30"/>
    </row>
    <row r="760" spans="18:18" ht="15.75" customHeight="1">
      <c r="R760" s="30"/>
    </row>
    <row r="761" spans="18:18" ht="15.75" customHeight="1">
      <c r="R761" s="30"/>
    </row>
    <row r="762" spans="18:18" ht="15.75" customHeight="1">
      <c r="R762" s="30"/>
    </row>
    <row r="763" spans="18:18" ht="15.75" customHeight="1">
      <c r="R763" s="30"/>
    </row>
    <row r="764" spans="18:18" ht="15.75" customHeight="1">
      <c r="R764" s="30"/>
    </row>
    <row r="765" spans="18:18" ht="15.75" customHeight="1">
      <c r="R765" s="30"/>
    </row>
    <row r="766" spans="18:18" ht="15.75" customHeight="1">
      <c r="R766" s="30"/>
    </row>
    <row r="767" spans="18:18" ht="15.75" customHeight="1">
      <c r="R767" s="30"/>
    </row>
    <row r="768" spans="18:18" ht="15.75" customHeight="1">
      <c r="R768" s="30"/>
    </row>
    <row r="769" spans="18:18" ht="15.75" customHeight="1">
      <c r="R769" s="30"/>
    </row>
    <row r="770" spans="18:18" ht="15.75" customHeight="1">
      <c r="R770" s="30"/>
    </row>
    <row r="771" spans="18:18" ht="15.75" customHeight="1">
      <c r="R771" s="30"/>
    </row>
    <row r="772" spans="18:18" ht="15.75" customHeight="1">
      <c r="R772" s="30"/>
    </row>
    <row r="773" spans="18:18" ht="15.75" customHeight="1">
      <c r="R773" s="30"/>
    </row>
    <row r="774" spans="18:18" ht="15.75" customHeight="1">
      <c r="R774" s="30"/>
    </row>
    <row r="775" spans="18:18" ht="15.75" customHeight="1">
      <c r="R775" s="30"/>
    </row>
    <row r="776" spans="18:18" ht="15.75" customHeight="1">
      <c r="R776" s="30"/>
    </row>
    <row r="777" spans="18:18" ht="15.75" customHeight="1">
      <c r="R777" s="30"/>
    </row>
    <row r="778" spans="18:18" ht="15.75" customHeight="1">
      <c r="R778" s="30"/>
    </row>
    <row r="779" spans="18:18" ht="15.75" customHeight="1">
      <c r="R779" s="30"/>
    </row>
    <row r="780" spans="18:18" ht="15.75" customHeight="1">
      <c r="R780" s="30"/>
    </row>
    <row r="781" spans="18:18" ht="15.75" customHeight="1">
      <c r="R781" s="30"/>
    </row>
    <row r="782" spans="18:18" ht="15.75" customHeight="1">
      <c r="R782" s="30"/>
    </row>
    <row r="783" spans="18:18" ht="15.75" customHeight="1">
      <c r="R783" s="30"/>
    </row>
    <row r="784" spans="18:18" ht="15.75" customHeight="1">
      <c r="R784" s="30"/>
    </row>
    <row r="785" spans="18:18" ht="15.75" customHeight="1">
      <c r="R785" s="30"/>
    </row>
    <row r="786" spans="18:18" ht="15.75" customHeight="1">
      <c r="R786" s="30"/>
    </row>
    <row r="787" spans="18:18" ht="15.75" customHeight="1">
      <c r="R787" s="30"/>
    </row>
    <row r="788" spans="18:18" ht="15.75" customHeight="1">
      <c r="R788" s="30"/>
    </row>
    <row r="789" spans="18:18" ht="15.75" customHeight="1">
      <c r="R789" s="30"/>
    </row>
    <row r="790" spans="18:18" ht="15.75" customHeight="1">
      <c r="R790" s="30"/>
    </row>
    <row r="791" spans="18:18" ht="15.75" customHeight="1">
      <c r="R791" s="30"/>
    </row>
    <row r="792" spans="18:18" ht="15.75" customHeight="1">
      <c r="R792" s="30"/>
    </row>
    <row r="793" spans="18:18" ht="15.75" customHeight="1">
      <c r="R793" s="30"/>
    </row>
    <row r="794" spans="18:18" ht="15.75" customHeight="1">
      <c r="R794" s="30"/>
    </row>
    <row r="795" spans="18:18" ht="15.75" customHeight="1">
      <c r="R795" s="30"/>
    </row>
    <row r="796" spans="18:18" ht="15.75" customHeight="1">
      <c r="R796" s="30"/>
    </row>
    <row r="797" spans="18:18" ht="15.75" customHeight="1">
      <c r="R797" s="30"/>
    </row>
    <row r="798" spans="18:18" ht="15.75" customHeight="1">
      <c r="R798" s="30"/>
    </row>
    <row r="799" spans="18:18" ht="15.75" customHeight="1">
      <c r="R799" s="30"/>
    </row>
    <row r="800" spans="18:18" ht="15.75" customHeight="1">
      <c r="R800" s="30"/>
    </row>
    <row r="801" spans="18:18" ht="15.75" customHeight="1">
      <c r="R801" s="30"/>
    </row>
    <row r="802" spans="18:18" ht="15.75" customHeight="1">
      <c r="R802" s="30"/>
    </row>
    <row r="803" spans="18:18" ht="15.75" customHeight="1">
      <c r="R803" s="30"/>
    </row>
    <row r="804" spans="18:18" ht="15.75" customHeight="1">
      <c r="R804" s="30"/>
    </row>
    <row r="805" spans="18:18" ht="15.75" customHeight="1">
      <c r="R805" s="30"/>
    </row>
    <row r="806" spans="18:18" ht="15.75" customHeight="1">
      <c r="R806" s="30"/>
    </row>
    <row r="807" spans="18:18" ht="15.75" customHeight="1">
      <c r="R807" s="30"/>
    </row>
    <row r="808" spans="18:18" ht="15.75" customHeight="1">
      <c r="R808" s="30"/>
    </row>
    <row r="809" spans="18:18" ht="15.75" customHeight="1">
      <c r="R809" s="30"/>
    </row>
    <row r="810" spans="18:18" ht="15.75" customHeight="1">
      <c r="R810" s="30"/>
    </row>
    <row r="811" spans="18:18" ht="15.75" customHeight="1">
      <c r="R811" s="30"/>
    </row>
    <row r="812" spans="18:18" ht="15.75" customHeight="1">
      <c r="R812" s="30"/>
    </row>
    <row r="813" spans="18:18" ht="15.75" customHeight="1">
      <c r="R813" s="30"/>
    </row>
    <row r="814" spans="18:18" ht="15.75" customHeight="1">
      <c r="R814" s="30"/>
    </row>
    <row r="815" spans="18:18" ht="15.75" customHeight="1">
      <c r="R815" s="30"/>
    </row>
    <row r="816" spans="18:18" ht="15.75" customHeight="1">
      <c r="R816" s="30"/>
    </row>
    <row r="817" spans="18:18" ht="15.75" customHeight="1">
      <c r="R817" s="30"/>
    </row>
    <row r="818" spans="18:18" ht="15.75" customHeight="1">
      <c r="R818" s="30"/>
    </row>
    <row r="819" spans="18:18" ht="15.75" customHeight="1">
      <c r="R819" s="30"/>
    </row>
    <row r="820" spans="18:18" ht="15.75" customHeight="1">
      <c r="R820" s="30"/>
    </row>
    <row r="821" spans="18:18" ht="15.75" customHeight="1">
      <c r="R821" s="30"/>
    </row>
    <row r="822" spans="18:18" ht="15.75" customHeight="1">
      <c r="R822" s="30"/>
    </row>
    <row r="823" spans="18:18" ht="15.75" customHeight="1">
      <c r="R823" s="30"/>
    </row>
    <row r="824" spans="18:18" ht="15.75" customHeight="1">
      <c r="R824" s="30"/>
    </row>
    <row r="825" spans="18:18" ht="15.75" customHeight="1">
      <c r="R825" s="30"/>
    </row>
    <row r="826" spans="18:18" ht="15.75" customHeight="1">
      <c r="R826" s="30"/>
    </row>
    <row r="827" spans="18:18" ht="15.75" customHeight="1">
      <c r="R827" s="30"/>
    </row>
    <row r="828" spans="18:18" ht="15.75" customHeight="1">
      <c r="R828" s="30"/>
    </row>
    <row r="829" spans="18:18" ht="15.75" customHeight="1">
      <c r="R829" s="30"/>
    </row>
    <row r="830" spans="18:18" ht="15.75" customHeight="1">
      <c r="R830" s="30"/>
    </row>
    <row r="831" spans="18:18" ht="15.75" customHeight="1">
      <c r="R831" s="30"/>
    </row>
    <row r="832" spans="18:18" ht="15.75" customHeight="1">
      <c r="R832" s="30"/>
    </row>
    <row r="833" spans="18:18" ht="15.75" customHeight="1">
      <c r="R833" s="30"/>
    </row>
    <row r="834" spans="18:18" ht="15.75" customHeight="1">
      <c r="R834" s="30"/>
    </row>
    <row r="835" spans="18:18" ht="15.75" customHeight="1">
      <c r="R835" s="30"/>
    </row>
    <row r="836" spans="18:18" ht="15.75" customHeight="1">
      <c r="R836" s="30"/>
    </row>
    <row r="837" spans="18:18" ht="15.75" customHeight="1">
      <c r="R837" s="30"/>
    </row>
    <row r="838" spans="18:18" ht="15.75" customHeight="1">
      <c r="R838" s="30"/>
    </row>
    <row r="839" spans="18:18" ht="15.75" customHeight="1">
      <c r="R839" s="30"/>
    </row>
    <row r="840" spans="18:18" ht="15.75" customHeight="1">
      <c r="R840" s="30"/>
    </row>
    <row r="841" spans="18:18" ht="15.75" customHeight="1">
      <c r="R841" s="30"/>
    </row>
    <row r="842" spans="18:18" ht="15.75" customHeight="1">
      <c r="R842" s="30"/>
    </row>
    <row r="843" spans="18:18" ht="15.75" customHeight="1">
      <c r="R843" s="30"/>
    </row>
    <row r="844" spans="18:18" ht="15.75" customHeight="1">
      <c r="R844" s="30"/>
    </row>
    <row r="845" spans="18:18" ht="15.75" customHeight="1">
      <c r="R845" s="30"/>
    </row>
    <row r="846" spans="18:18" ht="15.75" customHeight="1">
      <c r="R846" s="30"/>
    </row>
    <row r="847" spans="18:18" ht="15.75" customHeight="1">
      <c r="R847" s="30"/>
    </row>
    <row r="848" spans="18:18" ht="15.75" customHeight="1">
      <c r="R848" s="30"/>
    </row>
    <row r="849" spans="18:18" ht="15.75" customHeight="1">
      <c r="R849" s="30"/>
    </row>
    <row r="850" spans="18:18" ht="15.75" customHeight="1">
      <c r="R850" s="30"/>
    </row>
    <row r="851" spans="18:18" ht="15.75" customHeight="1">
      <c r="R851" s="30"/>
    </row>
    <row r="852" spans="18:18" ht="15.75" customHeight="1">
      <c r="R852" s="30"/>
    </row>
    <row r="853" spans="18:18" ht="15.75" customHeight="1">
      <c r="R853" s="30"/>
    </row>
    <row r="854" spans="18:18" ht="15.75" customHeight="1">
      <c r="R854" s="30"/>
    </row>
    <row r="855" spans="18:18" ht="15.75" customHeight="1">
      <c r="R855" s="30"/>
    </row>
    <row r="856" spans="18:18" ht="15.75" customHeight="1">
      <c r="R856" s="30"/>
    </row>
    <row r="857" spans="18:18" ht="15.75" customHeight="1">
      <c r="R857" s="30"/>
    </row>
    <row r="858" spans="18:18" ht="15.75" customHeight="1">
      <c r="R858" s="30"/>
    </row>
    <row r="859" spans="18:18" ht="15.75" customHeight="1">
      <c r="R859" s="30"/>
    </row>
    <row r="860" spans="18:18" ht="15.75" customHeight="1">
      <c r="R860" s="30"/>
    </row>
    <row r="861" spans="18:18" ht="15.75" customHeight="1">
      <c r="R861" s="30"/>
    </row>
    <row r="862" spans="18:18" ht="15.75" customHeight="1">
      <c r="R862" s="30"/>
    </row>
    <row r="863" spans="18:18" ht="15.75" customHeight="1">
      <c r="R863" s="30"/>
    </row>
    <row r="864" spans="18:18" ht="15.75" customHeight="1">
      <c r="R864" s="30"/>
    </row>
    <row r="865" spans="18:18" ht="15.75" customHeight="1">
      <c r="R865" s="30"/>
    </row>
    <row r="866" spans="18:18" ht="15.75" customHeight="1">
      <c r="R866" s="30"/>
    </row>
    <row r="867" spans="18:18" ht="15.75" customHeight="1">
      <c r="R867" s="30"/>
    </row>
    <row r="868" spans="18:18" ht="15.75" customHeight="1">
      <c r="R868" s="30"/>
    </row>
    <row r="869" spans="18:18" ht="15.75" customHeight="1">
      <c r="R869" s="30"/>
    </row>
    <row r="870" spans="18:18" ht="15.75" customHeight="1">
      <c r="R870" s="30"/>
    </row>
    <row r="871" spans="18:18" ht="15.75" customHeight="1">
      <c r="R871" s="30"/>
    </row>
    <row r="872" spans="18:18" ht="15.75" customHeight="1">
      <c r="R872" s="30"/>
    </row>
    <row r="873" spans="18:18" ht="15.75" customHeight="1">
      <c r="R873" s="30"/>
    </row>
    <row r="874" spans="18:18" ht="15.75" customHeight="1">
      <c r="R874" s="30"/>
    </row>
    <row r="875" spans="18:18" ht="15.75" customHeight="1">
      <c r="R875" s="30"/>
    </row>
    <row r="876" spans="18:18" ht="15.75" customHeight="1">
      <c r="R876" s="30"/>
    </row>
    <row r="877" spans="18:18" ht="15.75" customHeight="1">
      <c r="R877" s="30"/>
    </row>
    <row r="878" spans="18:18" ht="15.75" customHeight="1">
      <c r="R878" s="30"/>
    </row>
    <row r="879" spans="18:18" ht="15.75" customHeight="1">
      <c r="R879" s="30"/>
    </row>
    <row r="880" spans="18:18" ht="15.75" customHeight="1">
      <c r="R880" s="30"/>
    </row>
    <row r="881" spans="18:18" ht="15.75" customHeight="1">
      <c r="R881" s="30"/>
    </row>
    <row r="882" spans="18:18" ht="15.75" customHeight="1">
      <c r="R882" s="30"/>
    </row>
    <row r="883" spans="18:18" ht="15.75" customHeight="1">
      <c r="R883" s="30"/>
    </row>
    <row r="884" spans="18:18" ht="15.75" customHeight="1">
      <c r="R884" s="30"/>
    </row>
    <row r="885" spans="18:18" ht="15.75" customHeight="1">
      <c r="R885" s="30"/>
    </row>
    <row r="886" spans="18:18" ht="15.75" customHeight="1">
      <c r="R886" s="30"/>
    </row>
    <row r="887" spans="18:18" ht="15.75" customHeight="1">
      <c r="R887" s="30"/>
    </row>
    <row r="888" spans="18:18" ht="15.75" customHeight="1">
      <c r="R888" s="30"/>
    </row>
    <row r="889" spans="18:18" ht="15.75" customHeight="1">
      <c r="R889" s="30"/>
    </row>
    <row r="890" spans="18:18" ht="15.75" customHeight="1">
      <c r="R890" s="30"/>
    </row>
    <row r="891" spans="18:18" ht="15.75" customHeight="1">
      <c r="R891" s="30"/>
    </row>
    <row r="892" spans="18:18" ht="15.75" customHeight="1">
      <c r="R892" s="30"/>
    </row>
    <row r="893" spans="18:18" ht="15.75" customHeight="1">
      <c r="R893" s="30"/>
    </row>
    <row r="894" spans="18:18" ht="15.75" customHeight="1">
      <c r="R894" s="30"/>
    </row>
    <row r="895" spans="18:18" ht="15.75" customHeight="1">
      <c r="R895" s="30"/>
    </row>
    <row r="896" spans="18:18" ht="15.75" customHeight="1">
      <c r="R896" s="30"/>
    </row>
    <row r="897" spans="18:18" ht="15.75" customHeight="1">
      <c r="R897" s="30"/>
    </row>
    <row r="898" spans="18:18" ht="15.75" customHeight="1">
      <c r="R898" s="30"/>
    </row>
    <row r="899" spans="18:18" ht="15.75" customHeight="1">
      <c r="R899" s="30"/>
    </row>
    <row r="900" spans="18:18" ht="15.75" customHeight="1">
      <c r="R900" s="30"/>
    </row>
    <row r="901" spans="18:18" ht="15.75" customHeight="1">
      <c r="R901" s="30"/>
    </row>
    <row r="902" spans="18:18" ht="15.75" customHeight="1">
      <c r="R902" s="30"/>
    </row>
    <row r="903" spans="18:18" ht="15.75" customHeight="1">
      <c r="R903" s="30"/>
    </row>
    <row r="904" spans="18:18" ht="15.75" customHeight="1">
      <c r="R904" s="30"/>
    </row>
    <row r="905" spans="18:18" ht="15.75" customHeight="1">
      <c r="R905" s="30"/>
    </row>
    <row r="906" spans="18:18" ht="15.75" customHeight="1">
      <c r="R906" s="30"/>
    </row>
    <row r="907" spans="18:18" ht="15.75" customHeight="1">
      <c r="R907" s="30"/>
    </row>
    <row r="908" spans="18:18" ht="15.75" customHeight="1">
      <c r="R908" s="30"/>
    </row>
    <row r="909" spans="18:18" ht="15.75" customHeight="1">
      <c r="R909" s="30"/>
    </row>
    <row r="910" spans="18:18" ht="15.75" customHeight="1">
      <c r="R910" s="30"/>
    </row>
    <row r="911" spans="18:18" ht="15.75" customHeight="1">
      <c r="R911" s="30"/>
    </row>
    <row r="912" spans="18:18" ht="15.75" customHeight="1">
      <c r="R912" s="30"/>
    </row>
    <row r="913" spans="18:18" ht="15.75" customHeight="1">
      <c r="R913" s="30"/>
    </row>
    <row r="914" spans="18:18" ht="15.75" customHeight="1">
      <c r="R914" s="30"/>
    </row>
    <row r="915" spans="18:18" ht="15.75" customHeight="1">
      <c r="R915" s="30"/>
    </row>
    <row r="916" spans="18:18" ht="15.75" customHeight="1">
      <c r="R916" s="30"/>
    </row>
    <row r="917" spans="18:18" ht="15.75" customHeight="1">
      <c r="R917" s="30"/>
    </row>
    <row r="918" spans="18:18" ht="15.75" customHeight="1">
      <c r="R918" s="30"/>
    </row>
    <row r="919" spans="18:18" ht="15.75" customHeight="1">
      <c r="R919" s="30"/>
    </row>
    <row r="920" spans="18:18" ht="15.75" customHeight="1">
      <c r="R920" s="30"/>
    </row>
    <row r="921" spans="18:18" ht="15.75" customHeight="1">
      <c r="R921" s="30"/>
    </row>
    <row r="922" spans="18:18" ht="15.75" customHeight="1">
      <c r="R922" s="30"/>
    </row>
    <row r="923" spans="18:18" ht="15.75" customHeight="1">
      <c r="R923" s="30"/>
    </row>
    <row r="924" spans="18:18" ht="15.75" customHeight="1">
      <c r="R924" s="30"/>
    </row>
    <row r="925" spans="18:18" ht="15.75" customHeight="1">
      <c r="R925" s="30"/>
    </row>
    <row r="926" spans="18:18" ht="15.75" customHeight="1">
      <c r="R926" s="30"/>
    </row>
    <row r="927" spans="18:18" ht="15.75" customHeight="1">
      <c r="R927" s="30"/>
    </row>
    <row r="928" spans="18:18" ht="15.75" customHeight="1">
      <c r="R928" s="30"/>
    </row>
    <row r="929" spans="18:18" ht="15.75" customHeight="1">
      <c r="R929" s="30"/>
    </row>
    <row r="930" spans="18:18" ht="15.75" customHeight="1">
      <c r="R930" s="30"/>
    </row>
    <row r="931" spans="18:18" ht="15.75" customHeight="1">
      <c r="R931" s="30"/>
    </row>
    <row r="932" spans="18:18" ht="15.75" customHeight="1">
      <c r="R932" s="30"/>
    </row>
    <row r="933" spans="18:18" ht="15.75" customHeight="1">
      <c r="R933" s="30"/>
    </row>
    <row r="934" spans="18:18" ht="15.75" customHeight="1">
      <c r="R934" s="30"/>
    </row>
    <row r="935" spans="18:18" ht="15.75" customHeight="1">
      <c r="R935" s="30"/>
    </row>
    <row r="936" spans="18:18" ht="15.75" customHeight="1">
      <c r="R936" s="30"/>
    </row>
    <row r="937" spans="18:18" ht="15.75" customHeight="1">
      <c r="R937" s="30"/>
    </row>
    <row r="938" spans="18:18" ht="15.75" customHeight="1">
      <c r="R938" s="30"/>
    </row>
    <row r="939" spans="18:18" ht="15.75" customHeight="1">
      <c r="R939" s="30"/>
    </row>
    <row r="940" spans="18:18" ht="15.75" customHeight="1">
      <c r="R940" s="30"/>
    </row>
    <row r="941" spans="18:18" ht="15.75" customHeight="1">
      <c r="R941" s="30"/>
    </row>
    <row r="942" spans="18:18" ht="15.75" customHeight="1">
      <c r="R942" s="30"/>
    </row>
    <row r="943" spans="18:18" ht="15.75" customHeight="1">
      <c r="R943" s="30"/>
    </row>
    <row r="944" spans="18:18" ht="15.75" customHeight="1">
      <c r="R944" s="30"/>
    </row>
    <row r="945" spans="18:18" ht="15.75" customHeight="1">
      <c r="R945" s="30"/>
    </row>
    <row r="946" spans="18:18" ht="15.75" customHeight="1">
      <c r="R946" s="30"/>
    </row>
    <row r="947" spans="18:18" ht="15.75" customHeight="1">
      <c r="R947" s="30"/>
    </row>
    <row r="948" spans="18:18" ht="15.75" customHeight="1">
      <c r="R948" s="30"/>
    </row>
    <row r="949" spans="18:18" ht="15.75" customHeight="1">
      <c r="R949" s="30"/>
    </row>
    <row r="950" spans="18:18" ht="15.75" customHeight="1">
      <c r="R950" s="30"/>
    </row>
    <row r="951" spans="18:18" ht="15.75" customHeight="1">
      <c r="R951" s="30"/>
    </row>
    <row r="952" spans="18:18" ht="15.75" customHeight="1">
      <c r="R952" s="30"/>
    </row>
    <row r="953" spans="18:18" ht="15.75" customHeight="1">
      <c r="R953" s="30"/>
    </row>
    <row r="954" spans="18:18" ht="15.75" customHeight="1">
      <c r="R954" s="30"/>
    </row>
    <row r="955" spans="18:18" ht="15.75" customHeight="1">
      <c r="R955" s="30"/>
    </row>
    <row r="956" spans="18:18" ht="15.75" customHeight="1">
      <c r="R956" s="30"/>
    </row>
    <row r="957" spans="18:18" ht="15.75" customHeight="1">
      <c r="R957" s="30"/>
    </row>
    <row r="958" spans="18:18" ht="15.75" customHeight="1">
      <c r="R958" s="30"/>
    </row>
    <row r="959" spans="18:18" ht="15.75" customHeight="1">
      <c r="R959" s="30"/>
    </row>
    <row r="960" spans="18:18" ht="15.75" customHeight="1">
      <c r="R960" s="30"/>
    </row>
    <row r="961" spans="18:18" ht="15.75" customHeight="1">
      <c r="R961" s="30"/>
    </row>
    <row r="962" spans="18:18" ht="15.75" customHeight="1">
      <c r="R962" s="30"/>
    </row>
    <row r="963" spans="18:18" ht="15.75" customHeight="1">
      <c r="R963" s="30"/>
    </row>
    <row r="964" spans="18:18" ht="15.75" customHeight="1">
      <c r="R964" s="30"/>
    </row>
    <row r="965" spans="18:18" ht="15.75" customHeight="1">
      <c r="R965" s="30"/>
    </row>
    <row r="966" spans="18:18" ht="15.75" customHeight="1">
      <c r="R966" s="30"/>
    </row>
    <row r="967" spans="18:18" ht="15.75" customHeight="1">
      <c r="R967" s="30"/>
    </row>
    <row r="968" spans="18:18" ht="15.75" customHeight="1">
      <c r="R968" s="30"/>
    </row>
    <row r="969" spans="18:18" ht="15.75" customHeight="1">
      <c r="R969" s="30"/>
    </row>
    <row r="970" spans="18:18" ht="15.75" customHeight="1">
      <c r="R970" s="30"/>
    </row>
    <row r="971" spans="18:18" ht="15.75" customHeight="1">
      <c r="R971" s="30"/>
    </row>
    <row r="972" spans="18:18" ht="15.75" customHeight="1">
      <c r="R972" s="30"/>
    </row>
    <row r="973" spans="18:18" ht="15.75" customHeight="1">
      <c r="R973" s="30"/>
    </row>
    <row r="974" spans="18:18" ht="15.75" customHeight="1">
      <c r="R974" s="30"/>
    </row>
    <row r="975" spans="18:18" ht="15.75" customHeight="1">
      <c r="R975" s="30"/>
    </row>
    <row r="976" spans="18:18" ht="15.75" customHeight="1">
      <c r="R976" s="30"/>
    </row>
    <row r="977" spans="18:18" ht="15.75" customHeight="1">
      <c r="R977" s="30"/>
    </row>
    <row r="978" spans="18:18" ht="15.75" customHeight="1">
      <c r="R978" s="30"/>
    </row>
    <row r="979" spans="18:18" ht="15.75" customHeight="1">
      <c r="R979" s="30"/>
    </row>
    <row r="980" spans="18:18" ht="15.75" customHeight="1">
      <c r="R980" s="30"/>
    </row>
    <row r="981" spans="18:18" ht="15.75" customHeight="1">
      <c r="R981" s="30"/>
    </row>
    <row r="982" spans="18:18" ht="15.75" customHeight="1">
      <c r="R982" s="30"/>
    </row>
    <row r="983" spans="18:18" ht="15.75" customHeight="1">
      <c r="R983" s="30"/>
    </row>
    <row r="984" spans="18:18" ht="15.75" customHeight="1">
      <c r="R984" s="30"/>
    </row>
    <row r="985" spans="18:18" ht="15.75" customHeight="1">
      <c r="R985" s="30"/>
    </row>
    <row r="986" spans="18:18" ht="15.75" customHeight="1">
      <c r="R986" s="30"/>
    </row>
    <row r="987" spans="18:18" ht="15.75" customHeight="1">
      <c r="R987" s="30"/>
    </row>
    <row r="988" spans="18:18" ht="15.75" customHeight="1">
      <c r="R988" s="30"/>
    </row>
    <row r="989" spans="18:18" ht="15.75" customHeight="1">
      <c r="R989" s="30"/>
    </row>
    <row r="990" spans="18:18" ht="15.75" customHeight="1">
      <c r="R990" s="30"/>
    </row>
    <row r="991" spans="18:18" ht="15.75" customHeight="1">
      <c r="R991" s="30"/>
    </row>
    <row r="992" spans="18:18" ht="15.75" customHeight="1">
      <c r="R992" s="30"/>
    </row>
    <row r="993" spans="18:18" ht="15.75" customHeight="1">
      <c r="R993" s="30"/>
    </row>
    <row r="994" spans="18:18" ht="15.75" customHeight="1">
      <c r="R994" s="30"/>
    </row>
    <row r="995" spans="18:18" ht="15.75" customHeight="1">
      <c r="R995" s="30"/>
    </row>
    <row r="996" spans="18:18" ht="15.75" customHeight="1">
      <c r="R996" s="30"/>
    </row>
    <row r="997" spans="18:18" ht="15.75" customHeight="1">
      <c r="R997" s="30"/>
    </row>
    <row r="998" spans="18:18" ht="15.75" customHeight="1">
      <c r="R998" s="30"/>
    </row>
    <row r="999" spans="18:18" ht="15.75" customHeight="1">
      <c r="R999" s="30"/>
    </row>
    <row r="1000" spans="18:18" ht="15.75" customHeight="1">
      <c r="R1000" s="3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2.6640625" defaultRowHeight="15" customHeight="1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8.6640625" customWidth="1"/>
    <col min="6" max="6" width="10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9.6640625" customWidth="1"/>
    <col min="16" max="16" width="8.1640625" customWidth="1"/>
    <col min="17" max="18" width="7.33203125" customWidth="1"/>
    <col min="19" max="19" width="7.1640625" customWidth="1"/>
    <col min="20" max="20" width="11.1640625" customWidth="1"/>
    <col min="21" max="21" width="13.5" customWidth="1"/>
    <col min="22" max="22" width="22" customWidth="1"/>
    <col min="23" max="24" width="7.6640625" customWidth="1"/>
    <col min="25" max="25" width="8.1640625" customWidth="1"/>
    <col min="26" max="26" width="11.1640625" customWidth="1"/>
    <col min="27" max="27" width="10.6640625" customWidth="1"/>
    <col min="28" max="28" width="9.6640625" customWidth="1"/>
    <col min="29" max="29" width="7.1640625" customWidth="1"/>
    <col min="30" max="30" width="10.83203125" customWidth="1"/>
    <col min="31" max="31" width="7.6640625" customWidth="1"/>
    <col min="32" max="32" width="10.1640625" customWidth="1"/>
    <col min="33" max="33" width="8.83203125" customWidth="1"/>
  </cols>
  <sheetData>
    <row r="1" spans="1:33" ht="18.75" customHeight="1">
      <c r="A1" s="46" t="str">
        <f ca="1">IFERROR(__xludf.DUMMYFUNCTION("IFERROR(VLOOKUP(B2,IMPORTRANGE(""https://docs.google.com/spreadsheets/d/1x0DhHglkXKoEBOD2MBsuK_EyIr1ouxD2ftIpqOYFa-k/edit?usp=sharing"",""Ubiquitty-SKU-Specific Info!B1:BJ5000""),3,FALSE),"""")"),"50 Foot Outdoor Extension Cord - 10/3 SJTW Black 10 Gauge Extension Cable with 3 Prong Grounded Plug for Safety - Great for Garden and Major Appliances")</f>
        <v>50 Foot Outdoor Extension Cord - 10/3 SJTW Black 10 Gauge Extension Cable with 3 Prong Grounded Plug for Safety - Great for Garden and Major Appliances</v>
      </c>
      <c r="B1" s="47"/>
      <c r="C1" s="48" t="s">
        <v>0</v>
      </c>
      <c r="D1" s="50" t="s">
        <v>1</v>
      </c>
      <c r="E1" s="50" t="s">
        <v>2</v>
      </c>
      <c r="F1" s="52" t="s">
        <v>3</v>
      </c>
      <c r="G1" s="52" t="s">
        <v>4</v>
      </c>
      <c r="H1" s="53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58" t="s">
        <v>10</v>
      </c>
      <c r="N1" s="59" t="s">
        <v>11</v>
      </c>
      <c r="O1" s="50" t="s">
        <v>12</v>
      </c>
      <c r="P1" s="50" t="s">
        <v>13</v>
      </c>
      <c r="Q1" s="57" t="s">
        <v>14</v>
      </c>
      <c r="R1" s="57" t="s">
        <v>15</v>
      </c>
      <c r="S1" s="60" t="s">
        <v>16</v>
      </c>
      <c r="T1" s="62" t="s">
        <v>2006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Info!B1:BJ5000""),2,FALSE),"""")"),"B08NF8YHDV")</f>
        <v>B08NF8YHDV</v>
      </c>
      <c r="B2" s="3" t="s">
        <v>85</v>
      </c>
      <c r="C2" s="49"/>
      <c r="D2" s="49"/>
      <c r="E2" s="51"/>
      <c r="F2" s="49"/>
      <c r="G2" s="49"/>
      <c r="H2" s="54"/>
      <c r="I2" s="49"/>
      <c r="J2" s="49"/>
      <c r="K2" s="54"/>
      <c r="L2" s="54"/>
      <c r="M2" s="54"/>
      <c r="N2" s="49"/>
      <c r="O2" s="49"/>
      <c r="P2" s="51"/>
      <c r="Q2" s="49"/>
      <c r="R2" s="49"/>
      <c r="S2" s="61"/>
      <c r="T2" s="47"/>
      <c r="U2" s="63"/>
      <c r="V2" s="63"/>
      <c r="W2" s="47"/>
      <c r="X2" s="47"/>
      <c r="Y2" s="47"/>
      <c r="Z2" s="47"/>
      <c r="AA2" s="63"/>
      <c r="AB2" s="63"/>
      <c r="AC2" s="63"/>
      <c r="AD2" s="63"/>
      <c r="AE2" s="47"/>
      <c r="AF2" s="47"/>
      <c r="AG2" s="47"/>
    </row>
    <row r="3" spans="1:33" ht="179.25" customHeight="1">
      <c r="A3" s="55" t="s">
        <v>31</v>
      </c>
      <c r="B3" s="56"/>
      <c r="C3" s="4">
        <f>((AE32+AF32)/0.85)*-1</f>
        <v>48.26212584117647</v>
      </c>
      <c r="D3" s="5">
        <f>SUM(D4:D99765)</f>
        <v>174</v>
      </c>
      <c r="E3" s="5"/>
      <c r="F3" s="6">
        <f t="shared" ref="F3:G3" si="0">SUM(F4:F99765)</f>
        <v>11398.74</v>
      </c>
      <c r="G3" s="6">
        <f t="shared" si="0"/>
        <v>0</v>
      </c>
      <c r="H3" s="7">
        <f>G3/F3*-1</f>
        <v>0</v>
      </c>
      <c r="I3" s="8">
        <f>J3/F3</f>
        <v>0.19766954819472735</v>
      </c>
      <c r="J3" s="6">
        <f>SUM(J4:J99765)</f>
        <v>2253.1837857891664</v>
      </c>
      <c r="K3" s="6">
        <f>J3/D3</f>
        <v>12.949332102236589</v>
      </c>
      <c r="L3" s="5"/>
      <c r="M3" s="9"/>
      <c r="N3" s="10"/>
      <c r="O3" s="5" t="str">
        <f ca="1">IFERROR(__xludf.DUMMYFUNCTION("VLOOKUP(B2,IMPORTRANGE(""https://docs.google.com/spreadsheets/d/1N8jvpEHDVkurDv7NrPxwI3eH6hQsvtb1QltGNCalRjU/edit#gid=865736387"",""Compiled Sheet!a1:g5000""),2,FALSE)"),"2 - March
2 - April
2 - May
2 - June
2.5 - July
2.5 - Aug
2.5 - Sept
2.5 - Oct
2.5 - Nov
2.5 - Dec
2 - Jan
2 - Feb")</f>
        <v>2 - March
2 - April
2 - May
2 - June
2.5 - July
2.5 - Aug
2.5 - Sept
2.5 - Oct
2.5 - Nov
2.5 - Dec
2 - Jan
2 -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QTY-82")</f>
        <v>US QTY-82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0</v>
      </c>
      <c r="X3" s="7">
        <f>W3/D3</f>
        <v>0</v>
      </c>
      <c r="Y3" s="6"/>
      <c r="Z3" s="5"/>
      <c r="AA3" s="5"/>
      <c r="AB3" s="5"/>
      <c r="AC3" s="5"/>
      <c r="AD3" s="6">
        <f>SUM(AD4:AD99765)</f>
        <v>-91.942128645833364</v>
      </c>
      <c r="AE3" s="6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Info!B2:BZ3000""),37,FALSE)),"""")*-1"),-32.342806965)</f>
        <v>-32.342806965000001</v>
      </c>
      <c r="AG3" s="6">
        <f>SUM(AG4:AG99765)</f>
        <v>0</v>
      </c>
    </row>
    <row r="4" spans="1:33" ht="15.75" hidden="1" customHeight="1">
      <c r="A4" s="14"/>
      <c r="B4" s="14"/>
      <c r="C4" s="15"/>
      <c r="D4" s="16"/>
      <c r="E4" s="16"/>
      <c r="F4" s="17"/>
      <c r="G4" s="17"/>
      <c r="H4" s="18"/>
      <c r="I4" s="18"/>
      <c r="J4" s="17"/>
      <c r="K4" s="17"/>
      <c r="L4" s="16"/>
      <c r="M4" s="19"/>
      <c r="N4" s="16"/>
      <c r="O4" s="20"/>
      <c r="P4" s="20"/>
      <c r="Q4" s="16"/>
      <c r="R4" s="16"/>
      <c r="S4" s="21"/>
      <c r="T4" s="14"/>
      <c r="U4" s="22"/>
      <c r="V4" s="23"/>
      <c r="W4" s="14"/>
      <c r="X4" s="24"/>
      <c r="Y4" s="25"/>
      <c r="Z4" s="14"/>
      <c r="AA4" s="26"/>
      <c r="AB4" s="27"/>
      <c r="AC4" s="28"/>
      <c r="AD4" s="25"/>
      <c r="AE4" s="25"/>
      <c r="AF4" s="25"/>
      <c r="AG4" s="25"/>
    </row>
    <row r="5" spans="1:33" ht="15.75" hidden="1" customHeight="1">
      <c r="A5" s="14"/>
      <c r="B5" s="14"/>
      <c r="C5" s="15"/>
      <c r="D5" s="16"/>
      <c r="E5" s="16"/>
      <c r="F5" s="29"/>
      <c r="G5" s="29"/>
      <c r="H5" s="18"/>
      <c r="I5" s="18"/>
      <c r="J5" s="17"/>
      <c r="K5" s="17"/>
      <c r="L5" s="16"/>
      <c r="M5" s="19"/>
      <c r="N5" s="16"/>
      <c r="O5" s="20"/>
      <c r="P5" s="20"/>
      <c r="Q5" s="16"/>
      <c r="R5" s="16"/>
      <c r="S5" s="21"/>
      <c r="T5" s="14"/>
      <c r="U5" s="22"/>
      <c r="V5" s="23"/>
      <c r="W5" s="14"/>
      <c r="X5" s="24"/>
      <c r="Y5" s="25"/>
      <c r="Z5" s="14"/>
      <c r="AA5" s="14"/>
      <c r="AB5" s="27"/>
      <c r="AC5" s="28"/>
      <c r="AD5" s="25"/>
      <c r="AE5" s="25"/>
      <c r="AF5" s="25"/>
      <c r="AG5" s="25"/>
    </row>
    <row r="6" spans="1:33" ht="15.75" hidden="1" customHeight="1">
      <c r="A6" s="14"/>
      <c r="B6" s="14"/>
      <c r="C6" s="15"/>
      <c r="D6" s="16"/>
      <c r="E6" s="16"/>
      <c r="F6" s="29"/>
      <c r="G6" s="29"/>
      <c r="H6" s="18"/>
      <c r="I6" s="18"/>
      <c r="J6" s="17"/>
      <c r="K6" s="17"/>
      <c r="L6" s="16"/>
      <c r="M6" s="19"/>
      <c r="N6" s="16"/>
      <c r="O6" s="20"/>
      <c r="P6" s="20"/>
      <c r="Q6" s="16"/>
      <c r="R6" s="16"/>
      <c r="S6" s="21"/>
      <c r="T6" s="14"/>
      <c r="U6" s="22"/>
      <c r="V6" s="23"/>
      <c r="W6" s="14"/>
      <c r="X6" s="24"/>
      <c r="Y6" s="25"/>
      <c r="Z6" s="14"/>
      <c r="AA6" s="14"/>
      <c r="AB6" s="27"/>
      <c r="AC6" s="28"/>
      <c r="AD6" s="25"/>
      <c r="AE6" s="25"/>
      <c r="AF6" s="25"/>
      <c r="AG6" s="25"/>
    </row>
    <row r="7" spans="1:33" ht="15.75" hidden="1" customHeight="1">
      <c r="A7" s="14"/>
      <c r="B7" s="14"/>
      <c r="C7" s="15"/>
      <c r="D7" s="16"/>
      <c r="E7" s="16"/>
      <c r="F7" s="29"/>
      <c r="G7" s="29"/>
      <c r="H7" s="18"/>
      <c r="I7" s="18"/>
      <c r="J7" s="17"/>
      <c r="K7" s="17"/>
      <c r="L7" s="16"/>
      <c r="M7" s="19"/>
      <c r="N7" s="16"/>
      <c r="O7" s="20"/>
      <c r="P7" s="20"/>
      <c r="Q7" s="16"/>
      <c r="R7" s="16"/>
      <c r="S7" s="21"/>
      <c r="T7" s="14"/>
      <c r="U7" s="22"/>
      <c r="V7" s="23"/>
      <c r="W7" s="14"/>
      <c r="X7" s="24"/>
      <c r="Y7" s="25"/>
      <c r="Z7" s="14"/>
      <c r="AA7" s="14"/>
      <c r="AB7" s="27"/>
      <c r="AC7" s="28"/>
      <c r="AD7" s="25"/>
      <c r="AE7" s="25"/>
      <c r="AF7" s="25"/>
      <c r="AG7" s="25"/>
    </row>
    <row r="8" spans="1:33" ht="15.75" hidden="1" customHeight="1">
      <c r="A8" s="14"/>
      <c r="B8" s="14"/>
      <c r="C8" s="15"/>
      <c r="D8" s="16"/>
      <c r="E8" s="16"/>
      <c r="F8" s="29"/>
      <c r="G8" s="29"/>
      <c r="H8" s="18"/>
      <c r="I8" s="18"/>
      <c r="J8" s="17"/>
      <c r="K8" s="17"/>
      <c r="L8" s="16"/>
      <c r="M8" s="19"/>
      <c r="N8" s="16"/>
      <c r="O8" s="20"/>
      <c r="P8" s="20"/>
      <c r="Q8" s="16"/>
      <c r="R8" s="16"/>
      <c r="S8" s="21"/>
      <c r="T8" s="14"/>
      <c r="U8" s="22"/>
      <c r="V8" s="23"/>
      <c r="W8" s="14"/>
      <c r="X8" s="24"/>
      <c r="Y8" s="25"/>
      <c r="Z8" s="14"/>
      <c r="AA8" s="14"/>
      <c r="AB8" s="27"/>
      <c r="AC8" s="28"/>
      <c r="AD8" s="25"/>
      <c r="AE8" s="25"/>
      <c r="AF8" s="25"/>
      <c r="AG8" s="25"/>
    </row>
    <row r="9" spans="1:33" ht="15.75" hidden="1" customHeight="1">
      <c r="A9" s="14"/>
      <c r="B9" s="14"/>
      <c r="C9" s="15"/>
      <c r="D9" s="16"/>
      <c r="E9" s="16"/>
      <c r="F9" s="29"/>
      <c r="G9" s="29"/>
      <c r="H9" s="18"/>
      <c r="I9" s="18"/>
      <c r="J9" s="17"/>
      <c r="K9" s="17"/>
      <c r="L9" s="16"/>
      <c r="M9" s="19"/>
      <c r="N9" s="16"/>
      <c r="O9" s="20"/>
      <c r="P9" s="20"/>
      <c r="Q9" s="16"/>
      <c r="R9" s="16"/>
      <c r="S9" s="21"/>
      <c r="T9" s="14"/>
      <c r="U9" s="22"/>
      <c r="V9" s="23"/>
      <c r="W9" s="14"/>
      <c r="X9" s="24"/>
      <c r="Y9" s="25"/>
      <c r="Z9" s="14"/>
      <c r="AA9" s="14"/>
      <c r="AB9" s="27"/>
      <c r="AC9" s="28"/>
      <c r="AD9" s="25"/>
      <c r="AE9" s="25"/>
      <c r="AF9" s="25"/>
      <c r="AG9" s="25"/>
    </row>
    <row r="10" spans="1:33" ht="15.75" hidden="1" customHeight="1">
      <c r="A10" s="14"/>
      <c r="B10" s="14"/>
      <c r="C10" s="15"/>
      <c r="D10" s="16"/>
      <c r="E10" s="16"/>
      <c r="F10" s="29"/>
      <c r="G10" s="29"/>
      <c r="H10" s="18"/>
      <c r="I10" s="18"/>
      <c r="J10" s="17"/>
      <c r="K10" s="17"/>
      <c r="L10" s="16"/>
      <c r="M10" s="19"/>
      <c r="N10" s="16"/>
      <c r="O10" s="20"/>
      <c r="P10" s="20"/>
      <c r="Q10" s="16"/>
      <c r="R10" s="16"/>
      <c r="S10" s="21"/>
      <c r="T10" s="14"/>
      <c r="U10" s="22"/>
      <c r="V10" s="23"/>
      <c r="W10" s="14"/>
      <c r="X10" s="24"/>
      <c r="Y10" s="25"/>
      <c r="Z10" s="14"/>
      <c r="AA10" s="14"/>
      <c r="AB10" s="27"/>
      <c r="AC10" s="28"/>
      <c r="AD10" s="25"/>
      <c r="AE10" s="25"/>
      <c r="AF10" s="25"/>
      <c r="AG10" s="25"/>
    </row>
    <row r="11" spans="1:33" ht="15.75" hidden="1" customHeight="1">
      <c r="A11" s="14"/>
      <c r="B11" s="14"/>
      <c r="C11" s="15"/>
      <c r="D11" s="16"/>
      <c r="E11" s="16"/>
      <c r="F11" s="29"/>
      <c r="G11" s="29"/>
      <c r="H11" s="18"/>
      <c r="I11" s="18"/>
      <c r="J11" s="17"/>
      <c r="K11" s="17"/>
      <c r="L11" s="16"/>
      <c r="M11" s="19"/>
      <c r="N11" s="16"/>
      <c r="O11" s="20"/>
      <c r="P11" s="20"/>
      <c r="Q11" s="16"/>
      <c r="R11" s="16"/>
      <c r="S11" s="21"/>
      <c r="T11" s="14"/>
      <c r="U11" s="22"/>
      <c r="V11" s="23"/>
      <c r="W11" s="14"/>
      <c r="X11" s="24"/>
      <c r="Y11" s="25"/>
      <c r="Z11" s="14"/>
      <c r="AA11" s="14"/>
      <c r="AB11" s="27"/>
      <c r="AC11" s="28"/>
      <c r="AD11" s="25"/>
      <c r="AE11" s="25"/>
      <c r="AF11" s="25"/>
      <c r="AG11" s="25"/>
    </row>
    <row r="12" spans="1:33" ht="15.75" hidden="1" customHeight="1">
      <c r="A12" s="14"/>
      <c r="B12" s="14"/>
      <c r="C12" s="15"/>
      <c r="D12" s="16"/>
      <c r="E12" s="16"/>
      <c r="F12" s="29"/>
      <c r="G12" s="29"/>
      <c r="H12" s="18"/>
      <c r="I12" s="18"/>
      <c r="J12" s="17"/>
      <c r="K12" s="17"/>
      <c r="L12" s="16"/>
      <c r="M12" s="19"/>
      <c r="N12" s="16"/>
      <c r="O12" s="20"/>
      <c r="P12" s="20"/>
      <c r="Q12" s="16"/>
      <c r="R12" s="16"/>
      <c r="S12" s="21"/>
      <c r="T12" s="14"/>
      <c r="U12" s="22"/>
      <c r="V12" s="23"/>
      <c r="W12" s="14"/>
      <c r="X12" s="24"/>
      <c r="Y12" s="25"/>
      <c r="Z12" s="14"/>
      <c r="AA12" s="14"/>
      <c r="AB12" s="27"/>
      <c r="AC12" s="28"/>
      <c r="AD12" s="25"/>
      <c r="AE12" s="25"/>
      <c r="AF12" s="25"/>
      <c r="AG12" s="25"/>
    </row>
    <row r="13" spans="1:33" ht="15.75" hidden="1" customHeight="1">
      <c r="A13" s="14"/>
      <c r="B13" s="14"/>
      <c r="C13" s="15"/>
      <c r="D13" s="16"/>
      <c r="E13" s="16"/>
      <c r="F13" s="17"/>
      <c r="G13" s="29"/>
      <c r="H13" s="18"/>
      <c r="I13" s="18"/>
      <c r="J13" s="17"/>
      <c r="K13" s="17"/>
      <c r="L13" s="16"/>
      <c r="M13" s="19"/>
      <c r="N13" s="16"/>
      <c r="O13" s="20"/>
      <c r="P13" s="20"/>
      <c r="Q13" s="16"/>
      <c r="R13" s="16"/>
      <c r="S13" s="21"/>
      <c r="T13" s="14"/>
      <c r="U13" s="22"/>
      <c r="V13" s="23"/>
      <c r="W13" s="14"/>
      <c r="X13" s="24"/>
      <c r="Y13" s="25"/>
      <c r="Z13" s="14"/>
      <c r="AA13" s="14"/>
      <c r="AB13" s="27"/>
      <c r="AC13" s="28"/>
      <c r="AD13" s="25"/>
      <c r="AE13" s="25"/>
      <c r="AF13" s="25"/>
      <c r="AG13" s="25"/>
    </row>
    <row r="14" spans="1:33" ht="15.75" hidden="1" customHeight="1">
      <c r="A14" s="14"/>
      <c r="B14" s="14"/>
      <c r="C14" s="15"/>
      <c r="D14" s="16"/>
      <c r="E14" s="16"/>
      <c r="F14" s="17"/>
      <c r="G14" s="29"/>
      <c r="H14" s="18"/>
      <c r="I14" s="18"/>
      <c r="J14" s="17"/>
      <c r="K14" s="17"/>
      <c r="L14" s="16"/>
      <c r="M14" s="19"/>
      <c r="N14" s="16"/>
      <c r="O14" s="20"/>
      <c r="P14" s="20"/>
      <c r="Q14" s="16"/>
      <c r="R14" s="16"/>
      <c r="S14" s="21"/>
      <c r="T14" s="14"/>
      <c r="U14" s="22"/>
      <c r="V14" s="23"/>
      <c r="W14" s="14"/>
      <c r="X14" s="24"/>
      <c r="Y14" s="25"/>
      <c r="Z14" s="14"/>
      <c r="AA14" s="14"/>
      <c r="AB14" s="27"/>
      <c r="AC14" s="28"/>
      <c r="AD14" s="25"/>
      <c r="AE14" s="25"/>
      <c r="AF14" s="25"/>
      <c r="AG14" s="25"/>
    </row>
    <row r="15" spans="1:33" ht="15.75" hidden="1" customHeight="1">
      <c r="A15" s="14"/>
      <c r="B15" s="14"/>
      <c r="C15" s="15"/>
      <c r="D15" s="16"/>
      <c r="E15" s="16"/>
      <c r="F15" s="17"/>
      <c r="G15" s="29"/>
      <c r="H15" s="18"/>
      <c r="I15" s="18"/>
      <c r="J15" s="17"/>
      <c r="K15" s="17"/>
      <c r="L15" s="16"/>
      <c r="M15" s="19"/>
      <c r="N15" s="16"/>
      <c r="O15" s="20"/>
      <c r="P15" s="20"/>
      <c r="Q15" s="16"/>
      <c r="R15" s="16"/>
      <c r="S15" s="21"/>
      <c r="T15" s="14"/>
      <c r="U15" s="22"/>
      <c r="V15" s="23"/>
      <c r="W15" s="14"/>
      <c r="X15" s="24"/>
      <c r="Y15" s="25"/>
      <c r="Z15" s="14"/>
      <c r="AA15" s="14"/>
      <c r="AB15" s="27"/>
      <c r="AC15" s="28"/>
      <c r="AD15" s="25"/>
      <c r="AE15" s="25"/>
      <c r="AF15" s="25"/>
      <c r="AG15" s="25"/>
    </row>
    <row r="16" spans="1:33" ht="15.75" hidden="1" customHeight="1">
      <c r="A16" s="14"/>
      <c r="B16" s="14"/>
      <c r="C16" s="15"/>
      <c r="D16" s="16"/>
      <c r="E16" s="16"/>
      <c r="F16" s="17"/>
      <c r="G16" s="29"/>
      <c r="H16" s="18"/>
      <c r="I16" s="18"/>
      <c r="J16" s="17"/>
      <c r="K16" s="17"/>
      <c r="L16" s="16"/>
      <c r="M16" s="19"/>
      <c r="N16" s="16"/>
      <c r="O16" s="20"/>
      <c r="P16" s="20"/>
      <c r="Q16" s="16"/>
      <c r="R16" s="16"/>
      <c r="S16" s="21"/>
      <c r="T16" s="14"/>
      <c r="U16" s="22"/>
      <c r="V16" s="23"/>
      <c r="W16" s="14"/>
      <c r="X16" s="24"/>
      <c r="Y16" s="25"/>
      <c r="Z16" s="14"/>
      <c r="AA16" s="14"/>
      <c r="AB16" s="27"/>
      <c r="AC16" s="28"/>
      <c r="AD16" s="25"/>
      <c r="AE16" s="25"/>
      <c r="AF16" s="25"/>
      <c r="AG16" s="25"/>
    </row>
    <row r="17" spans="1:33" ht="15.75" hidden="1" customHeight="1">
      <c r="A17" s="14"/>
      <c r="B17" s="14"/>
      <c r="C17" s="15"/>
      <c r="D17" s="16"/>
      <c r="E17" s="16"/>
      <c r="F17" s="17"/>
      <c r="G17" s="29"/>
      <c r="H17" s="18"/>
      <c r="I17" s="18"/>
      <c r="J17" s="17"/>
      <c r="K17" s="17"/>
      <c r="L17" s="16"/>
      <c r="M17" s="19"/>
      <c r="N17" s="16"/>
      <c r="O17" s="20"/>
      <c r="P17" s="20"/>
      <c r="Q17" s="16"/>
      <c r="R17" s="16"/>
      <c r="S17" s="21"/>
      <c r="T17" s="14"/>
      <c r="U17" s="22"/>
      <c r="V17" s="23"/>
      <c r="W17" s="14"/>
      <c r="X17" s="24"/>
      <c r="Y17" s="25"/>
      <c r="Z17" s="14"/>
      <c r="AA17" s="14"/>
      <c r="AB17" s="27"/>
      <c r="AC17" s="28"/>
      <c r="AD17" s="25"/>
      <c r="AE17" s="25"/>
      <c r="AF17" s="25"/>
      <c r="AG17" s="25"/>
    </row>
    <row r="18" spans="1:33" ht="15.75" hidden="1" customHeight="1">
      <c r="A18" s="14"/>
      <c r="B18" s="14"/>
      <c r="C18" s="15"/>
      <c r="D18" s="16"/>
      <c r="E18" s="16"/>
      <c r="F18" s="17"/>
      <c r="G18" s="29"/>
      <c r="H18" s="18"/>
      <c r="I18" s="18"/>
      <c r="J18" s="17"/>
      <c r="K18" s="17"/>
      <c r="L18" s="16"/>
      <c r="M18" s="19"/>
      <c r="N18" s="16"/>
      <c r="O18" s="20"/>
      <c r="P18" s="20"/>
      <c r="Q18" s="16"/>
      <c r="R18" s="16"/>
      <c r="S18" s="21"/>
      <c r="T18" s="14"/>
      <c r="U18" s="22"/>
      <c r="V18" s="23"/>
      <c r="W18" s="14"/>
      <c r="X18" s="24"/>
      <c r="Y18" s="25"/>
      <c r="Z18" s="14"/>
      <c r="AA18" s="14"/>
      <c r="AB18" s="27"/>
      <c r="AC18" s="28"/>
      <c r="AD18" s="25"/>
      <c r="AE18" s="25"/>
      <c r="AF18" s="25"/>
      <c r="AG18" s="25"/>
    </row>
    <row r="19" spans="1:33" ht="15.75" customHeight="1">
      <c r="A19" s="14" t="s">
        <v>44</v>
      </c>
      <c r="B19" s="14" t="s">
        <v>86</v>
      </c>
      <c r="C19" s="15">
        <f t="shared" ref="C19:C32" si="1">IFERROR(F19/D19," - ")</f>
        <v>55.99</v>
      </c>
      <c r="D19" s="16">
        <v>14</v>
      </c>
      <c r="E19" s="16">
        <v>0</v>
      </c>
      <c r="F19" s="17">
        <v>783.86</v>
      </c>
      <c r="G19" s="29">
        <v>0</v>
      </c>
      <c r="H19" s="18">
        <f t="shared" ref="H19:H32" si="2">G19/F19*-1</f>
        <v>0</v>
      </c>
      <c r="I19" s="18">
        <f t="shared" ref="I19:I32" si="3">J19/F19</f>
        <v>7.8229986815601879E-2</v>
      </c>
      <c r="J19" s="17">
        <f t="shared" ref="J19:J32" si="4">F19*0.85+G19+AF19*D19+D19*AE19+AG19+AD19</f>
        <v>61.321357465277686</v>
      </c>
      <c r="K19" s="17">
        <f t="shared" ref="K19:K32" si="5">J19/D19</f>
        <v>4.380096961805549</v>
      </c>
      <c r="L19" s="16">
        <v>20</v>
      </c>
      <c r="M19" s="19">
        <f t="shared" ref="M19:M32" si="6">IFERROR(D19/L19,"-")</f>
        <v>0.7</v>
      </c>
      <c r="N19" s="16">
        <v>36</v>
      </c>
      <c r="O19" s="20">
        <f t="shared" ref="O19:P19" si="7">D19/7</f>
        <v>2</v>
      </c>
      <c r="P19" s="20">
        <f t="shared" si="7"/>
        <v>0</v>
      </c>
      <c r="Q19" s="16">
        <f t="shared" ref="Q19:Q32" si="8">ROUNDDOWN(N19/(O19+P19),0)</f>
        <v>18</v>
      </c>
      <c r="R19" s="16"/>
      <c r="S19" s="21">
        <v>0</v>
      </c>
      <c r="T19" s="14">
        <v>136</v>
      </c>
      <c r="U19" s="22">
        <v>136</v>
      </c>
      <c r="V19" s="23" t="s">
        <v>87</v>
      </c>
      <c r="W19" s="14">
        <v>0</v>
      </c>
      <c r="X19" s="24">
        <f t="shared" ref="X19:X32" si="9">IFERROR(W19/D19,0)</f>
        <v>0</v>
      </c>
      <c r="Y19" s="25">
        <f t="shared" ref="Y19:Y32" si="10">IFERROR(G19/(W19+Z19)*-1,0)</f>
        <v>0</v>
      </c>
      <c r="Z19" s="14">
        <v>0</v>
      </c>
      <c r="AA19" s="14" t="s">
        <v>35</v>
      </c>
      <c r="AB19" s="27">
        <f t="shared" ref="AB19:AB32" si="11">IF(OR(AA19="UsLargeStandardSize",AA19="UsSmallStandardSize"),-0.69,-0.48)</f>
        <v>-0.69</v>
      </c>
      <c r="AC19" s="28">
        <v>0.38290075231481491</v>
      </c>
      <c r="AD19" s="25">
        <f t="shared" ref="AD19:AD32" si="12">IFERROR(AB19*AC19*D19*2,0)</f>
        <v>-7.3976425347222241</v>
      </c>
      <c r="AE19" s="25">
        <v>-9.2200000000000006</v>
      </c>
      <c r="AF19" s="25">
        <v>-33.463000000000001</v>
      </c>
      <c r="AG19" s="25">
        <v>0</v>
      </c>
    </row>
    <row r="20" spans="1:33" ht="15.75" customHeight="1">
      <c r="A20" s="14" t="s">
        <v>46</v>
      </c>
      <c r="B20" s="14" t="s">
        <v>88</v>
      </c>
      <c r="C20" s="15">
        <f t="shared" si="1"/>
        <v>56.212499999999999</v>
      </c>
      <c r="D20" s="16">
        <v>20</v>
      </c>
      <c r="E20" s="16">
        <v>0</v>
      </c>
      <c r="F20" s="17">
        <v>1124.25</v>
      </c>
      <c r="G20" s="29">
        <v>0</v>
      </c>
      <c r="H20" s="18">
        <f t="shared" si="2"/>
        <v>0</v>
      </c>
      <c r="I20" s="18">
        <f t="shared" si="3"/>
        <v>8.1284802522669397E-2</v>
      </c>
      <c r="J20" s="17">
        <f t="shared" si="4"/>
        <v>91.384439236111064</v>
      </c>
      <c r="K20" s="17">
        <f t="shared" si="5"/>
        <v>4.5692219618055532</v>
      </c>
      <c r="L20" s="16">
        <v>60</v>
      </c>
      <c r="M20" s="19">
        <f t="shared" si="6"/>
        <v>0.33333333333333331</v>
      </c>
      <c r="N20" s="16">
        <v>21</v>
      </c>
      <c r="O20" s="20">
        <f t="shared" ref="O20:P20" si="13">D20/7</f>
        <v>2.8571428571428572</v>
      </c>
      <c r="P20" s="20">
        <f t="shared" si="13"/>
        <v>0</v>
      </c>
      <c r="Q20" s="16">
        <f t="shared" si="8"/>
        <v>7</v>
      </c>
      <c r="R20" s="16"/>
      <c r="S20" s="21">
        <v>0.65517241379310298</v>
      </c>
      <c r="T20" s="14">
        <v>136</v>
      </c>
      <c r="U20" s="22">
        <v>136</v>
      </c>
      <c r="V20" s="23" t="s">
        <v>87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14" t="s">
        <v>35</v>
      </c>
      <c r="AB20" s="27">
        <f t="shared" si="11"/>
        <v>-0.69</v>
      </c>
      <c r="AC20" s="28">
        <v>0.38290075231481491</v>
      </c>
      <c r="AD20" s="25">
        <f t="shared" si="12"/>
        <v>-10.568060763888891</v>
      </c>
      <c r="AE20" s="25">
        <v>-9.2200000000000006</v>
      </c>
      <c r="AF20" s="25">
        <v>-33.463000000000001</v>
      </c>
      <c r="AG20" s="25">
        <v>0</v>
      </c>
    </row>
    <row r="21" spans="1:33" ht="15.75" customHeight="1">
      <c r="A21" s="14" t="s">
        <v>47</v>
      </c>
      <c r="B21" s="14" t="s">
        <v>68</v>
      </c>
      <c r="C21" s="15">
        <f t="shared" si="1"/>
        <v>63.374444444444443</v>
      </c>
      <c r="D21" s="16">
        <v>9</v>
      </c>
      <c r="E21" s="16">
        <v>0</v>
      </c>
      <c r="F21" s="17">
        <v>570.37</v>
      </c>
      <c r="G21" s="29">
        <v>0</v>
      </c>
      <c r="H21" s="18">
        <f t="shared" si="2"/>
        <v>0</v>
      </c>
      <c r="I21" s="18">
        <f t="shared" si="3"/>
        <v>0.1681572885254308</v>
      </c>
      <c r="J21" s="17">
        <f t="shared" si="4"/>
        <v>95.911872656249969</v>
      </c>
      <c r="K21" s="17">
        <f t="shared" si="5"/>
        <v>10.65687473958333</v>
      </c>
      <c r="L21" s="16">
        <v>21</v>
      </c>
      <c r="M21" s="19">
        <f t="shared" si="6"/>
        <v>0.42857142857142855</v>
      </c>
      <c r="N21" s="16">
        <v>55</v>
      </c>
      <c r="O21" s="20">
        <f t="shared" ref="O21:P21" si="14">D21/7</f>
        <v>1.2857142857142858</v>
      </c>
      <c r="P21" s="20">
        <f t="shared" si="14"/>
        <v>0</v>
      </c>
      <c r="Q21" s="16">
        <f t="shared" si="8"/>
        <v>42</v>
      </c>
      <c r="R21" s="16"/>
      <c r="S21" s="21">
        <v>1.3448275862068899</v>
      </c>
      <c r="T21" s="14">
        <v>336</v>
      </c>
      <c r="U21" s="22">
        <v>136</v>
      </c>
      <c r="V21" s="23" t="s">
        <v>89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14" t="s">
        <v>35</v>
      </c>
      <c r="AB21" s="27">
        <f t="shared" si="11"/>
        <v>-0.69</v>
      </c>
      <c r="AC21" s="28">
        <v>0.38290075231481491</v>
      </c>
      <c r="AD21" s="25">
        <f t="shared" si="12"/>
        <v>-4.7556273437500014</v>
      </c>
      <c r="AE21" s="25">
        <v>-9.2200000000000006</v>
      </c>
      <c r="AF21" s="25">
        <v>-33.463000000000001</v>
      </c>
      <c r="AG21" s="25">
        <v>0</v>
      </c>
    </row>
    <row r="22" spans="1:33" ht="15.75" customHeight="1">
      <c r="A22" s="14" t="s">
        <v>48</v>
      </c>
      <c r="B22" s="14" t="s">
        <v>68</v>
      </c>
      <c r="C22" s="15">
        <f t="shared" si="1"/>
        <v>65.526666666666685</v>
      </c>
      <c r="D22" s="16">
        <v>12</v>
      </c>
      <c r="E22" s="16">
        <v>0</v>
      </c>
      <c r="F22" s="29">
        <v>786.32000000000016</v>
      </c>
      <c r="G22" s="29">
        <v>0</v>
      </c>
      <c r="H22" s="18">
        <f t="shared" si="2"/>
        <v>0</v>
      </c>
      <c r="I22" s="18">
        <f t="shared" si="3"/>
        <v>0.19055240047520938</v>
      </c>
      <c r="J22" s="17">
        <f t="shared" si="4"/>
        <v>149.83516354166667</v>
      </c>
      <c r="K22" s="17">
        <f t="shared" si="5"/>
        <v>12.486263628472223</v>
      </c>
      <c r="L22" s="16">
        <v>48</v>
      </c>
      <c r="M22" s="19">
        <f t="shared" si="6"/>
        <v>0.25</v>
      </c>
      <c r="N22" s="16">
        <v>46</v>
      </c>
      <c r="O22" s="20">
        <f t="shared" ref="O22:P22" si="15">D22/7</f>
        <v>1.7142857142857142</v>
      </c>
      <c r="P22" s="20">
        <f t="shared" si="15"/>
        <v>0</v>
      </c>
      <c r="Q22" s="16">
        <f t="shared" si="8"/>
        <v>26</v>
      </c>
      <c r="R22" s="16"/>
      <c r="S22" s="21">
        <v>1.92</v>
      </c>
      <c r="T22" s="14">
        <v>336</v>
      </c>
      <c r="U22" s="22">
        <v>136</v>
      </c>
      <c r="V22" s="23" t="s">
        <v>89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35</v>
      </c>
      <c r="AB22" s="27">
        <f t="shared" si="11"/>
        <v>-0.69</v>
      </c>
      <c r="AC22" s="28">
        <v>0.38290075231481491</v>
      </c>
      <c r="AD22" s="25">
        <f t="shared" si="12"/>
        <v>-6.3408364583333352</v>
      </c>
      <c r="AE22" s="25">
        <v>-9.2200000000000006</v>
      </c>
      <c r="AF22" s="25">
        <v>-33.463000000000001</v>
      </c>
      <c r="AG22" s="25">
        <v>0</v>
      </c>
    </row>
    <row r="23" spans="1:33" ht="15.75" customHeight="1">
      <c r="A23" s="14" t="s">
        <v>49</v>
      </c>
      <c r="B23" s="14" t="s">
        <v>68</v>
      </c>
      <c r="C23" s="15">
        <f t="shared" si="1"/>
        <v>65.695000000000007</v>
      </c>
      <c r="D23" s="16">
        <v>18</v>
      </c>
      <c r="E23" s="16">
        <v>0</v>
      </c>
      <c r="F23" s="17">
        <v>1182.5100000000002</v>
      </c>
      <c r="G23" s="29">
        <v>0</v>
      </c>
      <c r="H23" s="18">
        <f t="shared" si="2"/>
        <v>0</v>
      </c>
      <c r="I23" s="18">
        <f t="shared" si="3"/>
        <v>0.19224213352318376</v>
      </c>
      <c r="J23" s="17">
        <f t="shared" si="4"/>
        <v>227.32824531250006</v>
      </c>
      <c r="K23" s="17">
        <f t="shared" si="5"/>
        <v>12.62934696180556</v>
      </c>
      <c r="L23" s="16">
        <v>24</v>
      </c>
      <c r="M23" s="19">
        <f t="shared" si="6"/>
        <v>0.75</v>
      </c>
      <c r="N23" s="16">
        <v>28</v>
      </c>
      <c r="O23" s="20">
        <f t="shared" ref="O23:P23" si="16">D23/7</f>
        <v>2.5714285714285716</v>
      </c>
      <c r="P23" s="20">
        <f t="shared" si="16"/>
        <v>0</v>
      </c>
      <c r="Q23" s="16">
        <f t="shared" si="8"/>
        <v>10</v>
      </c>
      <c r="R23" s="16"/>
      <c r="S23" s="21">
        <v>3.48571428571428</v>
      </c>
      <c r="T23" s="14">
        <v>536</v>
      </c>
      <c r="U23" s="22">
        <v>136</v>
      </c>
      <c r="V23" s="23" t="s">
        <v>89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35</v>
      </c>
      <c r="AB23" s="27">
        <f t="shared" si="11"/>
        <v>-0.69</v>
      </c>
      <c r="AC23" s="28">
        <v>0.38290075231481491</v>
      </c>
      <c r="AD23" s="25">
        <f t="shared" si="12"/>
        <v>-9.5112546875000028</v>
      </c>
      <c r="AE23" s="25">
        <v>-9.2200000000000006</v>
      </c>
      <c r="AF23" s="25">
        <v>-33.463000000000001</v>
      </c>
      <c r="AG23" s="25">
        <v>0</v>
      </c>
    </row>
    <row r="24" spans="1:33" ht="15.75" customHeight="1">
      <c r="A24" s="14" t="s">
        <v>50</v>
      </c>
      <c r="B24" s="14" t="s">
        <v>90</v>
      </c>
      <c r="C24" s="15">
        <f t="shared" si="1"/>
        <v>67.119500000000002</v>
      </c>
      <c r="D24" s="16">
        <v>20</v>
      </c>
      <c r="E24" s="16">
        <v>0</v>
      </c>
      <c r="F24" s="17">
        <v>1342.39</v>
      </c>
      <c r="G24" s="17">
        <v>0</v>
      </c>
      <c r="H24" s="18">
        <f t="shared" si="2"/>
        <v>0</v>
      </c>
      <c r="I24" s="18">
        <f t="shared" si="3"/>
        <v>0.2062019526636158</v>
      </c>
      <c r="J24" s="17">
        <f t="shared" si="4"/>
        <v>276.80343923611122</v>
      </c>
      <c r="K24" s="17">
        <f t="shared" si="5"/>
        <v>13.840171961805561</v>
      </c>
      <c r="L24" s="16">
        <v>43</v>
      </c>
      <c r="M24" s="19">
        <f t="shared" si="6"/>
        <v>0.46511627906976744</v>
      </c>
      <c r="N24" s="16">
        <v>8</v>
      </c>
      <c r="O24" s="20">
        <f t="shared" ref="O24:P24" si="17">D24/7</f>
        <v>2.8571428571428572</v>
      </c>
      <c r="P24" s="20">
        <f t="shared" si="17"/>
        <v>0</v>
      </c>
      <c r="Q24" s="16">
        <f t="shared" si="8"/>
        <v>2</v>
      </c>
      <c r="R24" s="16"/>
      <c r="S24" s="21">
        <v>3.3877551020408099</v>
      </c>
      <c r="T24" s="14">
        <v>536</v>
      </c>
      <c r="U24" s="22">
        <v>136</v>
      </c>
      <c r="V24" s="23" t="s">
        <v>91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14" t="s">
        <v>35</v>
      </c>
      <c r="AB24" s="27">
        <f t="shared" si="11"/>
        <v>-0.69</v>
      </c>
      <c r="AC24" s="28">
        <v>0.38290075231481491</v>
      </c>
      <c r="AD24" s="25">
        <f t="shared" si="12"/>
        <v>-10.568060763888891</v>
      </c>
      <c r="AE24" s="25">
        <v>-9.2200000000000006</v>
      </c>
      <c r="AF24" s="25">
        <v>-33.463000000000001</v>
      </c>
      <c r="AG24" s="25">
        <v>0</v>
      </c>
    </row>
    <row r="25" spans="1:33" ht="15.75" customHeight="1">
      <c r="A25" s="14" t="s">
        <v>51</v>
      </c>
      <c r="B25" s="14"/>
      <c r="C25" s="15">
        <f t="shared" si="1"/>
        <v>73.176000000000002</v>
      </c>
      <c r="D25" s="16">
        <v>5</v>
      </c>
      <c r="E25" s="16">
        <v>0</v>
      </c>
      <c r="F25" s="17">
        <v>365.88</v>
      </c>
      <c r="G25" s="17">
        <v>0</v>
      </c>
      <c r="H25" s="18">
        <f t="shared" si="2"/>
        <v>0</v>
      </c>
      <c r="I25" s="18">
        <f t="shared" si="3"/>
        <v>0.25952767248559028</v>
      </c>
      <c r="J25" s="17">
        <f t="shared" si="4"/>
        <v>94.955984809027768</v>
      </c>
      <c r="K25" s="17">
        <f t="shared" si="5"/>
        <v>18.991196961805553</v>
      </c>
      <c r="L25" s="16">
        <v>20</v>
      </c>
      <c r="M25" s="19">
        <f t="shared" si="6"/>
        <v>0.25</v>
      </c>
      <c r="N25" s="16">
        <v>1</v>
      </c>
      <c r="O25" s="20">
        <f t="shared" ref="O25:P25" si="18">D25/7</f>
        <v>0.7142857142857143</v>
      </c>
      <c r="P25" s="20">
        <f t="shared" si="18"/>
        <v>0</v>
      </c>
      <c r="Q25" s="16">
        <f t="shared" si="8"/>
        <v>1</v>
      </c>
      <c r="R25" s="16"/>
      <c r="S25" s="21">
        <v>0</v>
      </c>
      <c r="T25" s="14">
        <v>536</v>
      </c>
      <c r="U25" s="22">
        <v>136</v>
      </c>
      <c r="V25" s="23" t="s">
        <v>91</v>
      </c>
      <c r="W25" s="30">
        <v>0</v>
      </c>
      <c r="X25" s="24">
        <f t="shared" si="9"/>
        <v>0</v>
      </c>
      <c r="Y25" s="25">
        <f t="shared" si="10"/>
        <v>0</v>
      </c>
      <c r="Z25" s="30">
        <v>0</v>
      </c>
      <c r="AA25" s="14" t="s">
        <v>35</v>
      </c>
      <c r="AB25" s="27">
        <f t="shared" si="11"/>
        <v>-0.69</v>
      </c>
      <c r="AC25" s="28">
        <v>0.38290075231481491</v>
      </c>
      <c r="AD25" s="25">
        <f t="shared" si="12"/>
        <v>-2.6420151909722227</v>
      </c>
      <c r="AE25" s="25">
        <v>-9.2200000000000006</v>
      </c>
      <c r="AF25" s="25">
        <v>-33.46</v>
      </c>
      <c r="AG25" s="25">
        <v>0</v>
      </c>
    </row>
    <row r="26" spans="1:33" ht="15.75" customHeight="1">
      <c r="A26" s="14" t="s">
        <v>52</v>
      </c>
      <c r="B26" s="14" t="s">
        <v>92</v>
      </c>
      <c r="C26" s="15">
        <f t="shared" si="1"/>
        <v>74.53</v>
      </c>
      <c r="D26" s="16">
        <v>1</v>
      </c>
      <c r="E26" s="16">
        <v>0</v>
      </c>
      <c r="F26" s="17">
        <v>74.53</v>
      </c>
      <c r="G26" s="17">
        <v>0</v>
      </c>
      <c r="H26" s="18">
        <f t="shared" si="2"/>
        <v>0</v>
      </c>
      <c r="I26" s="18">
        <f t="shared" si="3"/>
        <v>0.27746004242325978</v>
      </c>
      <c r="J26" s="17">
        <f t="shared" si="4"/>
        <v>20.679096961805552</v>
      </c>
      <c r="K26" s="17">
        <f t="shared" si="5"/>
        <v>20.679096961805552</v>
      </c>
      <c r="L26" s="16">
        <v>7</v>
      </c>
      <c r="M26" s="19">
        <f t="shared" si="6"/>
        <v>0.14285714285714285</v>
      </c>
      <c r="N26" s="16">
        <v>3</v>
      </c>
      <c r="O26" s="20">
        <f t="shared" ref="O26:P26" si="19">D26/7</f>
        <v>0.14285714285714285</v>
      </c>
      <c r="P26" s="20">
        <f t="shared" si="19"/>
        <v>0</v>
      </c>
      <c r="Q26" s="16">
        <f t="shared" si="8"/>
        <v>21</v>
      </c>
      <c r="R26" s="16"/>
      <c r="S26" s="21">
        <v>5.3454545454545457</v>
      </c>
      <c r="T26" s="14">
        <v>536</v>
      </c>
      <c r="U26" s="22">
        <v>136</v>
      </c>
      <c r="V26" s="23" t="s">
        <v>93</v>
      </c>
      <c r="W26" s="30">
        <v>0</v>
      </c>
      <c r="X26" s="24">
        <f t="shared" si="9"/>
        <v>0</v>
      </c>
      <c r="Y26" s="25">
        <f t="shared" si="10"/>
        <v>0</v>
      </c>
      <c r="Z26" s="30">
        <v>0</v>
      </c>
      <c r="AA26" s="14" t="s">
        <v>35</v>
      </c>
      <c r="AB26" s="27">
        <f t="shared" si="11"/>
        <v>-0.69</v>
      </c>
      <c r="AC26" s="28">
        <v>0.38290075231481491</v>
      </c>
      <c r="AD26" s="25">
        <f t="shared" si="12"/>
        <v>-0.52840303819444456</v>
      </c>
      <c r="AE26" s="25">
        <v>-8.68</v>
      </c>
      <c r="AF26" s="25">
        <v>-33.463000000000001</v>
      </c>
      <c r="AG26" s="25">
        <v>0</v>
      </c>
    </row>
    <row r="27" spans="1:33" ht="15.75" customHeight="1">
      <c r="A27" s="14" t="s">
        <v>53</v>
      </c>
      <c r="B27" s="14" t="s">
        <v>45</v>
      </c>
      <c r="C27" s="15">
        <f t="shared" si="1"/>
        <v>72.773333333333326</v>
      </c>
      <c r="D27" s="16">
        <v>3</v>
      </c>
      <c r="E27" s="16">
        <v>0</v>
      </c>
      <c r="F27" s="17">
        <v>218.32</v>
      </c>
      <c r="G27" s="17">
        <v>0</v>
      </c>
      <c r="H27" s="18">
        <f t="shared" si="2"/>
        <v>0</v>
      </c>
      <c r="I27" s="18">
        <f t="shared" si="3"/>
        <v>0.26204557935789974</v>
      </c>
      <c r="J27" s="17">
        <f t="shared" si="4"/>
        <v>57.209790885416673</v>
      </c>
      <c r="K27" s="17">
        <f t="shared" si="5"/>
        <v>19.069930295138892</v>
      </c>
      <c r="L27" s="16">
        <v>19</v>
      </c>
      <c r="M27" s="19">
        <f t="shared" si="6"/>
        <v>0.15789473684210525</v>
      </c>
      <c r="N27" s="16">
        <v>1</v>
      </c>
      <c r="O27" s="20">
        <f t="shared" ref="O27:P27" si="20">D27/7</f>
        <v>0.42857142857142855</v>
      </c>
      <c r="P27" s="20">
        <f t="shared" si="20"/>
        <v>0</v>
      </c>
      <c r="Q27" s="16">
        <f t="shared" si="8"/>
        <v>2</v>
      </c>
      <c r="R27" s="16"/>
      <c r="S27" s="21">
        <v>0</v>
      </c>
      <c r="T27" s="14">
        <v>400</v>
      </c>
      <c r="U27" s="22" t="s">
        <v>34</v>
      </c>
      <c r="V27" s="23" t="s">
        <v>34</v>
      </c>
      <c r="W27" s="30">
        <v>0</v>
      </c>
      <c r="X27" s="24">
        <f t="shared" si="9"/>
        <v>0</v>
      </c>
      <c r="Y27" s="25">
        <f t="shared" si="10"/>
        <v>0</v>
      </c>
      <c r="Z27" s="30">
        <v>0</v>
      </c>
      <c r="AA27" s="14" t="s">
        <v>35</v>
      </c>
      <c r="AB27" s="27">
        <f t="shared" si="11"/>
        <v>-0.69</v>
      </c>
      <c r="AC27" s="28">
        <v>0.38290075231481491</v>
      </c>
      <c r="AD27" s="25">
        <f t="shared" si="12"/>
        <v>-1.5852091145833338</v>
      </c>
      <c r="AE27" s="25">
        <v>-8.68</v>
      </c>
      <c r="AF27" s="25">
        <v>-33.579000000000001</v>
      </c>
      <c r="AG27" s="25">
        <v>0</v>
      </c>
    </row>
    <row r="28" spans="1:33" ht="15.75" customHeight="1">
      <c r="A28" s="14" t="s">
        <v>54</v>
      </c>
      <c r="B28" s="14" t="s">
        <v>64</v>
      </c>
      <c r="C28" s="15" t="str">
        <f t="shared" si="1"/>
        <v xml:space="preserve"> - </v>
      </c>
      <c r="D28" s="16">
        <v>0</v>
      </c>
      <c r="E28" s="16">
        <v>0</v>
      </c>
      <c r="F28" s="17">
        <v>0</v>
      </c>
      <c r="G28" s="17">
        <v>0</v>
      </c>
      <c r="H28" s="18" t="e">
        <f t="shared" si="2"/>
        <v>#DIV/0!</v>
      </c>
      <c r="I28" s="18" t="e">
        <f t="shared" si="3"/>
        <v>#DIV/0!</v>
      </c>
      <c r="J28" s="17">
        <f t="shared" si="4"/>
        <v>0</v>
      </c>
      <c r="K28" s="17" t="e">
        <f t="shared" si="5"/>
        <v>#DIV/0!</v>
      </c>
      <c r="L28" s="16">
        <v>0</v>
      </c>
      <c r="M28" s="19" t="str">
        <f t="shared" si="6"/>
        <v>-</v>
      </c>
      <c r="N28" s="16">
        <v>139</v>
      </c>
      <c r="O28" s="20">
        <f t="shared" ref="O28:P28" si="21">D28/7</f>
        <v>0</v>
      </c>
      <c r="P28" s="20">
        <f t="shared" si="21"/>
        <v>0</v>
      </c>
      <c r="Q28" s="16" t="e">
        <f t="shared" si="8"/>
        <v>#DIV/0!</v>
      </c>
      <c r="R28" s="16"/>
      <c r="S28" s="21">
        <v>1.610526315789474</v>
      </c>
      <c r="T28" s="14">
        <v>100</v>
      </c>
      <c r="U28" s="22" t="s">
        <v>34</v>
      </c>
      <c r="V28" s="23" t="s">
        <v>34</v>
      </c>
      <c r="W28" s="30">
        <v>0</v>
      </c>
      <c r="X28" s="24">
        <f t="shared" si="9"/>
        <v>0</v>
      </c>
      <c r="Y28" s="25">
        <f t="shared" si="10"/>
        <v>0</v>
      </c>
      <c r="Z28" s="30">
        <v>0</v>
      </c>
      <c r="AA28" s="14" t="s">
        <v>35</v>
      </c>
      <c r="AB28" s="27">
        <f t="shared" si="11"/>
        <v>-0.69</v>
      </c>
      <c r="AC28" s="28">
        <v>0.38290075231481491</v>
      </c>
      <c r="AD28" s="25">
        <f t="shared" si="12"/>
        <v>0</v>
      </c>
      <c r="AE28" s="25">
        <v>-8.68</v>
      </c>
      <c r="AF28" s="25">
        <v>-33.579000000000001</v>
      </c>
      <c r="AG28" s="25">
        <v>0</v>
      </c>
    </row>
    <row r="29" spans="1:33" ht="15.75" customHeight="1">
      <c r="A29" s="14" t="s">
        <v>55</v>
      </c>
      <c r="B29" s="14" t="s">
        <v>94</v>
      </c>
      <c r="C29" s="15">
        <f t="shared" si="1"/>
        <v>65.25322580645161</v>
      </c>
      <c r="D29" s="16">
        <v>31</v>
      </c>
      <c r="E29" s="16">
        <v>0</v>
      </c>
      <c r="F29" s="17">
        <v>2022.85</v>
      </c>
      <c r="G29" s="17">
        <v>0</v>
      </c>
      <c r="H29" s="18">
        <f t="shared" si="2"/>
        <v>0</v>
      </c>
      <c r="I29" s="18">
        <f t="shared" si="3"/>
        <v>0.19428677648662634</v>
      </c>
      <c r="J29" s="17">
        <f t="shared" si="4"/>
        <v>393.01300581597206</v>
      </c>
      <c r="K29" s="17">
        <f t="shared" si="5"/>
        <v>12.677838897289421</v>
      </c>
      <c r="L29" s="16">
        <v>57</v>
      </c>
      <c r="M29" s="19">
        <f t="shared" si="6"/>
        <v>0.54385964912280704</v>
      </c>
      <c r="N29" s="16">
        <v>116</v>
      </c>
      <c r="O29" s="20">
        <f t="shared" ref="O29:P29" si="22">D29/7</f>
        <v>4.4285714285714288</v>
      </c>
      <c r="P29" s="20">
        <f t="shared" si="22"/>
        <v>0</v>
      </c>
      <c r="Q29" s="16">
        <f t="shared" si="8"/>
        <v>26</v>
      </c>
      <c r="R29" s="16"/>
      <c r="S29" s="21">
        <v>1.8247422680412371</v>
      </c>
      <c r="T29" s="14">
        <v>100</v>
      </c>
      <c r="U29" s="22" t="s">
        <v>34</v>
      </c>
      <c r="V29" s="23" t="s">
        <v>34</v>
      </c>
      <c r="W29" s="30">
        <v>0</v>
      </c>
      <c r="X29" s="24">
        <f t="shared" si="9"/>
        <v>0</v>
      </c>
      <c r="Y29" s="25">
        <f t="shared" si="10"/>
        <v>0</v>
      </c>
      <c r="Z29" s="30">
        <v>0</v>
      </c>
      <c r="AA29" s="14" t="s">
        <v>35</v>
      </c>
      <c r="AB29" s="27">
        <f t="shared" si="11"/>
        <v>-0.69</v>
      </c>
      <c r="AC29" s="28">
        <v>0.38290075231481491</v>
      </c>
      <c r="AD29" s="25">
        <f t="shared" si="12"/>
        <v>-16.380494184027782</v>
      </c>
      <c r="AE29" s="25">
        <v>-8.68</v>
      </c>
      <c r="AF29" s="25">
        <v>-33.579000000000001</v>
      </c>
      <c r="AG29" s="25">
        <v>0</v>
      </c>
    </row>
    <row r="30" spans="1:33" ht="15.75" customHeight="1">
      <c r="A30" s="14" t="s">
        <v>57</v>
      </c>
      <c r="B30" s="14" t="s">
        <v>68</v>
      </c>
      <c r="C30" s="15">
        <f t="shared" si="1"/>
        <v>67.664375000000007</v>
      </c>
      <c r="D30" s="16">
        <v>16</v>
      </c>
      <c r="E30" s="16">
        <v>1</v>
      </c>
      <c r="F30" s="17">
        <v>1082.6300000000001</v>
      </c>
      <c r="G30" s="17">
        <v>0</v>
      </c>
      <c r="H30" s="18">
        <f t="shared" si="2"/>
        <v>0</v>
      </c>
      <c r="I30" s="18">
        <f t="shared" si="3"/>
        <v>0.23592191233282744</v>
      </c>
      <c r="J30" s="17">
        <f t="shared" si="4"/>
        <v>255.416139948889</v>
      </c>
      <c r="K30" s="17">
        <f t="shared" si="5"/>
        <v>15.963508746805562</v>
      </c>
      <c r="L30" s="16">
        <v>61</v>
      </c>
      <c r="M30" s="19">
        <f t="shared" si="6"/>
        <v>0.26229508196721313</v>
      </c>
      <c r="N30" s="16">
        <v>67</v>
      </c>
      <c r="O30" s="20">
        <f t="shared" ref="O30:P30" si="23">D30/7</f>
        <v>2.2857142857142856</v>
      </c>
      <c r="P30" s="20">
        <f t="shared" si="23"/>
        <v>0.14285714285714285</v>
      </c>
      <c r="Q30" s="16">
        <f t="shared" si="8"/>
        <v>27</v>
      </c>
      <c r="R30" s="16"/>
      <c r="S30" s="21">
        <v>3.741935483870968</v>
      </c>
      <c r="T30" s="14">
        <v>200</v>
      </c>
      <c r="U30" s="22" t="s">
        <v>34</v>
      </c>
      <c r="V30" s="23" t="s">
        <v>34</v>
      </c>
      <c r="W30" s="30">
        <v>0</v>
      </c>
      <c r="X30" s="24">
        <f t="shared" si="9"/>
        <v>0</v>
      </c>
      <c r="Y30" s="25">
        <f t="shared" si="10"/>
        <v>0</v>
      </c>
      <c r="Z30" s="30">
        <v>0</v>
      </c>
      <c r="AA30" s="14" t="s">
        <v>35</v>
      </c>
      <c r="AB30" s="27">
        <f t="shared" si="11"/>
        <v>-0.69</v>
      </c>
      <c r="AC30" s="28">
        <v>0.38290075231481491</v>
      </c>
      <c r="AD30" s="25">
        <f t="shared" si="12"/>
        <v>-8.454448611111113</v>
      </c>
      <c r="AE30" s="25">
        <v>-8.68</v>
      </c>
      <c r="AF30" s="25">
        <v>-32.342806965000001</v>
      </c>
      <c r="AG30" s="25">
        <v>0</v>
      </c>
    </row>
    <row r="31" spans="1:33" ht="15.75" customHeight="1">
      <c r="A31" s="14" t="s">
        <v>58</v>
      </c>
      <c r="B31" s="14" t="s">
        <v>68</v>
      </c>
      <c r="C31" s="15">
        <f t="shared" si="1"/>
        <v>74.007999999999996</v>
      </c>
      <c r="D31" s="16">
        <v>10</v>
      </c>
      <c r="E31" s="16">
        <v>3</v>
      </c>
      <c r="F31" s="17">
        <v>740.07999999999993</v>
      </c>
      <c r="G31" s="17">
        <v>0</v>
      </c>
      <c r="H31" s="18">
        <f t="shared" si="2"/>
        <v>0</v>
      </c>
      <c r="I31" s="18">
        <f t="shared" si="3"/>
        <v>0.28855785856671634</v>
      </c>
      <c r="J31" s="17">
        <f t="shared" si="4"/>
        <v>213.55589996805543</v>
      </c>
      <c r="K31" s="17">
        <f t="shared" si="5"/>
        <v>21.355589996805541</v>
      </c>
      <c r="L31" s="16">
        <v>82</v>
      </c>
      <c r="M31" s="19">
        <f t="shared" si="6"/>
        <v>0.12195121951219512</v>
      </c>
      <c r="N31" s="16">
        <v>73</v>
      </c>
      <c r="O31" s="20">
        <f t="shared" ref="O31:P31" si="24">D31/7</f>
        <v>1.4285714285714286</v>
      </c>
      <c r="P31" s="20">
        <f t="shared" si="24"/>
        <v>0.42857142857142855</v>
      </c>
      <c r="Q31" s="16">
        <f t="shared" si="8"/>
        <v>39</v>
      </c>
      <c r="R31" s="16"/>
      <c r="S31" s="21">
        <v>4.6666666666666599</v>
      </c>
      <c r="T31" s="14">
        <v>200</v>
      </c>
      <c r="U31" s="22" t="s">
        <v>34</v>
      </c>
      <c r="V31" s="23" t="s">
        <v>84</v>
      </c>
      <c r="W31" s="30">
        <v>0</v>
      </c>
      <c r="X31" s="24">
        <f t="shared" si="9"/>
        <v>0</v>
      </c>
      <c r="Y31" s="25">
        <f t="shared" si="10"/>
        <v>0</v>
      </c>
      <c r="Z31" s="30">
        <v>0</v>
      </c>
      <c r="AA31" s="14" t="s">
        <v>35</v>
      </c>
      <c r="AB31" s="27">
        <f t="shared" si="11"/>
        <v>-0.69</v>
      </c>
      <c r="AC31" s="28">
        <v>0.38290075231481491</v>
      </c>
      <c r="AD31" s="25">
        <f t="shared" si="12"/>
        <v>-5.2840303819444454</v>
      </c>
      <c r="AE31" s="25">
        <v>-8.68</v>
      </c>
      <c r="AF31" s="25">
        <v>-32.342806965000001</v>
      </c>
      <c r="AG31" s="25">
        <v>0</v>
      </c>
    </row>
    <row r="32" spans="1:33" ht="15.75" customHeight="1">
      <c r="A32" s="14" t="s">
        <v>60</v>
      </c>
      <c r="B32" s="14"/>
      <c r="C32" s="15">
        <f t="shared" si="1"/>
        <v>73.650000000000006</v>
      </c>
      <c r="D32" s="16">
        <v>15</v>
      </c>
      <c r="E32" s="16">
        <v>1</v>
      </c>
      <c r="F32" s="17">
        <v>1104.75</v>
      </c>
      <c r="G32" s="17">
        <v>0</v>
      </c>
      <c r="H32" s="18">
        <f t="shared" si="2"/>
        <v>0</v>
      </c>
      <c r="I32" s="18">
        <f t="shared" si="3"/>
        <v>0.2858287847495663</v>
      </c>
      <c r="J32" s="17">
        <f t="shared" si="4"/>
        <v>315.76934995208336</v>
      </c>
      <c r="K32" s="17">
        <f t="shared" si="5"/>
        <v>21.051289996805558</v>
      </c>
      <c r="L32" s="16">
        <v>73</v>
      </c>
      <c r="M32" s="19">
        <f t="shared" si="6"/>
        <v>0.20547945205479451</v>
      </c>
      <c r="N32" s="16">
        <v>61</v>
      </c>
      <c r="O32" s="20">
        <f t="shared" ref="O32:P32" si="25">D32/7</f>
        <v>2.1428571428571428</v>
      </c>
      <c r="P32" s="20">
        <f t="shared" si="25"/>
        <v>0.14285714285714285</v>
      </c>
      <c r="Q32" s="16">
        <f t="shared" si="8"/>
        <v>26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4.9922480620155039</v>
      </c>
      <c r="T32" s="14">
        <f ca="1">IFERROR(__xludf.DUMMYFUNCTION("IFERROR(VLOOKUP($B$2,IMPORTRANGE(""https://docs.google.com/spreadsheets/d/1KiWZV1ko8G7lnRucBRBd29jj3Be6ltMfljMDqzOkQmI/edit#gid=1381463014"",""Lookup!A:D""),4,FALSE),"""")"),200)</f>
        <v>200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23" t="str">
        <f ca="1">IFERROR(__xludf.DUMMYFUNCTION("IFERROR(VLOOKUP($B$2,IMPORTRANGE(""https://docs.google.com/spreadsheets/d/1KiWZV1ko8G7lnRucBRBd29jj3Be6ltMfljMDqzOkQmI/edit#gid=1381463014"",""Lookup!A:D""),2,FALSE),"""")"),"No Transit, But 200 At Factory 50-75 days from Earliest Arrival")</f>
        <v>No Transit, But 200 At Factory 50-75 days from Earliest Arrival</v>
      </c>
      <c r="W32" s="30">
        <v>0</v>
      </c>
      <c r="X32" s="24">
        <f t="shared" si="9"/>
        <v>0</v>
      </c>
      <c r="Y32" s="25">
        <f t="shared" si="10"/>
        <v>0</v>
      </c>
      <c r="Z32" s="30">
        <v>0</v>
      </c>
      <c r="AA32" s="14" t="s">
        <v>35</v>
      </c>
      <c r="AB32" s="27">
        <f t="shared" si="11"/>
        <v>-0.69</v>
      </c>
      <c r="AC32" s="28">
        <v>0.38290075231481491</v>
      </c>
      <c r="AD32" s="25">
        <f t="shared" si="12"/>
        <v>-7.9260455729166681</v>
      </c>
      <c r="AE32" s="25">
        <v>-8.68</v>
      </c>
      <c r="AF32" s="25">
        <v>-32.342806965000001</v>
      </c>
      <c r="AG32" s="25">
        <v>0</v>
      </c>
    </row>
    <row r="33" spans="1:33" ht="15.75" customHeight="1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16"/>
      <c r="S33" s="21"/>
      <c r="T33" s="31"/>
      <c r="U33" s="36"/>
      <c r="V33" s="1"/>
      <c r="W33" s="31"/>
      <c r="X33" s="31"/>
      <c r="Y33" s="31"/>
      <c r="Z33" s="31"/>
      <c r="AA33" s="2"/>
      <c r="AB33" s="31"/>
      <c r="AC33" s="31"/>
      <c r="AD33" s="31"/>
      <c r="AE33" s="37"/>
      <c r="AF33" s="37"/>
      <c r="AG33" s="37"/>
    </row>
    <row r="34" spans="1:33" ht="15.75" customHeight="1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6"/>
      <c r="V34" s="1"/>
      <c r="W34" s="31"/>
      <c r="X34" s="31"/>
      <c r="Y34" s="31"/>
      <c r="Z34" s="31"/>
      <c r="AA34" s="2"/>
      <c r="AB34" s="31"/>
      <c r="AC34" s="31"/>
      <c r="AD34" s="31"/>
      <c r="AE34" s="37"/>
      <c r="AF34" s="37"/>
      <c r="AG34" s="37"/>
    </row>
    <row r="35" spans="1:33" ht="15.75" customHeight="1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6"/>
      <c r="V35" s="1"/>
      <c r="W35" s="31"/>
      <c r="X35" s="31"/>
      <c r="Y35" s="31"/>
      <c r="Z35" s="31"/>
      <c r="AA35" s="2"/>
      <c r="AB35" s="31"/>
      <c r="AC35" s="31"/>
      <c r="AD35" s="31"/>
      <c r="AE35" s="37"/>
      <c r="AF35" s="37"/>
      <c r="AG35" s="37"/>
    </row>
    <row r="36" spans="1:33" ht="15.75" customHeight="1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6"/>
      <c r="V36" s="1"/>
      <c r="W36" s="31"/>
      <c r="X36" s="31"/>
      <c r="Y36" s="31"/>
      <c r="Z36" s="31"/>
      <c r="AA36" s="2"/>
      <c r="AB36" s="31"/>
      <c r="AC36" s="31"/>
      <c r="AD36" s="31"/>
      <c r="AE36" s="37"/>
      <c r="AF36" s="37"/>
      <c r="AG36" s="37"/>
    </row>
    <row r="37" spans="1:33" ht="15.75" customHeight="1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6"/>
      <c r="V37" s="1"/>
      <c r="W37" s="31"/>
      <c r="X37" s="31"/>
      <c r="Y37" s="31"/>
      <c r="Z37" s="31"/>
      <c r="AA37" s="2"/>
      <c r="AB37" s="31"/>
      <c r="AC37" s="31"/>
      <c r="AD37" s="31"/>
      <c r="AE37" s="37"/>
      <c r="AF37" s="37"/>
      <c r="AG37" s="37"/>
    </row>
    <row r="38" spans="1:33" ht="15.75" customHeight="1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6"/>
      <c r="V38" s="1"/>
      <c r="W38" s="31"/>
      <c r="X38" s="31"/>
      <c r="Y38" s="31"/>
      <c r="Z38" s="31"/>
      <c r="AA38" s="2"/>
      <c r="AB38" s="31"/>
      <c r="AC38" s="31"/>
      <c r="AD38" s="31"/>
      <c r="AE38" s="37"/>
      <c r="AF38" s="37"/>
      <c r="AG38" s="37"/>
    </row>
    <row r="39" spans="1:33" ht="15.75" customHeight="1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6"/>
      <c r="V39" s="1"/>
      <c r="W39" s="31"/>
      <c r="X39" s="31"/>
      <c r="Y39" s="31"/>
      <c r="Z39" s="31"/>
      <c r="AA39" s="2"/>
      <c r="AB39" s="31"/>
      <c r="AC39" s="31"/>
      <c r="AD39" s="31"/>
      <c r="AE39" s="37"/>
      <c r="AF39" s="37"/>
      <c r="AG39" s="37"/>
    </row>
    <row r="40" spans="1:33" ht="15.75" customHeight="1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6"/>
      <c r="V40" s="1"/>
      <c r="W40" s="31"/>
      <c r="X40" s="31"/>
      <c r="Y40" s="31"/>
      <c r="Z40" s="31"/>
      <c r="AA40" s="2"/>
      <c r="AB40" s="31"/>
      <c r="AC40" s="31"/>
      <c r="AD40" s="31"/>
      <c r="AE40" s="37"/>
      <c r="AF40" s="37"/>
      <c r="AG40" s="37"/>
    </row>
    <row r="41" spans="1:33" ht="15.75" customHeight="1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6"/>
      <c r="V41" s="1"/>
      <c r="W41" s="31"/>
      <c r="X41" s="31"/>
      <c r="Y41" s="31"/>
      <c r="Z41" s="31"/>
      <c r="AA41" s="2"/>
      <c r="AB41" s="31"/>
      <c r="AC41" s="31"/>
      <c r="AD41" s="31"/>
      <c r="AE41" s="37"/>
      <c r="AF41" s="37"/>
      <c r="AG41" s="37"/>
    </row>
    <row r="42" spans="1:33" ht="15.75" customHeight="1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6"/>
      <c r="V42" s="1"/>
      <c r="W42" s="31"/>
      <c r="X42" s="31"/>
      <c r="Y42" s="31"/>
      <c r="Z42" s="31"/>
      <c r="AA42" s="2"/>
      <c r="AB42" s="31"/>
      <c r="AC42" s="31"/>
      <c r="AD42" s="31"/>
      <c r="AE42" s="37"/>
      <c r="AF42" s="37"/>
      <c r="AG42" s="37"/>
    </row>
    <row r="43" spans="1:33" ht="15.75" customHeight="1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6"/>
      <c r="V43" s="1"/>
      <c r="W43" s="31"/>
      <c r="X43" s="31"/>
      <c r="Y43" s="31"/>
      <c r="Z43" s="31"/>
      <c r="AA43" s="2"/>
      <c r="AB43" s="31"/>
      <c r="AC43" s="31"/>
      <c r="AD43" s="31"/>
      <c r="AE43" s="37"/>
      <c r="AF43" s="37"/>
      <c r="AG43" s="37"/>
    </row>
    <row r="44" spans="1:33" ht="15.75" customHeight="1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6"/>
      <c r="V44" s="1"/>
      <c r="W44" s="31"/>
      <c r="X44" s="31"/>
      <c r="Y44" s="31"/>
      <c r="Z44" s="31"/>
      <c r="AA44" s="2"/>
      <c r="AB44" s="31"/>
      <c r="AC44" s="31"/>
      <c r="AD44" s="31"/>
      <c r="AE44" s="37"/>
      <c r="AF44" s="37"/>
      <c r="AG44" s="37"/>
    </row>
    <row r="45" spans="1:33" ht="15.75" customHeight="1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6"/>
      <c r="V45" s="1"/>
      <c r="W45" s="31"/>
      <c r="X45" s="31"/>
      <c r="Y45" s="31"/>
      <c r="Z45" s="31"/>
      <c r="AA45" s="2"/>
      <c r="AB45" s="31"/>
      <c r="AC45" s="31"/>
      <c r="AD45" s="31"/>
      <c r="AE45" s="37"/>
      <c r="AF45" s="37"/>
      <c r="AG45" s="37"/>
    </row>
    <row r="46" spans="1:33" ht="15.75" customHeight="1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6"/>
      <c r="V46" s="1"/>
      <c r="W46" s="31"/>
      <c r="X46" s="31"/>
      <c r="Y46" s="31"/>
      <c r="Z46" s="31"/>
      <c r="AA46" s="2"/>
      <c r="AB46" s="31"/>
      <c r="AC46" s="31"/>
      <c r="AD46" s="31"/>
      <c r="AE46" s="37"/>
      <c r="AF46" s="37"/>
      <c r="AG46" s="37"/>
    </row>
    <row r="47" spans="1:33" ht="15.75" customHeight="1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6"/>
      <c r="V47" s="1"/>
      <c r="W47" s="31"/>
      <c r="X47" s="31"/>
      <c r="Y47" s="31"/>
      <c r="Z47" s="31"/>
      <c r="AA47" s="2"/>
      <c r="AB47" s="31"/>
      <c r="AC47" s="31"/>
      <c r="AD47" s="31"/>
      <c r="AE47" s="37"/>
      <c r="AF47" s="37"/>
      <c r="AG47" s="37"/>
    </row>
    <row r="48" spans="1:33" ht="15.75" customHeight="1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6"/>
      <c r="V48" s="1"/>
      <c r="W48" s="31"/>
      <c r="X48" s="31"/>
      <c r="Y48" s="31"/>
      <c r="Z48" s="31"/>
      <c r="AA48" s="2"/>
      <c r="AB48" s="31"/>
      <c r="AC48" s="31"/>
      <c r="AD48" s="31"/>
      <c r="AE48" s="37"/>
      <c r="AF48" s="37"/>
      <c r="AG48" s="37"/>
    </row>
    <row r="49" spans="1:33" ht="15.75" customHeight="1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6"/>
      <c r="V49" s="1"/>
      <c r="W49" s="31"/>
      <c r="X49" s="31"/>
      <c r="Y49" s="31"/>
      <c r="Z49" s="31"/>
      <c r="AA49" s="2"/>
      <c r="AB49" s="31"/>
      <c r="AC49" s="31"/>
      <c r="AD49" s="31"/>
      <c r="AE49" s="37"/>
      <c r="AF49" s="37"/>
      <c r="AG49" s="37"/>
    </row>
    <row r="50" spans="1:33" ht="15.75" customHeight="1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6"/>
      <c r="V50" s="1"/>
      <c r="W50" s="31"/>
      <c r="X50" s="31"/>
      <c r="Y50" s="31"/>
      <c r="Z50" s="31"/>
      <c r="AA50" s="2"/>
      <c r="AB50" s="31"/>
      <c r="AC50" s="31"/>
      <c r="AD50" s="31"/>
      <c r="AE50" s="37"/>
      <c r="AF50" s="37"/>
      <c r="AG50" s="37"/>
    </row>
    <row r="51" spans="1:33" ht="15.75" customHeight="1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6"/>
      <c r="V51" s="1"/>
      <c r="W51" s="31"/>
      <c r="X51" s="31"/>
      <c r="Y51" s="31"/>
      <c r="Z51" s="31"/>
      <c r="AA51" s="2"/>
      <c r="AB51" s="31"/>
      <c r="AC51" s="31"/>
      <c r="AD51" s="31"/>
      <c r="AE51" s="37"/>
      <c r="AF51" s="37"/>
      <c r="AG51" s="37"/>
    </row>
    <row r="52" spans="1:33" ht="15.75" customHeight="1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6"/>
      <c r="V52" s="1"/>
      <c r="W52" s="31"/>
      <c r="X52" s="31"/>
      <c r="Y52" s="31"/>
      <c r="Z52" s="31"/>
      <c r="AA52" s="2"/>
      <c r="AB52" s="31"/>
      <c r="AC52" s="31"/>
      <c r="AD52" s="31"/>
      <c r="AE52" s="37"/>
      <c r="AF52" s="37"/>
      <c r="AG52" s="37"/>
    </row>
    <row r="53" spans="1:33" ht="15.75" customHeight="1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6"/>
      <c r="V53" s="1"/>
      <c r="W53" s="31"/>
      <c r="X53" s="31"/>
      <c r="Y53" s="31"/>
      <c r="Z53" s="31"/>
      <c r="AA53" s="2"/>
      <c r="AB53" s="31"/>
      <c r="AC53" s="31"/>
      <c r="AD53" s="31"/>
      <c r="AE53" s="37"/>
      <c r="AF53" s="37"/>
      <c r="AG53" s="37"/>
    </row>
    <row r="54" spans="1:33" ht="15.75" customHeight="1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6"/>
      <c r="V54" s="1"/>
      <c r="W54" s="31"/>
      <c r="X54" s="31"/>
      <c r="Y54" s="31"/>
      <c r="Z54" s="31"/>
      <c r="AA54" s="2"/>
      <c r="AB54" s="31"/>
      <c r="AC54" s="31"/>
      <c r="AD54" s="31"/>
      <c r="AE54" s="37"/>
      <c r="AF54" s="37"/>
      <c r="AG54" s="37"/>
    </row>
    <row r="55" spans="1:33" ht="15.75" customHeight="1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6"/>
      <c r="V55" s="1"/>
      <c r="W55" s="31"/>
      <c r="X55" s="31"/>
      <c r="Y55" s="31"/>
      <c r="Z55" s="31"/>
      <c r="AA55" s="2"/>
      <c r="AB55" s="31"/>
      <c r="AC55" s="31"/>
      <c r="AD55" s="31"/>
      <c r="AE55" s="37"/>
      <c r="AF55" s="37"/>
      <c r="AG55" s="37"/>
    </row>
    <row r="56" spans="1:33" ht="15.75" customHeight="1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6"/>
      <c r="V56" s="1"/>
      <c r="W56" s="31"/>
      <c r="X56" s="31"/>
      <c r="Y56" s="31"/>
      <c r="Z56" s="31"/>
      <c r="AA56" s="2"/>
      <c r="AB56" s="31"/>
      <c r="AC56" s="31"/>
      <c r="AD56" s="31"/>
      <c r="AE56" s="37"/>
      <c r="AF56" s="37"/>
      <c r="AG56" s="37"/>
    </row>
    <row r="57" spans="1:33" ht="15.75" customHeight="1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6"/>
      <c r="V57" s="1"/>
      <c r="W57" s="31"/>
      <c r="X57" s="31"/>
      <c r="Y57" s="31"/>
      <c r="Z57" s="31"/>
      <c r="AA57" s="2"/>
      <c r="AB57" s="31"/>
      <c r="AC57" s="31"/>
      <c r="AD57" s="31"/>
      <c r="AE57" s="37"/>
      <c r="AF57" s="37"/>
      <c r="AG57" s="37"/>
    </row>
    <row r="58" spans="1:33" ht="15.75" customHeight="1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6"/>
      <c r="V58" s="1"/>
      <c r="W58" s="31"/>
      <c r="X58" s="31"/>
      <c r="Y58" s="31"/>
      <c r="Z58" s="31"/>
      <c r="AA58" s="2"/>
      <c r="AB58" s="31"/>
      <c r="AC58" s="31"/>
      <c r="AD58" s="31"/>
      <c r="AE58" s="37"/>
      <c r="AF58" s="37"/>
      <c r="AG58" s="37"/>
    </row>
    <row r="59" spans="1:33" ht="15.75" customHeight="1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6"/>
      <c r="V59" s="1"/>
      <c r="W59" s="31"/>
      <c r="X59" s="31"/>
      <c r="Y59" s="31"/>
      <c r="Z59" s="31"/>
      <c r="AA59" s="2"/>
      <c r="AB59" s="31"/>
      <c r="AC59" s="31"/>
      <c r="AD59" s="31"/>
      <c r="AE59" s="37"/>
      <c r="AF59" s="37"/>
      <c r="AG59" s="37"/>
    </row>
    <row r="60" spans="1:33" ht="15.75" customHeight="1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6"/>
      <c r="V60" s="1"/>
      <c r="W60" s="31"/>
      <c r="X60" s="31"/>
      <c r="Y60" s="31"/>
      <c r="Z60" s="31"/>
      <c r="AA60" s="2"/>
      <c r="AB60" s="31"/>
      <c r="AC60" s="31"/>
      <c r="AD60" s="31"/>
      <c r="AE60" s="37"/>
      <c r="AF60" s="37"/>
      <c r="AG60" s="37"/>
    </row>
    <row r="61" spans="1:33" ht="15.75" customHeight="1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6"/>
      <c r="V61" s="1"/>
      <c r="W61" s="31"/>
      <c r="X61" s="31"/>
      <c r="Y61" s="31"/>
      <c r="Z61" s="31"/>
      <c r="AA61" s="2"/>
      <c r="AB61" s="31"/>
      <c r="AC61" s="31"/>
      <c r="AD61" s="31"/>
      <c r="AE61" s="37"/>
      <c r="AF61" s="37"/>
      <c r="AG61" s="37"/>
    </row>
    <row r="62" spans="1:33" ht="15.75" customHeight="1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6"/>
      <c r="V62" s="1"/>
      <c r="W62" s="31"/>
      <c r="X62" s="31"/>
      <c r="Y62" s="31"/>
      <c r="Z62" s="31"/>
      <c r="AA62" s="2"/>
      <c r="AB62" s="31"/>
      <c r="AC62" s="31"/>
      <c r="AD62" s="31"/>
      <c r="AE62" s="37"/>
      <c r="AF62" s="37"/>
      <c r="AG62" s="37"/>
    </row>
    <row r="63" spans="1:33" ht="15.75" customHeight="1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6"/>
      <c r="V63" s="1"/>
      <c r="W63" s="31"/>
      <c r="X63" s="31"/>
      <c r="Y63" s="31"/>
      <c r="Z63" s="31"/>
      <c r="AA63" s="2"/>
      <c r="AB63" s="31"/>
      <c r="AC63" s="31"/>
      <c r="AD63" s="31"/>
      <c r="AE63" s="37"/>
      <c r="AF63" s="37"/>
      <c r="AG63" s="37"/>
    </row>
    <row r="64" spans="1:33" ht="15.75" customHeight="1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6"/>
      <c r="V64" s="1"/>
      <c r="W64" s="31"/>
      <c r="X64" s="31"/>
      <c r="Y64" s="31"/>
      <c r="Z64" s="31"/>
      <c r="AA64" s="2"/>
      <c r="AB64" s="31"/>
      <c r="AC64" s="31"/>
      <c r="AD64" s="31"/>
      <c r="AE64" s="37"/>
      <c r="AF64" s="37"/>
      <c r="AG64" s="37"/>
    </row>
    <row r="65" spans="1:33" ht="15.75" customHeight="1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6"/>
      <c r="V65" s="1"/>
      <c r="W65" s="31"/>
      <c r="X65" s="31"/>
      <c r="Y65" s="31"/>
      <c r="Z65" s="31"/>
      <c r="AA65" s="2"/>
      <c r="AB65" s="31"/>
      <c r="AC65" s="31"/>
      <c r="AD65" s="31"/>
      <c r="AE65" s="37"/>
      <c r="AF65" s="37"/>
      <c r="AG65" s="37"/>
    </row>
    <row r="66" spans="1:33" ht="15.75" customHeight="1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6"/>
      <c r="V66" s="1"/>
      <c r="W66" s="31"/>
      <c r="X66" s="31"/>
      <c r="Y66" s="31"/>
      <c r="Z66" s="31"/>
      <c r="AA66" s="2"/>
      <c r="AB66" s="31"/>
      <c r="AC66" s="31"/>
      <c r="AD66" s="31"/>
      <c r="AE66" s="37"/>
      <c r="AF66" s="37"/>
      <c r="AG66" s="37"/>
    </row>
    <row r="67" spans="1:33" ht="15.75" customHeight="1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6"/>
      <c r="V67" s="1"/>
      <c r="W67" s="31"/>
      <c r="X67" s="31"/>
      <c r="Y67" s="31"/>
      <c r="Z67" s="31"/>
      <c r="AA67" s="2"/>
      <c r="AB67" s="31"/>
      <c r="AC67" s="31"/>
      <c r="AD67" s="31"/>
      <c r="AE67" s="37"/>
      <c r="AF67" s="37"/>
      <c r="AG67" s="37"/>
    </row>
    <row r="68" spans="1:33" ht="15.75" customHeight="1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6"/>
      <c r="V68" s="1"/>
      <c r="W68" s="31"/>
      <c r="X68" s="31"/>
      <c r="Y68" s="31"/>
      <c r="Z68" s="31"/>
      <c r="AA68" s="2"/>
      <c r="AB68" s="31"/>
      <c r="AC68" s="31"/>
      <c r="AD68" s="31"/>
      <c r="AE68" s="37"/>
      <c r="AF68" s="37"/>
      <c r="AG68" s="37"/>
    </row>
    <row r="69" spans="1:33" ht="15.75" customHeight="1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6"/>
      <c r="V69" s="1"/>
      <c r="W69" s="31"/>
      <c r="X69" s="31"/>
      <c r="Y69" s="31"/>
      <c r="Z69" s="31"/>
      <c r="AA69" s="2"/>
      <c r="AB69" s="31"/>
      <c r="AC69" s="31"/>
      <c r="AD69" s="31"/>
      <c r="AE69" s="37"/>
      <c r="AF69" s="37"/>
      <c r="AG69" s="37"/>
    </row>
    <row r="70" spans="1:33" ht="15.75" customHeight="1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6"/>
      <c r="V70" s="1"/>
      <c r="W70" s="31"/>
      <c r="X70" s="31"/>
      <c r="Y70" s="31"/>
      <c r="Z70" s="31"/>
      <c r="AA70" s="2"/>
      <c r="AB70" s="31"/>
      <c r="AC70" s="31"/>
      <c r="AD70" s="31"/>
      <c r="AE70" s="37"/>
      <c r="AF70" s="37"/>
      <c r="AG70" s="37"/>
    </row>
    <row r="71" spans="1:33" ht="15.75" customHeight="1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6"/>
      <c r="V71" s="1"/>
      <c r="W71" s="31"/>
      <c r="X71" s="31"/>
      <c r="Y71" s="31"/>
      <c r="Z71" s="31"/>
      <c r="AA71" s="2"/>
      <c r="AB71" s="31"/>
      <c r="AC71" s="31"/>
      <c r="AD71" s="31"/>
      <c r="AE71" s="37"/>
      <c r="AF71" s="37"/>
      <c r="AG71" s="37"/>
    </row>
    <row r="72" spans="1:33" ht="15.75" customHeight="1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6"/>
      <c r="V72" s="1"/>
      <c r="W72" s="31"/>
      <c r="X72" s="31"/>
      <c r="Y72" s="31"/>
      <c r="Z72" s="31"/>
      <c r="AA72" s="2"/>
      <c r="AB72" s="31"/>
      <c r="AC72" s="31"/>
      <c r="AD72" s="31"/>
      <c r="AE72" s="37"/>
      <c r="AF72" s="37"/>
      <c r="AG72" s="37"/>
    </row>
    <row r="73" spans="1:33" ht="15.75" customHeight="1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6"/>
      <c r="V73" s="1"/>
      <c r="W73" s="31"/>
      <c r="X73" s="31"/>
      <c r="Y73" s="31"/>
      <c r="Z73" s="31"/>
      <c r="AA73" s="2"/>
      <c r="AB73" s="31"/>
      <c r="AC73" s="31"/>
      <c r="AD73" s="31"/>
      <c r="AE73" s="37"/>
      <c r="AF73" s="37"/>
      <c r="AG73" s="37"/>
    </row>
    <row r="74" spans="1:33" ht="15.75" customHeight="1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6"/>
      <c r="V74" s="1"/>
      <c r="W74" s="31"/>
      <c r="X74" s="31"/>
      <c r="Y74" s="31"/>
      <c r="Z74" s="31"/>
      <c r="AA74" s="2"/>
      <c r="AB74" s="31"/>
      <c r="AC74" s="31"/>
      <c r="AD74" s="31"/>
      <c r="AE74" s="37"/>
      <c r="AF74" s="37"/>
      <c r="AG74" s="37"/>
    </row>
    <row r="75" spans="1:33" ht="15.75" customHeight="1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6"/>
      <c r="V75" s="1"/>
      <c r="W75" s="31"/>
      <c r="X75" s="31"/>
      <c r="Y75" s="31"/>
      <c r="Z75" s="31"/>
      <c r="AA75" s="2"/>
      <c r="AB75" s="31"/>
      <c r="AC75" s="31"/>
      <c r="AD75" s="31"/>
      <c r="AE75" s="37"/>
      <c r="AF75" s="37"/>
      <c r="AG75" s="37"/>
    </row>
    <row r="76" spans="1:33" ht="15.75" customHeight="1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6"/>
      <c r="V76" s="1"/>
      <c r="W76" s="31"/>
      <c r="X76" s="31"/>
      <c r="Y76" s="31"/>
      <c r="Z76" s="31"/>
      <c r="AA76" s="2"/>
      <c r="AB76" s="31"/>
      <c r="AC76" s="31"/>
      <c r="AD76" s="31"/>
      <c r="AE76" s="37"/>
      <c r="AF76" s="37"/>
      <c r="AG76" s="37"/>
    </row>
    <row r="77" spans="1:33" ht="15.75" customHeight="1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6"/>
      <c r="V77" s="1"/>
      <c r="W77" s="31"/>
      <c r="X77" s="31"/>
      <c r="Y77" s="31"/>
      <c r="Z77" s="31"/>
      <c r="AA77" s="2"/>
      <c r="AB77" s="31"/>
      <c r="AC77" s="31"/>
      <c r="AD77" s="31"/>
      <c r="AE77" s="37"/>
      <c r="AF77" s="37"/>
      <c r="AG77" s="37"/>
    </row>
    <row r="78" spans="1:33" ht="15.75" customHeight="1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6"/>
      <c r="V78" s="1"/>
      <c r="W78" s="31"/>
      <c r="X78" s="31"/>
      <c r="Y78" s="31"/>
      <c r="Z78" s="31"/>
      <c r="AA78" s="2"/>
      <c r="AB78" s="31"/>
      <c r="AC78" s="31"/>
      <c r="AD78" s="31"/>
      <c r="AE78" s="37"/>
      <c r="AF78" s="37"/>
      <c r="AG78" s="37"/>
    </row>
    <row r="79" spans="1:33" ht="15.75" customHeight="1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6"/>
      <c r="V79" s="1"/>
      <c r="W79" s="31"/>
      <c r="X79" s="31"/>
      <c r="Y79" s="31"/>
      <c r="Z79" s="31"/>
      <c r="AA79" s="2"/>
      <c r="AB79" s="31"/>
      <c r="AC79" s="31"/>
      <c r="AD79" s="31"/>
      <c r="AE79" s="37"/>
      <c r="AF79" s="37"/>
      <c r="AG79" s="37"/>
    </row>
    <row r="80" spans="1:33" ht="15.75" customHeight="1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6"/>
      <c r="V80" s="1"/>
      <c r="W80" s="31"/>
      <c r="X80" s="31"/>
      <c r="Y80" s="31"/>
      <c r="Z80" s="31"/>
      <c r="AA80" s="2"/>
      <c r="AB80" s="31"/>
      <c r="AC80" s="31"/>
      <c r="AD80" s="31"/>
      <c r="AE80" s="37"/>
      <c r="AF80" s="37"/>
      <c r="AG80" s="37"/>
    </row>
    <row r="81" spans="1:33" ht="15.75" customHeight="1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6"/>
      <c r="V81" s="1"/>
      <c r="W81" s="31"/>
      <c r="X81" s="31"/>
      <c r="Y81" s="31"/>
      <c r="Z81" s="31"/>
      <c r="AA81" s="2"/>
      <c r="AB81" s="31"/>
      <c r="AC81" s="31"/>
      <c r="AD81" s="31"/>
      <c r="AE81" s="37"/>
      <c r="AF81" s="37"/>
      <c r="AG81" s="37"/>
    </row>
    <row r="82" spans="1:33" ht="15.75" customHeight="1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6"/>
      <c r="V82" s="1"/>
      <c r="W82" s="31"/>
      <c r="X82" s="31"/>
      <c r="Y82" s="31"/>
      <c r="Z82" s="31"/>
      <c r="AA82" s="2"/>
      <c r="AB82" s="31"/>
      <c r="AC82" s="31"/>
      <c r="AD82" s="31"/>
      <c r="AE82" s="37"/>
      <c r="AF82" s="37"/>
      <c r="AG82" s="37"/>
    </row>
    <row r="83" spans="1:33" ht="15.75" customHeight="1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6"/>
      <c r="V83" s="1"/>
      <c r="W83" s="31"/>
      <c r="X83" s="31"/>
      <c r="Y83" s="31"/>
      <c r="Z83" s="31"/>
      <c r="AA83" s="2"/>
      <c r="AB83" s="31"/>
      <c r="AC83" s="31"/>
      <c r="AD83" s="31"/>
      <c r="AE83" s="37"/>
      <c r="AF83" s="37"/>
      <c r="AG83" s="37"/>
    </row>
    <row r="84" spans="1:33" ht="15.75" customHeight="1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6"/>
      <c r="V84" s="1"/>
      <c r="W84" s="31"/>
      <c r="X84" s="31"/>
      <c r="Y84" s="31"/>
      <c r="Z84" s="31"/>
      <c r="AA84" s="2"/>
      <c r="AB84" s="31"/>
      <c r="AC84" s="31"/>
      <c r="AD84" s="31"/>
      <c r="AE84" s="37"/>
      <c r="AF84" s="37"/>
      <c r="AG84" s="37"/>
    </row>
    <row r="85" spans="1:33" ht="15.75" customHeight="1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6"/>
      <c r="V85" s="1"/>
      <c r="W85" s="31"/>
      <c r="X85" s="31"/>
      <c r="Y85" s="31"/>
      <c r="Z85" s="31"/>
      <c r="AA85" s="2"/>
      <c r="AB85" s="31"/>
      <c r="AC85" s="31"/>
      <c r="AD85" s="31"/>
      <c r="AE85" s="37"/>
      <c r="AF85" s="37"/>
      <c r="AG85" s="37"/>
    </row>
    <row r="86" spans="1:33" ht="15.75" customHeight="1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6"/>
      <c r="V86" s="1"/>
      <c r="W86" s="31"/>
      <c r="X86" s="31"/>
      <c r="Y86" s="31"/>
      <c r="Z86" s="31"/>
      <c r="AA86" s="2"/>
      <c r="AB86" s="31"/>
      <c r="AC86" s="31"/>
      <c r="AD86" s="31"/>
      <c r="AE86" s="37"/>
      <c r="AF86" s="37"/>
      <c r="AG86" s="37"/>
    </row>
    <row r="87" spans="1:33" ht="15.75" customHeight="1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6"/>
      <c r="V87" s="1"/>
      <c r="W87" s="31"/>
      <c r="X87" s="31"/>
      <c r="Y87" s="31"/>
      <c r="Z87" s="31"/>
      <c r="AA87" s="2"/>
      <c r="AB87" s="31"/>
      <c r="AC87" s="31"/>
      <c r="AD87" s="31"/>
      <c r="AE87" s="37"/>
      <c r="AF87" s="37"/>
      <c r="AG87" s="37"/>
    </row>
    <row r="88" spans="1:33" ht="15.75" customHeight="1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6"/>
      <c r="V88" s="1"/>
      <c r="W88" s="31"/>
      <c r="X88" s="31"/>
      <c r="Y88" s="31"/>
      <c r="Z88" s="31"/>
      <c r="AA88" s="2"/>
      <c r="AB88" s="31"/>
      <c r="AC88" s="31"/>
      <c r="AD88" s="31"/>
      <c r="AE88" s="37"/>
      <c r="AF88" s="37"/>
      <c r="AG88" s="37"/>
    </row>
    <row r="89" spans="1:33" ht="15.75" customHeight="1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6"/>
      <c r="V89" s="1"/>
      <c r="W89" s="31"/>
      <c r="X89" s="31"/>
      <c r="Y89" s="31"/>
      <c r="Z89" s="31"/>
      <c r="AA89" s="2"/>
      <c r="AB89" s="31"/>
      <c r="AC89" s="31"/>
      <c r="AD89" s="31"/>
      <c r="AE89" s="37"/>
      <c r="AF89" s="37"/>
      <c r="AG89" s="37"/>
    </row>
    <row r="90" spans="1:33" ht="15.75" customHeight="1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6"/>
      <c r="V90" s="1"/>
      <c r="W90" s="31"/>
      <c r="X90" s="31"/>
      <c r="Y90" s="31"/>
      <c r="Z90" s="31"/>
      <c r="AA90" s="2"/>
      <c r="AB90" s="31"/>
      <c r="AC90" s="31"/>
      <c r="AD90" s="31"/>
      <c r="AE90" s="37"/>
      <c r="AF90" s="37"/>
      <c r="AG90" s="37"/>
    </row>
    <row r="91" spans="1:33" ht="15.75" customHeight="1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6"/>
      <c r="V91" s="1"/>
      <c r="W91" s="31"/>
      <c r="X91" s="31"/>
      <c r="Y91" s="31"/>
      <c r="Z91" s="31"/>
      <c r="AA91" s="2"/>
      <c r="AB91" s="31"/>
      <c r="AC91" s="31"/>
      <c r="AD91" s="31"/>
      <c r="AE91" s="37"/>
      <c r="AF91" s="37"/>
      <c r="AG91" s="37"/>
    </row>
    <row r="92" spans="1:33" ht="15.75" customHeight="1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6"/>
      <c r="V92" s="1"/>
      <c r="W92" s="31"/>
      <c r="X92" s="31"/>
      <c r="Y92" s="31"/>
      <c r="Z92" s="31"/>
      <c r="AA92" s="2"/>
      <c r="AB92" s="31"/>
      <c r="AC92" s="31"/>
      <c r="AD92" s="31"/>
      <c r="AE92" s="37"/>
      <c r="AF92" s="37"/>
      <c r="AG92" s="37"/>
    </row>
    <row r="93" spans="1:33" ht="15.75" customHeight="1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6"/>
      <c r="V93" s="1"/>
      <c r="W93" s="31"/>
      <c r="X93" s="31"/>
      <c r="Y93" s="31"/>
      <c r="Z93" s="31"/>
      <c r="AA93" s="2"/>
      <c r="AB93" s="31"/>
      <c r="AC93" s="31"/>
      <c r="AD93" s="31"/>
      <c r="AE93" s="37"/>
      <c r="AF93" s="37"/>
      <c r="AG93" s="37"/>
    </row>
    <row r="94" spans="1:33" ht="15.75" customHeight="1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6"/>
      <c r="V94" s="1"/>
      <c r="W94" s="31"/>
      <c r="X94" s="31"/>
      <c r="Y94" s="31"/>
      <c r="Z94" s="31"/>
      <c r="AA94" s="2"/>
      <c r="AB94" s="31"/>
      <c r="AC94" s="31"/>
      <c r="AD94" s="31"/>
      <c r="AE94" s="37"/>
      <c r="AF94" s="37"/>
      <c r="AG94" s="37"/>
    </row>
    <row r="95" spans="1:33" ht="15.75" customHeight="1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6"/>
      <c r="V95" s="1"/>
      <c r="W95" s="31"/>
      <c r="X95" s="31"/>
      <c r="Y95" s="31"/>
      <c r="Z95" s="31"/>
      <c r="AA95" s="2"/>
      <c r="AB95" s="31"/>
      <c r="AC95" s="31"/>
      <c r="AD95" s="31"/>
      <c r="AE95" s="37"/>
      <c r="AF95" s="37"/>
      <c r="AG95" s="37"/>
    </row>
    <row r="96" spans="1:33" ht="15.75" customHeight="1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6"/>
      <c r="V96" s="1"/>
      <c r="W96" s="31"/>
      <c r="X96" s="31"/>
      <c r="Y96" s="31"/>
      <c r="Z96" s="31"/>
      <c r="AA96" s="2"/>
      <c r="AB96" s="31"/>
      <c r="AC96" s="31"/>
      <c r="AD96" s="31"/>
      <c r="AE96" s="37"/>
      <c r="AF96" s="37"/>
      <c r="AG96" s="37"/>
    </row>
    <row r="97" spans="1:33" ht="15.75" customHeight="1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8"/>
      <c r="R97" s="38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8"/>
      <c r="R98" s="38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8"/>
      <c r="R99" s="38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8"/>
      <c r="R100" s="38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8"/>
      <c r="R101" s="38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8"/>
      <c r="R102" s="38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8"/>
      <c r="R103" s="38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8"/>
      <c r="R104" s="38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8"/>
      <c r="R105" s="38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8"/>
      <c r="R106" s="38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8"/>
      <c r="R107" s="38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8"/>
      <c r="R108" s="38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8"/>
      <c r="R109" s="38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8"/>
      <c r="R110" s="38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8"/>
      <c r="R111" s="38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8"/>
      <c r="R112" s="38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8"/>
      <c r="R113" s="38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8"/>
      <c r="R114" s="38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>
      <c r="A115" s="31"/>
      <c r="B115" s="31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>
      <c r="A116" s="31"/>
      <c r="B116" s="31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>
      <c r="A117" s="31"/>
      <c r="B117" s="31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>
      <c r="A118" s="31"/>
      <c r="B118" s="31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>
      <c r="A119" s="31"/>
      <c r="B119" s="31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>
      <c r="A120" s="31"/>
      <c r="B120" s="31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>
      <c r="A121" s="31"/>
      <c r="B121" s="31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>
      <c r="A122" s="31"/>
      <c r="B122" s="31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>
      <c r="A123" s="31"/>
      <c r="B123" s="31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>
      <c r="A124" s="31"/>
      <c r="B124" s="31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>
      <c r="A125" s="31"/>
      <c r="B125" s="31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>
      <c r="A126" s="31"/>
      <c r="B126" s="31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>
      <c r="A127" s="31"/>
      <c r="B127" s="31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>
      <c r="A128" s="31"/>
      <c r="B128" s="31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>
      <c r="A129" s="31"/>
      <c r="B129" s="31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>
      <c r="A130" s="31"/>
      <c r="B130" s="31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>
      <c r="A131" s="31"/>
      <c r="B131" s="31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>
      <c r="A132" s="31"/>
      <c r="B132" s="31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>
      <c r="A133" s="31"/>
      <c r="B133" s="31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>
      <c r="A134" s="31"/>
      <c r="B134" s="31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>
      <c r="A135" s="31"/>
      <c r="B135" s="31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>
      <c r="A136" s="31"/>
      <c r="B136" s="31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>
      <c r="A137" s="31"/>
      <c r="B137" s="31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>
      <c r="A138" s="31"/>
      <c r="B138" s="31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>
      <c r="A139" s="31"/>
      <c r="B139" s="31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>
      <c r="A140" s="31"/>
      <c r="B140" s="31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>
      <c r="A141" s="31"/>
      <c r="B141" s="31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2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>
      <c r="A142" s="31"/>
      <c r="B142" s="31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2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>
      <c r="A143" s="31"/>
      <c r="B143" s="31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2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>
      <c r="A144" s="31"/>
      <c r="B144" s="31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2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>
      <c r="A145" s="31"/>
      <c r="B145" s="31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2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>
      <c r="A146" s="31"/>
      <c r="B146" s="31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2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>
      <c r="A147" s="31"/>
      <c r="B147" s="31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2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>
      <c r="A148" s="31"/>
      <c r="B148" s="31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2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</row>
    <row r="149" spans="1:33" ht="15.75" customHeight="1">
      <c r="A149" s="14"/>
      <c r="B149" s="14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>
      <c r="A150" s="14"/>
      <c r="B150" s="14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>
      <c r="A151" s="14"/>
      <c r="B151" s="14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>
      <c r="A152" s="14"/>
      <c r="B152" s="14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>
      <c r="A153" s="14"/>
      <c r="B153" s="14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>
      <c r="A154" s="14"/>
      <c r="B154" s="14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>
      <c r="A155" s="14"/>
      <c r="B155" s="14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>
      <c r="A156" s="14"/>
      <c r="B156" s="14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>
      <c r="A157" s="14"/>
      <c r="B157" s="14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>
      <c r="A158" s="14"/>
      <c r="B158" s="14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>
      <c r="A159" s="14"/>
      <c r="B159" s="14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>
      <c r="A160" s="14"/>
      <c r="B160" s="14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>
      <c r="A161" s="14"/>
      <c r="B161" s="14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>
      <c r="A162" s="14"/>
      <c r="B162" s="14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>
      <c r="A163" s="14"/>
      <c r="B163" s="14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>
      <c r="A164" s="14"/>
      <c r="B164" s="14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>
      <c r="A165" s="14"/>
      <c r="B165" s="14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>
      <c r="A166" s="14"/>
      <c r="B166" s="14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>
      <c r="A167" s="14"/>
      <c r="B167" s="14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>
      <c r="A168" s="14"/>
      <c r="B168" s="14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>
      <c r="A169" s="14"/>
      <c r="B169" s="14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>
      <c r="A170" s="14"/>
      <c r="B170" s="14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>
      <c r="A171" s="14"/>
      <c r="B171" s="14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>
      <c r="A172" s="14"/>
      <c r="B172" s="14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>
      <c r="A173" s="14"/>
      <c r="B173" s="14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>
      <c r="A174" s="14"/>
      <c r="B174" s="14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>
      <c r="A175" s="14"/>
      <c r="B175" s="14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>
      <c r="A176" s="14"/>
      <c r="B176" s="14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>
      <c r="A177" s="14"/>
      <c r="B177" s="14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>
      <c r="A178" s="14"/>
      <c r="B178" s="14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>
      <c r="A179" s="14"/>
      <c r="B179" s="14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>
      <c r="A180" s="14"/>
      <c r="B180" s="14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>
      <c r="A181" s="14"/>
      <c r="B181" s="14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>
      <c r="A182" s="14"/>
      <c r="B182" s="14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>
      <c r="A183" s="14"/>
      <c r="B183" s="14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>
      <c r="A184" s="14"/>
      <c r="B184" s="14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>
      <c r="A185" s="14"/>
      <c r="B185" s="14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>
      <c r="A186" s="14"/>
      <c r="B186" s="14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>
      <c r="A187" s="14"/>
      <c r="B187" s="14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>
      <c r="A188" s="14"/>
      <c r="B188" s="14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>
      <c r="A189" s="14"/>
      <c r="B189" s="14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>
      <c r="A190" s="14"/>
      <c r="B190" s="14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>
      <c r="A191" s="14"/>
      <c r="B191" s="14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>
      <c r="A192" s="14"/>
      <c r="B192" s="14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>
      <c r="A193" s="14"/>
      <c r="B193" s="14"/>
      <c r="C193" s="39"/>
      <c r="D193" s="39"/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>
      <c r="A194" s="14"/>
      <c r="B194" s="14"/>
      <c r="C194" s="39"/>
      <c r="D194" s="39"/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>
      <c r="A195" s="14"/>
      <c r="B195" s="14"/>
      <c r="C195" s="39"/>
      <c r="D195" s="39"/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>
      <c r="A196" s="14"/>
      <c r="B196" s="14"/>
      <c r="C196" s="39"/>
      <c r="D196" s="39"/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>
      <c r="A197" s="14"/>
      <c r="B197" s="14"/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>
      <c r="A198" s="14"/>
      <c r="B198" s="14"/>
      <c r="C198" s="39"/>
      <c r="D198" s="39"/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>
      <c r="A199" s="14"/>
      <c r="B199" s="14"/>
      <c r="C199" s="39"/>
      <c r="D199" s="39"/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>
      <c r="A200" s="14"/>
      <c r="B200" s="14"/>
      <c r="C200" s="39"/>
      <c r="D200" s="39"/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>
      <c r="A201" s="14"/>
      <c r="B201" s="14"/>
      <c r="C201" s="39"/>
      <c r="D201" s="39"/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>
      <c r="A202" s="14"/>
      <c r="B202" s="14"/>
      <c r="C202" s="39"/>
      <c r="D202" s="39"/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>
      <c r="A203" s="14"/>
      <c r="B203" s="14"/>
      <c r="C203" s="39"/>
      <c r="D203" s="39"/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>
      <c r="A204" s="14"/>
      <c r="B204" s="14"/>
      <c r="C204" s="39"/>
      <c r="D204" s="39"/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>
      <c r="A205" s="14"/>
      <c r="B205" s="14"/>
      <c r="C205" s="39"/>
      <c r="D205" s="39"/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>
      <c r="A206" s="14"/>
      <c r="B206" s="14"/>
      <c r="C206" s="39"/>
      <c r="D206" s="39"/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>
      <c r="A207" s="14"/>
      <c r="B207" s="14"/>
      <c r="C207" s="39"/>
      <c r="D207" s="39"/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>
      <c r="A208" s="14"/>
      <c r="B208" s="14"/>
      <c r="C208" s="39"/>
      <c r="D208" s="39"/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>
      <c r="A209" s="14"/>
      <c r="B209" s="14"/>
      <c r="C209" s="39"/>
      <c r="D209" s="39"/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>
      <c r="A210" s="14"/>
      <c r="B210" s="14"/>
      <c r="C210" s="39"/>
      <c r="D210" s="39"/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>
      <c r="A211" s="14"/>
      <c r="B211" s="14"/>
      <c r="C211" s="39"/>
      <c r="D211" s="39"/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>
      <c r="A212" s="14"/>
      <c r="B212" s="14"/>
      <c r="C212" s="39"/>
      <c r="D212" s="39"/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>
      <c r="A213" s="14"/>
      <c r="B213" s="14"/>
      <c r="C213" s="39"/>
      <c r="D213" s="39"/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>
      <c r="A214" s="14"/>
      <c r="B214" s="14"/>
      <c r="C214" s="39"/>
      <c r="D214" s="39"/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>
      <c r="A215" s="14"/>
      <c r="B215" s="14"/>
      <c r="C215" s="39"/>
      <c r="D215" s="39"/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>
      <c r="A216" s="14"/>
      <c r="B216" s="14"/>
      <c r="C216" s="39"/>
      <c r="D216" s="39"/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>
      <c r="A217" s="14"/>
      <c r="B217" s="14"/>
      <c r="C217" s="39"/>
      <c r="D217" s="39"/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>
      <c r="A218" s="14"/>
      <c r="B218" s="14"/>
      <c r="C218" s="39"/>
      <c r="D218" s="39"/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>
      <c r="A219" s="14"/>
      <c r="B219" s="14"/>
      <c r="C219" s="39"/>
      <c r="D219" s="39"/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>
      <c r="A220" s="14"/>
      <c r="B220" s="14"/>
      <c r="C220" s="39"/>
      <c r="D220" s="39"/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>
      <c r="R221" s="30"/>
      <c r="S221" s="40"/>
    </row>
    <row r="222" spans="1:33" ht="15.75" customHeight="1">
      <c r="R222" s="30"/>
      <c r="S222" s="40"/>
    </row>
    <row r="223" spans="1:33" ht="15.75" customHeight="1">
      <c r="R223" s="30"/>
      <c r="S223" s="40"/>
    </row>
    <row r="224" spans="1:33" ht="15.75" customHeight="1">
      <c r="R224" s="30"/>
      <c r="S224" s="40"/>
    </row>
    <row r="225" spans="18:18" ht="15.75" customHeight="1">
      <c r="R225" s="30"/>
    </row>
    <row r="226" spans="18:18" ht="15.75" customHeight="1">
      <c r="R226" s="30"/>
    </row>
    <row r="227" spans="18:18" ht="15.75" customHeight="1">
      <c r="R227" s="30"/>
    </row>
    <row r="228" spans="18:18" ht="15.75" customHeight="1">
      <c r="R228" s="30"/>
    </row>
    <row r="229" spans="18:18" ht="15.75" customHeight="1">
      <c r="R229" s="30"/>
    </row>
    <row r="230" spans="18:18" ht="15.75" customHeight="1">
      <c r="R230" s="30"/>
    </row>
    <row r="231" spans="18:18" ht="15.75" customHeight="1">
      <c r="R231" s="30"/>
    </row>
    <row r="232" spans="18:18" ht="15.75" customHeight="1">
      <c r="R232" s="30"/>
    </row>
    <row r="233" spans="18:18" ht="15.75" customHeight="1">
      <c r="R233" s="30"/>
    </row>
    <row r="234" spans="18:18" ht="15.75" customHeight="1">
      <c r="R234" s="30"/>
    </row>
    <row r="235" spans="18:18" ht="15.75" customHeight="1">
      <c r="R235" s="30"/>
    </row>
    <row r="236" spans="18:18" ht="15.75" customHeight="1">
      <c r="R236" s="30"/>
    </row>
    <row r="237" spans="18:18" ht="15.75" customHeight="1">
      <c r="R237" s="30"/>
    </row>
    <row r="238" spans="18:18" ht="15.75" customHeight="1">
      <c r="R238" s="30"/>
    </row>
    <row r="239" spans="18:18" ht="15.75" customHeight="1">
      <c r="R239" s="30"/>
    </row>
    <row r="240" spans="18:18" ht="15.75" customHeight="1">
      <c r="R240" s="30"/>
    </row>
    <row r="241" spans="18:18" ht="15.75" customHeight="1">
      <c r="R241" s="30"/>
    </row>
    <row r="242" spans="18:18" ht="15.75" customHeight="1">
      <c r="R242" s="30"/>
    </row>
    <row r="243" spans="18:18" ht="15.75" customHeight="1">
      <c r="R243" s="30"/>
    </row>
    <row r="244" spans="18:18" ht="15.75" customHeight="1">
      <c r="R244" s="30"/>
    </row>
    <row r="245" spans="18:18" ht="15.75" customHeight="1">
      <c r="R245" s="30"/>
    </row>
    <row r="246" spans="18:18" ht="15.75" customHeight="1">
      <c r="R246" s="30"/>
    </row>
    <row r="247" spans="18:18" ht="15.75" customHeight="1">
      <c r="R247" s="30"/>
    </row>
    <row r="248" spans="18:18" ht="15.75" customHeight="1">
      <c r="R248" s="30"/>
    </row>
    <row r="249" spans="18:18" ht="15.75" customHeight="1">
      <c r="R249" s="30"/>
    </row>
    <row r="250" spans="18:18" ht="15.75" customHeight="1">
      <c r="R250" s="30"/>
    </row>
    <row r="251" spans="18:18" ht="15.75" customHeight="1">
      <c r="R251" s="30"/>
    </row>
    <row r="252" spans="18:18" ht="15.75" customHeight="1">
      <c r="R252" s="30"/>
    </row>
    <row r="253" spans="18:18" ht="15.75" customHeight="1">
      <c r="R253" s="30"/>
    </row>
    <row r="254" spans="18:18" ht="15.75" customHeight="1">
      <c r="R254" s="30"/>
    </row>
    <row r="255" spans="18:18" ht="15.75" customHeight="1">
      <c r="R255" s="30"/>
    </row>
    <row r="256" spans="18:18" ht="15.75" customHeight="1">
      <c r="R256" s="30"/>
    </row>
    <row r="257" spans="18:18" ht="15.75" customHeight="1">
      <c r="R257" s="30"/>
    </row>
    <row r="258" spans="18:18" ht="15.75" customHeight="1">
      <c r="R258" s="30"/>
    </row>
    <row r="259" spans="18:18" ht="15.75" customHeight="1">
      <c r="R259" s="30"/>
    </row>
    <row r="260" spans="18:18" ht="15.75" customHeight="1">
      <c r="R260" s="30"/>
    </row>
    <row r="261" spans="18:18" ht="15.75" customHeight="1">
      <c r="R261" s="30"/>
    </row>
    <row r="262" spans="18:18" ht="15.75" customHeight="1">
      <c r="R262" s="30"/>
    </row>
    <row r="263" spans="18:18" ht="15.75" customHeight="1">
      <c r="R263" s="30"/>
    </row>
    <row r="264" spans="18:18" ht="15.75" customHeight="1">
      <c r="R264" s="30"/>
    </row>
    <row r="265" spans="18:18" ht="15.75" customHeight="1">
      <c r="R265" s="30"/>
    </row>
    <row r="266" spans="18:18" ht="15.75" customHeight="1">
      <c r="R266" s="30"/>
    </row>
    <row r="267" spans="18:18" ht="15.75" customHeight="1">
      <c r="R267" s="30"/>
    </row>
    <row r="268" spans="18:18" ht="15.75" customHeight="1">
      <c r="R268" s="30"/>
    </row>
    <row r="269" spans="18:18" ht="15.75" customHeight="1">
      <c r="R269" s="30"/>
    </row>
    <row r="270" spans="18:18" ht="15.75" customHeight="1">
      <c r="R270" s="30"/>
    </row>
    <row r="271" spans="18:18" ht="15.75" customHeight="1">
      <c r="R271" s="30"/>
    </row>
    <row r="272" spans="18:18" ht="15.75" customHeight="1">
      <c r="R272" s="30"/>
    </row>
    <row r="273" spans="18:18" ht="15.75" customHeight="1">
      <c r="R273" s="30"/>
    </row>
    <row r="274" spans="18:18" ht="15.75" customHeight="1">
      <c r="R274" s="30"/>
    </row>
    <row r="275" spans="18:18" ht="15.75" customHeight="1">
      <c r="R275" s="30"/>
    </row>
    <row r="276" spans="18:18" ht="15.75" customHeight="1">
      <c r="R276" s="30"/>
    </row>
    <row r="277" spans="18:18" ht="15.75" customHeight="1">
      <c r="R277" s="30"/>
    </row>
    <row r="278" spans="18:18" ht="15.75" customHeight="1">
      <c r="R278" s="30"/>
    </row>
    <row r="279" spans="18:18" ht="15.75" customHeight="1">
      <c r="R279" s="30"/>
    </row>
    <row r="280" spans="18:18" ht="15.75" customHeight="1">
      <c r="R280" s="30"/>
    </row>
    <row r="281" spans="18:18" ht="15.75" customHeight="1">
      <c r="R281" s="30"/>
    </row>
    <row r="282" spans="18:18" ht="15.75" customHeight="1">
      <c r="R282" s="30"/>
    </row>
    <row r="283" spans="18:18" ht="15.75" customHeight="1">
      <c r="R283" s="30"/>
    </row>
    <row r="284" spans="18:18" ht="15.75" customHeight="1">
      <c r="R284" s="30"/>
    </row>
    <row r="285" spans="18:18" ht="15.75" customHeight="1">
      <c r="R285" s="30"/>
    </row>
    <row r="286" spans="18:18" ht="15.75" customHeight="1">
      <c r="R286" s="30"/>
    </row>
    <row r="287" spans="18:18" ht="15.75" customHeight="1">
      <c r="R287" s="30"/>
    </row>
    <row r="288" spans="18:18" ht="15.75" customHeight="1">
      <c r="R288" s="30"/>
    </row>
    <row r="289" spans="18:18" ht="15.75" customHeight="1">
      <c r="R289" s="30"/>
    </row>
    <row r="290" spans="18:18" ht="15.75" customHeight="1">
      <c r="R290" s="30"/>
    </row>
    <row r="291" spans="18:18" ht="15.75" customHeight="1">
      <c r="R291" s="30"/>
    </row>
    <row r="292" spans="18:18" ht="15.75" customHeight="1">
      <c r="R292" s="30"/>
    </row>
    <row r="293" spans="18:18" ht="15.75" customHeight="1">
      <c r="R293" s="30"/>
    </row>
    <row r="294" spans="18:18" ht="15.75" customHeight="1">
      <c r="R294" s="30"/>
    </row>
    <row r="295" spans="18:18" ht="15.75" customHeight="1">
      <c r="R295" s="30"/>
    </row>
    <row r="296" spans="18:18" ht="15.75" customHeight="1">
      <c r="R296" s="30"/>
    </row>
    <row r="297" spans="18:18" ht="15.75" customHeight="1">
      <c r="R297" s="30"/>
    </row>
    <row r="298" spans="18:18" ht="15.75" customHeight="1">
      <c r="R298" s="30"/>
    </row>
    <row r="299" spans="18:18" ht="15.75" customHeight="1">
      <c r="R299" s="30"/>
    </row>
    <row r="300" spans="18:18" ht="15.75" customHeight="1">
      <c r="R300" s="30"/>
    </row>
    <row r="301" spans="18:18" ht="15.75" customHeight="1">
      <c r="R301" s="30"/>
    </row>
    <row r="302" spans="18:18" ht="15.75" customHeight="1">
      <c r="R302" s="30"/>
    </row>
    <row r="303" spans="18:18" ht="15.75" customHeight="1">
      <c r="R303" s="30"/>
    </row>
    <row r="304" spans="18:18" ht="15.75" customHeight="1">
      <c r="R304" s="30"/>
    </row>
    <row r="305" spans="18:18" ht="15.75" customHeight="1">
      <c r="R305" s="30"/>
    </row>
    <row r="306" spans="18:18" ht="15.75" customHeight="1">
      <c r="R306" s="30"/>
    </row>
    <row r="307" spans="18:18" ht="15.75" customHeight="1">
      <c r="R307" s="30"/>
    </row>
    <row r="308" spans="18:18" ht="15.75" customHeight="1">
      <c r="R308" s="30"/>
    </row>
    <row r="309" spans="18:18" ht="15.75" customHeight="1">
      <c r="R309" s="30"/>
    </row>
    <row r="310" spans="18:18" ht="15.75" customHeight="1">
      <c r="R310" s="30"/>
    </row>
    <row r="311" spans="18:18" ht="15.75" customHeight="1">
      <c r="R311" s="30"/>
    </row>
    <row r="312" spans="18:18" ht="15.75" customHeight="1">
      <c r="R312" s="30"/>
    </row>
    <row r="313" spans="18:18" ht="15.75" customHeight="1">
      <c r="R313" s="30"/>
    </row>
    <row r="314" spans="18:18" ht="15.75" customHeight="1">
      <c r="R314" s="30"/>
    </row>
    <row r="315" spans="18:18" ht="15.75" customHeight="1">
      <c r="R315" s="30"/>
    </row>
    <row r="316" spans="18:18" ht="15.75" customHeight="1">
      <c r="R316" s="30"/>
    </row>
    <row r="317" spans="18:18" ht="15.75" customHeight="1">
      <c r="R317" s="30"/>
    </row>
    <row r="318" spans="18:18" ht="15.75" customHeight="1">
      <c r="R318" s="30"/>
    </row>
    <row r="319" spans="18:18" ht="15.75" customHeight="1">
      <c r="R319" s="30"/>
    </row>
    <row r="320" spans="18:18" ht="15.75" customHeight="1">
      <c r="R320" s="30"/>
    </row>
    <row r="321" spans="18:18" ht="15.75" customHeight="1">
      <c r="R321" s="30"/>
    </row>
    <row r="322" spans="18:18" ht="15.75" customHeight="1">
      <c r="R322" s="30"/>
    </row>
    <row r="323" spans="18:18" ht="15.75" customHeight="1">
      <c r="R323" s="30"/>
    </row>
    <row r="324" spans="18:18" ht="15.75" customHeight="1">
      <c r="R324" s="30"/>
    </row>
    <row r="325" spans="18:18" ht="15.75" customHeight="1">
      <c r="R325" s="30"/>
    </row>
    <row r="326" spans="18:18" ht="15.75" customHeight="1">
      <c r="R326" s="30"/>
    </row>
    <row r="327" spans="18:18" ht="15.75" customHeight="1">
      <c r="R327" s="30"/>
    </row>
    <row r="328" spans="18:18" ht="15.75" customHeight="1">
      <c r="R328" s="30"/>
    </row>
    <row r="329" spans="18:18" ht="15.75" customHeight="1">
      <c r="R329" s="30"/>
    </row>
    <row r="330" spans="18:18" ht="15.75" customHeight="1">
      <c r="R330" s="30"/>
    </row>
    <row r="331" spans="18:18" ht="15.75" customHeight="1">
      <c r="R331" s="30"/>
    </row>
    <row r="332" spans="18:18" ht="15.75" customHeight="1">
      <c r="R332" s="30"/>
    </row>
    <row r="333" spans="18:18" ht="15.75" customHeight="1">
      <c r="R333" s="30"/>
    </row>
    <row r="334" spans="18:18" ht="15.75" customHeight="1">
      <c r="R334" s="30"/>
    </row>
    <row r="335" spans="18:18" ht="15.75" customHeight="1">
      <c r="R335" s="30"/>
    </row>
    <row r="336" spans="18:18" ht="15.75" customHeight="1">
      <c r="R336" s="30"/>
    </row>
    <row r="337" spans="18:18" ht="15.75" customHeight="1">
      <c r="R337" s="30"/>
    </row>
    <row r="338" spans="18:18" ht="15.75" customHeight="1">
      <c r="R338" s="30"/>
    </row>
    <row r="339" spans="18:18" ht="15.75" customHeight="1">
      <c r="R339" s="30"/>
    </row>
    <row r="340" spans="18:18" ht="15.75" customHeight="1">
      <c r="R340" s="30"/>
    </row>
    <row r="341" spans="18:18" ht="15.75" customHeight="1">
      <c r="R341" s="30"/>
    </row>
    <row r="342" spans="18:18" ht="15.75" customHeight="1">
      <c r="R342" s="30"/>
    </row>
    <row r="343" spans="18:18" ht="15.75" customHeight="1">
      <c r="R343" s="30"/>
    </row>
    <row r="344" spans="18:18" ht="15.75" customHeight="1">
      <c r="R344" s="30"/>
    </row>
    <row r="345" spans="18:18" ht="15.75" customHeight="1">
      <c r="R345" s="30"/>
    </row>
    <row r="346" spans="18:18" ht="15.75" customHeight="1">
      <c r="R346" s="30"/>
    </row>
    <row r="347" spans="18:18" ht="15.75" customHeight="1">
      <c r="R347" s="30"/>
    </row>
    <row r="348" spans="18:18" ht="15.75" customHeight="1">
      <c r="R348" s="30"/>
    </row>
    <row r="349" spans="18:18" ht="15.75" customHeight="1">
      <c r="R349" s="30"/>
    </row>
    <row r="350" spans="18:18" ht="15.75" customHeight="1">
      <c r="R350" s="30"/>
    </row>
    <row r="351" spans="18:18" ht="15.75" customHeight="1">
      <c r="R351" s="30"/>
    </row>
    <row r="352" spans="18:18" ht="15.75" customHeight="1">
      <c r="R352" s="30"/>
    </row>
    <row r="353" spans="18:18" ht="15.75" customHeight="1">
      <c r="R353" s="30"/>
    </row>
    <row r="354" spans="18:18" ht="15.75" customHeight="1">
      <c r="R354" s="30"/>
    </row>
    <row r="355" spans="18:18" ht="15.75" customHeight="1">
      <c r="R355" s="30"/>
    </row>
    <row r="356" spans="18:18" ht="15.75" customHeight="1">
      <c r="R356" s="30"/>
    </row>
    <row r="357" spans="18:18" ht="15.75" customHeight="1">
      <c r="R357" s="30"/>
    </row>
    <row r="358" spans="18:18" ht="15.75" customHeight="1">
      <c r="R358" s="30"/>
    </row>
    <row r="359" spans="18:18" ht="15.75" customHeight="1">
      <c r="R359" s="30"/>
    </row>
    <row r="360" spans="18:18" ht="15.75" customHeight="1">
      <c r="R360" s="30"/>
    </row>
    <row r="361" spans="18:18" ht="15.75" customHeight="1">
      <c r="R361" s="30"/>
    </row>
    <row r="362" spans="18:18" ht="15.75" customHeight="1">
      <c r="R362" s="30"/>
    </row>
    <row r="363" spans="18:18" ht="15.75" customHeight="1">
      <c r="R363" s="30"/>
    </row>
    <row r="364" spans="18:18" ht="15.75" customHeight="1">
      <c r="R364" s="30"/>
    </row>
    <row r="365" spans="18:18" ht="15.75" customHeight="1">
      <c r="R365" s="30"/>
    </row>
    <row r="366" spans="18:18" ht="15.75" customHeight="1">
      <c r="R366" s="30"/>
    </row>
    <row r="367" spans="18:18" ht="15.75" customHeight="1">
      <c r="R367" s="30"/>
    </row>
    <row r="368" spans="18:18" ht="15.75" customHeight="1">
      <c r="R368" s="30"/>
    </row>
    <row r="369" spans="18:18" ht="15.75" customHeight="1">
      <c r="R369" s="30"/>
    </row>
    <row r="370" spans="18:18" ht="15.75" customHeight="1">
      <c r="R370" s="30"/>
    </row>
    <row r="371" spans="18:18" ht="15.75" customHeight="1">
      <c r="R371" s="30"/>
    </row>
    <row r="372" spans="18:18" ht="15.75" customHeight="1">
      <c r="R372" s="30"/>
    </row>
    <row r="373" spans="18:18" ht="15.75" customHeight="1">
      <c r="R373" s="30"/>
    </row>
    <row r="374" spans="18:18" ht="15.75" customHeight="1">
      <c r="R374" s="30"/>
    </row>
    <row r="375" spans="18:18" ht="15.75" customHeight="1">
      <c r="R375" s="30"/>
    </row>
    <row r="376" spans="18:18" ht="15.75" customHeight="1">
      <c r="R376" s="30"/>
    </row>
    <row r="377" spans="18:18" ht="15.75" customHeight="1">
      <c r="R377" s="30"/>
    </row>
    <row r="378" spans="18:18" ht="15.75" customHeight="1">
      <c r="R378" s="30"/>
    </row>
    <row r="379" spans="18:18" ht="15.75" customHeight="1">
      <c r="R379" s="30"/>
    </row>
    <row r="380" spans="18:18" ht="15.75" customHeight="1">
      <c r="R380" s="30"/>
    </row>
    <row r="381" spans="18:18" ht="15.75" customHeight="1">
      <c r="R381" s="30"/>
    </row>
    <row r="382" spans="18:18" ht="15.75" customHeight="1">
      <c r="R382" s="30"/>
    </row>
    <row r="383" spans="18:18" ht="15.75" customHeight="1">
      <c r="R383" s="30"/>
    </row>
    <row r="384" spans="18:18" ht="15.75" customHeight="1">
      <c r="R384" s="30"/>
    </row>
    <row r="385" spans="18:18" ht="15.75" customHeight="1">
      <c r="R385" s="30"/>
    </row>
    <row r="386" spans="18:18" ht="15.75" customHeight="1">
      <c r="R386" s="30"/>
    </row>
    <row r="387" spans="18:18" ht="15.75" customHeight="1">
      <c r="R387" s="30"/>
    </row>
    <row r="388" spans="18:18" ht="15.75" customHeight="1">
      <c r="R388" s="30"/>
    </row>
    <row r="389" spans="18:18" ht="15.75" customHeight="1">
      <c r="R389" s="30"/>
    </row>
    <row r="390" spans="18:18" ht="15.75" customHeight="1">
      <c r="R390" s="30"/>
    </row>
    <row r="391" spans="18:18" ht="15.75" customHeight="1">
      <c r="R391" s="30"/>
    </row>
    <row r="392" spans="18:18" ht="15.75" customHeight="1">
      <c r="R392" s="30"/>
    </row>
    <row r="393" spans="18:18" ht="15.75" customHeight="1">
      <c r="R393" s="30"/>
    </row>
    <row r="394" spans="18:18" ht="15.75" customHeight="1">
      <c r="R394" s="30"/>
    </row>
    <row r="395" spans="18:18" ht="15.75" customHeight="1">
      <c r="R395" s="30"/>
    </row>
    <row r="396" spans="18:18" ht="15.75" customHeight="1">
      <c r="R396" s="30"/>
    </row>
    <row r="397" spans="18:18" ht="15.75" customHeight="1">
      <c r="R397" s="30"/>
    </row>
    <row r="398" spans="18:18" ht="15.75" customHeight="1">
      <c r="R398" s="30"/>
    </row>
    <row r="399" spans="18:18" ht="15.75" customHeight="1">
      <c r="R399" s="30"/>
    </row>
    <row r="400" spans="18:18" ht="15.75" customHeight="1">
      <c r="R400" s="30"/>
    </row>
    <row r="401" spans="18:18" ht="15.75" customHeight="1">
      <c r="R401" s="30"/>
    </row>
    <row r="402" spans="18:18" ht="15.75" customHeight="1">
      <c r="R402" s="30"/>
    </row>
    <row r="403" spans="18:18" ht="15.75" customHeight="1">
      <c r="R403" s="30"/>
    </row>
    <row r="404" spans="18:18" ht="15.75" customHeight="1">
      <c r="R404" s="30"/>
    </row>
    <row r="405" spans="18:18" ht="15.75" customHeight="1">
      <c r="R405" s="30"/>
    </row>
    <row r="406" spans="18:18" ht="15.75" customHeight="1">
      <c r="R406" s="30"/>
    </row>
    <row r="407" spans="18:18" ht="15.75" customHeight="1">
      <c r="R407" s="30"/>
    </row>
    <row r="408" spans="18:18" ht="15.75" customHeight="1">
      <c r="R408" s="30"/>
    </row>
    <row r="409" spans="18:18" ht="15.75" customHeight="1">
      <c r="R409" s="30"/>
    </row>
    <row r="410" spans="18:18" ht="15.75" customHeight="1">
      <c r="R410" s="30"/>
    </row>
    <row r="411" spans="18:18" ht="15.75" customHeight="1">
      <c r="R411" s="30"/>
    </row>
    <row r="412" spans="18:18" ht="15.75" customHeight="1">
      <c r="R412" s="30"/>
    </row>
    <row r="413" spans="18:18" ht="15.75" customHeight="1">
      <c r="R413" s="30"/>
    </row>
    <row r="414" spans="18:18" ht="15.75" customHeight="1">
      <c r="R414" s="30"/>
    </row>
    <row r="415" spans="18:18" ht="15.75" customHeight="1">
      <c r="R415" s="30"/>
    </row>
    <row r="416" spans="18:18" ht="15.75" customHeight="1">
      <c r="R416" s="30"/>
    </row>
    <row r="417" spans="18:18" ht="15.75" customHeight="1">
      <c r="R417" s="30"/>
    </row>
    <row r="418" spans="18:18" ht="15.75" customHeight="1">
      <c r="R418" s="30"/>
    </row>
    <row r="419" spans="18:18" ht="15.75" customHeight="1">
      <c r="R419" s="30"/>
    </row>
    <row r="420" spans="18:18" ht="15.75" customHeight="1">
      <c r="R420" s="30"/>
    </row>
    <row r="421" spans="18:18" ht="15.75" customHeight="1">
      <c r="R421" s="30"/>
    </row>
    <row r="422" spans="18:18" ht="15.75" customHeight="1">
      <c r="R422" s="30"/>
    </row>
    <row r="423" spans="18:18" ht="15.75" customHeight="1">
      <c r="R423" s="30"/>
    </row>
    <row r="424" spans="18:18" ht="15.75" customHeight="1">
      <c r="R424" s="30"/>
    </row>
    <row r="425" spans="18:18" ht="15.75" customHeight="1">
      <c r="R425" s="30"/>
    </row>
    <row r="426" spans="18:18" ht="15.75" customHeight="1">
      <c r="R426" s="30"/>
    </row>
    <row r="427" spans="18:18" ht="15.75" customHeight="1">
      <c r="R427" s="30"/>
    </row>
    <row r="428" spans="18:18" ht="15.75" customHeight="1">
      <c r="R428" s="30"/>
    </row>
    <row r="429" spans="18:18" ht="15.75" customHeight="1">
      <c r="R429" s="30"/>
    </row>
    <row r="430" spans="18:18" ht="15.75" customHeight="1">
      <c r="R430" s="30"/>
    </row>
    <row r="431" spans="18:18" ht="15.75" customHeight="1">
      <c r="R431" s="30"/>
    </row>
    <row r="432" spans="18:18" ht="15.75" customHeight="1">
      <c r="R432" s="30"/>
    </row>
    <row r="433" spans="18:18" ht="15.75" customHeight="1">
      <c r="R433" s="30"/>
    </row>
    <row r="434" spans="18:18" ht="15.75" customHeight="1">
      <c r="R434" s="30"/>
    </row>
    <row r="435" spans="18:18" ht="15.75" customHeight="1">
      <c r="R435" s="30"/>
    </row>
    <row r="436" spans="18:18" ht="15.75" customHeight="1">
      <c r="R436" s="30"/>
    </row>
    <row r="437" spans="18:18" ht="15.75" customHeight="1">
      <c r="R437" s="30"/>
    </row>
    <row r="438" spans="18:18" ht="15.75" customHeight="1">
      <c r="R438" s="30"/>
    </row>
    <row r="439" spans="18:18" ht="15.75" customHeight="1">
      <c r="R439" s="30"/>
    </row>
    <row r="440" spans="18:18" ht="15.75" customHeight="1">
      <c r="R440" s="30"/>
    </row>
    <row r="441" spans="18:18" ht="15.75" customHeight="1">
      <c r="R441" s="30"/>
    </row>
    <row r="442" spans="18:18" ht="15.75" customHeight="1">
      <c r="R442" s="30"/>
    </row>
    <row r="443" spans="18:18" ht="15.75" customHeight="1">
      <c r="R443" s="30"/>
    </row>
    <row r="444" spans="18:18" ht="15.75" customHeight="1">
      <c r="R444" s="30"/>
    </row>
    <row r="445" spans="18:18" ht="15.75" customHeight="1">
      <c r="R445" s="30"/>
    </row>
    <row r="446" spans="18:18" ht="15.75" customHeight="1">
      <c r="R446" s="30"/>
    </row>
    <row r="447" spans="18:18" ht="15.75" customHeight="1">
      <c r="R447" s="30"/>
    </row>
    <row r="448" spans="18:18" ht="15.75" customHeight="1">
      <c r="R448" s="30"/>
    </row>
    <row r="449" spans="18:18" ht="15.75" customHeight="1">
      <c r="R449" s="30"/>
    </row>
    <row r="450" spans="18:18" ht="15.75" customHeight="1">
      <c r="R450" s="30"/>
    </row>
    <row r="451" spans="18:18" ht="15.75" customHeight="1">
      <c r="R451" s="30"/>
    </row>
    <row r="452" spans="18:18" ht="15.75" customHeight="1">
      <c r="R452" s="30"/>
    </row>
    <row r="453" spans="18:18" ht="15.75" customHeight="1">
      <c r="R453" s="30"/>
    </row>
    <row r="454" spans="18:18" ht="15.75" customHeight="1">
      <c r="R454" s="30"/>
    </row>
    <row r="455" spans="18:18" ht="15.75" customHeight="1">
      <c r="R455" s="30"/>
    </row>
    <row r="456" spans="18:18" ht="15.75" customHeight="1">
      <c r="R456" s="30"/>
    </row>
    <row r="457" spans="18:18" ht="15.75" customHeight="1">
      <c r="R457" s="30"/>
    </row>
    <row r="458" spans="18:18" ht="15.75" customHeight="1">
      <c r="R458" s="30"/>
    </row>
    <row r="459" spans="18:18" ht="15.75" customHeight="1">
      <c r="R459" s="30"/>
    </row>
    <row r="460" spans="18:18" ht="15.75" customHeight="1">
      <c r="R460" s="30"/>
    </row>
    <row r="461" spans="18:18" ht="15.75" customHeight="1">
      <c r="R461" s="30"/>
    </row>
    <row r="462" spans="18:18" ht="15.75" customHeight="1">
      <c r="R462" s="30"/>
    </row>
    <row r="463" spans="18:18" ht="15.75" customHeight="1">
      <c r="R463" s="30"/>
    </row>
    <row r="464" spans="18:18" ht="15.75" customHeight="1">
      <c r="R464" s="30"/>
    </row>
    <row r="465" spans="18:18" ht="15.75" customHeight="1">
      <c r="R465" s="30"/>
    </row>
    <row r="466" spans="18:18" ht="15.75" customHeight="1">
      <c r="R466" s="30"/>
    </row>
    <row r="467" spans="18:18" ht="15.75" customHeight="1">
      <c r="R467" s="30"/>
    </row>
    <row r="468" spans="18:18" ht="15.75" customHeight="1">
      <c r="R468" s="30"/>
    </row>
    <row r="469" spans="18:18" ht="15.75" customHeight="1">
      <c r="R469" s="30"/>
    </row>
    <row r="470" spans="18:18" ht="15.75" customHeight="1">
      <c r="R470" s="30"/>
    </row>
    <row r="471" spans="18:18" ht="15.75" customHeight="1">
      <c r="R471" s="30"/>
    </row>
    <row r="472" spans="18:18" ht="15.75" customHeight="1">
      <c r="R472" s="30"/>
    </row>
    <row r="473" spans="18:18" ht="15.75" customHeight="1">
      <c r="R473" s="30"/>
    </row>
    <row r="474" spans="18:18" ht="15.75" customHeight="1">
      <c r="R474" s="30"/>
    </row>
    <row r="475" spans="18:18" ht="15.75" customHeight="1">
      <c r="R475" s="30"/>
    </row>
    <row r="476" spans="18:18" ht="15.75" customHeight="1">
      <c r="R476" s="30"/>
    </row>
    <row r="477" spans="18:18" ht="15.75" customHeight="1">
      <c r="R477" s="30"/>
    </row>
    <row r="478" spans="18:18" ht="15.75" customHeight="1">
      <c r="R478" s="30"/>
    </row>
    <row r="479" spans="18:18" ht="15.75" customHeight="1">
      <c r="R479" s="30"/>
    </row>
    <row r="480" spans="18:18" ht="15.75" customHeight="1">
      <c r="R480" s="30"/>
    </row>
    <row r="481" spans="18:18" ht="15.75" customHeight="1">
      <c r="R481" s="30"/>
    </row>
    <row r="482" spans="18:18" ht="15.75" customHeight="1">
      <c r="R482" s="30"/>
    </row>
    <row r="483" spans="18:18" ht="15.75" customHeight="1">
      <c r="R483" s="30"/>
    </row>
    <row r="484" spans="18:18" ht="15.75" customHeight="1">
      <c r="R484" s="30"/>
    </row>
    <row r="485" spans="18:18" ht="15.75" customHeight="1">
      <c r="R485" s="30"/>
    </row>
    <row r="486" spans="18:18" ht="15.75" customHeight="1">
      <c r="R486" s="30"/>
    </row>
    <row r="487" spans="18:18" ht="15.75" customHeight="1">
      <c r="R487" s="30"/>
    </row>
    <row r="488" spans="18:18" ht="15.75" customHeight="1">
      <c r="R488" s="30"/>
    </row>
    <row r="489" spans="18:18" ht="15.75" customHeight="1">
      <c r="R489" s="30"/>
    </row>
    <row r="490" spans="18:18" ht="15.75" customHeight="1">
      <c r="R490" s="30"/>
    </row>
    <row r="491" spans="18:18" ht="15.75" customHeight="1">
      <c r="R491" s="30"/>
    </row>
    <row r="492" spans="18:18" ht="15.75" customHeight="1">
      <c r="R492" s="30"/>
    </row>
    <row r="493" spans="18:18" ht="15.75" customHeight="1">
      <c r="R493" s="30"/>
    </row>
    <row r="494" spans="18:18" ht="15.75" customHeight="1">
      <c r="R494" s="30"/>
    </row>
    <row r="495" spans="18:18" ht="15.75" customHeight="1">
      <c r="R495" s="30"/>
    </row>
    <row r="496" spans="18:18" ht="15.75" customHeight="1">
      <c r="R496" s="30"/>
    </row>
    <row r="497" spans="18:18" ht="15.75" customHeight="1">
      <c r="R497" s="30"/>
    </row>
    <row r="498" spans="18:18" ht="15.75" customHeight="1">
      <c r="R498" s="30"/>
    </row>
    <row r="499" spans="18:18" ht="15.75" customHeight="1">
      <c r="R499" s="30"/>
    </row>
    <row r="500" spans="18:18" ht="15.75" customHeight="1">
      <c r="R500" s="30"/>
    </row>
    <row r="501" spans="18:18" ht="15.75" customHeight="1">
      <c r="R501" s="30"/>
    </row>
    <row r="502" spans="18:18" ht="15.75" customHeight="1">
      <c r="R502" s="30"/>
    </row>
    <row r="503" spans="18:18" ht="15.75" customHeight="1">
      <c r="R503" s="30"/>
    </row>
    <row r="504" spans="18:18" ht="15.75" customHeight="1">
      <c r="R504" s="30"/>
    </row>
    <row r="505" spans="18:18" ht="15.75" customHeight="1">
      <c r="R505" s="30"/>
    </row>
    <row r="506" spans="18:18" ht="15.75" customHeight="1">
      <c r="R506" s="30"/>
    </row>
    <row r="507" spans="18:18" ht="15.75" customHeight="1">
      <c r="R507" s="30"/>
    </row>
    <row r="508" spans="18:18" ht="15.75" customHeight="1">
      <c r="R508" s="30"/>
    </row>
    <row r="509" spans="18:18" ht="15.75" customHeight="1">
      <c r="R509" s="30"/>
    </row>
    <row r="510" spans="18:18" ht="15.75" customHeight="1">
      <c r="R510" s="30"/>
    </row>
    <row r="511" spans="18:18" ht="15.75" customHeight="1">
      <c r="R511" s="30"/>
    </row>
    <row r="512" spans="18:18" ht="15.75" customHeight="1">
      <c r="R512" s="30"/>
    </row>
    <row r="513" spans="18:18" ht="15.75" customHeight="1">
      <c r="R513" s="30"/>
    </row>
    <row r="514" spans="18:18" ht="15.75" customHeight="1">
      <c r="R514" s="30"/>
    </row>
    <row r="515" spans="18:18" ht="15.75" customHeight="1">
      <c r="R515" s="30"/>
    </row>
    <row r="516" spans="18:18" ht="15.75" customHeight="1">
      <c r="R516" s="30"/>
    </row>
    <row r="517" spans="18:18" ht="15.75" customHeight="1">
      <c r="R517" s="30"/>
    </row>
    <row r="518" spans="18:18" ht="15.75" customHeight="1">
      <c r="R518" s="30"/>
    </row>
    <row r="519" spans="18:18" ht="15.75" customHeight="1">
      <c r="R519" s="30"/>
    </row>
    <row r="520" spans="18:18" ht="15.75" customHeight="1">
      <c r="R520" s="30"/>
    </row>
    <row r="521" spans="18:18" ht="15.75" customHeight="1">
      <c r="R521" s="30"/>
    </row>
    <row r="522" spans="18:18" ht="15.75" customHeight="1">
      <c r="R522" s="30"/>
    </row>
    <row r="523" spans="18:18" ht="15.75" customHeight="1">
      <c r="R523" s="30"/>
    </row>
    <row r="524" spans="18:18" ht="15.75" customHeight="1">
      <c r="R524" s="30"/>
    </row>
    <row r="525" spans="18:18" ht="15.75" customHeight="1">
      <c r="R525" s="30"/>
    </row>
    <row r="526" spans="18:18" ht="15.75" customHeight="1">
      <c r="R526" s="30"/>
    </row>
    <row r="527" spans="18:18" ht="15.75" customHeight="1">
      <c r="R527" s="30"/>
    </row>
    <row r="528" spans="18:18" ht="15.75" customHeight="1">
      <c r="R528" s="30"/>
    </row>
    <row r="529" spans="18:18" ht="15.75" customHeight="1">
      <c r="R529" s="30"/>
    </row>
    <row r="530" spans="18:18" ht="15.75" customHeight="1">
      <c r="R530" s="30"/>
    </row>
    <row r="531" spans="18:18" ht="15.75" customHeight="1">
      <c r="R531" s="30"/>
    </row>
    <row r="532" spans="18:18" ht="15.75" customHeight="1">
      <c r="R532" s="30"/>
    </row>
    <row r="533" spans="18:18" ht="15.75" customHeight="1">
      <c r="R533" s="30"/>
    </row>
    <row r="534" spans="18:18" ht="15.75" customHeight="1">
      <c r="R534" s="30"/>
    </row>
    <row r="535" spans="18:18" ht="15.75" customHeight="1">
      <c r="R535" s="30"/>
    </row>
    <row r="536" spans="18:18" ht="15.75" customHeight="1">
      <c r="R536" s="30"/>
    </row>
    <row r="537" spans="18:18" ht="15.75" customHeight="1">
      <c r="R537" s="30"/>
    </row>
    <row r="538" spans="18:18" ht="15.75" customHeight="1">
      <c r="R538" s="30"/>
    </row>
    <row r="539" spans="18:18" ht="15.75" customHeight="1">
      <c r="R539" s="30"/>
    </row>
    <row r="540" spans="18:18" ht="15.75" customHeight="1">
      <c r="R540" s="30"/>
    </row>
    <row r="541" spans="18:18" ht="15.75" customHeight="1">
      <c r="R541" s="30"/>
    </row>
    <row r="542" spans="18:18" ht="15.75" customHeight="1">
      <c r="R542" s="30"/>
    </row>
    <row r="543" spans="18:18" ht="15.75" customHeight="1">
      <c r="R543" s="30"/>
    </row>
    <row r="544" spans="18:18" ht="15.75" customHeight="1">
      <c r="R544" s="30"/>
    </row>
    <row r="545" spans="18:18" ht="15.75" customHeight="1">
      <c r="R545" s="30"/>
    </row>
    <row r="546" spans="18:18" ht="15.75" customHeight="1">
      <c r="R546" s="30"/>
    </row>
    <row r="547" spans="18:18" ht="15.75" customHeight="1">
      <c r="R547" s="30"/>
    </row>
    <row r="548" spans="18:18" ht="15.75" customHeight="1">
      <c r="R548" s="30"/>
    </row>
    <row r="549" spans="18:18" ht="15.75" customHeight="1">
      <c r="R549" s="30"/>
    </row>
    <row r="550" spans="18:18" ht="15.75" customHeight="1">
      <c r="R550" s="30"/>
    </row>
    <row r="551" spans="18:18" ht="15.75" customHeight="1">
      <c r="R551" s="30"/>
    </row>
    <row r="552" spans="18:18" ht="15.75" customHeight="1">
      <c r="R552" s="30"/>
    </row>
    <row r="553" spans="18:18" ht="15.75" customHeight="1">
      <c r="R553" s="30"/>
    </row>
    <row r="554" spans="18:18" ht="15.75" customHeight="1">
      <c r="R554" s="30"/>
    </row>
    <row r="555" spans="18:18" ht="15.75" customHeight="1">
      <c r="R555" s="30"/>
    </row>
    <row r="556" spans="18:18" ht="15.75" customHeight="1">
      <c r="R556" s="30"/>
    </row>
    <row r="557" spans="18:18" ht="15.75" customHeight="1">
      <c r="R557" s="30"/>
    </row>
    <row r="558" spans="18:18" ht="15.75" customHeight="1">
      <c r="R558" s="30"/>
    </row>
    <row r="559" spans="18:18" ht="15.75" customHeight="1">
      <c r="R559" s="30"/>
    </row>
    <row r="560" spans="18:18" ht="15.75" customHeight="1">
      <c r="R560" s="30"/>
    </row>
    <row r="561" spans="18:18" ht="15.75" customHeight="1">
      <c r="R561" s="30"/>
    </row>
    <row r="562" spans="18:18" ht="15.75" customHeight="1">
      <c r="R562" s="30"/>
    </row>
    <row r="563" spans="18:18" ht="15.75" customHeight="1">
      <c r="R563" s="30"/>
    </row>
    <row r="564" spans="18:18" ht="15.75" customHeight="1">
      <c r="R564" s="30"/>
    </row>
    <row r="565" spans="18:18" ht="15.75" customHeight="1">
      <c r="R565" s="30"/>
    </row>
    <row r="566" spans="18:18" ht="15.75" customHeight="1">
      <c r="R566" s="30"/>
    </row>
    <row r="567" spans="18:18" ht="15.75" customHeight="1">
      <c r="R567" s="30"/>
    </row>
    <row r="568" spans="18:18" ht="15.75" customHeight="1">
      <c r="R568" s="30"/>
    </row>
    <row r="569" spans="18:18" ht="15.75" customHeight="1">
      <c r="R569" s="30"/>
    </row>
    <row r="570" spans="18:18" ht="15.75" customHeight="1">
      <c r="R570" s="30"/>
    </row>
    <row r="571" spans="18:18" ht="15.75" customHeight="1">
      <c r="R571" s="30"/>
    </row>
    <row r="572" spans="18:18" ht="15.75" customHeight="1">
      <c r="R572" s="30"/>
    </row>
    <row r="573" spans="18:18" ht="15.75" customHeight="1">
      <c r="R573" s="30"/>
    </row>
    <row r="574" spans="18:18" ht="15.75" customHeight="1">
      <c r="R574" s="30"/>
    </row>
    <row r="575" spans="18:18" ht="15.75" customHeight="1">
      <c r="R575" s="30"/>
    </row>
    <row r="576" spans="18:18" ht="15.75" customHeight="1">
      <c r="R576" s="30"/>
    </row>
    <row r="577" spans="18:18" ht="15.75" customHeight="1">
      <c r="R577" s="30"/>
    </row>
    <row r="578" spans="18:18" ht="15.75" customHeight="1">
      <c r="R578" s="30"/>
    </row>
    <row r="579" spans="18:18" ht="15.75" customHeight="1">
      <c r="R579" s="30"/>
    </row>
    <row r="580" spans="18:18" ht="15.75" customHeight="1">
      <c r="R580" s="30"/>
    </row>
    <row r="581" spans="18:18" ht="15.75" customHeight="1">
      <c r="R581" s="30"/>
    </row>
    <row r="582" spans="18:18" ht="15.75" customHeight="1">
      <c r="R582" s="30"/>
    </row>
    <row r="583" spans="18:18" ht="15.75" customHeight="1">
      <c r="R583" s="30"/>
    </row>
    <row r="584" spans="18:18" ht="15.75" customHeight="1">
      <c r="R584" s="30"/>
    </row>
    <row r="585" spans="18:18" ht="15.75" customHeight="1">
      <c r="R585" s="30"/>
    </row>
    <row r="586" spans="18:18" ht="15.75" customHeight="1">
      <c r="R586" s="30"/>
    </row>
    <row r="587" spans="18:18" ht="15.75" customHeight="1">
      <c r="R587" s="30"/>
    </row>
    <row r="588" spans="18:18" ht="15.75" customHeight="1">
      <c r="R588" s="30"/>
    </row>
    <row r="589" spans="18:18" ht="15.75" customHeight="1">
      <c r="R589" s="30"/>
    </row>
    <row r="590" spans="18:18" ht="15.75" customHeight="1">
      <c r="R590" s="30"/>
    </row>
    <row r="591" spans="18:18" ht="15.75" customHeight="1">
      <c r="R591" s="30"/>
    </row>
    <row r="592" spans="18:18" ht="15.75" customHeight="1">
      <c r="R592" s="30"/>
    </row>
    <row r="593" spans="18:18" ht="15.75" customHeight="1">
      <c r="R593" s="30"/>
    </row>
    <row r="594" spans="18:18" ht="15.75" customHeight="1">
      <c r="R594" s="30"/>
    </row>
    <row r="595" spans="18:18" ht="15.75" customHeight="1">
      <c r="R595" s="30"/>
    </row>
    <row r="596" spans="18:18" ht="15.75" customHeight="1">
      <c r="R596" s="30"/>
    </row>
    <row r="597" spans="18:18" ht="15.75" customHeight="1">
      <c r="R597" s="30"/>
    </row>
    <row r="598" spans="18:18" ht="15.75" customHeight="1">
      <c r="R598" s="30"/>
    </row>
    <row r="599" spans="18:18" ht="15.75" customHeight="1">
      <c r="R599" s="30"/>
    </row>
    <row r="600" spans="18:18" ht="15.75" customHeight="1">
      <c r="R600" s="30"/>
    </row>
    <row r="601" spans="18:18" ht="15.75" customHeight="1">
      <c r="R601" s="30"/>
    </row>
    <row r="602" spans="18:18" ht="15.75" customHeight="1">
      <c r="R602" s="30"/>
    </row>
    <row r="603" spans="18:18" ht="15.75" customHeight="1">
      <c r="R603" s="30"/>
    </row>
    <row r="604" spans="18:18" ht="15.75" customHeight="1">
      <c r="R604" s="30"/>
    </row>
    <row r="605" spans="18:18" ht="15.75" customHeight="1">
      <c r="R605" s="30"/>
    </row>
    <row r="606" spans="18:18" ht="15.75" customHeight="1">
      <c r="R606" s="30"/>
    </row>
    <row r="607" spans="18:18" ht="15.75" customHeight="1">
      <c r="R607" s="30"/>
    </row>
    <row r="608" spans="18:18" ht="15.75" customHeight="1">
      <c r="R608" s="30"/>
    </row>
    <row r="609" spans="18:18" ht="15.75" customHeight="1">
      <c r="R609" s="30"/>
    </row>
    <row r="610" spans="18:18" ht="15.75" customHeight="1">
      <c r="R610" s="30"/>
    </row>
    <row r="611" spans="18:18" ht="15.75" customHeight="1">
      <c r="R611" s="30"/>
    </row>
    <row r="612" spans="18:18" ht="15.75" customHeight="1">
      <c r="R612" s="30"/>
    </row>
    <row r="613" spans="18:18" ht="15.75" customHeight="1">
      <c r="R613" s="30"/>
    </row>
    <row r="614" spans="18:18" ht="15.75" customHeight="1">
      <c r="R614" s="30"/>
    </row>
    <row r="615" spans="18:18" ht="15.75" customHeight="1">
      <c r="R615" s="30"/>
    </row>
    <row r="616" spans="18:18" ht="15.75" customHeight="1">
      <c r="R616" s="30"/>
    </row>
    <row r="617" spans="18:18" ht="15.75" customHeight="1">
      <c r="R617" s="30"/>
    </row>
    <row r="618" spans="18:18" ht="15.75" customHeight="1">
      <c r="R618" s="30"/>
    </row>
    <row r="619" spans="18:18" ht="15.75" customHeight="1">
      <c r="R619" s="30"/>
    </row>
    <row r="620" spans="18:18" ht="15.75" customHeight="1">
      <c r="R620" s="30"/>
    </row>
    <row r="621" spans="18:18" ht="15.75" customHeight="1">
      <c r="R621" s="30"/>
    </row>
    <row r="622" spans="18:18" ht="15.75" customHeight="1">
      <c r="R622" s="30"/>
    </row>
    <row r="623" spans="18:18" ht="15.75" customHeight="1">
      <c r="R623" s="30"/>
    </row>
    <row r="624" spans="18:18" ht="15.75" customHeight="1">
      <c r="R624" s="30"/>
    </row>
    <row r="625" spans="18:18" ht="15.75" customHeight="1">
      <c r="R625" s="30"/>
    </row>
    <row r="626" spans="18:18" ht="15.75" customHeight="1">
      <c r="R626" s="30"/>
    </row>
    <row r="627" spans="18:18" ht="15.75" customHeight="1">
      <c r="R627" s="30"/>
    </row>
    <row r="628" spans="18:18" ht="15.75" customHeight="1">
      <c r="R628" s="30"/>
    </row>
    <row r="629" spans="18:18" ht="15.75" customHeight="1">
      <c r="R629" s="30"/>
    </row>
    <row r="630" spans="18:18" ht="15.75" customHeight="1">
      <c r="R630" s="30"/>
    </row>
    <row r="631" spans="18:18" ht="15.75" customHeight="1">
      <c r="R631" s="30"/>
    </row>
    <row r="632" spans="18:18" ht="15.75" customHeight="1">
      <c r="R632" s="30"/>
    </row>
    <row r="633" spans="18:18" ht="15.75" customHeight="1">
      <c r="R633" s="30"/>
    </row>
    <row r="634" spans="18:18" ht="15.75" customHeight="1">
      <c r="R634" s="30"/>
    </row>
    <row r="635" spans="18:18" ht="15.75" customHeight="1">
      <c r="R635" s="30"/>
    </row>
    <row r="636" spans="18:18" ht="15.75" customHeight="1">
      <c r="R636" s="30"/>
    </row>
    <row r="637" spans="18:18" ht="15.75" customHeight="1">
      <c r="R637" s="30"/>
    </row>
    <row r="638" spans="18:18" ht="15.75" customHeight="1">
      <c r="R638" s="30"/>
    </row>
    <row r="639" spans="18:18" ht="15.75" customHeight="1">
      <c r="R639" s="30"/>
    </row>
    <row r="640" spans="18:18" ht="15.75" customHeight="1">
      <c r="R640" s="30"/>
    </row>
    <row r="641" spans="18:18" ht="15.75" customHeight="1">
      <c r="R641" s="30"/>
    </row>
    <row r="642" spans="18:18" ht="15.75" customHeight="1">
      <c r="R642" s="30"/>
    </row>
    <row r="643" spans="18:18" ht="15.75" customHeight="1">
      <c r="R643" s="30"/>
    </row>
    <row r="644" spans="18:18" ht="15.75" customHeight="1">
      <c r="R644" s="30"/>
    </row>
    <row r="645" spans="18:18" ht="15.75" customHeight="1">
      <c r="R645" s="30"/>
    </row>
    <row r="646" spans="18:18" ht="15.75" customHeight="1">
      <c r="R646" s="30"/>
    </row>
    <row r="647" spans="18:18" ht="15.75" customHeight="1">
      <c r="R647" s="30"/>
    </row>
    <row r="648" spans="18:18" ht="15.75" customHeight="1">
      <c r="R648" s="30"/>
    </row>
    <row r="649" spans="18:18" ht="15.75" customHeight="1">
      <c r="R649" s="30"/>
    </row>
    <row r="650" spans="18:18" ht="15.75" customHeight="1">
      <c r="R650" s="30"/>
    </row>
    <row r="651" spans="18:18" ht="15.75" customHeight="1">
      <c r="R651" s="30"/>
    </row>
    <row r="652" spans="18:18" ht="15.75" customHeight="1">
      <c r="R652" s="30"/>
    </row>
    <row r="653" spans="18:18" ht="15.75" customHeight="1">
      <c r="R653" s="30"/>
    </row>
    <row r="654" spans="18:18" ht="15.75" customHeight="1">
      <c r="R654" s="30"/>
    </row>
    <row r="655" spans="18:18" ht="15.75" customHeight="1">
      <c r="R655" s="30"/>
    </row>
    <row r="656" spans="18:18" ht="15.75" customHeight="1">
      <c r="R656" s="30"/>
    </row>
    <row r="657" spans="18:18" ht="15.75" customHeight="1">
      <c r="R657" s="30"/>
    </row>
    <row r="658" spans="18:18" ht="15.75" customHeight="1">
      <c r="R658" s="30"/>
    </row>
    <row r="659" spans="18:18" ht="15.75" customHeight="1">
      <c r="R659" s="30"/>
    </row>
    <row r="660" spans="18:18" ht="15.75" customHeight="1">
      <c r="R660" s="30"/>
    </row>
    <row r="661" spans="18:18" ht="15.75" customHeight="1">
      <c r="R661" s="30"/>
    </row>
    <row r="662" spans="18:18" ht="15.75" customHeight="1">
      <c r="R662" s="30"/>
    </row>
    <row r="663" spans="18:18" ht="15.75" customHeight="1">
      <c r="R663" s="30"/>
    </row>
    <row r="664" spans="18:18" ht="15.75" customHeight="1">
      <c r="R664" s="30"/>
    </row>
    <row r="665" spans="18:18" ht="15.75" customHeight="1">
      <c r="R665" s="30"/>
    </row>
    <row r="666" spans="18:18" ht="15.75" customHeight="1">
      <c r="R666" s="30"/>
    </row>
    <row r="667" spans="18:18" ht="15.75" customHeight="1">
      <c r="R667" s="30"/>
    </row>
    <row r="668" spans="18:18" ht="15.75" customHeight="1">
      <c r="R668" s="30"/>
    </row>
    <row r="669" spans="18:18" ht="15.75" customHeight="1">
      <c r="R669" s="30"/>
    </row>
    <row r="670" spans="18:18" ht="15.75" customHeight="1">
      <c r="R670" s="30"/>
    </row>
    <row r="671" spans="18:18" ht="15.75" customHeight="1">
      <c r="R671" s="30"/>
    </row>
    <row r="672" spans="18:18" ht="15.75" customHeight="1">
      <c r="R672" s="30"/>
    </row>
    <row r="673" spans="18:18" ht="15.75" customHeight="1">
      <c r="R673" s="30"/>
    </row>
    <row r="674" spans="18:18" ht="15.75" customHeight="1">
      <c r="R674" s="30"/>
    </row>
    <row r="675" spans="18:18" ht="15.75" customHeight="1">
      <c r="R675" s="30"/>
    </row>
    <row r="676" spans="18:18" ht="15.75" customHeight="1">
      <c r="R676" s="30"/>
    </row>
    <row r="677" spans="18:18" ht="15.75" customHeight="1">
      <c r="R677" s="30"/>
    </row>
    <row r="678" spans="18:18" ht="15.75" customHeight="1">
      <c r="R678" s="30"/>
    </row>
    <row r="679" spans="18:18" ht="15.75" customHeight="1">
      <c r="R679" s="30"/>
    </row>
    <row r="680" spans="18:18" ht="15.75" customHeight="1">
      <c r="R680" s="30"/>
    </row>
    <row r="681" spans="18:18" ht="15.75" customHeight="1">
      <c r="R681" s="30"/>
    </row>
    <row r="682" spans="18:18" ht="15.75" customHeight="1">
      <c r="R682" s="30"/>
    </row>
    <row r="683" spans="18:18" ht="15.75" customHeight="1">
      <c r="R683" s="30"/>
    </row>
    <row r="684" spans="18:18" ht="15.75" customHeight="1">
      <c r="R684" s="30"/>
    </row>
    <row r="685" spans="18:18" ht="15.75" customHeight="1">
      <c r="R685" s="30"/>
    </row>
    <row r="686" spans="18:18" ht="15.75" customHeight="1">
      <c r="R686" s="30"/>
    </row>
    <row r="687" spans="18:18" ht="15.75" customHeight="1">
      <c r="R687" s="30"/>
    </row>
    <row r="688" spans="18:18" ht="15.75" customHeight="1">
      <c r="R688" s="30"/>
    </row>
    <row r="689" spans="18:18" ht="15.75" customHeight="1">
      <c r="R689" s="30"/>
    </row>
    <row r="690" spans="18:18" ht="15.75" customHeight="1">
      <c r="R690" s="30"/>
    </row>
    <row r="691" spans="18:18" ht="15.75" customHeight="1">
      <c r="R691" s="30"/>
    </row>
    <row r="692" spans="18:18" ht="15.75" customHeight="1">
      <c r="R692" s="30"/>
    </row>
    <row r="693" spans="18:18" ht="15.75" customHeight="1">
      <c r="R693" s="30"/>
    </row>
    <row r="694" spans="18:18" ht="15.75" customHeight="1">
      <c r="R694" s="30"/>
    </row>
    <row r="695" spans="18:18" ht="15.75" customHeight="1">
      <c r="R695" s="30"/>
    </row>
    <row r="696" spans="18:18" ht="15.75" customHeight="1">
      <c r="R696" s="30"/>
    </row>
    <row r="697" spans="18:18" ht="15.75" customHeight="1">
      <c r="R697" s="30"/>
    </row>
    <row r="698" spans="18:18" ht="15.75" customHeight="1">
      <c r="R698" s="30"/>
    </row>
    <row r="699" spans="18:18" ht="15.75" customHeight="1">
      <c r="R699" s="30"/>
    </row>
    <row r="700" spans="18:18" ht="15.75" customHeight="1">
      <c r="R700" s="30"/>
    </row>
    <row r="701" spans="18:18" ht="15.75" customHeight="1">
      <c r="R701" s="30"/>
    </row>
    <row r="702" spans="18:18" ht="15.75" customHeight="1">
      <c r="R702" s="30"/>
    </row>
    <row r="703" spans="18:18" ht="15.75" customHeight="1">
      <c r="R703" s="30"/>
    </row>
    <row r="704" spans="18:18" ht="15.75" customHeight="1">
      <c r="R704" s="30"/>
    </row>
    <row r="705" spans="18:18" ht="15.75" customHeight="1">
      <c r="R705" s="30"/>
    </row>
    <row r="706" spans="18:18" ht="15.75" customHeight="1">
      <c r="R706" s="30"/>
    </row>
    <row r="707" spans="18:18" ht="15.75" customHeight="1">
      <c r="R707" s="30"/>
    </row>
    <row r="708" spans="18:18" ht="15.75" customHeight="1">
      <c r="R708" s="30"/>
    </row>
    <row r="709" spans="18:18" ht="15.75" customHeight="1">
      <c r="R709" s="30"/>
    </row>
    <row r="710" spans="18:18" ht="15.75" customHeight="1">
      <c r="R710" s="30"/>
    </row>
    <row r="711" spans="18:18" ht="15.75" customHeight="1">
      <c r="R711" s="30"/>
    </row>
    <row r="712" spans="18:18" ht="15.75" customHeight="1">
      <c r="R712" s="30"/>
    </row>
    <row r="713" spans="18:18" ht="15.75" customHeight="1">
      <c r="R713" s="30"/>
    </row>
    <row r="714" spans="18:18" ht="15.75" customHeight="1">
      <c r="R714" s="30"/>
    </row>
    <row r="715" spans="18:18" ht="15.75" customHeight="1">
      <c r="R715" s="30"/>
    </row>
    <row r="716" spans="18:18" ht="15.75" customHeight="1">
      <c r="R716" s="30"/>
    </row>
    <row r="717" spans="18:18" ht="15.75" customHeight="1">
      <c r="R717" s="30"/>
    </row>
    <row r="718" spans="18:18" ht="15.75" customHeight="1">
      <c r="R718" s="30"/>
    </row>
    <row r="719" spans="18:18" ht="15.75" customHeight="1">
      <c r="R719" s="30"/>
    </row>
    <row r="720" spans="18:18" ht="15.75" customHeight="1">
      <c r="R720" s="30"/>
    </row>
    <row r="721" spans="18:18" ht="15.75" customHeight="1">
      <c r="R721" s="30"/>
    </row>
    <row r="722" spans="18:18" ht="15.75" customHeight="1">
      <c r="R722" s="30"/>
    </row>
    <row r="723" spans="18:18" ht="15.75" customHeight="1">
      <c r="R723" s="30"/>
    </row>
    <row r="724" spans="18:18" ht="15.75" customHeight="1">
      <c r="R724" s="30"/>
    </row>
    <row r="725" spans="18:18" ht="15.75" customHeight="1">
      <c r="R725" s="30"/>
    </row>
    <row r="726" spans="18:18" ht="15.75" customHeight="1">
      <c r="R726" s="30"/>
    </row>
    <row r="727" spans="18:18" ht="15.75" customHeight="1">
      <c r="R727" s="30"/>
    </row>
    <row r="728" spans="18:18" ht="15.75" customHeight="1">
      <c r="R728" s="30"/>
    </row>
    <row r="729" spans="18:18" ht="15.75" customHeight="1">
      <c r="R729" s="30"/>
    </row>
    <row r="730" spans="18:18" ht="15.75" customHeight="1">
      <c r="R730" s="30"/>
    </row>
    <row r="731" spans="18:18" ht="15.75" customHeight="1">
      <c r="R731" s="30"/>
    </row>
    <row r="732" spans="18:18" ht="15.75" customHeight="1">
      <c r="R732" s="30"/>
    </row>
    <row r="733" spans="18:18" ht="15.75" customHeight="1">
      <c r="R733" s="30"/>
    </row>
    <row r="734" spans="18:18" ht="15.75" customHeight="1">
      <c r="R734" s="30"/>
    </row>
    <row r="735" spans="18:18" ht="15.75" customHeight="1">
      <c r="R735" s="30"/>
    </row>
    <row r="736" spans="18:18" ht="15.75" customHeight="1">
      <c r="R736" s="30"/>
    </row>
    <row r="737" spans="18:18" ht="15.75" customHeight="1">
      <c r="R737" s="30"/>
    </row>
    <row r="738" spans="18:18" ht="15.75" customHeight="1">
      <c r="R738" s="30"/>
    </row>
    <row r="739" spans="18:18" ht="15.75" customHeight="1">
      <c r="R739" s="30"/>
    </row>
    <row r="740" spans="18:18" ht="15.75" customHeight="1">
      <c r="R740" s="30"/>
    </row>
    <row r="741" spans="18:18" ht="15.75" customHeight="1">
      <c r="R741" s="30"/>
    </row>
    <row r="742" spans="18:18" ht="15.75" customHeight="1">
      <c r="R742" s="30"/>
    </row>
    <row r="743" spans="18:18" ht="15.75" customHeight="1">
      <c r="R743" s="30"/>
    </row>
    <row r="744" spans="18:18" ht="15.75" customHeight="1">
      <c r="R744" s="30"/>
    </row>
    <row r="745" spans="18:18" ht="15.75" customHeight="1">
      <c r="R745" s="30"/>
    </row>
    <row r="746" spans="18:18" ht="15.75" customHeight="1">
      <c r="R746" s="30"/>
    </row>
    <row r="747" spans="18:18" ht="15.75" customHeight="1">
      <c r="R747" s="30"/>
    </row>
    <row r="748" spans="18:18" ht="15.75" customHeight="1">
      <c r="R748" s="30"/>
    </row>
    <row r="749" spans="18:18" ht="15.75" customHeight="1">
      <c r="R749" s="30"/>
    </row>
    <row r="750" spans="18:18" ht="15.75" customHeight="1">
      <c r="R750" s="30"/>
    </row>
    <row r="751" spans="18:18" ht="15.75" customHeight="1">
      <c r="R751" s="30"/>
    </row>
    <row r="752" spans="18:18" ht="15.75" customHeight="1">
      <c r="R752" s="30"/>
    </row>
    <row r="753" spans="18:18" ht="15.75" customHeight="1">
      <c r="R753" s="30"/>
    </row>
    <row r="754" spans="18:18" ht="15.75" customHeight="1">
      <c r="R754" s="30"/>
    </row>
    <row r="755" spans="18:18" ht="15.75" customHeight="1">
      <c r="R755" s="30"/>
    </row>
    <row r="756" spans="18:18" ht="15.75" customHeight="1">
      <c r="R756" s="30"/>
    </row>
    <row r="757" spans="18:18" ht="15.75" customHeight="1">
      <c r="R757" s="30"/>
    </row>
    <row r="758" spans="18:18" ht="15.75" customHeight="1">
      <c r="R758" s="30"/>
    </row>
    <row r="759" spans="18:18" ht="15.75" customHeight="1">
      <c r="R759" s="30"/>
    </row>
    <row r="760" spans="18:18" ht="15.75" customHeight="1">
      <c r="R760" s="30"/>
    </row>
    <row r="761" spans="18:18" ht="15.75" customHeight="1">
      <c r="R761" s="30"/>
    </row>
    <row r="762" spans="18:18" ht="15.75" customHeight="1">
      <c r="R762" s="30"/>
    </row>
    <row r="763" spans="18:18" ht="15.75" customHeight="1">
      <c r="R763" s="30"/>
    </row>
    <row r="764" spans="18:18" ht="15.75" customHeight="1">
      <c r="R764" s="30"/>
    </row>
    <row r="765" spans="18:18" ht="15.75" customHeight="1">
      <c r="R765" s="30"/>
    </row>
    <row r="766" spans="18:18" ht="15.75" customHeight="1">
      <c r="R766" s="30"/>
    </row>
    <row r="767" spans="18:18" ht="15.75" customHeight="1">
      <c r="R767" s="30"/>
    </row>
    <row r="768" spans="18:18" ht="15.75" customHeight="1">
      <c r="R768" s="30"/>
    </row>
    <row r="769" spans="18:18" ht="15.75" customHeight="1">
      <c r="R769" s="30"/>
    </row>
    <row r="770" spans="18:18" ht="15.75" customHeight="1">
      <c r="R770" s="30"/>
    </row>
    <row r="771" spans="18:18" ht="15.75" customHeight="1">
      <c r="R771" s="30"/>
    </row>
    <row r="772" spans="18:18" ht="15.75" customHeight="1">
      <c r="R772" s="30"/>
    </row>
    <row r="773" spans="18:18" ht="15.75" customHeight="1">
      <c r="R773" s="30"/>
    </row>
    <row r="774" spans="18:18" ht="15.75" customHeight="1">
      <c r="R774" s="30"/>
    </row>
    <row r="775" spans="18:18" ht="15.75" customHeight="1">
      <c r="R775" s="30"/>
    </row>
    <row r="776" spans="18:18" ht="15.75" customHeight="1">
      <c r="R776" s="30"/>
    </row>
    <row r="777" spans="18:18" ht="15.75" customHeight="1">
      <c r="R777" s="30"/>
    </row>
    <row r="778" spans="18:18" ht="15.75" customHeight="1">
      <c r="R778" s="30"/>
    </row>
    <row r="779" spans="18:18" ht="15.75" customHeight="1">
      <c r="R779" s="30"/>
    </row>
    <row r="780" spans="18:18" ht="15.75" customHeight="1">
      <c r="R780" s="30"/>
    </row>
    <row r="781" spans="18:18" ht="15.75" customHeight="1">
      <c r="R781" s="30"/>
    </row>
    <row r="782" spans="18:18" ht="15.75" customHeight="1">
      <c r="R782" s="30"/>
    </row>
    <row r="783" spans="18:18" ht="15.75" customHeight="1">
      <c r="R783" s="30"/>
    </row>
    <row r="784" spans="18:18" ht="15.75" customHeight="1">
      <c r="R784" s="30"/>
    </row>
    <row r="785" spans="18:18" ht="15.75" customHeight="1">
      <c r="R785" s="30"/>
    </row>
    <row r="786" spans="18:18" ht="15.75" customHeight="1">
      <c r="R786" s="30"/>
    </row>
    <row r="787" spans="18:18" ht="15.75" customHeight="1">
      <c r="R787" s="30"/>
    </row>
    <row r="788" spans="18:18" ht="15.75" customHeight="1">
      <c r="R788" s="30"/>
    </row>
    <row r="789" spans="18:18" ht="15.75" customHeight="1">
      <c r="R789" s="30"/>
    </row>
    <row r="790" spans="18:18" ht="15.75" customHeight="1">
      <c r="R790" s="30"/>
    </row>
    <row r="791" spans="18:18" ht="15.75" customHeight="1">
      <c r="R791" s="30"/>
    </row>
    <row r="792" spans="18:18" ht="15.75" customHeight="1">
      <c r="R792" s="30"/>
    </row>
    <row r="793" spans="18:18" ht="15.75" customHeight="1">
      <c r="R793" s="30"/>
    </row>
    <row r="794" spans="18:18" ht="15.75" customHeight="1">
      <c r="R794" s="30"/>
    </row>
    <row r="795" spans="18:18" ht="15.75" customHeight="1">
      <c r="R795" s="30"/>
    </row>
    <row r="796" spans="18:18" ht="15.75" customHeight="1">
      <c r="R796" s="30"/>
    </row>
    <row r="797" spans="18:18" ht="15.75" customHeight="1">
      <c r="R797" s="30"/>
    </row>
    <row r="798" spans="18:18" ht="15.75" customHeight="1">
      <c r="R798" s="30"/>
    </row>
    <row r="799" spans="18:18" ht="15.75" customHeight="1">
      <c r="R799" s="30"/>
    </row>
    <row r="800" spans="18:18" ht="15.75" customHeight="1">
      <c r="R800" s="30"/>
    </row>
    <row r="801" spans="18:18" ht="15.75" customHeight="1">
      <c r="R801" s="30"/>
    </row>
    <row r="802" spans="18:18" ht="15.75" customHeight="1">
      <c r="R802" s="30"/>
    </row>
    <row r="803" spans="18:18" ht="15.75" customHeight="1">
      <c r="R803" s="30"/>
    </row>
    <row r="804" spans="18:18" ht="15.75" customHeight="1">
      <c r="R804" s="30"/>
    </row>
    <row r="805" spans="18:18" ht="15.75" customHeight="1">
      <c r="R805" s="30"/>
    </row>
    <row r="806" spans="18:18" ht="15.75" customHeight="1">
      <c r="R806" s="30"/>
    </row>
    <row r="807" spans="18:18" ht="15.75" customHeight="1">
      <c r="R807" s="30"/>
    </row>
    <row r="808" spans="18:18" ht="15.75" customHeight="1">
      <c r="R808" s="30"/>
    </row>
    <row r="809" spans="18:18" ht="15.75" customHeight="1">
      <c r="R809" s="30"/>
    </row>
    <row r="810" spans="18:18" ht="15.75" customHeight="1">
      <c r="R810" s="30"/>
    </row>
    <row r="811" spans="18:18" ht="15.75" customHeight="1">
      <c r="R811" s="30"/>
    </row>
    <row r="812" spans="18:18" ht="15.75" customHeight="1">
      <c r="R812" s="30"/>
    </row>
    <row r="813" spans="18:18" ht="15.75" customHeight="1">
      <c r="R813" s="30"/>
    </row>
    <row r="814" spans="18:18" ht="15.75" customHeight="1">
      <c r="R814" s="30"/>
    </row>
    <row r="815" spans="18:18" ht="15.75" customHeight="1">
      <c r="R815" s="30"/>
    </row>
    <row r="816" spans="18:18" ht="15.75" customHeight="1">
      <c r="R816" s="30"/>
    </row>
    <row r="817" spans="18:18" ht="15.75" customHeight="1">
      <c r="R817" s="30"/>
    </row>
    <row r="818" spans="18:18" ht="15.75" customHeight="1">
      <c r="R818" s="30"/>
    </row>
    <row r="819" spans="18:18" ht="15.75" customHeight="1">
      <c r="R819" s="30"/>
    </row>
    <row r="820" spans="18:18" ht="15.75" customHeight="1">
      <c r="R820" s="30"/>
    </row>
    <row r="821" spans="18:18" ht="15.75" customHeight="1">
      <c r="R821" s="30"/>
    </row>
    <row r="822" spans="18:18" ht="15.75" customHeight="1">
      <c r="R822" s="30"/>
    </row>
    <row r="823" spans="18:18" ht="15.75" customHeight="1">
      <c r="R823" s="30"/>
    </row>
    <row r="824" spans="18:18" ht="15.75" customHeight="1">
      <c r="R824" s="30"/>
    </row>
    <row r="825" spans="18:18" ht="15.75" customHeight="1">
      <c r="R825" s="30"/>
    </row>
    <row r="826" spans="18:18" ht="15.75" customHeight="1">
      <c r="R826" s="30"/>
    </row>
    <row r="827" spans="18:18" ht="15.75" customHeight="1">
      <c r="R827" s="30"/>
    </row>
    <row r="828" spans="18:18" ht="15.75" customHeight="1">
      <c r="R828" s="30"/>
    </row>
    <row r="829" spans="18:18" ht="15.75" customHeight="1">
      <c r="R829" s="30"/>
    </row>
    <row r="830" spans="18:18" ht="15.75" customHeight="1">
      <c r="R830" s="30"/>
    </row>
    <row r="831" spans="18:18" ht="15.75" customHeight="1">
      <c r="R831" s="30"/>
    </row>
    <row r="832" spans="18:18" ht="15.75" customHeight="1">
      <c r="R832" s="30"/>
    </row>
    <row r="833" spans="18:18" ht="15.75" customHeight="1">
      <c r="R833" s="30"/>
    </row>
    <row r="834" spans="18:18" ht="15.75" customHeight="1">
      <c r="R834" s="30"/>
    </row>
    <row r="835" spans="18:18" ht="15.75" customHeight="1">
      <c r="R835" s="30"/>
    </row>
    <row r="836" spans="18:18" ht="15.75" customHeight="1">
      <c r="R836" s="30"/>
    </row>
    <row r="837" spans="18:18" ht="15.75" customHeight="1">
      <c r="R837" s="30"/>
    </row>
    <row r="838" spans="18:18" ht="15.75" customHeight="1">
      <c r="R838" s="30"/>
    </row>
    <row r="839" spans="18:18" ht="15.75" customHeight="1">
      <c r="R839" s="30"/>
    </row>
    <row r="840" spans="18:18" ht="15.75" customHeight="1">
      <c r="R840" s="30"/>
    </row>
    <row r="841" spans="18:18" ht="15.75" customHeight="1">
      <c r="R841" s="30"/>
    </row>
    <row r="842" spans="18:18" ht="15.75" customHeight="1">
      <c r="R842" s="30"/>
    </row>
    <row r="843" spans="18:18" ht="15.75" customHeight="1">
      <c r="R843" s="30"/>
    </row>
    <row r="844" spans="18:18" ht="15.75" customHeight="1">
      <c r="R844" s="30"/>
    </row>
    <row r="845" spans="18:18" ht="15.75" customHeight="1">
      <c r="R845" s="30"/>
    </row>
    <row r="846" spans="18:18" ht="15.75" customHeight="1">
      <c r="R846" s="30"/>
    </row>
    <row r="847" spans="18:18" ht="15.75" customHeight="1">
      <c r="R847" s="30"/>
    </row>
    <row r="848" spans="18:18" ht="15.75" customHeight="1">
      <c r="R848" s="30"/>
    </row>
    <row r="849" spans="18:18" ht="15.75" customHeight="1">
      <c r="R849" s="30"/>
    </row>
    <row r="850" spans="18:18" ht="15.75" customHeight="1">
      <c r="R850" s="30"/>
    </row>
    <row r="851" spans="18:18" ht="15.75" customHeight="1">
      <c r="R851" s="30"/>
    </row>
    <row r="852" spans="18:18" ht="15.75" customHeight="1">
      <c r="R852" s="30"/>
    </row>
    <row r="853" spans="18:18" ht="15.75" customHeight="1">
      <c r="R853" s="30"/>
    </row>
    <row r="854" spans="18:18" ht="15.75" customHeight="1">
      <c r="R854" s="30"/>
    </row>
    <row r="855" spans="18:18" ht="15.75" customHeight="1">
      <c r="R855" s="30"/>
    </row>
    <row r="856" spans="18:18" ht="15.75" customHeight="1">
      <c r="R856" s="30"/>
    </row>
    <row r="857" spans="18:18" ht="15.75" customHeight="1">
      <c r="R857" s="30"/>
    </row>
    <row r="858" spans="18:18" ht="15.75" customHeight="1">
      <c r="R858" s="30"/>
    </row>
    <row r="859" spans="18:18" ht="15.75" customHeight="1">
      <c r="R859" s="30"/>
    </row>
    <row r="860" spans="18:18" ht="15.75" customHeight="1">
      <c r="R860" s="30"/>
    </row>
    <row r="861" spans="18:18" ht="15.75" customHeight="1">
      <c r="R861" s="30"/>
    </row>
    <row r="862" spans="18:18" ht="15.75" customHeight="1">
      <c r="R862" s="30"/>
    </row>
    <row r="863" spans="18:18" ht="15.75" customHeight="1">
      <c r="R863" s="30"/>
    </row>
    <row r="864" spans="18:18" ht="15.75" customHeight="1">
      <c r="R864" s="30"/>
    </row>
    <row r="865" spans="18:18" ht="15.75" customHeight="1">
      <c r="R865" s="30"/>
    </row>
    <row r="866" spans="18:18" ht="15.75" customHeight="1">
      <c r="R866" s="30"/>
    </row>
    <row r="867" spans="18:18" ht="15.75" customHeight="1">
      <c r="R867" s="30"/>
    </row>
    <row r="868" spans="18:18" ht="15.75" customHeight="1">
      <c r="R868" s="30"/>
    </row>
    <row r="869" spans="18:18" ht="15.75" customHeight="1">
      <c r="R869" s="30"/>
    </row>
    <row r="870" spans="18:18" ht="15.75" customHeight="1">
      <c r="R870" s="30"/>
    </row>
    <row r="871" spans="18:18" ht="15.75" customHeight="1">
      <c r="R871" s="30"/>
    </row>
    <row r="872" spans="18:18" ht="15.75" customHeight="1">
      <c r="R872" s="30"/>
    </row>
    <row r="873" spans="18:18" ht="15.75" customHeight="1">
      <c r="R873" s="30"/>
    </row>
    <row r="874" spans="18:18" ht="15.75" customHeight="1">
      <c r="R874" s="30"/>
    </row>
    <row r="875" spans="18:18" ht="15.75" customHeight="1">
      <c r="R875" s="30"/>
    </row>
    <row r="876" spans="18:18" ht="15.75" customHeight="1">
      <c r="R876" s="30"/>
    </row>
    <row r="877" spans="18:18" ht="15.75" customHeight="1">
      <c r="R877" s="30"/>
    </row>
    <row r="878" spans="18:18" ht="15.75" customHeight="1">
      <c r="R878" s="30"/>
    </row>
    <row r="879" spans="18:18" ht="15.75" customHeight="1">
      <c r="R879" s="30"/>
    </row>
    <row r="880" spans="18:18" ht="15.75" customHeight="1">
      <c r="R880" s="30"/>
    </row>
    <row r="881" spans="18:18" ht="15.75" customHeight="1">
      <c r="R881" s="30"/>
    </row>
    <row r="882" spans="18:18" ht="15.75" customHeight="1">
      <c r="R882" s="30"/>
    </row>
    <row r="883" spans="18:18" ht="15.75" customHeight="1">
      <c r="R883" s="30"/>
    </row>
    <row r="884" spans="18:18" ht="15.75" customHeight="1">
      <c r="R884" s="30"/>
    </row>
    <row r="885" spans="18:18" ht="15.75" customHeight="1">
      <c r="R885" s="30"/>
    </row>
    <row r="886" spans="18:18" ht="15.75" customHeight="1">
      <c r="R886" s="30"/>
    </row>
    <row r="887" spans="18:18" ht="15.75" customHeight="1">
      <c r="R887" s="30"/>
    </row>
    <row r="888" spans="18:18" ht="15.75" customHeight="1">
      <c r="R888" s="30"/>
    </row>
    <row r="889" spans="18:18" ht="15.75" customHeight="1">
      <c r="R889" s="30"/>
    </row>
    <row r="890" spans="18:18" ht="15.75" customHeight="1">
      <c r="R890" s="30"/>
    </row>
    <row r="891" spans="18:18" ht="15.75" customHeight="1">
      <c r="R891" s="30"/>
    </row>
    <row r="892" spans="18:18" ht="15.75" customHeight="1">
      <c r="R892" s="30"/>
    </row>
    <row r="893" spans="18:18" ht="15.75" customHeight="1">
      <c r="R893" s="30"/>
    </row>
    <row r="894" spans="18:18" ht="15.75" customHeight="1">
      <c r="R894" s="30"/>
    </row>
    <row r="895" spans="18:18" ht="15.75" customHeight="1">
      <c r="R895" s="30"/>
    </row>
    <row r="896" spans="18:18" ht="15.75" customHeight="1">
      <c r="R896" s="30"/>
    </row>
    <row r="897" spans="18:18" ht="15.75" customHeight="1">
      <c r="R897" s="30"/>
    </row>
    <row r="898" spans="18:18" ht="15.75" customHeight="1">
      <c r="R898" s="30"/>
    </row>
    <row r="899" spans="18:18" ht="15.75" customHeight="1">
      <c r="R899" s="30"/>
    </row>
    <row r="900" spans="18:18" ht="15.75" customHeight="1">
      <c r="R900" s="30"/>
    </row>
    <row r="901" spans="18:18" ht="15.75" customHeight="1">
      <c r="R901" s="30"/>
    </row>
    <row r="902" spans="18:18" ht="15.75" customHeight="1">
      <c r="R902" s="30"/>
    </row>
    <row r="903" spans="18:18" ht="15.75" customHeight="1">
      <c r="R903" s="30"/>
    </row>
    <row r="904" spans="18:18" ht="15.75" customHeight="1">
      <c r="R904" s="30"/>
    </row>
    <row r="905" spans="18:18" ht="15.75" customHeight="1">
      <c r="R905" s="30"/>
    </row>
    <row r="906" spans="18:18" ht="15.75" customHeight="1">
      <c r="R906" s="30"/>
    </row>
    <row r="907" spans="18:18" ht="15.75" customHeight="1">
      <c r="R907" s="30"/>
    </row>
    <row r="908" spans="18:18" ht="15.75" customHeight="1">
      <c r="R908" s="30"/>
    </row>
    <row r="909" spans="18:18" ht="15.75" customHeight="1">
      <c r="R909" s="30"/>
    </row>
    <row r="910" spans="18:18" ht="15.75" customHeight="1">
      <c r="R910" s="30"/>
    </row>
    <row r="911" spans="18:18" ht="15.75" customHeight="1">
      <c r="R911" s="30"/>
    </row>
    <row r="912" spans="18:18" ht="15.75" customHeight="1">
      <c r="R912" s="30"/>
    </row>
    <row r="913" spans="18:18" ht="15.75" customHeight="1">
      <c r="R913" s="30"/>
    </row>
    <row r="914" spans="18:18" ht="15.75" customHeight="1">
      <c r="R914" s="30"/>
    </row>
    <row r="915" spans="18:18" ht="15.75" customHeight="1">
      <c r="R915" s="30"/>
    </row>
    <row r="916" spans="18:18" ht="15.75" customHeight="1">
      <c r="R916" s="30"/>
    </row>
    <row r="917" spans="18:18" ht="15.75" customHeight="1">
      <c r="R917" s="30"/>
    </row>
    <row r="918" spans="18:18" ht="15.75" customHeight="1">
      <c r="R918" s="30"/>
    </row>
    <row r="919" spans="18:18" ht="15.75" customHeight="1">
      <c r="R919" s="30"/>
    </row>
    <row r="920" spans="18:18" ht="15.75" customHeight="1">
      <c r="R920" s="30"/>
    </row>
    <row r="921" spans="18:18" ht="15.75" customHeight="1">
      <c r="R921" s="30"/>
    </row>
    <row r="922" spans="18:18" ht="15.75" customHeight="1">
      <c r="R922" s="30"/>
    </row>
    <row r="923" spans="18:18" ht="15.75" customHeight="1">
      <c r="R923" s="30"/>
    </row>
    <row r="924" spans="18:18" ht="15.75" customHeight="1">
      <c r="R924" s="30"/>
    </row>
    <row r="925" spans="18:18" ht="15.75" customHeight="1">
      <c r="R925" s="30"/>
    </row>
    <row r="926" spans="18:18" ht="15.75" customHeight="1">
      <c r="R926" s="30"/>
    </row>
    <row r="927" spans="18:18" ht="15.75" customHeight="1">
      <c r="R927" s="30"/>
    </row>
    <row r="928" spans="18:18" ht="15.75" customHeight="1">
      <c r="R928" s="30"/>
    </row>
    <row r="929" spans="18:18" ht="15.75" customHeight="1">
      <c r="R929" s="30"/>
    </row>
    <row r="930" spans="18:18" ht="15.75" customHeight="1">
      <c r="R930" s="30"/>
    </row>
    <row r="931" spans="18:18" ht="15.75" customHeight="1">
      <c r="R931" s="30"/>
    </row>
    <row r="932" spans="18:18" ht="15.75" customHeight="1">
      <c r="R932" s="30"/>
    </row>
    <row r="933" spans="18:18" ht="15.75" customHeight="1">
      <c r="R933" s="30"/>
    </row>
    <row r="934" spans="18:18" ht="15.75" customHeight="1">
      <c r="R934" s="30"/>
    </row>
    <row r="935" spans="18:18" ht="15.75" customHeight="1">
      <c r="R935" s="30"/>
    </row>
    <row r="936" spans="18:18" ht="15.75" customHeight="1">
      <c r="R936" s="30"/>
    </row>
    <row r="937" spans="18:18" ht="15.75" customHeight="1">
      <c r="R937" s="30"/>
    </row>
    <row r="938" spans="18:18" ht="15.75" customHeight="1">
      <c r="R938" s="30"/>
    </row>
    <row r="939" spans="18:18" ht="15.75" customHeight="1">
      <c r="R939" s="30"/>
    </row>
    <row r="940" spans="18:18" ht="15.75" customHeight="1">
      <c r="R940" s="30"/>
    </row>
    <row r="941" spans="18:18" ht="15.75" customHeight="1">
      <c r="R941" s="30"/>
    </row>
    <row r="942" spans="18:18" ht="15.75" customHeight="1">
      <c r="R942" s="30"/>
    </row>
    <row r="943" spans="18:18" ht="15.75" customHeight="1">
      <c r="R943" s="30"/>
    </row>
    <row r="944" spans="18:18" ht="15.75" customHeight="1">
      <c r="R944" s="30"/>
    </row>
    <row r="945" spans="18:18" ht="15.75" customHeight="1">
      <c r="R945" s="30"/>
    </row>
    <row r="946" spans="18:18" ht="15.75" customHeight="1">
      <c r="R946" s="30"/>
    </row>
    <row r="947" spans="18:18" ht="15.75" customHeight="1">
      <c r="R947" s="30"/>
    </row>
    <row r="948" spans="18:18" ht="15.75" customHeight="1">
      <c r="R948" s="30"/>
    </row>
    <row r="949" spans="18:18" ht="15.75" customHeight="1">
      <c r="R949" s="30"/>
    </row>
    <row r="950" spans="18:18" ht="15.75" customHeight="1">
      <c r="R950" s="30"/>
    </row>
    <row r="951" spans="18:18" ht="15.75" customHeight="1">
      <c r="R951" s="30"/>
    </row>
    <row r="952" spans="18:18" ht="15.75" customHeight="1">
      <c r="R952" s="30"/>
    </row>
    <row r="953" spans="18:18" ht="15.75" customHeight="1">
      <c r="R953" s="30"/>
    </row>
    <row r="954" spans="18:18" ht="15.75" customHeight="1">
      <c r="R954" s="30"/>
    </row>
    <row r="955" spans="18:18" ht="15.75" customHeight="1">
      <c r="R955" s="30"/>
    </row>
    <row r="956" spans="18:18" ht="15.75" customHeight="1">
      <c r="R956" s="30"/>
    </row>
    <row r="957" spans="18:18" ht="15.75" customHeight="1">
      <c r="R957" s="30"/>
    </row>
    <row r="958" spans="18:18" ht="15.75" customHeight="1">
      <c r="R958" s="30"/>
    </row>
    <row r="959" spans="18:18" ht="15.75" customHeight="1">
      <c r="R959" s="30"/>
    </row>
    <row r="960" spans="18:18" ht="15.75" customHeight="1">
      <c r="R960" s="30"/>
    </row>
    <row r="961" spans="18:18" ht="15.75" customHeight="1">
      <c r="R961" s="30"/>
    </row>
    <row r="962" spans="18:18" ht="15.75" customHeight="1">
      <c r="R962" s="30"/>
    </row>
    <row r="963" spans="18:18" ht="15.75" customHeight="1">
      <c r="R963" s="30"/>
    </row>
    <row r="964" spans="18:18" ht="15.75" customHeight="1">
      <c r="R964" s="30"/>
    </row>
    <row r="965" spans="18:18" ht="15.75" customHeight="1">
      <c r="R965" s="30"/>
    </row>
    <row r="966" spans="18:18" ht="15.75" customHeight="1">
      <c r="R966" s="30"/>
    </row>
    <row r="967" spans="18:18" ht="15.75" customHeight="1">
      <c r="R967" s="30"/>
    </row>
    <row r="968" spans="18:18" ht="15.75" customHeight="1">
      <c r="R968" s="30"/>
    </row>
    <row r="969" spans="18:18" ht="15.75" customHeight="1">
      <c r="R969" s="30"/>
    </row>
    <row r="970" spans="18:18" ht="15.75" customHeight="1">
      <c r="R970" s="30"/>
    </row>
    <row r="971" spans="18:18" ht="15.75" customHeight="1">
      <c r="R971" s="30"/>
    </row>
    <row r="972" spans="18:18" ht="15.75" customHeight="1">
      <c r="R972" s="30"/>
    </row>
    <row r="973" spans="18:18" ht="15.75" customHeight="1">
      <c r="R973" s="30"/>
    </row>
    <row r="974" spans="18:18" ht="15.75" customHeight="1">
      <c r="R974" s="30"/>
    </row>
    <row r="975" spans="18:18" ht="15.75" customHeight="1">
      <c r="R975" s="30"/>
    </row>
    <row r="976" spans="18:18" ht="15.75" customHeight="1">
      <c r="R976" s="30"/>
    </row>
    <row r="977" spans="18:18" ht="15.75" customHeight="1">
      <c r="R977" s="30"/>
    </row>
    <row r="978" spans="18:18" ht="15.75" customHeight="1">
      <c r="R978" s="30"/>
    </row>
    <row r="979" spans="18:18" ht="15.75" customHeight="1">
      <c r="R979" s="30"/>
    </row>
    <row r="980" spans="18:18" ht="15.75" customHeight="1">
      <c r="R980" s="30"/>
    </row>
    <row r="981" spans="18:18" ht="15.75" customHeight="1">
      <c r="R981" s="30"/>
    </row>
    <row r="982" spans="18:18" ht="15.75" customHeight="1">
      <c r="R982" s="30"/>
    </row>
    <row r="983" spans="18:18" ht="15.75" customHeight="1">
      <c r="R983" s="30"/>
    </row>
    <row r="984" spans="18:18" ht="15.75" customHeight="1">
      <c r="R984" s="30"/>
    </row>
    <row r="985" spans="18:18" ht="15.75" customHeight="1">
      <c r="R985" s="30"/>
    </row>
    <row r="986" spans="18:18" ht="15.75" customHeight="1">
      <c r="R986" s="30"/>
    </row>
    <row r="987" spans="18:18" ht="15.75" customHeight="1">
      <c r="R987" s="30"/>
    </row>
    <row r="988" spans="18:18" ht="15.75" customHeight="1">
      <c r="R988" s="30"/>
    </row>
    <row r="989" spans="18:18" ht="15.75" customHeight="1">
      <c r="R989" s="30"/>
    </row>
    <row r="990" spans="18:18" ht="15.75" customHeight="1">
      <c r="R990" s="30"/>
    </row>
    <row r="991" spans="18:18" ht="15.75" customHeight="1">
      <c r="R991" s="30"/>
    </row>
    <row r="992" spans="18:18" ht="15.75" customHeight="1">
      <c r="R992" s="30"/>
    </row>
    <row r="993" spans="18:18" ht="15.75" customHeight="1">
      <c r="R993" s="30"/>
    </row>
    <row r="994" spans="18:18" ht="15.75" customHeight="1">
      <c r="R994" s="30"/>
    </row>
    <row r="995" spans="18:18" ht="15.75" customHeight="1">
      <c r="R995" s="30"/>
    </row>
    <row r="996" spans="18:18" ht="15.75" customHeight="1">
      <c r="R996" s="30"/>
    </row>
    <row r="997" spans="18:18" ht="15.75" customHeight="1">
      <c r="R997" s="30"/>
    </row>
    <row r="998" spans="18:18" ht="15.75" customHeight="1">
      <c r="R998" s="30"/>
    </row>
    <row r="999" spans="18:18" ht="15.75" customHeight="1">
      <c r="R999" s="30"/>
    </row>
    <row r="1000" spans="18:18" ht="15.75" customHeight="1">
      <c r="R1000" s="3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2.6640625" defaultRowHeight="15" customHeight="1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8.6640625" customWidth="1"/>
    <col min="6" max="6" width="10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9.6640625" customWidth="1"/>
    <col min="16" max="16" width="8.1640625" customWidth="1"/>
    <col min="17" max="18" width="7.33203125" customWidth="1"/>
    <col min="19" max="19" width="7.1640625" customWidth="1"/>
    <col min="20" max="20" width="11.1640625" customWidth="1"/>
    <col min="21" max="21" width="13.5" customWidth="1"/>
    <col min="22" max="22" width="22" customWidth="1"/>
    <col min="23" max="24" width="7.6640625" customWidth="1"/>
    <col min="25" max="25" width="8.1640625" customWidth="1"/>
    <col min="26" max="26" width="11.1640625" customWidth="1"/>
    <col min="27" max="27" width="10.6640625" customWidth="1"/>
    <col min="28" max="28" width="9.6640625" customWidth="1"/>
    <col min="29" max="29" width="7.1640625" customWidth="1"/>
    <col min="30" max="30" width="10.83203125" customWidth="1"/>
    <col min="31" max="31" width="7.6640625" customWidth="1"/>
    <col min="32" max="32" width="10.1640625" customWidth="1"/>
    <col min="33" max="33" width="8.83203125" customWidth="1"/>
  </cols>
  <sheetData>
    <row r="1" spans="1:33" ht="18.75" customHeight="1">
      <c r="A1" s="46" t="str">
        <f ca="1">IFERROR(__xludf.DUMMYFUNCTION("IFERROR(VLOOKUP(B2,IMPORTRANGE(""https://docs.google.com/spreadsheets/d/1x0DhHglkXKoEBOD2MBsuK_EyIr1ouxD2ftIpqOYFa-k/edit?usp=sharing"",""Ubiquitty-SKU-Specific Info!B1:BJ5000""),3,FALSE),"""")"),"25 Foot Outdoor Extension Cord with 3 Electrical Power Outlets - 10/3 SJTW Black 10 Gauge Extension Cable with 3 Prong Grounded Plug for Safety")</f>
        <v>25 Foot Outdoor Extension Cord with 3 Electrical Power Outlets - 10/3 SJTW Black 10 Gauge Extension Cable with 3 Prong Grounded Plug for Safety</v>
      </c>
      <c r="B1" s="47"/>
      <c r="C1" s="48" t="s">
        <v>0</v>
      </c>
      <c r="D1" s="50" t="s">
        <v>1</v>
      </c>
      <c r="E1" s="50" t="s">
        <v>2</v>
      </c>
      <c r="F1" s="52" t="s">
        <v>3</v>
      </c>
      <c r="G1" s="52" t="s">
        <v>4</v>
      </c>
      <c r="H1" s="53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58" t="s">
        <v>10</v>
      </c>
      <c r="N1" s="59" t="s">
        <v>11</v>
      </c>
      <c r="O1" s="50" t="s">
        <v>12</v>
      </c>
      <c r="P1" s="50" t="s">
        <v>13</v>
      </c>
      <c r="Q1" s="57" t="s">
        <v>14</v>
      </c>
      <c r="R1" s="57" t="s">
        <v>15</v>
      </c>
      <c r="S1" s="60" t="s">
        <v>16</v>
      </c>
      <c r="T1" s="62" t="s">
        <v>2006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Info!B1:BJ5000""),2,FALSE),"""")"),"B08NFH29K8")</f>
        <v>B08NFH29K8</v>
      </c>
      <c r="B2" s="3" t="s">
        <v>95</v>
      </c>
      <c r="C2" s="49"/>
      <c r="D2" s="49"/>
      <c r="E2" s="51"/>
      <c r="F2" s="49"/>
      <c r="G2" s="49"/>
      <c r="H2" s="54"/>
      <c r="I2" s="49"/>
      <c r="J2" s="49"/>
      <c r="K2" s="54"/>
      <c r="L2" s="54"/>
      <c r="M2" s="54"/>
      <c r="N2" s="49"/>
      <c r="O2" s="49"/>
      <c r="P2" s="51"/>
      <c r="Q2" s="49"/>
      <c r="R2" s="49"/>
      <c r="S2" s="61"/>
      <c r="T2" s="47"/>
      <c r="U2" s="63"/>
      <c r="V2" s="63"/>
      <c r="W2" s="47"/>
      <c r="X2" s="47"/>
      <c r="Y2" s="47"/>
      <c r="Z2" s="47"/>
      <c r="AA2" s="63"/>
      <c r="AB2" s="63"/>
      <c r="AC2" s="63"/>
      <c r="AD2" s="63"/>
      <c r="AE2" s="47"/>
      <c r="AF2" s="47"/>
      <c r="AG2" s="47"/>
    </row>
    <row r="3" spans="1:33" ht="179.25" customHeight="1">
      <c r="A3" s="55" t="s">
        <v>31</v>
      </c>
      <c r="B3" s="56"/>
      <c r="C3" s="4">
        <f>((AE32+AF32)/0.85)*-1</f>
        <v>29.459246611176468</v>
      </c>
      <c r="D3" s="5">
        <f>SUM(D4:D99765)</f>
        <v>93</v>
      </c>
      <c r="E3" s="5"/>
      <c r="F3" s="6">
        <f t="shared" ref="F3:G3" si="0">SUM(F4:F99765)</f>
        <v>3450.63</v>
      </c>
      <c r="G3" s="6">
        <f t="shared" si="0"/>
        <v>-118.13</v>
      </c>
      <c r="H3" s="7">
        <f>G3/F3*-1</f>
        <v>3.4234328224121389E-2</v>
      </c>
      <c r="I3" s="8">
        <f>J3/F3</f>
        <v>0.12416047044227345</v>
      </c>
      <c r="J3" s="6">
        <f>SUM(J4:J99765)</f>
        <v>428.43184412222206</v>
      </c>
      <c r="K3" s="6">
        <f>J3/D3</f>
        <v>4.6067940228195923</v>
      </c>
      <c r="L3" s="5"/>
      <c r="M3" s="9"/>
      <c r="N3" s="10"/>
      <c r="O3" s="5" t="str">
        <f ca="1">IFERROR(__xludf.DUMMYFUNCTION("VLOOKUP(B2,IMPORTRANGE(""https://docs.google.com/spreadsheets/d/1N8jvpEHDVkurDv7NrPxwI3eH6hQsvtb1QltGNCalRjU/edit#gid=865736387"",""Compiled Sheet!a1:g5000""),2,FALSE)")," - March
 - April
 - May
 - June
 - July
 - Aug
 - Sept
 - Oct
 - Nov
 - Dec
 - Jan
 - Feb")</f>
        <v xml:space="preserve"> - March
 - April
 - May
 - June
 - July
 - Aug
 - Sept
 - Oct
 - Nov
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QTY-108")</f>
        <v>US QTY-108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6</v>
      </c>
      <c r="X3" s="7">
        <f>W3/D3</f>
        <v>6.4516129032258063E-2</v>
      </c>
      <c r="Y3" s="6"/>
      <c r="Z3" s="5"/>
      <c r="AA3" s="5"/>
      <c r="AB3" s="5"/>
      <c r="AC3" s="5"/>
      <c r="AD3" s="6">
        <f>SUM(AD4:AD99765)</f>
        <v>-30.75566539027777</v>
      </c>
      <c r="AE3" s="6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Info!B2:BZ3000""),37,FALSE)),"""")*-1"),-18.1603596195)</f>
        <v>-18.160359619499999</v>
      </c>
      <c r="AG3" s="6">
        <f>SUM(AG4:AG99765)</f>
        <v>0</v>
      </c>
    </row>
    <row r="4" spans="1:33" ht="15.75" hidden="1" customHeight="1">
      <c r="A4" s="14"/>
      <c r="B4" s="14"/>
      <c r="C4" s="15"/>
      <c r="D4" s="16"/>
      <c r="E4" s="16"/>
      <c r="F4" s="17"/>
      <c r="G4" s="17"/>
      <c r="H4" s="18"/>
      <c r="I4" s="18"/>
      <c r="J4" s="17"/>
      <c r="K4" s="17"/>
      <c r="L4" s="16"/>
      <c r="M4" s="19"/>
      <c r="N4" s="16"/>
      <c r="O4" s="20"/>
      <c r="P4" s="20"/>
      <c r="Q4" s="16"/>
      <c r="R4" s="16"/>
      <c r="S4" s="21"/>
      <c r="T4" s="14"/>
      <c r="U4" s="22"/>
      <c r="V4" s="23"/>
      <c r="W4" s="14"/>
      <c r="X4" s="24"/>
      <c r="Y4" s="25"/>
      <c r="Z4" s="14"/>
      <c r="AA4" s="26"/>
      <c r="AB4" s="27"/>
      <c r="AC4" s="28"/>
      <c r="AD4" s="25"/>
      <c r="AE4" s="25"/>
      <c r="AF4" s="25"/>
      <c r="AG4" s="25"/>
    </row>
    <row r="5" spans="1:33" ht="15.75" hidden="1" customHeight="1">
      <c r="A5" s="14"/>
      <c r="B5" s="14"/>
      <c r="C5" s="15"/>
      <c r="D5" s="16"/>
      <c r="E5" s="16"/>
      <c r="F5" s="29"/>
      <c r="G5" s="29"/>
      <c r="H5" s="18"/>
      <c r="I5" s="18"/>
      <c r="J5" s="17"/>
      <c r="K5" s="17"/>
      <c r="L5" s="16"/>
      <c r="M5" s="19"/>
      <c r="N5" s="16"/>
      <c r="O5" s="20"/>
      <c r="P5" s="20"/>
      <c r="Q5" s="16"/>
      <c r="R5" s="16"/>
      <c r="S5" s="21"/>
      <c r="T5" s="14"/>
      <c r="U5" s="22"/>
      <c r="V5" s="23"/>
      <c r="W5" s="14"/>
      <c r="X5" s="24"/>
      <c r="Y5" s="25"/>
      <c r="Z5" s="14"/>
      <c r="AA5" s="14"/>
      <c r="AB5" s="27"/>
      <c r="AC5" s="28"/>
      <c r="AD5" s="25"/>
      <c r="AE5" s="25"/>
      <c r="AF5" s="25"/>
      <c r="AG5" s="25"/>
    </row>
    <row r="6" spans="1:33" ht="15.75" hidden="1" customHeight="1">
      <c r="A6" s="14"/>
      <c r="B6" s="14"/>
      <c r="C6" s="15"/>
      <c r="D6" s="16"/>
      <c r="E6" s="16"/>
      <c r="F6" s="29"/>
      <c r="G6" s="29"/>
      <c r="H6" s="18"/>
      <c r="I6" s="18"/>
      <c r="J6" s="17"/>
      <c r="K6" s="17"/>
      <c r="L6" s="16"/>
      <c r="M6" s="19"/>
      <c r="N6" s="16"/>
      <c r="O6" s="20"/>
      <c r="P6" s="20"/>
      <c r="Q6" s="16"/>
      <c r="R6" s="16"/>
      <c r="S6" s="21"/>
      <c r="T6" s="14"/>
      <c r="U6" s="22"/>
      <c r="V6" s="23"/>
      <c r="W6" s="14"/>
      <c r="X6" s="24"/>
      <c r="Y6" s="25"/>
      <c r="Z6" s="14"/>
      <c r="AA6" s="14"/>
      <c r="AB6" s="27"/>
      <c r="AC6" s="28"/>
      <c r="AD6" s="25"/>
      <c r="AE6" s="25"/>
      <c r="AF6" s="25"/>
      <c r="AG6" s="25"/>
    </row>
    <row r="7" spans="1:33" ht="15.75" hidden="1" customHeight="1">
      <c r="A7" s="14"/>
      <c r="B7" s="14"/>
      <c r="C7" s="15"/>
      <c r="D7" s="16"/>
      <c r="E7" s="16"/>
      <c r="F7" s="29"/>
      <c r="G7" s="29"/>
      <c r="H7" s="18"/>
      <c r="I7" s="18"/>
      <c r="J7" s="17"/>
      <c r="K7" s="17"/>
      <c r="L7" s="16"/>
      <c r="M7" s="19"/>
      <c r="N7" s="16"/>
      <c r="O7" s="20"/>
      <c r="P7" s="20"/>
      <c r="Q7" s="16"/>
      <c r="R7" s="16"/>
      <c r="S7" s="21"/>
      <c r="T7" s="14"/>
      <c r="U7" s="22"/>
      <c r="V7" s="23"/>
      <c r="W7" s="14"/>
      <c r="X7" s="24"/>
      <c r="Y7" s="25"/>
      <c r="Z7" s="14"/>
      <c r="AA7" s="14"/>
      <c r="AB7" s="27"/>
      <c r="AC7" s="28"/>
      <c r="AD7" s="25"/>
      <c r="AE7" s="25"/>
      <c r="AF7" s="25"/>
      <c r="AG7" s="25"/>
    </row>
    <row r="8" spans="1:33" ht="15.75" hidden="1" customHeight="1">
      <c r="A8" s="14"/>
      <c r="B8" s="14"/>
      <c r="C8" s="15"/>
      <c r="D8" s="16"/>
      <c r="E8" s="16"/>
      <c r="F8" s="29"/>
      <c r="G8" s="29"/>
      <c r="H8" s="18"/>
      <c r="I8" s="18"/>
      <c r="J8" s="17"/>
      <c r="K8" s="17"/>
      <c r="L8" s="16"/>
      <c r="M8" s="19"/>
      <c r="N8" s="16"/>
      <c r="O8" s="20"/>
      <c r="P8" s="20"/>
      <c r="Q8" s="16"/>
      <c r="R8" s="16"/>
      <c r="S8" s="21"/>
      <c r="T8" s="14"/>
      <c r="U8" s="22"/>
      <c r="V8" s="23"/>
      <c r="W8" s="14"/>
      <c r="X8" s="24"/>
      <c r="Y8" s="25"/>
      <c r="Z8" s="14"/>
      <c r="AA8" s="14"/>
      <c r="AB8" s="27"/>
      <c r="AC8" s="28"/>
      <c r="AD8" s="25"/>
      <c r="AE8" s="25"/>
      <c r="AF8" s="25"/>
      <c r="AG8" s="25"/>
    </row>
    <row r="9" spans="1:33" ht="15.75" hidden="1" customHeight="1">
      <c r="A9" s="14"/>
      <c r="B9" s="14"/>
      <c r="C9" s="15"/>
      <c r="D9" s="16"/>
      <c r="E9" s="16"/>
      <c r="F9" s="29"/>
      <c r="G9" s="29"/>
      <c r="H9" s="18"/>
      <c r="I9" s="18"/>
      <c r="J9" s="17"/>
      <c r="K9" s="17"/>
      <c r="L9" s="16"/>
      <c r="M9" s="19"/>
      <c r="N9" s="16"/>
      <c r="O9" s="20"/>
      <c r="P9" s="20"/>
      <c r="Q9" s="16"/>
      <c r="R9" s="16"/>
      <c r="S9" s="21"/>
      <c r="T9" s="14"/>
      <c r="U9" s="22"/>
      <c r="V9" s="23"/>
      <c r="W9" s="14"/>
      <c r="X9" s="24"/>
      <c r="Y9" s="25"/>
      <c r="Z9" s="14"/>
      <c r="AA9" s="14"/>
      <c r="AB9" s="27"/>
      <c r="AC9" s="28"/>
      <c r="AD9" s="25"/>
      <c r="AE9" s="25"/>
      <c r="AF9" s="25"/>
      <c r="AG9" s="25"/>
    </row>
    <row r="10" spans="1:33" ht="15.75" hidden="1" customHeight="1">
      <c r="A10" s="14"/>
      <c r="B10" s="14"/>
      <c r="C10" s="15"/>
      <c r="D10" s="16"/>
      <c r="E10" s="16"/>
      <c r="F10" s="29"/>
      <c r="G10" s="29"/>
      <c r="H10" s="18"/>
      <c r="I10" s="18"/>
      <c r="J10" s="17"/>
      <c r="K10" s="17"/>
      <c r="L10" s="16"/>
      <c r="M10" s="19"/>
      <c r="N10" s="16"/>
      <c r="O10" s="20"/>
      <c r="P10" s="20"/>
      <c r="Q10" s="16"/>
      <c r="R10" s="16"/>
      <c r="S10" s="21"/>
      <c r="T10" s="14"/>
      <c r="U10" s="22"/>
      <c r="V10" s="23"/>
      <c r="W10" s="14"/>
      <c r="X10" s="24"/>
      <c r="Y10" s="25"/>
      <c r="Z10" s="14"/>
      <c r="AA10" s="14"/>
      <c r="AB10" s="27"/>
      <c r="AC10" s="28"/>
      <c r="AD10" s="25"/>
      <c r="AE10" s="25"/>
      <c r="AF10" s="25"/>
      <c r="AG10" s="25"/>
    </row>
    <row r="11" spans="1:33" ht="15.75" hidden="1" customHeight="1">
      <c r="A11" s="14"/>
      <c r="B11" s="14"/>
      <c r="C11" s="15"/>
      <c r="D11" s="16"/>
      <c r="E11" s="16"/>
      <c r="F11" s="29"/>
      <c r="G11" s="29"/>
      <c r="H11" s="18"/>
      <c r="I11" s="18"/>
      <c r="J11" s="17"/>
      <c r="K11" s="17"/>
      <c r="L11" s="16"/>
      <c r="M11" s="19"/>
      <c r="N11" s="16"/>
      <c r="O11" s="20"/>
      <c r="P11" s="20"/>
      <c r="Q11" s="16"/>
      <c r="R11" s="16"/>
      <c r="S11" s="21"/>
      <c r="T11" s="14"/>
      <c r="U11" s="22"/>
      <c r="V11" s="23"/>
      <c r="W11" s="14"/>
      <c r="X11" s="24"/>
      <c r="Y11" s="25"/>
      <c r="Z11" s="14"/>
      <c r="AA11" s="14"/>
      <c r="AB11" s="27"/>
      <c r="AC11" s="28"/>
      <c r="AD11" s="25"/>
      <c r="AE11" s="25"/>
      <c r="AF11" s="25"/>
      <c r="AG11" s="25"/>
    </row>
    <row r="12" spans="1:33" ht="15.75" hidden="1" customHeight="1">
      <c r="A12" s="14"/>
      <c r="B12" s="14"/>
      <c r="C12" s="15"/>
      <c r="D12" s="16"/>
      <c r="E12" s="16"/>
      <c r="F12" s="29"/>
      <c r="G12" s="29"/>
      <c r="H12" s="18"/>
      <c r="I12" s="18"/>
      <c r="J12" s="17"/>
      <c r="K12" s="17"/>
      <c r="L12" s="16"/>
      <c r="M12" s="19"/>
      <c r="N12" s="16"/>
      <c r="O12" s="20"/>
      <c r="P12" s="20"/>
      <c r="Q12" s="16"/>
      <c r="R12" s="16"/>
      <c r="S12" s="21"/>
      <c r="T12" s="14"/>
      <c r="U12" s="22"/>
      <c r="V12" s="23"/>
      <c r="W12" s="14"/>
      <c r="X12" s="24"/>
      <c r="Y12" s="25"/>
      <c r="Z12" s="14"/>
      <c r="AA12" s="14"/>
      <c r="AB12" s="27"/>
      <c r="AC12" s="28"/>
      <c r="AD12" s="25"/>
      <c r="AE12" s="25"/>
      <c r="AF12" s="25"/>
      <c r="AG12" s="25"/>
    </row>
    <row r="13" spans="1:33" ht="15.75" hidden="1" customHeight="1">
      <c r="A13" s="14"/>
      <c r="B13" s="14"/>
      <c r="C13" s="15"/>
      <c r="D13" s="16"/>
      <c r="E13" s="16"/>
      <c r="F13" s="17"/>
      <c r="G13" s="29"/>
      <c r="H13" s="18"/>
      <c r="I13" s="18"/>
      <c r="J13" s="17"/>
      <c r="K13" s="17"/>
      <c r="L13" s="16"/>
      <c r="M13" s="19"/>
      <c r="N13" s="16"/>
      <c r="O13" s="20"/>
      <c r="P13" s="20"/>
      <c r="Q13" s="16"/>
      <c r="R13" s="16"/>
      <c r="S13" s="21"/>
      <c r="T13" s="14"/>
      <c r="U13" s="22"/>
      <c r="V13" s="23"/>
      <c r="W13" s="14"/>
      <c r="X13" s="24"/>
      <c r="Y13" s="25"/>
      <c r="Z13" s="14"/>
      <c r="AA13" s="14"/>
      <c r="AB13" s="27"/>
      <c r="AC13" s="28"/>
      <c r="AD13" s="25"/>
      <c r="AE13" s="25"/>
      <c r="AF13" s="25"/>
      <c r="AG13" s="25"/>
    </row>
    <row r="14" spans="1:33" ht="15.75" hidden="1" customHeight="1">
      <c r="A14" s="14"/>
      <c r="B14" s="14"/>
      <c r="C14" s="15"/>
      <c r="D14" s="16"/>
      <c r="E14" s="16"/>
      <c r="F14" s="17"/>
      <c r="G14" s="29"/>
      <c r="H14" s="18"/>
      <c r="I14" s="18"/>
      <c r="J14" s="17"/>
      <c r="K14" s="17"/>
      <c r="L14" s="16"/>
      <c r="M14" s="19"/>
      <c r="N14" s="16"/>
      <c r="O14" s="20"/>
      <c r="P14" s="20"/>
      <c r="Q14" s="16"/>
      <c r="R14" s="16"/>
      <c r="S14" s="21"/>
      <c r="T14" s="14"/>
      <c r="U14" s="22"/>
      <c r="V14" s="23"/>
      <c r="W14" s="14"/>
      <c r="X14" s="24"/>
      <c r="Y14" s="25"/>
      <c r="Z14" s="14"/>
      <c r="AA14" s="14"/>
      <c r="AB14" s="27"/>
      <c r="AC14" s="28"/>
      <c r="AD14" s="25"/>
      <c r="AE14" s="25"/>
      <c r="AF14" s="25"/>
      <c r="AG14" s="25"/>
    </row>
    <row r="15" spans="1:33" ht="15.75" hidden="1" customHeight="1">
      <c r="A15" s="14"/>
      <c r="B15" s="14"/>
      <c r="C15" s="15"/>
      <c r="D15" s="16"/>
      <c r="E15" s="16"/>
      <c r="F15" s="17"/>
      <c r="G15" s="29"/>
      <c r="H15" s="18"/>
      <c r="I15" s="18"/>
      <c r="J15" s="17"/>
      <c r="K15" s="17"/>
      <c r="L15" s="16"/>
      <c r="M15" s="19"/>
      <c r="N15" s="16"/>
      <c r="O15" s="20"/>
      <c r="P15" s="20"/>
      <c r="Q15" s="16"/>
      <c r="R15" s="16"/>
      <c r="S15" s="21"/>
      <c r="T15" s="14"/>
      <c r="U15" s="22"/>
      <c r="V15" s="23"/>
      <c r="W15" s="14"/>
      <c r="X15" s="24"/>
      <c r="Y15" s="25"/>
      <c r="Z15" s="14"/>
      <c r="AA15" s="14"/>
      <c r="AB15" s="27"/>
      <c r="AC15" s="28"/>
      <c r="AD15" s="25"/>
      <c r="AE15" s="25"/>
      <c r="AF15" s="25"/>
      <c r="AG15" s="25"/>
    </row>
    <row r="16" spans="1:33" ht="15.75" hidden="1" customHeight="1">
      <c r="A16" s="14"/>
      <c r="B16" s="14"/>
      <c r="C16" s="15"/>
      <c r="D16" s="16"/>
      <c r="E16" s="16"/>
      <c r="F16" s="17"/>
      <c r="G16" s="29"/>
      <c r="H16" s="18"/>
      <c r="I16" s="18"/>
      <c r="J16" s="17"/>
      <c r="K16" s="17"/>
      <c r="L16" s="16"/>
      <c r="M16" s="19"/>
      <c r="N16" s="16"/>
      <c r="O16" s="20"/>
      <c r="P16" s="20"/>
      <c r="Q16" s="16"/>
      <c r="R16" s="16"/>
      <c r="S16" s="21"/>
      <c r="T16" s="14"/>
      <c r="U16" s="22"/>
      <c r="V16" s="23"/>
      <c r="W16" s="14"/>
      <c r="X16" s="24"/>
      <c r="Y16" s="25"/>
      <c r="Z16" s="14"/>
      <c r="AA16" s="14"/>
      <c r="AB16" s="27"/>
      <c r="AC16" s="28"/>
      <c r="AD16" s="25"/>
      <c r="AE16" s="25"/>
      <c r="AF16" s="25"/>
      <c r="AG16" s="25"/>
    </row>
    <row r="17" spans="1:33" ht="15.75" hidden="1" customHeight="1">
      <c r="A17" s="14"/>
      <c r="B17" s="14"/>
      <c r="C17" s="15"/>
      <c r="D17" s="16"/>
      <c r="E17" s="16"/>
      <c r="F17" s="17"/>
      <c r="G17" s="29"/>
      <c r="H17" s="18"/>
      <c r="I17" s="18"/>
      <c r="J17" s="17"/>
      <c r="K17" s="17"/>
      <c r="L17" s="16"/>
      <c r="M17" s="19"/>
      <c r="N17" s="16"/>
      <c r="O17" s="20"/>
      <c r="P17" s="20"/>
      <c r="Q17" s="16"/>
      <c r="R17" s="16"/>
      <c r="S17" s="21"/>
      <c r="T17" s="14"/>
      <c r="U17" s="22"/>
      <c r="V17" s="23"/>
      <c r="W17" s="14"/>
      <c r="X17" s="24"/>
      <c r="Y17" s="25"/>
      <c r="Z17" s="14"/>
      <c r="AA17" s="14"/>
      <c r="AB17" s="27"/>
      <c r="AC17" s="28"/>
      <c r="AD17" s="25"/>
      <c r="AE17" s="25"/>
      <c r="AF17" s="25"/>
      <c r="AG17" s="25"/>
    </row>
    <row r="18" spans="1:33" ht="15.75" hidden="1" customHeight="1">
      <c r="A18" s="14"/>
      <c r="B18" s="14"/>
      <c r="C18" s="15"/>
      <c r="D18" s="16"/>
      <c r="E18" s="16"/>
      <c r="F18" s="17"/>
      <c r="G18" s="29"/>
      <c r="H18" s="18"/>
      <c r="I18" s="18"/>
      <c r="J18" s="17"/>
      <c r="K18" s="17"/>
      <c r="L18" s="16"/>
      <c r="M18" s="19"/>
      <c r="N18" s="16"/>
      <c r="O18" s="20"/>
      <c r="P18" s="20"/>
      <c r="Q18" s="16"/>
      <c r="R18" s="16"/>
      <c r="S18" s="21"/>
      <c r="T18" s="14"/>
      <c r="U18" s="22"/>
      <c r="V18" s="23"/>
      <c r="W18" s="14"/>
      <c r="X18" s="24"/>
      <c r="Y18" s="25"/>
      <c r="Z18" s="14"/>
      <c r="AA18" s="14"/>
      <c r="AB18" s="27"/>
      <c r="AC18" s="28"/>
      <c r="AD18" s="25"/>
      <c r="AE18" s="25"/>
      <c r="AF18" s="25"/>
      <c r="AG18" s="25"/>
    </row>
    <row r="19" spans="1:33" ht="15.75" hidden="1" customHeight="1">
      <c r="A19" s="14" t="s">
        <v>44</v>
      </c>
      <c r="B19" s="14"/>
      <c r="C19" s="15"/>
      <c r="D19" s="16"/>
      <c r="E19" s="16"/>
      <c r="F19" s="17"/>
      <c r="G19" s="29"/>
      <c r="H19" s="18"/>
      <c r="I19" s="18"/>
      <c r="J19" s="17"/>
      <c r="K19" s="17"/>
      <c r="L19" s="16"/>
      <c r="M19" s="19"/>
      <c r="N19" s="16"/>
      <c r="O19" s="20"/>
      <c r="P19" s="20"/>
      <c r="Q19" s="16"/>
      <c r="R19" s="16"/>
      <c r="S19" s="21"/>
      <c r="T19" s="14"/>
      <c r="U19" s="22"/>
      <c r="V19" s="23"/>
      <c r="W19" s="14"/>
      <c r="X19" s="24"/>
      <c r="Y19" s="25"/>
      <c r="Z19" s="14"/>
      <c r="AA19" s="14"/>
      <c r="AB19" s="27"/>
      <c r="AC19" s="28"/>
      <c r="AD19" s="25"/>
      <c r="AE19" s="25"/>
      <c r="AF19" s="25"/>
      <c r="AG19" s="25"/>
    </row>
    <row r="20" spans="1:33" ht="15.75" hidden="1" customHeight="1">
      <c r="A20" s="14" t="s">
        <v>46</v>
      </c>
      <c r="B20" s="14"/>
      <c r="C20" s="15"/>
      <c r="D20" s="16"/>
      <c r="E20" s="16"/>
      <c r="F20" s="17"/>
      <c r="G20" s="29"/>
      <c r="H20" s="18"/>
      <c r="I20" s="18"/>
      <c r="J20" s="17"/>
      <c r="K20" s="17"/>
      <c r="L20" s="16"/>
      <c r="M20" s="19"/>
      <c r="N20" s="16"/>
      <c r="O20" s="20"/>
      <c r="P20" s="20"/>
      <c r="Q20" s="16"/>
      <c r="R20" s="16"/>
      <c r="S20" s="21"/>
      <c r="T20" s="14"/>
      <c r="U20" s="22"/>
      <c r="V20" s="23"/>
      <c r="W20" s="14"/>
      <c r="X20" s="24"/>
      <c r="Y20" s="25"/>
      <c r="Z20" s="14"/>
      <c r="AA20" s="14"/>
      <c r="AB20" s="27"/>
      <c r="AC20" s="28"/>
      <c r="AD20" s="25"/>
      <c r="AE20" s="25"/>
      <c r="AF20" s="25"/>
      <c r="AG20" s="25"/>
    </row>
    <row r="21" spans="1:33" ht="15.75" hidden="1" customHeight="1">
      <c r="A21" s="14" t="s">
        <v>47</v>
      </c>
      <c r="B21" s="14"/>
      <c r="C21" s="15"/>
      <c r="D21" s="16"/>
      <c r="E21" s="16"/>
      <c r="F21" s="17"/>
      <c r="G21" s="29"/>
      <c r="H21" s="18"/>
      <c r="I21" s="18"/>
      <c r="J21" s="17"/>
      <c r="K21" s="17"/>
      <c r="L21" s="16"/>
      <c r="M21" s="19"/>
      <c r="N21" s="16"/>
      <c r="O21" s="20"/>
      <c r="P21" s="20"/>
      <c r="Q21" s="16"/>
      <c r="R21" s="16"/>
      <c r="S21" s="21"/>
      <c r="T21" s="14"/>
      <c r="U21" s="22"/>
      <c r="V21" s="23"/>
      <c r="W21" s="14"/>
      <c r="X21" s="24"/>
      <c r="Y21" s="25"/>
      <c r="Z21" s="14"/>
      <c r="AA21" s="14"/>
      <c r="AB21" s="27"/>
      <c r="AC21" s="28"/>
      <c r="AD21" s="25"/>
      <c r="AE21" s="25"/>
      <c r="AF21" s="25"/>
      <c r="AG21" s="25"/>
    </row>
    <row r="22" spans="1:33" ht="15.75" hidden="1" customHeight="1">
      <c r="A22" s="14" t="s">
        <v>48</v>
      </c>
      <c r="B22" s="14"/>
      <c r="C22" s="15"/>
      <c r="D22" s="16"/>
      <c r="E22" s="16"/>
      <c r="F22" s="29"/>
      <c r="G22" s="29"/>
      <c r="H22" s="18"/>
      <c r="I22" s="18"/>
      <c r="J22" s="17"/>
      <c r="K22" s="17"/>
      <c r="L22" s="16"/>
      <c r="M22" s="19"/>
      <c r="N22" s="16"/>
      <c r="O22" s="20"/>
      <c r="P22" s="20"/>
      <c r="Q22" s="16"/>
      <c r="R22" s="16"/>
      <c r="S22" s="21"/>
      <c r="T22" s="14"/>
      <c r="U22" s="22"/>
      <c r="V22" s="23"/>
      <c r="W22" s="14"/>
      <c r="X22" s="24"/>
      <c r="Y22" s="25"/>
      <c r="Z22" s="14"/>
      <c r="AA22" s="14"/>
      <c r="AB22" s="27"/>
      <c r="AC22" s="28"/>
      <c r="AD22" s="25"/>
      <c r="AE22" s="25"/>
      <c r="AF22" s="25"/>
      <c r="AG22" s="25"/>
    </row>
    <row r="23" spans="1:33" ht="15.75" hidden="1" customHeight="1">
      <c r="A23" s="14" t="s">
        <v>49</v>
      </c>
      <c r="B23" s="14"/>
      <c r="C23" s="15"/>
      <c r="D23" s="16"/>
      <c r="E23" s="16"/>
      <c r="F23" s="17"/>
      <c r="G23" s="29"/>
      <c r="H23" s="18"/>
      <c r="I23" s="18"/>
      <c r="J23" s="17"/>
      <c r="K23" s="17"/>
      <c r="L23" s="16"/>
      <c r="M23" s="19"/>
      <c r="N23" s="16"/>
      <c r="O23" s="20"/>
      <c r="P23" s="20"/>
      <c r="Q23" s="16"/>
      <c r="R23" s="16"/>
      <c r="S23" s="21"/>
      <c r="T23" s="14"/>
      <c r="U23" s="22"/>
      <c r="V23" s="23"/>
      <c r="W23" s="14"/>
      <c r="X23" s="24"/>
      <c r="Y23" s="25"/>
      <c r="Z23" s="14"/>
      <c r="AA23" s="14"/>
      <c r="AB23" s="27"/>
      <c r="AC23" s="28"/>
      <c r="AD23" s="25"/>
      <c r="AE23" s="25"/>
      <c r="AF23" s="25"/>
      <c r="AG23" s="25"/>
    </row>
    <row r="24" spans="1:33" ht="15.75" customHeight="1">
      <c r="A24" s="14" t="s">
        <v>50</v>
      </c>
      <c r="B24" s="14"/>
      <c r="C24" s="15"/>
      <c r="D24" s="16"/>
      <c r="E24" s="16"/>
      <c r="F24" s="17"/>
      <c r="G24" s="17"/>
      <c r="H24" s="18"/>
      <c r="I24" s="18"/>
      <c r="J24" s="17"/>
      <c r="K24" s="17"/>
      <c r="L24" s="16"/>
      <c r="M24" s="19"/>
      <c r="N24" s="16"/>
      <c r="O24" s="20"/>
      <c r="P24" s="20"/>
      <c r="Q24" s="16"/>
      <c r="R24" s="16"/>
      <c r="S24" s="21"/>
      <c r="T24" s="14"/>
      <c r="U24" s="22"/>
      <c r="V24" s="23"/>
      <c r="W24" s="14"/>
      <c r="X24" s="24"/>
      <c r="Y24" s="25"/>
      <c r="Z24" s="14"/>
      <c r="AA24" s="14"/>
      <c r="AB24" s="27"/>
      <c r="AC24" s="28"/>
      <c r="AD24" s="25"/>
      <c r="AE24" s="25"/>
      <c r="AF24" s="25"/>
      <c r="AG24" s="25"/>
    </row>
    <row r="25" spans="1:33" ht="15.75" customHeight="1">
      <c r="A25" s="14" t="s">
        <v>51</v>
      </c>
      <c r="B25" s="14" t="s">
        <v>96</v>
      </c>
      <c r="C25" s="15">
        <f t="shared" ref="C25:C32" si="1">IFERROR(F25/D25," - ")</f>
        <v>33.99</v>
      </c>
      <c r="D25" s="16">
        <v>1</v>
      </c>
      <c r="E25" s="16">
        <v>0</v>
      </c>
      <c r="F25" s="17">
        <v>33.99</v>
      </c>
      <c r="G25" s="17">
        <v>0</v>
      </c>
      <c r="H25" s="18">
        <f t="shared" ref="H25:H32" si="2">G25/F25*-1</f>
        <v>0</v>
      </c>
      <c r="I25" s="18">
        <f t="shared" ref="I25:I32" si="3">J25/F25</f>
        <v>9.8332842993037156E-2</v>
      </c>
      <c r="J25" s="17">
        <f t="shared" ref="J25:J32" si="4">F25*0.85+G25+AF25*D25+D25*AE25+AG25+AD25</f>
        <v>3.3423333333333329</v>
      </c>
      <c r="K25" s="17">
        <f t="shared" ref="K25:K32" si="5">J25/D25</f>
        <v>3.3423333333333329</v>
      </c>
      <c r="L25" s="16">
        <v>2</v>
      </c>
      <c r="M25" s="19">
        <f t="shared" ref="M25:M32" si="6">IFERROR(D25/L25,"-")</f>
        <v>0.5</v>
      </c>
      <c r="N25" s="16">
        <v>92</v>
      </c>
      <c r="O25" s="20">
        <f t="shared" ref="O25:P25" si="7">D25/7</f>
        <v>0.14285714285714285</v>
      </c>
      <c r="P25" s="20">
        <f t="shared" si="7"/>
        <v>0</v>
      </c>
      <c r="Q25" s="16">
        <f t="shared" ref="Q25:Q32" si="8">ROUNDDOWN(N25/(O25+P25),0)</f>
        <v>644</v>
      </c>
      <c r="R25" s="16"/>
      <c r="S25" s="21">
        <v>0</v>
      </c>
      <c r="T25" s="14">
        <v>360</v>
      </c>
      <c r="U25" s="22">
        <v>160</v>
      </c>
      <c r="V25" s="23" t="s">
        <v>97</v>
      </c>
      <c r="W25" s="30">
        <v>0</v>
      </c>
      <c r="X25" s="24">
        <f t="shared" ref="X25:X32" si="9">IFERROR(W25/D25,0)</f>
        <v>0</v>
      </c>
      <c r="Y25" s="25">
        <f t="shared" ref="Y25:Y32" si="10">IFERROR(G25/(W25+Z25)*-1,0)</f>
        <v>0</v>
      </c>
      <c r="Z25" s="30">
        <v>0</v>
      </c>
      <c r="AA25" s="14" t="s">
        <v>35</v>
      </c>
      <c r="AB25" s="27">
        <f t="shared" ref="AB25:AB32" si="11">IF(OR(AA25="UsLargeStandardSize",AA25="UsSmallStandardSize"),-0.69,-0.48)</f>
        <v>-0.69</v>
      </c>
      <c r="AC25" s="28">
        <v>0.34722222222222221</v>
      </c>
      <c r="AD25" s="25">
        <f t="shared" ref="AD25:AD32" si="12">IFERROR(AB25*AC25*D25*2,0)</f>
        <v>-0.47916666666666663</v>
      </c>
      <c r="AE25" s="25">
        <v>-6.56</v>
      </c>
      <c r="AF25" s="25">
        <v>-18.510000000000002</v>
      </c>
      <c r="AG25" s="25">
        <v>0</v>
      </c>
    </row>
    <row r="26" spans="1:33" ht="15.75" customHeight="1">
      <c r="A26" s="14" t="s">
        <v>52</v>
      </c>
      <c r="B26" s="14" t="s">
        <v>68</v>
      </c>
      <c r="C26" s="15">
        <f t="shared" si="1"/>
        <v>34.096153846153847</v>
      </c>
      <c r="D26" s="16">
        <v>13</v>
      </c>
      <c r="E26" s="16">
        <v>0</v>
      </c>
      <c r="F26" s="17">
        <v>443.25</v>
      </c>
      <c r="G26" s="17">
        <v>0</v>
      </c>
      <c r="H26" s="18">
        <f t="shared" si="2"/>
        <v>0</v>
      </c>
      <c r="I26" s="18">
        <f t="shared" si="3"/>
        <v>9.5630680413768224E-2</v>
      </c>
      <c r="J26" s="17">
        <f t="shared" si="4"/>
        <v>42.388299093402765</v>
      </c>
      <c r="K26" s="17">
        <f t="shared" si="5"/>
        <v>3.2606383918002129</v>
      </c>
      <c r="L26" s="16">
        <v>46</v>
      </c>
      <c r="M26" s="19">
        <f t="shared" si="6"/>
        <v>0.28260869565217389</v>
      </c>
      <c r="N26" s="16">
        <v>80</v>
      </c>
      <c r="O26" s="20">
        <f t="shared" ref="O26:P26" si="13">D26/7</f>
        <v>1.8571428571428572</v>
      </c>
      <c r="P26" s="20">
        <f t="shared" si="13"/>
        <v>0</v>
      </c>
      <c r="Q26" s="16">
        <f t="shared" si="8"/>
        <v>43</v>
      </c>
      <c r="R26" s="16"/>
      <c r="S26" s="21">
        <v>0.19277108433734941</v>
      </c>
      <c r="T26" s="14">
        <v>360</v>
      </c>
      <c r="U26" s="22">
        <v>160</v>
      </c>
      <c r="V26" s="23" t="s">
        <v>97</v>
      </c>
      <c r="W26" s="30">
        <v>0</v>
      </c>
      <c r="X26" s="24">
        <f t="shared" si="9"/>
        <v>0</v>
      </c>
      <c r="Y26" s="25">
        <f t="shared" si="10"/>
        <v>0</v>
      </c>
      <c r="Z26" s="30">
        <v>0</v>
      </c>
      <c r="AA26" s="14" t="s">
        <v>35</v>
      </c>
      <c r="AB26" s="27">
        <f t="shared" si="11"/>
        <v>-0.69</v>
      </c>
      <c r="AC26" s="28">
        <v>0.23847273726851853</v>
      </c>
      <c r="AD26" s="25">
        <f t="shared" si="12"/>
        <v>-4.2782009065972222</v>
      </c>
      <c r="AE26" s="25">
        <v>-6.88</v>
      </c>
      <c r="AF26" s="25">
        <v>-18.512</v>
      </c>
      <c r="AG26" s="25">
        <v>0</v>
      </c>
    </row>
    <row r="27" spans="1:33" ht="15.75" customHeight="1">
      <c r="A27" s="14" t="s">
        <v>53</v>
      </c>
      <c r="B27" s="14" t="s">
        <v>98</v>
      </c>
      <c r="C27" s="15">
        <f t="shared" si="1"/>
        <v>34.142727272727271</v>
      </c>
      <c r="D27" s="16">
        <v>11</v>
      </c>
      <c r="E27" s="16">
        <v>0</v>
      </c>
      <c r="F27" s="17">
        <v>375.57</v>
      </c>
      <c r="G27" s="17">
        <v>0</v>
      </c>
      <c r="H27" s="18">
        <f t="shared" si="2"/>
        <v>0</v>
      </c>
      <c r="I27" s="18">
        <f t="shared" si="3"/>
        <v>9.4829149954106726E-2</v>
      </c>
      <c r="J27" s="17">
        <f t="shared" si="4"/>
        <v>35.614983848263861</v>
      </c>
      <c r="K27" s="17">
        <f t="shared" si="5"/>
        <v>3.2377258043876238</v>
      </c>
      <c r="L27" s="16">
        <v>38</v>
      </c>
      <c r="M27" s="19">
        <f t="shared" si="6"/>
        <v>0.28947368421052633</v>
      </c>
      <c r="N27" s="16">
        <v>68</v>
      </c>
      <c r="O27" s="20">
        <f t="shared" ref="O27:P27" si="14">D27/7</f>
        <v>1.5714285714285714</v>
      </c>
      <c r="P27" s="20">
        <f t="shared" si="14"/>
        <v>0</v>
      </c>
      <c r="Q27" s="16">
        <f t="shared" si="8"/>
        <v>43</v>
      </c>
      <c r="R27" s="16"/>
      <c r="S27" s="21">
        <v>0.66666666666666663</v>
      </c>
      <c r="T27" s="14">
        <v>360</v>
      </c>
      <c r="U27" s="22">
        <v>160</v>
      </c>
      <c r="V27" s="23" t="s">
        <v>99</v>
      </c>
      <c r="W27" s="30">
        <v>0</v>
      </c>
      <c r="X27" s="24">
        <f t="shared" si="9"/>
        <v>0</v>
      </c>
      <c r="Y27" s="25">
        <f t="shared" si="10"/>
        <v>0</v>
      </c>
      <c r="Z27" s="30">
        <v>0</v>
      </c>
      <c r="AA27" s="14" t="s">
        <v>35</v>
      </c>
      <c r="AB27" s="27">
        <f t="shared" si="11"/>
        <v>-0.69</v>
      </c>
      <c r="AC27" s="28">
        <v>0.23847273726851853</v>
      </c>
      <c r="AD27" s="25">
        <f t="shared" si="12"/>
        <v>-3.6200161517361109</v>
      </c>
      <c r="AE27" s="25">
        <v>-6.88</v>
      </c>
      <c r="AF27" s="25">
        <v>-18.5745</v>
      </c>
      <c r="AG27" s="25">
        <v>0</v>
      </c>
    </row>
    <row r="28" spans="1:33" ht="15.75" customHeight="1">
      <c r="A28" s="14" t="s">
        <v>54</v>
      </c>
      <c r="B28" s="14" t="s">
        <v>100</v>
      </c>
      <c r="C28" s="15">
        <f t="shared" si="1"/>
        <v>34.840869565217396</v>
      </c>
      <c r="D28" s="16">
        <v>23</v>
      </c>
      <c r="E28" s="16">
        <v>0</v>
      </c>
      <c r="F28" s="17">
        <v>801.34</v>
      </c>
      <c r="G28" s="17">
        <v>-35.07</v>
      </c>
      <c r="H28" s="18">
        <f t="shared" si="2"/>
        <v>4.3764194973419518E-2</v>
      </c>
      <c r="I28" s="18">
        <f t="shared" si="3"/>
        <v>6.619708902475499E-2</v>
      </c>
      <c r="J28" s="17">
        <f t="shared" si="4"/>
        <v>53.046375319097166</v>
      </c>
      <c r="K28" s="17">
        <f t="shared" si="5"/>
        <v>2.3063641443085725</v>
      </c>
      <c r="L28" s="16">
        <v>69</v>
      </c>
      <c r="M28" s="19">
        <f t="shared" si="6"/>
        <v>0.33333333333333331</v>
      </c>
      <c r="N28" s="16">
        <v>48</v>
      </c>
      <c r="O28" s="20">
        <f t="shared" ref="O28:P28" si="15">D28/7</f>
        <v>3.2857142857142856</v>
      </c>
      <c r="P28" s="20">
        <f t="shared" si="15"/>
        <v>0</v>
      </c>
      <c r="Q28" s="16">
        <f t="shared" si="8"/>
        <v>14</v>
      </c>
      <c r="R28" s="16"/>
      <c r="S28" s="21">
        <v>2.166666666666667</v>
      </c>
      <c r="T28" s="14">
        <v>260</v>
      </c>
      <c r="U28" s="22">
        <v>44384</v>
      </c>
      <c r="V28" s="23" t="s">
        <v>99</v>
      </c>
      <c r="W28" s="30">
        <v>2</v>
      </c>
      <c r="X28" s="24">
        <f t="shared" si="9"/>
        <v>8.6956521739130432E-2</v>
      </c>
      <c r="Y28" s="25">
        <f t="shared" si="10"/>
        <v>3.8966666666666665</v>
      </c>
      <c r="Z28" s="30">
        <v>7</v>
      </c>
      <c r="AA28" s="14" t="s">
        <v>35</v>
      </c>
      <c r="AB28" s="27">
        <f t="shared" si="11"/>
        <v>-0.69</v>
      </c>
      <c r="AC28" s="28">
        <v>0.23847273726851853</v>
      </c>
      <c r="AD28" s="25">
        <f t="shared" si="12"/>
        <v>-7.5691246809027772</v>
      </c>
      <c r="AE28" s="25">
        <v>-6.88</v>
      </c>
      <c r="AF28" s="25">
        <v>-18.5745</v>
      </c>
      <c r="AG28" s="25">
        <v>0</v>
      </c>
    </row>
    <row r="29" spans="1:33" ht="15.75" customHeight="1">
      <c r="A29" s="14" t="s">
        <v>55</v>
      </c>
      <c r="B29" s="14" t="s">
        <v>101</v>
      </c>
      <c r="C29" s="15">
        <f t="shared" si="1"/>
        <v>39.113999999999997</v>
      </c>
      <c r="D29" s="16">
        <v>20</v>
      </c>
      <c r="E29" s="16">
        <v>0</v>
      </c>
      <c r="F29" s="17">
        <v>782.28</v>
      </c>
      <c r="G29" s="17">
        <v>-34.93</v>
      </c>
      <c r="H29" s="18">
        <f t="shared" si="2"/>
        <v>4.465153142097459E-2</v>
      </c>
      <c r="I29" s="18">
        <f t="shared" si="3"/>
        <v>0.14615758098300982</v>
      </c>
      <c r="J29" s="17">
        <f t="shared" si="4"/>
        <v>114.33615245138893</v>
      </c>
      <c r="K29" s="17">
        <f t="shared" si="5"/>
        <v>5.716807622569446</v>
      </c>
      <c r="L29" s="16">
        <v>75</v>
      </c>
      <c r="M29" s="19">
        <f t="shared" si="6"/>
        <v>0.26666666666666666</v>
      </c>
      <c r="N29" s="16">
        <v>26</v>
      </c>
      <c r="O29" s="20">
        <f t="shared" ref="O29:P29" si="16">D29/7</f>
        <v>2.8571428571428572</v>
      </c>
      <c r="P29" s="20">
        <f t="shared" si="16"/>
        <v>0</v>
      </c>
      <c r="Q29" s="16">
        <f t="shared" si="8"/>
        <v>9</v>
      </c>
      <c r="R29" s="16"/>
      <c r="S29" s="21">
        <v>6.9642857142857144</v>
      </c>
      <c r="T29" s="14">
        <v>260</v>
      </c>
      <c r="U29" s="22">
        <v>44386</v>
      </c>
      <c r="V29" s="23" t="s">
        <v>102</v>
      </c>
      <c r="W29" s="30">
        <v>2</v>
      </c>
      <c r="X29" s="24">
        <f t="shared" si="9"/>
        <v>0.1</v>
      </c>
      <c r="Y29" s="25">
        <f t="shared" si="10"/>
        <v>8.7324999999999999</v>
      </c>
      <c r="Z29" s="30">
        <v>2</v>
      </c>
      <c r="AA29" s="14" t="s">
        <v>35</v>
      </c>
      <c r="AB29" s="27">
        <f t="shared" si="11"/>
        <v>-0.69</v>
      </c>
      <c r="AC29" s="28">
        <v>0.23847273726851853</v>
      </c>
      <c r="AD29" s="25">
        <f t="shared" si="12"/>
        <v>-6.5818475486111101</v>
      </c>
      <c r="AE29" s="25">
        <v>-6.88</v>
      </c>
      <c r="AF29" s="25">
        <v>-18.5745</v>
      </c>
      <c r="AG29" s="25">
        <v>0</v>
      </c>
    </row>
    <row r="30" spans="1:33" ht="15.75" customHeight="1">
      <c r="A30" s="14" t="s">
        <v>57</v>
      </c>
      <c r="B30" s="14" t="s">
        <v>45</v>
      </c>
      <c r="C30" s="15">
        <f t="shared" si="1"/>
        <v>40.346111111111107</v>
      </c>
      <c r="D30" s="16">
        <v>18</v>
      </c>
      <c r="E30" s="16">
        <v>0</v>
      </c>
      <c r="F30" s="17">
        <v>726.2299999999999</v>
      </c>
      <c r="G30" s="17">
        <v>-31.09</v>
      </c>
      <c r="H30" s="18">
        <f t="shared" si="2"/>
        <v>4.2810129022485995E-2</v>
      </c>
      <c r="I30" s="18">
        <f t="shared" si="3"/>
        <v>0.17839439854488234</v>
      </c>
      <c r="J30" s="17">
        <f t="shared" si="4"/>
        <v>129.5553640552499</v>
      </c>
      <c r="K30" s="17">
        <f t="shared" si="5"/>
        <v>7.1975202252916608</v>
      </c>
      <c r="L30" s="16">
        <v>89</v>
      </c>
      <c r="M30" s="19">
        <f t="shared" si="6"/>
        <v>0.20224719101123595</v>
      </c>
      <c r="N30" s="16">
        <v>12</v>
      </c>
      <c r="O30" s="20">
        <f t="shared" ref="O30:P30" si="17">D30/7</f>
        <v>2.5714285714285716</v>
      </c>
      <c r="P30" s="20">
        <f t="shared" si="17"/>
        <v>0</v>
      </c>
      <c r="Q30" s="16">
        <f t="shared" si="8"/>
        <v>4</v>
      </c>
      <c r="R30" s="16"/>
      <c r="S30" s="21">
        <v>1.7844827586206899</v>
      </c>
      <c r="T30" s="14">
        <v>260</v>
      </c>
      <c r="U30" s="22">
        <v>160</v>
      </c>
      <c r="V30" s="23" t="s">
        <v>102</v>
      </c>
      <c r="W30" s="30">
        <v>2</v>
      </c>
      <c r="X30" s="24">
        <f t="shared" si="9"/>
        <v>0.1111111111111111</v>
      </c>
      <c r="Y30" s="25">
        <f t="shared" si="10"/>
        <v>10.363333333333333</v>
      </c>
      <c r="Z30" s="30">
        <v>1</v>
      </c>
      <c r="AA30" s="14" t="s">
        <v>35</v>
      </c>
      <c r="AB30" s="27">
        <f t="shared" si="11"/>
        <v>-0.69</v>
      </c>
      <c r="AC30" s="28">
        <v>0.23847273726851853</v>
      </c>
      <c r="AD30" s="25">
        <f t="shared" si="12"/>
        <v>-5.9236627937499993</v>
      </c>
      <c r="AE30" s="25">
        <v>-6.88</v>
      </c>
      <c r="AF30" s="25">
        <v>-18.160359619499999</v>
      </c>
      <c r="AG30" s="25">
        <v>0</v>
      </c>
    </row>
    <row r="31" spans="1:33" ht="15.75" customHeight="1">
      <c r="A31" s="14" t="s">
        <v>58</v>
      </c>
      <c r="B31" s="14" t="s">
        <v>45</v>
      </c>
      <c r="C31" s="15">
        <f t="shared" si="1"/>
        <v>41.138571428571424</v>
      </c>
      <c r="D31" s="16">
        <v>7</v>
      </c>
      <c r="E31" s="16">
        <v>0</v>
      </c>
      <c r="F31" s="17">
        <v>287.96999999999997</v>
      </c>
      <c r="G31" s="17">
        <v>-17.04</v>
      </c>
      <c r="H31" s="18">
        <f t="shared" si="2"/>
        <v>5.9172830503177419E-2</v>
      </c>
      <c r="I31" s="18">
        <f t="shared" si="3"/>
        <v>0.1741443067732267</v>
      </c>
      <c r="J31" s="17">
        <f t="shared" si="4"/>
        <v>50.148336021486088</v>
      </c>
      <c r="K31" s="17">
        <f t="shared" si="5"/>
        <v>7.1640480030694409</v>
      </c>
      <c r="L31" s="16">
        <v>38</v>
      </c>
      <c r="M31" s="19">
        <f t="shared" si="6"/>
        <v>0.18421052631578946</v>
      </c>
      <c r="N31" s="16">
        <v>1</v>
      </c>
      <c r="O31" s="20">
        <f t="shared" ref="O31:P31" si="18">D31/7</f>
        <v>1</v>
      </c>
      <c r="P31" s="20">
        <f t="shared" si="18"/>
        <v>0</v>
      </c>
      <c r="Q31" s="16">
        <f t="shared" si="8"/>
        <v>1</v>
      </c>
      <c r="R31" s="16"/>
      <c r="S31" s="21" t="e">
        <v>#N/A</v>
      </c>
      <c r="T31" s="14">
        <v>100</v>
      </c>
      <c r="U31" s="22" t="s">
        <v>34</v>
      </c>
      <c r="V31" s="23" t="s">
        <v>103</v>
      </c>
      <c r="W31" s="30">
        <v>0</v>
      </c>
      <c r="X31" s="24">
        <f t="shared" si="9"/>
        <v>0</v>
      </c>
      <c r="Y31" s="25">
        <f t="shared" si="10"/>
        <v>0</v>
      </c>
      <c r="Z31" s="30">
        <v>0</v>
      </c>
      <c r="AA31" s="14" t="s">
        <v>35</v>
      </c>
      <c r="AB31" s="27">
        <f t="shared" si="11"/>
        <v>-0.69</v>
      </c>
      <c r="AC31" s="28">
        <v>0.23847273726851853</v>
      </c>
      <c r="AD31" s="25">
        <f t="shared" si="12"/>
        <v>-2.3036466420138888</v>
      </c>
      <c r="AE31" s="25">
        <v>-6.88</v>
      </c>
      <c r="AF31" s="25">
        <v>-18.160359619499999</v>
      </c>
      <c r="AG31" s="25">
        <v>0</v>
      </c>
    </row>
    <row r="32" spans="1:33" ht="15.75" customHeight="1">
      <c r="A32" s="14" t="s">
        <v>60</v>
      </c>
      <c r="B32" s="14"/>
      <c r="C32" s="15" t="str">
        <f t="shared" si="1"/>
        <v xml:space="preserve"> - </v>
      </c>
      <c r="D32" s="16">
        <v>0</v>
      </c>
      <c r="E32" s="16">
        <v>0</v>
      </c>
      <c r="F32" s="17">
        <v>0</v>
      </c>
      <c r="G32" s="17">
        <v>0</v>
      </c>
      <c r="H32" s="18" t="e">
        <f t="shared" si="2"/>
        <v>#DIV/0!</v>
      </c>
      <c r="I32" s="18" t="e">
        <f t="shared" si="3"/>
        <v>#DIV/0!</v>
      </c>
      <c r="J32" s="17">
        <f t="shared" si="4"/>
        <v>0</v>
      </c>
      <c r="K32" s="17" t="e">
        <f t="shared" si="5"/>
        <v>#DIV/0!</v>
      </c>
      <c r="L32" s="16">
        <v>0</v>
      </c>
      <c r="M32" s="19" t="str">
        <f t="shared" si="6"/>
        <v>-</v>
      </c>
      <c r="N32" s="16">
        <v>0</v>
      </c>
      <c r="O32" s="20">
        <f t="shared" ref="O32:P32" si="19">D32/7</f>
        <v>0</v>
      </c>
      <c r="P32" s="20">
        <f t="shared" si="19"/>
        <v>0</v>
      </c>
      <c r="Q32" s="16" t="e">
        <f t="shared" si="8"/>
        <v>#DIV/0!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0</v>
      </c>
      <c r="T32" s="14">
        <f ca="1">IFERROR(__xludf.DUMMYFUNCTION("IFERROR(VLOOKUP($B$2,IMPORTRANGE(""https://docs.google.com/spreadsheets/d/1KiWZV1ko8G7lnRucBRBd29jj3Be6ltMfljMDqzOkQmI/edit#gid=1381463014"",""Lookup!A:D""),4,FALSE),"""")"),100)</f>
        <v>100</v>
      </c>
      <c r="U32" s="22">
        <f ca="1">IFERROR(__xludf.DUMMYFUNCTION("IFERROR(VLOOKUP($B$2,IMPORTRANGE(""https://docs.google.com/spreadsheets/d/1KiWZV1ko8G7lnRucBRBd29jj3Be6ltMfljMDqzOkQmI/edit#gid=1381463014"",""Lookup!A:D""),3,FALSE),"""")"),160)</f>
        <v>160</v>
      </c>
      <c r="V32" s="23" t="str">
        <f ca="1">IFERROR(__xludf.DUMMYFUNCTION("IFERROR(VLOOKUP($B$2,IMPORTRANGE(""https://docs.google.com/spreadsheets/d/1KiWZV1ko8G7lnRucBRBd29jj3Be6ltMfljMDqzOkQmI/edit#gid=1381463014"",""Lookup!A:D""),2,FALSE),"""")"),"| 407  - 160 units 07/20")</f>
        <v>| 407  - 160 units 07/20</v>
      </c>
      <c r="W32" s="30">
        <v>0</v>
      </c>
      <c r="X32" s="24">
        <f t="shared" si="9"/>
        <v>0</v>
      </c>
      <c r="Y32" s="25">
        <f t="shared" si="10"/>
        <v>0</v>
      </c>
      <c r="Z32" s="30">
        <v>0</v>
      </c>
      <c r="AA32" s="14" t="s">
        <v>35</v>
      </c>
      <c r="AB32" s="27">
        <f t="shared" si="11"/>
        <v>-0.69</v>
      </c>
      <c r="AC32" s="28">
        <v>0.23847273726851853</v>
      </c>
      <c r="AD32" s="25">
        <f t="shared" si="12"/>
        <v>0</v>
      </c>
      <c r="AE32" s="25">
        <v>-6.88</v>
      </c>
      <c r="AF32" s="25">
        <v>-18.160359619499999</v>
      </c>
      <c r="AG32" s="25">
        <v>0</v>
      </c>
    </row>
    <row r="33" spans="1:33" ht="15.75" customHeight="1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16"/>
      <c r="S33" s="21"/>
      <c r="T33" s="31"/>
      <c r="U33" s="36"/>
      <c r="V33" s="1"/>
      <c r="W33" s="31"/>
      <c r="X33" s="31"/>
      <c r="Y33" s="31"/>
      <c r="Z33" s="31"/>
      <c r="AA33" s="2"/>
      <c r="AB33" s="31"/>
      <c r="AC33" s="31"/>
      <c r="AD33" s="31"/>
      <c r="AE33" s="37"/>
      <c r="AF33" s="37"/>
      <c r="AG33" s="37"/>
    </row>
    <row r="34" spans="1:33" ht="15.75" customHeight="1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6"/>
      <c r="V34" s="1"/>
      <c r="W34" s="31"/>
      <c r="X34" s="31"/>
      <c r="Y34" s="31"/>
      <c r="Z34" s="31"/>
      <c r="AA34" s="2"/>
      <c r="AB34" s="31"/>
      <c r="AC34" s="31"/>
      <c r="AD34" s="31"/>
      <c r="AE34" s="37"/>
      <c r="AF34" s="37"/>
      <c r="AG34" s="37"/>
    </row>
    <row r="35" spans="1:33" ht="15.75" customHeight="1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6"/>
      <c r="V35" s="1"/>
      <c r="W35" s="31"/>
      <c r="X35" s="31"/>
      <c r="Y35" s="31"/>
      <c r="Z35" s="31"/>
      <c r="AA35" s="2"/>
      <c r="AB35" s="31"/>
      <c r="AC35" s="31"/>
      <c r="AD35" s="31"/>
      <c r="AE35" s="37"/>
      <c r="AF35" s="37"/>
      <c r="AG35" s="37"/>
    </row>
    <row r="36" spans="1:33" ht="15.75" customHeight="1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6"/>
      <c r="V36" s="1"/>
      <c r="W36" s="31"/>
      <c r="X36" s="31"/>
      <c r="Y36" s="31"/>
      <c r="Z36" s="31"/>
      <c r="AA36" s="2"/>
      <c r="AB36" s="31"/>
      <c r="AC36" s="31"/>
      <c r="AD36" s="31"/>
      <c r="AE36" s="37"/>
      <c r="AF36" s="37"/>
      <c r="AG36" s="37"/>
    </row>
    <row r="37" spans="1:33" ht="15.75" customHeight="1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6"/>
      <c r="V37" s="1"/>
      <c r="W37" s="31"/>
      <c r="X37" s="31"/>
      <c r="Y37" s="31"/>
      <c r="Z37" s="31"/>
      <c r="AA37" s="2"/>
      <c r="AB37" s="31"/>
      <c r="AC37" s="31"/>
      <c r="AD37" s="31"/>
      <c r="AE37" s="37"/>
      <c r="AF37" s="37"/>
      <c r="AG37" s="37"/>
    </row>
    <row r="38" spans="1:33" ht="15.75" customHeight="1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6"/>
      <c r="V38" s="1"/>
      <c r="W38" s="31"/>
      <c r="X38" s="31"/>
      <c r="Y38" s="31"/>
      <c r="Z38" s="31"/>
      <c r="AA38" s="2"/>
      <c r="AB38" s="31"/>
      <c r="AC38" s="31"/>
      <c r="AD38" s="31"/>
      <c r="AE38" s="37"/>
      <c r="AF38" s="37"/>
      <c r="AG38" s="37"/>
    </row>
    <row r="39" spans="1:33" ht="15.75" customHeight="1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6"/>
      <c r="V39" s="1"/>
      <c r="W39" s="31"/>
      <c r="X39" s="31"/>
      <c r="Y39" s="31"/>
      <c r="Z39" s="31"/>
      <c r="AA39" s="2"/>
      <c r="AB39" s="31"/>
      <c r="AC39" s="31"/>
      <c r="AD39" s="31"/>
      <c r="AE39" s="37"/>
      <c r="AF39" s="37"/>
      <c r="AG39" s="37"/>
    </row>
    <row r="40" spans="1:33" ht="15.75" customHeight="1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6"/>
      <c r="V40" s="1"/>
      <c r="W40" s="31"/>
      <c r="X40" s="31"/>
      <c r="Y40" s="31"/>
      <c r="Z40" s="31"/>
      <c r="AA40" s="2"/>
      <c r="AB40" s="31"/>
      <c r="AC40" s="31"/>
      <c r="AD40" s="31"/>
      <c r="AE40" s="37"/>
      <c r="AF40" s="37"/>
      <c r="AG40" s="37"/>
    </row>
    <row r="41" spans="1:33" ht="15.75" customHeight="1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6"/>
      <c r="V41" s="1"/>
      <c r="W41" s="31"/>
      <c r="X41" s="31"/>
      <c r="Y41" s="31"/>
      <c r="Z41" s="31"/>
      <c r="AA41" s="2"/>
      <c r="AB41" s="31"/>
      <c r="AC41" s="31"/>
      <c r="AD41" s="31"/>
      <c r="AE41" s="37"/>
      <c r="AF41" s="37"/>
      <c r="AG41" s="37"/>
    </row>
    <row r="42" spans="1:33" ht="15.75" customHeight="1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6"/>
      <c r="V42" s="1"/>
      <c r="W42" s="31"/>
      <c r="X42" s="31"/>
      <c r="Y42" s="31"/>
      <c r="Z42" s="31"/>
      <c r="AA42" s="2"/>
      <c r="AB42" s="31"/>
      <c r="AC42" s="31"/>
      <c r="AD42" s="31"/>
      <c r="AE42" s="37"/>
      <c r="AF42" s="37"/>
      <c r="AG42" s="37"/>
    </row>
    <row r="43" spans="1:33" ht="15.75" customHeight="1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6"/>
      <c r="V43" s="1"/>
      <c r="W43" s="31"/>
      <c r="X43" s="31"/>
      <c r="Y43" s="31"/>
      <c r="Z43" s="31"/>
      <c r="AA43" s="2"/>
      <c r="AB43" s="31"/>
      <c r="AC43" s="31"/>
      <c r="AD43" s="31"/>
      <c r="AE43" s="37"/>
      <c r="AF43" s="37"/>
      <c r="AG43" s="37"/>
    </row>
    <row r="44" spans="1:33" ht="15.75" customHeight="1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6"/>
      <c r="V44" s="1"/>
      <c r="W44" s="31"/>
      <c r="X44" s="31"/>
      <c r="Y44" s="31"/>
      <c r="Z44" s="31"/>
      <c r="AA44" s="2"/>
      <c r="AB44" s="31"/>
      <c r="AC44" s="31"/>
      <c r="AD44" s="31"/>
      <c r="AE44" s="37"/>
      <c r="AF44" s="37"/>
      <c r="AG44" s="37"/>
    </row>
    <row r="45" spans="1:33" ht="15.75" customHeight="1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6"/>
      <c r="V45" s="1"/>
      <c r="W45" s="31"/>
      <c r="X45" s="31"/>
      <c r="Y45" s="31"/>
      <c r="Z45" s="31"/>
      <c r="AA45" s="2"/>
      <c r="AB45" s="31"/>
      <c r="AC45" s="31"/>
      <c r="AD45" s="31"/>
      <c r="AE45" s="37"/>
      <c r="AF45" s="37"/>
      <c r="AG45" s="37"/>
    </row>
    <row r="46" spans="1:33" ht="15.75" customHeight="1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6"/>
      <c r="V46" s="1"/>
      <c r="W46" s="31"/>
      <c r="X46" s="31"/>
      <c r="Y46" s="31"/>
      <c r="Z46" s="31"/>
      <c r="AA46" s="2"/>
      <c r="AB46" s="31"/>
      <c r="AC46" s="31"/>
      <c r="AD46" s="31"/>
      <c r="AE46" s="37"/>
      <c r="AF46" s="37"/>
      <c r="AG46" s="37"/>
    </row>
    <row r="47" spans="1:33" ht="15.75" customHeight="1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6"/>
      <c r="V47" s="1"/>
      <c r="W47" s="31"/>
      <c r="X47" s="31"/>
      <c r="Y47" s="31"/>
      <c r="Z47" s="31"/>
      <c r="AA47" s="2"/>
      <c r="AB47" s="31"/>
      <c r="AC47" s="31"/>
      <c r="AD47" s="31"/>
      <c r="AE47" s="37"/>
      <c r="AF47" s="37"/>
      <c r="AG47" s="37"/>
    </row>
    <row r="48" spans="1:33" ht="15.75" customHeight="1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6"/>
      <c r="V48" s="1"/>
      <c r="W48" s="31"/>
      <c r="X48" s="31"/>
      <c r="Y48" s="31"/>
      <c r="Z48" s="31"/>
      <c r="AA48" s="2"/>
      <c r="AB48" s="31"/>
      <c r="AC48" s="31"/>
      <c r="AD48" s="31"/>
      <c r="AE48" s="37"/>
      <c r="AF48" s="37"/>
      <c r="AG48" s="37"/>
    </row>
    <row r="49" spans="1:33" ht="15.75" customHeight="1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6"/>
      <c r="V49" s="1"/>
      <c r="W49" s="31"/>
      <c r="X49" s="31"/>
      <c r="Y49" s="31"/>
      <c r="Z49" s="31"/>
      <c r="AA49" s="2"/>
      <c r="AB49" s="31"/>
      <c r="AC49" s="31"/>
      <c r="AD49" s="31"/>
      <c r="AE49" s="37"/>
      <c r="AF49" s="37"/>
      <c r="AG49" s="37"/>
    </row>
    <row r="50" spans="1:33" ht="15.75" customHeight="1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6"/>
      <c r="V50" s="1"/>
      <c r="W50" s="31"/>
      <c r="X50" s="31"/>
      <c r="Y50" s="31"/>
      <c r="Z50" s="31"/>
      <c r="AA50" s="2"/>
      <c r="AB50" s="31"/>
      <c r="AC50" s="31"/>
      <c r="AD50" s="31"/>
      <c r="AE50" s="37"/>
      <c r="AF50" s="37"/>
      <c r="AG50" s="37"/>
    </row>
    <row r="51" spans="1:33" ht="15.75" customHeight="1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6"/>
      <c r="V51" s="1"/>
      <c r="W51" s="31"/>
      <c r="X51" s="31"/>
      <c r="Y51" s="31"/>
      <c r="Z51" s="31"/>
      <c r="AA51" s="2"/>
      <c r="AB51" s="31"/>
      <c r="AC51" s="31"/>
      <c r="AD51" s="31"/>
      <c r="AE51" s="37"/>
      <c r="AF51" s="37"/>
      <c r="AG51" s="37"/>
    </row>
    <row r="52" spans="1:33" ht="15.75" customHeight="1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6"/>
      <c r="V52" s="1"/>
      <c r="W52" s="31"/>
      <c r="X52" s="31"/>
      <c r="Y52" s="31"/>
      <c r="Z52" s="31"/>
      <c r="AA52" s="2"/>
      <c r="AB52" s="31"/>
      <c r="AC52" s="31"/>
      <c r="AD52" s="31"/>
      <c r="AE52" s="37"/>
      <c r="AF52" s="37"/>
      <c r="AG52" s="37"/>
    </row>
    <row r="53" spans="1:33" ht="15.75" customHeight="1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6"/>
      <c r="V53" s="1"/>
      <c r="W53" s="31"/>
      <c r="X53" s="31"/>
      <c r="Y53" s="31"/>
      <c r="Z53" s="31"/>
      <c r="AA53" s="2"/>
      <c r="AB53" s="31"/>
      <c r="AC53" s="31"/>
      <c r="AD53" s="31"/>
      <c r="AE53" s="37"/>
      <c r="AF53" s="37"/>
      <c r="AG53" s="37"/>
    </row>
    <row r="54" spans="1:33" ht="15.75" customHeight="1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6"/>
      <c r="V54" s="1"/>
      <c r="W54" s="31"/>
      <c r="X54" s="31"/>
      <c r="Y54" s="31"/>
      <c r="Z54" s="31"/>
      <c r="AA54" s="2"/>
      <c r="AB54" s="31"/>
      <c r="AC54" s="31"/>
      <c r="AD54" s="31"/>
      <c r="AE54" s="37"/>
      <c r="AF54" s="37"/>
      <c r="AG54" s="37"/>
    </row>
    <row r="55" spans="1:33" ht="15.75" customHeight="1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6"/>
      <c r="V55" s="1"/>
      <c r="W55" s="31"/>
      <c r="X55" s="31"/>
      <c r="Y55" s="31"/>
      <c r="Z55" s="31"/>
      <c r="AA55" s="2"/>
      <c r="AB55" s="31"/>
      <c r="AC55" s="31"/>
      <c r="AD55" s="31"/>
      <c r="AE55" s="37"/>
      <c r="AF55" s="37"/>
      <c r="AG55" s="37"/>
    </row>
    <row r="56" spans="1:33" ht="15.75" customHeight="1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6"/>
      <c r="V56" s="1"/>
      <c r="W56" s="31"/>
      <c r="X56" s="31"/>
      <c r="Y56" s="31"/>
      <c r="Z56" s="31"/>
      <c r="AA56" s="2"/>
      <c r="AB56" s="31"/>
      <c r="AC56" s="31"/>
      <c r="AD56" s="31"/>
      <c r="AE56" s="37"/>
      <c r="AF56" s="37"/>
      <c r="AG56" s="37"/>
    </row>
    <row r="57" spans="1:33" ht="15.75" customHeight="1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6"/>
      <c r="V57" s="1"/>
      <c r="W57" s="31"/>
      <c r="X57" s="31"/>
      <c r="Y57" s="31"/>
      <c r="Z57" s="31"/>
      <c r="AA57" s="2"/>
      <c r="AB57" s="31"/>
      <c r="AC57" s="31"/>
      <c r="AD57" s="31"/>
      <c r="AE57" s="37"/>
      <c r="AF57" s="37"/>
      <c r="AG57" s="37"/>
    </row>
    <row r="58" spans="1:33" ht="15.75" customHeight="1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6"/>
      <c r="V58" s="1"/>
      <c r="W58" s="31"/>
      <c r="X58" s="31"/>
      <c r="Y58" s="31"/>
      <c r="Z58" s="31"/>
      <c r="AA58" s="2"/>
      <c r="AB58" s="31"/>
      <c r="AC58" s="31"/>
      <c r="AD58" s="31"/>
      <c r="AE58" s="37"/>
      <c r="AF58" s="37"/>
      <c r="AG58" s="37"/>
    </row>
    <row r="59" spans="1:33" ht="15.75" customHeight="1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6"/>
      <c r="V59" s="1"/>
      <c r="W59" s="31"/>
      <c r="X59" s="31"/>
      <c r="Y59" s="31"/>
      <c r="Z59" s="31"/>
      <c r="AA59" s="2"/>
      <c r="AB59" s="31"/>
      <c r="AC59" s="31"/>
      <c r="AD59" s="31"/>
      <c r="AE59" s="37"/>
      <c r="AF59" s="37"/>
      <c r="AG59" s="37"/>
    </row>
    <row r="60" spans="1:33" ht="15.75" customHeight="1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6"/>
      <c r="V60" s="1"/>
      <c r="W60" s="31"/>
      <c r="X60" s="31"/>
      <c r="Y60" s="31"/>
      <c r="Z60" s="31"/>
      <c r="AA60" s="2"/>
      <c r="AB60" s="31"/>
      <c r="AC60" s="31"/>
      <c r="AD60" s="31"/>
      <c r="AE60" s="37"/>
      <c r="AF60" s="37"/>
      <c r="AG60" s="37"/>
    </row>
    <row r="61" spans="1:33" ht="15.75" customHeight="1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6"/>
      <c r="V61" s="1"/>
      <c r="W61" s="31"/>
      <c r="X61" s="31"/>
      <c r="Y61" s="31"/>
      <c r="Z61" s="31"/>
      <c r="AA61" s="2"/>
      <c r="AB61" s="31"/>
      <c r="AC61" s="31"/>
      <c r="AD61" s="31"/>
      <c r="AE61" s="37"/>
      <c r="AF61" s="37"/>
      <c r="AG61" s="37"/>
    </row>
    <row r="62" spans="1:33" ht="15.75" customHeight="1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6"/>
      <c r="V62" s="1"/>
      <c r="W62" s="31"/>
      <c r="X62" s="31"/>
      <c r="Y62" s="31"/>
      <c r="Z62" s="31"/>
      <c r="AA62" s="2"/>
      <c r="AB62" s="31"/>
      <c r="AC62" s="31"/>
      <c r="AD62" s="31"/>
      <c r="AE62" s="37"/>
      <c r="AF62" s="37"/>
      <c r="AG62" s="37"/>
    </row>
    <row r="63" spans="1:33" ht="15.75" customHeight="1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6"/>
      <c r="V63" s="1"/>
      <c r="W63" s="31"/>
      <c r="X63" s="31"/>
      <c r="Y63" s="31"/>
      <c r="Z63" s="31"/>
      <c r="AA63" s="2"/>
      <c r="AB63" s="31"/>
      <c r="AC63" s="31"/>
      <c r="AD63" s="31"/>
      <c r="AE63" s="37"/>
      <c r="AF63" s="37"/>
      <c r="AG63" s="37"/>
    </row>
    <row r="64" spans="1:33" ht="15.75" customHeight="1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6"/>
      <c r="V64" s="1"/>
      <c r="W64" s="31"/>
      <c r="X64" s="31"/>
      <c r="Y64" s="31"/>
      <c r="Z64" s="31"/>
      <c r="AA64" s="2"/>
      <c r="AB64" s="31"/>
      <c r="AC64" s="31"/>
      <c r="AD64" s="31"/>
      <c r="AE64" s="37"/>
      <c r="AF64" s="37"/>
      <c r="AG64" s="37"/>
    </row>
    <row r="65" spans="1:33" ht="15.75" customHeight="1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6"/>
      <c r="V65" s="1"/>
      <c r="W65" s="31"/>
      <c r="X65" s="31"/>
      <c r="Y65" s="31"/>
      <c r="Z65" s="31"/>
      <c r="AA65" s="2"/>
      <c r="AB65" s="31"/>
      <c r="AC65" s="31"/>
      <c r="AD65" s="31"/>
      <c r="AE65" s="37"/>
      <c r="AF65" s="37"/>
      <c r="AG65" s="37"/>
    </row>
    <row r="66" spans="1:33" ht="15.75" customHeight="1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6"/>
      <c r="V66" s="1"/>
      <c r="W66" s="31"/>
      <c r="X66" s="31"/>
      <c r="Y66" s="31"/>
      <c r="Z66" s="31"/>
      <c r="AA66" s="2"/>
      <c r="AB66" s="31"/>
      <c r="AC66" s="31"/>
      <c r="AD66" s="31"/>
      <c r="AE66" s="37"/>
      <c r="AF66" s="37"/>
      <c r="AG66" s="37"/>
    </row>
    <row r="67" spans="1:33" ht="15.75" customHeight="1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6"/>
      <c r="V67" s="1"/>
      <c r="W67" s="31"/>
      <c r="X67" s="31"/>
      <c r="Y67" s="31"/>
      <c r="Z67" s="31"/>
      <c r="AA67" s="2"/>
      <c r="AB67" s="31"/>
      <c r="AC67" s="31"/>
      <c r="AD67" s="31"/>
      <c r="AE67" s="37"/>
      <c r="AF67" s="37"/>
      <c r="AG67" s="37"/>
    </row>
    <row r="68" spans="1:33" ht="15.75" customHeight="1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6"/>
      <c r="V68" s="1"/>
      <c r="W68" s="31"/>
      <c r="X68" s="31"/>
      <c r="Y68" s="31"/>
      <c r="Z68" s="31"/>
      <c r="AA68" s="2"/>
      <c r="AB68" s="31"/>
      <c r="AC68" s="31"/>
      <c r="AD68" s="31"/>
      <c r="AE68" s="37"/>
      <c r="AF68" s="37"/>
      <c r="AG68" s="37"/>
    </row>
    <row r="69" spans="1:33" ht="15.75" customHeight="1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6"/>
      <c r="V69" s="1"/>
      <c r="W69" s="31"/>
      <c r="X69" s="31"/>
      <c r="Y69" s="31"/>
      <c r="Z69" s="31"/>
      <c r="AA69" s="2"/>
      <c r="AB69" s="31"/>
      <c r="AC69" s="31"/>
      <c r="AD69" s="31"/>
      <c r="AE69" s="37"/>
      <c r="AF69" s="37"/>
      <c r="AG69" s="37"/>
    </row>
    <row r="70" spans="1:33" ht="15.75" customHeight="1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6"/>
      <c r="V70" s="1"/>
      <c r="W70" s="31"/>
      <c r="X70" s="31"/>
      <c r="Y70" s="31"/>
      <c r="Z70" s="31"/>
      <c r="AA70" s="2"/>
      <c r="AB70" s="31"/>
      <c r="AC70" s="31"/>
      <c r="AD70" s="31"/>
      <c r="AE70" s="37"/>
      <c r="AF70" s="37"/>
      <c r="AG70" s="37"/>
    </row>
    <row r="71" spans="1:33" ht="15.75" customHeight="1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6"/>
      <c r="V71" s="1"/>
      <c r="W71" s="31"/>
      <c r="X71" s="31"/>
      <c r="Y71" s="31"/>
      <c r="Z71" s="31"/>
      <c r="AA71" s="2"/>
      <c r="AB71" s="31"/>
      <c r="AC71" s="31"/>
      <c r="AD71" s="31"/>
      <c r="AE71" s="37"/>
      <c r="AF71" s="37"/>
      <c r="AG71" s="37"/>
    </row>
    <row r="72" spans="1:33" ht="15.75" customHeight="1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6"/>
      <c r="V72" s="1"/>
      <c r="W72" s="31"/>
      <c r="X72" s="31"/>
      <c r="Y72" s="31"/>
      <c r="Z72" s="31"/>
      <c r="AA72" s="2"/>
      <c r="AB72" s="31"/>
      <c r="AC72" s="31"/>
      <c r="AD72" s="31"/>
      <c r="AE72" s="37"/>
      <c r="AF72" s="37"/>
      <c r="AG72" s="37"/>
    </row>
    <row r="73" spans="1:33" ht="15.75" customHeight="1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6"/>
      <c r="V73" s="1"/>
      <c r="W73" s="31"/>
      <c r="X73" s="31"/>
      <c r="Y73" s="31"/>
      <c r="Z73" s="31"/>
      <c r="AA73" s="2"/>
      <c r="AB73" s="31"/>
      <c r="AC73" s="31"/>
      <c r="AD73" s="31"/>
      <c r="AE73" s="37"/>
      <c r="AF73" s="37"/>
      <c r="AG73" s="37"/>
    </row>
    <row r="74" spans="1:33" ht="15.75" customHeight="1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6"/>
      <c r="V74" s="1"/>
      <c r="W74" s="31"/>
      <c r="X74" s="31"/>
      <c r="Y74" s="31"/>
      <c r="Z74" s="31"/>
      <c r="AA74" s="2"/>
      <c r="AB74" s="31"/>
      <c r="AC74" s="31"/>
      <c r="AD74" s="31"/>
      <c r="AE74" s="37"/>
      <c r="AF74" s="37"/>
      <c r="AG74" s="37"/>
    </row>
    <row r="75" spans="1:33" ht="15.75" customHeight="1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6"/>
      <c r="V75" s="1"/>
      <c r="W75" s="31"/>
      <c r="X75" s="31"/>
      <c r="Y75" s="31"/>
      <c r="Z75" s="31"/>
      <c r="AA75" s="2"/>
      <c r="AB75" s="31"/>
      <c r="AC75" s="31"/>
      <c r="AD75" s="31"/>
      <c r="AE75" s="37"/>
      <c r="AF75" s="37"/>
      <c r="AG75" s="37"/>
    </row>
    <row r="76" spans="1:33" ht="15.75" customHeight="1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6"/>
      <c r="V76" s="1"/>
      <c r="W76" s="31"/>
      <c r="X76" s="31"/>
      <c r="Y76" s="31"/>
      <c r="Z76" s="31"/>
      <c r="AA76" s="2"/>
      <c r="AB76" s="31"/>
      <c r="AC76" s="31"/>
      <c r="AD76" s="31"/>
      <c r="AE76" s="37"/>
      <c r="AF76" s="37"/>
      <c r="AG76" s="37"/>
    </row>
    <row r="77" spans="1:33" ht="15.75" customHeight="1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6"/>
      <c r="V77" s="1"/>
      <c r="W77" s="31"/>
      <c r="X77" s="31"/>
      <c r="Y77" s="31"/>
      <c r="Z77" s="31"/>
      <c r="AA77" s="2"/>
      <c r="AB77" s="31"/>
      <c r="AC77" s="31"/>
      <c r="AD77" s="31"/>
      <c r="AE77" s="37"/>
      <c r="AF77" s="37"/>
      <c r="AG77" s="37"/>
    </row>
    <row r="78" spans="1:33" ht="15.75" customHeight="1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6"/>
      <c r="V78" s="1"/>
      <c r="W78" s="31"/>
      <c r="X78" s="31"/>
      <c r="Y78" s="31"/>
      <c r="Z78" s="31"/>
      <c r="AA78" s="2"/>
      <c r="AB78" s="31"/>
      <c r="AC78" s="31"/>
      <c r="AD78" s="31"/>
      <c r="AE78" s="37"/>
      <c r="AF78" s="37"/>
      <c r="AG78" s="37"/>
    </row>
    <row r="79" spans="1:33" ht="15.75" customHeight="1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6"/>
      <c r="V79" s="1"/>
      <c r="W79" s="31"/>
      <c r="X79" s="31"/>
      <c r="Y79" s="31"/>
      <c r="Z79" s="31"/>
      <c r="AA79" s="2"/>
      <c r="AB79" s="31"/>
      <c r="AC79" s="31"/>
      <c r="AD79" s="31"/>
      <c r="AE79" s="37"/>
      <c r="AF79" s="37"/>
      <c r="AG79" s="37"/>
    </row>
    <row r="80" spans="1:33" ht="15.75" customHeight="1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6"/>
      <c r="V80" s="1"/>
      <c r="W80" s="31"/>
      <c r="X80" s="31"/>
      <c r="Y80" s="31"/>
      <c r="Z80" s="31"/>
      <c r="AA80" s="2"/>
      <c r="AB80" s="31"/>
      <c r="AC80" s="31"/>
      <c r="AD80" s="31"/>
      <c r="AE80" s="37"/>
      <c r="AF80" s="37"/>
      <c r="AG80" s="37"/>
    </row>
    <row r="81" spans="1:33" ht="15.75" customHeight="1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6"/>
      <c r="V81" s="1"/>
      <c r="W81" s="31"/>
      <c r="X81" s="31"/>
      <c r="Y81" s="31"/>
      <c r="Z81" s="31"/>
      <c r="AA81" s="2"/>
      <c r="AB81" s="31"/>
      <c r="AC81" s="31"/>
      <c r="AD81" s="31"/>
      <c r="AE81" s="37"/>
      <c r="AF81" s="37"/>
      <c r="AG81" s="37"/>
    </row>
    <row r="82" spans="1:33" ht="15.75" customHeight="1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6"/>
      <c r="V82" s="1"/>
      <c r="W82" s="31"/>
      <c r="X82" s="31"/>
      <c r="Y82" s="31"/>
      <c r="Z82" s="31"/>
      <c r="AA82" s="2"/>
      <c r="AB82" s="31"/>
      <c r="AC82" s="31"/>
      <c r="AD82" s="31"/>
      <c r="AE82" s="37"/>
      <c r="AF82" s="37"/>
      <c r="AG82" s="37"/>
    </row>
    <row r="83" spans="1:33" ht="15.75" customHeight="1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6"/>
      <c r="V83" s="1"/>
      <c r="W83" s="31"/>
      <c r="X83" s="31"/>
      <c r="Y83" s="31"/>
      <c r="Z83" s="31"/>
      <c r="AA83" s="2"/>
      <c r="AB83" s="31"/>
      <c r="AC83" s="31"/>
      <c r="AD83" s="31"/>
      <c r="AE83" s="37"/>
      <c r="AF83" s="37"/>
      <c r="AG83" s="37"/>
    </row>
    <row r="84" spans="1:33" ht="15.75" customHeight="1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6"/>
      <c r="V84" s="1"/>
      <c r="W84" s="31"/>
      <c r="X84" s="31"/>
      <c r="Y84" s="31"/>
      <c r="Z84" s="31"/>
      <c r="AA84" s="2"/>
      <c r="AB84" s="31"/>
      <c r="AC84" s="31"/>
      <c r="AD84" s="31"/>
      <c r="AE84" s="37"/>
      <c r="AF84" s="37"/>
      <c r="AG84" s="37"/>
    </row>
    <row r="85" spans="1:33" ht="15.75" customHeight="1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6"/>
      <c r="V85" s="1"/>
      <c r="W85" s="31"/>
      <c r="X85" s="31"/>
      <c r="Y85" s="31"/>
      <c r="Z85" s="31"/>
      <c r="AA85" s="2"/>
      <c r="AB85" s="31"/>
      <c r="AC85" s="31"/>
      <c r="AD85" s="31"/>
      <c r="AE85" s="37"/>
      <c r="AF85" s="37"/>
      <c r="AG85" s="37"/>
    </row>
    <row r="86" spans="1:33" ht="15.75" customHeight="1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6"/>
      <c r="V86" s="1"/>
      <c r="W86" s="31"/>
      <c r="X86" s="31"/>
      <c r="Y86" s="31"/>
      <c r="Z86" s="31"/>
      <c r="AA86" s="2"/>
      <c r="AB86" s="31"/>
      <c r="AC86" s="31"/>
      <c r="AD86" s="31"/>
      <c r="AE86" s="37"/>
      <c r="AF86" s="37"/>
      <c r="AG86" s="37"/>
    </row>
    <row r="87" spans="1:33" ht="15.75" customHeight="1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6"/>
      <c r="V87" s="1"/>
      <c r="W87" s="31"/>
      <c r="X87" s="31"/>
      <c r="Y87" s="31"/>
      <c r="Z87" s="31"/>
      <c r="AA87" s="2"/>
      <c r="AB87" s="31"/>
      <c r="AC87" s="31"/>
      <c r="AD87" s="31"/>
      <c r="AE87" s="37"/>
      <c r="AF87" s="37"/>
      <c r="AG87" s="37"/>
    </row>
    <row r="88" spans="1:33" ht="15.75" customHeight="1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6"/>
      <c r="V88" s="1"/>
      <c r="W88" s="31"/>
      <c r="X88" s="31"/>
      <c r="Y88" s="31"/>
      <c r="Z88" s="31"/>
      <c r="AA88" s="2"/>
      <c r="AB88" s="31"/>
      <c r="AC88" s="31"/>
      <c r="AD88" s="31"/>
      <c r="AE88" s="37"/>
      <c r="AF88" s="37"/>
      <c r="AG88" s="37"/>
    </row>
    <row r="89" spans="1:33" ht="15.75" customHeight="1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6"/>
      <c r="V89" s="1"/>
      <c r="W89" s="31"/>
      <c r="X89" s="31"/>
      <c r="Y89" s="31"/>
      <c r="Z89" s="31"/>
      <c r="AA89" s="2"/>
      <c r="AB89" s="31"/>
      <c r="AC89" s="31"/>
      <c r="AD89" s="31"/>
      <c r="AE89" s="37"/>
      <c r="AF89" s="37"/>
      <c r="AG89" s="37"/>
    </row>
    <row r="90" spans="1:33" ht="15.75" customHeight="1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6"/>
      <c r="V90" s="1"/>
      <c r="W90" s="31"/>
      <c r="X90" s="31"/>
      <c r="Y90" s="31"/>
      <c r="Z90" s="31"/>
      <c r="AA90" s="2"/>
      <c r="AB90" s="31"/>
      <c r="AC90" s="31"/>
      <c r="AD90" s="31"/>
      <c r="AE90" s="37"/>
      <c r="AF90" s="37"/>
      <c r="AG90" s="37"/>
    </row>
    <row r="91" spans="1:33" ht="15.75" customHeight="1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6"/>
      <c r="V91" s="1"/>
      <c r="W91" s="31"/>
      <c r="X91" s="31"/>
      <c r="Y91" s="31"/>
      <c r="Z91" s="31"/>
      <c r="AA91" s="2"/>
      <c r="AB91" s="31"/>
      <c r="AC91" s="31"/>
      <c r="AD91" s="31"/>
      <c r="AE91" s="37"/>
      <c r="AF91" s="37"/>
      <c r="AG91" s="37"/>
    </row>
    <row r="92" spans="1:33" ht="15.75" customHeight="1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6"/>
      <c r="V92" s="1"/>
      <c r="W92" s="31"/>
      <c r="X92" s="31"/>
      <c r="Y92" s="31"/>
      <c r="Z92" s="31"/>
      <c r="AA92" s="2"/>
      <c r="AB92" s="31"/>
      <c r="AC92" s="31"/>
      <c r="AD92" s="31"/>
      <c r="AE92" s="37"/>
      <c r="AF92" s="37"/>
      <c r="AG92" s="37"/>
    </row>
    <row r="93" spans="1:33" ht="15.75" customHeight="1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6"/>
      <c r="V93" s="1"/>
      <c r="W93" s="31"/>
      <c r="X93" s="31"/>
      <c r="Y93" s="31"/>
      <c r="Z93" s="31"/>
      <c r="AA93" s="2"/>
      <c r="AB93" s="31"/>
      <c r="AC93" s="31"/>
      <c r="AD93" s="31"/>
      <c r="AE93" s="37"/>
      <c r="AF93" s="37"/>
      <c r="AG93" s="37"/>
    </row>
    <row r="94" spans="1:33" ht="15.75" customHeight="1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6"/>
      <c r="V94" s="1"/>
      <c r="W94" s="31"/>
      <c r="X94" s="31"/>
      <c r="Y94" s="31"/>
      <c r="Z94" s="31"/>
      <c r="AA94" s="2"/>
      <c r="AB94" s="31"/>
      <c r="AC94" s="31"/>
      <c r="AD94" s="31"/>
      <c r="AE94" s="37"/>
      <c r="AF94" s="37"/>
      <c r="AG94" s="37"/>
    </row>
    <row r="95" spans="1:33" ht="15.75" customHeight="1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6"/>
      <c r="V95" s="1"/>
      <c r="W95" s="31"/>
      <c r="X95" s="31"/>
      <c r="Y95" s="31"/>
      <c r="Z95" s="31"/>
      <c r="AA95" s="2"/>
      <c r="AB95" s="31"/>
      <c r="AC95" s="31"/>
      <c r="AD95" s="31"/>
      <c r="AE95" s="37"/>
      <c r="AF95" s="37"/>
      <c r="AG95" s="37"/>
    </row>
    <row r="96" spans="1:33" ht="15.75" customHeight="1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6"/>
      <c r="V96" s="1"/>
      <c r="W96" s="31"/>
      <c r="X96" s="31"/>
      <c r="Y96" s="31"/>
      <c r="Z96" s="31"/>
      <c r="AA96" s="2"/>
      <c r="AB96" s="31"/>
      <c r="AC96" s="31"/>
      <c r="AD96" s="31"/>
      <c r="AE96" s="37"/>
      <c r="AF96" s="37"/>
      <c r="AG96" s="37"/>
    </row>
    <row r="97" spans="1:33" ht="15.75" customHeight="1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8"/>
      <c r="R97" s="38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8"/>
      <c r="R98" s="38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8"/>
      <c r="R99" s="38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8"/>
      <c r="R100" s="38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8"/>
      <c r="R101" s="38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8"/>
      <c r="R102" s="38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8"/>
      <c r="R103" s="38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8"/>
      <c r="R104" s="38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8"/>
      <c r="R105" s="38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8"/>
      <c r="R106" s="38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8"/>
      <c r="R107" s="38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8"/>
      <c r="R108" s="38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8"/>
      <c r="R109" s="38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8"/>
      <c r="R110" s="38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8"/>
      <c r="R111" s="38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8"/>
      <c r="R112" s="38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8"/>
      <c r="R113" s="38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8"/>
      <c r="R114" s="38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>
      <c r="A115" s="31"/>
      <c r="B115" s="31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>
      <c r="A116" s="31"/>
      <c r="B116" s="31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>
      <c r="A117" s="31"/>
      <c r="B117" s="31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>
      <c r="A118" s="31"/>
      <c r="B118" s="31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>
      <c r="A119" s="31"/>
      <c r="B119" s="31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>
      <c r="A120" s="31"/>
      <c r="B120" s="31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>
      <c r="A121" s="31"/>
      <c r="B121" s="31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>
      <c r="A122" s="31"/>
      <c r="B122" s="31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>
      <c r="A123" s="31"/>
      <c r="B123" s="31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>
      <c r="A124" s="31"/>
      <c r="B124" s="31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>
      <c r="A125" s="31"/>
      <c r="B125" s="31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>
      <c r="A126" s="31"/>
      <c r="B126" s="31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>
      <c r="A127" s="31"/>
      <c r="B127" s="31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>
      <c r="A128" s="31"/>
      <c r="B128" s="31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>
      <c r="A129" s="31"/>
      <c r="B129" s="31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>
      <c r="A130" s="31"/>
      <c r="B130" s="31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>
      <c r="A131" s="31"/>
      <c r="B131" s="31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>
      <c r="A132" s="31"/>
      <c r="B132" s="31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>
      <c r="A133" s="31"/>
      <c r="B133" s="31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>
      <c r="A134" s="31"/>
      <c r="B134" s="31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>
      <c r="A135" s="31"/>
      <c r="B135" s="31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>
      <c r="A136" s="31"/>
      <c r="B136" s="31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>
      <c r="A137" s="31"/>
      <c r="B137" s="31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>
      <c r="A138" s="31"/>
      <c r="B138" s="31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>
      <c r="A139" s="31"/>
      <c r="B139" s="31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>
      <c r="A140" s="31"/>
      <c r="B140" s="31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>
      <c r="A141" s="31"/>
      <c r="B141" s="31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2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>
      <c r="A142" s="31"/>
      <c r="B142" s="31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2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>
      <c r="A143" s="31"/>
      <c r="B143" s="31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2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>
      <c r="A144" s="31"/>
      <c r="B144" s="31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2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>
      <c r="A145" s="31"/>
      <c r="B145" s="31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2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>
      <c r="A146" s="31"/>
      <c r="B146" s="31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2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>
      <c r="A147" s="31"/>
      <c r="B147" s="31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2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>
      <c r="A148" s="31"/>
      <c r="B148" s="31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2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</row>
    <row r="149" spans="1:33" ht="15.75" customHeight="1">
      <c r="A149" s="14"/>
      <c r="B149" s="14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>
      <c r="A150" s="14"/>
      <c r="B150" s="14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>
      <c r="A151" s="14"/>
      <c r="B151" s="14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>
      <c r="A152" s="14"/>
      <c r="B152" s="14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>
      <c r="A153" s="14"/>
      <c r="B153" s="14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>
      <c r="A154" s="14"/>
      <c r="B154" s="14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>
      <c r="A155" s="14"/>
      <c r="B155" s="14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>
      <c r="A156" s="14"/>
      <c r="B156" s="14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>
      <c r="A157" s="14"/>
      <c r="B157" s="14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>
      <c r="A158" s="14"/>
      <c r="B158" s="14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>
      <c r="A159" s="14"/>
      <c r="B159" s="14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>
      <c r="A160" s="14"/>
      <c r="B160" s="14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>
      <c r="A161" s="14"/>
      <c r="B161" s="14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>
      <c r="A162" s="14"/>
      <c r="B162" s="14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>
      <c r="A163" s="14"/>
      <c r="B163" s="14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>
      <c r="A164" s="14"/>
      <c r="B164" s="14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>
      <c r="A165" s="14"/>
      <c r="B165" s="14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>
      <c r="A166" s="14"/>
      <c r="B166" s="14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>
      <c r="A167" s="14"/>
      <c r="B167" s="14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>
      <c r="A168" s="14"/>
      <c r="B168" s="14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>
      <c r="A169" s="14"/>
      <c r="B169" s="14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>
      <c r="A170" s="14"/>
      <c r="B170" s="14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>
      <c r="A171" s="14"/>
      <c r="B171" s="14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>
      <c r="A172" s="14"/>
      <c r="B172" s="14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>
      <c r="A173" s="14"/>
      <c r="B173" s="14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>
      <c r="A174" s="14"/>
      <c r="B174" s="14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>
      <c r="A175" s="14"/>
      <c r="B175" s="14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>
      <c r="A176" s="14"/>
      <c r="B176" s="14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>
      <c r="A177" s="14"/>
      <c r="B177" s="14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>
      <c r="A178" s="14"/>
      <c r="B178" s="14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>
      <c r="A179" s="14"/>
      <c r="B179" s="14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>
      <c r="A180" s="14"/>
      <c r="B180" s="14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>
      <c r="A181" s="14"/>
      <c r="B181" s="14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>
      <c r="A182" s="14"/>
      <c r="B182" s="14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>
      <c r="A183" s="14"/>
      <c r="B183" s="14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>
      <c r="A184" s="14"/>
      <c r="B184" s="14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>
      <c r="A185" s="14"/>
      <c r="B185" s="14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>
      <c r="A186" s="14"/>
      <c r="B186" s="14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>
      <c r="A187" s="14"/>
      <c r="B187" s="14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>
      <c r="A188" s="14"/>
      <c r="B188" s="14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>
      <c r="A189" s="14"/>
      <c r="B189" s="14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>
      <c r="A190" s="14"/>
      <c r="B190" s="14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>
      <c r="A191" s="14"/>
      <c r="B191" s="14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>
      <c r="A192" s="14"/>
      <c r="B192" s="14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>
      <c r="A193" s="14"/>
      <c r="B193" s="14"/>
      <c r="C193" s="39"/>
      <c r="D193" s="39"/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>
      <c r="A194" s="14"/>
      <c r="B194" s="14"/>
      <c r="C194" s="39"/>
      <c r="D194" s="39"/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>
      <c r="A195" s="14"/>
      <c r="B195" s="14"/>
      <c r="C195" s="39"/>
      <c r="D195" s="39"/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>
      <c r="A196" s="14"/>
      <c r="B196" s="14"/>
      <c r="C196" s="39"/>
      <c r="D196" s="39"/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>
      <c r="A197" s="14"/>
      <c r="B197" s="14"/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>
      <c r="A198" s="14"/>
      <c r="B198" s="14"/>
      <c r="C198" s="39"/>
      <c r="D198" s="39"/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>
      <c r="A199" s="14"/>
      <c r="B199" s="14"/>
      <c r="C199" s="39"/>
      <c r="D199" s="39"/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>
      <c r="A200" s="14"/>
      <c r="B200" s="14"/>
      <c r="C200" s="39"/>
      <c r="D200" s="39"/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>
      <c r="A201" s="14"/>
      <c r="B201" s="14"/>
      <c r="C201" s="39"/>
      <c r="D201" s="39"/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>
      <c r="A202" s="14"/>
      <c r="B202" s="14"/>
      <c r="C202" s="39"/>
      <c r="D202" s="39"/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>
      <c r="A203" s="14"/>
      <c r="B203" s="14"/>
      <c r="C203" s="39"/>
      <c r="D203" s="39"/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>
      <c r="A204" s="14"/>
      <c r="B204" s="14"/>
      <c r="C204" s="39"/>
      <c r="D204" s="39"/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>
      <c r="A205" s="14"/>
      <c r="B205" s="14"/>
      <c r="C205" s="39"/>
      <c r="D205" s="39"/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>
      <c r="A206" s="14"/>
      <c r="B206" s="14"/>
      <c r="C206" s="39"/>
      <c r="D206" s="39"/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>
      <c r="A207" s="14"/>
      <c r="B207" s="14"/>
      <c r="C207" s="39"/>
      <c r="D207" s="39"/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>
      <c r="A208" s="14"/>
      <c r="B208" s="14"/>
      <c r="C208" s="39"/>
      <c r="D208" s="39"/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>
      <c r="A209" s="14"/>
      <c r="B209" s="14"/>
      <c r="C209" s="39"/>
      <c r="D209" s="39"/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>
      <c r="A210" s="14"/>
      <c r="B210" s="14"/>
      <c r="C210" s="39"/>
      <c r="D210" s="39"/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>
      <c r="A211" s="14"/>
      <c r="B211" s="14"/>
      <c r="C211" s="39"/>
      <c r="D211" s="39"/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>
      <c r="A212" s="14"/>
      <c r="B212" s="14"/>
      <c r="C212" s="39"/>
      <c r="D212" s="39"/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>
      <c r="A213" s="14"/>
      <c r="B213" s="14"/>
      <c r="C213" s="39"/>
      <c r="D213" s="39"/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>
      <c r="A214" s="14"/>
      <c r="B214" s="14"/>
      <c r="C214" s="39"/>
      <c r="D214" s="39"/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>
      <c r="A215" s="14"/>
      <c r="B215" s="14"/>
      <c r="C215" s="39"/>
      <c r="D215" s="39"/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>
      <c r="A216" s="14"/>
      <c r="B216" s="14"/>
      <c r="C216" s="39"/>
      <c r="D216" s="39"/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>
      <c r="A217" s="14"/>
      <c r="B217" s="14"/>
      <c r="C217" s="39"/>
      <c r="D217" s="39"/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>
      <c r="A218" s="14"/>
      <c r="B218" s="14"/>
      <c r="C218" s="39"/>
      <c r="D218" s="39"/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>
      <c r="A219" s="14"/>
      <c r="B219" s="14"/>
      <c r="C219" s="39"/>
      <c r="D219" s="39"/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>
      <c r="A220" s="14"/>
      <c r="B220" s="14"/>
      <c r="C220" s="39"/>
      <c r="D220" s="39"/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>
      <c r="R221" s="30"/>
      <c r="S221" s="40"/>
    </row>
    <row r="222" spans="1:33" ht="15.75" customHeight="1">
      <c r="R222" s="30"/>
      <c r="S222" s="40"/>
    </row>
    <row r="223" spans="1:33" ht="15.75" customHeight="1">
      <c r="R223" s="30"/>
      <c r="S223" s="40"/>
    </row>
    <row r="224" spans="1:33" ht="15.75" customHeight="1">
      <c r="R224" s="30"/>
      <c r="S224" s="40"/>
    </row>
    <row r="225" spans="18:18" ht="15.75" customHeight="1">
      <c r="R225" s="30"/>
    </row>
    <row r="226" spans="18:18" ht="15.75" customHeight="1">
      <c r="R226" s="30"/>
    </row>
    <row r="227" spans="18:18" ht="15.75" customHeight="1">
      <c r="R227" s="30"/>
    </row>
    <row r="228" spans="18:18" ht="15.75" customHeight="1">
      <c r="R228" s="30"/>
    </row>
    <row r="229" spans="18:18" ht="15.75" customHeight="1">
      <c r="R229" s="30"/>
    </row>
    <row r="230" spans="18:18" ht="15.75" customHeight="1">
      <c r="R230" s="30"/>
    </row>
    <row r="231" spans="18:18" ht="15.75" customHeight="1">
      <c r="R231" s="30"/>
    </row>
    <row r="232" spans="18:18" ht="15.75" customHeight="1">
      <c r="R232" s="30"/>
    </row>
    <row r="233" spans="18:18" ht="15.75" customHeight="1">
      <c r="R233" s="30"/>
    </row>
    <row r="234" spans="18:18" ht="15.75" customHeight="1">
      <c r="R234" s="30"/>
    </row>
    <row r="235" spans="18:18" ht="15.75" customHeight="1">
      <c r="R235" s="30"/>
    </row>
    <row r="236" spans="18:18" ht="15.75" customHeight="1">
      <c r="R236" s="30"/>
    </row>
    <row r="237" spans="18:18" ht="15.75" customHeight="1">
      <c r="R237" s="30"/>
    </row>
    <row r="238" spans="18:18" ht="15.75" customHeight="1">
      <c r="R238" s="30"/>
    </row>
    <row r="239" spans="18:18" ht="15.75" customHeight="1">
      <c r="R239" s="30"/>
    </row>
    <row r="240" spans="18:18" ht="15.75" customHeight="1">
      <c r="R240" s="30"/>
    </row>
    <row r="241" spans="18:18" ht="15.75" customHeight="1">
      <c r="R241" s="30"/>
    </row>
    <row r="242" spans="18:18" ht="15.75" customHeight="1">
      <c r="R242" s="30"/>
    </row>
    <row r="243" spans="18:18" ht="15.75" customHeight="1">
      <c r="R243" s="30"/>
    </row>
    <row r="244" spans="18:18" ht="15.75" customHeight="1">
      <c r="R244" s="30"/>
    </row>
    <row r="245" spans="18:18" ht="15.75" customHeight="1">
      <c r="R245" s="30"/>
    </row>
    <row r="246" spans="18:18" ht="15.75" customHeight="1">
      <c r="R246" s="30"/>
    </row>
    <row r="247" spans="18:18" ht="15.75" customHeight="1">
      <c r="R247" s="30"/>
    </row>
    <row r="248" spans="18:18" ht="15.75" customHeight="1">
      <c r="R248" s="30"/>
    </row>
    <row r="249" spans="18:18" ht="15.75" customHeight="1">
      <c r="R249" s="30"/>
    </row>
    <row r="250" spans="18:18" ht="15.75" customHeight="1">
      <c r="R250" s="30"/>
    </row>
    <row r="251" spans="18:18" ht="15.75" customHeight="1">
      <c r="R251" s="30"/>
    </row>
    <row r="252" spans="18:18" ht="15.75" customHeight="1">
      <c r="R252" s="30"/>
    </row>
    <row r="253" spans="18:18" ht="15.75" customHeight="1">
      <c r="R253" s="30"/>
    </row>
    <row r="254" spans="18:18" ht="15.75" customHeight="1">
      <c r="R254" s="30"/>
    </row>
    <row r="255" spans="18:18" ht="15.75" customHeight="1">
      <c r="R255" s="30"/>
    </row>
    <row r="256" spans="18:18" ht="15.75" customHeight="1">
      <c r="R256" s="30"/>
    </row>
    <row r="257" spans="18:18" ht="15.75" customHeight="1">
      <c r="R257" s="30"/>
    </row>
    <row r="258" spans="18:18" ht="15.75" customHeight="1">
      <c r="R258" s="30"/>
    </row>
    <row r="259" spans="18:18" ht="15.75" customHeight="1">
      <c r="R259" s="30"/>
    </row>
    <row r="260" spans="18:18" ht="15.75" customHeight="1">
      <c r="R260" s="30"/>
    </row>
    <row r="261" spans="18:18" ht="15.75" customHeight="1">
      <c r="R261" s="30"/>
    </row>
    <row r="262" spans="18:18" ht="15.75" customHeight="1">
      <c r="R262" s="30"/>
    </row>
    <row r="263" spans="18:18" ht="15.75" customHeight="1">
      <c r="R263" s="30"/>
    </row>
    <row r="264" spans="18:18" ht="15.75" customHeight="1">
      <c r="R264" s="30"/>
    </row>
    <row r="265" spans="18:18" ht="15.75" customHeight="1">
      <c r="R265" s="30"/>
    </row>
    <row r="266" spans="18:18" ht="15.75" customHeight="1">
      <c r="R266" s="30"/>
    </row>
    <row r="267" spans="18:18" ht="15.75" customHeight="1">
      <c r="R267" s="30"/>
    </row>
    <row r="268" spans="18:18" ht="15.75" customHeight="1">
      <c r="R268" s="30"/>
    </row>
    <row r="269" spans="18:18" ht="15.75" customHeight="1">
      <c r="R269" s="30"/>
    </row>
    <row r="270" spans="18:18" ht="15.75" customHeight="1">
      <c r="R270" s="30"/>
    </row>
    <row r="271" spans="18:18" ht="15.75" customHeight="1">
      <c r="R271" s="30"/>
    </row>
    <row r="272" spans="18:18" ht="15.75" customHeight="1">
      <c r="R272" s="30"/>
    </row>
    <row r="273" spans="18:18" ht="15.75" customHeight="1">
      <c r="R273" s="30"/>
    </row>
    <row r="274" spans="18:18" ht="15.75" customHeight="1">
      <c r="R274" s="30"/>
    </row>
    <row r="275" spans="18:18" ht="15.75" customHeight="1">
      <c r="R275" s="30"/>
    </row>
    <row r="276" spans="18:18" ht="15.75" customHeight="1">
      <c r="R276" s="30"/>
    </row>
    <row r="277" spans="18:18" ht="15.75" customHeight="1">
      <c r="R277" s="30"/>
    </row>
    <row r="278" spans="18:18" ht="15.75" customHeight="1">
      <c r="R278" s="30"/>
    </row>
    <row r="279" spans="18:18" ht="15.75" customHeight="1">
      <c r="R279" s="30"/>
    </row>
    <row r="280" spans="18:18" ht="15.75" customHeight="1">
      <c r="R280" s="30"/>
    </row>
    <row r="281" spans="18:18" ht="15.75" customHeight="1">
      <c r="R281" s="30"/>
    </row>
    <row r="282" spans="18:18" ht="15.75" customHeight="1">
      <c r="R282" s="30"/>
    </row>
    <row r="283" spans="18:18" ht="15.75" customHeight="1">
      <c r="R283" s="30"/>
    </row>
    <row r="284" spans="18:18" ht="15.75" customHeight="1">
      <c r="R284" s="30"/>
    </row>
    <row r="285" spans="18:18" ht="15.75" customHeight="1">
      <c r="R285" s="30"/>
    </row>
    <row r="286" spans="18:18" ht="15.75" customHeight="1">
      <c r="R286" s="30"/>
    </row>
    <row r="287" spans="18:18" ht="15.75" customHeight="1">
      <c r="R287" s="30"/>
    </row>
    <row r="288" spans="18:18" ht="15.75" customHeight="1">
      <c r="R288" s="30"/>
    </row>
    <row r="289" spans="18:18" ht="15.75" customHeight="1">
      <c r="R289" s="30"/>
    </row>
    <row r="290" spans="18:18" ht="15.75" customHeight="1">
      <c r="R290" s="30"/>
    </row>
    <row r="291" spans="18:18" ht="15.75" customHeight="1">
      <c r="R291" s="30"/>
    </row>
    <row r="292" spans="18:18" ht="15.75" customHeight="1">
      <c r="R292" s="30"/>
    </row>
    <row r="293" spans="18:18" ht="15.75" customHeight="1">
      <c r="R293" s="30"/>
    </row>
    <row r="294" spans="18:18" ht="15.75" customHeight="1">
      <c r="R294" s="30"/>
    </row>
    <row r="295" spans="18:18" ht="15.75" customHeight="1">
      <c r="R295" s="30"/>
    </row>
    <row r="296" spans="18:18" ht="15.75" customHeight="1">
      <c r="R296" s="30"/>
    </row>
    <row r="297" spans="18:18" ht="15.75" customHeight="1">
      <c r="R297" s="30"/>
    </row>
    <row r="298" spans="18:18" ht="15.75" customHeight="1">
      <c r="R298" s="30"/>
    </row>
    <row r="299" spans="18:18" ht="15.75" customHeight="1">
      <c r="R299" s="30"/>
    </row>
    <row r="300" spans="18:18" ht="15.75" customHeight="1">
      <c r="R300" s="30"/>
    </row>
    <row r="301" spans="18:18" ht="15.75" customHeight="1">
      <c r="R301" s="30"/>
    </row>
    <row r="302" spans="18:18" ht="15.75" customHeight="1">
      <c r="R302" s="30"/>
    </row>
    <row r="303" spans="18:18" ht="15.75" customHeight="1">
      <c r="R303" s="30"/>
    </row>
    <row r="304" spans="18:18" ht="15.75" customHeight="1">
      <c r="R304" s="30"/>
    </row>
    <row r="305" spans="18:18" ht="15.75" customHeight="1">
      <c r="R305" s="30"/>
    </row>
    <row r="306" spans="18:18" ht="15.75" customHeight="1">
      <c r="R306" s="30"/>
    </row>
    <row r="307" spans="18:18" ht="15.75" customHeight="1">
      <c r="R307" s="30"/>
    </row>
    <row r="308" spans="18:18" ht="15.75" customHeight="1">
      <c r="R308" s="30"/>
    </row>
    <row r="309" spans="18:18" ht="15.75" customHeight="1">
      <c r="R309" s="30"/>
    </row>
    <row r="310" spans="18:18" ht="15.75" customHeight="1">
      <c r="R310" s="30"/>
    </row>
    <row r="311" spans="18:18" ht="15.75" customHeight="1">
      <c r="R311" s="30"/>
    </row>
    <row r="312" spans="18:18" ht="15.75" customHeight="1">
      <c r="R312" s="30"/>
    </row>
    <row r="313" spans="18:18" ht="15.75" customHeight="1">
      <c r="R313" s="30"/>
    </row>
    <row r="314" spans="18:18" ht="15.75" customHeight="1">
      <c r="R314" s="30"/>
    </row>
    <row r="315" spans="18:18" ht="15.75" customHeight="1">
      <c r="R315" s="30"/>
    </row>
    <row r="316" spans="18:18" ht="15.75" customHeight="1">
      <c r="R316" s="30"/>
    </row>
    <row r="317" spans="18:18" ht="15.75" customHeight="1">
      <c r="R317" s="30"/>
    </row>
    <row r="318" spans="18:18" ht="15.75" customHeight="1">
      <c r="R318" s="30"/>
    </row>
    <row r="319" spans="18:18" ht="15.75" customHeight="1">
      <c r="R319" s="30"/>
    </row>
    <row r="320" spans="18:18" ht="15.75" customHeight="1">
      <c r="R320" s="30"/>
    </row>
    <row r="321" spans="18:18" ht="15.75" customHeight="1">
      <c r="R321" s="30"/>
    </row>
    <row r="322" spans="18:18" ht="15.75" customHeight="1">
      <c r="R322" s="30"/>
    </row>
    <row r="323" spans="18:18" ht="15.75" customHeight="1">
      <c r="R323" s="30"/>
    </row>
    <row r="324" spans="18:18" ht="15.75" customHeight="1">
      <c r="R324" s="30"/>
    </row>
    <row r="325" spans="18:18" ht="15.75" customHeight="1">
      <c r="R325" s="30"/>
    </row>
    <row r="326" spans="18:18" ht="15.75" customHeight="1">
      <c r="R326" s="30"/>
    </row>
    <row r="327" spans="18:18" ht="15.75" customHeight="1">
      <c r="R327" s="30"/>
    </row>
    <row r="328" spans="18:18" ht="15.75" customHeight="1">
      <c r="R328" s="30"/>
    </row>
    <row r="329" spans="18:18" ht="15.75" customHeight="1">
      <c r="R329" s="30"/>
    </row>
    <row r="330" spans="18:18" ht="15.75" customHeight="1">
      <c r="R330" s="30"/>
    </row>
    <row r="331" spans="18:18" ht="15.75" customHeight="1">
      <c r="R331" s="30"/>
    </row>
    <row r="332" spans="18:18" ht="15.75" customHeight="1">
      <c r="R332" s="30"/>
    </row>
    <row r="333" spans="18:18" ht="15.75" customHeight="1">
      <c r="R333" s="30"/>
    </row>
    <row r="334" spans="18:18" ht="15.75" customHeight="1">
      <c r="R334" s="30"/>
    </row>
    <row r="335" spans="18:18" ht="15.75" customHeight="1">
      <c r="R335" s="30"/>
    </row>
    <row r="336" spans="18:18" ht="15.75" customHeight="1">
      <c r="R336" s="30"/>
    </row>
    <row r="337" spans="18:18" ht="15.75" customHeight="1">
      <c r="R337" s="30"/>
    </row>
    <row r="338" spans="18:18" ht="15.75" customHeight="1">
      <c r="R338" s="30"/>
    </row>
    <row r="339" spans="18:18" ht="15.75" customHeight="1">
      <c r="R339" s="30"/>
    </row>
    <row r="340" spans="18:18" ht="15.75" customHeight="1">
      <c r="R340" s="30"/>
    </row>
    <row r="341" spans="18:18" ht="15.75" customHeight="1">
      <c r="R341" s="30"/>
    </row>
    <row r="342" spans="18:18" ht="15.75" customHeight="1">
      <c r="R342" s="30"/>
    </row>
    <row r="343" spans="18:18" ht="15.75" customHeight="1">
      <c r="R343" s="30"/>
    </row>
    <row r="344" spans="18:18" ht="15.75" customHeight="1">
      <c r="R344" s="30"/>
    </row>
    <row r="345" spans="18:18" ht="15.75" customHeight="1">
      <c r="R345" s="30"/>
    </row>
    <row r="346" spans="18:18" ht="15.75" customHeight="1">
      <c r="R346" s="30"/>
    </row>
    <row r="347" spans="18:18" ht="15.75" customHeight="1">
      <c r="R347" s="30"/>
    </row>
    <row r="348" spans="18:18" ht="15.75" customHeight="1">
      <c r="R348" s="30"/>
    </row>
    <row r="349" spans="18:18" ht="15.75" customHeight="1">
      <c r="R349" s="30"/>
    </row>
    <row r="350" spans="18:18" ht="15.75" customHeight="1">
      <c r="R350" s="30"/>
    </row>
    <row r="351" spans="18:18" ht="15.75" customHeight="1">
      <c r="R351" s="30"/>
    </row>
    <row r="352" spans="18:18" ht="15.75" customHeight="1">
      <c r="R352" s="30"/>
    </row>
    <row r="353" spans="18:18" ht="15.75" customHeight="1">
      <c r="R353" s="30"/>
    </row>
    <row r="354" spans="18:18" ht="15.75" customHeight="1">
      <c r="R354" s="30"/>
    </row>
    <row r="355" spans="18:18" ht="15.75" customHeight="1">
      <c r="R355" s="30"/>
    </row>
    <row r="356" spans="18:18" ht="15.75" customHeight="1">
      <c r="R356" s="30"/>
    </row>
    <row r="357" spans="18:18" ht="15.75" customHeight="1">
      <c r="R357" s="30"/>
    </row>
    <row r="358" spans="18:18" ht="15.75" customHeight="1">
      <c r="R358" s="30"/>
    </row>
    <row r="359" spans="18:18" ht="15.75" customHeight="1">
      <c r="R359" s="30"/>
    </row>
    <row r="360" spans="18:18" ht="15.75" customHeight="1">
      <c r="R360" s="30"/>
    </row>
    <row r="361" spans="18:18" ht="15.75" customHeight="1">
      <c r="R361" s="30"/>
    </row>
    <row r="362" spans="18:18" ht="15.75" customHeight="1">
      <c r="R362" s="30"/>
    </row>
    <row r="363" spans="18:18" ht="15.75" customHeight="1">
      <c r="R363" s="30"/>
    </row>
    <row r="364" spans="18:18" ht="15.75" customHeight="1">
      <c r="R364" s="30"/>
    </row>
    <row r="365" spans="18:18" ht="15.75" customHeight="1">
      <c r="R365" s="30"/>
    </row>
    <row r="366" spans="18:18" ht="15.75" customHeight="1">
      <c r="R366" s="30"/>
    </row>
    <row r="367" spans="18:18" ht="15.75" customHeight="1">
      <c r="R367" s="30"/>
    </row>
    <row r="368" spans="18:18" ht="15.75" customHeight="1">
      <c r="R368" s="30"/>
    </row>
    <row r="369" spans="18:18" ht="15.75" customHeight="1">
      <c r="R369" s="30"/>
    </row>
    <row r="370" spans="18:18" ht="15.75" customHeight="1">
      <c r="R370" s="30"/>
    </row>
    <row r="371" spans="18:18" ht="15.75" customHeight="1">
      <c r="R371" s="30"/>
    </row>
    <row r="372" spans="18:18" ht="15.75" customHeight="1">
      <c r="R372" s="30"/>
    </row>
    <row r="373" spans="18:18" ht="15.75" customHeight="1">
      <c r="R373" s="30"/>
    </row>
    <row r="374" spans="18:18" ht="15.75" customHeight="1">
      <c r="R374" s="30"/>
    </row>
    <row r="375" spans="18:18" ht="15.75" customHeight="1">
      <c r="R375" s="30"/>
    </row>
    <row r="376" spans="18:18" ht="15.75" customHeight="1">
      <c r="R376" s="30"/>
    </row>
    <row r="377" spans="18:18" ht="15.75" customHeight="1">
      <c r="R377" s="30"/>
    </row>
    <row r="378" spans="18:18" ht="15.75" customHeight="1">
      <c r="R378" s="30"/>
    </row>
    <row r="379" spans="18:18" ht="15.75" customHeight="1">
      <c r="R379" s="30"/>
    </row>
    <row r="380" spans="18:18" ht="15.75" customHeight="1">
      <c r="R380" s="30"/>
    </row>
    <row r="381" spans="18:18" ht="15.75" customHeight="1">
      <c r="R381" s="30"/>
    </row>
    <row r="382" spans="18:18" ht="15.75" customHeight="1">
      <c r="R382" s="30"/>
    </row>
    <row r="383" spans="18:18" ht="15.75" customHeight="1">
      <c r="R383" s="30"/>
    </row>
    <row r="384" spans="18:18" ht="15.75" customHeight="1">
      <c r="R384" s="30"/>
    </row>
    <row r="385" spans="18:18" ht="15.75" customHeight="1">
      <c r="R385" s="30"/>
    </row>
    <row r="386" spans="18:18" ht="15.75" customHeight="1">
      <c r="R386" s="30"/>
    </row>
    <row r="387" spans="18:18" ht="15.75" customHeight="1">
      <c r="R387" s="30"/>
    </row>
    <row r="388" spans="18:18" ht="15.75" customHeight="1">
      <c r="R388" s="30"/>
    </row>
    <row r="389" spans="18:18" ht="15.75" customHeight="1">
      <c r="R389" s="30"/>
    </row>
    <row r="390" spans="18:18" ht="15.75" customHeight="1">
      <c r="R390" s="30"/>
    </row>
    <row r="391" spans="18:18" ht="15.75" customHeight="1">
      <c r="R391" s="30"/>
    </row>
    <row r="392" spans="18:18" ht="15.75" customHeight="1">
      <c r="R392" s="30"/>
    </row>
    <row r="393" spans="18:18" ht="15.75" customHeight="1">
      <c r="R393" s="30"/>
    </row>
    <row r="394" spans="18:18" ht="15.75" customHeight="1">
      <c r="R394" s="30"/>
    </row>
    <row r="395" spans="18:18" ht="15.75" customHeight="1">
      <c r="R395" s="30"/>
    </row>
    <row r="396" spans="18:18" ht="15.75" customHeight="1">
      <c r="R396" s="30"/>
    </row>
    <row r="397" spans="18:18" ht="15.75" customHeight="1">
      <c r="R397" s="30"/>
    </row>
    <row r="398" spans="18:18" ht="15.75" customHeight="1">
      <c r="R398" s="30"/>
    </row>
    <row r="399" spans="18:18" ht="15.75" customHeight="1">
      <c r="R399" s="30"/>
    </row>
    <row r="400" spans="18:18" ht="15.75" customHeight="1">
      <c r="R400" s="30"/>
    </row>
    <row r="401" spans="18:18" ht="15.75" customHeight="1">
      <c r="R401" s="30"/>
    </row>
    <row r="402" spans="18:18" ht="15.75" customHeight="1">
      <c r="R402" s="30"/>
    </row>
    <row r="403" spans="18:18" ht="15.75" customHeight="1">
      <c r="R403" s="30"/>
    </row>
    <row r="404" spans="18:18" ht="15.75" customHeight="1">
      <c r="R404" s="30"/>
    </row>
    <row r="405" spans="18:18" ht="15.75" customHeight="1">
      <c r="R405" s="30"/>
    </row>
    <row r="406" spans="18:18" ht="15.75" customHeight="1">
      <c r="R406" s="30"/>
    </row>
    <row r="407" spans="18:18" ht="15.75" customHeight="1">
      <c r="R407" s="30"/>
    </row>
    <row r="408" spans="18:18" ht="15.75" customHeight="1">
      <c r="R408" s="30"/>
    </row>
    <row r="409" spans="18:18" ht="15.75" customHeight="1">
      <c r="R409" s="30"/>
    </row>
    <row r="410" spans="18:18" ht="15.75" customHeight="1">
      <c r="R410" s="30"/>
    </row>
    <row r="411" spans="18:18" ht="15.75" customHeight="1">
      <c r="R411" s="30"/>
    </row>
    <row r="412" spans="18:18" ht="15.75" customHeight="1">
      <c r="R412" s="30"/>
    </row>
    <row r="413" spans="18:18" ht="15.75" customHeight="1">
      <c r="R413" s="30"/>
    </row>
    <row r="414" spans="18:18" ht="15.75" customHeight="1">
      <c r="R414" s="30"/>
    </row>
    <row r="415" spans="18:18" ht="15.75" customHeight="1">
      <c r="R415" s="30"/>
    </row>
    <row r="416" spans="18:18" ht="15.75" customHeight="1">
      <c r="R416" s="30"/>
    </row>
    <row r="417" spans="18:18" ht="15.75" customHeight="1">
      <c r="R417" s="30"/>
    </row>
    <row r="418" spans="18:18" ht="15.75" customHeight="1">
      <c r="R418" s="30"/>
    </row>
    <row r="419" spans="18:18" ht="15.75" customHeight="1">
      <c r="R419" s="30"/>
    </row>
    <row r="420" spans="18:18" ht="15.75" customHeight="1">
      <c r="R420" s="30"/>
    </row>
    <row r="421" spans="18:18" ht="15.75" customHeight="1">
      <c r="R421" s="30"/>
    </row>
    <row r="422" spans="18:18" ht="15.75" customHeight="1">
      <c r="R422" s="30"/>
    </row>
    <row r="423" spans="18:18" ht="15.75" customHeight="1">
      <c r="R423" s="30"/>
    </row>
    <row r="424" spans="18:18" ht="15.75" customHeight="1">
      <c r="R424" s="30"/>
    </row>
    <row r="425" spans="18:18" ht="15.75" customHeight="1">
      <c r="R425" s="30"/>
    </row>
    <row r="426" spans="18:18" ht="15.75" customHeight="1">
      <c r="R426" s="30"/>
    </row>
    <row r="427" spans="18:18" ht="15.75" customHeight="1">
      <c r="R427" s="30"/>
    </row>
    <row r="428" spans="18:18" ht="15.75" customHeight="1">
      <c r="R428" s="30"/>
    </row>
    <row r="429" spans="18:18" ht="15.75" customHeight="1">
      <c r="R429" s="30"/>
    </row>
    <row r="430" spans="18:18" ht="15.75" customHeight="1">
      <c r="R430" s="30"/>
    </row>
    <row r="431" spans="18:18" ht="15.75" customHeight="1">
      <c r="R431" s="30"/>
    </row>
    <row r="432" spans="18:18" ht="15.75" customHeight="1">
      <c r="R432" s="30"/>
    </row>
    <row r="433" spans="18:18" ht="15.75" customHeight="1">
      <c r="R433" s="30"/>
    </row>
    <row r="434" spans="18:18" ht="15.75" customHeight="1">
      <c r="R434" s="30"/>
    </row>
    <row r="435" spans="18:18" ht="15.75" customHeight="1">
      <c r="R435" s="30"/>
    </row>
    <row r="436" spans="18:18" ht="15.75" customHeight="1">
      <c r="R436" s="30"/>
    </row>
    <row r="437" spans="18:18" ht="15.75" customHeight="1">
      <c r="R437" s="30"/>
    </row>
    <row r="438" spans="18:18" ht="15.75" customHeight="1">
      <c r="R438" s="30"/>
    </row>
    <row r="439" spans="18:18" ht="15.75" customHeight="1">
      <c r="R439" s="30"/>
    </row>
    <row r="440" spans="18:18" ht="15.75" customHeight="1">
      <c r="R440" s="30"/>
    </row>
    <row r="441" spans="18:18" ht="15.75" customHeight="1">
      <c r="R441" s="30"/>
    </row>
    <row r="442" spans="18:18" ht="15.75" customHeight="1">
      <c r="R442" s="30"/>
    </row>
    <row r="443" spans="18:18" ht="15.75" customHeight="1">
      <c r="R443" s="30"/>
    </row>
    <row r="444" spans="18:18" ht="15.75" customHeight="1">
      <c r="R444" s="30"/>
    </row>
    <row r="445" spans="18:18" ht="15.75" customHeight="1">
      <c r="R445" s="30"/>
    </row>
    <row r="446" spans="18:18" ht="15.75" customHeight="1">
      <c r="R446" s="30"/>
    </row>
    <row r="447" spans="18:18" ht="15.75" customHeight="1">
      <c r="R447" s="30"/>
    </row>
    <row r="448" spans="18:18" ht="15.75" customHeight="1">
      <c r="R448" s="30"/>
    </row>
    <row r="449" spans="18:18" ht="15.75" customHeight="1">
      <c r="R449" s="30"/>
    </row>
    <row r="450" spans="18:18" ht="15.75" customHeight="1">
      <c r="R450" s="30"/>
    </row>
    <row r="451" spans="18:18" ht="15.75" customHeight="1">
      <c r="R451" s="30"/>
    </row>
    <row r="452" spans="18:18" ht="15.75" customHeight="1">
      <c r="R452" s="30"/>
    </row>
    <row r="453" spans="18:18" ht="15.75" customHeight="1">
      <c r="R453" s="30"/>
    </row>
    <row r="454" spans="18:18" ht="15.75" customHeight="1">
      <c r="R454" s="30"/>
    </row>
    <row r="455" spans="18:18" ht="15.75" customHeight="1">
      <c r="R455" s="30"/>
    </row>
    <row r="456" spans="18:18" ht="15.75" customHeight="1">
      <c r="R456" s="30"/>
    </row>
    <row r="457" spans="18:18" ht="15.75" customHeight="1">
      <c r="R457" s="30"/>
    </row>
    <row r="458" spans="18:18" ht="15.75" customHeight="1">
      <c r="R458" s="30"/>
    </row>
    <row r="459" spans="18:18" ht="15.75" customHeight="1">
      <c r="R459" s="30"/>
    </row>
    <row r="460" spans="18:18" ht="15.75" customHeight="1">
      <c r="R460" s="30"/>
    </row>
    <row r="461" spans="18:18" ht="15.75" customHeight="1">
      <c r="R461" s="30"/>
    </row>
    <row r="462" spans="18:18" ht="15.75" customHeight="1">
      <c r="R462" s="30"/>
    </row>
    <row r="463" spans="18:18" ht="15.75" customHeight="1">
      <c r="R463" s="30"/>
    </row>
    <row r="464" spans="18:18" ht="15.75" customHeight="1">
      <c r="R464" s="30"/>
    </row>
    <row r="465" spans="18:18" ht="15.75" customHeight="1">
      <c r="R465" s="30"/>
    </row>
    <row r="466" spans="18:18" ht="15.75" customHeight="1">
      <c r="R466" s="30"/>
    </row>
    <row r="467" spans="18:18" ht="15.75" customHeight="1">
      <c r="R467" s="30"/>
    </row>
    <row r="468" spans="18:18" ht="15.75" customHeight="1">
      <c r="R468" s="30"/>
    </row>
    <row r="469" spans="18:18" ht="15.75" customHeight="1">
      <c r="R469" s="30"/>
    </row>
    <row r="470" spans="18:18" ht="15.75" customHeight="1">
      <c r="R470" s="30"/>
    </row>
    <row r="471" spans="18:18" ht="15.75" customHeight="1">
      <c r="R471" s="30"/>
    </row>
    <row r="472" spans="18:18" ht="15.75" customHeight="1">
      <c r="R472" s="30"/>
    </row>
    <row r="473" spans="18:18" ht="15.75" customHeight="1">
      <c r="R473" s="30"/>
    </row>
    <row r="474" spans="18:18" ht="15.75" customHeight="1">
      <c r="R474" s="30"/>
    </row>
    <row r="475" spans="18:18" ht="15.75" customHeight="1">
      <c r="R475" s="30"/>
    </row>
    <row r="476" spans="18:18" ht="15.75" customHeight="1">
      <c r="R476" s="30"/>
    </row>
    <row r="477" spans="18:18" ht="15.75" customHeight="1">
      <c r="R477" s="30"/>
    </row>
    <row r="478" spans="18:18" ht="15.75" customHeight="1">
      <c r="R478" s="30"/>
    </row>
    <row r="479" spans="18:18" ht="15.75" customHeight="1">
      <c r="R479" s="30"/>
    </row>
    <row r="480" spans="18:18" ht="15.75" customHeight="1">
      <c r="R480" s="30"/>
    </row>
    <row r="481" spans="18:18" ht="15.75" customHeight="1">
      <c r="R481" s="30"/>
    </row>
    <row r="482" spans="18:18" ht="15.75" customHeight="1">
      <c r="R482" s="30"/>
    </row>
    <row r="483" spans="18:18" ht="15.75" customHeight="1">
      <c r="R483" s="30"/>
    </row>
    <row r="484" spans="18:18" ht="15.75" customHeight="1">
      <c r="R484" s="30"/>
    </row>
    <row r="485" spans="18:18" ht="15.75" customHeight="1">
      <c r="R485" s="30"/>
    </row>
    <row r="486" spans="18:18" ht="15.75" customHeight="1">
      <c r="R486" s="30"/>
    </row>
    <row r="487" spans="18:18" ht="15.75" customHeight="1">
      <c r="R487" s="30"/>
    </row>
    <row r="488" spans="18:18" ht="15.75" customHeight="1">
      <c r="R488" s="30"/>
    </row>
    <row r="489" spans="18:18" ht="15.75" customHeight="1">
      <c r="R489" s="30"/>
    </row>
    <row r="490" spans="18:18" ht="15.75" customHeight="1">
      <c r="R490" s="30"/>
    </row>
    <row r="491" spans="18:18" ht="15.75" customHeight="1">
      <c r="R491" s="30"/>
    </row>
    <row r="492" spans="18:18" ht="15.75" customHeight="1">
      <c r="R492" s="30"/>
    </row>
    <row r="493" spans="18:18" ht="15.75" customHeight="1">
      <c r="R493" s="30"/>
    </row>
    <row r="494" spans="18:18" ht="15.75" customHeight="1">
      <c r="R494" s="30"/>
    </row>
    <row r="495" spans="18:18" ht="15.75" customHeight="1">
      <c r="R495" s="30"/>
    </row>
    <row r="496" spans="18:18" ht="15.75" customHeight="1">
      <c r="R496" s="30"/>
    </row>
    <row r="497" spans="18:18" ht="15.75" customHeight="1">
      <c r="R497" s="30"/>
    </row>
    <row r="498" spans="18:18" ht="15.75" customHeight="1">
      <c r="R498" s="30"/>
    </row>
    <row r="499" spans="18:18" ht="15.75" customHeight="1">
      <c r="R499" s="30"/>
    </row>
    <row r="500" spans="18:18" ht="15.75" customHeight="1">
      <c r="R500" s="30"/>
    </row>
    <row r="501" spans="18:18" ht="15.75" customHeight="1">
      <c r="R501" s="30"/>
    </row>
    <row r="502" spans="18:18" ht="15.75" customHeight="1">
      <c r="R502" s="30"/>
    </row>
    <row r="503" spans="18:18" ht="15.75" customHeight="1">
      <c r="R503" s="30"/>
    </row>
    <row r="504" spans="18:18" ht="15.75" customHeight="1">
      <c r="R504" s="30"/>
    </row>
    <row r="505" spans="18:18" ht="15.75" customHeight="1">
      <c r="R505" s="30"/>
    </row>
    <row r="506" spans="18:18" ht="15.75" customHeight="1">
      <c r="R506" s="30"/>
    </row>
    <row r="507" spans="18:18" ht="15.75" customHeight="1">
      <c r="R507" s="30"/>
    </row>
    <row r="508" spans="18:18" ht="15.75" customHeight="1">
      <c r="R508" s="30"/>
    </row>
    <row r="509" spans="18:18" ht="15.75" customHeight="1">
      <c r="R509" s="30"/>
    </row>
    <row r="510" spans="18:18" ht="15.75" customHeight="1">
      <c r="R510" s="30"/>
    </row>
    <row r="511" spans="18:18" ht="15.75" customHeight="1">
      <c r="R511" s="30"/>
    </row>
    <row r="512" spans="18:18" ht="15.75" customHeight="1">
      <c r="R512" s="30"/>
    </row>
    <row r="513" spans="18:18" ht="15.75" customHeight="1">
      <c r="R513" s="30"/>
    </row>
    <row r="514" spans="18:18" ht="15.75" customHeight="1">
      <c r="R514" s="30"/>
    </row>
    <row r="515" spans="18:18" ht="15.75" customHeight="1">
      <c r="R515" s="30"/>
    </row>
    <row r="516" spans="18:18" ht="15.75" customHeight="1">
      <c r="R516" s="30"/>
    </row>
    <row r="517" spans="18:18" ht="15.75" customHeight="1">
      <c r="R517" s="30"/>
    </row>
    <row r="518" spans="18:18" ht="15.75" customHeight="1">
      <c r="R518" s="30"/>
    </row>
    <row r="519" spans="18:18" ht="15.75" customHeight="1">
      <c r="R519" s="30"/>
    </row>
    <row r="520" spans="18:18" ht="15.75" customHeight="1">
      <c r="R520" s="30"/>
    </row>
    <row r="521" spans="18:18" ht="15.75" customHeight="1">
      <c r="R521" s="30"/>
    </row>
    <row r="522" spans="18:18" ht="15.75" customHeight="1">
      <c r="R522" s="30"/>
    </row>
    <row r="523" spans="18:18" ht="15.75" customHeight="1">
      <c r="R523" s="30"/>
    </row>
    <row r="524" spans="18:18" ht="15.75" customHeight="1">
      <c r="R524" s="30"/>
    </row>
    <row r="525" spans="18:18" ht="15.75" customHeight="1">
      <c r="R525" s="30"/>
    </row>
    <row r="526" spans="18:18" ht="15.75" customHeight="1">
      <c r="R526" s="30"/>
    </row>
    <row r="527" spans="18:18" ht="15.75" customHeight="1">
      <c r="R527" s="30"/>
    </row>
    <row r="528" spans="18:18" ht="15.75" customHeight="1">
      <c r="R528" s="30"/>
    </row>
    <row r="529" spans="18:18" ht="15.75" customHeight="1">
      <c r="R529" s="30"/>
    </row>
    <row r="530" spans="18:18" ht="15.75" customHeight="1">
      <c r="R530" s="30"/>
    </row>
    <row r="531" spans="18:18" ht="15.75" customHeight="1">
      <c r="R531" s="30"/>
    </row>
    <row r="532" spans="18:18" ht="15.75" customHeight="1">
      <c r="R532" s="30"/>
    </row>
    <row r="533" spans="18:18" ht="15.75" customHeight="1">
      <c r="R533" s="30"/>
    </row>
    <row r="534" spans="18:18" ht="15.75" customHeight="1">
      <c r="R534" s="30"/>
    </row>
    <row r="535" spans="18:18" ht="15.75" customHeight="1">
      <c r="R535" s="30"/>
    </row>
    <row r="536" spans="18:18" ht="15.75" customHeight="1">
      <c r="R536" s="30"/>
    </row>
    <row r="537" spans="18:18" ht="15.75" customHeight="1">
      <c r="R537" s="30"/>
    </row>
    <row r="538" spans="18:18" ht="15.75" customHeight="1">
      <c r="R538" s="30"/>
    </row>
    <row r="539" spans="18:18" ht="15.75" customHeight="1">
      <c r="R539" s="30"/>
    </row>
    <row r="540" spans="18:18" ht="15.75" customHeight="1">
      <c r="R540" s="30"/>
    </row>
    <row r="541" spans="18:18" ht="15.75" customHeight="1">
      <c r="R541" s="30"/>
    </row>
    <row r="542" spans="18:18" ht="15.75" customHeight="1">
      <c r="R542" s="30"/>
    </row>
    <row r="543" spans="18:18" ht="15.75" customHeight="1">
      <c r="R543" s="30"/>
    </row>
    <row r="544" spans="18:18" ht="15.75" customHeight="1">
      <c r="R544" s="30"/>
    </row>
    <row r="545" spans="18:18" ht="15.75" customHeight="1">
      <c r="R545" s="30"/>
    </row>
    <row r="546" spans="18:18" ht="15.75" customHeight="1">
      <c r="R546" s="30"/>
    </row>
    <row r="547" spans="18:18" ht="15.75" customHeight="1">
      <c r="R547" s="30"/>
    </row>
    <row r="548" spans="18:18" ht="15.75" customHeight="1">
      <c r="R548" s="30"/>
    </row>
    <row r="549" spans="18:18" ht="15.75" customHeight="1">
      <c r="R549" s="30"/>
    </row>
    <row r="550" spans="18:18" ht="15.75" customHeight="1">
      <c r="R550" s="30"/>
    </row>
    <row r="551" spans="18:18" ht="15.75" customHeight="1">
      <c r="R551" s="30"/>
    </row>
    <row r="552" spans="18:18" ht="15.75" customHeight="1">
      <c r="R552" s="30"/>
    </row>
    <row r="553" spans="18:18" ht="15.75" customHeight="1">
      <c r="R553" s="30"/>
    </row>
    <row r="554" spans="18:18" ht="15.75" customHeight="1">
      <c r="R554" s="30"/>
    </row>
    <row r="555" spans="18:18" ht="15.75" customHeight="1">
      <c r="R555" s="30"/>
    </row>
    <row r="556" spans="18:18" ht="15.75" customHeight="1">
      <c r="R556" s="30"/>
    </row>
    <row r="557" spans="18:18" ht="15.75" customHeight="1">
      <c r="R557" s="30"/>
    </row>
    <row r="558" spans="18:18" ht="15.75" customHeight="1">
      <c r="R558" s="30"/>
    </row>
    <row r="559" spans="18:18" ht="15.75" customHeight="1">
      <c r="R559" s="30"/>
    </row>
    <row r="560" spans="18:18" ht="15.75" customHeight="1">
      <c r="R560" s="30"/>
    </row>
    <row r="561" spans="18:18" ht="15.75" customHeight="1">
      <c r="R561" s="30"/>
    </row>
    <row r="562" spans="18:18" ht="15.75" customHeight="1">
      <c r="R562" s="30"/>
    </row>
    <row r="563" spans="18:18" ht="15.75" customHeight="1">
      <c r="R563" s="30"/>
    </row>
    <row r="564" spans="18:18" ht="15.75" customHeight="1">
      <c r="R564" s="30"/>
    </row>
    <row r="565" spans="18:18" ht="15.75" customHeight="1">
      <c r="R565" s="30"/>
    </row>
    <row r="566" spans="18:18" ht="15.75" customHeight="1">
      <c r="R566" s="30"/>
    </row>
    <row r="567" spans="18:18" ht="15.75" customHeight="1">
      <c r="R567" s="30"/>
    </row>
    <row r="568" spans="18:18" ht="15.75" customHeight="1">
      <c r="R568" s="30"/>
    </row>
    <row r="569" spans="18:18" ht="15.75" customHeight="1">
      <c r="R569" s="30"/>
    </row>
    <row r="570" spans="18:18" ht="15.75" customHeight="1">
      <c r="R570" s="30"/>
    </row>
    <row r="571" spans="18:18" ht="15.75" customHeight="1">
      <c r="R571" s="30"/>
    </row>
    <row r="572" spans="18:18" ht="15.75" customHeight="1">
      <c r="R572" s="30"/>
    </row>
    <row r="573" spans="18:18" ht="15.75" customHeight="1">
      <c r="R573" s="30"/>
    </row>
    <row r="574" spans="18:18" ht="15.75" customHeight="1">
      <c r="R574" s="30"/>
    </row>
    <row r="575" spans="18:18" ht="15.75" customHeight="1">
      <c r="R575" s="30"/>
    </row>
    <row r="576" spans="18:18" ht="15.75" customHeight="1">
      <c r="R576" s="30"/>
    </row>
    <row r="577" spans="18:18" ht="15.75" customHeight="1">
      <c r="R577" s="30"/>
    </row>
    <row r="578" spans="18:18" ht="15.75" customHeight="1">
      <c r="R578" s="30"/>
    </row>
    <row r="579" spans="18:18" ht="15.75" customHeight="1">
      <c r="R579" s="30"/>
    </row>
    <row r="580" spans="18:18" ht="15.75" customHeight="1">
      <c r="R580" s="30"/>
    </row>
    <row r="581" spans="18:18" ht="15.75" customHeight="1">
      <c r="R581" s="30"/>
    </row>
    <row r="582" spans="18:18" ht="15.75" customHeight="1">
      <c r="R582" s="30"/>
    </row>
    <row r="583" spans="18:18" ht="15.75" customHeight="1">
      <c r="R583" s="30"/>
    </row>
    <row r="584" spans="18:18" ht="15.75" customHeight="1">
      <c r="R584" s="30"/>
    </row>
    <row r="585" spans="18:18" ht="15.75" customHeight="1">
      <c r="R585" s="30"/>
    </row>
    <row r="586" spans="18:18" ht="15.75" customHeight="1">
      <c r="R586" s="30"/>
    </row>
    <row r="587" spans="18:18" ht="15.75" customHeight="1">
      <c r="R587" s="30"/>
    </row>
    <row r="588" spans="18:18" ht="15.75" customHeight="1">
      <c r="R588" s="30"/>
    </row>
    <row r="589" spans="18:18" ht="15.75" customHeight="1">
      <c r="R589" s="30"/>
    </row>
    <row r="590" spans="18:18" ht="15.75" customHeight="1">
      <c r="R590" s="30"/>
    </row>
    <row r="591" spans="18:18" ht="15.75" customHeight="1">
      <c r="R591" s="30"/>
    </row>
    <row r="592" spans="18:18" ht="15.75" customHeight="1">
      <c r="R592" s="30"/>
    </row>
    <row r="593" spans="18:18" ht="15.75" customHeight="1">
      <c r="R593" s="30"/>
    </row>
    <row r="594" spans="18:18" ht="15.75" customHeight="1">
      <c r="R594" s="30"/>
    </row>
    <row r="595" spans="18:18" ht="15.75" customHeight="1">
      <c r="R595" s="30"/>
    </row>
    <row r="596" spans="18:18" ht="15.75" customHeight="1">
      <c r="R596" s="30"/>
    </row>
    <row r="597" spans="18:18" ht="15.75" customHeight="1">
      <c r="R597" s="30"/>
    </row>
    <row r="598" spans="18:18" ht="15.75" customHeight="1">
      <c r="R598" s="30"/>
    </row>
    <row r="599" spans="18:18" ht="15.75" customHeight="1">
      <c r="R599" s="30"/>
    </row>
    <row r="600" spans="18:18" ht="15.75" customHeight="1">
      <c r="R600" s="30"/>
    </row>
    <row r="601" spans="18:18" ht="15.75" customHeight="1">
      <c r="R601" s="30"/>
    </row>
    <row r="602" spans="18:18" ht="15.75" customHeight="1">
      <c r="R602" s="30"/>
    </row>
    <row r="603" spans="18:18" ht="15.75" customHeight="1">
      <c r="R603" s="30"/>
    </row>
    <row r="604" spans="18:18" ht="15.75" customHeight="1">
      <c r="R604" s="30"/>
    </row>
    <row r="605" spans="18:18" ht="15.75" customHeight="1">
      <c r="R605" s="30"/>
    </row>
    <row r="606" spans="18:18" ht="15.75" customHeight="1">
      <c r="R606" s="30"/>
    </row>
    <row r="607" spans="18:18" ht="15.75" customHeight="1">
      <c r="R607" s="30"/>
    </row>
    <row r="608" spans="18:18" ht="15.75" customHeight="1">
      <c r="R608" s="30"/>
    </row>
    <row r="609" spans="18:18" ht="15.75" customHeight="1">
      <c r="R609" s="30"/>
    </row>
    <row r="610" spans="18:18" ht="15.75" customHeight="1">
      <c r="R610" s="30"/>
    </row>
    <row r="611" spans="18:18" ht="15.75" customHeight="1">
      <c r="R611" s="30"/>
    </row>
    <row r="612" spans="18:18" ht="15.75" customHeight="1">
      <c r="R612" s="30"/>
    </row>
    <row r="613" spans="18:18" ht="15.75" customHeight="1">
      <c r="R613" s="30"/>
    </row>
    <row r="614" spans="18:18" ht="15.75" customHeight="1">
      <c r="R614" s="30"/>
    </row>
    <row r="615" spans="18:18" ht="15.75" customHeight="1">
      <c r="R615" s="30"/>
    </row>
    <row r="616" spans="18:18" ht="15.75" customHeight="1">
      <c r="R616" s="30"/>
    </row>
    <row r="617" spans="18:18" ht="15.75" customHeight="1">
      <c r="R617" s="30"/>
    </row>
    <row r="618" spans="18:18" ht="15.75" customHeight="1">
      <c r="R618" s="30"/>
    </row>
    <row r="619" spans="18:18" ht="15.75" customHeight="1">
      <c r="R619" s="30"/>
    </row>
    <row r="620" spans="18:18" ht="15.75" customHeight="1">
      <c r="R620" s="30"/>
    </row>
    <row r="621" spans="18:18" ht="15.75" customHeight="1">
      <c r="R621" s="30"/>
    </row>
    <row r="622" spans="18:18" ht="15.75" customHeight="1">
      <c r="R622" s="30"/>
    </row>
    <row r="623" spans="18:18" ht="15.75" customHeight="1">
      <c r="R623" s="30"/>
    </row>
    <row r="624" spans="18:18" ht="15.75" customHeight="1">
      <c r="R624" s="30"/>
    </row>
    <row r="625" spans="18:18" ht="15.75" customHeight="1">
      <c r="R625" s="30"/>
    </row>
    <row r="626" spans="18:18" ht="15.75" customHeight="1">
      <c r="R626" s="30"/>
    </row>
    <row r="627" spans="18:18" ht="15.75" customHeight="1">
      <c r="R627" s="30"/>
    </row>
    <row r="628" spans="18:18" ht="15.75" customHeight="1">
      <c r="R628" s="30"/>
    </row>
    <row r="629" spans="18:18" ht="15.75" customHeight="1">
      <c r="R629" s="30"/>
    </row>
    <row r="630" spans="18:18" ht="15.75" customHeight="1">
      <c r="R630" s="30"/>
    </row>
    <row r="631" spans="18:18" ht="15.75" customHeight="1">
      <c r="R631" s="30"/>
    </row>
    <row r="632" spans="18:18" ht="15.75" customHeight="1">
      <c r="R632" s="30"/>
    </row>
    <row r="633" spans="18:18" ht="15.75" customHeight="1">
      <c r="R633" s="30"/>
    </row>
    <row r="634" spans="18:18" ht="15.75" customHeight="1">
      <c r="R634" s="30"/>
    </row>
    <row r="635" spans="18:18" ht="15.75" customHeight="1">
      <c r="R635" s="30"/>
    </row>
    <row r="636" spans="18:18" ht="15.75" customHeight="1">
      <c r="R636" s="30"/>
    </row>
    <row r="637" spans="18:18" ht="15.75" customHeight="1">
      <c r="R637" s="30"/>
    </row>
    <row r="638" spans="18:18" ht="15.75" customHeight="1">
      <c r="R638" s="30"/>
    </row>
    <row r="639" spans="18:18" ht="15.75" customHeight="1">
      <c r="R639" s="30"/>
    </row>
    <row r="640" spans="18:18" ht="15.75" customHeight="1">
      <c r="R640" s="30"/>
    </row>
    <row r="641" spans="18:18" ht="15.75" customHeight="1">
      <c r="R641" s="30"/>
    </row>
    <row r="642" spans="18:18" ht="15.75" customHeight="1">
      <c r="R642" s="30"/>
    </row>
    <row r="643" spans="18:18" ht="15.75" customHeight="1">
      <c r="R643" s="30"/>
    </row>
    <row r="644" spans="18:18" ht="15.75" customHeight="1">
      <c r="R644" s="30"/>
    </row>
    <row r="645" spans="18:18" ht="15.75" customHeight="1">
      <c r="R645" s="30"/>
    </row>
    <row r="646" spans="18:18" ht="15.75" customHeight="1">
      <c r="R646" s="30"/>
    </row>
    <row r="647" spans="18:18" ht="15.75" customHeight="1">
      <c r="R647" s="30"/>
    </row>
    <row r="648" spans="18:18" ht="15.75" customHeight="1">
      <c r="R648" s="30"/>
    </row>
    <row r="649" spans="18:18" ht="15.75" customHeight="1">
      <c r="R649" s="30"/>
    </row>
    <row r="650" spans="18:18" ht="15.75" customHeight="1">
      <c r="R650" s="30"/>
    </row>
    <row r="651" spans="18:18" ht="15.75" customHeight="1">
      <c r="R651" s="30"/>
    </row>
    <row r="652" spans="18:18" ht="15.75" customHeight="1">
      <c r="R652" s="30"/>
    </row>
    <row r="653" spans="18:18" ht="15.75" customHeight="1">
      <c r="R653" s="30"/>
    </row>
    <row r="654" spans="18:18" ht="15.75" customHeight="1">
      <c r="R654" s="30"/>
    </row>
    <row r="655" spans="18:18" ht="15.75" customHeight="1">
      <c r="R655" s="30"/>
    </row>
    <row r="656" spans="18:18" ht="15.75" customHeight="1">
      <c r="R656" s="30"/>
    </row>
    <row r="657" spans="18:18" ht="15.75" customHeight="1">
      <c r="R657" s="30"/>
    </row>
    <row r="658" spans="18:18" ht="15.75" customHeight="1">
      <c r="R658" s="30"/>
    </row>
    <row r="659" spans="18:18" ht="15.75" customHeight="1">
      <c r="R659" s="30"/>
    </row>
    <row r="660" spans="18:18" ht="15.75" customHeight="1">
      <c r="R660" s="30"/>
    </row>
    <row r="661" spans="18:18" ht="15.75" customHeight="1">
      <c r="R661" s="30"/>
    </row>
    <row r="662" spans="18:18" ht="15.75" customHeight="1">
      <c r="R662" s="30"/>
    </row>
    <row r="663" spans="18:18" ht="15.75" customHeight="1">
      <c r="R663" s="30"/>
    </row>
    <row r="664" spans="18:18" ht="15.75" customHeight="1">
      <c r="R664" s="30"/>
    </row>
    <row r="665" spans="18:18" ht="15.75" customHeight="1">
      <c r="R665" s="30"/>
    </row>
    <row r="666" spans="18:18" ht="15.75" customHeight="1">
      <c r="R666" s="30"/>
    </row>
    <row r="667" spans="18:18" ht="15.75" customHeight="1">
      <c r="R667" s="30"/>
    </row>
    <row r="668" spans="18:18" ht="15.75" customHeight="1">
      <c r="R668" s="30"/>
    </row>
    <row r="669" spans="18:18" ht="15.75" customHeight="1">
      <c r="R669" s="30"/>
    </row>
    <row r="670" spans="18:18" ht="15.75" customHeight="1">
      <c r="R670" s="30"/>
    </row>
    <row r="671" spans="18:18" ht="15.75" customHeight="1">
      <c r="R671" s="30"/>
    </row>
    <row r="672" spans="18:18" ht="15.75" customHeight="1">
      <c r="R672" s="30"/>
    </row>
    <row r="673" spans="18:18" ht="15.75" customHeight="1">
      <c r="R673" s="30"/>
    </row>
    <row r="674" spans="18:18" ht="15.75" customHeight="1">
      <c r="R674" s="30"/>
    </row>
    <row r="675" spans="18:18" ht="15.75" customHeight="1">
      <c r="R675" s="30"/>
    </row>
    <row r="676" spans="18:18" ht="15.75" customHeight="1">
      <c r="R676" s="30"/>
    </row>
    <row r="677" spans="18:18" ht="15.75" customHeight="1">
      <c r="R677" s="30"/>
    </row>
    <row r="678" spans="18:18" ht="15.75" customHeight="1">
      <c r="R678" s="30"/>
    </row>
    <row r="679" spans="18:18" ht="15.75" customHeight="1">
      <c r="R679" s="30"/>
    </row>
    <row r="680" spans="18:18" ht="15.75" customHeight="1">
      <c r="R680" s="30"/>
    </row>
    <row r="681" spans="18:18" ht="15.75" customHeight="1">
      <c r="R681" s="30"/>
    </row>
    <row r="682" spans="18:18" ht="15.75" customHeight="1">
      <c r="R682" s="30"/>
    </row>
    <row r="683" spans="18:18" ht="15.75" customHeight="1">
      <c r="R683" s="30"/>
    </row>
    <row r="684" spans="18:18" ht="15.75" customHeight="1">
      <c r="R684" s="30"/>
    </row>
    <row r="685" spans="18:18" ht="15.75" customHeight="1">
      <c r="R685" s="30"/>
    </row>
    <row r="686" spans="18:18" ht="15.75" customHeight="1">
      <c r="R686" s="30"/>
    </row>
    <row r="687" spans="18:18" ht="15.75" customHeight="1">
      <c r="R687" s="30"/>
    </row>
    <row r="688" spans="18:18" ht="15.75" customHeight="1">
      <c r="R688" s="30"/>
    </row>
    <row r="689" spans="18:18" ht="15.75" customHeight="1">
      <c r="R689" s="30"/>
    </row>
    <row r="690" spans="18:18" ht="15.75" customHeight="1">
      <c r="R690" s="30"/>
    </row>
    <row r="691" spans="18:18" ht="15.75" customHeight="1">
      <c r="R691" s="30"/>
    </row>
    <row r="692" spans="18:18" ht="15.75" customHeight="1">
      <c r="R692" s="30"/>
    </row>
    <row r="693" spans="18:18" ht="15.75" customHeight="1">
      <c r="R693" s="30"/>
    </row>
    <row r="694" spans="18:18" ht="15.75" customHeight="1">
      <c r="R694" s="30"/>
    </row>
    <row r="695" spans="18:18" ht="15.75" customHeight="1">
      <c r="R695" s="30"/>
    </row>
    <row r="696" spans="18:18" ht="15.75" customHeight="1">
      <c r="R696" s="30"/>
    </row>
    <row r="697" spans="18:18" ht="15.75" customHeight="1">
      <c r="R697" s="30"/>
    </row>
    <row r="698" spans="18:18" ht="15.75" customHeight="1">
      <c r="R698" s="30"/>
    </row>
    <row r="699" spans="18:18" ht="15.75" customHeight="1">
      <c r="R699" s="30"/>
    </row>
    <row r="700" spans="18:18" ht="15.75" customHeight="1">
      <c r="R700" s="30"/>
    </row>
    <row r="701" spans="18:18" ht="15.75" customHeight="1">
      <c r="R701" s="30"/>
    </row>
    <row r="702" spans="18:18" ht="15.75" customHeight="1">
      <c r="R702" s="30"/>
    </row>
    <row r="703" spans="18:18" ht="15.75" customHeight="1">
      <c r="R703" s="30"/>
    </row>
    <row r="704" spans="18:18" ht="15.75" customHeight="1">
      <c r="R704" s="30"/>
    </row>
    <row r="705" spans="18:18" ht="15.75" customHeight="1">
      <c r="R705" s="30"/>
    </row>
    <row r="706" spans="18:18" ht="15.75" customHeight="1">
      <c r="R706" s="30"/>
    </row>
    <row r="707" spans="18:18" ht="15.75" customHeight="1">
      <c r="R707" s="30"/>
    </row>
    <row r="708" spans="18:18" ht="15.75" customHeight="1">
      <c r="R708" s="30"/>
    </row>
    <row r="709" spans="18:18" ht="15.75" customHeight="1">
      <c r="R709" s="30"/>
    </row>
    <row r="710" spans="18:18" ht="15.75" customHeight="1">
      <c r="R710" s="30"/>
    </row>
    <row r="711" spans="18:18" ht="15.75" customHeight="1">
      <c r="R711" s="30"/>
    </row>
    <row r="712" spans="18:18" ht="15.75" customHeight="1">
      <c r="R712" s="30"/>
    </row>
    <row r="713" spans="18:18" ht="15.75" customHeight="1">
      <c r="R713" s="30"/>
    </row>
    <row r="714" spans="18:18" ht="15.75" customHeight="1">
      <c r="R714" s="30"/>
    </row>
    <row r="715" spans="18:18" ht="15.75" customHeight="1">
      <c r="R715" s="30"/>
    </row>
    <row r="716" spans="18:18" ht="15.75" customHeight="1">
      <c r="R716" s="30"/>
    </row>
    <row r="717" spans="18:18" ht="15.75" customHeight="1">
      <c r="R717" s="30"/>
    </row>
    <row r="718" spans="18:18" ht="15.75" customHeight="1">
      <c r="R718" s="30"/>
    </row>
    <row r="719" spans="18:18" ht="15.75" customHeight="1">
      <c r="R719" s="30"/>
    </row>
    <row r="720" spans="18:18" ht="15.75" customHeight="1">
      <c r="R720" s="30"/>
    </row>
    <row r="721" spans="18:18" ht="15.75" customHeight="1">
      <c r="R721" s="30"/>
    </row>
    <row r="722" spans="18:18" ht="15.75" customHeight="1">
      <c r="R722" s="30"/>
    </row>
    <row r="723" spans="18:18" ht="15.75" customHeight="1">
      <c r="R723" s="30"/>
    </row>
    <row r="724" spans="18:18" ht="15.75" customHeight="1">
      <c r="R724" s="30"/>
    </row>
    <row r="725" spans="18:18" ht="15.75" customHeight="1">
      <c r="R725" s="30"/>
    </row>
    <row r="726" spans="18:18" ht="15.75" customHeight="1">
      <c r="R726" s="30"/>
    </row>
    <row r="727" spans="18:18" ht="15.75" customHeight="1">
      <c r="R727" s="30"/>
    </row>
    <row r="728" spans="18:18" ht="15.75" customHeight="1">
      <c r="R728" s="30"/>
    </row>
    <row r="729" spans="18:18" ht="15.75" customHeight="1">
      <c r="R729" s="30"/>
    </row>
    <row r="730" spans="18:18" ht="15.75" customHeight="1">
      <c r="R730" s="30"/>
    </row>
    <row r="731" spans="18:18" ht="15.75" customHeight="1">
      <c r="R731" s="30"/>
    </row>
    <row r="732" spans="18:18" ht="15.75" customHeight="1">
      <c r="R732" s="30"/>
    </row>
    <row r="733" spans="18:18" ht="15.75" customHeight="1">
      <c r="R733" s="30"/>
    </row>
    <row r="734" spans="18:18" ht="15.75" customHeight="1">
      <c r="R734" s="30"/>
    </row>
    <row r="735" spans="18:18" ht="15.75" customHeight="1">
      <c r="R735" s="30"/>
    </row>
    <row r="736" spans="18:18" ht="15.75" customHeight="1">
      <c r="R736" s="30"/>
    </row>
    <row r="737" spans="18:18" ht="15.75" customHeight="1">
      <c r="R737" s="30"/>
    </row>
    <row r="738" spans="18:18" ht="15.75" customHeight="1">
      <c r="R738" s="30"/>
    </row>
    <row r="739" spans="18:18" ht="15.75" customHeight="1">
      <c r="R739" s="30"/>
    </row>
    <row r="740" spans="18:18" ht="15.75" customHeight="1">
      <c r="R740" s="30"/>
    </row>
    <row r="741" spans="18:18" ht="15.75" customHeight="1">
      <c r="R741" s="30"/>
    </row>
    <row r="742" spans="18:18" ht="15.75" customHeight="1">
      <c r="R742" s="30"/>
    </row>
    <row r="743" spans="18:18" ht="15.75" customHeight="1">
      <c r="R743" s="30"/>
    </row>
    <row r="744" spans="18:18" ht="15.75" customHeight="1">
      <c r="R744" s="30"/>
    </row>
    <row r="745" spans="18:18" ht="15.75" customHeight="1">
      <c r="R745" s="30"/>
    </row>
    <row r="746" spans="18:18" ht="15.75" customHeight="1">
      <c r="R746" s="30"/>
    </row>
    <row r="747" spans="18:18" ht="15.75" customHeight="1">
      <c r="R747" s="30"/>
    </row>
    <row r="748" spans="18:18" ht="15.75" customHeight="1">
      <c r="R748" s="30"/>
    </row>
    <row r="749" spans="18:18" ht="15.75" customHeight="1">
      <c r="R749" s="30"/>
    </row>
    <row r="750" spans="18:18" ht="15.75" customHeight="1">
      <c r="R750" s="30"/>
    </row>
    <row r="751" spans="18:18" ht="15.75" customHeight="1">
      <c r="R751" s="30"/>
    </row>
    <row r="752" spans="18:18" ht="15.75" customHeight="1">
      <c r="R752" s="30"/>
    </row>
    <row r="753" spans="18:18" ht="15.75" customHeight="1">
      <c r="R753" s="30"/>
    </row>
    <row r="754" spans="18:18" ht="15.75" customHeight="1">
      <c r="R754" s="30"/>
    </row>
    <row r="755" spans="18:18" ht="15.75" customHeight="1">
      <c r="R755" s="30"/>
    </row>
    <row r="756" spans="18:18" ht="15.75" customHeight="1">
      <c r="R756" s="30"/>
    </row>
    <row r="757" spans="18:18" ht="15.75" customHeight="1">
      <c r="R757" s="30"/>
    </row>
    <row r="758" spans="18:18" ht="15.75" customHeight="1">
      <c r="R758" s="30"/>
    </row>
    <row r="759" spans="18:18" ht="15.75" customHeight="1">
      <c r="R759" s="30"/>
    </row>
    <row r="760" spans="18:18" ht="15.75" customHeight="1">
      <c r="R760" s="30"/>
    </row>
    <row r="761" spans="18:18" ht="15.75" customHeight="1">
      <c r="R761" s="30"/>
    </row>
    <row r="762" spans="18:18" ht="15.75" customHeight="1">
      <c r="R762" s="30"/>
    </row>
    <row r="763" spans="18:18" ht="15.75" customHeight="1">
      <c r="R763" s="30"/>
    </row>
    <row r="764" spans="18:18" ht="15.75" customHeight="1">
      <c r="R764" s="30"/>
    </row>
    <row r="765" spans="18:18" ht="15.75" customHeight="1">
      <c r="R765" s="30"/>
    </row>
    <row r="766" spans="18:18" ht="15.75" customHeight="1">
      <c r="R766" s="30"/>
    </row>
    <row r="767" spans="18:18" ht="15.75" customHeight="1">
      <c r="R767" s="30"/>
    </row>
    <row r="768" spans="18:18" ht="15.75" customHeight="1">
      <c r="R768" s="30"/>
    </row>
    <row r="769" spans="18:18" ht="15.75" customHeight="1">
      <c r="R769" s="30"/>
    </row>
    <row r="770" spans="18:18" ht="15.75" customHeight="1">
      <c r="R770" s="30"/>
    </row>
    <row r="771" spans="18:18" ht="15.75" customHeight="1">
      <c r="R771" s="30"/>
    </row>
    <row r="772" spans="18:18" ht="15.75" customHeight="1">
      <c r="R772" s="30"/>
    </row>
    <row r="773" spans="18:18" ht="15.75" customHeight="1">
      <c r="R773" s="30"/>
    </row>
    <row r="774" spans="18:18" ht="15.75" customHeight="1">
      <c r="R774" s="30"/>
    </row>
    <row r="775" spans="18:18" ht="15.75" customHeight="1">
      <c r="R775" s="30"/>
    </row>
    <row r="776" spans="18:18" ht="15.75" customHeight="1">
      <c r="R776" s="30"/>
    </row>
    <row r="777" spans="18:18" ht="15.75" customHeight="1">
      <c r="R777" s="30"/>
    </row>
    <row r="778" spans="18:18" ht="15.75" customHeight="1">
      <c r="R778" s="30"/>
    </row>
    <row r="779" spans="18:18" ht="15.75" customHeight="1">
      <c r="R779" s="30"/>
    </row>
    <row r="780" spans="18:18" ht="15.75" customHeight="1">
      <c r="R780" s="30"/>
    </row>
    <row r="781" spans="18:18" ht="15.75" customHeight="1">
      <c r="R781" s="30"/>
    </row>
    <row r="782" spans="18:18" ht="15.75" customHeight="1">
      <c r="R782" s="30"/>
    </row>
    <row r="783" spans="18:18" ht="15.75" customHeight="1">
      <c r="R783" s="30"/>
    </row>
    <row r="784" spans="18:18" ht="15.75" customHeight="1">
      <c r="R784" s="30"/>
    </row>
    <row r="785" spans="18:18" ht="15.75" customHeight="1">
      <c r="R785" s="30"/>
    </row>
    <row r="786" spans="18:18" ht="15.75" customHeight="1">
      <c r="R786" s="30"/>
    </row>
    <row r="787" spans="18:18" ht="15.75" customHeight="1">
      <c r="R787" s="30"/>
    </row>
    <row r="788" spans="18:18" ht="15.75" customHeight="1">
      <c r="R788" s="30"/>
    </row>
    <row r="789" spans="18:18" ht="15.75" customHeight="1">
      <c r="R789" s="30"/>
    </row>
    <row r="790" spans="18:18" ht="15.75" customHeight="1">
      <c r="R790" s="30"/>
    </row>
    <row r="791" spans="18:18" ht="15.75" customHeight="1">
      <c r="R791" s="30"/>
    </row>
    <row r="792" spans="18:18" ht="15.75" customHeight="1">
      <c r="R792" s="30"/>
    </row>
    <row r="793" spans="18:18" ht="15.75" customHeight="1">
      <c r="R793" s="30"/>
    </row>
    <row r="794" spans="18:18" ht="15.75" customHeight="1">
      <c r="R794" s="30"/>
    </row>
    <row r="795" spans="18:18" ht="15.75" customHeight="1">
      <c r="R795" s="30"/>
    </row>
    <row r="796" spans="18:18" ht="15.75" customHeight="1">
      <c r="R796" s="30"/>
    </row>
    <row r="797" spans="18:18" ht="15.75" customHeight="1">
      <c r="R797" s="30"/>
    </row>
    <row r="798" spans="18:18" ht="15.75" customHeight="1">
      <c r="R798" s="30"/>
    </row>
    <row r="799" spans="18:18" ht="15.75" customHeight="1">
      <c r="R799" s="30"/>
    </row>
    <row r="800" spans="18:18" ht="15.75" customHeight="1">
      <c r="R800" s="30"/>
    </row>
    <row r="801" spans="18:18" ht="15.75" customHeight="1">
      <c r="R801" s="30"/>
    </row>
    <row r="802" spans="18:18" ht="15.75" customHeight="1">
      <c r="R802" s="30"/>
    </row>
    <row r="803" spans="18:18" ht="15.75" customHeight="1">
      <c r="R803" s="30"/>
    </row>
    <row r="804" spans="18:18" ht="15.75" customHeight="1">
      <c r="R804" s="30"/>
    </row>
    <row r="805" spans="18:18" ht="15.75" customHeight="1">
      <c r="R805" s="30"/>
    </row>
    <row r="806" spans="18:18" ht="15.75" customHeight="1">
      <c r="R806" s="30"/>
    </row>
    <row r="807" spans="18:18" ht="15.75" customHeight="1">
      <c r="R807" s="30"/>
    </row>
    <row r="808" spans="18:18" ht="15.75" customHeight="1">
      <c r="R808" s="30"/>
    </row>
    <row r="809" spans="18:18" ht="15.75" customHeight="1">
      <c r="R809" s="30"/>
    </row>
    <row r="810" spans="18:18" ht="15.75" customHeight="1">
      <c r="R810" s="30"/>
    </row>
    <row r="811" spans="18:18" ht="15.75" customHeight="1">
      <c r="R811" s="30"/>
    </row>
    <row r="812" spans="18:18" ht="15.75" customHeight="1">
      <c r="R812" s="30"/>
    </row>
    <row r="813" spans="18:18" ht="15.75" customHeight="1">
      <c r="R813" s="30"/>
    </row>
    <row r="814" spans="18:18" ht="15.75" customHeight="1">
      <c r="R814" s="30"/>
    </row>
    <row r="815" spans="18:18" ht="15.75" customHeight="1">
      <c r="R815" s="30"/>
    </row>
    <row r="816" spans="18:18" ht="15.75" customHeight="1">
      <c r="R816" s="30"/>
    </row>
    <row r="817" spans="18:18" ht="15.75" customHeight="1">
      <c r="R817" s="30"/>
    </row>
    <row r="818" spans="18:18" ht="15.75" customHeight="1">
      <c r="R818" s="30"/>
    </row>
    <row r="819" spans="18:18" ht="15.75" customHeight="1">
      <c r="R819" s="30"/>
    </row>
    <row r="820" spans="18:18" ht="15.75" customHeight="1">
      <c r="R820" s="30"/>
    </row>
    <row r="821" spans="18:18" ht="15.75" customHeight="1">
      <c r="R821" s="30"/>
    </row>
    <row r="822" spans="18:18" ht="15.75" customHeight="1">
      <c r="R822" s="30"/>
    </row>
    <row r="823" spans="18:18" ht="15.75" customHeight="1">
      <c r="R823" s="30"/>
    </row>
    <row r="824" spans="18:18" ht="15.75" customHeight="1">
      <c r="R824" s="30"/>
    </row>
    <row r="825" spans="18:18" ht="15.75" customHeight="1">
      <c r="R825" s="30"/>
    </row>
    <row r="826" spans="18:18" ht="15.75" customHeight="1">
      <c r="R826" s="30"/>
    </row>
    <row r="827" spans="18:18" ht="15.75" customHeight="1">
      <c r="R827" s="30"/>
    </row>
    <row r="828" spans="18:18" ht="15.75" customHeight="1">
      <c r="R828" s="30"/>
    </row>
    <row r="829" spans="18:18" ht="15.75" customHeight="1">
      <c r="R829" s="30"/>
    </row>
    <row r="830" spans="18:18" ht="15.75" customHeight="1">
      <c r="R830" s="30"/>
    </row>
    <row r="831" spans="18:18" ht="15.75" customHeight="1">
      <c r="R831" s="30"/>
    </row>
    <row r="832" spans="18:18" ht="15.75" customHeight="1">
      <c r="R832" s="30"/>
    </row>
    <row r="833" spans="18:18" ht="15.75" customHeight="1">
      <c r="R833" s="30"/>
    </row>
    <row r="834" spans="18:18" ht="15.75" customHeight="1">
      <c r="R834" s="30"/>
    </row>
    <row r="835" spans="18:18" ht="15.75" customHeight="1">
      <c r="R835" s="30"/>
    </row>
    <row r="836" spans="18:18" ht="15.75" customHeight="1">
      <c r="R836" s="30"/>
    </row>
    <row r="837" spans="18:18" ht="15.75" customHeight="1">
      <c r="R837" s="30"/>
    </row>
    <row r="838" spans="18:18" ht="15.75" customHeight="1">
      <c r="R838" s="30"/>
    </row>
    <row r="839" spans="18:18" ht="15.75" customHeight="1">
      <c r="R839" s="30"/>
    </row>
    <row r="840" spans="18:18" ht="15.75" customHeight="1">
      <c r="R840" s="30"/>
    </row>
    <row r="841" spans="18:18" ht="15.75" customHeight="1">
      <c r="R841" s="30"/>
    </row>
    <row r="842" spans="18:18" ht="15.75" customHeight="1">
      <c r="R842" s="30"/>
    </row>
    <row r="843" spans="18:18" ht="15.75" customHeight="1">
      <c r="R843" s="30"/>
    </row>
    <row r="844" spans="18:18" ht="15.75" customHeight="1">
      <c r="R844" s="30"/>
    </row>
    <row r="845" spans="18:18" ht="15.75" customHeight="1">
      <c r="R845" s="30"/>
    </row>
    <row r="846" spans="18:18" ht="15.75" customHeight="1">
      <c r="R846" s="30"/>
    </row>
    <row r="847" spans="18:18" ht="15.75" customHeight="1">
      <c r="R847" s="30"/>
    </row>
    <row r="848" spans="18:18" ht="15.75" customHeight="1">
      <c r="R848" s="30"/>
    </row>
    <row r="849" spans="18:18" ht="15.75" customHeight="1">
      <c r="R849" s="30"/>
    </row>
    <row r="850" spans="18:18" ht="15.75" customHeight="1">
      <c r="R850" s="30"/>
    </row>
    <row r="851" spans="18:18" ht="15.75" customHeight="1">
      <c r="R851" s="30"/>
    </row>
    <row r="852" spans="18:18" ht="15.75" customHeight="1">
      <c r="R852" s="30"/>
    </row>
    <row r="853" spans="18:18" ht="15.75" customHeight="1">
      <c r="R853" s="30"/>
    </row>
    <row r="854" spans="18:18" ht="15.75" customHeight="1">
      <c r="R854" s="30"/>
    </row>
    <row r="855" spans="18:18" ht="15.75" customHeight="1">
      <c r="R855" s="30"/>
    </row>
    <row r="856" spans="18:18" ht="15.75" customHeight="1">
      <c r="R856" s="30"/>
    </row>
    <row r="857" spans="18:18" ht="15.75" customHeight="1">
      <c r="R857" s="30"/>
    </row>
    <row r="858" spans="18:18" ht="15.75" customHeight="1">
      <c r="R858" s="30"/>
    </row>
    <row r="859" spans="18:18" ht="15.75" customHeight="1">
      <c r="R859" s="30"/>
    </row>
    <row r="860" spans="18:18" ht="15.75" customHeight="1">
      <c r="R860" s="30"/>
    </row>
    <row r="861" spans="18:18" ht="15.75" customHeight="1">
      <c r="R861" s="30"/>
    </row>
    <row r="862" spans="18:18" ht="15.75" customHeight="1">
      <c r="R862" s="30"/>
    </row>
    <row r="863" spans="18:18" ht="15.75" customHeight="1">
      <c r="R863" s="30"/>
    </row>
    <row r="864" spans="18:18" ht="15.75" customHeight="1">
      <c r="R864" s="30"/>
    </row>
    <row r="865" spans="18:18" ht="15.75" customHeight="1">
      <c r="R865" s="30"/>
    </row>
    <row r="866" spans="18:18" ht="15.75" customHeight="1">
      <c r="R866" s="30"/>
    </row>
    <row r="867" spans="18:18" ht="15.75" customHeight="1">
      <c r="R867" s="30"/>
    </row>
    <row r="868" spans="18:18" ht="15.75" customHeight="1">
      <c r="R868" s="30"/>
    </row>
    <row r="869" spans="18:18" ht="15.75" customHeight="1">
      <c r="R869" s="30"/>
    </row>
    <row r="870" spans="18:18" ht="15.75" customHeight="1">
      <c r="R870" s="30"/>
    </row>
    <row r="871" spans="18:18" ht="15.75" customHeight="1">
      <c r="R871" s="30"/>
    </row>
    <row r="872" spans="18:18" ht="15.75" customHeight="1">
      <c r="R872" s="30"/>
    </row>
    <row r="873" spans="18:18" ht="15.75" customHeight="1">
      <c r="R873" s="30"/>
    </row>
    <row r="874" spans="18:18" ht="15.75" customHeight="1">
      <c r="R874" s="30"/>
    </row>
    <row r="875" spans="18:18" ht="15.75" customHeight="1">
      <c r="R875" s="30"/>
    </row>
    <row r="876" spans="18:18" ht="15.75" customHeight="1">
      <c r="R876" s="30"/>
    </row>
    <row r="877" spans="18:18" ht="15.75" customHeight="1">
      <c r="R877" s="30"/>
    </row>
    <row r="878" spans="18:18" ht="15.75" customHeight="1">
      <c r="R878" s="30"/>
    </row>
    <row r="879" spans="18:18" ht="15.75" customHeight="1">
      <c r="R879" s="30"/>
    </row>
    <row r="880" spans="18:18" ht="15.75" customHeight="1">
      <c r="R880" s="30"/>
    </row>
    <row r="881" spans="18:18" ht="15.75" customHeight="1">
      <c r="R881" s="30"/>
    </row>
    <row r="882" spans="18:18" ht="15.75" customHeight="1">
      <c r="R882" s="30"/>
    </row>
    <row r="883" spans="18:18" ht="15.75" customHeight="1">
      <c r="R883" s="30"/>
    </row>
    <row r="884" spans="18:18" ht="15.75" customHeight="1">
      <c r="R884" s="30"/>
    </row>
    <row r="885" spans="18:18" ht="15.75" customHeight="1">
      <c r="R885" s="30"/>
    </row>
    <row r="886" spans="18:18" ht="15.75" customHeight="1">
      <c r="R886" s="30"/>
    </row>
    <row r="887" spans="18:18" ht="15.75" customHeight="1">
      <c r="R887" s="30"/>
    </row>
    <row r="888" spans="18:18" ht="15.75" customHeight="1">
      <c r="R888" s="30"/>
    </row>
    <row r="889" spans="18:18" ht="15.75" customHeight="1">
      <c r="R889" s="30"/>
    </row>
    <row r="890" spans="18:18" ht="15.75" customHeight="1">
      <c r="R890" s="30"/>
    </row>
    <row r="891" spans="18:18" ht="15.75" customHeight="1">
      <c r="R891" s="30"/>
    </row>
    <row r="892" spans="18:18" ht="15.75" customHeight="1">
      <c r="R892" s="30"/>
    </row>
    <row r="893" spans="18:18" ht="15.75" customHeight="1">
      <c r="R893" s="30"/>
    </row>
    <row r="894" spans="18:18" ht="15.75" customHeight="1">
      <c r="R894" s="30"/>
    </row>
    <row r="895" spans="18:18" ht="15.75" customHeight="1">
      <c r="R895" s="30"/>
    </row>
    <row r="896" spans="18:18" ht="15.75" customHeight="1">
      <c r="R896" s="30"/>
    </row>
    <row r="897" spans="18:18" ht="15.75" customHeight="1">
      <c r="R897" s="30"/>
    </row>
    <row r="898" spans="18:18" ht="15.75" customHeight="1">
      <c r="R898" s="30"/>
    </row>
    <row r="899" spans="18:18" ht="15.75" customHeight="1">
      <c r="R899" s="30"/>
    </row>
    <row r="900" spans="18:18" ht="15.75" customHeight="1">
      <c r="R900" s="30"/>
    </row>
    <row r="901" spans="18:18" ht="15.75" customHeight="1">
      <c r="R901" s="30"/>
    </row>
    <row r="902" spans="18:18" ht="15.75" customHeight="1">
      <c r="R902" s="30"/>
    </row>
    <row r="903" spans="18:18" ht="15.75" customHeight="1">
      <c r="R903" s="30"/>
    </row>
    <row r="904" spans="18:18" ht="15.75" customHeight="1">
      <c r="R904" s="30"/>
    </row>
    <row r="905" spans="18:18" ht="15.75" customHeight="1">
      <c r="R905" s="30"/>
    </row>
    <row r="906" spans="18:18" ht="15.75" customHeight="1">
      <c r="R906" s="30"/>
    </row>
    <row r="907" spans="18:18" ht="15.75" customHeight="1">
      <c r="R907" s="30"/>
    </row>
    <row r="908" spans="18:18" ht="15.75" customHeight="1">
      <c r="R908" s="30"/>
    </row>
    <row r="909" spans="18:18" ht="15.75" customHeight="1">
      <c r="R909" s="30"/>
    </row>
    <row r="910" spans="18:18" ht="15.75" customHeight="1">
      <c r="R910" s="30"/>
    </row>
    <row r="911" spans="18:18" ht="15.75" customHeight="1">
      <c r="R911" s="30"/>
    </row>
    <row r="912" spans="18:18" ht="15.75" customHeight="1">
      <c r="R912" s="30"/>
    </row>
    <row r="913" spans="18:18" ht="15.75" customHeight="1">
      <c r="R913" s="30"/>
    </row>
    <row r="914" spans="18:18" ht="15.75" customHeight="1">
      <c r="R914" s="30"/>
    </row>
    <row r="915" spans="18:18" ht="15.75" customHeight="1">
      <c r="R915" s="30"/>
    </row>
    <row r="916" spans="18:18" ht="15.75" customHeight="1">
      <c r="R916" s="30"/>
    </row>
    <row r="917" spans="18:18" ht="15.75" customHeight="1">
      <c r="R917" s="30"/>
    </row>
    <row r="918" spans="18:18" ht="15.75" customHeight="1">
      <c r="R918" s="30"/>
    </row>
    <row r="919" spans="18:18" ht="15.75" customHeight="1">
      <c r="R919" s="30"/>
    </row>
    <row r="920" spans="18:18" ht="15.75" customHeight="1">
      <c r="R920" s="30"/>
    </row>
    <row r="921" spans="18:18" ht="15.75" customHeight="1">
      <c r="R921" s="30"/>
    </row>
    <row r="922" spans="18:18" ht="15.75" customHeight="1">
      <c r="R922" s="30"/>
    </row>
    <row r="923" spans="18:18" ht="15.75" customHeight="1">
      <c r="R923" s="30"/>
    </row>
    <row r="924" spans="18:18" ht="15.75" customHeight="1">
      <c r="R924" s="30"/>
    </row>
    <row r="925" spans="18:18" ht="15.75" customHeight="1">
      <c r="R925" s="30"/>
    </row>
    <row r="926" spans="18:18" ht="15.75" customHeight="1">
      <c r="R926" s="30"/>
    </row>
    <row r="927" spans="18:18" ht="15.75" customHeight="1">
      <c r="R927" s="30"/>
    </row>
    <row r="928" spans="18:18" ht="15.75" customHeight="1">
      <c r="R928" s="30"/>
    </row>
    <row r="929" spans="18:18" ht="15.75" customHeight="1">
      <c r="R929" s="30"/>
    </row>
    <row r="930" spans="18:18" ht="15.75" customHeight="1">
      <c r="R930" s="30"/>
    </row>
    <row r="931" spans="18:18" ht="15.75" customHeight="1">
      <c r="R931" s="30"/>
    </row>
    <row r="932" spans="18:18" ht="15.75" customHeight="1">
      <c r="R932" s="30"/>
    </row>
    <row r="933" spans="18:18" ht="15.75" customHeight="1">
      <c r="R933" s="30"/>
    </row>
    <row r="934" spans="18:18" ht="15.75" customHeight="1">
      <c r="R934" s="30"/>
    </row>
    <row r="935" spans="18:18" ht="15.75" customHeight="1">
      <c r="R935" s="30"/>
    </row>
    <row r="936" spans="18:18" ht="15.75" customHeight="1">
      <c r="R936" s="30"/>
    </row>
    <row r="937" spans="18:18" ht="15.75" customHeight="1">
      <c r="R937" s="30"/>
    </row>
    <row r="938" spans="18:18" ht="15.75" customHeight="1">
      <c r="R938" s="30"/>
    </row>
    <row r="939" spans="18:18" ht="15.75" customHeight="1">
      <c r="R939" s="30"/>
    </row>
    <row r="940" spans="18:18" ht="15.75" customHeight="1">
      <c r="R940" s="30"/>
    </row>
    <row r="941" spans="18:18" ht="15.75" customHeight="1">
      <c r="R941" s="30"/>
    </row>
    <row r="942" spans="18:18" ht="15.75" customHeight="1">
      <c r="R942" s="30"/>
    </row>
    <row r="943" spans="18:18" ht="15.75" customHeight="1">
      <c r="R943" s="30"/>
    </row>
    <row r="944" spans="18:18" ht="15.75" customHeight="1">
      <c r="R944" s="30"/>
    </row>
    <row r="945" spans="18:18" ht="15.75" customHeight="1">
      <c r="R945" s="30"/>
    </row>
    <row r="946" spans="18:18" ht="15.75" customHeight="1">
      <c r="R946" s="30"/>
    </row>
    <row r="947" spans="18:18" ht="15.75" customHeight="1">
      <c r="R947" s="30"/>
    </row>
    <row r="948" spans="18:18" ht="15.75" customHeight="1">
      <c r="R948" s="30"/>
    </row>
    <row r="949" spans="18:18" ht="15.75" customHeight="1">
      <c r="R949" s="30"/>
    </row>
    <row r="950" spans="18:18" ht="15.75" customHeight="1">
      <c r="R950" s="30"/>
    </row>
    <row r="951" spans="18:18" ht="15.75" customHeight="1">
      <c r="R951" s="30"/>
    </row>
    <row r="952" spans="18:18" ht="15.75" customHeight="1">
      <c r="R952" s="30"/>
    </row>
    <row r="953" spans="18:18" ht="15.75" customHeight="1">
      <c r="R953" s="30"/>
    </row>
    <row r="954" spans="18:18" ht="15.75" customHeight="1">
      <c r="R954" s="30"/>
    </row>
    <row r="955" spans="18:18" ht="15.75" customHeight="1">
      <c r="R955" s="30"/>
    </row>
    <row r="956" spans="18:18" ht="15.75" customHeight="1">
      <c r="R956" s="30"/>
    </row>
    <row r="957" spans="18:18" ht="15.75" customHeight="1">
      <c r="R957" s="30"/>
    </row>
    <row r="958" spans="18:18" ht="15.75" customHeight="1">
      <c r="R958" s="30"/>
    </row>
    <row r="959" spans="18:18" ht="15.75" customHeight="1">
      <c r="R959" s="30"/>
    </row>
    <row r="960" spans="18:18" ht="15.75" customHeight="1">
      <c r="R960" s="30"/>
    </row>
    <row r="961" spans="18:18" ht="15.75" customHeight="1">
      <c r="R961" s="30"/>
    </row>
    <row r="962" spans="18:18" ht="15.75" customHeight="1">
      <c r="R962" s="30"/>
    </row>
    <row r="963" spans="18:18" ht="15.75" customHeight="1">
      <c r="R963" s="30"/>
    </row>
    <row r="964" spans="18:18" ht="15.75" customHeight="1">
      <c r="R964" s="30"/>
    </row>
    <row r="965" spans="18:18" ht="15.75" customHeight="1">
      <c r="R965" s="30"/>
    </row>
    <row r="966" spans="18:18" ht="15.75" customHeight="1">
      <c r="R966" s="30"/>
    </row>
    <row r="967" spans="18:18" ht="15.75" customHeight="1">
      <c r="R967" s="30"/>
    </row>
    <row r="968" spans="18:18" ht="15.75" customHeight="1">
      <c r="R968" s="30"/>
    </row>
    <row r="969" spans="18:18" ht="15.75" customHeight="1">
      <c r="R969" s="30"/>
    </row>
    <row r="970" spans="18:18" ht="15.75" customHeight="1">
      <c r="R970" s="30"/>
    </row>
    <row r="971" spans="18:18" ht="15.75" customHeight="1">
      <c r="R971" s="30"/>
    </row>
    <row r="972" spans="18:18" ht="15.75" customHeight="1">
      <c r="R972" s="30"/>
    </row>
    <row r="973" spans="18:18" ht="15.75" customHeight="1">
      <c r="R973" s="30"/>
    </row>
    <row r="974" spans="18:18" ht="15.75" customHeight="1">
      <c r="R974" s="30"/>
    </row>
    <row r="975" spans="18:18" ht="15.75" customHeight="1">
      <c r="R975" s="30"/>
    </row>
    <row r="976" spans="18:18" ht="15.75" customHeight="1">
      <c r="R976" s="30"/>
    </row>
    <row r="977" spans="18:18" ht="15.75" customHeight="1">
      <c r="R977" s="30"/>
    </row>
    <row r="978" spans="18:18" ht="15.75" customHeight="1">
      <c r="R978" s="30"/>
    </row>
    <row r="979" spans="18:18" ht="15.75" customHeight="1">
      <c r="R979" s="30"/>
    </row>
    <row r="980" spans="18:18" ht="15.75" customHeight="1">
      <c r="R980" s="30"/>
    </row>
    <row r="981" spans="18:18" ht="15.75" customHeight="1">
      <c r="R981" s="30"/>
    </row>
    <row r="982" spans="18:18" ht="15.75" customHeight="1">
      <c r="R982" s="30"/>
    </row>
    <row r="983" spans="18:18" ht="15.75" customHeight="1">
      <c r="R983" s="30"/>
    </row>
    <row r="984" spans="18:18" ht="15.75" customHeight="1">
      <c r="R984" s="30"/>
    </row>
    <row r="985" spans="18:18" ht="15.75" customHeight="1">
      <c r="R985" s="30"/>
    </row>
    <row r="986" spans="18:18" ht="15.75" customHeight="1">
      <c r="R986" s="30"/>
    </row>
    <row r="987" spans="18:18" ht="15.75" customHeight="1">
      <c r="R987" s="30"/>
    </row>
    <row r="988" spans="18:18" ht="15.75" customHeight="1">
      <c r="R988" s="30"/>
    </row>
    <row r="989" spans="18:18" ht="15.75" customHeight="1">
      <c r="R989" s="30"/>
    </row>
    <row r="990" spans="18:18" ht="15.75" customHeight="1">
      <c r="R990" s="30"/>
    </row>
    <row r="991" spans="18:18" ht="15.75" customHeight="1">
      <c r="R991" s="30"/>
    </row>
    <row r="992" spans="18:18" ht="15.75" customHeight="1">
      <c r="R992" s="30"/>
    </row>
    <row r="993" spans="18:18" ht="15.75" customHeight="1">
      <c r="R993" s="30"/>
    </row>
    <row r="994" spans="18:18" ht="15.75" customHeight="1">
      <c r="R994" s="30"/>
    </row>
    <row r="995" spans="18:18" ht="15.75" customHeight="1">
      <c r="R995" s="30"/>
    </row>
    <row r="996" spans="18:18" ht="15.75" customHeight="1">
      <c r="R996" s="30"/>
    </row>
    <row r="997" spans="18:18" ht="15.75" customHeight="1">
      <c r="R997" s="30"/>
    </row>
    <row r="998" spans="18:18" ht="15.75" customHeight="1">
      <c r="R998" s="30"/>
    </row>
    <row r="999" spans="18:18" ht="15.75" customHeight="1">
      <c r="R999" s="30"/>
    </row>
    <row r="1000" spans="18:18" ht="15.75" customHeight="1">
      <c r="R1000" s="3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2.6640625" defaultRowHeight="15" customHeight="1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8.6640625" customWidth="1"/>
    <col min="6" max="6" width="10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9.6640625" customWidth="1"/>
    <col min="16" max="16" width="8.1640625" customWidth="1"/>
    <col min="17" max="18" width="7.33203125" customWidth="1"/>
    <col min="19" max="19" width="7.1640625" customWidth="1"/>
    <col min="20" max="20" width="11.1640625" customWidth="1"/>
    <col min="21" max="21" width="13.5" customWidth="1"/>
    <col min="22" max="22" width="22" customWidth="1"/>
    <col min="23" max="24" width="7.6640625" customWidth="1"/>
    <col min="25" max="25" width="8.1640625" customWidth="1"/>
    <col min="26" max="26" width="11.1640625" customWidth="1"/>
    <col min="27" max="27" width="10.6640625" customWidth="1"/>
    <col min="28" max="28" width="9.6640625" customWidth="1"/>
    <col min="29" max="29" width="7.1640625" customWidth="1"/>
    <col min="30" max="30" width="10.83203125" customWidth="1"/>
    <col min="31" max="31" width="7.6640625" customWidth="1"/>
    <col min="32" max="32" width="10.1640625" customWidth="1"/>
    <col min="33" max="33" width="8.83203125" customWidth="1"/>
  </cols>
  <sheetData>
    <row r="1" spans="1:33" ht="18.75" customHeight="1">
      <c r="A1" s="46" t="str">
        <f ca="1">IFERROR(__xludf.DUMMYFUNCTION("IFERROR(VLOOKUP(B2,IMPORTRANGE(""https://docs.google.com/spreadsheets/d/1x0DhHglkXKoEBOD2MBsuK_EyIr1ouxD2ftIpqOYFa-k/edit?usp=sharing"",""Ubiquitty-SKU-Specific Info!B1:BJ5000""),3,FALSE),"""")"),"50 Foot Outdoor Extension Cord with 3 Electrical Power Outlets - 10/3 SJTW Black 10 Gauge Extension Cable with 3 Prong Grounded Plug for Safety")</f>
        <v>50 Foot Outdoor Extension Cord with 3 Electrical Power Outlets - 10/3 SJTW Black 10 Gauge Extension Cable with 3 Prong Grounded Plug for Safety</v>
      </c>
      <c r="B1" s="47"/>
      <c r="C1" s="48" t="s">
        <v>0</v>
      </c>
      <c r="D1" s="50" t="s">
        <v>1</v>
      </c>
      <c r="E1" s="50" t="s">
        <v>2</v>
      </c>
      <c r="F1" s="52" t="s">
        <v>3</v>
      </c>
      <c r="G1" s="52" t="s">
        <v>4</v>
      </c>
      <c r="H1" s="53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58" t="s">
        <v>10</v>
      </c>
      <c r="N1" s="59" t="s">
        <v>11</v>
      </c>
      <c r="O1" s="50" t="s">
        <v>12</v>
      </c>
      <c r="P1" s="50" t="s">
        <v>13</v>
      </c>
      <c r="Q1" s="57" t="s">
        <v>14</v>
      </c>
      <c r="R1" s="57" t="s">
        <v>15</v>
      </c>
      <c r="S1" s="60" t="s">
        <v>16</v>
      </c>
      <c r="T1" s="62" t="s">
        <v>2006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Info!B1:BJ5000""),2,FALSE),"""")"),"B08NFGDP43")</f>
        <v>B08NFGDP43</v>
      </c>
      <c r="B2" s="3" t="s">
        <v>104</v>
      </c>
      <c r="C2" s="49"/>
      <c r="D2" s="49"/>
      <c r="E2" s="51"/>
      <c r="F2" s="49"/>
      <c r="G2" s="49"/>
      <c r="H2" s="54"/>
      <c r="I2" s="49"/>
      <c r="J2" s="49"/>
      <c r="K2" s="54"/>
      <c r="L2" s="54"/>
      <c r="M2" s="54"/>
      <c r="N2" s="49"/>
      <c r="O2" s="49"/>
      <c r="P2" s="51"/>
      <c r="Q2" s="49"/>
      <c r="R2" s="49"/>
      <c r="S2" s="61"/>
      <c r="T2" s="47"/>
      <c r="U2" s="63"/>
      <c r="V2" s="63"/>
      <c r="W2" s="47"/>
      <c r="X2" s="47"/>
      <c r="Y2" s="47"/>
      <c r="Z2" s="47"/>
      <c r="AA2" s="63"/>
      <c r="AB2" s="63"/>
      <c r="AC2" s="63"/>
      <c r="AD2" s="63"/>
      <c r="AE2" s="47"/>
      <c r="AF2" s="47"/>
      <c r="AG2" s="47"/>
    </row>
    <row r="3" spans="1:33" ht="179.25" customHeight="1">
      <c r="A3" s="55" t="s">
        <v>31</v>
      </c>
      <c r="B3" s="56"/>
      <c r="C3" s="4">
        <f>((AE32+AF32)/0.85)*-1</f>
        <v>50.695655252941179</v>
      </c>
      <c r="D3" s="5">
        <f>SUM(D4:D99765)</f>
        <v>120</v>
      </c>
      <c r="E3" s="5"/>
      <c r="F3" s="6">
        <f t="shared" ref="F3:G3" si="0">SUM(F4:F99765)</f>
        <v>7988.42</v>
      </c>
      <c r="G3" s="6">
        <f t="shared" si="0"/>
        <v>0</v>
      </c>
      <c r="H3" s="7">
        <f>G3/F3*-1</f>
        <v>0</v>
      </c>
      <c r="I3" s="8">
        <f>J3/F3</f>
        <v>0.1765792799882</v>
      </c>
      <c r="J3" s="6">
        <f>SUM(J4:J99765)</f>
        <v>1410.5894518433367</v>
      </c>
      <c r="K3" s="6">
        <f>J3/D3</f>
        <v>11.754912098694472</v>
      </c>
      <c r="L3" s="5"/>
      <c r="M3" s="9"/>
      <c r="N3" s="10"/>
      <c r="O3" s="5" t="str">
        <f ca="1">IFERROR(__xludf.DUMMYFUNCTION("VLOOKUP(B2,IMPORTRANGE(""https://docs.google.com/spreadsheets/d/1N8jvpEHDVkurDv7NrPxwI3eH6hQsvtb1QltGNCalRjU/edit#gid=865736387"",""Compiled Sheet!a1:g5000""),2,FALSE)"),"2 - March
2 - April
2 - May
2 - June
2 - July
2 - Aug
2 - Sept
2 - Oct
2 - Nov
2 - Dec
2 - Jan
2 - Feb")</f>
        <v>2 - March
2 - April
2 - May
2 - June
2 - July
2 - Aug
2 - Sept
2 - Oct
2 - Nov
2 - Dec
2 - Jan
2 -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QTY-62")</f>
        <v>US QTY-62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0</v>
      </c>
      <c r="X3" s="7">
        <f>W3/D3</f>
        <v>0</v>
      </c>
      <c r="Y3" s="6"/>
      <c r="Z3" s="5"/>
      <c r="AA3" s="5"/>
      <c r="AB3" s="5"/>
      <c r="AC3" s="5"/>
      <c r="AD3" s="6">
        <f>SUM(AD4:AD99765)</f>
        <v>-68.127567066666657</v>
      </c>
      <c r="AE3" s="6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Info!B2:BZ3000""),37,FALSE)),"""")*-1"),-34.411306965)</f>
        <v>-34.411306965000001</v>
      </c>
      <c r="AG3" s="6">
        <f>SUM(AG4:AG99765)</f>
        <v>0</v>
      </c>
    </row>
    <row r="4" spans="1:33" ht="15.75" hidden="1" customHeight="1">
      <c r="A4" s="14"/>
      <c r="B4" s="14"/>
      <c r="C4" s="15"/>
      <c r="D4" s="16"/>
      <c r="E4" s="16"/>
      <c r="F4" s="17"/>
      <c r="G4" s="17"/>
      <c r="H4" s="18"/>
      <c r="I4" s="18"/>
      <c r="J4" s="17"/>
      <c r="K4" s="17"/>
      <c r="L4" s="16"/>
      <c r="M4" s="19"/>
      <c r="N4" s="16"/>
      <c r="O4" s="20"/>
      <c r="P4" s="20"/>
      <c r="Q4" s="16"/>
      <c r="R4" s="16"/>
      <c r="S4" s="21"/>
      <c r="T4" s="14"/>
      <c r="U4" s="22"/>
      <c r="V4" s="23"/>
      <c r="W4" s="14"/>
      <c r="X4" s="24"/>
      <c r="Y4" s="25"/>
      <c r="Z4" s="14"/>
      <c r="AA4" s="26"/>
      <c r="AB4" s="27"/>
      <c r="AC4" s="28"/>
      <c r="AD4" s="25"/>
      <c r="AE4" s="25"/>
      <c r="AF4" s="25"/>
      <c r="AG4" s="25"/>
    </row>
    <row r="5" spans="1:33" ht="15.75" hidden="1" customHeight="1">
      <c r="A5" s="14"/>
      <c r="B5" s="14"/>
      <c r="C5" s="15"/>
      <c r="D5" s="16"/>
      <c r="E5" s="16"/>
      <c r="F5" s="29"/>
      <c r="G5" s="29"/>
      <c r="H5" s="18"/>
      <c r="I5" s="18"/>
      <c r="J5" s="17"/>
      <c r="K5" s="17"/>
      <c r="L5" s="16"/>
      <c r="M5" s="19"/>
      <c r="N5" s="16"/>
      <c r="O5" s="20"/>
      <c r="P5" s="20"/>
      <c r="Q5" s="16"/>
      <c r="R5" s="16"/>
      <c r="S5" s="21"/>
      <c r="T5" s="14"/>
      <c r="U5" s="22"/>
      <c r="V5" s="23"/>
      <c r="W5" s="14"/>
      <c r="X5" s="24"/>
      <c r="Y5" s="25"/>
      <c r="Z5" s="14"/>
      <c r="AA5" s="14"/>
      <c r="AB5" s="27"/>
      <c r="AC5" s="28"/>
      <c r="AD5" s="25"/>
      <c r="AE5" s="25"/>
      <c r="AF5" s="25"/>
      <c r="AG5" s="25"/>
    </row>
    <row r="6" spans="1:33" ht="15.75" hidden="1" customHeight="1">
      <c r="A6" s="14"/>
      <c r="B6" s="14"/>
      <c r="C6" s="15"/>
      <c r="D6" s="16"/>
      <c r="E6" s="16"/>
      <c r="F6" s="29"/>
      <c r="G6" s="29"/>
      <c r="H6" s="18"/>
      <c r="I6" s="18"/>
      <c r="J6" s="17"/>
      <c r="K6" s="17"/>
      <c r="L6" s="16"/>
      <c r="M6" s="19"/>
      <c r="N6" s="16"/>
      <c r="O6" s="20"/>
      <c r="P6" s="20"/>
      <c r="Q6" s="16"/>
      <c r="R6" s="16"/>
      <c r="S6" s="21"/>
      <c r="T6" s="14"/>
      <c r="U6" s="22"/>
      <c r="V6" s="23"/>
      <c r="W6" s="14"/>
      <c r="X6" s="24"/>
      <c r="Y6" s="25"/>
      <c r="Z6" s="14"/>
      <c r="AA6" s="14"/>
      <c r="AB6" s="27"/>
      <c r="AC6" s="28"/>
      <c r="AD6" s="25"/>
      <c r="AE6" s="25"/>
      <c r="AF6" s="25"/>
      <c r="AG6" s="25"/>
    </row>
    <row r="7" spans="1:33" ht="15.75" hidden="1" customHeight="1">
      <c r="A7" s="14"/>
      <c r="B7" s="14"/>
      <c r="C7" s="15"/>
      <c r="D7" s="16"/>
      <c r="E7" s="16"/>
      <c r="F7" s="29"/>
      <c r="G7" s="29"/>
      <c r="H7" s="18"/>
      <c r="I7" s="18"/>
      <c r="J7" s="17"/>
      <c r="K7" s="17"/>
      <c r="L7" s="16"/>
      <c r="M7" s="19"/>
      <c r="N7" s="16"/>
      <c r="O7" s="20"/>
      <c r="P7" s="20"/>
      <c r="Q7" s="16"/>
      <c r="R7" s="16"/>
      <c r="S7" s="21"/>
      <c r="T7" s="14"/>
      <c r="U7" s="22"/>
      <c r="V7" s="23"/>
      <c r="W7" s="14"/>
      <c r="X7" s="24"/>
      <c r="Y7" s="25"/>
      <c r="Z7" s="14"/>
      <c r="AA7" s="14"/>
      <c r="AB7" s="27"/>
      <c r="AC7" s="28"/>
      <c r="AD7" s="25"/>
      <c r="AE7" s="25"/>
      <c r="AF7" s="25"/>
      <c r="AG7" s="25"/>
    </row>
    <row r="8" spans="1:33" ht="15.75" hidden="1" customHeight="1">
      <c r="A8" s="14"/>
      <c r="B8" s="14"/>
      <c r="C8" s="15"/>
      <c r="D8" s="16"/>
      <c r="E8" s="16"/>
      <c r="F8" s="29"/>
      <c r="G8" s="29"/>
      <c r="H8" s="18"/>
      <c r="I8" s="18"/>
      <c r="J8" s="17"/>
      <c r="K8" s="17"/>
      <c r="L8" s="16"/>
      <c r="M8" s="19"/>
      <c r="N8" s="16"/>
      <c r="O8" s="20"/>
      <c r="P8" s="20"/>
      <c r="Q8" s="16"/>
      <c r="R8" s="16"/>
      <c r="S8" s="21"/>
      <c r="T8" s="14"/>
      <c r="U8" s="22"/>
      <c r="V8" s="23"/>
      <c r="W8" s="14"/>
      <c r="X8" s="24"/>
      <c r="Y8" s="25"/>
      <c r="Z8" s="14"/>
      <c r="AA8" s="14"/>
      <c r="AB8" s="27"/>
      <c r="AC8" s="28"/>
      <c r="AD8" s="25"/>
      <c r="AE8" s="25"/>
      <c r="AF8" s="25"/>
      <c r="AG8" s="25"/>
    </row>
    <row r="9" spans="1:33" ht="15.75" hidden="1" customHeight="1">
      <c r="A9" s="14"/>
      <c r="B9" s="14"/>
      <c r="C9" s="15"/>
      <c r="D9" s="16"/>
      <c r="E9" s="16"/>
      <c r="F9" s="29"/>
      <c r="G9" s="29"/>
      <c r="H9" s="18"/>
      <c r="I9" s="18"/>
      <c r="J9" s="17"/>
      <c r="K9" s="17"/>
      <c r="L9" s="16"/>
      <c r="M9" s="19"/>
      <c r="N9" s="16"/>
      <c r="O9" s="20"/>
      <c r="P9" s="20"/>
      <c r="Q9" s="16"/>
      <c r="R9" s="16"/>
      <c r="S9" s="21"/>
      <c r="T9" s="14"/>
      <c r="U9" s="22"/>
      <c r="V9" s="23"/>
      <c r="W9" s="14"/>
      <c r="X9" s="24"/>
      <c r="Y9" s="25"/>
      <c r="Z9" s="14"/>
      <c r="AA9" s="14"/>
      <c r="AB9" s="27"/>
      <c r="AC9" s="28"/>
      <c r="AD9" s="25"/>
      <c r="AE9" s="25"/>
      <c r="AF9" s="25"/>
      <c r="AG9" s="25"/>
    </row>
    <row r="10" spans="1:33" ht="15.75" hidden="1" customHeight="1">
      <c r="A10" s="14"/>
      <c r="B10" s="14"/>
      <c r="C10" s="15"/>
      <c r="D10" s="16"/>
      <c r="E10" s="16"/>
      <c r="F10" s="29"/>
      <c r="G10" s="29"/>
      <c r="H10" s="18"/>
      <c r="I10" s="18"/>
      <c r="J10" s="17"/>
      <c r="K10" s="17"/>
      <c r="L10" s="16"/>
      <c r="M10" s="19"/>
      <c r="N10" s="16"/>
      <c r="O10" s="20"/>
      <c r="P10" s="20"/>
      <c r="Q10" s="16"/>
      <c r="R10" s="16"/>
      <c r="S10" s="21"/>
      <c r="T10" s="14"/>
      <c r="U10" s="22"/>
      <c r="V10" s="23"/>
      <c r="W10" s="14"/>
      <c r="X10" s="24"/>
      <c r="Y10" s="25"/>
      <c r="Z10" s="14"/>
      <c r="AA10" s="14"/>
      <c r="AB10" s="27"/>
      <c r="AC10" s="28"/>
      <c r="AD10" s="25"/>
      <c r="AE10" s="25"/>
      <c r="AF10" s="25"/>
      <c r="AG10" s="25"/>
    </row>
    <row r="11" spans="1:33" ht="15.75" hidden="1" customHeight="1">
      <c r="A11" s="14"/>
      <c r="B11" s="14"/>
      <c r="C11" s="15"/>
      <c r="D11" s="16"/>
      <c r="E11" s="16"/>
      <c r="F11" s="29"/>
      <c r="G11" s="29"/>
      <c r="H11" s="18"/>
      <c r="I11" s="18"/>
      <c r="J11" s="17"/>
      <c r="K11" s="17"/>
      <c r="L11" s="16"/>
      <c r="M11" s="19"/>
      <c r="N11" s="16"/>
      <c r="O11" s="20"/>
      <c r="P11" s="20"/>
      <c r="Q11" s="16"/>
      <c r="R11" s="16"/>
      <c r="S11" s="21"/>
      <c r="T11" s="14"/>
      <c r="U11" s="22"/>
      <c r="V11" s="23"/>
      <c r="W11" s="14"/>
      <c r="X11" s="24"/>
      <c r="Y11" s="25"/>
      <c r="Z11" s="14"/>
      <c r="AA11" s="14"/>
      <c r="AB11" s="27"/>
      <c r="AC11" s="28"/>
      <c r="AD11" s="25"/>
      <c r="AE11" s="25"/>
      <c r="AF11" s="25"/>
      <c r="AG11" s="25"/>
    </row>
    <row r="12" spans="1:33" ht="15.75" hidden="1" customHeight="1">
      <c r="A12" s="14"/>
      <c r="B12" s="14"/>
      <c r="C12" s="15"/>
      <c r="D12" s="16"/>
      <c r="E12" s="16"/>
      <c r="F12" s="29"/>
      <c r="G12" s="29"/>
      <c r="H12" s="18"/>
      <c r="I12" s="18"/>
      <c r="J12" s="17"/>
      <c r="K12" s="17"/>
      <c r="L12" s="16"/>
      <c r="M12" s="19"/>
      <c r="N12" s="16"/>
      <c r="O12" s="20"/>
      <c r="P12" s="20"/>
      <c r="Q12" s="16"/>
      <c r="R12" s="16"/>
      <c r="S12" s="21"/>
      <c r="T12" s="14"/>
      <c r="U12" s="22"/>
      <c r="V12" s="23"/>
      <c r="W12" s="14"/>
      <c r="X12" s="24"/>
      <c r="Y12" s="25"/>
      <c r="Z12" s="14"/>
      <c r="AA12" s="14"/>
      <c r="AB12" s="27"/>
      <c r="AC12" s="28"/>
      <c r="AD12" s="25"/>
      <c r="AE12" s="25"/>
      <c r="AF12" s="25"/>
      <c r="AG12" s="25"/>
    </row>
    <row r="13" spans="1:33" ht="15.75" hidden="1" customHeight="1">
      <c r="A13" s="14"/>
      <c r="B13" s="14"/>
      <c r="C13" s="15"/>
      <c r="D13" s="16"/>
      <c r="E13" s="16"/>
      <c r="F13" s="17"/>
      <c r="G13" s="29"/>
      <c r="H13" s="18"/>
      <c r="I13" s="18"/>
      <c r="J13" s="17"/>
      <c r="K13" s="17"/>
      <c r="L13" s="16"/>
      <c r="M13" s="19"/>
      <c r="N13" s="16"/>
      <c r="O13" s="20"/>
      <c r="P13" s="20"/>
      <c r="Q13" s="16"/>
      <c r="R13" s="16"/>
      <c r="S13" s="21"/>
      <c r="T13" s="14"/>
      <c r="U13" s="22"/>
      <c r="V13" s="23"/>
      <c r="W13" s="14"/>
      <c r="X13" s="24"/>
      <c r="Y13" s="25"/>
      <c r="Z13" s="14"/>
      <c r="AA13" s="14"/>
      <c r="AB13" s="27"/>
      <c r="AC13" s="28"/>
      <c r="AD13" s="25"/>
      <c r="AE13" s="25"/>
      <c r="AF13" s="25"/>
      <c r="AG13" s="25"/>
    </row>
    <row r="14" spans="1:33" ht="15.75" hidden="1" customHeight="1">
      <c r="A14" s="14"/>
      <c r="B14" s="14"/>
      <c r="C14" s="15"/>
      <c r="D14" s="16"/>
      <c r="E14" s="16"/>
      <c r="F14" s="17"/>
      <c r="G14" s="29"/>
      <c r="H14" s="18"/>
      <c r="I14" s="18"/>
      <c r="J14" s="17"/>
      <c r="K14" s="17"/>
      <c r="L14" s="16"/>
      <c r="M14" s="19"/>
      <c r="N14" s="16"/>
      <c r="O14" s="20"/>
      <c r="P14" s="20"/>
      <c r="Q14" s="16"/>
      <c r="R14" s="16"/>
      <c r="S14" s="21"/>
      <c r="T14" s="14"/>
      <c r="U14" s="22"/>
      <c r="V14" s="23"/>
      <c r="W14" s="14"/>
      <c r="X14" s="24"/>
      <c r="Y14" s="25"/>
      <c r="Z14" s="14"/>
      <c r="AA14" s="14"/>
      <c r="AB14" s="27"/>
      <c r="AC14" s="28"/>
      <c r="AD14" s="25"/>
      <c r="AE14" s="25"/>
      <c r="AF14" s="25"/>
      <c r="AG14" s="25"/>
    </row>
    <row r="15" spans="1:33" ht="15.75" hidden="1" customHeight="1">
      <c r="A15" s="14"/>
      <c r="B15" s="14"/>
      <c r="C15" s="15"/>
      <c r="D15" s="16"/>
      <c r="E15" s="16"/>
      <c r="F15" s="17"/>
      <c r="G15" s="29"/>
      <c r="H15" s="18"/>
      <c r="I15" s="18"/>
      <c r="J15" s="17"/>
      <c r="K15" s="17"/>
      <c r="L15" s="16"/>
      <c r="M15" s="19"/>
      <c r="N15" s="16"/>
      <c r="O15" s="20"/>
      <c r="P15" s="20"/>
      <c r="Q15" s="16"/>
      <c r="R15" s="16"/>
      <c r="S15" s="21"/>
      <c r="T15" s="14"/>
      <c r="U15" s="22"/>
      <c r="V15" s="23"/>
      <c r="W15" s="14"/>
      <c r="X15" s="24"/>
      <c r="Y15" s="25"/>
      <c r="Z15" s="14"/>
      <c r="AA15" s="14"/>
      <c r="AB15" s="27"/>
      <c r="AC15" s="28"/>
      <c r="AD15" s="25"/>
      <c r="AE15" s="25"/>
      <c r="AF15" s="25"/>
      <c r="AG15" s="25"/>
    </row>
    <row r="16" spans="1:33" ht="15.75" hidden="1" customHeight="1">
      <c r="A16" s="14"/>
      <c r="B16" s="14"/>
      <c r="C16" s="15"/>
      <c r="D16" s="16"/>
      <c r="E16" s="16"/>
      <c r="F16" s="17"/>
      <c r="G16" s="29"/>
      <c r="H16" s="18"/>
      <c r="I16" s="18"/>
      <c r="J16" s="17"/>
      <c r="K16" s="17"/>
      <c r="L16" s="16"/>
      <c r="M16" s="19"/>
      <c r="N16" s="16"/>
      <c r="O16" s="20"/>
      <c r="P16" s="20"/>
      <c r="Q16" s="16"/>
      <c r="R16" s="16"/>
      <c r="S16" s="21"/>
      <c r="T16" s="14"/>
      <c r="U16" s="22"/>
      <c r="V16" s="23"/>
      <c r="W16" s="14"/>
      <c r="X16" s="24"/>
      <c r="Y16" s="25"/>
      <c r="Z16" s="14"/>
      <c r="AA16" s="14"/>
      <c r="AB16" s="27"/>
      <c r="AC16" s="28"/>
      <c r="AD16" s="25"/>
      <c r="AE16" s="25"/>
      <c r="AF16" s="25"/>
      <c r="AG16" s="25"/>
    </row>
    <row r="17" spans="1:33" ht="15.75" hidden="1" customHeight="1">
      <c r="A17" s="14"/>
      <c r="B17" s="14"/>
      <c r="C17" s="15"/>
      <c r="D17" s="16"/>
      <c r="E17" s="16"/>
      <c r="F17" s="17"/>
      <c r="G17" s="29"/>
      <c r="H17" s="18"/>
      <c r="I17" s="18"/>
      <c r="J17" s="17"/>
      <c r="K17" s="17"/>
      <c r="L17" s="16"/>
      <c r="M17" s="19"/>
      <c r="N17" s="16"/>
      <c r="O17" s="20"/>
      <c r="P17" s="20"/>
      <c r="Q17" s="16"/>
      <c r="R17" s="16"/>
      <c r="S17" s="21"/>
      <c r="T17" s="14"/>
      <c r="U17" s="22"/>
      <c r="V17" s="23"/>
      <c r="W17" s="14"/>
      <c r="X17" s="24"/>
      <c r="Y17" s="25"/>
      <c r="Z17" s="14"/>
      <c r="AA17" s="14"/>
      <c r="AB17" s="27"/>
      <c r="AC17" s="28"/>
      <c r="AD17" s="25"/>
      <c r="AE17" s="25"/>
      <c r="AF17" s="25"/>
      <c r="AG17" s="25"/>
    </row>
    <row r="18" spans="1:33" ht="15.75" hidden="1" customHeight="1">
      <c r="A18" s="14"/>
      <c r="B18" s="14"/>
      <c r="C18" s="15"/>
      <c r="D18" s="16"/>
      <c r="E18" s="16"/>
      <c r="F18" s="17"/>
      <c r="G18" s="29"/>
      <c r="H18" s="18"/>
      <c r="I18" s="18"/>
      <c r="J18" s="17"/>
      <c r="K18" s="17"/>
      <c r="L18" s="16"/>
      <c r="M18" s="19"/>
      <c r="N18" s="16"/>
      <c r="O18" s="20"/>
      <c r="P18" s="20"/>
      <c r="Q18" s="16"/>
      <c r="R18" s="16"/>
      <c r="S18" s="21"/>
      <c r="T18" s="14"/>
      <c r="U18" s="22"/>
      <c r="V18" s="23"/>
      <c r="W18" s="14"/>
      <c r="X18" s="24"/>
      <c r="Y18" s="25"/>
      <c r="Z18" s="14"/>
      <c r="AA18" s="14"/>
      <c r="AB18" s="27"/>
      <c r="AC18" s="28"/>
      <c r="AD18" s="25"/>
      <c r="AE18" s="25"/>
      <c r="AF18" s="25"/>
      <c r="AG18" s="25"/>
    </row>
    <row r="19" spans="1:33" ht="15.75" customHeight="1">
      <c r="A19" s="14" t="s">
        <v>44</v>
      </c>
      <c r="B19" s="14" t="s">
        <v>105</v>
      </c>
      <c r="C19" s="15">
        <f t="shared" ref="C19:C32" si="1">IFERROR(F19/D19," - ")</f>
        <v>57.99</v>
      </c>
      <c r="D19" s="16">
        <v>7</v>
      </c>
      <c r="E19" s="16">
        <v>0</v>
      </c>
      <c r="F19" s="17">
        <v>405.93</v>
      </c>
      <c r="G19" s="29">
        <v>0</v>
      </c>
      <c r="H19" s="18">
        <f t="shared" ref="H19:H32" si="2">G19/F19*-1</f>
        <v>0</v>
      </c>
      <c r="I19" s="18">
        <f t="shared" ref="I19:I32" si="3">J19/F19</f>
        <v>6.7464567588281427E-2</v>
      </c>
      <c r="J19" s="17">
        <f t="shared" ref="J19:J32" si="4">F19*0.85+G19+AF19*D19+D19*AE19+AG19+AD19</f>
        <v>27.385891921111082</v>
      </c>
      <c r="K19" s="17">
        <f t="shared" ref="K19:K32" si="5">J19/D19</f>
        <v>3.9122702744444404</v>
      </c>
      <c r="L19" s="16">
        <v>21</v>
      </c>
      <c r="M19" s="19">
        <f t="shared" ref="M19:M32" si="6">IFERROR(D19/L19,"-")</f>
        <v>0.33333333333333331</v>
      </c>
      <c r="N19" s="16">
        <v>42</v>
      </c>
      <c r="O19" s="20">
        <f t="shared" ref="O19:P19" si="7">D19/7</f>
        <v>1</v>
      </c>
      <c r="P19" s="20">
        <f t="shared" si="7"/>
        <v>0</v>
      </c>
      <c r="Q19" s="16">
        <f t="shared" ref="Q19:Q32" si="8">ROUNDDOWN(N19/(O19+P19),0)</f>
        <v>42</v>
      </c>
      <c r="R19" s="16"/>
      <c r="S19" s="21">
        <v>0</v>
      </c>
      <c r="T19" s="14">
        <v>46</v>
      </c>
      <c r="U19" s="22">
        <v>46</v>
      </c>
      <c r="V19" s="23" t="s">
        <v>106</v>
      </c>
      <c r="W19" s="14">
        <v>0</v>
      </c>
      <c r="X19" s="24">
        <f t="shared" ref="X19:X32" si="9">IFERROR(W19/D19,0)</f>
        <v>0</v>
      </c>
      <c r="Y19" s="25">
        <f t="shared" ref="Y19:Y32" si="10">IFERROR(G19/(W19+Z19)*-1,0)</f>
        <v>0</v>
      </c>
      <c r="Z19" s="14">
        <v>0</v>
      </c>
      <c r="AA19" s="14" t="s">
        <v>35</v>
      </c>
      <c r="AB19" s="27">
        <f t="shared" ref="AB19:AB32" si="11">IF(OR(AA19="UsLargeStandardSize",AA19="UsSmallStandardSize"),-0.69,-0.48)</f>
        <v>-0.69</v>
      </c>
      <c r="AC19" s="28">
        <v>0.41139835185185192</v>
      </c>
      <c r="AD19" s="25">
        <f t="shared" ref="AD19:AD32" si="12">IFERROR(AB19*AC19*D19*2,0)</f>
        <v>-3.974108078888889</v>
      </c>
      <c r="AE19" s="25">
        <v>-9.2200000000000006</v>
      </c>
      <c r="AF19" s="25">
        <v>-35.591500000000003</v>
      </c>
      <c r="AG19" s="25">
        <v>0</v>
      </c>
    </row>
    <row r="20" spans="1:33" ht="15.75" customHeight="1">
      <c r="A20" s="14" t="s">
        <v>46</v>
      </c>
      <c r="B20" s="14" t="s">
        <v>107</v>
      </c>
      <c r="C20" s="15">
        <f t="shared" si="1"/>
        <v>58.458333333333336</v>
      </c>
      <c r="D20" s="16">
        <v>18</v>
      </c>
      <c r="E20" s="16">
        <v>0</v>
      </c>
      <c r="F20" s="17">
        <v>1052.25</v>
      </c>
      <c r="G20" s="29">
        <v>0</v>
      </c>
      <c r="H20" s="18">
        <f t="shared" si="2"/>
        <v>0</v>
      </c>
      <c r="I20" s="18">
        <f t="shared" si="3"/>
        <v>7.3733775186505077E-2</v>
      </c>
      <c r="J20" s="17">
        <f t="shared" si="4"/>
        <v>77.586364939999967</v>
      </c>
      <c r="K20" s="17">
        <f t="shared" si="5"/>
        <v>4.3103536077777758</v>
      </c>
      <c r="L20" s="16">
        <v>37</v>
      </c>
      <c r="M20" s="19">
        <f t="shared" si="6"/>
        <v>0.48648648648648651</v>
      </c>
      <c r="N20" s="16">
        <v>24</v>
      </c>
      <c r="O20" s="20">
        <f t="shared" ref="O20:P20" si="13">D20/7</f>
        <v>2.5714285714285716</v>
      </c>
      <c r="P20" s="20">
        <f t="shared" si="13"/>
        <v>0</v>
      </c>
      <c r="Q20" s="16">
        <f t="shared" si="8"/>
        <v>9</v>
      </c>
      <c r="R20" s="16"/>
      <c r="S20" s="21">
        <v>0.6</v>
      </c>
      <c r="T20" s="14">
        <v>46</v>
      </c>
      <c r="U20" s="22">
        <v>46</v>
      </c>
      <c r="V20" s="23" t="s">
        <v>106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14" t="s">
        <v>35</v>
      </c>
      <c r="AB20" s="27">
        <f t="shared" si="11"/>
        <v>-0.69</v>
      </c>
      <c r="AC20" s="28">
        <v>0.41139835185185192</v>
      </c>
      <c r="AD20" s="25">
        <f t="shared" si="12"/>
        <v>-10.219135059999999</v>
      </c>
      <c r="AE20" s="25">
        <v>-9.2200000000000006</v>
      </c>
      <c r="AF20" s="25">
        <v>-35.591500000000003</v>
      </c>
      <c r="AG20" s="25">
        <v>0</v>
      </c>
    </row>
    <row r="21" spans="1:33" ht="15.75" customHeight="1">
      <c r="A21" s="14" t="s">
        <v>47</v>
      </c>
      <c r="B21" s="14" t="s">
        <v>68</v>
      </c>
      <c r="C21" s="15">
        <f t="shared" si="1"/>
        <v>65.777777777777771</v>
      </c>
      <c r="D21" s="16">
        <v>9</v>
      </c>
      <c r="E21" s="16">
        <v>0</v>
      </c>
      <c r="F21" s="17">
        <v>592</v>
      </c>
      <c r="G21" s="29">
        <v>0</v>
      </c>
      <c r="H21" s="18">
        <f t="shared" si="2"/>
        <v>0</v>
      </c>
      <c r="I21" s="18">
        <f t="shared" si="3"/>
        <v>0.16011306160472966</v>
      </c>
      <c r="J21" s="17">
        <f t="shared" si="4"/>
        <v>94.786932469999954</v>
      </c>
      <c r="K21" s="17">
        <f t="shared" si="5"/>
        <v>10.53188138555555</v>
      </c>
      <c r="L21" s="16">
        <v>17</v>
      </c>
      <c r="M21" s="19">
        <f t="shared" si="6"/>
        <v>0.52941176470588236</v>
      </c>
      <c r="N21" s="16">
        <v>9</v>
      </c>
      <c r="O21" s="20">
        <f t="shared" ref="O21:P21" si="14">D21/7</f>
        <v>1.2857142857142858</v>
      </c>
      <c r="P21" s="20">
        <f t="shared" si="14"/>
        <v>0</v>
      </c>
      <c r="Q21" s="16">
        <f t="shared" si="8"/>
        <v>7</v>
      </c>
      <c r="R21" s="16"/>
      <c r="S21" s="21">
        <v>6.6666666666666599</v>
      </c>
      <c r="T21" s="14">
        <v>146</v>
      </c>
      <c r="U21" s="22">
        <v>46</v>
      </c>
      <c r="V21" s="23" t="s">
        <v>108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14" t="s">
        <v>35</v>
      </c>
      <c r="AB21" s="27">
        <f t="shared" si="11"/>
        <v>-0.69</v>
      </c>
      <c r="AC21" s="28">
        <v>0.41139835185185192</v>
      </c>
      <c r="AD21" s="25">
        <f t="shared" si="12"/>
        <v>-5.1095675299999996</v>
      </c>
      <c r="AE21" s="25">
        <v>-9.2200000000000006</v>
      </c>
      <c r="AF21" s="25">
        <v>-35.591500000000003</v>
      </c>
      <c r="AG21" s="25">
        <v>0</v>
      </c>
    </row>
    <row r="22" spans="1:33" ht="15.75" customHeight="1">
      <c r="A22" s="14" t="s">
        <v>48</v>
      </c>
      <c r="B22" s="14" t="s">
        <v>68</v>
      </c>
      <c r="C22" s="15">
        <f t="shared" si="1"/>
        <v>67.989999999999995</v>
      </c>
      <c r="D22" s="16">
        <v>11</v>
      </c>
      <c r="E22" s="16">
        <v>0</v>
      </c>
      <c r="F22" s="29">
        <v>747.89</v>
      </c>
      <c r="G22" s="29">
        <v>0</v>
      </c>
      <c r="H22" s="18">
        <f t="shared" si="2"/>
        <v>0</v>
      </c>
      <c r="I22" s="18">
        <f t="shared" si="3"/>
        <v>0.18256023348204797</v>
      </c>
      <c r="J22" s="17">
        <f t="shared" si="4"/>
        <v>136.53497301888885</v>
      </c>
      <c r="K22" s="17">
        <f t="shared" si="5"/>
        <v>12.41227027444444</v>
      </c>
      <c r="L22" s="16">
        <v>38</v>
      </c>
      <c r="M22" s="19">
        <f t="shared" si="6"/>
        <v>0.28947368421052633</v>
      </c>
      <c r="N22" s="16">
        <v>0</v>
      </c>
      <c r="O22" s="20">
        <f t="shared" ref="O22:P22" si="15">D22/7</f>
        <v>1.5714285714285714</v>
      </c>
      <c r="P22" s="20">
        <f t="shared" si="15"/>
        <v>0</v>
      </c>
      <c r="Q22" s="16">
        <f t="shared" si="8"/>
        <v>0</v>
      </c>
      <c r="R22" s="16"/>
      <c r="S22" s="21">
        <v>28</v>
      </c>
      <c r="T22" s="14">
        <v>146</v>
      </c>
      <c r="U22" s="22">
        <v>46</v>
      </c>
      <c r="V22" s="23" t="s">
        <v>108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35</v>
      </c>
      <c r="AB22" s="27">
        <f t="shared" si="11"/>
        <v>-0.69</v>
      </c>
      <c r="AC22" s="28">
        <v>0.41139835185185192</v>
      </c>
      <c r="AD22" s="25">
        <f t="shared" si="12"/>
        <v>-6.2450269811111117</v>
      </c>
      <c r="AE22" s="25">
        <v>-9.2200000000000006</v>
      </c>
      <c r="AF22" s="25">
        <v>-35.591500000000003</v>
      </c>
      <c r="AG22" s="25">
        <v>0</v>
      </c>
    </row>
    <row r="23" spans="1:33" ht="15.75" customHeight="1">
      <c r="A23" s="14" t="s">
        <v>49</v>
      </c>
      <c r="B23" s="14" t="s">
        <v>45</v>
      </c>
      <c r="C23" s="15">
        <f t="shared" si="1"/>
        <v>67.95</v>
      </c>
      <c r="D23" s="16">
        <v>2</v>
      </c>
      <c r="E23" s="16">
        <v>0</v>
      </c>
      <c r="F23" s="17">
        <v>135.9</v>
      </c>
      <c r="G23" s="29">
        <v>0</v>
      </c>
      <c r="H23" s="18">
        <f t="shared" si="2"/>
        <v>0</v>
      </c>
      <c r="I23" s="18">
        <f t="shared" si="3"/>
        <v>0.18216733295723975</v>
      </c>
      <c r="J23" s="17">
        <f t="shared" si="4"/>
        <v>24.756540548888882</v>
      </c>
      <c r="K23" s="17">
        <f t="shared" si="5"/>
        <v>12.378270274444441</v>
      </c>
      <c r="L23" s="16">
        <v>18</v>
      </c>
      <c r="M23" s="19">
        <f t="shared" si="6"/>
        <v>0.1111111111111111</v>
      </c>
      <c r="N23" s="16">
        <v>2</v>
      </c>
      <c r="O23" s="20">
        <f t="shared" ref="O23:P23" si="16">D23/7</f>
        <v>0.2857142857142857</v>
      </c>
      <c r="P23" s="20">
        <f t="shared" si="16"/>
        <v>0</v>
      </c>
      <c r="Q23" s="16">
        <f t="shared" si="8"/>
        <v>7</v>
      </c>
      <c r="R23" s="16"/>
      <c r="S23" s="21" t="e">
        <v>#N/A</v>
      </c>
      <c r="T23" s="14">
        <v>246</v>
      </c>
      <c r="U23" s="22">
        <v>46</v>
      </c>
      <c r="V23" s="23" t="s">
        <v>108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35</v>
      </c>
      <c r="AB23" s="27">
        <f t="shared" si="11"/>
        <v>-0.69</v>
      </c>
      <c r="AC23" s="28">
        <v>0.41139835185185192</v>
      </c>
      <c r="AD23" s="25">
        <f t="shared" si="12"/>
        <v>-1.1354594511111111</v>
      </c>
      <c r="AE23" s="25">
        <v>-9.2200000000000006</v>
      </c>
      <c r="AF23" s="25">
        <v>-35.591500000000003</v>
      </c>
      <c r="AG23" s="25">
        <v>0</v>
      </c>
    </row>
    <row r="24" spans="1:33" ht="15.75" customHeight="1">
      <c r="A24" s="14" t="s">
        <v>50</v>
      </c>
      <c r="B24" s="14"/>
      <c r="C24" s="15" t="str">
        <f t="shared" si="1"/>
        <v xml:space="preserve"> - </v>
      </c>
      <c r="D24" s="16">
        <v>0</v>
      </c>
      <c r="E24" s="16">
        <v>0</v>
      </c>
      <c r="F24" s="17">
        <v>0</v>
      </c>
      <c r="G24" s="17">
        <v>0</v>
      </c>
      <c r="H24" s="18" t="e">
        <f t="shared" si="2"/>
        <v>#DIV/0!</v>
      </c>
      <c r="I24" s="18" t="e">
        <f t="shared" si="3"/>
        <v>#DIV/0!</v>
      </c>
      <c r="J24" s="17">
        <f t="shared" si="4"/>
        <v>0</v>
      </c>
      <c r="K24" s="17" t="e">
        <f t="shared" si="5"/>
        <v>#DIV/0!</v>
      </c>
      <c r="L24" s="16">
        <v>0</v>
      </c>
      <c r="M24" s="19" t="str">
        <f t="shared" si="6"/>
        <v>-</v>
      </c>
      <c r="N24" s="16">
        <v>0</v>
      </c>
      <c r="O24" s="20">
        <f t="shared" ref="O24:P24" si="17">D24/7</f>
        <v>0</v>
      </c>
      <c r="P24" s="20">
        <f t="shared" si="17"/>
        <v>0</v>
      </c>
      <c r="Q24" s="16" t="e">
        <f t="shared" si="8"/>
        <v>#DIV/0!</v>
      </c>
      <c r="R24" s="16"/>
      <c r="S24" s="21" t="e">
        <v>#N/A</v>
      </c>
      <c r="T24" s="14">
        <v>246</v>
      </c>
      <c r="U24" s="22">
        <v>46</v>
      </c>
      <c r="V24" s="23" t="s">
        <v>109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14" t="s">
        <v>35</v>
      </c>
      <c r="AB24" s="27">
        <f t="shared" si="11"/>
        <v>-0.69</v>
      </c>
      <c r="AC24" s="28">
        <v>0.41139835185185192</v>
      </c>
      <c r="AD24" s="25">
        <f t="shared" si="12"/>
        <v>0</v>
      </c>
      <c r="AE24" s="25">
        <v>-9.2200000000000006</v>
      </c>
      <c r="AF24" s="25">
        <v>-35.591500000000003</v>
      </c>
      <c r="AG24" s="25">
        <v>0</v>
      </c>
    </row>
    <row r="25" spans="1:33" ht="15.75" customHeight="1">
      <c r="A25" s="14" t="s">
        <v>51</v>
      </c>
      <c r="B25" s="14" t="s">
        <v>68</v>
      </c>
      <c r="C25" s="15" t="str">
        <f t="shared" si="1"/>
        <v xml:space="preserve"> - </v>
      </c>
      <c r="D25" s="16">
        <v>0</v>
      </c>
      <c r="E25" s="16">
        <v>0</v>
      </c>
      <c r="F25" s="17">
        <v>0</v>
      </c>
      <c r="G25" s="17">
        <v>0</v>
      </c>
      <c r="H25" s="18" t="e">
        <f t="shared" si="2"/>
        <v>#DIV/0!</v>
      </c>
      <c r="I25" s="18" t="e">
        <f t="shared" si="3"/>
        <v>#DIV/0!</v>
      </c>
      <c r="J25" s="17">
        <f t="shared" si="4"/>
        <v>0</v>
      </c>
      <c r="K25" s="17" t="e">
        <f t="shared" si="5"/>
        <v>#DIV/0!</v>
      </c>
      <c r="L25" s="16">
        <v>0</v>
      </c>
      <c r="M25" s="19" t="str">
        <f t="shared" si="6"/>
        <v>-</v>
      </c>
      <c r="N25" s="16">
        <v>67</v>
      </c>
      <c r="O25" s="20">
        <f t="shared" ref="O25:P25" si="18">D25/7</f>
        <v>0</v>
      </c>
      <c r="P25" s="20">
        <f t="shared" si="18"/>
        <v>0</v>
      </c>
      <c r="Q25" s="16" t="e">
        <f t="shared" si="8"/>
        <v>#DIV/0!</v>
      </c>
      <c r="R25" s="16"/>
      <c r="S25" s="21">
        <v>1.044444444444445</v>
      </c>
      <c r="T25" s="14">
        <v>246</v>
      </c>
      <c r="U25" s="22">
        <v>46</v>
      </c>
      <c r="V25" s="23" t="s">
        <v>109</v>
      </c>
      <c r="W25" s="30">
        <v>0</v>
      </c>
      <c r="X25" s="24">
        <f t="shared" si="9"/>
        <v>0</v>
      </c>
      <c r="Y25" s="25">
        <f t="shared" si="10"/>
        <v>0</v>
      </c>
      <c r="Z25" s="30">
        <v>0</v>
      </c>
      <c r="AA25" s="14" t="s">
        <v>35</v>
      </c>
      <c r="AB25" s="27">
        <f t="shared" si="11"/>
        <v>-0.69</v>
      </c>
      <c r="AC25" s="28">
        <v>0.41139835185185192</v>
      </c>
      <c r="AD25" s="25">
        <f t="shared" si="12"/>
        <v>0</v>
      </c>
      <c r="AE25" s="25">
        <v>-9.2200000000000006</v>
      </c>
      <c r="AF25" s="25">
        <v>-35.590000000000003</v>
      </c>
      <c r="AG25" s="25">
        <v>0</v>
      </c>
    </row>
    <row r="26" spans="1:33" ht="15.75" customHeight="1">
      <c r="A26" s="14" t="s">
        <v>52</v>
      </c>
      <c r="B26" s="14" t="s">
        <v>68</v>
      </c>
      <c r="C26" s="15">
        <f t="shared" si="1"/>
        <v>68.411666666666676</v>
      </c>
      <c r="D26" s="16">
        <v>12</v>
      </c>
      <c r="E26" s="16">
        <v>0</v>
      </c>
      <c r="F26" s="17">
        <v>820.94</v>
      </c>
      <c r="G26" s="17">
        <v>0</v>
      </c>
      <c r="H26" s="18">
        <f t="shared" si="2"/>
        <v>0</v>
      </c>
      <c r="I26" s="18">
        <f t="shared" si="3"/>
        <v>0.19456749980916171</v>
      </c>
      <c r="J26" s="17">
        <f t="shared" si="4"/>
        <v>159.72824329333324</v>
      </c>
      <c r="K26" s="17">
        <f t="shared" si="5"/>
        <v>13.310686941111102</v>
      </c>
      <c r="L26" s="16">
        <v>23</v>
      </c>
      <c r="M26" s="19">
        <f t="shared" si="6"/>
        <v>0.52173913043478259</v>
      </c>
      <c r="N26" s="16">
        <v>60</v>
      </c>
      <c r="O26" s="20">
        <f t="shared" ref="O26:P26" si="19">D26/7</f>
        <v>1.7142857142857142</v>
      </c>
      <c r="P26" s="20">
        <f t="shared" si="19"/>
        <v>0</v>
      </c>
      <c r="Q26" s="16">
        <f t="shared" si="8"/>
        <v>35</v>
      </c>
      <c r="R26" s="16"/>
      <c r="S26" s="21">
        <v>2.2285714285714291</v>
      </c>
      <c r="T26" s="14">
        <v>246</v>
      </c>
      <c r="U26" s="22">
        <v>46</v>
      </c>
      <c r="V26" s="23" t="s">
        <v>110</v>
      </c>
      <c r="W26" s="30">
        <v>0</v>
      </c>
      <c r="X26" s="24">
        <f t="shared" si="9"/>
        <v>0</v>
      </c>
      <c r="Y26" s="25">
        <f t="shared" si="10"/>
        <v>0</v>
      </c>
      <c r="Z26" s="30">
        <v>0</v>
      </c>
      <c r="AA26" s="14" t="s">
        <v>35</v>
      </c>
      <c r="AB26" s="27">
        <f t="shared" si="11"/>
        <v>-0.69</v>
      </c>
      <c r="AC26" s="28">
        <v>0.41139835185185192</v>
      </c>
      <c r="AD26" s="25">
        <f t="shared" si="12"/>
        <v>-6.8127567066666668</v>
      </c>
      <c r="AE26" s="25">
        <v>-8.68</v>
      </c>
      <c r="AF26" s="25">
        <v>-35.591500000000003</v>
      </c>
      <c r="AG26" s="25">
        <v>0</v>
      </c>
    </row>
    <row r="27" spans="1:33" ht="15.75" customHeight="1">
      <c r="A27" s="14" t="s">
        <v>53</v>
      </c>
      <c r="B27" s="14" t="s">
        <v>111</v>
      </c>
      <c r="C27" s="15">
        <f t="shared" si="1"/>
        <v>68.724705882352936</v>
      </c>
      <c r="D27" s="16">
        <v>17</v>
      </c>
      <c r="E27" s="16">
        <v>0</v>
      </c>
      <c r="F27" s="17">
        <v>1168.32</v>
      </c>
      <c r="G27" s="17">
        <v>0</v>
      </c>
      <c r="H27" s="18">
        <f t="shared" si="2"/>
        <v>0</v>
      </c>
      <c r="I27" s="18">
        <f t="shared" si="3"/>
        <v>0.19582143134206142</v>
      </c>
      <c r="J27" s="17">
        <f t="shared" si="4"/>
        <v>228.7820946655572</v>
      </c>
      <c r="K27" s="17">
        <f t="shared" si="5"/>
        <v>13.457770274444542</v>
      </c>
      <c r="L27" s="16">
        <v>24</v>
      </c>
      <c r="M27" s="19">
        <f t="shared" si="6"/>
        <v>0.70833333333333337</v>
      </c>
      <c r="N27" s="16">
        <v>40</v>
      </c>
      <c r="O27" s="20">
        <f t="shared" ref="O27:P27" si="20">D27/7</f>
        <v>2.4285714285714284</v>
      </c>
      <c r="P27" s="20">
        <f t="shared" si="20"/>
        <v>0</v>
      </c>
      <c r="Q27" s="16">
        <f t="shared" si="8"/>
        <v>16</v>
      </c>
      <c r="R27" s="16"/>
      <c r="S27" s="21">
        <v>4.5319148936170217</v>
      </c>
      <c r="T27" s="14">
        <v>200</v>
      </c>
      <c r="U27" s="22" t="s">
        <v>34</v>
      </c>
      <c r="V27" s="23" t="s">
        <v>34</v>
      </c>
      <c r="W27" s="30">
        <v>0</v>
      </c>
      <c r="X27" s="24">
        <f t="shared" si="9"/>
        <v>0</v>
      </c>
      <c r="Y27" s="25">
        <f t="shared" si="10"/>
        <v>0</v>
      </c>
      <c r="Z27" s="30">
        <v>0</v>
      </c>
      <c r="AA27" s="14" t="s">
        <v>35</v>
      </c>
      <c r="AB27" s="27">
        <f t="shared" si="11"/>
        <v>-0.69</v>
      </c>
      <c r="AC27" s="28">
        <v>0.41139835185185192</v>
      </c>
      <c r="AD27" s="25">
        <f t="shared" si="12"/>
        <v>-9.6514053344444442</v>
      </c>
      <c r="AE27" s="25">
        <v>-8.68</v>
      </c>
      <c r="AF27" s="25">
        <v>-35.710499999999897</v>
      </c>
      <c r="AG27" s="25">
        <v>0</v>
      </c>
    </row>
    <row r="28" spans="1:33" ht="15.75" customHeight="1">
      <c r="A28" s="14" t="s">
        <v>54</v>
      </c>
      <c r="B28" s="14" t="s">
        <v>112</v>
      </c>
      <c r="C28" s="15">
        <f t="shared" si="1"/>
        <v>71.88</v>
      </c>
      <c r="D28" s="16">
        <v>8</v>
      </c>
      <c r="E28" s="16">
        <v>0</v>
      </c>
      <c r="F28" s="17">
        <v>575.04</v>
      </c>
      <c r="G28" s="17">
        <v>0</v>
      </c>
      <c r="H28" s="18">
        <f t="shared" si="2"/>
        <v>0</v>
      </c>
      <c r="I28" s="18">
        <f t="shared" si="3"/>
        <v>0.22453770554319061</v>
      </c>
      <c r="J28" s="17">
        <f t="shared" si="4"/>
        <v>129.11816219555632</v>
      </c>
      <c r="K28" s="17">
        <f t="shared" si="5"/>
        <v>16.13977027444454</v>
      </c>
      <c r="L28" s="16">
        <v>37</v>
      </c>
      <c r="M28" s="19">
        <f t="shared" si="6"/>
        <v>0.21621621621621623</v>
      </c>
      <c r="N28" s="16">
        <v>75</v>
      </c>
      <c r="O28" s="20">
        <f t="shared" ref="O28:P28" si="21">D28/7</f>
        <v>1.1428571428571428</v>
      </c>
      <c r="P28" s="20">
        <f t="shared" si="21"/>
        <v>0</v>
      </c>
      <c r="Q28" s="16">
        <f t="shared" si="8"/>
        <v>65</v>
      </c>
      <c r="R28" s="16"/>
      <c r="S28" s="21">
        <v>2.0948275862068968</v>
      </c>
      <c r="T28" s="14">
        <v>100</v>
      </c>
      <c r="U28" s="22" t="s">
        <v>34</v>
      </c>
      <c r="V28" s="23" t="s">
        <v>34</v>
      </c>
      <c r="W28" s="30">
        <v>0</v>
      </c>
      <c r="X28" s="24">
        <f t="shared" si="9"/>
        <v>0</v>
      </c>
      <c r="Y28" s="25">
        <f t="shared" si="10"/>
        <v>0</v>
      </c>
      <c r="Z28" s="30">
        <v>0</v>
      </c>
      <c r="AA28" s="14" t="s">
        <v>35</v>
      </c>
      <c r="AB28" s="27">
        <f t="shared" si="11"/>
        <v>-0.69</v>
      </c>
      <c r="AC28" s="28">
        <v>0.41139835185185192</v>
      </c>
      <c r="AD28" s="25">
        <f t="shared" si="12"/>
        <v>-4.5418378044444445</v>
      </c>
      <c r="AE28" s="25">
        <v>-8.68</v>
      </c>
      <c r="AF28" s="25">
        <v>-35.710499999999897</v>
      </c>
      <c r="AG28" s="25">
        <v>0</v>
      </c>
    </row>
    <row r="29" spans="1:33" ht="15.75" customHeight="1">
      <c r="A29" s="14" t="s">
        <v>55</v>
      </c>
      <c r="B29" s="14" t="s">
        <v>68</v>
      </c>
      <c r="C29" s="15">
        <f t="shared" si="1"/>
        <v>70.150000000000006</v>
      </c>
      <c r="D29" s="16">
        <v>10</v>
      </c>
      <c r="E29" s="16">
        <v>0</v>
      </c>
      <c r="F29" s="17">
        <v>701.5</v>
      </c>
      <c r="G29" s="17">
        <v>0</v>
      </c>
      <c r="H29" s="18">
        <f t="shared" si="2"/>
        <v>0</v>
      </c>
      <c r="I29" s="18">
        <f t="shared" si="3"/>
        <v>0.20911290483883882</v>
      </c>
      <c r="J29" s="17">
        <f t="shared" si="4"/>
        <v>146.69270274444543</v>
      </c>
      <c r="K29" s="17">
        <f t="shared" si="5"/>
        <v>14.669270274444543</v>
      </c>
      <c r="L29" s="16">
        <v>39</v>
      </c>
      <c r="M29" s="19">
        <f t="shared" si="6"/>
        <v>0.25641025641025639</v>
      </c>
      <c r="N29" s="16">
        <v>72</v>
      </c>
      <c r="O29" s="20">
        <f t="shared" ref="O29:P29" si="22">D29/7</f>
        <v>1.4285714285714286</v>
      </c>
      <c r="P29" s="20">
        <f t="shared" si="22"/>
        <v>0</v>
      </c>
      <c r="Q29" s="16">
        <f t="shared" si="8"/>
        <v>50</v>
      </c>
      <c r="R29" s="16"/>
      <c r="S29" s="21">
        <v>2.666666666666667</v>
      </c>
      <c r="T29" s="14">
        <v>100</v>
      </c>
      <c r="U29" s="22" t="s">
        <v>34</v>
      </c>
      <c r="V29" s="23" t="s">
        <v>34</v>
      </c>
      <c r="W29" s="30">
        <v>0</v>
      </c>
      <c r="X29" s="24">
        <f t="shared" si="9"/>
        <v>0</v>
      </c>
      <c r="Y29" s="25">
        <f t="shared" si="10"/>
        <v>0</v>
      </c>
      <c r="Z29" s="30">
        <v>0</v>
      </c>
      <c r="AA29" s="14" t="s">
        <v>35</v>
      </c>
      <c r="AB29" s="27">
        <f t="shared" si="11"/>
        <v>-0.69</v>
      </c>
      <c r="AC29" s="28">
        <v>0.41139835185185192</v>
      </c>
      <c r="AD29" s="25">
        <f t="shared" si="12"/>
        <v>-5.6772972555555556</v>
      </c>
      <c r="AE29" s="25">
        <v>-8.68</v>
      </c>
      <c r="AF29" s="25">
        <v>-35.710499999999897</v>
      </c>
      <c r="AG29" s="25">
        <v>0</v>
      </c>
    </row>
    <row r="30" spans="1:33" ht="15.75" customHeight="1">
      <c r="A30" s="14" t="s">
        <v>57</v>
      </c>
      <c r="B30" s="14" t="s">
        <v>113</v>
      </c>
      <c r="C30" s="15">
        <f t="shared" si="1"/>
        <v>69.95</v>
      </c>
      <c r="D30" s="16">
        <v>6</v>
      </c>
      <c r="E30" s="16">
        <v>0</v>
      </c>
      <c r="F30" s="17">
        <v>419.7</v>
      </c>
      <c r="G30" s="17">
        <v>0</v>
      </c>
      <c r="H30" s="18">
        <f t="shared" si="2"/>
        <v>0</v>
      </c>
      <c r="I30" s="18">
        <f t="shared" si="3"/>
        <v>0.22585365703280116</v>
      </c>
      <c r="J30" s="17">
        <f t="shared" si="4"/>
        <v>94.790779856666646</v>
      </c>
      <c r="K30" s="17">
        <f t="shared" si="5"/>
        <v>15.798463309444442</v>
      </c>
      <c r="L30" s="16">
        <v>35</v>
      </c>
      <c r="M30" s="19">
        <f t="shared" si="6"/>
        <v>0.17142857142857143</v>
      </c>
      <c r="N30" s="16">
        <v>63</v>
      </c>
      <c r="O30" s="20">
        <f t="shared" ref="O30:P30" si="23">D30/7</f>
        <v>0.8571428571428571</v>
      </c>
      <c r="P30" s="20">
        <f t="shared" si="23"/>
        <v>0</v>
      </c>
      <c r="Q30" s="16">
        <f t="shared" si="8"/>
        <v>73</v>
      </c>
      <c r="R30" s="16"/>
      <c r="S30" s="21">
        <v>2.685314685314685</v>
      </c>
      <c r="T30" s="14">
        <v>100</v>
      </c>
      <c r="U30" s="22" t="s">
        <v>34</v>
      </c>
      <c r="V30" s="23" t="s">
        <v>34</v>
      </c>
      <c r="W30" s="30">
        <v>0</v>
      </c>
      <c r="X30" s="24">
        <f t="shared" si="9"/>
        <v>0</v>
      </c>
      <c r="Y30" s="25">
        <f t="shared" si="10"/>
        <v>0</v>
      </c>
      <c r="Z30" s="30">
        <v>0</v>
      </c>
      <c r="AA30" s="14" t="s">
        <v>35</v>
      </c>
      <c r="AB30" s="27">
        <f t="shared" si="11"/>
        <v>-0.69</v>
      </c>
      <c r="AC30" s="28">
        <v>0.41139835185185192</v>
      </c>
      <c r="AD30" s="25">
        <f t="shared" si="12"/>
        <v>-3.4063783533333334</v>
      </c>
      <c r="AE30" s="25">
        <v>-8.68</v>
      </c>
      <c r="AF30" s="25">
        <v>-34.411306965000001</v>
      </c>
      <c r="AG30" s="25">
        <v>0</v>
      </c>
    </row>
    <row r="31" spans="1:33" ht="15.75" customHeight="1">
      <c r="A31" s="14" t="s">
        <v>58</v>
      </c>
      <c r="B31" s="14" t="s">
        <v>68</v>
      </c>
      <c r="C31" s="15">
        <f t="shared" si="1"/>
        <v>69.397272727272735</v>
      </c>
      <c r="D31" s="16">
        <v>11</v>
      </c>
      <c r="E31" s="16">
        <v>0</v>
      </c>
      <c r="F31" s="17">
        <v>763.37000000000012</v>
      </c>
      <c r="G31" s="17">
        <v>0</v>
      </c>
      <c r="H31" s="18">
        <f t="shared" si="2"/>
        <v>0</v>
      </c>
      <c r="I31" s="18">
        <f t="shared" si="3"/>
        <v>0.22088252931591365</v>
      </c>
      <c r="J31" s="17">
        <f t="shared" si="4"/>
        <v>168.61509640388903</v>
      </c>
      <c r="K31" s="17">
        <f t="shared" si="5"/>
        <v>15.328645127626276</v>
      </c>
      <c r="L31" s="16">
        <v>39</v>
      </c>
      <c r="M31" s="19">
        <f t="shared" si="6"/>
        <v>0.28205128205128205</v>
      </c>
      <c r="N31" s="16">
        <v>51</v>
      </c>
      <c r="O31" s="20">
        <f t="shared" ref="O31:P31" si="24">D31/7</f>
        <v>1.5714285714285714</v>
      </c>
      <c r="P31" s="20">
        <f t="shared" si="24"/>
        <v>0</v>
      </c>
      <c r="Q31" s="16">
        <f t="shared" si="8"/>
        <v>32</v>
      </c>
      <c r="R31" s="16"/>
      <c r="S31" s="21">
        <v>3.68965517241379</v>
      </c>
      <c r="T31" s="14">
        <v>100</v>
      </c>
      <c r="U31" s="22" t="s">
        <v>34</v>
      </c>
      <c r="V31" s="23" t="s">
        <v>103</v>
      </c>
      <c r="W31" s="30">
        <v>0</v>
      </c>
      <c r="X31" s="24">
        <f t="shared" si="9"/>
        <v>0</v>
      </c>
      <c r="Y31" s="25">
        <f t="shared" si="10"/>
        <v>0</v>
      </c>
      <c r="Z31" s="30">
        <v>0</v>
      </c>
      <c r="AA31" s="14" t="s">
        <v>35</v>
      </c>
      <c r="AB31" s="27">
        <f t="shared" si="11"/>
        <v>-0.69</v>
      </c>
      <c r="AC31" s="28">
        <v>0.41139835185185192</v>
      </c>
      <c r="AD31" s="25">
        <f t="shared" si="12"/>
        <v>-6.2450269811111117</v>
      </c>
      <c r="AE31" s="25">
        <v>-8.68</v>
      </c>
      <c r="AF31" s="25">
        <v>-34.411306965000001</v>
      </c>
      <c r="AG31" s="25">
        <v>0</v>
      </c>
    </row>
    <row r="32" spans="1:33" ht="15.75" customHeight="1">
      <c r="A32" s="14" t="s">
        <v>60</v>
      </c>
      <c r="B32" s="14"/>
      <c r="C32" s="15">
        <f t="shared" si="1"/>
        <v>67.286666666666676</v>
      </c>
      <c r="D32" s="16">
        <v>9</v>
      </c>
      <c r="E32" s="16">
        <v>0</v>
      </c>
      <c r="F32" s="17">
        <v>605.58000000000004</v>
      </c>
      <c r="G32" s="17">
        <v>0</v>
      </c>
      <c r="H32" s="18">
        <f t="shared" si="2"/>
        <v>0</v>
      </c>
      <c r="I32" s="18">
        <f t="shared" si="3"/>
        <v>0.20114876611678068</v>
      </c>
      <c r="J32" s="17">
        <f t="shared" si="4"/>
        <v>121.81166978500005</v>
      </c>
      <c r="K32" s="17">
        <f t="shared" si="5"/>
        <v>13.534629976111116</v>
      </c>
      <c r="L32" s="16">
        <v>33</v>
      </c>
      <c r="M32" s="19">
        <f t="shared" si="6"/>
        <v>0.27272727272727271</v>
      </c>
      <c r="N32" s="16">
        <v>43</v>
      </c>
      <c r="O32" s="20">
        <f t="shared" ref="O32:P32" si="25">D32/7</f>
        <v>1.2857142857142858</v>
      </c>
      <c r="P32" s="20">
        <f t="shared" si="25"/>
        <v>0</v>
      </c>
      <c r="Q32" s="16">
        <f t="shared" si="8"/>
        <v>33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3.737704918032787</v>
      </c>
      <c r="T32" s="14">
        <f ca="1">IFERROR(__xludf.DUMMYFUNCTION("IFERROR(VLOOKUP($B$2,IMPORTRANGE(""https://docs.google.com/spreadsheets/d/1KiWZV1ko8G7lnRucBRBd29jj3Be6ltMfljMDqzOkQmI/edit#gid=1381463014"",""Lookup!A:D""),4,FALSE),"""")"),100)</f>
        <v>100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23" t="str">
        <f ca="1">IFERROR(__xludf.DUMMYFUNCTION("IFERROR(VLOOKUP($B$2,IMPORTRANGE(""https://docs.google.com/spreadsheets/d/1KiWZV1ko8G7lnRucBRBd29jj3Be6ltMfljMDqzOkQmI/edit#gid=1381463014"",""Lookup!A:D""),2,FALSE),"""")"),"No Transit, But 100 At Factory 50-75 days from Earliest Arrival")</f>
        <v>No Transit, But 100 At Factory 50-75 days from Earliest Arrival</v>
      </c>
      <c r="W32" s="30">
        <v>0</v>
      </c>
      <c r="X32" s="24">
        <f t="shared" si="9"/>
        <v>0</v>
      </c>
      <c r="Y32" s="25">
        <f t="shared" si="10"/>
        <v>0</v>
      </c>
      <c r="Z32" s="30">
        <v>0</v>
      </c>
      <c r="AA32" s="14" t="s">
        <v>35</v>
      </c>
      <c r="AB32" s="27">
        <f t="shared" si="11"/>
        <v>-0.69</v>
      </c>
      <c r="AC32" s="28">
        <v>0.41139835185185192</v>
      </c>
      <c r="AD32" s="25">
        <f t="shared" si="12"/>
        <v>-5.1095675299999996</v>
      </c>
      <c r="AE32" s="25">
        <v>-8.68</v>
      </c>
      <c r="AF32" s="25">
        <v>-34.411306965000001</v>
      </c>
      <c r="AG32" s="25">
        <v>0</v>
      </c>
    </row>
    <row r="33" spans="1:33" ht="15.75" customHeight="1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16"/>
      <c r="S33" s="21"/>
      <c r="T33" s="31"/>
      <c r="U33" s="36"/>
      <c r="V33" s="1"/>
      <c r="W33" s="31"/>
      <c r="X33" s="31"/>
      <c r="Y33" s="31"/>
      <c r="Z33" s="31"/>
      <c r="AA33" s="2"/>
      <c r="AB33" s="31"/>
      <c r="AC33" s="31"/>
      <c r="AD33" s="31"/>
      <c r="AE33" s="37"/>
      <c r="AF33" s="37"/>
      <c r="AG33" s="37"/>
    </row>
    <row r="34" spans="1:33" ht="15.75" customHeight="1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6"/>
      <c r="V34" s="1"/>
      <c r="W34" s="31"/>
      <c r="X34" s="31"/>
      <c r="Y34" s="31"/>
      <c r="Z34" s="31"/>
      <c r="AA34" s="2"/>
      <c r="AB34" s="31"/>
      <c r="AC34" s="31"/>
      <c r="AD34" s="31"/>
      <c r="AE34" s="37"/>
      <c r="AF34" s="37"/>
      <c r="AG34" s="37"/>
    </row>
    <row r="35" spans="1:33" ht="15.75" customHeight="1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6"/>
      <c r="V35" s="1"/>
      <c r="W35" s="31"/>
      <c r="X35" s="31"/>
      <c r="Y35" s="31"/>
      <c r="Z35" s="31"/>
      <c r="AA35" s="2"/>
      <c r="AB35" s="31"/>
      <c r="AC35" s="31"/>
      <c r="AD35" s="31"/>
      <c r="AE35" s="37"/>
      <c r="AF35" s="37"/>
      <c r="AG35" s="37"/>
    </row>
    <row r="36" spans="1:33" ht="15.75" customHeight="1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6"/>
      <c r="V36" s="1"/>
      <c r="W36" s="31"/>
      <c r="X36" s="31"/>
      <c r="Y36" s="31"/>
      <c r="Z36" s="31"/>
      <c r="AA36" s="2"/>
      <c r="AB36" s="31"/>
      <c r="AC36" s="31"/>
      <c r="AD36" s="31"/>
      <c r="AE36" s="37"/>
      <c r="AF36" s="37"/>
      <c r="AG36" s="37"/>
    </row>
    <row r="37" spans="1:33" ht="15.75" customHeight="1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6"/>
      <c r="V37" s="1"/>
      <c r="W37" s="31"/>
      <c r="X37" s="31"/>
      <c r="Y37" s="31"/>
      <c r="Z37" s="31"/>
      <c r="AA37" s="2"/>
      <c r="AB37" s="31"/>
      <c r="AC37" s="31"/>
      <c r="AD37" s="31"/>
      <c r="AE37" s="37"/>
      <c r="AF37" s="37"/>
      <c r="AG37" s="37"/>
    </row>
    <row r="38" spans="1:33" ht="15.75" customHeight="1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6"/>
      <c r="V38" s="1"/>
      <c r="W38" s="31"/>
      <c r="X38" s="31"/>
      <c r="Y38" s="31"/>
      <c r="Z38" s="31"/>
      <c r="AA38" s="2"/>
      <c r="AB38" s="31"/>
      <c r="AC38" s="31"/>
      <c r="AD38" s="31"/>
      <c r="AE38" s="37"/>
      <c r="AF38" s="37"/>
      <c r="AG38" s="37"/>
    </row>
    <row r="39" spans="1:33" ht="15.75" customHeight="1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6"/>
      <c r="V39" s="1"/>
      <c r="W39" s="31"/>
      <c r="X39" s="31"/>
      <c r="Y39" s="31"/>
      <c r="Z39" s="31"/>
      <c r="AA39" s="2"/>
      <c r="AB39" s="31"/>
      <c r="AC39" s="31"/>
      <c r="AD39" s="31"/>
      <c r="AE39" s="37"/>
      <c r="AF39" s="37"/>
      <c r="AG39" s="37"/>
    </row>
    <row r="40" spans="1:33" ht="15.75" customHeight="1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6"/>
      <c r="V40" s="1"/>
      <c r="W40" s="31"/>
      <c r="X40" s="31"/>
      <c r="Y40" s="31"/>
      <c r="Z40" s="31"/>
      <c r="AA40" s="2"/>
      <c r="AB40" s="31"/>
      <c r="AC40" s="31"/>
      <c r="AD40" s="31"/>
      <c r="AE40" s="37"/>
      <c r="AF40" s="37"/>
      <c r="AG40" s="37"/>
    </row>
    <row r="41" spans="1:33" ht="15.75" customHeight="1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6"/>
      <c r="V41" s="1"/>
      <c r="W41" s="31"/>
      <c r="X41" s="31"/>
      <c r="Y41" s="31"/>
      <c r="Z41" s="31"/>
      <c r="AA41" s="2"/>
      <c r="AB41" s="31"/>
      <c r="AC41" s="31"/>
      <c r="AD41" s="31"/>
      <c r="AE41" s="37"/>
      <c r="AF41" s="37"/>
      <c r="AG41" s="37"/>
    </row>
    <row r="42" spans="1:33" ht="15.75" customHeight="1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6"/>
      <c r="V42" s="1"/>
      <c r="W42" s="31"/>
      <c r="X42" s="31"/>
      <c r="Y42" s="31"/>
      <c r="Z42" s="31"/>
      <c r="AA42" s="2"/>
      <c r="AB42" s="31"/>
      <c r="AC42" s="31"/>
      <c r="AD42" s="31"/>
      <c r="AE42" s="37"/>
      <c r="AF42" s="37"/>
      <c r="AG42" s="37"/>
    </row>
    <row r="43" spans="1:33" ht="15.75" customHeight="1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6"/>
      <c r="V43" s="1"/>
      <c r="W43" s="31"/>
      <c r="X43" s="31"/>
      <c r="Y43" s="31"/>
      <c r="Z43" s="31"/>
      <c r="AA43" s="2"/>
      <c r="AB43" s="31"/>
      <c r="AC43" s="31"/>
      <c r="AD43" s="31"/>
      <c r="AE43" s="37"/>
      <c r="AF43" s="37"/>
      <c r="AG43" s="37"/>
    </row>
    <row r="44" spans="1:33" ht="15.75" customHeight="1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6"/>
      <c r="V44" s="1"/>
      <c r="W44" s="31"/>
      <c r="X44" s="31"/>
      <c r="Y44" s="31"/>
      <c r="Z44" s="31"/>
      <c r="AA44" s="2"/>
      <c r="AB44" s="31"/>
      <c r="AC44" s="31"/>
      <c r="AD44" s="31"/>
      <c r="AE44" s="37"/>
      <c r="AF44" s="37"/>
      <c r="AG44" s="37"/>
    </row>
    <row r="45" spans="1:33" ht="15.75" customHeight="1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6"/>
      <c r="V45" s="1"/>
      <c r="W45" s="31"/>
      <c r="X45" s="31"/>
      <c r="Y45" s="31"/>
      <c r="Z45" s="31"/>
      <c r="AA45" s="2"/>
      <c r="AB45" s="31"/>
      <c r="AC45" s="31"/>
      <c r="AD45" s="31"/>
      <c r="AE45" s="37"/>
      <c r="AF45" s="37"/>
      <c r="AG45" s="37"/>
    </row>
    <row r="46" spans="1:33" ht="15.75" customHeight="1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6"/>
      <c r="V46" s="1"/>
      <c r="W46" s="31"/>
      <c r="X46" s="31"/>
      <c r="Y46" s="31"/>
      <c r="Z46" s="31"/>
      <c r="AA46" s="2"/>
      <c r="AB46" s="31"/>
      <c r="AC46" s="31"/>
      <c r="AD46" s="31"/>
      <c r="AE46" s="37"/>
      <c r="AF46" s="37"/>
      <c r="AG46" s="37"/>
    </row>
    <row r="47" spans="1:33" ht="15.75" customHeight="1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6"/>
      <c r="V47" s="1"/>
      <c r="W47" s="31"/>
      <c r="X47" s="31"/>
      <c r="Y47" s="31"/>
      <c r="Z47" s="31"/>
      <c r="AA47" s="2"/>
      <c r="AB47" s="31"/>
      <c r="AC47" s="31"/>
      <c r="AD47" s="31"/>
      <c r="AE47" s="37"/>
      <c r="AF47" s="37"/>
      <c r="AG47" s="37"/>
    </row>
    <row r="48" spans="1:33" ht="15.75" customHeight="1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6"/>
      <c r="V48" s="1"/>
      <c r="W48" s="31"/>
      <c r="X48" s="31"/>
      <c r="Y48" s="31"/>
      <c r="Z48" s="31"/>
      <c r="AA48" s="2"/>
      <c r="AB48" s="31"/>
      <c r="AC48" s="31"/>
      <c r="AD48" s="31"/>
      <c r="AE48" s="37"/>
      <c r="AF48" s="37"/>
      <c r="AG48" s="37"/>
    </row>
    <row r="49" spans="1:33" ht="15.75" customHeight="1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6"/>
      <c r="V49" s="1"/>
      <c r="W49" s="31"/>
      <c r="X49" s="31"/>
      <c r="Y49" s="31"/>
      <c r="Z49" s="31"/>
      <c r="AA49" s="2"/>
      <c r="AB49" s="31"/>
      <c r="AC49" s="31"/>
      <c r="AD49" s="31"/>
      <c r="AE49" s="37"/>
      <c r="AF49" s="37"/>
      <c r="AG49" s="37"/>
    </row>
    <row r="50" spans="1:33" ht="15.75" customHeight="1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6"/>
      <c r="V50" s="1"/>
      <c r="W50" s="31"/>
      <c r="X50" s="31"/>
      <c r="Y50" s="31"/>
      <c r="Z50" s="31"/>
      <c r="AA50" s="2"/>
      <c r="AB50" s="31"/>
      <c r="AC50" s="31"/>
      <c r="AD50" s="31"/>
      <c r="AE50" s="37"/>
      <c r="AF50" s="37"/>
      <c r="AG50" s="37"/>
    </row>
    <row r="51" spans="1:33" ht="15.75" customHeight="1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6"/>
      <c r="V51" s="1"/>
      <c r="W51" s="31"/>
      <c r="X51" s="31"/>
      <c r="Y51" s="31"/>
      <c r="Z51" s="31"/>
      <c r="AA51" s="2"/>
      <c r="AB51" s="31"/>
      <c r="AC51" s="31"/>
      <c r="AD51" s="31"/>
      <c r="AE51" s="37"/>
      <c r="AF51" s="37"/>
      <c r="AG51" s="37"/>
    </row>
    <row r="52" spans="1:33" ht="15.75" customHeight="1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6"/>
      <c r="V52" s="1"/>
      <c r="W52" s="31"/>
      <c r="X52" s="31"/>
      <c r="Y52" s="31"/>
      <c r="Z52" s="31"/>
      <c r="AA52" s="2"/>
      <c r="AB52" s="31"/>
      <c r="AC52" s="31"/>
      <c r="AD52" s="31"/>
      <c r="AE52" s="37"/>
      <c r="AF52" s="37"/>
      <c r="AG52" s="37"/>
    </row>
    <row r="53" spans="1:33" ht="15.75" customHeight="1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6"/>
      <c r="V53" s="1"/>
      <c r="W53" s="31"/>
      <c r="X53" s="31"/>
      <c r="Y53" s="31"/>
      <c r="Z53" s="31"/>
      <c r="AA53" s="2"/>
      <c r="AB53" s="31"/>
      <c r="AC53" s="31"/>
      <c r="AD53" s="31"/>
      <c r="AE53" s="37"/>
      <c r="AF53" s="37"/>
      <c r="AG53" s="37"/>
    </row>
    <row r="54" spans="1:33" ht="15.75" customHeight="1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6"/>
      <c r="V54" s="1"/>
      <c r="W54" s="31"/>
      <c r="X54" s="31"/>
      <c r="Y54" s="31"/>
      <c r="Z54" s="31"/>
      <c r="AA54" s="2"/>
      <c r="AB54" s="31"/>
      <c r="AC54" s="31"/>
      <c r="AD54" s="31"/>
      <c r="AE54" s="37"/>
      <c r="AF54" s="37"/>
      <c r="AG54" s="37"/>
    </row>
    <row r="55" spans="1:33" ht="15.75" customHeight="1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6"/>
      <c r="V55" s="1"/>
      <c r="W55" s="31"/>
      <c r="X55" s="31"/>
      <c r="Y55" s="31"/>
      <c r="Z55" s="31"/>
      <c r="AA55" s="2"/>
      <c r="AB55" s="31"/>
      <c r="AC55" s="31"/>
      <c r="AD55" s="31"/>
      <c r="AE55" s="37"/>
      <c r="AF55" s="37"/>
      <c r="AG55" s="37"/>
    </row>
    <row r="56" spans="1:33" ht="15.75" customHeight="1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6"/>
      <c r="V56" s="1"/>
      <c r="W56" s="31"/>
      <c r="X56" s="31"/>
      <c r="Y56" s="31"/>
      <c r="Z56" s="31"/>
      <c r="AA56" s="2"/>
      <c r="AB56" s="31"/>
      <c r="AC56" s="31"/>
      <c r="AD56" s="31"/>
      <c r="AE56" s="37"/>
      <c r="AF56" s="37"/>
      <c r="AG56" s="37"/>
    </row>
    <row r="57" spans="1:33" ht="15.75" customHeight="1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6"/>
      <c r="V57" s="1"/>
      <c r="W57" s="31"/>
      <c r="X57" s="31"/>
      <c r="Y57" s="31"/>
      <c r="Z57" s="31"/>
      <c r="AA57" s="2"/>
      <c r="AB57" s="31"/>
      <c r="AC57" s="31"/>
      <c r="AD57" s="31"/>
      <c r="AE57" s="37"/>
      <c r="AF57" s="37"/>
      <c r="AG57" s="37"/>
    </row>
    <row r="58" spans="1:33" ht="15.75" customHeight="1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6"/>
      <c r="V58" s="1"/>
      <c r="W58" s="31"/>
      <c r="X58" s="31"/>
      <c r="Y58" s="31"/>
      <c r="Z58" s="31"/>
      <c r="AA58" s="2"/>
      <c r="AB58" s="31"/>
      <c r="AC58" s="31"/>
      <c r="AD58" s="31"/>
      <c r="AE58" s="37"/>
      <c r="AF58" s="37"/>
      <c r="AG58" s="37"/>
    </row>
    <row r="59" spans="1:33" ht="15.75" customHeight="1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6"/>
      <c r="V59" s="1"/>
      <c r="W59" s="31"/>
      <c r="X59" s="31"/>
      <c r="Y59" s="31"/>
      <c r="Z59" s="31"/>
      <c r="AA59" s="2"/>
      <c r="AB59" s="31"/>
      <c r="AC59" s="31"/>
      <c r="AD59" s="31"/>
      <c r="AE59" s="37"/>
      <c r="AF59" s="37"/>
      <c r="AG59" s="37"/>
    </row>
    <row r="60" spans="1:33" ht="15.75" customHeight="1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6"/>
      <c r="V60" s="1"/>
      <c r="W60" s="31"/>
      <c r="X60" s="31"/>
      <c r="Y60" s="31"/>
      <c r="Z60" s="31"/>
      <c r="AA60" s="2"/>
      <c r="AB60" s="31"/>
      <c r="AC60" s="31"/>
      <c r="AD60" s="31"/>
      <c r="AE60" s="37"/>
      <c r="AF60" s="37"/>
      <c r="AG60" s="37"/>
    </row>
    <row r="61" spans="1:33" ht="15.75" customHeight="1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6"/>
      <c r="V61" s="1"/>
      <c r="W61" s="31"/>
      <c r="X61" s="31"/>
      <c r="Y61" s="31"/>
      <c r="Z61" s="31"/>
      <c r="AA61" s="2"/>
      <c r="AB61" s="31"/>
      <c r="AC61" s="31"/>
      <c r="AD61" s="31"/>
      <c r="AE61" s="37"/>
      <c r="AF61" s="37"/>
      <c r="AG61" s="37"/>
    </row>
    <row r="62" spans="1:33" ht="15.75" customHeight="1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6"/>
      <c r="V62" s="1"/>
      <c r="W62" s="31"/>
      <c r="X62" s="31"/>
      <c r="Y62" s="31"/>
      <c r="Z62" s="31"/>
      <c r="AA62" s="2"/>
      <c r="AB62" s="31"/>
      <c r="AC62" s="31"/>
      <c r="AD62" s="31"/>
      <c r="AE62" s="37"/>
      <c r="AF62" s="37"/>
      <c r="AG62" s="37"/>
    </row>
    <row r="63" spans="1:33" ht="15.75" customHeight="1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6"/>
      <c r="V63" s="1"/>
      <c r="W63" s="31"/>
      <c r="X63" s="31"/>
      <c r="Y63" s="31"/>
      <c r="Z63" s="31"/>
      <c r="AA63" s="2"/>
      <c r="AB63" s="31"/>
      <c r="AC63" s="31"/>
      <c r="AD63" s="31"/>
      <c r="AE63" s="37"/>
      <c r="AF63" s="37"/>
      <c r="AG63" s="37"/>
    </row>
    <row r="64" spans="1:33" ht="15.75" customHeight="1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6"/>
      <c r="V64" s="1"/>
      <c r="W64" s="31"/>
      <c r="X64" s="31"/>
      <c r="Y64" s="31"/>
      <c r="Z64" s="31"/>
      <c r="AA64" s="2"/>
      <c r="AB64" s="31"/>
      <c r="AC64" s="31"/>
      <c r="AD64" s="31"/>
      <c r="AE64" s="37"/>
      <c r="AF64" s="37"/>
      <c r="AG64" s="37"/>
    </row>
    <row r="65" spans="1:33" ht="15.75" customHeight="1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6"/>
      <c r="V65" s="1"/>
      <c r="W65" s="31"/>
      <c r="X65" s="31"/>
      <c r="Y65" s="31"/>
      <c r="Z65" s="31"/>
      <c r="AA65" s="2"/>
      <c r="AB65" s="31"/>
      <c r="AC65" s="31"/>
      <c r="AD65" s="31"/>
      <c r="AE65" s="37"/>
      <c r="AF65" s="37"/>
      <c r="AG65" s="37"/>
    </row>
    <row r="66" spans="1:33" ht="15.75" customHeight="1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6"/>
      <c r="V66" s="1"/>
      <c r="W66" s="31"/>
      <c r="X66" s="31"/>
      <c r="Y66" s="31"/>
      <c r="Z66" s="31"/>
      <c r="AA66" s="2"/>
      <c r="AB66" s="31"/>
      <c r="AC66" s="31"/>
      <c r="AD66" s="31"/>
      <c r="AE66" s="37"/>
      <c r="AF66" s="37"/>
      <c r="AG66" s="37"/>
    </row>
    <row r="67" spans="1:33" ht="15.75" customHeight="1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6"/>
      <c r="V67" s="1"/>
      <c r="W67" s="31"/>
      <c r="X67" s="31"/>
      <c r="Y67" s="31"/>
      <c r="Z67" s="31"/>
      <c r="AA67" s="2"/>
      <c r="AB67" s="31"/>
      <c r="AC67" s="31"/>
      <c r="AD67" s="31"/>
      <c r="AE67" s="37"/>
      <c r="AF67" s="37"/>
      <c r="AG67" s="37"/>
    </row>
    <row r="68" spans="1:33" ht="15.75" customHeight="1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6"/>
      <c r="V68" s="1"/>
      <c r="W68" s="31"/>
      <c r="X68" s="31"/>
      <c r="Y68" s="31"/>
      <c r="Z68" s="31"/>
      <c r="AA68" s="2"/>
      <c r="AB68" s="31"/>
      <c r="AC68" s="31"/>
      <c r="AD68" s="31"/>
      <c r="AE68" s="37"/>
      <c r="AF68" s="37"/>
      <c r="AG68" s="37"/>
    </row>
    <row r="69" spans="1:33" ht="15.75" customHeight="1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6"/>
      <c r="V69" s="1"/>
      <c r="W69" s="31"/>
      <c r="X69" s="31"/>
      <c r="Y69" s="31"/>
      <c r="Z69" s="31"/>
      <c r="AA69" s="2"/>
      <c r="AB69" s="31"/>
      <c r="AC69" s="31"/>
      <c r="AD69" s="31"/>
      <c r="AE69" s="37"/>
      <c r="AF69" s="37"/>
      <c r="AG69" s="37"/>
    </row>
    <row r="70" spans="1:33" ht="15.75" customHeight="1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6"/>
      <c r="V70" s="1"/>
      <c r="W70" s="31"/>
      <c r="X70" s="31"/>
      <c r="Y70" s="31"/>
      <c r="Z70" s="31"/>
      <c r="AA70" s="2"/>
      <c r="AB70" s="31"/>
      <c r="AC70" s="31"/>
      <c r="AD70" s="31"/>
      <c r="AE70" s="37"/>
      <c r="AF70" s="37"/>
      <c r="AG70" s="37"/>
    </row>
    <row r="71" spans="1:33" ht="15.75" customHeight="1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6"/>
      <c r="V71" s="1"/>
      <c r="W71" s="31"/>
      <c r="X71" s="31"/>
      <c r="Y71" s="31"/>
      <c r="Z71" s="31"/>
      <c r="AA71" s="2"/>
      <c r="AB71" s="31"/>
      <c r="AC71" s="31"/>
      <c r="AD71" s="31"/>
      <c r="AE71" s="37"/>
      <c r="AF71" s="37"/>
      <c r="AG71" s="37"/>
    </row>
    <row r="72" spans="1:33" ht="15.75" customHeight="1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6"/>
      <c r="V72" s="1"/>
      <c r="W72" s="31"/>
      <c r="X72" s="31"/>
      <c r="Y72" s="31"/>
      <c r="Z72" s="31"/>
      <c r="AA72" s="2"/>
      <c r="AB72" s="31"/>
      <c r="AC72" s="31"/>
      <c r="AD72" s="31"/>
      <c r="AE72" s="37"/>
      <c r="AF72" s="37"/>
      <c r="AG72" s="37"/>
    </row>
    <row r="73" spans="1:33" ht="15.75" customHeight="1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6"/>
      <c r="V73" s="1"/>
      <c r="W73" s="31"/>
      <c r="X73" s="31"/>
      <c r="Y73" s="31"/>
      <c r="Z73" s="31"/>
      <c r="AA73" s="2"/>
      <c r="AB73" s="31"/>
      <c r="AC73" s="31"/>
      <c r="AD73" s="31"/>
      <c r="AE73" s="37"/>
      <c r="AF73" s="37"/>
      <c r="AG73" s="37"/>
    </row>
    <row r="74" spans="1:33" ht="15.75" customHeight="1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6"/>
      <c r="V74" s="1"/>
      <c r="W74" s="31"/>
      <c r="X74" s="31"/>
      <c r="Y74" s="31"/>
      <c r="Z74" s="31"/>
      <c r="AA74" s="2"/>
      <c r="AB74" s="31"/>
      <c r="AC74" s="31"/>
      <c r="AD74" s="31"/>
      <c r="AE74" s="37"/>
      <c r="AF74" s="37"/>
      <c r="AG74" s="37"/>
    </row>
    <row r="75" spans="1:33" ht="15.75" customHeight="1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6"/>
      <c r="V75" s="1"/>
      <c r="W75" s="31"/>
      <c r="X75" s="31"/>
      <c r="Y75" s="31"/>
      <c r="Z75" s="31"/>
      <c r="AA75" s="2"/>
      <c r="AB75" s="31"/>
      <c r="AC75" s="31"/>
      <c r="AD75" s="31"/>
      <c r="AE75" s="37"/>
      <c r="AF75" s="37"/>
      <c r="AG75" s="37"/>
    </row>
    <row r="76" spans="1:33" ht="15.75" customHeight="1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6"/>
      <c r="V76" s="1"/>
      <c r="W76" s="31"/>
      <c r="X76" s="31"/>
      <c r="Y76" s="31"/>
      <c r="Z76" s="31"/>
      <c r="AA76" s="2"/>
      <c r="AB76" s="31"/>
      <c r="AC76" s="31"/>
      <c r="AD76" s="31"/>
      <c r="AE76" s="37"/>
      <c r="AF76" s="37"/>
      <c r="AG76" s="37"/>
    </row>
    <row r="77" spans="1:33" ht="15.75" customHeight="1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6"/>
      <c r="V77" s="1"/>
      <c r="W77" s="31"/>
      <c r="X77" s="31"/>
      <c r="Y77" s="31"/>
      <c r="Z77" s="31"/>
      <c r="AA77" s="2"/>
      <c r="AB77" s="31"/>
      <c r="AC77" s="31"/>
      <c r="AD77" s="31"/>
      <c r="AE77" s="37"/>
      <c r="AF77" s="37"/>
      <c r="AG77" s="37"/>
    </row>
    <row r="78" spans="1:33" ht="15.75" customHeight="1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6"/>
      <c r="V78" s="1"/>
      <c r="W78" s="31"/>
      <c r="X78" s="31"/>
      <c r="Y78" s="31"/>
      <c r="Z78" s="31"/>
      <c r="AA78" s="2"/>
      <c r="AB78" s="31"/>
      <c r="AC78" s="31"/>
      <c r="AD78" s="31"/>
      <c r="AE78" s="37"/>
      <c r="AF78" s="37"/>
      <c r="AG78" s="37"/>
    </row>
    <row r="79" spans="1:33" ht="15.75" customHeight="1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6"/>
      <c r="V79" s="1"/>
      <c r="W79" s="31"/>
      <c r="X79" s="31"/>
      <c r="Y79" s="31"/>
      <c r="Z79" s="31"/>
      <c r="AA79" s="2"/>
      <c r="AB79" s="31"/>
      <c r="AC79" s="31"/>
      <c r="AD79" s="31"/>
      <c r="AE79" s="37"/>
      <c r="AF79" s="37"/>
      <c r="AG79" s="37"/>
    </row>
    <row r="80" spans="1:33" ht="15.75" customHeight="1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6"/>
      <c r="V80" s="1"/>
      <c r="W80" s="31"/>
      <c r="X80" s="31"/>
      <c r="Y80" s="31"/>
      <c r="Z80" s="31"/>
      <c r="AA80" s="2"/>
      <c r="AB80" s="31"/>
      <c r="AC80" s="31"/>
      <c r="AD80" s="31"/>
      <c r="AE80" s="37"/>
      <c r="AF80" s="37"/>
      <c r="AG80" s="37"/>
    </row>
    <row r="81" spans="1:33" ht="15.75" customHeight="1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6"/>
      <c r="V81" s="1"/>
      <c r="W81" s="31"/>
      <c r="X81" s="31"/>
      <c r="Y81" s="31"/>
      <c r="Z81" s="31"/>
      <c r="AA81" s="2"/>
      <c r="AB81" s="31"/>
      <c r="AC81" s="31"/>
      <c r="AD81" s="31"/>
      <c r="AE81" s="37"/>
      <c r="AF81" s="37"/>
      <c r="AG81" s="37"/>
    </row>
    <row r="82" spans="1:33" ht="15.75" customHeight="1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6"/>
      <c r="V82" s="1"/>
      <c r="W82" s="31"/>
      <c r="X82" s="31"/>
      <c r="Y82" s="31"/>
      <c r="Z82" s="31"/>
      <c r="AA82" s="2"/>
      <c r="AB82" s="31"/>
      <c r="AC82" s="31"/>
      <c r="AD82" s="31"/>
      <c r="AE82" s="37"/>
      <c r="AF82" s="37"/>
      <c r="AG82" s="37"/>
    </row>
    <row r="83" spans="1:33" ht="15.75" customHeight="1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6"/>
      <c r="V83" s="1"/>
      <c r="W83" s="31"/>
      <c r="X83" s="31"/>
      <c r="Y83" s="31"/>
      <c r="Z83" s="31"/>
      <c r="AA83" s="2"/>
      <c r="AB83" s="31"/>
      <c r="AC83" s="31"/>
      <c r="AD83" s="31"/>
      <c r="AE83" s="37"/>
      <c r="AF83" s="37"/>
      <c r="AG83" s="37"/>
    </row>
    <row r="84" spans="1:33" ht="15.75" customHeight="1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6"/>
      <c r="V84" s="1"/>
      <c r="W84" s="31"/>
      <c r="X84" s="31"/>
      <c r="Y84" s="31"/>
      <c r="Z84" s="31"/>
      <c r="AA84" s="2"/>
      <c r="AB84" s="31"/>
      <c r="AC84" s="31"/>
      <c r="AD84" s="31"/>
      <c r="AE84" s="37"/>
      <c r="AF84" s="37"/>
      <c r="AG84" s="37"/>
    </row>
    <row r="85" spans="1:33" ht="15.75" customHeight="1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6"/>
      <c r="V85" s="1"/>
      <c r="W85" s="31"/>
      <c r="X85" s="31"/>
      <c r="Y85" s="31"/>
      <c r="Z85" s="31"/>
      <c r="AA85" s="2"/>
      <c r="AB85" s="31"/>
      <c r="AC85" s="31"/>
      <c r="AD85" s="31"/>
      <c r="AE85" s="37"/>
      <c r="AF85" s="37"/>
      <c r="AG85" s="37"/>
    </row>
    <row r="86" spans="1:33" ht="15.75" customHeight="1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6"/>
      <c r="V86" s="1"/>
      <c r="W86" s="31"/>
      <c r="X86" s="31"/>
      <c r="Y86" s="31"/>
      <c r="Z86" s="31"/>
      <c r="AA86" s="2"/>
      <c r="AB86" s="31"/>
      <c r="AC86" s="31"/>
      <c r="AD86" s="31"/>
      <c r="AE86" s="37"/>
      <c r="AF86" s="37"/>
      <c r="AG86" s="37"/>
    </row>
    <row r="87" spans="1:33" ht="15.75" customHeight="1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6"/>
      <c r="V87" s="1"/>
      <c r="W87" s="31"/>
      <c r="X87" s="31"/>
      <c r="Y87" s="31"/>
      <c r="Z87" s="31"/>
      <c r="AA87" s="2"/>
      <c r="AB87" s="31"/>
      <c r="AC87" s="31"/>
      <c r="AD87" s="31"/>
      <c r="AE87" s="37"/>
      <c r="AF87" s="37"/>
      <c r="AG87" s="37"/>
    </row>
    <row r="88" spans="1:33" ht="15.75" customHeight="1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6"/>
      <c r="V88" s="1"/>
      <c r="W88" s="31"/>
      <c r="X88" s="31"/>
      <c r="Y88" s="31"/>
      <c r="Z88" s="31"/>
      <c r="AA88" s="2"/>
      <c r="AB88" s="31"/>
      <c r="AC88" s="31"/>
      <c r="AD88" s="31"/>
      <c r="AE88" s="37"/>
      <c r="AF88" s="37"/>
      <c r="AG88" s="37"/>
    </row>
    <row r="89" spans="1:33" ht="15.75" customHeight="1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6"/>
      <c r="V89" s="1"/>
      <c r="W89" s="31"/>
      <c r="X89" s="31"/>
      <c r="Y89" s="31"/>
      <c r="Z89" s="31"/>
      <c r="AA89" s="2"/>
      <c r="AB89" s="31"/>
      <c r="AC89" s="31"/>
      <c r="AD89" s="31"/>
      <c r="AE89" s="37"/>
      <c r="AF89" s="37"/>
      <c r="AG89" s="37"/>
    </row>
    <row r="90" spans="1:33" ht="15.75" customHeight="1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6"/>
      <c r="V90" s="1"/>
      <c r="W90" s="31"/>
      <c r="X90" s="31"/>
      <c r="Y90" s="31"/>
      <c r="Z90" s="31"/>
      <c r="AA90" s="2"/>
      <c r="AB90" s="31"/>
      <c r="AC90" s="31"/>
      <c r="AD90" s="31"/>
      <c r="AE90" s="37"/>
      <c r="AF90" s="37"/>
      <c r="AG90" s="37"/>
    </row>
    <row r="91" spans="1:33" ht="15.75" customHeight="1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6"/>
      <c r="V91" s="1"/>
      <c r="W91" s="31"/>
      <c r="X91" s="31"/>
      <c r="Y91" s="31"/>
      <c r="Z91" s="31"/>
      <c r="AA91" s="2"/>
      <c r="AB91" s="31"/>
      <c r="AC91" s="31"/>
      <c r="AD91" s="31"/>
      <c r="AE91" s="37"/>
      <c r="AF91" s="37"/>
      <c r="AG91" s="37"/>
    </row>
    <row r="92" spans="1:33" ht="15.75" customHeight="1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6"/>
      <c r="V92" s="1"/>
      <c r="W92" s="31"/>
      <c r="X92" s="31"/>
      <c r="Y92" s="31"/>
      <c r="Z92" s="31"/>
      <c r="AA92" s="2"/>
      <c r="AB92" s="31"/>
      <c r="AC92" s="31"/>
      <c r="AD92" s="31"/>
      <c r="AE92" s="37"/>
      <c r="AF92" s="37"/>
      <c r="AG92" s="37"/>
    </row>
    <row r="93" spans="1:33" ht="15.75" customHeight="1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6"/>
      <c r="V93" s="1"/>
      <c r="W93" s="31"/>
      <c r="X93" s="31"/>
      <c r="Y93" s="31"/>
      <c r="Z93" s="31"/>
      <c r="AA93" s="2"/>
      <c r="AB93" s="31"/>
      <c r="AC93" s="31"/>
      <c r="AD93" s="31"/>
      <c r="AE93" s="37"/>
      <c r="AF93" s="37"/>
      <c r="AG93" s="37"/>
    </row>
    <row r="94" spans="1:33" ht="15.75" customHeight="1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6"/>
      <c r="V94" s="1"/>
      <c r="W94" s="31"/>
      <c r="X94" s="31"/>
      <c r="Y94" s="31"/>
      <c r="Z94" s="31"/>
      <c r="AA94" s="2"/>
      <c r="AB94" s="31"/>
      <c r="AC94" s="31"/>
      <c r="AD94" s="31"/>
      <c r="AE94" s="37"/>
      <c r="AF94" s="37"/>
      <c r="AG94" s="37"/>
    </row>
    <row r="95" spans="1:33" ht="15.75" customHeight="1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6"/>
      <c r="V95" s="1"/>
      <c r="W95" s="31"/>
      <c r="X95" s="31"/>
      <c r="Y95" s="31"/>
      <c r="Z95" s="31"/>
      <c r="AA95" s="2"/>
      <c r="AB95" s="31"/>
      <c r="AC95" s="31"/>
      <c r="AD95" s="31"/>
      <c r="AE95" s="37"/>
      <c r="AF95" s="37"/>
      <c r="AG95" s="37"/>
    </row>
    <row r="96" spans="1:33" ht="15.75" customHeight="1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6"/>
      <c r="V96" s="1"/>
      <c r="W96" s="31"/>
      <c r="X96" s="31"/>
      <c r="Y96" s="31"/>
      <c r="Z96" s="31"/>
      <c r="AA96" s="2"/>
      <c r="AB96" s="31"/>
      <c r="AC96" s="31"/>
      <c r="AD96" s="31"/>
      <c r="AE96" s="37"/>
      <c r="AF96" s="37"/>
      <c r="AG96" s="37"/>
    </row>
    <row r="97" spans="1:33" ht="15.75" customHeight="1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8"/>
      <c r="R97" s="38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8"/>
      <c r="R98" s="38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8"/>
      <c r="R99" s="38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8"/>
      <c r="R100" s="38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8"/>
      <c r="R101" s="38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8"/>
      <c r="R102" s="38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8"/>
      <c r="R103" s="38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8"/>
      <c r="R104" s="38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8"/>
      <c r="R105" s="38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8"/>
      <c r="R106" s="38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8"/>
      <c r="R107" s="38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8"/>
      <c r="R108" s="38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8"/>
      <c r="R109" s="38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8"/>
      <c r="R110" s="38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8"/>
      <c r="R111" s="38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8"/>
      <c r="R112" s="38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8"/>
      <c r="R113" s="38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8"/>
      <c r="R114" s="38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>
      <c r="A115" s="31"/>
      <c r="B115" s="31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>
      <c r="A116" s="31"/>
      <c r="B116" s="31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>
      <c r="A117" s="31"/>
      <c r="B117" s="31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>
      <c r="A118" s="31"/>
      <c r="B118" s="31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>
      <c r="A119" s="31"/>
      <c r="B119" s="31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>
      <c r="A120" s="31"/>
      <c r="B120" s="31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>
      <c r="A121" s="31"/>
      <c r="B121" s="31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>
      <c r="A122" s="31"/>
      <c r="B122" s="31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>
      <c r="A123" s="31"/>
      <c r="B123" s="31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>
      <c r="A124" s="31"/>
      <c r="B124" s="31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>
      <c r="A125" s="31"/>
      <c r="B125" s="31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>
      <c r="A126" s="31"/>
      <c r="B126" s="31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>
      <c r="A127" s="31"/>
      <c r="B127" s="31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>
      <c r="A128" s="31"/>
      <c r="B128" s="31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>
      <c r="A129" s="31"/>
      <c r="B129" s="31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>
      <c r="A130" s="31"/>
      <c r="B130" s="31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>
      <c r="A131" s="31"/>
      <c r="B131" s="31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>
      <c r="A132" s="31"/>
      <c r="B132" s="31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>
      <c r="A133" s="31"/>
      <c r="B133" s="31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>
      <c r="A134" s="31"/>
      <c r="B134" s="31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>
      <c r="A135" s="31"/>
      <c r="B135" s="31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>
      <c r="A136" s="31"/>
      <c r="B136" s="31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>
      <c r="A137" s="31"/>
      <c r="B137" s="31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>
      <c r="A138" s="31"/>
      <c r="B138" s="31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>
      <c r="A139" s="31"/>
      <c r="B139" s="31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>
      <c r="A140" s="31"/>
      <c r="B140" s="31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>
      <c r="A141" s="31"/>
      <c r="B141" s="31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2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>
      <c r="A142" s="31"/>
      <c r="B142" s="31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2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>
      <c r="A143" s="31"/>
      <c r="B143" s="31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2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>
      <c r="A144" s="31"/>
      <c r="B144" s="31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2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>
      <c r="A145" s="31"/>
      <c r="B145" s="31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2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>
      <c r="A146" s="31"/>
      <c r="B146" s="31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2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>
      <c r="A147" s="31"/>
      <c r="B147" s="31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2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>
      <c r="A148" s="31"/>
      <c r="B148" s="31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2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</row>
    <row r="149" spans="1:33" ht="15.75" customHeight="1">
      <c r="A149" s="14"/>
      <c r="B149" s="14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>
      <c r="A150" s="14"/>
      <c r="B150" s="14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>
      <c r="A151" s="14"/>
      <c r="B151" s="14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>
      <c r="A152" s="14"/>
      <c r="B152" s="14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>
      <c r="A153" s="14"/>
      <c r="B153" s="14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>
      <c r="A154" s="14"/>
      <c r="B154" s="14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>
      <c r="A155" s="14"/>
      <c r="B155" s="14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>
      <c r="A156" s="14"/>
      <c r="B156" s="14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>
      <c r="A157" s="14"/>
      <c r="B157" s="14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>
      <c r="A158" s="14"/>
      <c r="B158" s="14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>
      <c r="A159" s="14"/>
      <c r="B159" s="14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>
      <c r="A160" s="14"/>
      <c r="B160" s="14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>
      <c r="A161" s="14"/>
      <c r="B161" s="14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>
      <c r="A162" s="14"/>
      <c r="B162" s="14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>
      <c r="A163" s="14"/>
      <c r="B163" s="14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>
      <c r="A164" s="14"/>
      <c r="B164" s="14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>
      <c r="A165" s="14"/>
      <c r="B165" s="14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>
      <c r="A166" s="14"/>
      <c r="B166" s="14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>
      <c r="A167" s="14"/>
      <c r="B167" s="14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>
      <c r="A168" s="14"/>
      <c r="B168" s="14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>
      <c r="A169" s="14"/>
      <c r="B169" s="14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>
      <c r="A170" s="14"/>
      <c r="B170" s="14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>
      <c r="A171" s="14"/>
      <c r="B171" s="14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>
      <c r="A172" s="14"/>
      <c r="B172" s="14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>
      <c r="A173" s="14"/>
      <c r="B173" s="14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>
      <c r="A174" s="14"/>
      <c r="B174" s="14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>
      <c r="A175" s="14"/>
      <c r="B175" s="14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>
      <c r="A176" s="14"/>
      <c r="B176" s="14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>
      <c r="A177" s="14"/>
      <c r="B177" s="14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>
      <c r="A178" s="14"/>
      <c r="B178" s="14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>
      <c r="A179" s="14"/>
      <c r="B179" s="14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>
      <c r="A180" s="14"/>
      <c r="B180" s="14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>
      <c r="A181" s="14"/>
      <c r="B181" s="14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>
      <c r="A182" s="14"/>
      <c r="B182" s="14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>
      <c r="A183" s="14"/>
      <c r="B183" s="14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>
      <c r="A184" s="14"/>
      <c r="B184" s="14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>
      <c r="A185" s="14"/>
      <c r="B185" s="14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>
      <c r="A186" s="14"/>
      <c r="B186" s="14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>
      <c r="A187" s="14"/>
      <c r="B187" s="14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>
      <c r="A188" s="14"/>
      <c r="B188" s="14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>
      <c r="A189" s="14"/>
      <c r="B189" s="14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>
      <c r="A190" s="14"/>
      <c r="B190" s="14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>
      <c r="A191" s="14"/>
      <c r="B191" s="14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>
      <c r="A192" s="14"/>
      <c r="B192" s="14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>
      <c r="A193" s="14"/>
      <c r="B193" s="14"/>
      <c r="C193" s="39"/>
      <c r="D193" s="39"/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>
      <c r="A194" s="14"/>
      <c r="B194" s="14"/>
      <c r="C194" s="39"/>
      <c r="D194" s="39"/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>
      <c r="A195" s="14"/>
      <c r="B195" s="14"/>
      <c r="C195" s="39"/>
      <c r="D195" s="39"/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>
      <c r="A196" s="14"/>
      <c r="B196" s="14"/>
      <c r="C196" s="39"/>
      <c r="D196" s="39"/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>
      <c r="A197" s="14"/>
      <c r="B197" s="14"/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>
      <c r="A198" s="14"/>
      <c r="B198" s="14"/>
      <c r="C198" s="39"/>
      <c r="D198" s="39"/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>
      <c r="A199" s="14"/>
      <c r="B199" s="14"/>
      <c r="C199" s="39"/>
      <c r="D199" s="39"/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>
      <c r="A200" s="14"/>
      <c r="B200" s="14"/>
      <c r="C200" s="39"/>
      <c r="D200" s="39"/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>
      <c r="A201" s="14"/>
      <c r="B201" s="14"/>
      <c r="C201" s="39"/>
      <c r="D201" s="39"/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>
      <c r="A202" s="14"/>
      <c r="B202" s="14"/>
      <c r="C202" s="39"/>
      <c r="D202" s="39"/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>
      <c r="A203" s="14"/>
      <c r="B203" s="14"/>
      <c r="C203" s="39"/>
      <c r="D203" s="39"/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>
      <c r="A204" s="14"/>
      <c r="B204" s="14"/>
      <c r="C204" s="39"/>
      <c r="D204" s="39"/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>
      <c r="A205" s="14"/>
      <c r="B205" s="14"/>
      <c r="C205" s="39"/>
      <c r="D205" s="39"/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>
      <c r="A206" s="14"/>
      <c r="B206" s="14"/>
      <c r="C206" s="39"/>
      <c r="D206" s="39"/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>
      <c r="A207" s="14"/>
      <c r="B207" s="14"/>
      <c r="C207" s="39"/>
      <c r="D207" s="39"/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>
      <c r="A208" s="14"/>
      <c r="B208" s="14"/>
      <c r="C208" s="39"/>
      <c r="D208" s="39"/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>
      <c r="A209" s="14"/>
      <c r="B209" s="14"/>
      <c r="C209" s="39"/>
      <c r="D209" s="39"/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>
      <c r="A210" s="14"/>
      <c r="B210" s="14"/>
      <c r="C210" s="39"/>
      <c r="D210" s="39"/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>
      <c r="A211" s="14"/>
      <c r="B211" s="14"/>
      <c r="C211" s="39"/>
      <c r="D211" s="39"/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>
      <c r="A212" s="14"/>
      <c r="B212" s="14"/>
      <c r="C212" s="39"/>
      <c r="D212" s="39"/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>
      <c r="A213" s="14"/>
      <c r="B213" s="14"/>
      <c r="C213" s="39"/>
      <c r="D213" s="39"/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>
      <c r="A214" s="14"/>
      <c r="B214" s="14"/>
      <c r="C214" s="39"/>
      <c r="D214" s="39"/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>
      <c r="A215" s="14"/>
      <c r="B215" s="14"/>
      <c r="C215" s="39"/>
      <c r="D215" s="39"/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>
      <c r="A216" s="14"/>
      <c r="B216" s="14"/>
      <c r="C216" s="39"/>
      <c r="D216" s="39"/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>
      <c r="A217" s="14"/>
      <c r="B217" s="14"/>
      <c r="C217" s="39"/>
      <c r="D217" s="39"/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>
      <c r="A218" s="14"/>
      <c r="B218" s="14"/>
      <c r="C218" s="39"/>
      <c r="D218" s="39"/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>
      <c r="A219" s="14"/>
      <c r="B219" s="14"/>
      <c r="C219" s="39"/>
      <c r="D219" s="39"/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>
      <c r="A220" s="14"/>
      <c r="B220" s="14"/>
      <c r="C220" s="39"/>
      <c r="D220" s="39"/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>
      <c r="R221" s="30"/>
      <c r="S221" s="40"/>
    </row>
    <row r="222" spans="1:33" ht="15.75" customHeight="1">
      <c r="R222" s="30"/>
      <c r="S222" s="40"/>
    </row>
    <row r="223" spans="1:33" ht="15.75" customHeight="1">
      <c r="R223" s="30"/>
      <c r="S223" s="40"/>
    </row>
    <row r="224" spans="1:33" ht="15.75" customHeight="1">
      <c r="R224" s="30"/>
      <c r="S224" s="40"/>
    </row>
    <row r="225" spans="18:18" ht="15.75" customHeight="1">
      <c r="R225" s="30"/>
    </row>
    <row r="226" spans="18:18" ht="15.75" customHeight="1">
      <c r="R226" s="30"/>
    </row>
    <row r="227" spans="18:18" ht="15.75" customHeight="1">
      <c r="R227" s="30"/>
    </row>
    <row r="228" spans="18:18" ht="15.75" customHeight="1">
      <c r="R228" s="30"/>
    </row>
    <row r="229" spans="18:18" ht="15.75" customHeight="1">
      <c r="R229" s="30"/>
    </row>
    <row r="230" spans="18:18" ht="15.75" customHeight="1">
      <c r="R230" s="30"/>
    </row>
    <row r="231" spans="18:18" ht="15.75" customHeight="1">
      <c r="R231" s="30"/>
    </row>
    <row r="232" spans="18:18" ht="15.75" customHeight="1">
      <c r="R232" s="30"/>
    </row>
    <row r="233" spans="18:18" ht="15.75" customHeight="1">
      <c r="R233" s="30"/>
    </row>
    <row r="234" spans="18:18" ht="15.75" customHeight="1">
      <c r="R234" s="30"/>
    </row>
    <row r="235" spans="18:18" ht="15.75" customHeight="1">
      <c r="R235" s="30"/>
    </row>
    <row r="236" spans="18:18" ht="15.75" customHeight="1">
      <c r="R236" s="30"/>
    </row>
    <row r="237" spans="18:18" ht="15.75" customHeight="1">
      <c r="R237" s="30"/>
    </row>
    <row r="238" spans="18:18" ht="15.75" customHeight="1">
      <c r="R238" s="30"/>
    </row>
    <row r="239" spans="18:18" ht="15.75" customHeight="1">
      <c r="R239" s="30"/>
    </row>
    <row r="240" spans="18:18" ht="15.75" customHeight="1">
      <c r="R240" s="30"/>
    </row>
    <row r="241" spans="18:18" ht="15.75" customHeight="1">
      <c r="R241" s="30"/>
    </row>
    <row r="242" spans="18:18" ht="15.75" customHeight="1">
      <c r="R242" s="30"/>
    </row>
    <row r="243" spans="18:18" ht="15.75" customHeight="1">
      <c r="R243" s="30"/>
    </row>
    <row r="244" spans="18:18" ht="15.75" customHeight="1">
      <c r="R244" s="30"/>
    </row>
    <row r="245" spans="18:18" ht="15.75" customHeight="1">
      <c r="R245" s="30"/>
    </row>
    <row r="246" spans="18:18" ht="15.75" customHeight="1">
      <c r="R246" s="30"/>
    </row>
    <row r="247" spans="18:18" ht="15.75" customHeight="1">
      <c r="R247" s="30"/>
    </row>
    <row r="248" spans="18:18" ht="15.75" customHeight="1">
      <c r="R248" s="30"/>
    </row>
    <row r="249" spans="18:18" ht="15.75" customHeight="1">
      <c r="R249" s="30"/>
    </row>
    <row r="250" spans="18:18" ht="15.75" customHeight="1">
      <c r="R250" s="30"/>
    </row>
    <row r="251" spans="18:18" ht="15.75" customHeight="1">
      <c r="R251" s="30"/>
    </row>
    <row r="252" spans="18:18" ht="15.75" customHeight="1">
      <c r="R252" s="30"/>
    </row>
    <row r="253" spans="18:18" ht="15.75" customHeight="1">
      <c r="R253" s="30"/>
    </row>
    <row r="254" spans="18:18" ht="15.75" customHeight="1">
      <c r="R254" s="30"/>
    </row>
    <row r="255" spans="18:18" ht="15.75" customHeight="1">
      <c r="R255" s="30"/>
    </row>
    <row r="256" spans="18:18" ht="15.75" customHeight="1">
      <c r="R256" s="30"/>
    </row>
    <row r="257" spans="18:18" ht="15.75" customHeight="1">
      <c r="R257" s="30"/>
    </row>
    <row r="258" spans="18:18" ht="15.75" customHeight="1">
      <c r="R258" s="30"/>
    </row>
    <row r="259" spans="18:18" ht="15.75" customHeight="1">
      <c r="R259" s="30"/>
    </row>
    <row r="260" spans="18:18" ht="15.75" customHeight="1">
      <c r="R260" s="30"/>
    </row>
    <row r="261" spans="18:18" ht="15.75" customHeight="1">
      <c r="R261" s="30"/>
    </row>
    <row r="262" spans="18:18" ht="15.75" customHeight="1">
      <c r="R262" s="30"/>
    </row>
    <row r="263" spans="18:18" ht="15.75" customHeight="1">
      <c r="R263" s="30"/>
    </row>
    <row r="264" spans="18:18" ht="15.75" customHeight="1">
      <c r="R264" s="30"/>
    </row>
    <row r="265" spans="18:18" ht="15.75" customHeight="1">
      <c r="R265" s="30"/>
    </row>
    <row r="266" spans="18:18" ht="15.75" customHeight="1">
      <c r="R266" s="30"/>
    </row>
    <row r="267" spans="18:18" ht="15.75" customHeight="1">
      <c r="R267" s="30"/>
    </row>
    <row r="268" spans="18:18" ht="15.75" customHeight="1">
      <c r="R268" s="30"/>
    </row>
    <row r="269" spans="18:18" ht="15.75" customHeight="1">
      <c r="R269" s="30"/>
    </row>
    <row r="270" spans="18:18" ht="15.75" customHeight="1">
      <c r="R270" s="30"/>
    </row>
    <row r="271" spans="18:18" ht="15.75" customHeight="1">
      <c r="R271" s="30"/>
    </row>
    <row r="272" spans="18:18" ht="15.75" customHeight="1">
      <c r="R272" s="30"/>
    </row>
    <row r="273" spans="18:18" ht="15.75" customHeight="1">
      <c r="R273" s="30"/>
    </row>
    <row r="274" spans="18:18" ht="15.75" customHeight="1">
      <c r="R274" s="30"/>
    </row>
    <row r="275" spans="18:18" ht="15.75" customHeight="1">
      <c r="R275" s="30"/>
    </row>
    <row r="276" spans="18:18" ht="15.75" customHeight="1">
      <c r="R276" s="30"/>
    </row>
    <row r="277" spans="18:18" ht="15.75" customHeight="1">
      <c r="R277" s="30"/>
    </row>
    <row r="278" spans="18:18" ht="15.75" customHeight="1">
      <c r="R278" s="30"/>
    </row>
    <row r="279" spans="18:18" ht="15.75" customHeight="1">
      <c r="R279" s="30"/>
    </row>
    <row r="280" spans="18:18" ht="15.75" customHeight="1">
      <c r="R280" s="30"/>
    </row>
    <row r="281" spans="18:18" ht="15.75" customHeight="1">
      <c r="R281" s="30"/>
    </row>
    <row r="282" spans="18:18" ht="15.75" customHeight="1">
      <c r="R282" s="30"/>
    </row>
    <row r="283" spans="18:18" ht="15.75" customHeight="1">
      <c r="R283" s="30"/>
    </row>
    <row r="284" spans="18:18" ht="15.75" customHeight="1">
      <c r="R284" s="30"/>
    </row>
    <row r="285" spans="18:18" ht="15.75" customHeight="1">
      <c r="R285" s="30"/>
    </row>
    <row r="286" spans="18:18" ht="15.75" customHeight="1">
      <c r="R286" s="30"/>
    </row>
    <row r="287" spans="18:18" ht="15.75" customHeight="1">
      <c r="R287" s="30"/>
    </row>
    <row r="288" spans="18:18" ht="15.75" customHeight="1">
      <c r="R288" s="30"/>
    </row>
    <row r="289" spans="18:18" ht="15.75" customHeight="1">
      <c r="R289" s="30"/>
    </row>
    <row r="290" spans="18:18" ht="15.75" customHeight="1">
      <c r="R290" s="30"/>
    </row>
    <row r="291" spans="18:18" ht="15.75" customHeight="1">
      <c r="R291" s="30"/>
    </row>
    <row r="292" spans="18:18" ht="15.75" customHeight="1">
      <c r="R292" s="30"/>
    </row>
    <row r="293" spans="18:18" ht="15.75" customHeight="1">
      <c r="R293" s="30"/>
    </row>
    <row r="294" spans="18:18" ht="15.75" customHeight="1">
      <c r="R294" s="30"/>
    </row>
    <row r="295" spans="18:18" ht="15.75" customHeight="1">
      <c r="R295" s="30"/>
    </row>
    <row r="296" spans="18:18" ht="15.75" customHeight="1">
      <c r="R296" s="30"/>
    </row>
    <row r="297" spans="18:18" ht="15.75" customHeight="1">
      <c r="R297" s="30"/>
    </row>
    <row r="298" spans="18:18" ht="15.75" customHeight="1">
      <c r="R298" s="30"/>
    </row>
    <row r="299" spans="18:18" ht="15.75" customHeight="1">
      <c r="R299" s="30"/>
    </row>
    <row r="300" spans="18:18" ht="15.75" customHeight="1">
      <c r="R300" s="30"/>
    </row>
    <row r="301" spans="18:18" ht="15.75" customHeight="1">
      <c r="R301" s="30"/>
    </row>
    <row r="302" spans="18:18" ht="15.75" customHeight="1">
      <c r="R302" s="30"/>
    </row>
    <row r="303" spans="18:18" ht="15.75" customHeight="1">
      <c r="R303" s="30"/>
    </row>
    <row r="304" spans="18:18" ht="15.75" customHeight="1">
      <c r="R304" s="30"/>
    </row>
    <row r="305" spans="18:18" ht="15.75" customHeight="1">
      <c r="R305" s="30"/>
    </row>
    <row r="306" spans="18:18" ht="15.75" customHeight="1">
      <c r="R306" s="30"/>
    </row>
    <row r="307" spans="18:18" ht="15.75" customHeight="1">
      <c r="R307" s="30"/>
    </row>
    <row r="308" spans="18:18" ht="15.75" customHeight="1">
      <c r="R308" s="30"/>
    </row>
    <row r="309" spans="18:18" ht="15.75" customHeight="1">
      <c r="R309" s="30"/>
    </row>
    <row r="310" spans="18:18" ht="15.75" customHeight="1">
      <c r="R310" s="30"/>
    </row>
    <row r="311" spans="18:18" ht="15.75" customHeight="1">
      <c r="R311" s="30"/>
    </row>
    <row r="312" spans="18:18" ht="15.75" customHeight="1">
      <c r="R312" s="30"/>
    </row>
    <row r="313" spans="18:18" ht="15.75" customHeight="1">
      <c r="R313" s="30"/>
    </row>
    <row r="314" spans="18:18" ht="15.75" customHeight="1">
      <c r="R314" s="30"/>
    </row>
    <row r="315" spans="18:18" ht="15.75" customHeight="1">
      <c r="R315" s="30"/>
    </row>
    <row r="316" spans="18:18" ht="15.75" customHeight="1">
      <c r="R316" s="30"/>
    </row>
    <row r="317" spans="18:18" ht="15.75" customHeight="1">
      <c r="R317" s="30"/>
    </row>
    <row r="318" spans="18:18" ht="15.75" customHeight="1">
      <c r="R318" s="30"/>
    </row>
    <row r="319" spans="18:18" ht="15.75" customHeight="1">
      <c r="R319" s="30"/>
    </row>
    <row r="320" spans="18:18" ht="15.75" customHeight="1">
      <c r="R320" s="30"/>
    </row>
    <row r="321" spans="18:18" ht="15.75" customHeight="1">
      <c r="R321" s="30"/>
    </row>
    <row r="322" spans="18:18" ht="15.75" customHeight="1">
      <c r="R322" s="30"/>
    </row>
    <row r="323" spans="18:18" ht="15.75" customHeight="1">
      <c r="R323" s="30"/>
    </row>
    <row r="324" spans="18:18" ht="15.75" customHeight="1">
      <c r="R324" s="30"/>
    </row>
    <row r="325" spans="18:18" ht="15.75" customHeight="1">
      <c r="R325" s="30"/>
    </row>
    <row r="326" spans="18:18" ht="15.75" customHeight="1">
      <c r="R326" s="30"/>
    </row>
    <row r="327" spans="18:18" ht="15.75" customHeight="1">
      <c r="R327" s="30"/>
    </row>
    <row r="328" spans="18:18" ht="15.75" customHeight="1">
      <c r="R328" s="30"/>
    </row>
    <row r="329" spans="18:18" ht="15.75" customHeight="1">
      <c r="R329" s="30"/>
    </row>
    <row r="330" spans="18:18" ht="15.75" customHeight="1">
      <c r="R330" s="30"/>
    </row>
    <row r="331" spans="18:18" ht="15.75" customHeight="1">
      <c r="R331" s="30"/>
    </row>
    <row r="332" spans="18:18" ht="15.75" customHeight="1">
      <c r="R332" s="30"/>
    </row>
    <row r="333" spans="18:18" ht="15.75" customHeight="1">
      <c r="R333" s="30"/>
    </row>
    <row r="334" spans="18:18" ht="15.75" customHeight="1">
      <c r="R334" s="30"/>
    </row>
    <row r="335" spans="18:18" ht="15.75" customHeight="1">
      <c r="R335" s="30"/>
    </row>
    <row r="336" spans="18:18" ht="15.75" customHeight="1">
      <c r="R336" s="30"/>
    </row>
    <row r="337" spans="18:18" ht="15.75" customHeight="1">
      <c r="R337" s="30"/>
    </row>
    <row r="338" spans="18:18" ht="15.75" customHeight="1">
      <c r="R338" s="30"/>
    </row>
    <row r="339" spans="18:18" ht="15.75" customHeight="1">
      <c r="R339" s="30"/>
    </row>
    <row r="340" spans="18:18" ht="15.75" customHeight="1">
      <c r="R340" s="30"/>
    </row>
    <row r="341" spans="18:18" ht="15.75" customHeight="1">
      <c r="R341" s="30"/>
    </row>
    <row r="342" spans="18:18" ht="15.75" customHeight="1">
      <c r="R342" s="30"/>
    </row>
    <row r="343" spans="18:18" ht="15.75" customHeight="1">
      <c r="R343" s="30"/>
    </row>
    <row r="344" spans="18:18" ht="15.75" customHeight="1">
      <c r="R344" s="30"/>
    </row>
    <row r="345" spans="18:18" ht="15.75" customHeight="1">
      <c r="R345" s="30"/>
    </row>
    <row r="346" spans="18:18" ht="15.75" customHeight="1">
      <c r="R346" s="30"/>
    </row>
    <row r="347" spans="18:18" ht="15.75" customHeight="1">
      <c r="R347" s="30"/>
    </row>
    <row r="348" spans="18:18" ht="15.75" customHeight="1">
      <c r="R348" s="30"/>
    </row>
    <row r="349" spans="18:18" ht="15.75" customHeight="1">
      <c r="R349" s="30"/>
    </row>
    <row r="350" spans="18:18" ht="15.75" customHeight="1">
      <c r="R350" s="30"/>
    </row>
    <row r="351" spans="18:18" ht="15.75" customHeight="1">
      <c r="R351" s="30"/>
    </row>
    <row r="352" spans="18:18" ht="15.75" customHeight="1">
      <c r="R352" s="30"/>
    </row>
    <row r="353" spans="18:18" ht="15.75" customHeight="1">
      <c r="R353" s="30"/>
    </row>
    <row r="354" spans="18:18" ht="15.75" customHeight="1">
      <c r="R354" s="30"/>
    </row>
    <row r="355" spans="18:18" ht="15.75" customHeight="1">
      <c r="R355" s="30"/>
    </row>
    <row r="356" spans="18:18" ht="15.75" customHeight="1">
      <c r="R356" s="30"/>
    </row>
    <row r="357" spans="18:18" ht="15.75" customHeight="1">
      <c r="R357" s="30"/>
    </row>
    <row r="358" spans="18:18" ht="15.75" customHeight="1">
      <c r="R358" s="30"/>
    </row>
    <row r="359" spans="18:18" ht="15.75" customHeight="1">
      <c r="R359" s="30"/>
    </row>
    <row r="360" spans="18:18" ht="15.75" customHeight="1">
      <c r="R360" s="30"/>
    </row>
    <row r="361" spans="18:18" ht="15.75" customHeight="1">
      <c r="R361" s="30"/>
    </row>
    <row r="362" spans="18:18" ht="15.75" customHeight="1">
      <c r="R362" s="30"/>
    </row>
    <row r="363" spans="18:18" ht="15.75" customHeight="1">
      <c r="R363" s="30"/>
    </row>
    <row r="364" spans="18:18" ht="15.75" customHeight="1">
      <c r="R364" s="30"/>
    </row>
    <row r="365" spans="18:18" ht="15.75" customHeight="1">
      <c r="R365" s="30"/>
    </row>
    <row r="366" spans="18:18" ht="15.75" customHeight="1">
      <c r="R366" s="30"/>
    </row>
    <row r="367" spans="18:18" ht="15.75" customHeight="1">
      <c r="R367" s="30"/>
    </row>
    <row r="368" spans="18:18" ht="15.75" customHeight="1">
      <c r="R368" s="30"/>
    </row>
    <row r="369" spans="18:18" ht="15.75" customHeight="1">
      <c r="R369" s="30"/>
    </row>
    <row r="370" spans="18:18" ht="15.75" customHeight="1">
      <c r="R370" s="30"/>
    </row>
    <row r="371" spans="18:18" ht="15.75" customHeight="1">
      <c r="R371" s="30"/>
    </row>
    <row r="372" spans="18:18" ht="15.75" customHeight="1">
      <c r="R372" s="30"/>
    </row>
    <row r="373" spans="18:18" ht="15.75" customHeight="1">
      <c r="R373" s="30"/>
    </row>
    <row r="374" spans="18:18" ht="15.75" customHeight="1">
      <c r="R374" s="30"/>
    </row>
    <row r="375" spans="18:18" ht="15.75" customHeight="1">
      <c r="R375" s="30"/>
    </row>
    <row r="376" spans="18:18" ht="15.75" customHeight="1">
      <c r="R376" s="30"/>
    </row>
    <row r="377" spans="18:18" ht="15.75" customHeight="1">
      <c r="R377" s="30"/>
    </row>
    <row r="378" spans="18:18" ht="15.75" customHeight="1">
      <c r="R378" s="30"/>
    </row>
    <row r="379" spans="18:18" ht="15.75" customHeight="1">
      <c r="R379" s="30"/>
    </row>
    <row r="380" spans="18:18" ht="15.75" customHeight="1">
      <c r="R380" s="30"/>
    </row>
    <row r="381" spans="18:18" ht="15.75" customHeight="1">
      <c r="R381" s="30"/>
    </row>
    <row r="382" spans="18:18" ht="15.75" customHeight="1">
      <c r="R382" s="30"/>
    </row>
    <row r="383" spans="18:18" ht="15.75" customHeight="1">
      <c r="R383" s="30"/>
    </row>
    <row r="384" spans="18:18" ht="15.75" customHeight="1">
      <c r="R384" s="30"/>
    </row>
    <row r="385" spans="18:18" ht="15.75" customHeight="1">
      <c r="R385" s="30"/>
    </row>
    <row r="386" spans="18:18" ht="15.75" customHeight="1">
      <c r="R386" s="30"/>
    </row>
    <row r="387" spans="18:18" ht="15.75" customHeight="1">
      <c r="R387" s="30"/>
    </row>
    <row r="388" spans="18:18" ht="15.75" customHeight="1">
      <c r="R388" s="30"/>
    </row>
    <row r="389" spans="18:18" ht="15.75" customHeight="1">
      <c r="R389" s="30"/>
    </row>
    <row r="390" spans="18:18" ht="15.75" customHeight="1">
      <c r="R390" s="30"/>
    </row>
    <row r="391" spans="18:18" ht="15.75" customHeight="1">
      <c r="R391" s="30"/>
    </row>
    <row r="392" spans="18:18" ht="15.75" customHeight="1">
      <c r="R392" s="30"/>
    </row>
    <row r="393" spans="18:18" ht="15.75" customHeight="1">
      <c r="R393" s="30"/>
    </row>
    <row r="394" spans="18:18" ht="15.75" customHeight="1">
      <c r="R394" s="30"/>
    </row>
    <row r="395" spans="18:18" ht="15.75" customHeight="1">
      <c r="R395" s="30"/>
    </row>
    <row r="396" spans="18:18" ht="15.75" customHeight="1">
      <c r="R396" s="30"/>
    </row>
    <row r="397" spans="18:18" ht="15.75" customHeight="1">
      <c r="R397" s="30"/>
    </row>
    <row r="398" spans="18:18" ht="15.75" customHeight="1">
      <c r="R398" s="30"/>
    </row>
    <row r="399" spans="18:18" ht="15.75" customHeight="1">
      <c r="R399" s="30"/>
    </row>
    <row r="400" spans="18:18" ht="15.75" customHeight="1">
      <c r="R400" s="30"/>
    </row>
    <row r="401" spans="18:18" ht="15.75" customHeight="1">
      <c r="R401" s="30"/>
    </row>
    <row r="402" spans="18:18" ht="15.75" customHeight="1">
      <c r="R402" s="30"/>
    </row>
    <row r="403" spans="18:18" ht="15.75" customHeight="1">
      <c r="R403" s="30"/>
    </row>
    <row r="404" spans="18:18" ht="15.75" customHeight="1">
      <c r="R404" s="30"/>
    </row>
    <row r="405" spans="18:18" ht="15.75" customHeight="1">
      <c r="R405" s="30"/>
    </row>
    <row r="406" spans="18:18" ht="15.75" customHeight="1">
      <c r="R406" s="30"/>
    </row>
    <row r="407" spans="18:18" ht="15.75" customHeight="1">
      <c r="R407" s="30"/>
    </row>
    <row r="408" spans="18:18" ht="15.75" customHeight="1">
      <c r="R408" s="30"/>
    </row>
    <row r="409" spans="18:18" ht="15.75" customHeight="1">
      <c r="R409" s="30"/>
    </row>
    <row r="410" spans="18:18" ht="15.75" customHeight="1">
      <c r="R410" s="30"/>
    </row>
    <row r="411" spans="18:18" ht="15.75" customHeight="1">
      <c r="R411" s="30"/>
    </row>
    <row r="412" spans="18:18" ht="15.75" customHeight="1">
      <c r="R412" s="30"/>
    </row>
    <row r="413" spans="18:18" ht="15.75" customHeight="1">
      <c r="R413" s="30"/>
    </row>
    <row r="414" spans="18:18" ht="15.75" customHeight="1">
      <c r="R414" s="30"/>
    </row>
    <row r="415" spans="18:18" ht="15.75" customHeight="1">
      <c r="R415" s="30"/>
    </row>
    <row r="416" spans="18:18" ht="15.75" customHeight="1">
      <c r="R416" s="30"/>
    </row>
    <row r="417" spans="18:18" ht="15.75" customHeight="1">
      <c r="R417" s="30"/>
    </row>
    <row r="418" spans="18:18" ht="15.75" customHeight="1">
      <c r="R418" s="30"/>
    </row>
    <row r="419" spans="18:18" ht="15.75" customHeight="1">
      <c r="R419" s="30"/>
    </row>
    <row r="420" spans="18:18" ht="15.75" customHeight="1">
      <c r="R420" s="30"/>
    </row>
    <row r="421" spans="18:18" ht="15.75" customHeight="1">
      <c r="R421" s="30"/>
    </row>
    <row r="422" spans="18:18" ht="15.75" customHeight="1">
      <c r="R422" s="30"/>
    </row>
    <row r="423" spans="18:18" ht="15.75" customHeight="1">
      <c r="R423" s="30"/>
    </row>
    <row r="424" spans="18:18" ht="15.75" customHeight="1">
      <c r="R424" s="30"/>
    </row>
    <row r="425" spans="18:18" ht="15.75" customHeight="1">
      <c r="R425" s="30"/>
    </row>
    <row r="426" spans="18:18" ht="15.75" customHeight="1">
      <c r="R426" s="30"/>
    </row>
    <row r="427" spans="18:18" ht="15.75" customHeight="1">
      <c r="R427" s="30"/>
    </row>
    <row r="428" spans="18:18" ht="15.75" customHeight="1">
      <c r="R428" s="30"/>
    </row>
    <row r="429" spans="18:18" ht="15.75" customHeight="1">
      <c r="R429" s="30"/>
    </row>
    <row r="430" spans="18:18" ht="15.75" customHeight="1">
      <c r="R430" s="30"/>
    </row>
    <row r="431" spans="18:18" ht="15.75" customHeight="1">
      <c r="R431" s="30"/>
    </row>
    <row r="432" spans="18:18" ht="15.75" customHeight="1">
      <c r="R432" s="30"/>
    </row>
    <row r="433" spans="18:18" ht="15.75" customHeight="1">
      <c r="R433" s="30"/>
    </row>
    <row r="434" spans="18:18" ht="15.75" customHeight="1">
      <c r="R434" s="30"/>
    </row>
    <row r="435" spans="18:18" ht="15.75" customHeight="1">
      <c r="R435" s="30"/>
    </row>
    <row r="436" spans="18:18" ht="15.75" customHeight="1">
      <c r="R436" s="30"/>
    </row>
    <row r="437" spans="18:18" ht="15.75" customHeight="1">
      <c r="R437" s="30"/>
    </row>
    <row r="438" spans="18:18" ht="15.75" customHeight="1">
      <c r="R438" s="30"/>
    </row>
    <row r="439" spans="18:18" ht="15.75" customHeight="1">
      <c r="R439" s="30"/>
    </row>
    <row r="440" spans="18:18" ht="15.75" customHeight="1">
      <c r="R440" s="30"/>
    </row>
    <row r="441" spans="18:18" ht="15.75" customHeight="1">
      <c r="R441" s="30"/>
    </row>
    <row r="442" spans="18:18" ht="15.75" customHeight="1">
      <c r="R442" s="30"/>
    </row>
    <row r="443" spans="18:18" ht="15.75" customHeight="1">
      <c r="R443" s="30"/>
    </row>
    <row r="444" spans="18:18" ht="15.75" customHeight="1">
      <c r="R444" s="30"/>
    </row>
    <row r="445" spans="18:18" ht="15.75" customHeight="1">
      <c r="R445" s="30"/>
    </row>
    <row r="446" spans="18:18" ht="15.75" customHeight="1">
      <c r="R446" s="30"/>
    </row>
    <row r="447" spans="18:18" ht="15.75" customHeight="1">
      <c r="R447" s="30"/>
    </row>
    <row r="448" spans="18:18" ht="15.75" customHeight="1">
      <c r="R448" s="30"/>
    </row>
    <row r="449" spans="18:18" ht="15.75" customHeight="1">
      <c r="R449" s="30"/>
    </row>
    <row r="450" spans="18:18" ht="15.75" customHeight="1">
      <c r="R450" s="30"/>
    </row>
    <row r="451" spans="18:18" ht="15.75" customHeight="1">
      <c r="R451" s="30"/>
    </row>
    <row r="452" spans="18:18" ht="15.75" customHeight="1">
      <c r="R452" s="30"/>
    </row>
    <row r="453" spans="18:18" ht="15.75" customHeight="1">
      <c r="R453" s="30"/>
    </row>
    <row r="454" spans="18:18" ht="15.75" customHeight="1">
      <c r="R454" s="30"/>
    </row>
    <row r="455" spans="18:18" ht="15.75" customHeight="1">
      <c r="R455" s="30"/>
    </row>
    <row r="456" spans="18:18" ht="15.75" customHeight="1">
      <c r="R456" s="30"/>
    </row>
    <row r="457" spans="18:18" ht="15.75" customHeight="1">
      <c r="R457" s="30"/>
    </row>
    <row r="458" spans="18:18" ht="15.75" customHeight="1">
      <c r="R458" s="30"/>
    </row>
    <row r="459" spans="18:18" ht="15.75" customHeight="1">
      <c r="R459" s="30"/>
    </row>
    <row r="460" spans="18:18" ht="15.75" customHeight="1">
      <c r="R460" s="30"/>
    </row>
    <row r="461" spans="18:18" ht="15.75" customHeight="1">
      <c r="R461" s="30"/>
    </row>
    <row r="462" spans="18:18" ht="15.75" customHeight="1">
      <c r="R462" s="30"/>
    </row>
    <row r="463" spans="18:18" ht="15.75" customHeight="1">
      <c r="R463" s="30"/>
    </row>
    <row r="464" spans="18:18" ht="15.75" customHeight="1">
      <c r="R464" s="30"/>
    </row>
    <row r="465" spans="18:18" ht="15.75" customHeight="1">
      <c r="R465" s="30"/>
    </row>
    <row r="466" spans="18:18" ht="15.75" customHeight="1">
      <c r="R466" s="30"/>
    </row>
    <row r="467" spans="18:18" ht="15.75" customHeight="1">
      <c r="R467" s="30"/>
    </row>
    <row r="468" spans="18:18" ht="15.75" customHeight="1">
      <c r="R468" s="30"/>
    </row>
    <row r="469" spans="18:18" ht="15.75" customHeight="1">
      <c r="R469" s="30"/>
    </row>
    <row r="470" spans="18:18" ht="15.75" customHeight="1">
      <c r="R470" s="30"/>
    </row>
    <row r="471" spans="18:18" ht="15.75" customHeight="1">
      <c r="R471" s="30"/>
    </row>
    <row r="472" spans="18:18" ht="15.75" customHeight="1">
      <c r="R472" s="30"/>
    </row>
    <row r="473" spans="18:18" ht="15.75" customHeight="1">
      <c r="R473" s="30"/>
    </row>
    <row r="474" spans="18:18" ht="15.75" customHeight="1">
      <c r="R474" s="30"/>
    </row>
    <row r="475" spans="18:18" ht="15.75" customHeight="1">
      <c r="R475" s="30"/>
    </row>
    <row r="476" spans="18:18" ht="15.75" customHeight="1">
      <c r="R476" s="30"/>
    </row>
    <row r="477" spans="18:18" ht="15.75" customHeight="1">
      <c r="R477" s="30"/>
    </row>
    <row r="478" spans="18:18" ht="15.75" customHeight="1">
      <c r="R478" s="30"/>
    </row>
    <row r="479" spans="18:18" ht="15.75" customHeight="1">
      <c r="R479" s="30"/>
    </row>
    <row r="480" spans="18:18" ht="15.75" customHeight="1">
      <c r="R480" s="30"/>
    </row>
    <row r="481" spans="18:18" ht="15.75" customHeight="1">
      <c r="R481" s="30"/>
    </row>
    <row r="482" spans="18:18" ht="15.75" customHeight="1">
      <c r="R482" s="30"/>
    </row>
    <row r="483" spans="18:18" ht="15.75" customHeight="1">
      <c r="R483" s="30"/>
    </row>
    <row r="484" spans="18:18" ht="15.75" customHeight="1">
      <c r="R484" s="30"/>
    </row>
    <row r="485" spans="18:18" ht="15.75" customHeight="1">
      <c r="R485" s="30"/>
    </row>
    <row r="486" spans="18:18" ht="15.75" customHeight="1">
      <c r="R486" s="30"/>
    </row>
    <row r="487" spans="18:18" ht="15.75" customHeight="1">
      <c r="R487" s="30"/>
    </row>
    <row r="488" spans="18:18" ht="15.75" customHeight="1">
      <c r="R488" s="30"/>
    </row>
    <row r="489" spans="18:18" ht="15.75" customHeight="1">
      <c r="R489" s="30"/>
    </row>
    <row r="490" spans="18:18" ht="15.75" customHeight="1">
      <c r="R490" s="30"/>
    </row>
    <row r="491" spans="18:18" ht="15.75" customHeight="1">
      <c r="R491" s="30"/>
    </row>
    <row r="492" spans="18:18" ht="15.75" customHeight="1">
      <c r="R492" s="30"/>
    </row>
    <row r="493" spans="18:18" ht="15.75" customHeight="1">
      <c r="R493" s="30"/>
    </row>
    <row r="494" spans="18:18" ht="15.75" customHeight="1">
      <c r="R494" s="30"/>
    </row>
    <row r="495" spans="18:18" ht="15.75" customHeight="1">
      <c r="R495" s="30"/>
    </row>
    <row r="496" spans="18:18" ht="15.75" customHeight="1">
      <c r="R496" s="30"/>
    </row>
    <row r="497" spans="18:18" ht="15.75" customHeight="1">
      <c r="R497" s="30"/>
    </row>
    <row r="498" spans="18:18" ht="15.75" customHeight="1">
      <c r="R498" s="30"/>
    </row>
    <row r="499" spans="18:18" ht="15.75" customHeight="1">
      <c r="R499" s="30"/>
    </row>
    <row r="500" spans="18:18" ht="15.75" customHeight="1">
      <c r="R500" s="30"/>
    </row>
    <row r="501" spans="18:18" ht="15.75" customHeight="1">
      <c r="R501" s="30"/>
    </row>
    <row r="502" spans="18:18" ht="15.75" customHeight="1">
      <c r="R502" s="30"/>
    </row>
    <row r="503" spans="18:18" ht="15.75" customHeight="1">
      <c r="R503" s="30"/>
    </row>
    <row r="504" spans="18:18" ht="15.75" customHeight="1">
      <c r="R504" s="30"/>
    </row>
    <row r="505" spans="18:18" ht="15.75" customHeight="1">
      <c r="R505" s="30"/>
    </row>
    <row r="506" spans="18:18" ht="15.75" customHeight="1">
      <c r="R506" s="30"/>
    </row>
    <row r="507" spans="18:18" ht="15.75" customHeight="1">
      <c r="R507" s="30"/>
    </row>
    <row r="508" spans="18:18" ht="15.75" customHeight="1">
      <c r="R508" s="30"/>
    </row>
    <row r="509" spans="18:18" ht="15.75" customHeight="1">
      <c r="R509" s="30"/>
    </row>
    <row r="510" spans="18:18" ht="15.75" customHeight="1">
      <c r="R510" s="30"/>
    </row>
    <row r="511" spans="18:18" ht="15.75" customHeight="1">
      <c r="R511" s="30"/>
    </row>
    <row r="512" spans="18:18" ht="15.75" customHeight="1">
      <c r="R512" s="30"/>
    </row>
    <row r="513" spans="18:18" ht="15.75" customHeight="1">
      <c r="R513" s="30"/>
    </row>
    <row r="514" spans="18:18" ht="15.75" customHeight="1">
      <c r="R514" s="30"/>
    </row>
    <row r="515" spans="18:18" ht="15.75" customHeight="1">
      <c r="R515" s="30"/>
    </row>
    <row r="516" spans="18:18" ht="15.75" customHeight="1">
      <c r="R516" s="30"/>
    </row>
    <row r="517" spans="18:18" ht="15.75" customHeight="1">
      <c r="R517" s="30"/>
    </row>
    <row r="518" spans="18:18" ht="15.75" customHeight="1">
      <c r="R518" s="30"/>
    </row>
    <row r="519" spans="18:18" ht="15.75" customHeight="1">
      <c r="R519" s="30"/>
    </row>
    <row r="520" spans="18:18" ht="15.75" customHeight="1">
      <c r="R520" s="30"/>
    </row>
    <row r="521" spans="18:18" ht="15.75" customHeight="1">
      <c r="R521" s="30"/>
    </row>
    <row r="522" spans="18:18" ht="15.75" customHeight="1">
      <c r="R522" s="30"/>
    </row>
    <row r="523" spans="18:18" ht="15.75" customHeight="1">
      <c r="R523" s="30"/>
    </row>
    <row r="524" spans="18:18" ht="15.75" customHeight="1">
      <c r="R524" s="30"/>
    </row>
    <row r="525" spans="18:18" ht="15.75" customHeight="1">
      <c r="R525" s="30"/>
    </row>
    <row r="526" spans="18:18" ht="15.75" customHeight="1">
      <c r="R526" s="30"/>
    </row>
    <row r="527" spans="18:18" ht="15.75" customHeight="1">
      <c r="R527" s="30"/>
    </row>
    <row r="528" spans="18:18" ht="15.75" customHeight="1">
      <c r="R528" s="30"/>
    </row>
    <row r="529" spans="18:18" ht="15.75" customHeight="1">
      <c r="R529" s="30"/>
    </row>
    <row r="530" spans="18:18" ht="15.75" customHeight="1">
      <c r="R530" s="30"/>
    </row>
    <row r="531" spans="18:18" ht="15.75" customHeight="1">
      <c r="R531" s="30"/>
    </row>
    <row r="532" spans="18:18" ht="15.75" customHeight="1">
      <c r="R532" s="30"/>
    </row>
    <row r="533" spans="18:18" ht="15.75" customHeight="1">
      <c r="R533" s="30"/>
    </row>
    <row r="534" spans="18:18" ht="15.75" customHeight="1">
      <c r="R534" s="30"/>
    </row>
    <row r="535" spans="18:18" ht="15.75" customHeight="1">
      <c r="R535" s="30"/>
    </row>
    <row r="536" spans="18:18" ht="15.75" customHeight="1">
      <c r="R536" s="30"/>
    </row>
    <row r="537" spans="18:18" ht="15.75" customHeight="1">
      <c r="R537" s="30"/>
    </row>
    <row r="538" spans="18:18" ht="15.75" customHeight="1">
      <c r="R538" s="30"/>
    </row>
    <row r="539" spans="18:18" ht="15.75" customHeight="1">
      <c r="R539" s="30"/>
    </row>
    <row r="540" spans="18:18" ht="15.75" customHeight="1">
      <c r="R540" s="30"/>
    </row>
    <row r="541" spans="18:18" ht="15.75" customHeight="1">
      <c r="R541" s="30"/>
    </row>
    <row r="542" spans="18:18" ht="15.75" customHeight="1">
      <c r="R542" s="30"/>
    </row>
    <row r="543" spans="18:18" ht="15.75" customHeight="1">
      <c r="R543" s="30"/>
    </row>
    <row r="544" spans="18:18" ht="15.75" customHeight="1">
      <c r="R544" s="30"/>
    </row>
    <row r="545" spans="18:18" ht="15.75" customHeight="1">
      <c r="R545" s="30"/>
    </row>
    <row r="546" spans="18:18" ht="15.75" customHeight="1">
      <c r="R546" s="30"/>
    </row>
    <row r="547" spans="18:18" ht="15.75" customHeight="1">
      <c r="R547" s="30"/>
    </row>
    <row r="548" spans="18:18" ht="15.75" customHeight="1">
      <c r="R548" s="30"/>
    </row>
    <row r="549" spans="18:18" ht="15.75" customHeight="1">
      <c r="R549" s="30"/>
    </row>
    <row r="550" spans="18:18" ht="15.75" customHeight="1">
      <c r="R550" s="30"/>
    </row>
    <row r="551" spans="18:18" ht="15.75" customHeight="1">
      <c r="R551" s="30"/>
    </row>
    <row r="552" spans="18:18" ht="15.75" customHeight="1">
      <c r="R552" s="30"/>
    </row>
    <row r="553" spans="18:18" ht="15.75" customHeight="1">
      <c r="R553" s="30"/>
    </row>
    <row r="554" spans="18:18" ht="15.75" customHeight="1">
      <c r="R554" s="30"/>
    </row>
    <row r="555" spans="18:18" ht="15.75" customHeight="1">
      <c r="R555" s="30"/>
    </row>
    <row r="556" spans="18:18" ht="15.75" customHeight="1">
      <c r="R556" s="30"/>
    </row>
    <row r="557" spans="18:18" ht="15.75" customHeight="1">
      <c r="R557" s="30"/>
    </row>
    <row r="558" spans="18:18" ht="15.75" customHeight="1">
      <c r="R558" s="30"/>
    </row>
    <row r="559" spans="18:18" ht="15.75" customHeight="1">
      <c r="R559" s="30"/>
    </row>
    <row r="560" spans="18:18" ht="15.75" customHeight="1">
      <c r="R560" s="30"/>
    </row>
    <row r="561" spans="18:18" ht="15.75" customHeight="1">
      <c r="R561" s="30"/>
    </row>
    <row r="562" spans="18:18" ht="15.75" customHeight="1">
      <c r="R562" s="30"/>
    </row>
    <row r="563" spans="18:18" ht="15.75" customHeight="1">
      <c r="R563" s="30"/>
    </row>
    <row r="564" spans="18:18" ht="15.75" customHeight="1">
      <c r="R564" s="30"/>
    </row>
    <row r="565" spans="18:18" ht="15.75" customHeight="1">
      <c r="R565" s="30"/>
    </row>
    <row r="566" spans="18:18" ht="15.75" customHeight="1">
      <c r="R566" s="30"/>
    </row>
    <row r="567" spans="18:18" ht="15.75" customHeight="1">
      <c r="R567" s="30"/>
    </row>
    <row r="568" spans="18:18" ht="15.75" customHeight="1">
      <c r="R568" s="30"/>
    </row>
    <row r="569" spans="18:18" ht="15.75" customHeight="1">
      <c r="R569" s="30"/>
    </row>
    <row r="570" spans="18:18" ht="15.75" customHeight="1">
      <c r="R570" s="30"/>
    </row>
    <row r="571" spans="18:18" ht="15.75" customHeight="1">
      <c r="R571" s="30"/>
    </row>
    <row r="572" spans="18:18" ht="15.75" customHeight="1">
      <c r="R572" s="30"/>
    </row>
    <row r="573" spans="18:18" ht="15.75" customHeight="1">
      <c r="R573" s="30"/>
    </row>
    <row r="574" spans="18:18" ht="15.75" customHeight="1">
      <c r="R574" s="30"/>
    </row>
    <row r="575" spans="18:18" ht="15.75" customHeight="1">
      <c r="R575" s="30"/>
    </row>
    <row r="576" spans="18:18" ht="15.75" customHeight="1">
      <c r="R576" s="30"/>
    </row>
    <row r="577" spans="18:18" ht="15.75" customHeight="1">
      <c r="R577" s="30"/>
    </row>
    <row r="578" spans="18:18" ht="15.75" customHeight="1">
      <c r="R578" s="30"/>
    </row>
    <row r="579" spans="18:18" ht="15.75" customHeight="1">
      <c r="R579" s="30"/>
    </row>
    <row r="580" spans="18:18" ht="15.75" customHeight="1">
      <c r="R580" s="30"/>
    </row>
    <row r="581" spans="18:18" ht="15.75" customHeight="1">
      <c r="R581" s="30"/>
    </row>
    <row r="582" spans="18:18" ht="15.75" customHeight="1">
      <c r="R582" s="30"/>
    </row>
    <row r="583" spans="18:18" ht="15.75" customHeight="1">
      <c r="R583" s="30"/>
    </row>
    <row r="584" spans="18:18" ht="15.75" customHeight="1">
      <c r="R584" s="30"/>
    </row>
    <row r="585" spans="18:18" ht="15.75" customHeight="1">
      <c r="R585" s="30"/>
    </row>
    <row r="586" spans="18:18" ht="15.75" customHeight="1">
      <c r="R586" s="30"/>
    </row>
    <row r="587" spans="18:18" ht="15.75" customHeight="1">
      <c r="R587" s="30"/>
    </row>
    <row r="588" spans="18:18" ht="15.75" customHeight="1">
      <c r="R588" s="30"/>
    </row>
    <row r="589" spans="18:18" ht="15.75" customHeight="1">
      <c r="R589" s="30"/>
    </row>
    <row r="590" spans="18:18" ht="15.75" customHeight="1">
      <c r="R590" s="30"/>
    </row>
    <row r="591" spans="18:18" ht="15.75" customHeight="1">
      <c r="R591" s="30"/>
    </row>
    <row r="592" spans="18:18" ht="15.75" customHeight="1">
      <c r="R592" s="30"/>
    </row>
    <row r="593" spans="18:18" ht="15.75" customHeight="1">
      <c r="R593" s="30"/>
    </row>
    <row r="594" spans="18:18" ht="15.75" customHeight="1">
      <c r="R594" s="30"/>
    </row>
    <row r="595" spans="18:18" ht="15.75" customHeight="1">
      <c r="R595" s="30"/>
    </row>
    <row r="596" spans="18:18" ht="15.75" customHeight="1">
      <c r="R596" s="30"/>
    </row>
    <row r="597" spans="18:18" ht="15.75" customHeight="1">
      <c r="R597" s="30"/>
    </row>
    <row r="598" spans="18:18" ht="15.75" customHeight="1">
      <c r="R598" s="30"/>
    </row>
    <row r="599" spans="18:18" ht="15.75" customHeight="1">
      <c r="R599" s="30"/>
    </row>
    <row r="600" spans="18:18" ht="15.75" customHeight="1">
      <c r="R600" s="30"/>
    </row>
    <row r="601" spans="18:18" ht="15.75" customHeight="1">
      <c r="R601" s="30"/>
    </row>
    <row r="602" spans="18:18" ht="15.75" customHeight="1">
      <c r="R602" s="30"/>
    </row>
    <row r="603" spans="18:18" ht="15.75" customHeight="1">
      <c r="R603" s="30"/>
    </row>
    <row r="604" spans="18:18" ht="15.75" customHeight="1">
      <c r="R604" s="30"/>
    </row>
    <row r="605" spans="18:18" ht="15.75" customHeight="1">
      <c r="R605" s="30"/>
    </row>
    <row r="606" spans="18:18" ht="15.75" customHeight="1">
      <c r="R606" s="30"/>
    </row>
    <row r="607" spans="18:18" ht="15.75" customHeight="1">
      <c r="R607" s="30"/>
    </row>
    <row r="608" spans="18:18" ht="15.75" customHeight="1">
      <c r="R608" s="30"/>
    </row>
    <row r="609" spans="18:18" ht="15.75" customHeight="1">
      <c r="R609" s="30"/>
    </row>
    <row r="610" spans="18:18" ht="15.75" customHeight="1">
      <c r="R610" s="30"/>
    </row>
    <row r="611" spans="18:18" ht="15.75" customHeight="1">
      <c r="R611" s="30"/>
    </row>
    <row r="612" spans="18:18" ht="15.75" customHeight="1">
      <c r="R612" s="30"/>
    </row>
    <row r="613" spans="18:18" ht="15.75" customHeight="1">
      <c r="R613" s="30"/>
    </row>
    <row r="614" spans="18:18" ht="15.75" customHeight="1">
      <c r="R614" s="30"/>
    </row>
    <row r="615" spans="18:18" ht="15.75" customHeight="1">
      <c r="R615" s="30"/>
    </row>
    <row r="616" spans="18:18" ht="15.75" customHeight="1">
      <c r="R616" s="30"/>
    </row>
    <row r="617" spans="18:18" ht="15.75" customHeight="1">
      <c r="R617" s="30"/>
    </row>
    <row r="618" spans="18:18" ht="15.75" customHeight="1">
      <c r="R618" s="30"/>
    </row>
    <row r="619" spans="18:18" ht="15.75" customHeight="1">
      <c r="R619" s="30"/>
    </row>
    <row r="620" spans="18:18" ht="15.75" customHeight="1">
      <c r="R620" s="30"/>
    </row>
    <row r="621" spans="18:18" ht="15.75" customHeight="1">
      <c r="R621" s="30"/>
    </row>
    <row r="622" spans="18:18" ht="15.75" customHeight="1">
      <c r="R622" s="30"/>
    </row>
    <row r="623" spans="18:18" ht="15.75" customHeight="1">
      <c r="R623" s="30"/>
    </row>
    <row r="624" spans="18:18" ht="15.75" customHeight="1">
      <c r="R624" s="30"/>
    </row>
    <row r="625" spans="18:18" ht="15.75" customHeight="1">
      <c r="R625" s="30"/>
    </row>
    <row r="626" spans="18:18" ht="15.75" customHeight="1">
      <c r="R626" s="30"/>
    </row>
    <row r="627" spans="18:18" ht="15.75" customHeight="1">
      <c r="R627" s="30"/>
    </row>
    <row r="628" spans="18:18" ht="15.75" customHeight="1">
      <c r="R628" s="30"/>
    </row>
    <row r="629" spans="18:18" ht="15.75" customHeight="1">
      <c r="R629" s="30"/>
    </row>
    <row r="630" spans="18:18" ht="15.75" customHeight="1">
      <c r="R630" s="30"/>
    </row>
    <row r="631" spans="18:18" ht="15.75" customHeight="1">
      <c r="R631" s="30"/>
    </row>
    <row r="632" spans="18:18" ht="15.75" customHeight="1">
      <c r="R632" s="30"/>
    </row>
    <row r="633" spans="18:18" ht="15.75" customHeight="1">
      <c r="R633" s="30"/>
    </row>
    <row r="634" spans="18:18" ht="15.75" customHeight="1">
      <c r="R634" s="30"/>
    </row>
    <row r="635" spans="18:18" ht="15.75" customHeight="1">
      <c r="R635" s="30"/>
    </row>
    <row r="636" spans="18:18" ht="15.75" customHeight="1">
      <c r="R636" s="30"/>
    </row>
    <row r="637" spans="18:18" ht="15.75" customHeight="1">
      <c r="R637" s="30"/>
    </row>
    <row r="638" spans="18:18" ht="15.75" customHeight="1">
      <c r="R638" s="30"/>
    </row>
    <row r="639" spans="18:18" ht="15.75" customHeight="1">
      <c r="R639" s="30"/>
    </row>
    <row r="640" spans="18:18" ht="15.75" customHeight="1">
      <c r="R640" s="30"/>
    </row>
    <row r="641" spans="18:18" ht="15.75" customHeight="1">
      <c r="R641" s="30"/>
    </row>
    <row r="642" spans="18:18" ht="15.75" customHeight="1">
      <c r="R642" s="30"/>
    </row>
    <row r="643" spans="18:18" ht="15.75" customHeight="1">
      <c r="R643" s="30"/>
    </row>
    <row r="644" spans="18:18" ht="15.75" customHeight="1">
      <c r="R644" s="30"/>
    </row>
    <row r="645" spans="18:18" ht="15.75" customHeight="1">
      <c r="R645" s="30"/>
    </row>
    <row r="646" spans="18:18" ht="15.75" customHeight="1">
      <c r="R646" s="30"/>
    </row>
    <row r="647" spans="18:18" ht="15.75" customHeight="1">
      <c r="R647" s="30"/>
    </row>
    <row r="648" spans="18:18" ht="15.75" customHeight="1">
      <c r="R648" s="30"/>
    </row>
    <row r="649" spans="18:18" ht="15.75" customHeight="1">
      <c r="R649" s="30"/>
    </row>
    <row r="650" spans="18:18" ht="15.75" customHeight="1">
      <c r="R650" s="30"/>
    </row>
    <row r="651" spans="18:18" ht="15.75" customHeight="1">
      <c r="R651" s="30"/>
    </row>
    <row r="652" spans="18:18" ht="15.75" customHeight="1">
      <c r="R652" s="30"/>
    </row>
    <row r="653" spans="18:18" ht="15.75" customHeight="1">
      <c r="R653" s="30"/>
    </row>
    <row r="654" spans="18:18" ht="15.75" customHeight="1">
      <c r="R654" s="30"/>
    </row>
    <row r="655" spans="18:18" ht="15.75" customHeight="1">
      <c r="R655" s="30"/>
    </row>
    <row r="656" spans="18:18" ht="15.75" customHeight="1">
      <c r="R656" s="30"/>
    </row>
    <row r="657" spans="18:18" ht="15.75" customHeight="1">
      <c r="R657" s="30"/>
    </row>
    <row r="658" spans="18:18" ht="15.75" customHeight="1">
      <c r="R658" s="30"/>
    </row>
    <row r="659" spans="18:18" ht="15.75" customHeight="1">
      <c r="R659" s="30"/>
    </row>
    <row r="660" spans="18:18" ht="15.75" customHeight="1">
      <c r="R660" s="30"/>
    </row>
    <row r="661" spans="18:18" ht="15.75" customHeight="1">
      <c r="R661" s="30"/>
    </row>
    <row r="662" spans="18:18" ht="15.75" customHeight="1">
      <c r="R662" s="30"/>
    </row>
    <row r="663" spans="18:18" ht="15.75" customHeight="1">
      <c r="R663" s="30"/>
    </row>
    <row r="664" spans="18:18" ht="15.75" customHeight="1">
      <c r="R664" s="30"/>
    </row>
    <row r="665" spans="18:18" ht="15.75" customHeight="1">
      <c r="R665" s="30"/>
    </row>
    <row r="666" spans="18:18" ht="15.75" customHeight="1">
      <c r="R666" s="30"/>
    </row>
    <row r="667" spans="18:18" ht="15.75" customHeight="1">
      <c r="R667" s="30"/>
    </row>
    <row r="668" spans="18:18" ht="15.75" customHeight="1">
      <c r="R668" s="30"/>
    </row>
    <row r="669" spans="18:18" ht="15.75" customHeight="1">
      <c r="R669" s="30"/>
    </row>
    <row r="670" spans="18:18" ht="15.75" customHeight="1">
      <c r="R670" s="30"/>
    </row>
    <row r="671" spans="18:18" ht="15.75" customHeight="1">
      <c r="R671" s="30"/>
    </row>
    <row r="672" spans="18:18" ht="15.75" customHeight="1">
      <c r="R672" s="30"/>
    </row>
    <row r="673" spans="18:18" ht="15.75" customHeight="1">
      <c r="R673" s="30"/>
    </row>
    <row r="674" spans="18:18" ht="15.75" customHeight="1">
      <c r="R674" s="30"/>
    </row>
    <row r="675" spans="18:18" ht="15.75" customHeight="1">
      <c r="R675" s="30"/>
    </row>
    <row r="676" spans="18:18" ht="15.75" customHeight="1">
      <c r="R676" s="30"/>
    </row>
    <row r="677" spans="18:18" ht="15.75" customHeight="1">
      <c r="R677" s="30"/>
    </row>
    <row r="678" spans="18:18" ht="15.75" customHeight="1">
      <c r="R678" s="30"/>
    </row>
    <row r="679" spans="18:18" ht="15.75" customHeight="1">
      <c r="R679" s="30"/>
    </row>
    <row r="680" spans="18:18" ht="15.75" customHeight="1">
      <c r="R680" s="30"/>
    </row>
    <row r="681" spans="18:18" ht="15.75" customHeight="1">
      <c r="R681" s="30"/>
    </row>
    <row r="682" spans="18:18" ht="15.75" customHeight="1">
      <c r="R682" s="30"/>
    </row>
    <row r="683" spans="18:18" ht="15.75" customHeight="1">
      <c r="R683" s="30"/>
    </row>
    <row r="684" spans="18:18" ht="15.75" customHeight="1">
      <c r="R684" s="30"/>
    </row>
    <row r="685" spans="18:18" ht="15.75" customHeight="1">
      <c r="R685" s="30"/>
    </row>
    <row r="686" spans="18:18" ht="15.75" customHeight="1">
      <c r="R686" s="30"/>
    </row>
    <row r="687" spans="18:18" ht="15.75" customHeight="1">
      <c r="R687" s="30"/>
    </row>
    <row r="688" spans="18:18" ht="15.75" customHeight="1">
      <c r="R688" s="30"/>
    </row>
    <row r="689" spans="18:18" ht="15.75" customHeight="1">
      <c r="R689" s="30"/>
    </row>
    <row r="690" spans="18:18" ht="15.75" customHeight="1">
      <c r="R690" s="30"/>
    </row>
    <row r="691" spans="18:18" ht="15.75" customHeight="1">
      <c r="R691" s="30"/>
    </row>
    <row r="692" spans="18:18" ht="15.75" customHeight="1">
      <c r="R692" s="30"/>
    </row>
    <row r="693" spans="18:18" ht="15.75" customHeight="1">
      <c r="R693" s="30"/>
    </row>
    <row r="694" spans="18:18" ht="15.75" customHeight="1">
      <c r="R694" s="30"/>
    </row>
    <row r="695" spans="18:18" ht="15.75" customHeight="1">
      <c r="R695" s="30"/>
    </row>
    <row r="696" spans="18:18" ht="15.75" customHeight="1">
      <c r="R696" s="30"/>
    </row>
    <row r="697" spans="18:18" ht="15.75" customHeight="1">
      <c r="R697" s="30"/>
    </row>
    <row r="698" spans="18:18" ht="15.75" customHeight="1">
      <c r="R698" s="30"/>
    </row>
    <row r="699" spans="18:18" ht="15.75" customHeight="1">
      <c r="R699" s="30"/>
    </row>
    <row r="700" spans="18:18" ht="15.75" customHeight="1">
      <c r="R700" s="30"/>
    </row>
    <row r="701" spans="18:18" ht="15.75" customHeight="1">
      <c r="R701" s="30"/>
    </row>
    <row r="702" spans="18:18" ht="15.75" customHeight="1">
      <c r="R702" s="30"/>
    </row>
    <row r="703" spans="18:18" ht="15.75" customHeight="1">
      <c r="R703" s="30"/>
    </row>
    <row r="704" spans="18:18" ht="15.75" customHeight="1">
      <c r="R704" s="30"/>
    </row>
    <row r="705" spans="18:18" ht="15.75" customHeight="1">
      <c r="R705" s="30"/>
    </row>
    <row r="706" spans="18:18" ht="15.75" customHeight="1">
      <c r="R706" s="30"/>
    </row>
    <row r="707" spans="18:18" ht="15.75" customHeight="1">
      <c r="R707" s="30"/>
    </row>
    <row r="708" spans="18:18" ht="15.75" customHeight="1">
      <c r="R708" s="30"/>
    </row>
    <row r="709" spans="18:18" ht="15.75" customHeight="1">
      <c r="R709" s="30"/>
    </row>
    <row r="710" spans="18:18" ht="15.75" customHeight="1">
      <c r="R710" s="30"/>
    </row>
    <row r="711" spans="18:18" ht="15.75" customHeight="1">
      <c r="R711" s="30"/>
    </row>
    <row r="712" spans="18:18" ht="15.75" customHeight="1">
      <c r="R712" s="30"/>
    </row>
    <row r="713" spans="18:18" ht="15.75" customHeight="1">
      <c r="R713" s="30"/>
    </row>
    <row r="714" spans="18:18" ht="15.75" customHeight="1">
      <c r="R714" s="30"/>
    </row>
    <row r="715" spans="18:18" ht="15.75" customHeight="1">
      <c r="R715" s="30"/>
    </row>
    <row r="716" spans="18:18" ht="15.75" customHeight="1">
      <c r="R716" s="30"/>
    </row>
    <row r="717" spans="18:18" ht="15.75" customHeight="1">
      <c r="R717" s="30"/>
    </row>
    <row r="718" spans="18:18" ht="15.75" customHeight="1">
      <c r="R718" s="30"/>
    </row>
    <row r="719" spans="18:18" ht="15.75" customHeight="1">
      <c r="R719" s="30"/>
    </row>
    <row r="720" spans="18:18" ht="15.75" customHeight="1">
      <c r="R720" s="30"/>
    </row>
    <row r="721" spans="18:18" ht="15.75" customHeight="1">
      <c r="R721" s="30"/>
    </row>
    <row r="722" spans="18:18" ht="15.75" customHeight="1">
      <c r="R722" s="30"/>
    </row>
    <row r="723" spans="18:18" ht="15.75" customHeight="1">
      <c r="R723" s="30"/>
    </row>
    <row r="724" spans="18:18" ht="15.75" customHeight="1">
      <c r="R724" s="30"/>
    </row>
    <row r="725" spans="18:18" ht="15.75" customHeight="1">
      <c r="R725" s="30"/>
    </row>
    <row r="726" spans="18:18" ht="15.75" customHeight="1">
      <c r="R726" s="30"/>
    </row>
    <row r="727" spans="18:18" ht="15.75" customHeight="1">
      <c r="R727" s="30"/>
    </row>
    <row r="728" spans="18:18" ht="15.75" customHeight="1">
      <c r="R728" s="30"/>
    </row>
    <row r="729" spans="18:18" ht="15.75" customHeight="1">
      <c r="R729" s="30"/>
    </row>
    <row r="730" spans="18:18" ht="15.75" customHeight="1">
      <c r="R730" s="30"/>
    </row>
    <row r="731" spans="18:18" ht="15.75" customHeight="1">
      <c r="R731" s="30"/>
    </row>
    <row r="732" spans="18:18" ht="15.75" customHeight="1">
      <c r="R732" s="30"/>
    </row>
    <row r="733" spans="18:18" ht="15.75" customHeight="1">
      <c r="R733" s="30"/>
    </row>
    <row r="734" spans="18:18" ht="15.75" customHeight="1">
      <c r="R734" s="30"/>
    </row>
    <row r="735" spans="18:18" ht="15.75" customHeight="1">
      <c r="R735" s="30"/>
    </row>
    <row r="736" spans="18:18" ht="15.75" customHeight="1">
      <c r="R736" s="30"/>
    </row>
    <row r="737" spans="18:18" ht="15.75" customHeight="1">
      <c r="R737" s="30"/>
    </row>
    <row r="738" spans="18:18" ht="15.75" customHeight="1">
      <c r="R738" s="30"/>
    </row>
    <row r="739" spans="18:18" ht="15.75" customHeight="1">
      <c r="R739" s="30"/>
    </row>
    <row r="740" spans="18:18" ht="15.75" customHeight="1">
      <c r="R740" s="30"/>
    </row>
    <row r="741" spans="18:18" ht="15.75" customHeight="1">
      <c r="R741" s="30"/>
    </row>
    <row r="742" spans="18:18" ht="15.75" customHeight="1">
      <c r="R742" s="30"/>
    </row>
    <row r="743" spans="18:18" ht="15.75" customHeight="1">
      <c r="R743" s="30"/>
    </row>
    <row r="744" spans="18:18" ht="15.75" customHeight="1">
      <c r="R744" s="30"/>
    </row>
    <row r="745" spans="18:18" ht="15.75" customHeight="1">
      <c r="R745" s="30"/>
    </row>
    <row r="746" spans="18:18" ht="15.75" customHeight="1">
      <c r="R746" s="30"/>
    </row>
    <row r="747" spans="18:18" ht="15.75" customHeight="1">
      <c r="R747" s="30"/>
    </row>
    <row r="748" spans="18:18" ht="15.75" customHeight="1">
      <c r="R748" s="30"/>
    </row>
    <row r="749" spans="18:18" ht="15.75" customHeight="1">
      <c r="R749" s="30"/>
    </row>
    <row r="750" spans="18:18" ht="15.75" customHeight="1">
      <c r="R750" s="30"/>
    </row>
    <row r="751" spans="18:18" ht="15.75" customHeight="1">
      <c r="R751" s="30"/>
    </row>
    <row r="752" spans="18:18" ht="15.75" customHeight="1">
      <c r="R752" s="30"/>
    </row>
    <row r="753" spans="18:18" ht="15.75" customHeight="1">
      <c r="R753" s="30"/>
    </row>
    <row r="754" spans="18:18" ht="15.75" customHeight="1">
      <c r="R754" s="30"/>
    </row>
    <row r="755" spans="18:18" ht="15.75" customHeight="1">
      <c r="R755" s="30"/>
    </row>
    <row r="756" spans="18:18" ht="15.75" customHeight="1">
      <c r="R756" s="30"/>
    </row>
    <row r="757" spans="18:18" ht="15.75" customHeight="1">
      <c r="R757" s="30"/>
    </row>
    <row r="758" spans="18:18" ht="15.75" customHeight="1">
      <c r="R758" s="30"/>
    </row>
    <row r="759" spans="18:18" ht="15.75" customHeight="1">
      <c r="R759" s="30"/>
    </row>
    <row r="760" spans="18:18" ht="15.75" customHeight="1">
      <c r="R760" s="30"/>
    </row>
    <row r="761" spans="18:18" ht="15.75" customHeight="1">
      <c r="R761" s="30"/>
    </row>
    <row r="762" spans="18:18" ht="15.75" customHeight="1">
      <c r="R762" s="30"/>
    </row>
    <row r="763" spans="18:18" ht="15.75" customHeight="1">
      <c r="R763" s="30"/>
    </row>
    <row r="764" spans="18:18" ht="15.75" customHeight="1">
      <c r="R764" s="30"/>
    </row>
    <row r="765" spans="18:18" ht="15.75" customHeight="1">
      <c r="R765" s="30"/>
    </row>
    <row r="766" spans="18:18" ht="15.75" customHeight="1">
      <c r="R766" s="30"/>
    </row>
    <row r="767" spans="18:18" ht="15.75" customHeight="1">
      <c r="R767" s="30"/>
    </row>
    <row r="768" spans="18:18" ht="15.75" customHeight="1">
      <c r="R768" s="30"/>
    </row>
    <row r="769" spans="18:18" ht="15.75" customHeight="1">
      <c r="R769" s="30"/>
    </row>
    <row r="770" spans="18:18" ht="15.75" customHeight="1">
      <c r="R770" s="30"/>
    </row>
    <row r="771" spans="18:18" ht="15.75" customHeight="1">
      <c r="R771" s="30"/>
    </row>
    <row r="772" spans="18:18" ht="15.75" customHeight="1">
      <c r="R772" s="30"/>
    </row>
    <row r="773" spans="18:18" ht="15.75" customHeight="1">
      <c r="R773" s="30"/>
    </row>
    <row r="774" spans="18:18" ht="15.75" customHeight="1">
      <c r="R774" s="30"/>
    </row>
    <row r="775" spans="18:18" ht="15.75" customHeight="1">
      <c r="R775" s="30"/>
    </row>
    <row r="776" spans="18:18" ht="15.75" customHeight="1">
      <c r="R776" s="30"/>
    </row>
    <row r="777" spans="18:18" ht="15.75" customHeight="1">
      <c r="R777" s="30"/>
    </row>
    <row r="778" spans="18:18" ht="15.75" customHeight="1">
      <c r="R778" s="30"/>
    </row>
    <row r="779" spans="18:18" ht="15.75" customHeight="1">
      <c r="R779" s="30"/>
    </row>
    <row r="780" spans="18:18" ht="15.75" customHeight="1">
      <c r="R780" s="30"/>
    </row>
    <row r="781" spans="18:18" ht="15.75" customHeight="1">
      <c r="R781" s="30"/>
    </row>
    <row r="782" spans="18:18" ht="15.75" customHeight="1">
      <c r="R782" s="30"/>
    </row>
    <row r="783" spans="18:18" ht="15.75" customHeight="1">
      <c r="R783" s="30"/>
    </row>
    <row r="784" spans="18:18" ht="15.75" customHeight="1">
      <c r="R784" s="30"/>
    </row>
    <row r="785" spans="18:18" ht="15.75" customHeight="1">
      <c r="R785" s="30"/>
    </row>
    <row r="786" spans="18:18" ht="15.75" customHeight="1">
      <c r="R786" s="30"/>
    </row>
    <row r="787" spans="18:18" ht="15.75" customHeight="1">
      <c r="R787" s="30"/>
    </row>
    <row r="788" spans="18:18" ht="15.75" customHeight="1">
      <c r="R788" s="30"/>
    </row>
    <row r="789" spans="18:18" ht="15.75" customHeight="1">
      <c r="R789" s="30"/>
    </row>
    <row r="790" spans="18:18" ht="15.75" customHeight="1">
      <c r="R790" s="30"/>
    </row>
    <row r="791" spans="18:18" ht="15.75" customHeight="1">
      <c r="R791" s="30"/>
    </row>
    <row r="792" spans="18:18" ht="15.75" customHeight="1">
      <c r="R792" s="30"/>
    </row>
    <row r="793" spans="18:18" ht="15.75" customHeight="1">
      <c r="R793" s="30"/>
    </row>
    <row r="794" spans="18:18" ht="15.75" customHeight="1">
      <c r="R794" s="30"/>
    </row>
    <row r="795" spans="18:18" ht="15.75" customHeight="1">
      <c r="R795" s="30"/>
    </row>
    <row r="796" spans="18:18" ht="15.75" customHeight="1">
      <c r="R796" s="30"/>
    </row>
    <row r="797" spans="18:18" ht="15.75" customHeight="1">
      <c r="R797" s="30"/>
    </row>
    <row r="798" spans="18:18" ht="15.75" customHeight="1">
      <c r="R798" s="30"/>
    </row>
    <row r="799" spans="18:18" ht="15.75" customHeight="1">
      <c r="R799" s="30"/>
    </row>
    <row r="800" spans="18:18" ht="15.75" customHeight="1">
      <c r="R800" s="30"/>
    </row>
    <row r="801" spans="18:18" ht="15.75" customHeight="1">
      <c r="R801" s="30"/>
    </row>
    <row r="802" spans="18:18" ht="15.75" customHeight="1">
      <c r="R802" s="30"/>
    </row>
    <row r="803" spans="18:18" ht="15.75" customHeight="1">
      <c r="R803" s="30"/>
    </row>
    <row r="804" spans="18:18" ht="15.75" customHeight="1">
      <c r="R804" s="30"/>
    </row>
    <row r="805" spans="18:18" ht="15.75" customHeight="1">
      <c r="R805" s="30"/>
    </row>
    <row r="806" spans="18:18" ht="15.75" customHeight="1">
      <c r="R806" s="30"/>
    </row>
    <row r="807" spans="18:18" ht="15.75" customHeight="1">
      <c r="R807" s="30"/>
    </row>
    <row r="808" spans="18:18" ht="15.75" customHeight="1">
      <c r="R808" s="30"/>
    </row>
    <row r="809" spans="18:18" ht="15.75" customHeight="1">
      <c r="R809" s="30"/>
    </row>
    <row r="810" spans="18:18" ht="15.75" customHeight="1">
      <c r="R810" s="30"/>
    </row>
    <row r="811" spans="18:18" ht="15.75" customHeight="1">
      <c r="R811" s="30"/>
    </row>
    <row r="812" spans="18:18" ht="15.75" customHeight="1">
      <c r="R812" s="30"/>
    </row>
    <row r="813" spans="18:18" ht="15.75" customHeight="1">
      <c r="R813" s="30"/>
    </row>
    <row r="814" spans="18:18" ht="15.75" customHeight="1">
      <c r="R814" s="30"/>
    </row>
    <row r="815" spans="18:18" ht="15.75" customHeight="1">
      <c r="R815" s="30"/>
    </row>
    <row r="816" spans="18:18" ht="15.75" customHeight="1">
      <c r="R816" s="30"/>
    </row>
    <row r="817" spans="18:18" ht="15.75" customHeight="1">
      <c r="R817" s="30"/>
    </row>
    <row r="818" spans="18:18" ht="15.75" customHeight="1">
      <c r="R818" s="30"/>
    </row>
    <row r="819" spans="18:18" ht="15.75" customHeight="1">
      <c r="R819" s="30"/>
    </row>
    <row r="820" spans="18:18" ht="15.75" customHeight="1">
      <c r="R820" s="30"/>
    </row>
    <row r="821" spans="18:18" ht="15.75" customHeight="1">
      <c r="R821" s="30"/>
    </row>
    <row r="822" spans="18:18" ht="15.75" customHeight="1">
      <c r="R822" s="30"/>
    </row>
    <row r="823" spans="18:18" ht="15.75" customHeight="1">
      <c r="R823" s="30"/>
    </row>
    <row r="824" spans="18:18" ht="15.75" customHeight="1">
      <c r="R824" s="30"/>
    </row>
    <row r="825" spans="18:18" ht="15.75" customHeight="1">
      <c r="R825" s="30"/>
    </row>
    <row r="826" spans="18:18" ht="15.75" customHeight="1">
      <c r="R826" s="30"/>
    </row>
    <row r="827" spans="18:18" ht="15.75" customHeight="1">
      <c r="R827" s="30"/>
    </row>
    <row r="828" spans="18:18" ht="15.75" customHeight="1">
      <c r="R828" s="30"/>
    </row>
    <row r="829" spans="18:18" ht="15.75" customHeight="1">
      <c r="R829" s="30"/>
    </row>
    <row r="830" spans="18:18" ht="15.75" customHeight="1">
      <c r="R830" s="30"/>
    </row>
    <row r="831" spans="18:18" ht="15.75" customHeight="1">
      <c r="R831" s="30"/>
    </row>
    <row r="832" spans="18:18" ht="15.75" customHeight="1">
      <c r="R832" s="30"/>
    </row>
    <row r="833" spans="18:18" ht="15.75" customHeight="1">
      <c r="R833" s="30"/>
    </row>
    <row r="834" spans="18:18" ht="15.75" customHeight="1">
      <c r="R834" s="30"/>
    </row>
    <row r="835" spans="18:18" ht="15.75" customHeight="1">
      <c r="R835" s="30"/>
    </row>
    <row r="836" spans="18:18" ht="15.75" customHeight="1">
      <c r="R836" s="30"/>
    </row>
    <row r="837" spans="18:18" ht="15.75" customHeight="1">
      <c r="R837" s="30"/>
    </row>
    <row r="838" spans="18:18" ht="15.75" customHeight="1">
      <c r="R838" s="30"/>
    </row>
    <row r="839" spans="18:18" ht="15.75" customHeight="1">
      <c r="R839" s="30"/>
    </row>
    <row r="840" spans="18:18" ht="15.75" customHeight="1">
      <c r="R840" s="30"/>
    </row>
    <row r="841" spans="18:18" ht="15.75" customHeight="1">
      <c r="R841" s="30"/>
    </row>
    <row r="842" spans="18:18" ht="15.75" customHeight="1">
      <c r="R842" s="30"/>
    </row>
    <row r="843" spans="18:18" ht="15.75" customHeight="1">
      <c r="R843" s="30"/>
    </row>
    <row r="844" spans="18:18" ht="15.75" customHeight="1">
      <c r="R844" s="30"/>
    </row>
    <row r="845" spans="18:18" ht="15.75" customHeight="1">
      <c r="R845" s="30"/>
    </row>
    <row r="846" spans="18:18" ht="15.75" customHeight="1">
      <c r="R846" s="30"/>
    </row>
    <row r="847" spans="18:18" ht="15.75" customHeight="1">
      <c r="R847" s="30"/>
    </row>
    <row r="848" spans="18:18" ht="15.75" customHeight="1">
      <c r="R848" s="30"/>
    </row>
    <row r="849" spans="18:18" ht="15.75" customHeight="1">
      <c r="R849" s="30"/>
    </row>
    <row r="850" spans="18:18" ht="15.75" customHeight="1">
      <c r="R850" s="30"/>
    </row>
    <row r="851" spans="18:18" ht="15.75" customHeight="1">
      <c r="R851" s="30"/>
    </row>
    <row r="852" spans="18:18" ht="15.75" customHeight="1">
      <c r="R852" s="30"/>
    </row>
    <row r="853" spans="18:18" ht="15.75" customHeight="1">
      <c r="R853" s="30"/>
    </row>
    <row r="854" spans="18:18" ht="15.75" customHeight="1">
      <c r="R854" s="30"/>
    </row>
    <row r="855" spans="18:18" ht="15.75" customHeight="1">
      <c r="R855" s="30"/>
    </row>
    <row r="856" spans="18:18" ht="15.75" customHeight="1">
      <c r="R856" s="30"/>
    </row>
    <row r="857" spans="18:18" ht="15.75" customHeight="1">
      <c r="R857" s="30"/>
    </row>
    <row r="858" spans="18:18" ht="15.75" customHeight="1">
      <c r="R858" s="30"/>
    </row>
    <row r="859" spans="18:18" ht="15.75" customHeight="1">
      <c r="R859" s="30"/>
    </row>
    <row r="860" spans="18:18" ht="15.75" customHeight="1">
      <c r="R860" s="30"/>
    </row>
    <row r="861" spans="18:18" ht="15.75" customHeight="1">
      <c r="R861" s="30"/>
    </row>
    <row r="862" spans="18:18" ht="15.75" customHeight="1">
      <c r="R862" s="30"/>
    </row>
    <row r="863" spans="18:18" ht="15.75" customHeight="1">
      <c r="R863" s="30"/>
    </row>
    <row r="864" spans="18:18" ht="15.75" customHeight="1">
      <c r="R864" s="30"/>
    </row>
    <row r="865" spans="18:18" ht="15.75" customHeight="1">
      <c r="R865" s="30"/>
    </row>
    <row r="866" spans="18:18" ht="15.75" customHeight="1">
      <c r="R866" s="30"/>
    </row>
    <row r="867" spans="18:18" ht="15.75" customHeight="1">
      <c r="R867" s="30"/>
    </row>
    <row r="868" spans="18:18" ht="15.75" customHeight="1">
      <c r="R868" s="30"/>
    </row>
    <row r="869" spans="18:18" ht="15.75" customHeight="1">
      <c r="R869" s="30"/>
    </row>
    <row r="870" spans="18:18" ht="15.75" customHeight="1">
      <c r="R870" s="30"/>
    </row>
    <row r="871" spans="18:18" ht="15.75" customHeight="1">
      <c r="R871" s="30"/>
    </row>
    <row r="872" spans="18:18" ht="15.75" customHeight="1">
      <c r="R872" s="30"/>
    </row>
    <row r="873" spans="18:18" ht="15.75" customHeight="1">
      <c r="R873" s="30"/>
    </row>
    <row r="874" spans="18:18" ht="15.75" customHeight="1">
      <c r="R874" s="30"/>
    </row>
    <row r="875" spans="18:18" ht="15.75" customHeight="1">
      <c r="R875" s="30"/>
    </row>
    <row r="876" spans="18:18" ht="15.75" customHeight="1">
      <c r="R876" s="30"/>
    </row>
    <row r="877" spans="18:18" ht="15.75" customHeight="1">
      <c r="R877" s="30"/>
    </row>
    <row r="878" spans="18:18" ht="15.75" customHeight="1">
      <c r="R878" s="30"/>
    </row>
    <row r="879" spans="18:18" ht="15.75" customHeight="1">
      <c r="R879" s="30"/>
    </row>
    <row r="880" spans="18:18" ht="15.75" customHeight="1">
      <c r="R880" s="30"/>
    </row>
    <row r="881" spans="18:18" ht="15.75" customHeight="1">
      <c r="R881" s="30"/>
    </row>
    <row r="882" spans="18:18" ht="15.75" customHeight="1">
      <c r="R882" s="30"/>
    </row>
    <row r="883" spans="18:18" ht="15.75" customHeight="1">
      <c r="R883" s="30"/>
    </row>
    <row r="884" spans="18:18" ht="15.75" customHeight="1">
      <c r="R884" s="30"/>
    </row>
    <row r="885" spans="18:18" ht="15.75" customHeight="1">
      <c r="R885" s="30"/>
    </row>
    <row r="886" spans="18:18" ht="15.75" customHeight="1">
      <c r="R886" s="30"/>
    </row>
    <row r="887" spans="18:18" ht="15.75" customHeight="1">
      <c r="R887" s="30"/>
    </row>
    <row r="888" spans="18:18" ht="15.75" customHeight="1">
      <c r="R888" s="30"/>
    </row>
    <row r="889" spans="18:18" ht="15.75" customHeight="1">
      <c r="R889" s="30"/>
    </row>
    <row r="890" spans="18:18" ht="15.75" customHeight="1">
      <c r="R890" s="30"/>
    </row>
    <row r="891" spans="18:18" ht="15.75" customHeight="1">
      <c r="R891" s="30"/>
    </row>
    <row r="892" spans="18:18" ht="15.75" customHeight="1">
      <c r="R892" s="30"/>
    </row>
    <row r="893" spans="18:18" ht="15.75" customHeight="1">
      <c r="R893" s="30"/>
    </row>
    <row r="894" spans="18:18" ht="15.75" customHeight="1">
      <c r="R894" s="30"/>
    </row>
    <row r="895" spans="18:18" ht="15.75" customHeight="1">
      <c r="R895" s="30"/>
    </row>
    <row r="896" spans="18:18" ht="15.75" customHeight="1">
      <c r="R896" s="30"/>
    </row>
    <row r="897" spans="18:18" ht="15.75" customHeight="1">
      <c r="R897" s="30"/>
    </row>
    <row r="898" spans="18:18" ht="15.75" customHeight="1">
      <c r="R898" s="30"/>
    </row>
    <row r="899" spans="18:18" ht="15.75" customHeight="1">
      <c r="R899" s="30"/>
    </row>
    <row r="900" spans="18:18" ht="15.75" customHeight="1">
      <c r="R900" s="30"/>
    </row>
    <row r="901" spans="18:18" ht="15.75" customHeight="1">
      <c r="R901" s="30"/>
    </row>
    <row r="902" spans="18:18" ht="15.75" customHeight="1">
      <c r="R902" s="30"/>
    </row>
    <row r="903" spans="18:18" ht="15.75" customHeight="1">
      <c r="R903" s="30"/>
    </row>
    <row r="904" spans="18:18" ht="15.75" customHeight="1">
      <c r="R904" s="30"/>
    </row>
    <row r="905" spans="18:18" ht="15.75" customHeight="1">
      <c r="R905" s="30"/>
    </row>
    <row r="906" spans="18:18" ht="15.75" customHeight="1">
      <c r="R906" s="30"/>
    </row>
    <row r="907" spans="18:18" ht="15.75" customHeight="1">
      <c r="R907" s="30"/>
    </row>
    <row r="908" spans="18:18" ht="15.75" customHeight="1">
      <c r="R908" s="30"/>
    </row>
    <row r="909" spans="18:18" ht="15.75" customHeight="1">
      <c r="R909" s="30"/>
    </row>
    <row r="910" spans="18:18" ht="15.75" customHeight="1">
      <c r="R910" s="30"/>
    </row>
    <row r="911" spans="18:18" ht="15.75" customHeight="1">
      <c r="R911" s="30"/>
    </row>
    <row r="912" spans="18:18" ht="15.75" customHeight="1">
      <c r="R912" s="30"/>
    </row>
    <row r="913" spans="18:18" ht="15.75" customHeight="1">
      <c r="R913" s="30"/>
    </row>
    <row r="914" spans="18:18" ht="15.75" customHeight="1">
      <c r="R914" s="30"/>
    </row>
    <row r="915" spans="18:18" ht="15.75" customHeight="1">
      <c r="R915" s="30"/>
    </row>
    <row r="916" spans="18:18" ht="15.75" customHeight="1">
      <c r="R916" s="30"/>
    </row>
    <row r="917" spans="18:18" ht="15.75" customHeight="1">
      <c r="R917" s="30"/>
    </row>
    <row r="918" spans="18:18" ht="15.75" customHeight="1">
      <c r="R918" s="30"/>
    </row>
    <row r="919" spans="18:18" ht="15.75" customHeight="1">
      <c r="R919" s="30"/>
    </row>
    <row r="920" spans="18:18" ht="15.75" customHeight="1">
      <c r="R920" s="30"/>
    </row>
    <row r="921" spans="18:18" ht="15.75" customHeight="1">
      <c r="R921" s="30"/>
    </row>
    <row r="922" spans="18:18" ht="15.75" customHeight="1">
      <c r="R922" s="30"/>
    </row>
    <row r="923" spans="18:18" ht="15.75" customHeight="1">
      <c r="R923" s="30"/>
    </row>
    <row r="924" spans="18:18" ht="15.75" customHeight="1">
      <c r="R924" s="30"/>
    </row>
    <row r="925" spans="18:18" ht="15.75" customHeight="1">
      <c r="R925" s="30"/>
    </row>
    <row r="926" spans="18:18" ht="15.75" customHeight="1">
      <c r="R926" s="30"/>
    </row>
    <row r="927" spans="18:18" ht="15.75" customHeight="1">
      <c r="R927" s="30"/>
    </row>
    <row r="928" spans="18:18" ht="15.75" customHeight="1">
      <c r="R928" s="30"/>
    </row>
    <row r="929" spans="18:18" ht="15.75" customHeight="1">
      <c r="R929" s="30"/>
    </row>
    <row r="930" spans="18:18" ht="15.75" customHeight="1">
      <c r="R930" s="30"/>
    </row>
    <row r="931" spans="18:18" ht="15.75" customHeight="1">
      <c r="R931" s="30"/>
    </row>
    <row r="932" spans="18:18" ht="15.75" customHeight="1">
      <c r="R932" s="30"/>
    </row>
    <row r="933" spans="18:18" ht="15.75" customHeight="1">
      <c r="R933" s="30"/>
    </row>
    <row r="934" spans="18:18" ht="15.75" customHeight="1">
      <c r="R934" s="30"/>
    </row>
    <row r="935" spans="18:18" ht="15.75" customHeight="1">
      <c r="R935" s="30"/>
    </row>
    <row r="936" spans="18:18" ht="15.75" customHeight="1">
      <c r="R936" s="30"/>
    </row>
    <row r="937" spans="18:18" ht="15.75" customHeight="1">
      <c r="R937" s="30"/>
    </row>
    <row r="938" spans="18:18" ht="15.75" customHeight="1">
      <c r="R938" s="30"/>
    </row>
    <row r="939" spans="18:18" ht="15.75" customHeight="1">
      <c r="R939" s="30"/>
    </row>
    <row r="940" spans="18:18" ht="15.75" customHeight="1">
      <c r="R940" s="30"/>
    </row>
    <row r="941" spans="18:18" ht="15.75" customHeight="1">
      <c r="R941" s="30"/>
    </row>
    <row r="942" spans="18:18" ht="15.75" customHeight="1">
      <c r="R942" s="30"/>
    </row>
    <row r="943" spans="18:18" ht="15.75" customHeight="1">
      <c r="R943" s="30"/>
    </row>
    <row r="944" spans="18:18" ht="15.75" customHeight="1">
      <c r="R944" s="30"/>
    </row>
    <row r="945" spans="18:18" ht="15.75" customHeight="1">
      <c r="R945" s="30"/>
    </row>
    <row r="946" spans="18:18" ht="15.75" customHeight="1">
      <c r="R946" s="30"/>
    </row>
    <row r="947" spans="18:18" ht="15.75" customHeight="1">
      <c r="R947" s="30"/>
    </row>
    <row r="948" spans="18:18" ht="15.75" customHeight="1">
      <c r="R948" s="30"/>
    </row>
    <row r="949" spans="18:18" ht="15.75" customHeight="1">
      <c r="R949" s="30"/>
    </row>
    <row r="950" spans="18:18" ht="15.75" customHeight="1">
      <c r="R950" s="30"/>
    </row>
    <row r="951" spans="18:18" ht="15.75" customHeight="1">
      <c r="R951" s="30"/>
    </row>
    <row r="952" spans="18:18" ht="15.75" customHeight="1">
      <c r="R952" s="30"/>
    </row>
    <row r="953" spans="18:18" ht="15.75" customHeight="1">
      <c r="R953" s="30"/>
    </row>
    <row r="954" spans="18:18" ht="15.75" customHeight="1">
      <c r="R954" s="30"/>
    </row>
    <row r="955" spans="18:18" ht="15.75" customHeight="1">
      <c r="R955" s="30"/>
    </row>
    <row r="956" spans="18:18" ht="15.75" customHeight="1">
      <c r="R956" s="30"/>
    </row>
    <row r="957" spans="18:18" ht="15.75" customHeight="1">
      <c r="R957" s="30"/>
    </row>
    <row r="958" spans="18:18" ht="15.75" customHeight="1">
      <c r="R958" s="30"/>
    </row>
    <row r="959" spans="18:18" ht="15.75" customHeight="1">
      <c r="R959" s="30"/>
    </row>
    <row r="960" spans="18:18" ht="15.75" customHeight="1">
      <c r="R960" s="30"/>
    </row>
    <row r="961" spans="18:18" ht="15.75" customHeight="1">
      <c r="R961" s="30"/>
    </row>
    <row r="962" spans="18:18" ht="15.75" customHeight="1">
      <c r="R962" s="30"/>
    </row>
    <row r="963" spans="18:18" ht="15.75" customHeight="1">
      <c r="R963" s="30"/>
    </row>
    <row r="964" spans="18:18" ht="15.75" customHeight="1">
      <c r="R964" s="30"/>
    </row>
    <row r="965" spans="18:18" ht="15.75" customHeight="1">
      <c r="R965" s="30"/>
    </row>
    <row r="966" spans="18:18" ht="15.75" customHeight="1">
      <c r="R966" s="30"/>
    </row>
    <row r="967" spans="18:18" ht="15.75" customHeight="1">
      <c r="R967" s="30"/>
    </row>
    <row r="968" spans="18:18" ht="15.75" customHeight="1">
      <c r="R968" s="30"/>
    </row>
    <row r="969" spans="18:18" ht="15.75" customHeight="1">
      <c r="R969" s="30"/>
    </row>
    <row r="970" spans="18:18" ht="15.75" customHeight="1">
      <c r="R970" s="30"/>
    </row>
    <row r="971" spans="18:18" ht="15.75" customHeight="1">
      <c r="R971" s="30"/>
    </row>
    <row r="972" spans="18:18" ht="15.75" customHeight="1">
      <c r="R972" s="30"/>
    </row>
    <row r="973" spans="18:18" ht="15.75" customHeight="1">
      <c r="R973" s="30"/>
    </row>
    <row r="974" spans="18:18" ht="15.75" customHeight="1">
      <c r="R974" s="30"/>
    </row>
    <row r="975" spans="18:18" ht="15.75" customHeight="1">
      <c r="R975" s="30"/>
    </row>
    <row r="976" spans="18:18" ht="15.75" customHeight="1">
      <c r="R976" s="30"/>
    </row>
    <row r="977" spans="18:18" ht="15.75" customHeight="1">
      <c r="R977" s="30"/>
    </row>
    <row r="978" spans="18:18" ht="15.75" customHeight="1">
      <c r="R978" s="30"/>
    </row>
    <row r="979" spans="18:18" ht="15.75" customHeight="1">
      <c r="R979" s="30"/>
    </row>
    <row r="980" spans="18:18" ht="15.75" customHeight="1">
      <c r="R980" s="30"/>
    </row>
    <row r="981" spans="18:18" ht="15.75" customHeight="1">
      <c r="R981" s="30"/>
    </row>
    <row r="982" spans="18:18" ht="15.75" customHeight="1">
      <c r="R982" s="30"/>
    </row>
    <row r="983" spans="18:18" ht="15.75" customHeight="1">
      <c r="R983" s="30"/>
    </row>
    <row r="984" spans="18:18" ht="15.75" customHeight="1">
      <c r="R984" s="30"/>
    </row>
    <row r="985" spans="18:18" ht="15.75" customHeight="1">
      <c r="R985" s="30"/>
    </row>
    <row r="986" spans="18:18" ht="15.75" customHeight="1">
      <c r="R986" s="30"/>
    </row>
    <row r="987" spans="18:18" ht="15.75" customHeight="1">
      <c r="R987" s="30"/>
    </row>
    <row r="988" spans="18:18" ht="15.75" customHeight="1">
      <c r="R988" s="30"/>
    </row>
    <row r="989" spans="18:18" ht="15.75" customHeight="1">
      <c r="R989" s="30"/>
    </row>
    <row r="990" spans="18:18" ht="15.75" customHeight="1">
      <c r="R990" s="30"/>
    </row>
    <row r="991" spans="18:18" ht="15.75" customHeight="1">
      <c r="R991" s="30"/>
    </row>
    <row r="992" spans="18:18" ht="15.75" customHeight="1">
      <c r="R992" s="30"/>
    </row>
    <row r="993" spans="18:18" ht="15.75" customHeight="1">
      <c r="R993" s="30"/>
    </row>
    <row r="994" spans="18:18" ht="15.75" customHeight="1">
      <c r="R994" s="30"/>
    </row>
    <row r="995" spans="18:18" ht="15.75" customHeight="1">
      <c r="R995" s="30"/>
    </row>
    <row r="996" spans="18:18" ht="15.75" customHeight="1">
      <c r="R996" s="30"/>
    </row>
    <row r="997" spans="18:18" ht="15.75" customHeight="1">
      <c r="R997" s="30"/>
    </row>
    <row r="998" spans="18:18" ht="15.75" customHeight="1">
      <c r="R998" s="30"/>
    </row>
    <row r="999" spans="18:18" ht="15.75" customHeight="1">
      <c r="R999" s="30"/>
    </row>
    <row r="1000" spans="18:18" ht="15.75" customHeight="1">
      <c r="R1000" s="3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2.6640625" defaultRowHeight="15" customHeight="1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8.6640625" customWidth="1"/>
    <col min="6" max="6" width="10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9.6640625" customWidth="1"/>
    <col min="16" max="16" width="8.1640625" customWidth="1"/>
    <col min="17" max="18" width="7.33203125" customWidth="1"/>
    <col min="19" max="19" width="7.1640625" customWidth="1"/>
    <col min="20" max="20" width="11.1640625" customWidth="1"/>
    <col min="21" max="21" width="13.5" customWidth="1"/>
    <col min="22" max="22" width="22" customWidth="1"/>
    <col min="23" max="24" width="7.6640625" customWidth="1"/>
    <col min="25" max="25" width="8.1640625" customWidth="1"/>
    <col min="26" max="26" width="11.1640625" customWidth="1"/>
    <col min="27" max="27" width="10.6640625" customWidth="1"/>
    <col min="28" max="28" width="9.6640625" customWidth="1"/>
    <col min="29" max="29" width="7.1640625" customWidth="1"/>
    <col min="30" max="30" width="10.83203125" customWidth="1"/>
    <col min="31" max="31" width="7.6640625" customWidth="1"/>
    <col min="32" max="32" width="10.1640625" customWidth="1"/>
    <col min="33" max="33" width="8.83203125" customWidth="1"/>
  </cols>
  <sheetData>
    <row r="1" spans="1:33" ht="18.75" customHeight="1">
      <c r="A1" s="46" t="str">
        <f ca="1">IFERROR(__xludf.DUMMYFUNCTION("IFERROR(VLOOKUP(B2,IMPORTRANGE(""https://docs.google.com/spreadsheets/d/1x0DhHglkXKoEBOD2MBsuK_EyIr1ouxD2ftIpqOYFa-k/edit?usp=sharing"",""Ubiquitty-SKU-Specific Info!B1:BJ5000""),3,FALSE),"""")"),"10 Foot Lighted Outdoor Extension Cord - 10/3 SJTW Orange 10 Gauge Extension Cable with 3 Prong Grounded Plug for Safety - Great for Garden and Major Appliances")</f>
        <v>10 Foot Lighted Outdoor Extension Cord - 10/3 SJTW Orange 10 Gauge Extension Cable with 3 Prong Grounded Plug for Safety - Great for Garden and Major Appliances</v>
      </c>
      <c r="B1" s="47"/>
      <c r="C1" s="48" t="s">
        <v>0</v>
      </c>
      <c r="D1" s="50" t="s">
        <v>1</v>
      </c>
      <c r="E1" s="50" t="s">
        <v>2</v>
      </c>
      <c r="F1" s="52" t="s">
        <v>3</v>
      </c>
      <c r="G1" s="52" t="s">
        <v>4</v>
      </c>
      <c r="H1" s="53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58" t="s">
        <v>10</v>
      </c>
      <c r="N1" s="59" t="s">
        <v>11</v>
      </c>
      <c r="O1" s="50" t="s">
        <v>12</v>
      </c>
      <c r="P1" s="50" t="s">
        <v>13</v>
      </c>
      <c r="Q1" s="57" t="s">
        <v>14</v>
      </c>
      <c r="R1" s="57" t="s">
        <v>15</v>
      </c>
      <c r="S1" s="60" t="s">
        <v>16</v>
      </c>
      <c r="T1" s="62" t="s">
        <v>2006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Info!B1:BJ5000""),2,FALSE),"""")"),"B08NFHQY87")</f>
        <v>B08NFHQY87</v>
      </c>
      <c r="B2" s="3" t="s">
        <v>114</v>
      </c>
      <c r="C2" s="49"/>
      <c r="D2" s="49"/>
      <c r="E2" s="51"/>
      <c r="F2" s="49"/>
      <c r="G2" s="49"/>
      <c r="H2" s="54"/>
      <c r="I2" s="49"/>
      <c r="J2" s="49"/>
      <c r="K2" s="54"/>
      <c r="L2" s="54"/>
      <c r="M2" s="54"/>
      <c r="N2" s="49"/>
      <c r="O2" s="49"/>
      <c r="P2" s="51"/>
      <c r="Q2" s="49"/>
      <c r="R2" s="49"/>
      <c r="S2" s="61"/>
      <c r="T2" s="47"/>
      <c r="U2" s="63"/>
      <c r="V2" s="63"/>
      <c r="W2" s="47"/>
      <c r="X2" s="47"/>
      <c r="Y2" s="47"/>
      <c r="Z2" s="47"/>
      <c r="AA2" s="63"/>
      <c r="AB2" s="63"/>
      <c r="AC2" s="63"/>
      <c r="AD2" s="63"/>
      <c r="AE2" s="47"/>
      <c r="AF2" s="47"/>
      <c r="AG2" s="47"/>
    </row>
    <row r="3" spans="1:33" ht="179.25" customHeight="1">
      <c r="A3" s="55" t="s">
        <v>31</v>
      </c>
      <c r="B3" s="56"/>
      <c r="C3" s="4">
        <f>((AE32+AF32)/0.85)*-1</f>
        <v>15.268204750882354</v>
      </c>
      <c r="D3" s="5">
        <f>SUM(D4:D99765)</f>
        <v>95</v>
      </c>
      <c r="E3" s="5"/>
      <c r="F3" s="6">
        <f t="shared" ref="F3:G3" si="0">SUM(F4:F99765)</f>
        <v>2466.3599999999997</v>
      </c>
      <c r="G3" s="6">
        <f t="shared" si="0"/>
        <v>-0.08</v>
      </c>
      <c r="H3" s="7">
        <f>G3/F3*-1</f>
        <v>3.2436465074036234E-5</v>
      </c>
      <c r="I3" s="8">
        <f>J3/F3</f>
        <v>0.35324157496523229</v>
      </c>
      <c r="J3" s="6">
        <f>SUM(J4:J99765)</f>
        <v>871.22089083125024</v>
      </c>
      <c r="K3" s="6">
        <f>J3/D3</f>
        <v>9.1707462192763192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Sheet!a1:g5000""),2,FALSE),"""")"),"2 - March
2 - April
2 - May
2 - June
2 - July
2 - Aug
2 - Sept
2 - Oct
2 - Nov
2 - Dec
 - Jan
 - Feb")</f>
        <v>2 - March
2 - April
2 - May
2 - June
2 - July
2 - Aug
2 - Sept
2 - Oct
2 - Nov
2 -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0</v>
      </c>
      <c r="X3" s="7">
        <f>W3/D3</f>
        <v>0</v>
      </c>
      <c r="Y3" s="6"/>
      <c r="Z3" s="5"/>
      <c r="AA3" s="5"/>
      <c r="AB3" s="5"/>
      <c r="AC3" s="5"/>
      <c r="AD3" s="6">
        <f>SUM(AD4:AD99765)</f>
        <v>-10.11160916875</v>
      </c>
      <c r="AE3" s="6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Info!B2:BZ3000""),37,FALSE)),"""")*-1"),-7.29797403825)</f>
        <v>-7.2979740382499996</v>
      </c>
      <c r="AG3" s="6">
        <f>SUM(AG4:AG99765)</f>
        <v>0</v>
      </c>
    </row>
    <row r="4" spans="1:33" ht="15.75" hidden="1" customHeight="1">
      <c r="A4" s="14"/>
      <c r="B4" s="14"/>
      <c r="C4" s="15"/>
      <c r="D4" s="16"/>
      <c r="E4" s="16"/>
      <c r="F4" s="17"/>
      <c r="G4" s="17"/>
      <c r="H4" s="18"/>
      <c r="I4" s="18"/>
      <c r="J4" s="17"/>
      <c r="K4" s="17"/>
      <c r="L4" s="16"/>
      <c r="M4" s="19"/>
      <c r="N4" s="16"/>
      <c r="O4" s="20"/>
      <c r="P4" s="20"/>
      <c r="Q4" s="16"/>
      <c r="R4" s="16"/>
      <c r="S4" s="21"/>
      <c r="T4" s="14"/>
      <c r="U4" s="22"/>
      <c r="V4" s="23"/>
      <c r="W4" s="14"/>
      <c r="X4" s="24"/>
      <c r="Y4" s="25"/>
      <c r="Z4" s="14"/>
      <c r="AA4" s="26"/>
      <c r="AB4" s="27"/>
      <c r="AC4" s="28"/>
      <c r="AD4" s="25"/>
      <c r="AE4" s="25"/>
      <c r="AF4" s="25"/>
      <c r="AG4" s="25"/>
    </row>
    <row r="5" spans="1:33" ht="15.75" hidden="1" customHeight="1">
      <c r="A5" s="14"/>
      <c r="B5" s="14"/>
      <c r="C5" s="15"/>
      <c r="D5" s="16"/>
      <c r="E5" s="16"/>
      <c r="F5" s="29"/>
      <c r="G5" s="29"/>
      <c r="H5" s="18"/>
      <c r="I5" s="18"/>
      <c r="J5" s="17"/>
      <c r="K5" s="17"/>
      <c r="L5" s="16"/>
      <c r="M5" s="19"/>
      <c r="N5" s="16"/>
      <c r="O5" s="20"/>
      <c r="P5" s="20"/>
      <c r="Q5" s="16"/>
      <c r="R5" s="16"/>
      <c r="S5" s="21"/>
      <c r="T5" s="14"/>
      <c r="U5" s="22"/>
      <c r="V5" s="23"/>
      <c r="W5" s="14"/>
      <c r="X5" s="24"/>
      <c r="Y5" s="25"/>
      <c r="Z5" s="14"/>
      <c r="AA5" s="14"/>
      <c r="AB5" s="27"/>
      <c r="AC5" s="28"/>
      <c r="AD5" s="25"/>
      <c r="AE5" s="25"/>
      <c r="AF5" s="25"/>
      <c r="AG5" s="25"/>
    </row>
    <row r="6" spans="1:33" ht="15.75" hidden="1" customHeight="1">
      <c r="A6" s="14"/>
      <c r="B6" s="14"/>
      <c r="C6" s="15"/>
      <c r="D6" s="16"/>
      <c r="E6" s="16"/>
      <c r="F6" s="29"/>
      <c r="G6" s="29"/>
      <c r="H6" s="18"/>
      <c r="I6" s="18"/>
      <c r="J6" s="17"/>
      <c r="K6" s="17"/>
      <c r="L6" s="16"/>
      <c r="M6" s="19"/>
      <c r="N6" s="16"/>
      <c r="O6" s="20"/>
      <c r="P6" s="20"/>
      <c r="Q6" s="16"/>
      <c r="R6" s="16"/>
      <c r="S6" s="21"/>
      <c r="T6" s="14"/>
      <c r="U6" s="22"/>
      <c r="V6" s="23"/>
      <c r="W6" s="14"/>
      <c r="X6" s="24"/>
      <c r="Y6" s="25"/>
      <c r="Z6" s="14"/>
      <c r="AA6" s="14"/>
      <c r="AB6" s="27"/>
      <c r="AC6" s="28"/>
      <c r="AD6" s="25"/>
      <c r="AE6" s="25"/>
      <c r="AF6" s="25"/>
      <c r="AG6" s="25"/>
    </row>
    <row r="7" spans="1:33" ht="15.75" hidden="1" customHeight="1">
      <c r="A7" s="14"/>
      <c r="B7" s="14"/>
      <c r="C7" s="15"/>
      <c r="D7" s="16"/>
      <c r="E7" s="16"/>
      <c r="F7" s="29"/>
      <c r="G7" s="29"/>
      <c r="H7" s="18"/>
      <c r="I7" s="18"/>
      <c r="J7" s="17"/>
      <c r="K7" s="17"/>
      <c r="L7" s="16"/>
      <c r="M7" s="19"/>
      <c r="N7" s="16"/>
      <c r="O7" s="20"/>
      <c r="P7" s="20"/>
      <c r="Q7" s="16"/>
      <c r="R7" s="16"/>
      <c r="S7" s="21"/>
      <c r="T7" s="14"/>
      <c r="U7" s="22"/>
      <c r="V7" s="23"/>
      <c r="W7" s="14"/>
      <c r="X7" s="24"/>
      <c r="Y7" s="25"/>
      <c r="Z7" s="14"/>
      <c r="AA7" s="14"/>
      <c r="AB7" s="27"/>
      <c r="AC7" s="28"/>
      <c r="AD7" s="25"/>
      <c r="AE7" s="25"/>
      <c r="AF7" s="25"/>
      <c r="AG7" s="25"/>
    </row>
    <row r="8" spans="1:33" ht="15.75" hidden="1" customHeight="1">
      <c r="A8" s="14"/>
      <c r="B8" s="14"/>
      <c r="C8" s="15"/>
      <c r="D8" s="16"/>
      <c r="E8" s="16"/>
      <c r="F8" s="29"/>
      <c r="G8" s="29"/>
      <c r="H8" s="18"/>
      <c r="I8" s="18"/>
      <c r="J8" s="17"/>
      <c r="K8" s="17"/>
      <c r="L8" s="16"/>
      <c r="M8" s="19"/>
      <c r="N8" s="16"/>
      <c r="O8" s="20"/>
      <c r="P8" s="20"/>
      <c r="Q8" s="16"/>
      <c r="R8" s="16"/>
      <c r="S8" s="21"/>
      <c r="T8" s="14"/>
      <c r="U8" s="22"/>
      <c r="V8" s="23"/>
      <c r="W8" s="14"/>
      <c r="X8" s="24"/>
      <c r="Y8" s="25"/>
      <c r="Z8" s="14"/>
      <c r="AA8" s="14"/>
      <c r="AB8" s="27"/>
      <c r="AC8" s="28"/>
      <c r="AD8" s="25"/>
      <c r="AE8" s="25"/>
      <c r="AF8" s="25"/>
      <c r="AG8" s="25"/>
    </row>
    <row r="9" spans="1:33" ht="15.75" hidden="1" customHeight="1">
      <c r="A9" s="14"/>
      <c r="B9" s="14"/>
      <c r="C9" s="15"/>
      <c r="D9" s="16"/>
      <c r="E9" s="16"/>
      <c r="F9" s="29"/>
      <c r="G9" s="29"/>
      <c r="H9" s="18"/>
      <c r="I9" s="18"/>
      <c r="J9" s="17"/>
      <c r="K9" s="17"/>
      <c r="L9" s="16"/>
      <c r="M9" s="19"/>
      <c r="N9" s="16"/>
      <c r="O9" s="20"/>
      <c r="P9" s="20"/>
      <c r="Q9" s="16"/>
      <c r="R9" s="16"/>
      <c r="S9" s="21"/>
      <c r="T9" s="14"/>
      <c r="U9" s="22"/>
      <c r="V9" s="23"/>
      <c r="W9" s="14"/>
      <c r="X9" s="24"/>
      <c r="Y9" s="25"/>
      <c r="Z9" s="14"/>
      <c r="AA9" s="14"/>
      <c r="AB9" s="27"/>
      <c r="AC9" s="28"/>
      <c r="AD9" s="25"/>
      <c r="AE9" s="25"/>
      <c r="AF9" s="25"/>
      <c r="AG9" s="25"/>
    </row>
    <row r="10" spans="1:33" ht="15.75" hidden="1" customHeight="1">
      <c r="A10" s="14"/>
      <c r="B10" s="14"/>
      <c r="C10" s="15"/>
      <c r="D10" s="16"/>
      <c r="E10" s="16"/>
      <c r="F10" s="29"/>
      <c r="G10" s="29"/>
      <c r="H10" s="18"/>
      <c r="I10" s="18"/>
      <c r="J10" s="17"/>
      <c r="K10" s="17"/>
      <c r="L10" s="16"/>
      <c r="M10" s="19"/>
      <c r="N10" s="16"/>
      <c r="O10" s="20"/>
      <c r="P10" s="20"/>
      <c r="Q10" s="16"/>
      <c r="R10" s="16"/>
      <c r="S10" s="21"/>
      <c r="T10" s="14"/>
      <c r="U10" s="22"/>
      <c r="V10" s="23"/>
      <c r="W10" s="14"/>
      <c r="X10" s="24"/>
      <c r="Y10" s="25"/>
      <c r="Z10" s="14"/>
      <c r="AA10" s="14"/>
      <c r="AB10" s="27"/>
      <c r="AC10" s="28"/>
      <c r="AD10" s="25"/>
      <c r="AE10" s="25"/>
      <c r="AF10" s="25"/>
      <c r="AG10" s="25"/>
    </row>
    <row r="11" spans="1:33" ht="15.75" hidden="1" customHeight="1">
      <c r="A11" s="14"/>
      <c r="B11" s="14"/>
      <c r="C11" s="15"/>
      <c r="D11" s="16"/>
      <c r="E11" s="16"/>
      <c r="F11" s="29"/>
      <c r="G11" s="29"/>
      <c r="H11" s="18"/>
      <c r="I11" s="18"/>
      <c r="J11" s="17"/>
      <c r="K11" s="17"/>
      <c r="L11" s="16"/>
      <c r="M11" s="19"/>
      <c r="N11" s="16"/>
      <c r="O11" s="20"/>
      <c r="P11" s="20"/>
      <c r="Q11" s="16"/>
      <c r="R11" s="16"/>
      <c r="S11" s="21"/>
      <c r="T11" s="14"/>
      <c r="U11" s="22"/>
      <c r="V11" s="23"/>
      <c r="W11" s="14"/>
      <c r="X11" s="24"/>
      <c r="Y11" s="25"/>
      <c r="Z11" s="14"/>
      <c r="AA11" s="14"/>
      <c r="AB11" s="27"/>
      <c r="AC11" s="28"/>
      <c r="AD11" s="25"/>
      <c r="AE11" s="25"/>
      <c r="AF11" s="25"/>
      <c r="AG11" s="25"/>
    </row>
    <row r="12" spans="1:33" ht="15.75" hidden="1" customHeight="1">
      <c r="A12" s="14"/>
      <c r="B12" s="14"/>
      <c r="C12" s="15"/>
      <c r="D12" s="16"/>
      <c r="E12" s="16"/>
      <c r="F12" s="29"/>
      <c r="G12" s="29"/>
      <c r="H12" s="18"/>
      <c r="I12" s="18"/>
      <c r="J12" s="17"/>
      <c r="K12" s="17"/>
      <c r="L12" s="16"/>
      <c r="M12" s="19"/>
      <c r="N12" s="16"/>
      <c r="O12" s="20"/>
      <c r="P12" s="20"/>
      <c r="Q12" s="16"/>
      <c r="R12" s="16"/>
      <c r="S12" s="21"/>
      <c r="T12" s="14"/>
      <c r="U12" s="22"/>
      <c r="V12" s="23"/>
      <c r="W12" s="14"/>
      <c r="X12" s="24"/>
      <c r="Y12" s="25"/>
      <c r="Z12" s="14"/>
      <c r="AA12" s="14"/>
      <c r="AB12" s="27"/>
      <c r="AC12" s="28"/>
      <c r="AD12" s="25"/>
      <c r="AE12" s="25"/>
      <c r="AF12" s="25"/>
      <c r="AG12" s="25"/>
    </row>
    <row r="13" spans="1:33" ht="15.75" hidden="1" customHeight="1">
      <c r="A13" s="14"/>
      <c r="B13" s="14"/>
      <c r="C13" s="15"/>
      <c r="D13" s="16"/>
      <c r="E13" s="16"/>
      <c r="F13" s="17"/>
      <c r="G13" s="29"/>
      <c r="H13" s="18"/>
      <c r="I13" s="18"/>
      <c r="J13" s="17"/>
      <c r="K13" s="17"/>
      <c r="L13" s="16"/>
      <c r="M13" s="19"/>
      <c r="N13" s="16"/>
      <c r="O13" s="20"/>
      <c r="P13" s="20"/>
      <c r="Q13" s="16"/>
      <c r="R13" s="16"/>
      <c r="S13" s="21"/>
      <c r="T13" s="14"/>
      <c r="U13" s="22"/>
      <c r="V13" s="23"/>
      <c r="W13" s="14"/>
      <c r="X13" s="24"/>
      <c r="Y13" s="25"/>
      <c r="Z13" s="14"/>
      <c r="AA13" s="14"/>
      <c r="AB13" s="27"/>
      <c r="AC13" s="28"/>
      <c r="AD13" s="25"/>
      <c r="AE13" s="25"/>
      <c r="AF13" s="25"/>
      <c r="AG13" s="25"/>
    </row>
    <row r="14" spans="1:33" ht="15.75" hidden="1" customHeight="1">
      <c r="A14" s="14"/>
      <c r="B14" s="14"/>
      <c r="C14" s="15"/>
      <c r="D14" s="16"/>
      <c r="E14" s="16"/>
      <c r="F14" s="17"/>
      <c r="G14" s="29"/>
      <c r="H14" s="18"/>
      <c r="I14" s="18"/>
      <c r="J14" s="17"/>
      <c r="K14" s="17"/>
      <c r="L14" s="16"/>
      <c r="M14" s="19"/>
      <c r="N14" s="16"/>
      <c r="O14" s="20"/>
      <c r="P14" s="20"/>
      <c r="Q14" s="16"/>
      <c r="R14" s="16"/>
      <c r="S14" s="21"/>
      <c r="T14" s="14"/>
      <c r="U14" s="22"/>
      <c r="V14" s="23"/>
      <c r="W14" s="14"/>
      <c r="X14" s="24"/>
      <c r="Y14" s="25"/>
      <c r="Z14" s="14"/>
      <c r="AA14" s="14"/>
      <c r="AB14" s="27"/>
      <c r="AC14" s="28"/>
      <c r="AD14" s="25"/>
      <c r="AE14" s="25"/>
      <c r="AF14" s="25"/>
      <c r="AG14" s="25"/>
    </row>
    <row r="15" spans="1:33" ht="15.75" customHeight="1">
      <c r="A15" s="14" t="s">
        <v>36</v>
      </c>
      <c r="B15" s="14" t="s">
        <v>115</v>
      </c>
      <c r="C15" s="15">
        <f t="shared" ref="C15:C32" si="1">IFERROR(F15/D15," - ")</f>
        <v>17.989999999999998</v>
      </c>
      <c r="D15" s="16">
        <v>7</v>
      </c>
      <c r="E15" s="16">
        <v>0</v>
      </c>
      <c r="F15" s="17">
        <v>125.92999999999999</v>
      </c>
      <c r="G15" s="29">
        <v>0</v>
      </c>
      <c r="H15" s="18">
        <f t="shared" ref="H15:H32" si="2">G15/F15*-1</f>
        <v>0</v>
      </c>
      <c r="I15" s="18">
        <f t="shared" ref="I15:I32" si="3">J15/F15</f>
        <v>0.14841923339355198</v>
      </c>
      <c r="J15" s="17">
        <f t="shared" ref="J15:J32" si="4">F15*0.85+G15+AF15*D15+D15*AE15+AG15+AD15</f>
        <v>18.690434061249999</v>
      </c>
      <c r="K15" s="17">
        <f t="shared" ref="K15:K32" si="5">J15/D15</f>
        <v>2.67006200875</v>
      </c>
      <c r="L15" s="16">
        <v>20</v>
      </c>
      <c r="M15" s="19">
        <f t="shared" ref="M15:M32" si="6">IFERROR(D15/L15,"-")</f>
        <v>0.35</v>
      </c>
      <c r="N15" s="16">
        <v>103</v>
      </c>
      <c r="O15" s="20">
        <f t="shared" ref="O15:P15" si="7">D15/7</f>
        <v>1</v>
      </c>
      <c r="P15" s="20">
        <f t="shared" si="7"/>
        <v>0</v>
      </c>
      <c r="Q15" s="16">
        <f t="shared" ref="Q15:Q32" si="8">ROUNDDOWN(N15/(O15+P15),0)</f>
        <v>103</v>
      </c>
      <c r="R15" s="16"/>
      <c r="S15" s="21">
        <v>5.7692307692307598E-2</v>
      </c>
      <c r="T15" s="14">
        <v>0</v>
      </c>
      <c r="U15" s="22" t="s">
        <v>34</v>
      </c>
      <c r="V15" s="23" t="s">
        <v>34</v>
      </c>
      <c r="W15" s="14">
        <v>0</v>
      </c>
      <c r="X15" s="24">
        <f t="shared" ref="X15:X32" si="9">IFERROR(W15/D15,0)</f>
        <v>0</v>
      </c>
      <c r="Y15" s="25">
        <f t="shared" ref="Y15:Y32" si="10">IFERROR(G15/(W15+Z15)*-1,0)</f>
        <v>0</v>
      </c>
      <c r="Z15" s="14">
        <v>0</v>
      </c>
      <c r="AA15" s="14" t="s">
        <v>35</v>
      </c>
      <c r="AB15" s="27">
        <f t="shared" ref="AB15:AB32" si="11">IF(OR(AA15="UsLargeStandardSize",AA15="UsSmallStandardSize"),-0.69,-0.48)</f>
        <v>-0.69</v>
      </c>
      <c r="AC15" s="28">
        <v>7.7128979166666667E-2</v>
      </c>
      <c r="AD15" s="25">
        <f t="shared" ref="AD15:AD32" si="12">IFERROR(AB15*AC15*D15*2,0)</f>
        <v>-0.74506593874999993</v>
      </c>
      <c r="AE15" s="25">
        <v>-5.42</v>
      </c>
      <c r="AF15" s="25">
        <v>-7.0949999999999998</v>
      </c>
      <c r="AG15" s="25">
        <v>0</v>
      </c>
    </row>
    <row r="16" spans="1:33" ht="15.75" customHeight="1">
      <c r="A16" s="14" t="s">
        <v>38</v>
      </c>
      <c r="B16" s="14" t="s">
        <v>116</v>
      </c>
      <c r="C16" s="15">
        <f t="shared" si="1"/>
        <v>23.382500000000004</v>
      </c>
      <c r="D16" s="16">
        <v>12</v>
      </c>
      <c r="E16" s="16">
        <v>0</v>
      </c>
      <c r="F16" s="17">
        <v>280.59000000000003</v>
      </c>
      <c r="G16" s="29">
        <v>0</v>
      </c>
      <c r="H16" s="18">
        <f t="shared" si="2"/>
        <v>0</v>
      </c>
      <c r="I16" s="18">
        <f t="shared" si="3"/>
        <v>0.31021862541430573</v>
      </c>
      <c r="J16" s="17">
        <f t="shared" si="4"/>
        <v>87.044244105000047</v>
      </c>
      <c r="K16" s="17">
        <f t="shared" si="5"/>
        <v>7.2536870087500036</v>
      </c>
      <c r="L16" s="16">
        <v>39</v>
      </c>
      <c r="M16" s="19">
        <f t="shared" si="6"/>
        <v>0.30769230769230771</v>
      </c>
      <c r="N16" s="16">
        <v>88</v>
      </c>
      <c r="O16" s="20">
        <f t="shared" ref="O16:P16" si="13">D16/7</f>
        <v>1.7142857142857142</v>
      </c>
      <c r="P16" s="20">
        <f t="shared" si="13"/>
        <v>0</v>
      </c>
      <c r="Q16" s="16">
        <f t="shared" si="8"/>
        <v>51</v>
      </c>
      <c r="R16" s="16"/>
      <c r="S16" s="21">
        <v>0.49450549450549403</v>
      </c>
      <c r="T16" s="14">
        <v>0</v>
      </c>
      <c r="U16" s="22" t="s">
        <v>34</v>
      </c>
      <c r="V16" s="23" t="s">
        <v>34</v>
      </c>
      <c r="W16" s="14">
        <v>0</v>
      </c>
      <c r="X16" s="24">
        <f t="shared" si="9"/>
        <v>0</v>
      </c>
      <c r="Y16" s="25">
        <f t="shared" si="10"/>
        <v>0</v>
      </c>
      <c r="Z16" s="14">
        <v>0</v>
      </c>
      <c r="AA16" s="14" t="s">
        <v>35</v>
      </c>
      <c r="AB16" s="27">
        <f t="shared" si="11"/>
        <v>-0.69</v>
      </c>
      <c r="AC16" s="28">
        <v>7.7128979166666667E-2</v>
      </c>
      <c r="AD16" s="25">
        <f t="shared" si="12"/>
        <v>-1.2772558949999999</v>
      </c>
      <c r="AE16" s="25">
        <v>-5.42</v>
      </c>
      <c r="AF16" s="25">
        <v>-7.0949999999999998</v>
      </c>
      <c r="AG16" s="25">
        <v>0</v>
      </c>
    </row>
    <row r="17" spans="1:33" ht="15.75" customHeight="1">
      <c r="A17" s="14" t="s">
        <v>40</v>
      </c>
      <c r="B17" s="14" t="s">
        <v>68</v>
      </c>
      <c r="C17" s="15">
        <f t="shared" si="1"/>
        <v>25.465</v>
      </c>
      <c r="D17" s="16">
        <v>6</v>
      </c>
      <c r="E17" s="16">
        <v>0</v>
      </c>
      <c r="F17" s="17">
        <v>152.79</v>
      </c>
      <c r="G17" s="29">
        <v>0</v>
      </c>
      <c r="H17" s="18">
        <f t="shared" si="2"/>
        <v>0</v>
      </c>
      <c r="I17" s="18">
        <f t="shared" si="3"/>
        <v>0.35436135907127436</v>
      </c>
      <c r="J17" s="17">
        <f t="shared" si="4"/>
        <v>54.14287205250001</v>
      </c>
      <c r="K17" s="17">
        <f t="shared" si="5"/>
        <v>9.0238120087500011</v>
      </c>
      <c r="L17" s="16">
        <v>50</v>
      </c>
      <c r="M17" s="19">
        <f t="shared" si="6"/>
        <v>0.12</v>
      </c>
      <c r="N17" s="16">
        <v>82</v>
      </c>
      <c r="O17" s="20">
        <f t="shared" ref="O17:P17" si="14">D17/7</f>
        <v>0.8571428571428571</v>
      </c>
      <c r="P17" s="20">
        <f t="shared" si="14"/>
        <v>0</v>
      </c>
      <c r="Q17" s="16">
        <f t="shared" si="8"/>
        <v>95</v>
      </c>
      <c r="R17" s="16"/>
      <c r="S17" s="21">
        <v>0.74117647058823499</v>
      </c>
      <c r="T17" s="14">
        <v>0</v>
      </c>
      <c r="U17" s="22" t="s">
        <v>34</v>
      </c>
      <c r="V17" s="23" t="s">
        <v>34</v>
      </c>
      <c r="W17" s="14">
        <v>0</v>
      </c>
      <c r="X17" s="24">
        <f t="shared" si="9"/>
        <v>0</v>
      </c>
      <c r="Y17" s="25">
        <f t="shared" si="10"/>
        <v>0</v>
      </c>
      <c r="Z17" s="14">
        <v>0</v>
      </c>
      <c r="AA17" s="14" t="s">
        <v>35</v>
      </c>
      <c r="AB17" s="27">
        <f t="shared" si="11"/>
        <v>-0.69</v>
      </c>
      <c r="AC17" s="28">
        <v>7.7128979166666667E-2</v>
      </c>
      <c r="AD17" s="25">
        <f t="shared" si="12"/>
        <v>-0.63862794749999996</v>
      </c>
      <c r="AE17" s="25">
        <v>-5.42</v>
      </c>
      <c r="AF17" s="25">
        <v>-7.0949999999999998</v>
      </c>
      <c r="AG17" s="25">
        <v>0</v>
      </c>
    </row>
    <row r="18" spans="1:33" ht="15.75" customHeight="1">
      <c r="A18" s="14" t="s">
        <v>42</v>
      </c>
      <c r="B18" s="14" t="s">
        <v>117</v>
      </c>
      <c r="C18" s="15">
        <f t="shared" si="1"/>
        <v>27.477777777777778</v>
      </c>
      <c r="D18" s="16">
        <v>9</v>
      </c>
      <c r="E18" s="16">
        <v>1</v>
      </c>
      <c r="F18" s="17">
        <v>247.3</v>
      </c>
      <c r="G18" s="29">
        <v>0</v>
      </c>
      <c r="H18" s="18">
        <f t="shared" si="2"/>
        <v>0</v>
      </c>
      <c r="I18" s="18">
        <f t="shared" si="3"/>
        <v>0.39066744067428233</v>
      </c>
      <c r="J18" s="17">
        <f t="shared" si="4"/>
        <v>96.612058078750024</v>
      </c>
      <c r="K18" s="17">
        <f t="shared" si="5"/>
        <v>10.734673119861114</v>
      </c>
      <c r="L18" s="16">
        <v>59</v>
      </c>
      <c r="M18" s="19">
        <f t="shared" si="6"/>
        <v>0.15254237288135594</v>
      </c>
      <c r="N18" s="16">
        <v>71</v>
      </c>
      <c r="O18" s="20">
        <f t="shared" ref="O18:P18" si="15">D18/7</f>
        <v>1.2857142857142858</v>
      </c>
      <c r="P18" s="20">
        <f t="shared" si="15"/>
        <v>0.14285714285714285</v>
      </c>
      <c r="Q18" s="16">
        <f t="shared" si="8"/>
        <v>49</v>
      </c>
      <c r="R18" s="16"/>
      <c r="S18" s="21">
        <v>0.46153846153846101</v>
      </c>
      <c r="T18" s="14">
        <v>0</v>
      </c>
      <c r="U18" s="22">
        <v>0</v>
      </c>
      <c r="V18" s="23" t="s">
        <v>34</v>
      </c>
      <c r="W18" s="14">
        <v>0</v>
      </c>
      <c r="X18" s="24">
        <f t="shared" si="9"/>
        <v>0</v>
      </c>
      <c r="Y18" s="25">
        <f t="shared" si="10"/>
        <v>0</v>
      </c>
      <c r="Z18" s="14">
        <v>0</v>
      </c>
      <c r="AA18" s="14" t="s">
        <v>35</v>
      </c>
      <c r="AB18" s="27">
        <f t="shared" si="11"/>
        <v>-0.69</v>
      </c>
      <c r="AC18" s="28">
        <v>7.7128979166666667E-2</v>
      </c>
      <c r="AD18" s="25">
        <f t="shared" si="12"/>
        <v>-0.95794192124999988</v>
      </c>
      <c r="AE18" s="25">
        <v>-5.42</v>
      </c>
      <c r="AF18" s="25">
        <v>-7.0949999999999998</v>
      </c>
      <c r="AG18" s="25">
        <v>0</v>
      </c>
    </row>
    <row r="19" spans="1:33" ht="15.75" customHeight="1">
      <c r="A19" s="14" t="s">
        <v>44</v>
      </c>
      <c r="B19" s="14" t="s">
        <v>118</v>
      </c>
      <c r="C19" s="15">
        <f t="shared" si="1"/>
        <v>30.072000000000003</v>
      </c>
      <c r="D19" s="16">
        <v>5</v>
      </c>
      <c r="E19" s="16">
        <v>1</v>
      </c>
      <c r="F19" s="17">
        <v>150.36000000000001</v>
      </c>
      <c r="G19" s="29">
        <v>0</v>
      </c>
      <c r="H19" s="18">
        <f t="shared" si="2"/>
        <v>0</v>
      </c>
      <c r="I19" s="18">
        <f t="shared" si="3"/>
        <v>0.41931903460860603</v>
      </c>
      <c r="J19" s="17">
        <f t="shared" si="4"/>
        <v>63.048810043750009</v>
      </c>
      <c r="K19" s="17">
        <f t="shared" si="5"/>
        <v>12.609762008750002</v>
      </c>
      <c r="L19" s="16">
        <v>37</v>
      </c>
      <c r="M19" s="19">
        <f t="shared" si="6"/>
        <v>0.13513513513513514</v>
      </c>
      <c r="N19" s="16">
        <v>64</v>
      </c>
      <c r="O19" s="20">
        <f t="shared" ref="O19:P19" si="16">D19/7</f>
        <v>0.7142857142857143</v>
      </c>
      <c r="P19" s="20">
        <f t="shared" si="16"/>
        <v>0.14285714285714285</v>
      </c>
      <c r="Q19" s="16">
        <f t="shared" si="8"/>
        <v>74</v>
      </c>
      <c r="R19" s="16"/>
      <c r="S19" s="21">
        <v>0.66279069767441801</v>
      </c>
      <c r="T19" s="14">
        <v>0</v>
      </c>
      <c r="U19" s="22" t="s">
        <v>34</v>
      </c>
      <c r="V19" s="23" t="s">
        <v>34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14" t="s">
        <v>35</v>
      </c>
      <c r="AB19" s="27">
        <f t="shared" si="11"/>
        <v>-0.69</v>
      </c>
      <c r="AC19" s="28">
        <v>7.7128979166666667E-2</v>
      </c>
      <c r="AD19" s="25">
        <f t="shared" si="12"/>
        <v>-0.53218995624999998</v>
      </c>
      <c r="AE19" s="25">
        <v>-5.42</v>
      </c>
      <c r="AF19" s="25">
        <v>-7.4249999999999998</v>
      </c>
      <c r="AG19" s="25">
        <v>0</v>
      </c>
    </row>
    <row r="20" spans="1:33" ht="15.75" customHeight="1">
      <c r="A20" s="14" t="s">
        <v>46</v>
      </c>
      <c r="B20" s="14" t="s">
        <v>119</v>
      </c>
      <c r="C20" s="15" t="str">
        <f t="shared" si="1"/>
        <v xml:space="preserve"> - </v>
      </c>
      <c r="D20" s="16">
        <v>0</v>
      </c>
      <c r="E20" s="16">
        <v>0</v>
      </c>
      <c r="F20" s="17">
        <v>0</v>
      </c>
      <c r="G20" s="29">
        <v>0</v>
      </c>
      <c r="H20" s="18" t="e">
        <f t="shared" si="2"/>
        <v>#DIV/0!</v>
      </c>
      <c r="I20" s="18" t="e">
        <f t="shared" si="3"/>
        <v>#DIV/0!</v>
      </c>
      <c r="J20" s="17">
        <f t="shared" si="4"/>
        <v>0</v>
      </c>
      <c r="K20" s="17" t="e">
        <f t="shared" si="5"/>
        <v>#DIV/0!</v>
      </c>
      <c r="L20" s="16">
        <v>0</v>
      </c>
      <c r="M20" s="19" t="str">
        <f t="shared" si="6"/>
        <v>-</v>
      </c>
      <c r="N20" s="16">
        <v>65</v>
      </c>
      <c r="O20" s="20">
        <f t="shared" ref="O20:P20" si="17">D20/7</f>
        <v>0</v>
      </c>
      <c r="P20" s="20">
        <f t="shared" si="17"/>
        <v>0</v>
      </c>
      <c r="Q20" s="16" t="e">
        <f t="shared" si="8"/>
        <v>#DIV/0!</v>
      </c>
      <c r="R20" s="16"/>
      <c r="S20" s="21">
        <v>0.98159509202453898</v>
      </c>
      <c r="T20" s="14">
        <v>0</v>
      </c>
      <c r="U20" s="22" t="s">
        <v>34</v>
      </c>
      <c r="V20" s="23" t="s">
        <v>34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14" t="s">
        <v>35</v>
      </c>
      <c r="AB20" s="27">
        <f t="shared" si="11"/>
        <v>-0.69</v>
      </c>
      <c r="AC20" s="28">
        <v>7.7128979166666667E-2</v>
      </c>
      <c r="AD20" s="25">
        <f t="shared" si="12"/>
        <v>0</v>
      </c>
      <c r="AE20" s="25">
        <v>-5.42</v>
      </c>
      <c r="AF20" s="25">
        <v>-7.4249999999999998</v>
      </c>
      <c r="AG20" s="25">
        <v>0</v>
      </c>
    </row>
    <row r="21" spans="1:33" ht="15.75" customHeight="1">
      <c r="A21" s="14" t="s">
        <v>47</v>
      </c>
      <c r="B21" s="14" t="s">
        <v>68</v>
      </c>
      <c r="C21" s="15">
        <f t="shared" si="1"/>
        <v>34.476666666666667</v>
      </c>
      <c r="D21" s="16">
        <v>3</v>
      </c>
      <c r="E21" s="16">
        <v>1</v>
      </c>
      <c r="F21" s="17">
        <v>103.43</v>
      </c>
      <c r="G21" s="29">
        <v>0</v>
      </c>
      <c r="H21" s="18">
        <f t="shared" si="2"/>
        <v>0</v>
      </c>
      <c r="I21" s="18">
        <f t="shared" si="3"/>
        <v>0.47434193199506913</v>
      </c>
      <c r="J21" s="17">
        <f t="shared" si="4"/>
        <v>49.061186026250006</v>
      </c>
      <c r="K21" s="17">
        <f t="shared" si="5"/>
        <v>16.353728675416669</v>
      </c>
      <c r="L21" s="16">
        <v>5</v>
      </c>
      <c r="M21" s="19">
        <f t="shared" si="6"/>
        <v>0.6</v>
      </c>
      <c r="N21" s="16">
        <v>62</v>
      </c>
      <c r="O21" s="20">
        <f t="shared" ref="O21:P21" si="18">D21/7</f>
        <v>0.42857142857142855</v>
      </c>
      <c r="P21" s="20">
        <f t="shared" si="18"/>
        <v>0.14285714285714285</v>
      </c>
      <c r="Q21" s="16">
        <f t="shared" si="8"/>
        <v>108</v>
      </c>
      <c r="R21" s="16"/>
      <c r="S21" s="21">
        <v>1.13513513513513</v>
      </c>
      <c r="T21" s="14">
        <v>200</v>
      </c>
      <c r="U21" s="22" t="s">
        <v>34</v>
      </c>
      <c r="V21" s="23" t="s">
        <v>34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14" t="s">
        <v>35</v>
      </c>
      <c r="AB21" s="27">
        <f t="shared" si="11"/>
        <v>-0.69</v>
      </c>
      <c r="AC21" s="28">
        <v>7.7128979166666667E-2</v>
      </c>
      <c r="AD21" s="25">
        <f t="shared" si="12"/>
        <v>-0.31931397374999998</v>
      </c>
      <c r="AE21" s="25">
        <v>-5.42</v>
      </c>
      <c r="AF21" s="25">
        <v>-7.4249999999999998</v>
      </c>
      <c r="AG21" s="25">
        <v>0</v>
      </c>
    </row>
    <row r="22" spans="1:33" ht="15.75" customHeight="1">
      <c r="A22" s="14" t="s">
        <v>48</v>
      </c>
      <c r="B22" s="14" t="s">
        <v>120</v>
      </c>
      <c r="C22" s="15">
        <f t="shared" si="1"/>
        <v>32.950000000000003</v>
      </c>
      <c r="D22" s="16">
        <v>3</v>
      </c>
      <c r="E22" s="16">
        <v>0</v>
      </c>
      <c r="F22" s="29">
        <v>98.850000000000009</v>
      </c>
      <c r="G22" s="29">
        <v>0</v>
      </c>
      <c r="H22" s="18">
        <f t="shared" si="2"/>
        <v>0</v>
      </c>
      <c r="I22" s="18">
        <f t="shared" si="3"/>
        <v>0.456936631525038</v>
      </c>
      <c r="J22" s="17">
        <f t="shared" si="4"/>
        <v>45.168186026250012</v>
      </c>
      <c r="K22" s="17">
        <f t="shared" si="5"/>
        <v>15.056062008750004</v>
      </c>
      <c r="L22" s="16">
        <v>12</v>
      </c>
      <c r="M22" s="19">
        <f t="shared" si="6"/>
        <v>0.25</v>
      </c>
      <c r="N22" s="16">
        <v>58</v>
      </c>
      <c r="O22" s="20">
        <f t="shared" ref="O22:P22" si="19">D22/7</f>
        <v>0.42857142857142855</v>
      </c>
      <c r="P22" s="20">
        <f t="shared" si="19"/>
        <v>0</v>
      </c>
      <c r="Q22" s="16">
        <f t="shared" si="8"/>
        <v>135</v>
      </c>
      <c r="R22" s="16"/>
      <c r="S22" s="21">
        <v>1.3722627737226201</v>
      </c>
      <c r="T22" s="14">
        <v>304</v>
      </c>
      <c r="U22" s="22" t="s">
        <v>34</v>
      </c>
      <c r="V22" s="23" t="s">
        <v>34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35</v>
      </c>
      <c r="AB22" s="27">
        <f t="shared" si="11"/>
        <v>-0.69</v>
      </c>
      <c r="AC22" s="28">
        <v>7.7128979166666667E-2</v>
      </c>
      <c r="AD22" s="25">
        <f t="shared" si="12"/>
        <v>-0.31931397374999998</v>
      </c>
      <c r="AE22" s="25">
        <v>-5.42</v>
      </c>
      <c r="AF22" s="25">
        <v>-7.4249999999999998</v>
      </c>
      <c r="AG22" s="25">
        <v>0</v>
      </c>
    </row>
    <row r="23" spans="1:33" ht="15.75" customHeight="1">
      <c r="A23" s="14" t="s">
        <v>49</v>
      </c>
      <c r="B23" s="14" t="s">
        <v>121</v>
      </c>
      <c r="C23" s="15">
        <f t="shared" si="1"/>
        <v>30.908571428571427</v>
      </c>
      <c r="D23" s="16">
        <v>7</v>
      </c>
      <c r="E23" s="16">
        <v>1</v>
      </c>
      <c r="F23" s="17">
        <v>216.35999999999999</v>
      </c>
      <c r="G23" s="29">
        <v>-0.08</v>
      </c>
      <c r="H23" s="18">
        <f t="shared" si="2"/>
        <v>3.6975411351451286E-4</v>
      </c>
      <c r="I23" s="18">
        <f t="shared" si="3"/>
        <v>0.43060609198211303</v>
      </c>
      <c r="J23" s="17">
        <f t="shared" si="4"/>
        <v>93.16593406124997</v>
      </c>
      <c r="K23" s="17">
        <f t="shared" si="5"/>
        <v>13.309419151607139</v>
      </c>
      <c r="L23" s="16">
        <v>11</v>
      </c>
      <c r="M23" s="19">
        <f t="shared" si="6"/>
        <v>0.63636363636363635</v>
      </c>
      <c r="N23" s="16">
        <v>52</v>
      </c>
      <c r="O23" s="20">
        <f t="shared" ref="O23:P23" si="20">D23/7</f>
        <v>1</v>
      </c>
      <c r="P23" s="20">
        <f t="shared" si="20"/>
        <v>0.14285714285714285</v>
      </c>
      <c r="Q23" s="16">
        <f t="shared" si="8"/>
        <v>45</v>
      </c>
      <c r="R23" s="16"/>
      <c r="S23" s="21">
        <v>0.86956521739130399</v>
      </c>
      <c r="T23" s="14">
        <v>504</v>
      </c>
      <c r="U23" s="22" t="s">
        <v>34</v>
      </c>
      <c r="V23" s="23" t="s">
        <v>34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35</v>
      </c>
      <c r="AB23" s="27">
        <f t="shared" si="11"/>
        <v>-0.69</v>
      </c>
      <c r="AC23" s="28">
        <v>7.7128979166666667E-2</v>
      </c>
      <c r="AD23" s="25">
        <f t="shared" si="12"/>
        <v>-0.74506593874999993</v>
      </c>
      <c r="AE23" s="25">
        <v>-5.42</v>
      </c>
      <c r="AF23" s="25">
        <v>-7.4249999999999998</v>
      </c>
      <c r="AG23" s="25">
        <v>0</v>
      </c>
    </row>
    <row r="24" spans="1:33" ht="15.75" customHeight="1">
      <c r="A24" s="14" t="s">
        <v>50</v>
      </c>
      <c r="B24" s="14" t="s">
        <v>68</v>
      </c>
      <c r="C24" s="15">
        <f t="shared" si="1"/>
        <v>27.817142857142862</v>
      </c>
      <c r="D24" s="16">
        <v>7</v>
      </c>
      <c r="E24" s="16">
        <v>3</v>
      </c>
      <c r="F24" s="17">
        <v>194.72000000000003</v>
      </c>
      <c r="G24" s="17">
        <v>0</v>
      </c>
      <c r="H24" s="18">
        <f t="shared" si="2"/>
        <v>0</v>
      </c>
      <c r="I24" s="18">
        <f t="shared" si="3"/>
        <v>0.38440804263172773</v>
      </c>
      <c r="J24" s="17">
        <f t="shared" si="4"/>
        <v>74.851934061250034</v>
      </c>
      <c r="K24" s="17">
        <f t="shared" si="5"/>
        <v>10.693133437321434</v>
      </c>
      <c r="L24" s="16">
        <v>13</v>
      </c>
      <c r="M24" s="19">
        <f t="shared" si="6"/>
        <v>0.53846153846153844</v>
      </c>
      <c r="N24" s="16">
        <v>41</v>
      </c>
      <c r="O24" s="20">
        <f t="shared" ref="O24:P24" si="21">D24/7</f>
        <v>1</v>
      </c>
      <c r="P24" s="20">
        <f t="shared" si="21"/>
        <v>0.42857142857142855</v>
      </c>
      <c r="Q24" s="16">
        <f t="shared" si="8"/>
        <v>28</v>
      </c>
      <c r="R24" s="16"/>
      <c r="S24" s="21">
        <v>1.10280373831775</v>
      </c>
      <c r="T24" s="14">
        <v>504</v>
      </c>
      <c r="U24" s="22" t="s">
        <v>34</v>
      </c>
      <c r="V24" s="23" t="s">
        <v>34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14" t="s">
        <v>35</v>
      </c>
      <c r="AB24" s="27">
        <f t="shared" si="11"/>
        <v>-0.69</v>
      </c>
      <c r="AC24" s="28">
        <v>7.7128979166666667E-2</v>
      </c>
      <c r="AD24" s="25">
        <f t="shared" si="12"/>
        <v>-0.74506593874999993</v>
      </c>
      <c r="AE24" s="25">
        <v>-5.42</v>
      </c>
      <c r="AF24" s="25">
        <v>-7.4249999999999998</v>
      </c>
      <c r="AG24" s="25">
        <v>0</v>
      </c>
    </row>
    <row r="25" spans="1:33" ht="15.75" customHeight="1">
      <c r="A25" s="14" t="s">
        <v>51</v>
      </c>
      <c r="B25" s="14"/>
      <c r="C25" s="15">
        <f t="shared" si="1"/>
        <v>25.262142857142859</v>
      </c>
      <c r="D25" s="16">
        <v>14</v>
      </c>
      <c r="E25" s="16">
        <v>2</v>
      </c>
      <c r="F25" s="17">
        <v>353.67</v>
      </c>
      <c r="G25" s="17">
        <v>0</v>
      </c>
      <c r="H25" s="18">
        <f t="shared" si="2"/>
        <v>0</v>
      </c>
      <c r="I25" s="18">
        <f t="shared" si="3"/>
        <v>0.33712038940961919</v>
      </c>
      <c r="J25" s="17">
        <f t="shared" si="4"/>
        <v>119.22936812250003</v>
      </c>
      <c r="K25" s="17">
        <f t="shared" si="5"/>
        <v>8.5163834373214318</v>
      </c>
      <c r="L25" s="16">
        <v>20</v>
      </c>
      <c r="M25" s="19">
        <f t="shared" si="6"/>
        <v>0.7</v>
      </c>
      <c r="N25" s="16">
        <v>26</v>
      </c>
      <c r="O25" s="20">
        <f t="shared" ref="O25:P25" si="22">D25/7</f>
        <v>2</v>
      </c>
      <c r="P25" s="20">
        <f t="shared" si="22"/>
        <v>0.2857142857142857</v>
      </c>
      <c r="Q25" s="16">
        <f t="shared" si="8"/>
        <v>11</v>
      </c>
      <c r="R25" s="16"/>
      <c r="S25" s="21">
        <v>1.6263736263736259</v>
      </c>
      <c r="T25" s="14">
        <v>608</v>
      </c>
      <c r="U25" s="22" t="s">
        <v>34</v>
      </c>
      <c r="V25" s="23" t="s">
        <v>34</v>
      </c>
      <c r="W25" s="30">
        <v>0</v>
      </c>
      <c r="X25" s="24">
        <f t="shared" si="9"/>
        <v>0</v>
      </c>
      <c r="Y25" s="25">
        <f t="shared" si="10"/>
        <v>0</v>
      </c>
      <c r="Z25" s="30">
        <v>0</v>
      </c>
      <c r="AA25" s="14" t="s">
        <v>35</v>
      </c>
      <c r="AB25" s="27">
        <f t="shared" si="11"/>
        <v>-0.69</v>
      </c>
      <c r="AC25" s="28">
        <v>7.7128979166666667E-2</v>
      </c>
      <c r="AD25" s="25">
        <f t="shared" si="12"/>
        <v>-1.4901318774999999</v>
      </c>
      <c r="AE25" s="25">
        <v>-5.42</v>
      </c>
      <c r="AF25" s="25">
        <v>-7.43</v>
      </c>
      <c r="AG25" s="25">
        <v>0</v>
      </c>
    </row>
    <row r="26" spans="1:33" ht="15.75" customHeight="1">
      <c r="A26" s="14" t="s">
        <v>52</v>
      </c>
      <c r="B26" s="14" t="s">
        <v>122</v>
      </c>
      <c r="C26" s="15">
        <f t="shared" si="1"/>
        <v>25.267499999999998</v>
      </c>
      <c r="D26" s="16">
        <v>16</v>
      </c>
      <c r="E26" s="16">
        <v>4</v>
      </c>
      <c r="F26" s="17">
        <v>404.28</v>
      </c>
      <c r="G26" s="17">
        <v>0</v>
      </c>
      <c r="H26" s="18">
        <f t="shared" si="2"/>
        <v>0</v>
      </c>
      <c r="I26" s="18">
        <f t="shared" si="3"/>
        <v>0.3271371132383496</v>
      </c>
      <c r="J26" s="17">
        <f t="shared" si="4"/>
        <v>132.25499213999996</v>
      </c>
      <c r="K26" s="17">
        <f t="shared" si="5"/>
        <v>8.2659370087499973</v>
      </c>
      <c r="L26" s="16">
        <v>15</v>
      </c>
      <c r="M26" s="19">
        <f t="shared" si="6"/>
        <v>1.0666666666666667</v>
      </c>
      <c r="N26" s="16">
        <v>11</v>
      </c>
      <c r="O26" s="20">
        <f t="shared" ref="O26:P26" si="23">D26/7</f>
        <v>2.2857142857142856</v>
      </c>
      <c r="P26" s="20">
        <f t="shared" si="23"/>
        <v>0.5714285714285714</v>
      </c>
      <c r="Q26" s="16">
        <f t="shared" si="8"/>
        <v>3</v>
      </c>
      <c r="R26" s="16"/>
      <c r="S26" s="21">
        <v>2.3483870967741929</v>
      </c>
      <c r="T26" s="14">
        <v>608</v>
      </c>
      <c r="U26" s="22" t="s">
        <v>34</v>
      </c>
      <c r="V26" s="23" t="s">
        <v>34</v>
      </c>
      <c r="W26" s="30">
        <v>0</v>
      </c>
      <c r="X26" s="24">
        <f t="shared" si="9"/>
        <v>0</v>
      </c>
      <c r="Y26" s="25">
        <f t="shared" si="10"/>
        <v>0</v>
      </c>
      <c r="Z26" s="30">
        <v>0</v>
      </c>
      <c r="AA26" s="14" t="s">
        <v>35</v>
      </c>
      <c r="AB26" s="27">
        <f t="shared" si="11"/>
        <v>-0.69</v>
      </c>
      <c r="AC26" s="28">
        <v>7.7128979166666667E-2</v>
      </c>
      <c r="AD26" s="25">
        <f t="shared" si="12"/>
        <v>-1.7030078599999998</v>
      </c>
      <c r="AE26" s="25">
        <v>-5.68</v>
      </c>
      <c r="AF26" s="25">
        <v>-7.4249999999999998</v>
      </c>
      <c r="AG26" s="25">
        <v>0</v>
      </c>
    </row>
    <row r="27" spans="1:33" ht="15.75" customHeight="1">
      <c r="A27" s="14" t="s">
        <v>53</v>
      </c>
      <c r="B27" s="14" t="s">
        <v>45</v>
      </c>
      <c r="C27" s="15">
        <f t="shared" si="1"/>
        <v>23.033999999999999</v>
      </c>
      <c r="D27" s="16">
        <v>5</v>
      </c>
      <c r="E27" s="16">
        <v>0</v>
      </c>
      <c r="F27" s="17">
        <v>115.17</v>
      </c>
      <c r="G27" s="17">
        <v>0</v>
      </c>
      <c r="H27" s="18">
        <f t="shared" si="2"/>
        <v>0</v>
      </c>
      <c r="I27" s="18">
        <f t="shared" si="3"/>
        <v>0.27536302894634013</v>
      </c>
      <c r="J27" s="17">
        <f t="shared" si="4"/>
        <v>31.713560043749993</v>
      </c>
      <c r="K27" s="17">
        <f t="shared" si="5"/>
        <v>6.3427120087499986</v>
      </c>
      <c r="L27" s="16">
        <v>22</v>
      </c>
      <c r="M27" s="19">
        <f t="shared" si="6"/>
        <v>0.22727272727272727</v>
      </c>
      <c r="N27" s="16">
        <v>0</v>
      </c>
      <c r="O27" s="20">
        <f t="shared" ref="O27:P27" si="24">D27/7</f>
        <v>0.7142857142857143</v>
      </c>
      <c r="P27" s="20">
        <f t="shared" si="24"/>
        <v>0</v>
      </c>
      <c r="Q27" s="16">
        <f t="shared" si="8"/>
        <v>0</v>
      </c>
      <c r="R27" s="16"/>
      <c r="S27" s="21">
        <v>0</v>
      </c>
      <c r="T27" s="14">
        <v>608</v>
      </c>
      <c r="U27" s="22" t="s">
        <v>34</v>
      </c>
      <c r="V27" s="23" t="s">
        <v>34</v>
      </c>
      <c r="W27" s="30">
        <v>0</v>
      </c>
      <c r="X27" s="24">
        <f t="shared" si="9"/>
        <v>0</v>
      </c>
      <c r="Y27" s="25">
        <f t="shared" si="10"/>
        <v>0</v>
      </c>
      <c r="Z27" s="30">
        <v>0</v>
      </c>
      <c r="AA27" s="14" t="s">
        <v>35</v>
      </c>
      <c r="AB27" s="27">
        <f t="shared" si="11"/>
        <v>-0.69</v>
      </c>
      <c r="AC27" s="28">
        <v>7.7128979166666667E-2</v>
      </c>
      <c r="AD27" s="25">
        <f t="shared" si="12"/>
        <v>-0.53218995624999998</v>
      </c>
      <c r="AE27" s="25">
        <v>-5.68</v>
      </c>
      <c r="AF27" s="25">
        <v>-7.4497499999999999</v>
      </c>
      <c r="AG27" s="25">
        <v>0</v>
      </c>
    </row>
    <row r="28" spans="1:33" ht="15.75" customHeight="1">
      <c r="A28" s="14" t="s">
        <v>54</v>
      </c>
      <c r="B28" s="14" t="s">
        <v>45</v>
      </c>
      <c r="C28" s="15" t="str">
        <f t="shared" si="1"/>
        <v xml:space="preserve"> - </v>
      </c>
      <c r="D28" s="16">
        <v>0</v>
      </c>
      <c r="E28" s="16">
        <v>0</v>
      </c>
      <c r="F28" s="17">
        <v>0</v>
      </c>
      <c r="G28" s="17">
        <v>0</v>
      </c>
      <c r="H28" s="18" t="e">
        <f t="shared" si="2"/>
        <v>#DIV/0!</v>
      </c>
      <c r="I28" s="18" t="e">
        <f t="shared" si="3"/>
        <v>#DIV/0!</v>
      </c>
      <c r="J28" s="17">
        <f t="shared" si="4"/>
        <v>0</v>
      </c>
      <c r="K28" s="17" t="e">
        <f t="shared" si="5"/>
        <v>#DIV/0!</v>
      </c>
      <c r="L28" s="16">
        <v>0</v>
      </c>
      <c r="M28" s="19" t="str">
        <f t="shared" si="6"/>
        <v>-</v>
      </c>
      <c r="N28" s="16">
        <v>1</v>
      </c>
      <c r="O28" s="20">
        <f t="shared" ref="O28:P28" si="25">D28/7</f>
        <v>0</v>
      </c>
      <c r="P28" s="20">
        <f t="shared" si="25"/>
        <v>0</v>
      </c>
      <c r="Q28" s="16" t="e">
        <f t="shared" si="8"/>
        <v>#DIV/0!</v>
      </c>
      <c r="R28" s="16"/>
      <c r="S28" s="21">
        <v>0</v>
      </c>
      <c r="T28" s="14">
        <v>208</v>
      </c>
      <c r="U28" s="22" t="s">
        <v>34</v>
      </c>
      <c r="V28" s="23" t="s">
        <v>34</v>
      </c>
      <c r="W28" s="30">
        <v>0</v>
      </c>
      <c r="X28" s="24">
        <f t="shared" si="9"/>
        <v>0</v>
      </c>
      <c r="Y28" s="25">
        <f t="shared" si="10"/>
        <v>0</v>
      </c>
      <c r="Z28" s="30">
        <v>0</v>
      </c>
      <c r="AA28" s="14" t="s">
        <v>35</v>
      </c>
      <c r="AB28" s="27">
        <f t="shared" si="11"/>
        <v>-0.69</v>
      </c>
      <c r="AC28" s="28">
        <v>7.7128979166666667E-2</v>
      </c>
      <c r="AD28" s="25">
        <f t="shared" si="12"/>
        <v>0</v>
      </c>
      <c r="AE28" s="25">
        <v>-5.68</v>
      </c>
      <c r="AF28" s="25">
        <v>-7.4497499999999999</v>
      </c>
      <c r="AG28" s="25">
        <v>0</v>
      </c>
    </row>
    <row r="29" spans="1:33" ht="15.75" customHeight="1">
      <c r="A29" s="14" t="s">
        <v>55</v>
      </c>
      <c r="B29" s="14" t="s">
        <v>45</v>
      </c>
      <c r="C29" s="15">
        <f t="shared" si="1"/>
        <v>22.91</v>
      </c>
      <c r="D29" s="16">
        <v>1</v>
      </c>
      <c r="E29" s="16">
        <v>0</v>
      </c>
      <c r="F29" s="17">
        <v>22.91</v>
      </c>
      <c r="G29" s="17">
        <v>0</v>
      </c>
      <c r="H29" s="18">
        <f t="shared" si="2"/>
        <v>0</v>
      </c>
      <c r="I29" s="18">
        <f t="shared" si="3"/>
        <v>0.27225281574639904</v>
      </c>
      <c r="J29" s="17">
        <f t="shared" si="4"/>
        <v>6.2373120087500018</v>
      </c>
      <c r="K29" s="17">
        <f t="shared" si="5"/>
        <v>6.2373120087500018</v>
      </c>
      <c r="L29" s="16">
        <v>8</v>
      </c>
      <c r="M29" s="19">
        <f t="shared" si="6"/>
        <v>0.125</v>
      </c>
      <c r="N29" s="16">
        <v>0</v>
      </c>
      <c r="O29" s="20">
        <f t="shared" ref="O29:P29" si="26">D29/7</f>
        <v>0.14285714285714285</v>
      </c>
      <c r="P29" s="20">
        <f t="shared" si="26"/>
        <v>0</v>
      </c>
      <c r="Q29" s="16">
        <f t="shared" si="8"/>
        <v>0</v>
      </c>
      <c r="R29" s="16"/>
      <c r="S29" s="21">
        <v>0</v>
      </c>
      <c r="T29" s="14">
        <v>208</v>
      </c>
      <c r="U29" s="22" t="s">
        <v>34</v>
      </c>
      <c r="V29" s="23" t="s">
        <v>34</v>
      </c>
      <c r="W29" s="30">
        <v>0</v>
      </c>
      <c r="X29" s="24">
        <f t="shared" si="9"/>
        <v>0</v>
      </c>
      <c r="Y29" s="25">
        <f t="shared" si="10"/>
        <v>0</v>
      </c>
      <c r="Z29" s="30">
        <v>0</v>
      </c>
      <c r="AA29" s="14" t="s">
        <v>35</v>
      </c>
      <c r="AB29" s="27">
        <f t="shared" si="11"/>
        <v>-0.69</v>
      </c>
      <c r="AC29" s="28">
        <v>7.7128979166666667E-2</v>
      </c>
      <c r="AD29" s="25">
        <f t="shared" si="12"/>
        <v>-0.10643799124999999</v>
      </c>
      <c r="AE29" s="25">
        <v>-5.68</v>
      </c>
      <c r="AF29" s="25">
        <v>-7.4497499999999999</v>
      </c>
      <c r="AG29" s="25">
        <v>0</v>
      </c>
    </row>
    <row r="30" spans="1:33" ht="15.75" customHeight="1">
      <c r="A30" s="14" t="s">
        <v>57</v>
      </c>
      <c r="B30" s="14"/>
      <c r="C30" s="15" t="str">
        <f t="shared" si="1"/>
        <v xml:space="preserve"> - </v>
      </c>
      <c r="D30" s="16">
        <v>0</v>
      </c>
      <c r="E30" s="16">
        <v>0</v>
      </c>
      <c r="F30" s="17">
        <v>0</v>
      </c>
      <c r="G30" s="17">
        <v>0</v>
      </c>
      <c r="H30" s="18" t="e">
        <f t="shared" si="2"/>
        <v>#DIV/0!</v>
      </c>
      <c r="I30" s="18" t="e">
        <f t="shared" si="3"/>
        <v>#DIV/0!</v>
      </c>
      <c r="J30" s="17">
        <f t="shared" si="4"/>
        <v>0</v>
      </c>
      <c r="K30" s="17" t="e">
        <f t="shared" si="5"/>
        <v>#DIV/0!</v>
      </c>
      <c r="L30" s="16">
        <v>0</v>
      </c>
      <c r="M30" s="19" t="str">
        <f t="shared" si="6"/>
        <v>-</v>
      </c>
      <c r="N30" s="16">
        <v>0</v>
      </c>
      <c r="O30" s="20">
        <f t="shared" ref="O30:P30" si="27">D30/7</f>
        <v>0</v>
      </c>
      <c r="P30" s="20">
        <f t="shared" si="27"/>
        <v>0</v>
      </c>
      <c r="Q30" s="16" t="e">
        <f t="shared" si="8"/>
        <v>#DIV/0!</v>
      </c>
      <c r="R30" s="16"/>
      <c r="S30" s="21">
        <v>0</v>
      </c>
      <c r="T30" s="14">
        <v>304</v>
      </c>
      <c r="U30" s="22" t="s">
        <v>34</v>
      </c>
      <c r="V30" s="23" t="s">
        <v>34</v>
      </c>
      <c r="W30" s="30">
        <v>0</v>
      </c>
      <c r="X30" s="24">
        <f t="shared" si="9"/>
        <v>0</v>
      </c>
      <c r="Y30" s="25">
        <f t="shared" si="10"/>
        <v>0</v>
      </c>
      <c r="Z30" s="30">
        <v>0</v>
      </c>
      <c r="AA30" s="14" t="s">
        <v>35</v>
      </c>
      <c r="AB30" s="27">
        <f t="shared" si="11"/>
        <v>-0.69</v>
      </c>
      <c r="AC30" s="28">
        <v>7.7128979166666667E-2</v>
      </c>
      <c r="AD30" s="25">
        <f t="shared" si="12"/>
        <v>0</v>
      </c>
      <c r="AE30" s="25">
        <v>-5.68</v>
      </c>
      <c r="AF30" s="25">
        <v>-7.2979740382499996</v>
      </c>
      <c r="AG30" s="25">
        <v>0</v>
      </c>
    </row>
    <row r="31" spans="1:33" ht="15.75" customHeight="1">
      <c r="A31" s="14" t="s">
        <v>58</v>
      </c>
      <c r="B31" s="14"/>
      <c r="C31" s="15" t="str">
        <f t="shared" si="1"/>
        <v xml:space="preserve"> - </v>
      </c>
      <c r="D31" s="16">
        <v>0</v>
      </c>
      <c r="E31" s="16">
        <v>0</v>
      </c>
      <c r="F31" s="17">
        <v>0</v>
      </c>
      <c r="G31" s="17">
        <v>0</v>
      </c>
      <c r="H31" s="18" t="e">
        <f t="shared" si="2"/>
        <v>#DIV/0!</v>
      </c>
      <c r="I31" s="18" t="e">
        <f t="shared" si="3"/>
        <v>#DIV/0!</v>
      </c>
      <c r="J31" s="17">
        <f t="shared" si="4"/>
        <v>0</v>
      </c>
      <c r="K31" s="17" t="e">
        <f t="shared" si="5"/>
        <v>#DIV/0!</v>
      </c>
      <c r="L31" s="16">
        <v>0</v>
      </c>
      <c r="M31" s="19" t="str">
        <f t="shared" si="6"/>
        <v>-</v>
      </c>
      <c r="N31" s="16">
        <v>0</v>
      </c>
      <c r="O31" s="20">
        <f t="shared" ref="O31:P31" si="28">D31/7</f>
        <v>0</v>
      </c>
      <c r="P31" s="20">
        <f t="shared" si="28"/>
        <v>0</v>
      </c>
      <c r="Q31" s="16" t="e">
        <f t="shared" si="8"/>
        <v>#DIV/0!</v>
      </c>
      <c r="R31" s="16"/>
      <c r="S31" s="21" t="e">
        <v>#N/A</v>
      </c>
      <c r="T31" s="14">
        <v>304</v>
      </c>
      <c r="U31" s="22" t="s">
        <v>34</v>
      </c>
      <c r="V31" s="23" t="s">
        <v>59</v>
      </c>
      <c r="W31" s="30">
        <v>0</v>
      </c>
      <c r="X31" s="24">
        <f t="shared" si="9"/>
        <v>0</v>
      </c>
      <c r="Y31" s="25">
        <f t="shared" si="10"/>
        <v>0</v>
      </c>
      <c r="Z31" s="30">
        <v>0</v>
      </c>
      <c r="AA31" s="14" t="s">
        <v>35</v>
      </c>
      <c r="AB31" s="27">
        <f t="shared" si="11"/>
        <v>-0.69</v>
      </c>
      <c r="AC31" s="28">
        <v>7.7128979166666667E-2</v>
      </c>
      <c r="AD31" s="25">
        <f t="shared" si="12"/>
        <v>0</v>
      </c>
      <c r="AE31" s="25">
        <v>-5.68</v>
      </c>
      <c r="AF31" s="25">
        <v>-7.2979740382499996</v>
      </c>
      <c r="AG31" s="25">
        <v>0</v>
      </c>
    </row>
    <row r="32" spans="1:33" ht="15.75" customHeight="1">
      <c r="A32" s="14" t="s">
        <v>60</v>
      </c>
      <c r="B32" s="14"/>
      <c r="C32" s="15" t="str">
        <f t="shared" si="1"/>
        <v xml:space="preserve"> - </v>
      </c>
      <c r="D32" s="16">
        <v>0</v>
      </c>
      <c r="E32" s="16">
        <v>0</v>
      </c>
      <c r="F32" s="17">
        <v>0</v>
      </c>
      <c r="G32" s="17">
        <v>0</v>
      </c>
      <c r="H32" s="18" t="e">
        <f t="shared" si="2"/>
        <v>#DIV/0!</v>
      </c>
      <c r="I32" s="18" t="e">
        <f t="shared" si="3"/>
        <v>#DIV/0!</v>
      </c>
      <c r="J32" s="17">
        <f t="shared" si="4"/>
        <v>0</v>
      </c>
      <c r="K32" s="17" t="e">
        <f t="shared" si="5"/>
        <v>#DIV/0!</v>
      </c>
      <c r="L32" s="16">
        <v>0</v>
      </c>
      <c r="M32" s="19" t="str">
        <f t="shared" si="6"/>
        <v>-</v>
      </c>
      <c r="N32" s="16">
        <v>0</v>
      </c>
      <c r="O32" s="20">
        <f t="shared" ref="O32:P32" si="29">D32/7</f>
        <v>0</v>
      </c>
      <c r="P32" s="20">
        <f t="shared" si="29"/>
        <v>0</v>
      </c>
      <c r="Q32" s="16" t="e">
        <f t="shared" si="8"/>
        <v>#DIV/0!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0</v>
      </c>
      <c r="T32" s="14">
        <f ca="1">IFERROR(__xludf.DUMMYFUNCTION("IFERROR(VLOOKUP($B$2,IMPORTRANGE(""https://docs.google.com/spreadsheets/d/1KiWZV1ko8G7lnRucBRBd29jj3Be6ltMfljMDqzOkQmI/edit#gid=1381463014"",""Lookup!A:D""),4,FALSE),"""")"),304)</f>
        <v>304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23" t="str">
        <f ca="1">IFERROR(__xludf.DUMMYFUNCTION("IFERROR(VLOOKUP($B$2,IMPORTRANGE(""https://docs.google.com/spreadsheets/d/1KiWZV1ko8G7lnRucBRBd29jj3Be6ltMfljMDqzOkQmI/edit#gid=1381463014"",""Lookup!A:D""),2,FALSE),"""")"),"No Transit, But 304 At Factory 50-75 days from Earliest Arrival")</f>
        <v>No Transit, But 304 At Factory 50-75 days from Earliest Arrival</v>
      </c>
      <c r="W32" s="30">
        <v>0</v>
      </c>
      <c r="X32" s="24">
        <f t="shared" si="9"/>
        <v>0</v>
      </c>
      <c r="Y32" s="25">
        <f t="shared" si="10"/>
        <v>0</v>
      </c>
      <c r="Z32" s="30">
        <v>0</v>
      </c>
      <c r="AA32" s="14" t="s">
        <v>35</v>
      </c>
      <c r="AB32" s="27">
        <f t="shared" si="11"/>
        <v>-0.69</v>
      </c>
      <c r="AC32" s="28">
        <v>7.7128979166666667E-2</v>
      </c>
      <c r="AD32" s="25">
        <f t="shared" si="12"/>
        <v>0</v>
      </c>
      <c r="AE32" s="25">
        <v>-5.68</v>
      </c>
      <c r="AF32" s="25">
        <v>-7.2979740382499996</v>
      </c>
      <c r="AG32" s="25">
        <v>0</v>
      </c>
    </row>
    <row r="33" spans="1:33" ht="15.75" customHeight="1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16"/>
      <c r="S33" s="21"/>
      <c r="T33" s="31"/>
      <c r="U33" s="36"/>
      <c r="V33" s="1"/>
      <c r="W33" s="31"/>
      <c r="X33" s="31"/>
      <c r="Y33" s="31"/>
      <c r="Z33" s="31"/>
      <c r="AA33" s="2"/>
      <c r="AB33" s="31"/>
      <c r="AC33" s="31"/>
      <c r="AD33" s="31"/>
      <c r="AE33" s="37"/>
      <c r="AF33" s="37"/>
      <c r="AG33" s="37"/>
    </row>
    <row r="34" spans="1:33" ht="15.75" customHeight="1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6"/>
      <c r="V34" s="1"/>
      <c r="W34" s="31"/>
      <c r="X34" s="31"/>
      <c r="Y34" s="31"/>
      <c r="Z34" s="31"/>
      <c r="AA34" s="2"/>
      <c r="AB34" s="31"/>
      <c r="AC34" s="31"/>
      <c r="AD34" s="31"/>
      <c r="AE34" s="37"/>
      <c r="AF34" s="37"/>
      <c r="AG34" s="37"/>
    </row>
    <row r="35" spans="1:33" ht="15.75" customHeight="1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6"/>
      <c r="V35" s="1"/>
      <c r="W35" s="31"/>
      <c r="X35" s="31"/>
      <c r="Y35" s="31"/>
      <c r="Z35" s="31"/>
      <c r="AA35" s="2"/>
      <c r="AB35" s="31"/>
      <c r="AC35" s="31"/>
      <c r="AD35" s="31"/>
      <c r="AE35" s="37"/>
      <c r="AF35" s="37"/>
      <c r="AG35" s="37"/>
    </row>
    <row r="36" spans="1:33" ht="15.75" customHeight="1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6"/>
      <c r="V36" s="1"/>
      <c r="W36" s="31"/>
      <c r="X36" s="31"/>
      <c r="Y36" s="31"/>
      <c r="Z36" s="31"/>
      <c r="AA36" s="2"/>
      <c r="AB36" s="31"/>
      <c r="AC36" s="31"/>
      <c r="AD36" s="31"/>
      <c r="AE36" s="37"/>
      <c r="AF36" s="37"/>
      <c r="AG36" s="37"/>
    </row>
    <row r="37" spans="1:33" ht="15.75" customHeight="1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6"/>
      <c r="V37" s="1"/>
      <c r="W37" s="31"/>
      <c r="X37" s="31"/>
      <c r="Y37" s="31"/>
      <c r="Z37" s="31"/>
      <c r="AA37" s="2"/>
      <c r="AB37" s="31"/>
      <c r="AC37" s="31"/>
      <c r="AD37" s="31"/>
      <c r="AE37" s="37"/>
      <c r="AF37" s="37"/>
      <c r="AG37" s="37"/>
    </row>
    <row r="38" spans="1:33" ht="15.75" customHeight="1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6"/>
      <c r="V38" s="1"/>
      <c r="W38" s="31"/>
      <c r="X38" s="31"/>
      <c r="Y38" s="31"/>
      <c r="Z38" s="31"/>
      <c r="AA38" s="2"/>
      <c r="AB38" s="31"/>
      <c r="AC38" s="31"/>
      <c r="AD38" s="31"/>
      <c r="AE38" s="37"/>
      <c r="AF38" s="37"/>
      <c r="AG38" s="37"/>
    </row>
    <row r="39" spans="1:33" ht="15.75" customHeight="1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6"/>
      <c r="V39" s="1"/>
      <c r="W39" s="31"/>
      <c r="X39" s="31"/>
      <c r="Y39" s="31"/>
      <c r="Z39" s="31"/>
      <c r="AA39" s="2"/>
      <c r="AB39" s="31"/>
      <c r="AC39" s="31"/>
      <c r="AD39" s="31"/>
      <c r="AE39" s="37"/>
      <c r="AF39" s="37"/>
      <c r="AG39" s="37"/>
    </row>
    <row r="40" spans="1:33" ht="15.75" customHeight="1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6"/>
      <c r="V40" s="1"/>
      <c r="W40" s="31"/>
      <c r="X40" s="31"/>
      <c r="Y40" s="31"/>
      <c r="Z40" s="31"/>
      <c r="AA40" s="2"/>
      <c r="AB40" s="31"/>
      <c r="AC40" s="31"/>
      <c r="AD40" s="31"/>
      <c r="AE40" s="37"/>
      <c r="AF40" s="37"/>
      <c r="AG40" s="37"/>
    </row>
    <row r="41" spans="1:33" ht="15.75" customHeight="1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6"/>
      <c r="V41" s="1"/>
      <c r="W41" s="31"/>
      <c r="X41" s="31"/>
      <c r="Y41" s="31"/>
      <c r="Z41" s="31"/>
      <c r="AA41" s="2"/>
      <c r="AB41" s="31"/>
      <c r="AC41" s="31"/>
      <c r="AD41" s="31"/>
      <c r="AE41" s="37"/>
      <c r="AF41" s="37"/>
      <c r="AG41" s="37"/>
    </row>
    <row r="42" spans="1:33" ht="15.75" customHeight="1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6"/>
      <c r="V42" s="1"/>
      <c r="W42" s="31"/>
      <c r="X42" s="31"/>
      <c r="Y42" s="31"/>
      <c r="Z42" s="31"/>
      <c r="AA42" s="2"/>
      <c r="AB42" s="31"/>
      <c r="AC42" s="31"/>
      <c r="AD42" s="31"/>
      <c r="AE42" s="37"/>
      <c r="AF42" s="37"/>
      <c r="AG42" s="37"/>
    </row>
    <row r="43" spans="1:33" ht="15.75" customHeight="1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6"/>
      <c r="V43" s="1"/>
      <c r="W43" s="31"/>
      <c r="X43" s="31"/>
      <c r="Y43" s="31"/>
      <c r="Z43" s="31"/>
      <c r="AA43" s="2"/>
      <c r="AB43" s="31"/>
      <c r="AC43" s="31"/>
      <c r="AD43" s="31"/>
      <c r="AE43" s="37"/>
      <c r="AF43" s="37"/>
      <c r="AG43" s="37"/>
    </row>
    <row r="44" spans="1:33" ht="15.75" customHeight="1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6"/>
      <c r="V44" s="1"/>
      <c r="W44" s="31"/>
      <c r="X44" s="31"/>
      <c r="Y44" s="31"/>
      <c r="Z44" s="31"/>
      <c r="AA44" s="2"/>
      <c r="AB44" s="31"/>
      <c r="AC44" s="31"/>
      <c r="AD44" s="31"/>
      <c r="AE44" s="37"/>
      <c r="AF44" s="37"/>
      <c r="AG44" s="37"/>
    </row>
    <row r="45" spans="1:33" ht="15.75" customHeight="1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6"/>
      <c r="V45" s="1"/>
      <c r="W45" s="31"/>
      <c r="X45" s="31"/>
      <c r="Y45" s="31"/>
      <c r="Z45" s="31"/>
      <c r="AA45" s="2"/>
      <c r="AB45" s="31"/>
      <c r="AC45" s="31"/>
      <c r="AD45" s="31"/>
      <c r="AE45" s="37"/>
      <c r="AF45" s="37"/>
      <c r="AG45" s="37"/>
    </row>
    <row r="46" spans="1:33" ht="15.75" customHeight="1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6"/>
      <c r="V46" s="1"/>
      <c r="W46" s="31"/>
      <c r="X46" s="31"/>
      <c r="Y46" s="31"/>
      <c r="Z46" s="31"/>
      <c r="AA46" s="2"/>
      <c r="AB46" s="31"/>
      <c r="AC46" s="31"/>
      <c r="AD46" s="31"/>
      <c r="AE46" s="37"/>
      <c r="AF46" s="37"/>
      <c r="AG46" s="37"/>
    </row>
    <row r="47" spans="1:33" ht="15.75" customHeight="1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6"/>
      <c r="V47" s="1"/>
      <c r="W47" s="31"/>
      <c r="X47" s="31"/>
      <c r="Y47" s="31"/>
      <c r="Z47" s="31"/>
      <c r="AA47" s="2"/>
      <c r="AB47" s="31"/>
      <c r="AC47" s="31"/>
      <c r="AD47" s="31"/>
      <c r="AE47" s="37"/>
      <c r="AF47" s="37"/>
      <c r="AG47" s="37"/>
    </row>
    <row r="48" spans="1:33" ht="15.75" customHeight="1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6"/>
      <c r="V48" s="1"/>
      <c r="W48" s="31"/>
      <c r="X48" s="31"/>
      <c r="Y48" s="31"/>
      <c r="Z48" s="31"/>
      <c r="AA48" s="2"/>
      <c r="AB48" s="31"/>
      <c r="AC48" s="31"/>
      <c r="AD48" s="31"/>
      <c r="AE48" s="37"/>
      <c r="AF48" s="37"/>
      <c r="AG48" s="37"/>
    </row>
    <row r="49" spans="1:33" ht="15.75" customHeight="1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6"/>
      <c r="V49" s="1"/>
      <c r="W49" s="31"/>
      <c r="X49" s="31"/>
      <c r="Y49" s="31"/>
      <c r="Z49" s="31"/>
      <c r="AA49" s="2"/>
      <c r="AB49" s="31"/>
      <c r="AC49" s="31"/>
      <c r="AD49" s="31"/>
      <c r="AE49" s="37"/>
      <c r="AF49" s="37"/>
      <c r="AG49" s="37"/>
    </row>
    <row r="50" spans="1:33" ht="15.75" customHeight="1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6"/>
      <c r="V50" s="1"/>
      <c r="W50" s="31"/>
      <c r="X50" s="31"/>
      <c r="Y50" s="31"/>
      <c r="Z50" s="31"/>
      <c r="AA50" s="2"/>
      <c r="AB50" s="31"/>
      <c r="AC50" s="31"/>
      <c r="AD50" s="31"/>
      <c r="AE50" s="37"/>
      <c r="AF50" s="37"/>
      <c r="AG50" s="37"/>
    </row>
    <row r="51" spans="1:33" ht="15.75" customHeight="1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6"/>
      <c r="V51" s="1"/>
      <c r="W51" s="31"/>
      <c r="X51" s="31"/>
      <c r="Y51" s="31"/>
      <c r="Z51" s="31"/>
      <c r="AA51" s="2"/>
      <c r="AB51" s="31"/>
      <c r="AC51" s="31"/>
      <c r="AD51" s="31"/>
      <c r="AE51" s="37"/>
      <c r="AF51" s="37"/>
      <c r="AG51" s="37"/>
    </row>
    <row r="52" spans="1:33" ht="15.75" customHeight="1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6"/>
      <c r="V52" s="1"/>
      <c r="W52" s="31"/>
      <c r="X52" s="31"/>
      <c r="Y52" s="31"/>
      <c r="Z52" s="31"/>
      <c r="AA52" s="2"/>
      <c r="AB52" s="31"/>
      <c r="AC52" s="31"/>
      <c r="AD52" s="31"/>
      <c r="AE52" s="37"/>
      <c r="AF52" s="37"/>
      <c r="AG52" s="37"/>
    </row>
    <row r="53" spans="1:33" ht="15.75" customHeight="1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6"/>
      <c r="V53" s="1"/>
      <c r="W53" s="31"/>
      <c r="X53" s="31"/>
      <c r="Y53" s="31"/>
      <c r="Z53" s="31"/>
      <c r="AA53" s="2"/>
      <c r="AB53" s="31"/>
      <c r="AC53" s="31"/>
      <c r="AD53" s="31"/>
      <c r="AE53" s="37"/>
      <c r="AF53" s="37"/>
      <c r="AG53" s="37"/>
    </row>
    <row r="54" spans="1:33" ht="15.75" customHeight="1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6"/>
      <c r="V54" s="1"/>
      <c r="W54" s="31"/>
      <c r="X54" s="31"/>
      <c r="Y54" s="31"/>
      <c r="Z54" s="31"/>
      <c r="AA54" s="2"/>
      <c r="AB54" s="31"/>
      <c r="AC54" s="31"/>
      <c r="AD54" s="31"/>
      <c r="AE54" s="37"/>
      <c r="AF54" s="37"/>
      <c r="AG54" s="37"/>
    </row>
    <row r="55" spans="1:33" ht="15.75" customHeight="1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6"/>
      <c r="V55" s="1"/>
      <c r="W55" s="31"/>
      <c r="X55" s="31"/>
      <c r="Y55" s="31"/>
      <c r="Z55" s="31"/>
      <c r="AA55" s="2"/>
      <c r="AB55" s="31"/>
      <c r="AC55" s="31"/>
      <c r="AD55" s="31"/>
      <c r="AE55" s="37"/>
      <c r="AF55" s="37"/>
      <c r="AG55" s="37"/>
    </row>
    <row r="56" spans="1:33" ht="15.75" customHeight="1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6"/>
      <c r="V56" s="1"/>
      <c r="W56" s="31"/>
      <c r="X56" s="31"/>
      <c r="Y56" s="31"/>
      <c r="Z56" s="31"/>
      <c r="AA56" s="2"/>
      <c r="AB56" s="31"/>
      <c r="AC56" s="31"/>
      <c r="AD56" s="31"/>
      <c r="AE56" s="37"/>
      <c r="AF56" s="37"/>
      <c r="AG56" s="37"/>
    </row>
    <row r="57" spans="1:33" ht="15.75" customHeight="1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6"/>
      <c r="V57" s="1"/>
      <c r="W57" s="31"/>
      <c r="X57" s="31"/>
      <c r="Y57" s="31"/>
      <c r="Z57" s="31"/>
      <c r="AA57" s="2"/>
      <c r="AB57" s="31"/>
      <c r="AC57" s="31"/>
      <c r="AD57" s="31"/>
      <c r="AE57" s="37"/>
      <c r="AF57" s="37"/>
      <c r="AG57" s="37"/>
    </row>
    <row r="58" spans="1:33" ht="15.75" customHeight="1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6"/>
      <c r="V58" s="1"/>
      <c r="W58" s="31"/>
      <c r="X58" s="31"/>
      <c r="Y58" s="31"/>
      <c r="Z58" s="31"/>
      <c r="AA58" s="2"/>
      <c r="AB58" s="31"/>
      <c r="AC58" s="31"/>
      <c r="AD58" s="31"/>
      <c r="AE58" s="37"/>
      <c r="AF58" s="37"/>
      <c r="AG58" s="37"/>
    </row>
    <row r="59" spans="1:33" ht="15.75" customHeight="1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6"/>
      <c r="V59" s="1"/>
      <c r="W59" s="31"/>
      <c r="X59" s="31"/>
      <c r="Y59" s="31"/>
      <c r="Z59" s="31"/>
      <c r="AA59" s="2"/>
      <c r="AB59" s="31"/>
      <c r="AC59" s="31"/>
      <c r="AD59" s="31"/>
      <c r="AE59" s="37"/>
      <c r="AF59" s="37"/>
      <c r="AG59" s="37"/>
    </row>
    <row r="60" spans="1:33" ht="15.75" customHeight="1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6"/>
      <c r="V60" s="1"/>
      <c r="W60" s="31"/>
      <c r="X60" s="31"/>
      <c r="Y60" s="31"/>
      <c r="Z60" s="31"/>
      <c r="AA60" s="2"/>
      <c r="AB60" s="31"/>
      <c r="AC60" s="31"/>
      <c r="AD60" s="31"/>
      <c r="AE60" s="37"/>
      <c r="AF60" s="37"/>
      <c r="AG60" s="37"/>
    </row>
    <row r="61" spans="1:33" ht="15.75" customHeight="1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6"/>
      <c r="V61" s="1"/>
      <c r="W61" s="31"/>
      <c r="X61" s="31"/>
      <c r="Y61" s="31"/>
      <c r="Z61" s="31"/>
      <c r="AA61" s="2"/>
      <c r="AB61" s="31"/>
      <c r="AC61" s="31"/>
      <c r="AD61" s="31"/>
      <c r="AE61" s="37"/>
      <c r="AF61" s="37"/>
      <c r="AG61" s="37"/>
    </row>
    <row r="62" spans="1:33" ht="15.75" customHeight="1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6"/>
      <c r="V62" s="1"/>
      <c r="W62" s="31"/>
      <c r="X62" s="31"/>
      <c r="Y62" s="31"/>
      <c r="Z62" s="31"/>
      <c r="AA62" s="2"/>
      <c r="AB62" s="31"/>
      <c r="AC62" s="31"/>
      <c r="AD62" s="31"/>
      <c r="AE62" s="37"/>
      <c r="AF62" s="37"/>
      <c r="AG62" s="37"/>
    </row>
    <row r="63" spans="1:33" ht="15.75" customHeight="1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6"/>
      <c r="V63" s="1"/>
      <c r="W63" s="31"/>
      <c r="X63" s="31"/>
      <c r="Y63" s="31"/>
      <c r="Z63" s="31"/>
      <c r="AA63" s="2"/>
      <c r="AB63" s="31"/>
      <c r="AC63" s="31"/>
      <c r="AD63" s="31"/>
      <c r="AE63" s="37"/>
      <c r="AF63" s="37"/>
      <c r="AG63" s="37"/>
    </row>
    <row r="64" spans="1:33" ht="15.75" customHeight="1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6"/>
      <c r="V64" s="1"/>
      <c r="W64" s="31"/>
      <c r="X64" s="31"/>
      <c r="Y64" s="31"/>
      <c r="Z64" s="31"/>
      <c r="AA64" s="2"/>
      <c r="AB64" s="31"/>
      <c r="AC64" s="31"/>
      <c r="AD64" s="31"/>
      <c r="AE64" s="37"/>
      <c r="AF64" s="37"/>
      <c r="AG64" s="37"/>
    </row>
    <row r="65" spans="1:33" ht="15.75" customHeight="1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6"/>
      <c r="V65" s="1"/>
      <c r="W65" s="31"/>
      <c r="X65" s="31"/>
      <c r="Y65" s="31"/>
      <c r="Z65" s="31"/>
      <c r="AA65" s="2"/>
      <c r="AB65" s="31"/>
      <c r="AC65" s="31"/>
      <c r="AD65" s="31"/>
      <c r="AE65" s="37"/>
      <c r="AF65" s="37"/>
      <c r="AG65" s="37"/>
    </row>
    <row r="66" spans="1:33" ht="15.75" customHeight="1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6"/>
      <c r="V66" s="1"/>
      <c r="W66" s="31"/>
      <c r="X66" s="31"/>
      <c r="Y66" s="31"/>
      <c r="Z66" s="31"/>
      <c r="AA66" s="2"/>
      <c r="AB66" s="31"/>
      <c r="AC66" s="31"/>
      <c r="AD66" s="31"/>
      <c r="AE66" s="37"/>
      <c r="AF66" s="37"/>
      <c r="AG66" s="37"/>
    </row>
    <row r="67" spans="1:33" ht="15.75" customHeight="1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6"/>
      <c r="V67" s="1"/>
      <c r="W67" s="31"/>
      <c r="X67" s="31"/>
      <c r="Y67" s="31"/>
      <c r="Z67" s="31"/>
      <c r="AA67" s="2"/>
      <c r="AB67" s="31"/>
      <c r="AC67" s="31"/>
      <c r="AD67" s="31"/>
      <c r="AE67" s="37"/>
      <c r="AF67" s="37"/>
      <c r="AG67" s="37"/>
    </row>
    <row r="68" spans="1:33" ht="15.75" customHeight="1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6"/>
      <c r="V68" s="1"/>
      <c r="W68" s="31"/>
      <c r="X68" s="31"/>
      <c r="Y68" s="31"/>
      <c r="Z68" s="31"/>
      <c r="AA68" s="2"/>
      <c r="AB68" s="31"/>
      <c r="AC68" s="31"/>
      <c r="AD68" s="31"/>
      <c r="AE68" s="37"/>
      <c r="AF68" s="37"/>
      <c r="AG68" s="37"/>
    </row>
    <row r="69" spans="1:33" ht="15.75" customHeight="1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6"/>
      <c r="V69" s="1"/>
      <c r="W69" s="31"/>
      <c r="X69" s="31"/>
      <c r="Y69" s="31"/>
      <c r="Z69" s="31"/>
      <c r="AA69" s="2"/>
      <c r="AB69" s="31"/>
      <c r="AC69" s="31"/>
      <c r="AD69" s="31"/>
      <c r="AE69" s="37"/>
      <c r="AF69" s="37"/>
      <c r="AG69" s="37"/>
    </row>
    <row r="70" spans="1:33" ht="15.75" customHeight="1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6"/>
      <c r="V70" s="1"/>
      <c r="W70" s="31"/>
      <c r="X70" s="31"/>
      <c r="Y70" s="31"/>
      <c r="Z70" s="31"/>
      <c r="AA70" s="2"/>
      <c r="AB70" s="31"/>
      <c r="AC70" s="31"/>
      <c r="AD70" s="31"/>
      <c r="AE70" s="37"/>
      <c r="AF70" s="37"/>
      <c r="AG70" s="37"/>
    </row>
    <row r="71" spans="1:33" ht="15.75" customHeight="1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6"/>
      <c r="V71" s="1"/>
      <c r="W71" s="31"/>
      <c r="X71" s="31"/>
      <c r="Y71" s="31"/>
      <c r="Z71" s="31"/>
      <c r="AA71" s="2"/>
      <c r="AB71" s="31"/>
      <c r="AC71" s="31"/>
      <c r="AD71" s="31"/>
      <c r="AE71" s="37"/>
      <c r="AF71" s="37"/>
      <c r="AG71" s="37"/>
    </row>
    <row r="72" spans="1:33" ht="15.75" customHeight="1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6"/>
      <c r="V72" s="1"/>
      <c r="W72" s="31"/>
      <c r="X72" s="31"/>
      <c r="Y72" s="31"/>
      <c r="Z72" s="31"/>
      <c r="AA72" s="2"/>
      <c r="AB72" s="31"/>
      <c r="AC72" s="31"/>
      <c r="AD72" s="31"/>
      <c r="AE72" s="37"/>
      <c r="AF72" s="37"/>
      <c r="AG72" s="37"/>
    </row>
    <row r="73" spans="1:33" ht="15.75" customHeight="1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6"/>
      <c r="V73" s="1"/>
      <c r="W73" s="31"/>
      <c r="X73" s="31"/>
      <c r="Y73" s="31"/>
      <c r="Z73" s="31"/>
      <c r="AA73" s="2"/>
      <c r="AB73" s="31"/>
      <c r="AC73" s="31"/>
      <c r="AD73" s="31"/>
      <c r="AE73" s="37"/>
      <c r="AF73" s="37"/>
      <c r="AG73" s="37"/>
    </row>
    <row r="74" spans="1:33" ht="15.75" customHeight="1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6"/>
      <c r="V74" s="1"/>
      <c r="W74" s="31"/>
      <c r="X74" s="31"/>
      <c r="Y74" s="31"/>
      <c r="Z74" s="31"/>
      <c r="AA74" s="2"/>
      <c r="AB74" s="31"/>
      <c r="AC74" s="31"/>
      <c r="AD74" s="31"/>
      <c r="AE74" s="37"/>
      <c r="AF74" s="37"/>
      <c r="AG74" s="37"/>
    </row>
    <row r="75" spans="1:33" ht="15.75" customHeight="1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6"/>
      <c r="V75" s="1"/>
      <c r="W75" s="31"/>
      <c r="X75" s="31"/>
      <c r="Y75" s="31"/>
      <c r="Z75" s="31"/>
      <c r="AA75" s="2"/>
      <c r="AB75" s="31"/>
      <c r="AC75" s="31"/>
      <c r="AD75" s="31"/>
      <c r="AE75" s="37"/>
      <c r="AF75" s="37"/>
      <c r="AG75" s="37"/>
    </row>
    <row r="76" spans="1:33" ht="15.75" customHeight="1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6"/>
      <c r="V76" s="1"/>
      <c r="W76" s="31"/>
      <c r="X76" s="31"/>
      <c r="Y76" s="31"/>
      <c r="Z76" s="31"/>
      <c r="AA76" s="2"/>
      <c r="AB76" s="31"/>
      <c r="AC76" s="31"/>
      <c r="AD76" s="31"/>
      <c r="AE76" s="37"/>
      <c r="AF76" s="37"/>
      <c r="AG76" s="37"/>
    </row>
    <row r="77" spans="1:33" ht="15.75" customHeight="1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6"/>
      <c r="V77" s="1"/>
      <c r="W77" s="31"/>
      <c r="X77" s="31"/>
      <c r="Y77" s="31"/>
      <c r="Z77" s="31"/>
      <c r="AA77" s="2"/>
      <c r="AB77" s="31"/>
      <c r="AC77" s="31"/>
      <c r="AD77" s="31"/>
      <c r="AE77" s="37"/>
      <c r="AF77" s="37"/>
      <c r="AG77" s="37"/>
    </row>
    <row r="78" spans="1:33" ht="15.75" customHeight="1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6"/>
      <c r="V78" s="1"/>
      <c r="W78" s="31"/>
      <c r="X78" s="31"/>
      <c r="Y78" s="31"/>
      <c r="Z78" s="31"/>
      <c r="AA78" s="2"/>
      <c r="AB78" s="31"/>
      <c r="AC78" s="31"/>
      <c r="AD78" s="31"/>
      <c r="AE78" s="37"/>
      <c r="AF78" s="37"/>
      <c r="AG78" s="37"/>
    </row>
    <row r="79" spans="1:33" ht="15.75" customHeight="1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6"/>
      <c r="V79" s="1"/>
      <c r="W79" s="31"/>
      <c r="X79" s="31"/>
      <c r="Y79" s="31"/>
      <c r="Z79" s="31"/>
      <c r="AA79" s="2"/>
      <c r="AB79" s="31"/>
      <c r="AC79" s="31"/>
      <c r="AD79" s="31"/>
      <c r="AE79" s="37"/>
      <c r="AF79" s="37"/>
      <c r="AG79" s="37"/>
    </row>
    <row r="80" spans="1:33" ht="15.75" customHeight="1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6"/>
      <c r="V80" s="1"/>
      <c r="W80" s="31"/>
      <c r="X80" s="31"/>
      <c r="Y80" s="31"/>
      <c r="Z80" s="31"/>
      <c r="AA80" s="2"/>
      <c r="AB80" s="31"/>
      <c r="AC80" s="31"/>
      <c r="AD80" s="31"/>
      <c r="AE80" s="37"/>
      <c r="AF80" s="37"/>
      <c r="AG80" s="37"/>
    </row>
    <row r="81" spans="1:33" ht="15.75" customHeight="1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6"/>
      <c r="V81" s="1"/>
      <c r="W81" s="31"/>
      <c r="X81" s="31"/>
      <c r="Y81" s="31"/>
      <c r="Z81" s="31"/>
      <c r="AA81" s="2"/>
      <c r="AB81" s="31"/>
      <c r="AC81" s="31"/>
      <c r="AD81" s="31"/>
      <c r="AE81" s="37"/>
      <c r="AF81" s="37"/>
      <c r="AG81" s="37"/>
    </row>
    <row r="82" spans="1:33" ht="15.75" customHeight="1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6"/>
      <c r="V82" s="1"/>
      <c r="W82" s="31"/>
      <c r="X82" s="31"/>
      <c r="Y82" s="31"/>
      <c r="Z82" s="31"/>
      <c r="AA82" s="2"/>
      <c r="AB82" s="31"/>
      <c r="AC82" s="31"/>
      <c r="AD82" s="31"/>
      <c r="AE82" s="37"/>
      <c r="AF82" s="37"/>
      <c r="AG82" s="37"/>
    </row>
    <row r="83" spans="1:33" ht="15.75" customHeight="1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6"/>
      <c r="V83" s="1"/>
      <c r="W83" s="31"/>
      <c r="X83" s="31"/>
      <c r="Y83" s="31"/>
      <c r="Z83" s="31"/>
      <c r="AA83" s="2"/>
      <c r="AB83" s="31"/>
      <c r="AC83" s="31"/>
      <c r="AD83" s="31"/>
      <c r="AE83" s="37"/>
      <c r="AF83" s="37"/>
      <c r="AG83" s="37"/>
    </row>
    <row r="84" spans="1:33" ht="15.75" customHeight="1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6"/>
      <c r="V84" s="1"/>
      <c r="W84" s="31"/>
      <c r="X84" s="31"/>
      <c r="Y84" s="31"/>
      <c r="Z84" s="31"/>
      <c r="AA84" s="2"/>
      <c r="AB84" s="31"/>
      <c r="AC84" s="31"/>
      <c r="AD84" s="31"/>
      <c r="AE84" s="37"/>
      <c r="AF84" s="37"/>
      <c r="AG84" s="37"/>
    </row>
    <row r="85" spans="1:33" ht="15.75" customHeight="1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6"/>
      <c r="V85" s="1"/>
      <c r="W85" s="31"/>
      <c r="X85" s="31"/>
      <c r="Y85" s="31"/>
      <c r="Z85" s="31"/>
      <c r="AA85" s="2"/>
      <c r="AB85" s="31"/>
      <c r="AC85" s="31"/>
      <c r="AD85" s="31"/>
      <c r="AE85" s="37"/>
      <c r="AF85" s="37"/>
      <c r="AG85" s="37"/>
    </row>
    <row r="86" spans="1:33" ht="15.75" customHeight="1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6"/>
      <c r="V86" s="1"/>
      <c r="W86" s="31"/>
      <c r="X86" s="31"/>
      <c r="Y86" s="31"/>
      <c r="Z86" s="31"/>
      <c r="AA86" s="2"/>
      <c r="AB86" s="31"/>
      <c r="AC86" s="31"/>
      <c r="AD86" s="31"/>
      <c r="AE86" s="37"/>
      <c r="AF86" s="37"/>
      <c r="AG86" s="37"/>
    </row>
    <row r="87" spans="1:33" ht="15.75" customHeight="1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6"/>
      <c r="V87" s="1"/>
      <c r="W87" s="31"/>
      <c r="X87" s="31"/>
      <c r="Y87" s="31"/>
      <c r="Z87" s="31"/>
      <c r="AA87" s="2"/>
      <c r="AB87" s="31"/>
      <c r="AC87" s="31"/>
      <c r="AD87" s="31"/>
      <c r="AE87" s="37"/>
      <c r="AF87" s="37"/>
      <c r="AG87" s="37"/>
    </row>
    <row r="88" spans="1:33" ht="15.75" customHeight="1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6"/>
      <c r="V88" s="1"/>
      <c r="W88" s="31"/>
      <c r="X88" s="31"/>
      <c r="Y88" s="31"/>
      <c r="Z88" s="31"/>
      <c r="AA88" s="2"/>
      <c r="AB88" s="31"/>
      <c r="AC88" s="31"/>
      <c r="AD88" s="31"/>
      <c r="AE88" s="37"/>
      <c r="AF88" s="37"/>
      <c r="AG88" s="37"/>
    </row>
    <row r="89" spans="1:33" ht="15.75" customHeight="1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6"/>
      <c r="V89" s="1"/>
      <c r="W89" s="31"/>
      <c r="X89" s="31"/>
      <c r="Y89" s="31"/>
      <c r="Z89" s="31"/>
      <c r="AA89" s="2"/>
      <c r="AB89" s="31"/>
      <c r="AC89" s="31"/>
      <c r="AD89" s="31"/>
      <c r="AE89" s="37"/>
      <c r="AF89" s="37"/>
      <c r="AG89" s="37"/>
    </row>
    <row r="90" spans="1:33" ht="15.75" customHeight="1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6"/>
      <c r="V90" s="1"/>
      <c r="W90" s="31"/>
      <c r="X90" s="31"/>
      <c r="Y90" s="31"/>
      <c r="Z90" s="31"/>
      <c r="AA90" s="2"/>
      <c r="AB90" s="31"/>
      <c r="AC90" s="31"/>
      <c r="AD90" s="31"/>
      <c r="AE90" s="37"/>
      <c r="AF90" s="37"/>
      <c r="AG90" s="37"/>
    </row>
    <row r="91" spans="1:33" ht="15.75" customHeight="1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6"/>
      <c r="V91" s="1"/>
      <c r="W91" s="31"/>
      <c r="X91" s="31"/>
      <c r="Y91" s="31"/>
      <c r="Z91" s="31"/>
      <c r="AA91" s="2"/>
      <c r="AB91" s="31"/>
      <c r="AC91" s="31"/>
      <c r="AD91" s="31"/>
      <c r="AE91" s="37"/>
      <c r="AF91" s="37"/>
      <c r="AG91" s="37"/>
    </row>
    <row r="92" spans="1:33" ht="15.75" customHeight="1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6"/>
      <c r="V92" s="1"/>
      <c r="W92" s="31"/>
      <c r="X92" s="31"/>
      <c r="Y92" s="31"/>
      <c r="Z92" s="31"/>
      <c r="AA92" s="2"/>
      <c r="AB92" s="31"/>
      <c r="AC92" s="31"/>
      <c r="AD92" s="31"/>
      <c r="AE92" s="37"/>
      <c r="AF92" s="37"/>
      <c r="AG92" s="37"/>
    </row>
    <row r="93" spans="1:33" ht="15.75" customHeight="1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6"/>
      <c r="V93" s="1"/>
      <c r="W93" s="31"/>
      <c r="X93" s="31"/>
      <c r="Y93" s="31"/>
      <c r="Z93" s="31"/>
      <c r="AA93" s="2"/>
      <c r="AB93" s="31"/>
      <c r="AC93" s="31"/>
      <c r="AD93" s="31"/>
      <c r="AE93" s="37"/>
      <c r="AF93" s="37"/>
      <c r="AG93" s="37"/>
    </row>
    <row r="94" spans="1:33" ht="15.75" customHeight="1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6"/>
      <c r="V94" s="1"/>
      <c r="W94" s="31"/>
      <c r="X94" s="31"/>
      <c r="Y94" s="31"/>
      <c r="Z94" s="31"/>
      <c r="AA94" s="2"/>
      <c r="AB94" s="31"/>
      <c r="AC94" s="31"/>
      <c r="AD94" s="31"/>
      <c r="AE94" s="37"/>
      <c r="AF94" s="37"/>
      <c r="AG94" s="37"/>
    </row>
    <row r="95" spans="1:33" ht="15.75" customHeight="1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6"/>
      <c r="V95" s="1"/>
      <c r="W95" s="31"/>
      <c r="X95" s="31"/>
      <c r="Y95" s="31"/>
      <c r="Z95" s="31"/>
      <c r="AA95" s="2"/>
      <c r="AB95" s="31"/>
      <c r="AC95" s="31"/>
      <c r="AD95" s="31"/>
      <c r="AE95" s="37"/>
      <c r="AF95" s="37"/>
      <c r="AG95" s="37"/>
    </row>
    <row r="96" spans="1:33" ht="15.75" customHeight="1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6"/>
      <c r="V96" s="1"/>
      <c r="W96" s="31"/>
      <c r="X96" s="31"/>
      <c r="Y96" s="31"/>
      <c r="Z96" s="31"/>
      <c r="AA96" s="2"/>
      <c r="AB96" s="31"/>
      <c r="AC96" s="31"/>
      <c r="AD96" s="31"/>
      <c r="AE96" s="37"/>
      <c r="AF96" s="37"/>
      <c r="AG96" s="37"/>
    </row>
    <row r="97" spans="1:33" ht="15.75" customHeight="1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8"/>
      <c r="R97" s="38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8"/>
      <c r="R98" s="38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8"/>
      <c r="R99" s="38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8"/>
      <c r="R100" s="38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8"/>
      <c r="R101" s="38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8"/>
      <c r="R102" s="38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8"/>
      <c r="R103" s="38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8"/>
      <c r="R104" s="38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8"/>
      <c r="R105" s="38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8"/>
      <c r="R106" s="38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8"/>
      <c r="R107" s="38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8"/>
      <c r="R108" s="38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8"/>
      <c r="R109" s="38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8"/>
      <c r="R110" s="38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8"/>
      <c r="R111" s="38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8"/>
      <c r="R112" s="38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8"/>
      <c r="R113" s="38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8"/>
      <c r="R114" s="38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>
      <c r="A115" s="31"/>
      <c r="B115" s="31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>
      <c r="A116" s="31"/>
      <c r="B116" s="31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>
      <c r="A117" s="31"/>
      <c r="B117" s="31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>
      <c r="A118" s="31"/>
      <c r="B118" s="31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>
      <c r="A119" s="31"/>
      <c r="B119" s="31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>
      <c r="A120" s="31"/>
      <c r="B120" s="31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>
      <c r="A121" s="31"/>
      <c r="B121" s="31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>
      <c r="A122" s="31"/>
      <c r="B122" s="31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>
      <c r="A123" s="31"/>
      <c r="B123" s="31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>
      <c r="A124" s="31"/>
      <c r="B124" s="31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>
      <c r="A125" s="31"/>
      <c r="B125" s="31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>
      <c r="A126" s="31"/>
      <c r="B126" s="31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>
      <c r="A127" s="31"/>
      <c r="B127" s="31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>
      <c r="A128" s="31"/>
      <c r="B128" s="31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>
      <c r="A129" s="31"/>
      <c r="B129" s="31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>
      <c r="A130" s="31"/>
      <c r="B130" s="31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>
      <c r="A131" s="31"/>
      <c r="B131" s="31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>
      <c r="A132" s="31"/>
      <c r="B132" s="31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>
      <c r="A133" s="31"/>
      <c r="B133" s="31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>
      <c r="A134" s="31"/>
      <c r="B134" s="31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>
      <c r="A135" s="31"/>
      <c r="B135" s="31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>
      <c r="A136" s="31"/>
      <c r="B136" s="31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>
      <c r="A137" s="31"/>
      <c r="B137" s="31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>
      <c r="A138" s="31"/>
      <c r="B138" s="31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>
      <c r="A139" s="31"/>
      <c r="B139" s="31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>
      <c r="A140" s="31"/>
      <c r="B140" s="31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>
      <c r="A141" s="31"/>
      <c r="B141" s="31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2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>
      <c r="A142" s="31"/>
      <c r="B142" s="31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2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>
      <c r="A143" s="31"/>
      <c r="B143" s="31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2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>
      <c r="A144" s="31"/>
      <c r="B144" s="31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2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>
      <c r="A145" s="31"/>
      <c r="B145" s="31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2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>
      <c r="A146" s="31"/>
      <c r="B146" s="31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2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>
      <c r="A147" s="31"/>
      <c r="B147" s="31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2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>
      <c r="A148" s="31"/>
      <c r="B148" s="31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2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</row>
    <row r="149" spans="1:33" ht="15.75" customHeight="1">
      <c r="A149" s="14"/>
      <c r="B149" s="14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>
      <c r="A150" s="14"/>
      <c r="B150" s="14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>
      <c r="A151" s="14"/>
      <c r="B151" s="14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>
      <c r="A152" s="14"/>
      <c r="B152" s="14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>
      <c r="A153" s="14"/>
      <c r="B153" s="14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>
      <c r="A154" s="14"/>
      <c r="B154" s="14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>
      <c r="A155" s="14"/>
      <c r="B155" s="14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>
      <c r="A156" s="14"/>
      <c r="B156" s="14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>
      <c r="A157" s="14"/>
      <c r="B157" s="14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>
      <c r="A158" s="14"/>
      <c r="B158" s="14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>
      <c r="A159" s="14"/>
      <c r="B159" s="14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>
      <c r="A160" s="14"/>
      <c r="B160" s="14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>
      <c r="A161" s="14"/>
      <c r="B161" s="14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>
      <c r="A162" s="14"/>
      <c r="B162" s="14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>
      <c r="A163" s="14"/>
      <c r="B163" s="14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>
      <c r="A164" s="14"/>
      <c r="B164" s="14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>
      <c r="A165" s="14"/>
      <c r="B165" s="14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>
      <c r="A166" s="14"/>
      <c r="B166" s="14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>
      <c r="A167" s="14"/>
      <c r="B167" s="14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>
      <c r="A168" s="14"/>
      <c r="B168" s="14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>
      <c r="A169" s="14"/>
      <c r="B169" s="14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>
      <c r="A170" s="14"/>
      <c r="B170" s="14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>
      <c r="A171" s="14"/>
      <c r="B171" s="14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>
      <c r="A172" s="14"/>
      <c r="B172" s="14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>
      <c r="A173" s="14"/>
      <c r="B173" s="14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>
      <c r="A174" s="14"/>
      <c r="B174" s="14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>
      <c r="A175" s="14"/>
      <c r="B175" s="14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>
      <c r="A176" s="14"/>
      <c r="B176" s="14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>
      <c r="A177" s="14"/>
      <c r="B177" s="14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>
      <c r="A178" s="14"/>
      <c r="B178" s="14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>
      <c r="A179" s="14"/>
      <c r="B179" s="14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>
      <c r="A180" s="14"/>
      <c r="B180" s="14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>
      <c r="A181" s="14"/>
      <c r="B181" s="14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>
      <c r="A182" s="14"/>
      <c r="B182" s="14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>
      <c r="A183" s="14"/>
      <c r="B183" s="14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>
      <c r="A184" s="14"/>
      <c r="B184" s="14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>
      <c r="A185" s="14"/>
      <c r="B185" s="14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>
      <c r="A186" s="14"/>
      <c r="B186" s="14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>
      <c r="A187" s="14"/>
      <c r="B187" s="14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>
      <c r="A188" s="14"/>
      <c r="B188" s="14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>
      <c r="A189" s="14"/>
      <c r="B189" s="14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>
      <c r="A190" s="14"/>
      <c r="B190" s="14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>
      <c r="A191" s="14"/>
      <c r="B191" s="14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>
      <c r="A192" s="14"/>
      <c r="B192" s="14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>
      <c r="A193" s="14"/>
      <c r="B193" s="14"/>
      <c r="C193" s="39"/>
      <c r="D193" s="39"/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>
      <c r="A194" s="14"/>
      <c r="B194" s="14"/>
      <c r="C194" s="39"/>
      <c r="D194" s="39"/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>
      <c r="A195" s="14"/>
      <c r="B195" s="14"/>
      <c r="C195" s="39"/>
      <c r="D195" s="39"/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>
      <c r="A196" s="14"/>
      <c r="B196" s="14"/>
      <c r="C196" s="39"/>
      <c r="D196" s="39"/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>
      <c r="A197" s="14"/>
      <c r="B197" s="14"/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>
      <c r="A198" s="14"/>
      <c r="B198" s="14"/>
      <c r="C198" s="39"/>
      <c r="D198" s="39"/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>
      <c r="A199" s="14"/>
      <c r="B199" s="14"/>
      <c r="C199" s="39"/>
      <c r="D199" s="39"/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>
      <c r="A200" s="14"/>
      <c r="B200" s="14"/>
      <c r="C200" s="39"/>
      <c r="D200" s="39"/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>
      <c r="A201" s="14"/>
      <c r="B201" s="14"/>
      <c r="C201" s="39"/>
      <c r="D201" s="39"/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>
      <c r="A202" s="14"/>
      <c r="B202" s="14"/>
      <c r="C202" s="39"/>
      <c r="D202" s="39"/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>
      <c r="A203" s="14"/>
      <c r="B203" s="14"/>
      <c r="C203" s="39"/>
      <c r="D203" s="39"/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>
      <c r="A204" s="14"/>
      <c r="B204" s="14"/>
      <c r="C204" s="39"/>
      <c r="D204" s="39"/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>
      <c r="A205" s="14"/>
      <c r="B205" s="14"/>
      <c r="C205" s="39"/>
      <c r="D205" s="39"/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>
      <c r="A206" s="14"/>
      <c r="B206" s="14"/>
      <c r="C206" s="39"/>
      <c r="D206" s="39"/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>
      <c r="A207" s="14"/>
      <c r="B207" s="14"/>
      <c r="C207" s="39"/>
      <c r="D207" s="39"/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>
      <c r="A208" s="14"/>
      <c r="B208" s="14"/>
      <c r="C208" s="39"/>
      <c r="D208" s="39"/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>
      <c r="A209" s="14"/>
      <c r="B209" s="14"/>
      <c r="C209" s="39"/>
      <c r="D209" s="39"/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>
      <c r="A210" s="14"/>
      <c r="B210" s="14"/>
      <c r="C210" s="39"/>
      <c r="D210" s="39"/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>
      <c r="A211" s="14"/>
      <c r="B211" s="14"/>
      <c r="C211" s="39"/>
      <c r="D211" s="39"/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>
      <c r="A212" s="14"/>
      <c r="B212" s="14"/>
      <c r="C212" s="39"/>
      <c r="D212" s="39"/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>
      <c r="A213" s="14"/>
      <c r="B213" s="14"/>
      <c r="C213" s="39"/>
      <c r="D213" s="39"/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>
      <c r="A214" s="14"/>
      <c r="B214" s="14"/>
      <c r="C214" s="39"/>
      <c r="D214" s="39"/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>
      <c r="A215" s="14"/>
      <c r="B215" s="14"/>
      <c r="C215" s="39"/>
      <c r="D215" s="39"/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>
      <c r="A216" s="14"/>
      <c r="B216" s="14"/>
      <c r="C216" s="39"/>
      <c r="D216" s="39"/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>
      <c r="A217" s="14"/>
      <c r="B217" s="14"/>
      <c r="C217" s="39"/>
      <c r="D217" s="39"/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>
      <c r="A218" s="14"/>
      <c r="B218" s="14"/>
      <c r="C218" s="39"/>
      <c r="D218" s="39"/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>
      <c r="A219" s="14"/>
      <c r="B219" s="14"/>
      <c r="C219" s="39"/>
      <c r="D219" s="39"/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>
      <c r="A220" s="14"/>
      <c r="B220" s="14"/>
      <c r="C220" s="39"/>
      <c r="D220" s="39"/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>
      <c r="R221" s="30"/>
      <c r="S221" s="40"/>
    </row>
    <row r="222" spans="1:33" ht="15.75" customHeight="1">
      <c r="R222" s="30"/>
      <c r="S222" s="40"/>
    </row>
    <row r="223" spans="1:33" ht="15.75" customHeight="1">
      <c r="R223" s="30"/>
      <c r="S223" s="40"/>
    </row>
    <row r="224" spans="1:33" ht="15.75" customHeight="1">
      <c r="R224" s="30"/>
      <c r="S224" s="40"/>
    </row>
    <row r="225" spans="18:18" ht="15.75" customHeight="1">
      <c r="R225" s="30"/>
    </row>
    <row r="226" spans="18:18" ht="15.75" customHeight="1">
      <c r="R226" s="30"/>
    </row>
    <row r="227" spans="18:18" ht="15.75" customHeight="1">
      <c r="R227" s="30"/>
    </row>
    <row r="228" spans="18:18" ht="15.75" customHeight="1">
      <c r="R228" s="30"/>
    </row>
    <row r="229" spans="18:18" ht="15.75" customHeight="1">
      <c r="R229" s="30"/>
    </row>
    <row r="230" spans="18:18" ht="15.75" customHeight="1">
      <c r="R230" s="30"/>
    </row>
    <row r="231" spans="18:18" ht="15.75" customHeight="1">
      <c r="R231" s="30"/>
    </row>
    <row r="232" spans="18:18" ht="15.75" customHeight="1">
      <c r="R232" s="30"/>
    </row>
    <row r="233" spans="18:18" ht="15.75" customHeight="1">
      <c r="R233" s="30"/>
    </row>
    <row r="234" spans="18:18" ht="15.75" customHeight="1">
      <c r="R234" s="30"/>
    </row>
    <row r="235" spans="18:18" ht="15.75" customHeight="1">
      <c r="R235" s="30"/>
    </row>
    <row r="236" spans="18:18" ht="15.75" customHeight="1">
      <c r="R236" s="30"/>
    </row>
    <row r="237" spans="18:18" ht="15.75" customHeight="1">
      <c r="R237" s="30"/>
    </row>
    <row r="238" spans="18:18" ht="15.75" customHeight="1">
      <c r="R238" s="30"/>
    </row>
    <row r="239" spans="18:18" ht="15.75" customHeight="1">
      <c r="R239" s="30"/>
    </row>
    <row r="240" spans="18:18" ht="15.75" customHeight="1">
      <c r="R240" s="30"/>
    </row>
    <row r="241" spans="18:18" ht="15.75" customHeight="1">
      <c r="R241" s="30"/>
    </row>
    <row r="242" spans="18:18" ht="15.75" customHeight="1">
      <c r="R242" s="30"/>
    </row>
    <row r="243" spans="18:18" ht="15.75" customHeight="1">
      <c r="R243" s="30"/>
    </row>
    <row r="244" spans="18:18" ht="15.75" customHeight="1">
      <c r="R244" s="30"/>
    </row>
    <row r="245" spans="18:18" ht="15.75" customHeight="1">
      <c r="R245" s="30"/>
    </row>
    <row r="246" spans="18:18" ht="15.75" customHeight="1">
      <c r="R246" s="30"/>
    </row>
    <row r="247" spans="18:18" ht="15.75" customHeight="1">
      <c r="R247" s="30"/>
    </row>
    <row r="248" spans="18:18" ht="15.75" customHeight="1">
      <c r="R248" s="30"/>
    </row>
    <row r="249" spans="18:18" ht="15.75" customHeight="1">
      <c r="R249" s="30"/>
    </row>
    <row r="250" spans="18:18" ht="15.75" customHeight="1">
      <c r="R250" s="30"/>
    </row>
    <row r="251" spans="18:18" ht="15.75" customHeight="1">
      <c r="R251" s="30"/>
    </row>
    <row r="252" spans="18:18" ht="15.75" customHeight="1">
      <c r="R252" s="30"/>
    </row>
    <row r="253" spans="18:18" ht="15.75" customHeight="1">
      <c r="R253" s="30"/>
    </row>
    <row r="254" spans="18:18" ht="15.75" customHeight="1">
      <c r="R254" s="30"/>
    </row>
    <row r="255" spans="18:18" ht="15.75" customHeight="1">
      <c r="R255" s="30"/>
    </row>
    <row r="256" spans="18:18" ht="15.75" customHeight="1">
      <c r="R256" s="30"/>
    </row>
    <row r="257" spans="18:18" ht="15.75" customHeight="1">
      <c r="R257" s="30"/>
    </row>
    <row r="258" spans="18:18" ht="15.75" customHeight="1">
      <c r="R258" s="30"/>
    </row>
    <row r="259" spans="18:18" ht="15.75" customHeight="1">
      <c r="R259" s="30"/>
    </row>
    <row r="260" spans="18:18" ht="15.75" customHeight="1">
      <c r="R260" s="30"/>
    </row>
    <row r="261" spans="18:18" ht="15.75" customHeight="1">
      <c r="R261" s="30"/>
    </row>
    <row r="262" spans="18:18" ht="15.75" customHeight="1">
      <c r="R262" s="30"/>
    </row>
    <row r="263" spans="18:18" ht="15.75" customHeight="1">
      <c r="R263" s="30"/>
    </row>
    <row r="264" spans="18:18" ht="15.75" customHeight="1">
      <c r="R264" s="30"/>
    </row>
    <row r="265" spans="18:18" ht="15.75" customHeight="1">
      <c r="R265" s="30"/>
    </row>
    <row r="266" spans="18:18" ht="15.75" customHeight="1">
      <c r="R266" s="30"/>
    </row>
    <row r="267" spans="18:18" ht="15.75" customHeight="1">
      <c r="R267" s="30"/>
    </row>
    <row r="268" spans="18:18" ht="15.75" customHeight="1">
      <c r="R268" s="30"/>
    </row>
    <row r="269" spans="18:18" ht="15.75" customHeight="1">
      <c r="R269" s="30"/>
    </row>
    <row r="270" spans="18:18" ht="15.75" customHeight="1">
      <c r="R270" s="30"/>
    </row>
    <row r="271" spans="18:18" ht="15.75" customHeight="1">
      <c r="R271" s="30"/>
    </row>
    <row r="272" spans="18:18" ht="15.75" customHeight="1">
      <c r="R272" s="30"/>
    </row>
    <row r="273" spans="18:18" ht="15.75" customHeight="1">
      <c r="R273" s="30"/>
    </row>
    <row r="274" spans="18:18" ht="15.75" customHeight="1">
      <c r="R274" s="30"/>
    </row>
    <row r="275" spans="18:18" ht="15.75" customHeight="1">
      <c r="R275" s="30"/>
    </row>
    <row r="276" spans="18:18" ht="15.75" customHeight="1">
      <c r="R276" s="30"/>
    </row>
    <row r="277" spans="18:18" ht="15.75" customHeight="1">
      <c r="R277" s="30"/>
    </row>
    <row r="278" spans="18:18" ht="15.75" customHeight="1">
      <c r="R278" s="30"/>
    </row>
    <row r="279" spans="18:18" ht="15.75" customHeight="1">
      <c r="R279" s="30"/>
    </row>
    <row r="280" spans="18:18" ht="15.75" customHeight="1">
      <c r="R280" s="30"/>
    </row>
    <row r="281" spans="18:18" ht="15.75" customHeight="1">
      <c r="R281" s="30"/>
    </row>
    <row r="282" spans="18:18" ht="15.75" customHeight="1">
      <c r="R282" s="30"/>
    </row>
    <row r="283" spans="18:18" ht="15.75" customHeight="1">
      <c r="R283" s="30"/>
    </row>
    <row r="284" spans="18:18" ht="15.75" customHeight="1">
      <c r="R284" s="30"/>
    </row>
    <row r="285" spans="18:18" ht="15.75" customHeight="1">
      <c r="R285" s="30"/>
    </row>
    <row r="286" spans="18:18" ht="15.75" customHeight="1">
      <c r="R286" s="30"/>
    </row>
    <row r="287" spans="18:18" ht="15.75" customHeight="1">
      <c r="R287" s="30"/>
    </row>
    <row r="288" spans="18:18" ht="15.75" customHeight="1">
      <c r="R288" s="30"/>
    </row>
    <row r="289" spans="18:18" ht="15.75" customHeight="1">
      <c r="R289" s="30"/>
    </row>
    <row r="290" spans="18:18" ht="15.75" customHeight="1">
      <c r="R290" s="30"/>
    </row>
    <row r="291" spans="18:18" ht="15.75" customHeight="1">
      <c r="R291" s="30"/>
    </row>
    <row r="292" spans="18:18" ht="15.75" customHeight="1">
      <c r="R292" s="30"/>
    </row>
    <row r="293" spans="18:18" ht="15.75" customHeight="1">
      <c r="R293" s="30"/>
    </row>
    <row r="294" spans="18:18" ht="15.75" customHeight="1">
      <c r="R294" s="30"/>
    </row>
    <row r="295" spans="18:18" ht="15.75" customHeight="1">
      <c r="R295" s="30"/>
    </row>
    <row r="296" spans="18:18" ht="15.75" customHeight="1">
      <c r="R296" s="30"/>
    </row>
    <row r="297" spans="18:18" ht="15.75" customHeight="1">
      <c r="R297" s="30"/>
    </row>
    <row r="298" spans="18:18" ht="15.75" customHeight="1">
      <c r="R298" s="30"/>
    </row>
    <row r="299" spans="18:18" ht="15.75" customHeight="1">
      <c r="R299" s="30"/>
    </row>
    <row r="300" spans="18:18" ht="15.75" customHeight="1">
      <c r="R300" s="30"/>
    </row>
    <row r="301" spans="18:18" ht="15.75" customHeight="1">
      <c r="R301" s="30"/>
    </row>
    <row r="302" spans="18:18" ht="15.75" customHeight="1">
      <c r="R302" s="30"/>
    </row>
    <row r="303" spans="18:18" ht="15.75" customHeight="1">
      <c r="R303" s="30"/>
    </row>
    <row r="304" spans="18:18" ht="15.75" customHeight="1">
      <c r="R304" s="30"/>
    </row>
    <row r="305" spans="18:18" ht="15.75" customHeight="1">
      <c r="R305" s="30"/>
    </row>
    <row r="306" spans="18:18" ht="15.75" customHeight="1">
      <c r="R306" s="30"/>
    </row>
    <row r="307" spans="18:18" ht="15.75" customHeight="1">
      <c r="R307" s="30"/>
    </row>
    <row r="308" spans="18:18" ht="15.75" customHeight="1">
      <c r="R308" s="30"/>
    </row>
    <row r="309" spans="18:18" ht="15.75" customHeight="1">
      <c r="R309" s="30"/>
    </row>
    <row r="310" spans="18:18" ht="15.75" customHeight="1">
      <c r="R310" s="30"/>
    </row>
    <row r="311" spans="18:18" ht="15.75" customHeight="1">
      <c r="R311" s="30"/>
    </row>
    <row r="312" spans="18:18" ht="15.75" customHeight="1">
      <c r="R312" s="30"/>
    </row>
    <row r="313" spans="18:18" ht="15.75" customHeight="1">
      <c r="R313" s="30"/>
    </row>
    <row r="314" spans="18:18" ht="15.75" customHeight="1">
      <c r="R314" s="30"/>
    </row>
    <row r="315" spans="18:18" ht="15.75" customHeight="1">
      <c r="R315" s="30"/>
    </row>
    <row r="316" spans="18:18" ht="15.75" customHeight="1">
      <c r="R316" s="30"/>
    </row>
    <row r="317" spans="18:18" ht="15.75" customHeight="1">
      <c r="R317" s="30"/>
    </row>
    <row r="318" spans="18:18" ht="15.75" customHeight="1">
      <c r="R318" s="30"/>
    </row>
    <row r="319" spans="18:18" ht="15.75" customHeight="1">
      <c r="R319" s="30"/>
    </row>
    <row r="320" spans="18:18" ht="15.75" customHeight="1">
      <c r="R320" s="30"/>
    </row>
    <row r="321" spans="18:18" ht="15.75" customHeight="1">
      <c r="R321" s="30"/>
    </row>
    <row r="322" spans="18:18" ht="15.75" customHeight="1">
      <c r="R322" s="30"/>
    </row>
    <row r="323" spans="18:18" ht="15.75" customHeight="1">
      <c r="R323" s="30"/>
    </row>
    <row r="324" spans="18:18" ht="15.75" customHeight="1">
      <c r="R324" s="30"/>
    </row>
    <row r="325" spans="18:18" ht="15.75" customHeight="1">
      <c r="R325" s="30"/>
    </row>
    <row r="326" spans="18:18" ht="15.75" customHeight="1">
      <c r="R326" s="30"/>
    </row>
    <row r="327" spans="18:18" ht="15.75" customHeight="1">
      <c r="R327" s="30"/>
    </row>
    <row r="328" spans="18:18" ht="15.75" customHeight="1">
      <c r="R328" s="30"/>
    </row>
    <row r="329" spans="18:18" ht="15.75" customHeight="1">
      <c r="R329" s="30"/>
    </row>
    <row r="330" spans="18:18" ht="15.75" customHeight="1">
      <c r="R330" s="30"/>
    </row>
    <row r="331" spans="18:18" ht="15.75" customHeight="1">
      <c r="R331" s="30"/>
    </row>
    <row r="332" spans="18:18" ht="15.75" customHeight="1">
      <c r="R332" s="30"/>
    </row>
    <row r="333" spans="18:18" ht="15.75" customHeight="1">
      <c r="R333" s="30"/>
    </row>
    <row r="334" spans="18:18" ht="15.75" customHeight="1">
      <c r="R334" s="30"/>
    </row>
    <row r="335" spans="18:18" ht="15.75" customHeight="1">
      <c r="R335" s="30"/>
    </row>
    <row r="336" spans="18:18" ht="15.75" customHeight="1">
      <c r="R336" s="30"/>
    </row>
    <row r="337" spans="18:18" ht="15.75" customHeight="1">
      <c r="R337" s="30"/>
    </row>
    <row r="338" spans="18:18" ht="15.75" customHeight="1">
      <c r="R338" s="30"/>
    </row>
    <row r="339" spans="18:18" ht="15.75" customHeight="1">
      <c r="R339" s="30"/>
    </row>
    <row r="340" spans="18:18" ht="15.75" customHeight="1">
      <c r="R340" s="30"/>
    </row>
    <row r="341" spans="18:18" ht="15.75" customHeight="1">
      <c r="R341" s="30"/>
    </row>
    <row r="342" spans="18:18" ht="15.75" customHeight="1">
      <c r="R342" s="30"/>
    </row>
    <row r="343" spans="18:18" ht="15.75" customHeight="1">
      <c r="R343" s="30"/>
    </row>
    <row r="344" spans="18:18" ht="15.75" customHeight="1">
      <c r="R344" s="30"/>
    </row>
    <row r="345" spans="18:18" ht="15.75" customHeight="1">
      <c r="R345" s="30"/>
    </row>
    <row r="346" spans="18:18" ht="15.75" customHeight="1">
      <c r="R346" s="30"/>
    </row>
    <row r="347" spans="18:18" ht="15.75" customHeight="1">
      <c r="R347" s="30"/>
    </row>
    <row r="348" spans="18:18" ht="15.75" customHeight="1">
      <c r="R348" s="30"/>
    </row>
    <row r="349" spans="18:18" ht="15.75" customHeight="1">
      <c r="R349" s="30"/>
    </row>
    <row r="350" spans="18:18" ht="15.75" customHeight="1">
      <c r="R350" s="30"/>
    </row>
    <row r="351" spans="18:18" ht="15.75" customHeight="1">
      <c r="R351" s="30"/>
    </row>
    <row r="352" spans="18:18" ht="15.75" customHeight="1">
      <c r="R352" s="30"/>
    </row>
    <row r="353" spans="18:18" ht="15.75" customHeight="1">
      <c r="R353" s="30"/>
    </row>
    <row r="354" spans="18:18" ht="15.75" customHeight="1">
      <c r="R354" s="30"/>
    </row>
    <row r="355" spans="18:18" ht="15.75" customHeight="1">
      <c r="R355" s="30"/>
    </row>
    <row r="356" spans="18:18" ht="15.75" customHeight="1">
      <c r="R356" s="30"/>
    </row>
    <row r="357" spans="18:18" ht="15.75" customHeight="1">
      <c r="R357" s="30"/>
    </row>
    <row r="358" spans="18:18" ht="15.75" customHeight="1">
      <c r="R358" s="30"/>
    </row>
    <row r="359" spans="18:18" ht="15.75" customHeight="1">
      <c r="R359" s="30"/>
    </row>
    <row r="360" spans="18:18" ht="15.75" customHeight="1">
      <c r="R360" s="30"/>
    </row>
    <row r="361" spans="18:18" ht="15.75" customHeight="1">
      <c r="R361" s="30"/>
    </row>
    <row r="362" spans="18:18" ht="15.75" customHeight="1">
      <c r="R362" s="30"/>
    </row>
    <row r="363" spans="18:18" ht="15.75" customHeight="1">
      <c r="R363" s="30"/>
    </row>
    <row r="364" spans="18:18" ht="15.75" customHeight="1">
      <c r="R364" s="30"/>
    </row>
    <row r="365" spans="18:18" ht="15.75" customHeight="1">
      <c r="R365" s="30"/>
    </row>
    <row r="366" spans="18:18" ht="15.75" customHeight="1">
      <c r="R366" s="30"/>
    </row>
    <row r="367" spans="18:18" ht="15.75" customHeight="1">
      <c r="R367" s="30"/>
    </row>
    <row r="368" spans="18:18" ht="15.75" customHeight="1">
      <c r="R368" s="30"/>
    </row>
    <row r="369" spans="18:18" ht="15.75" customHeight="1">
      <c r="R369" s="30"/>
    </row>
    <row r="370" spans="18:18" ht="15.75" customHeight="1">
      <c r="R370" s="30"/>
    </row>
    <row r="371" spans="18:18" ht="15.75" customHeight="1">
      <c r="R371" s="30"/>
    </row>
    <row r="372" spans="18:18" ht="15.75" customHeight="1">
      <c r="R372" s="30"/>
    </row>
    <row r="373" spans="18:18" ht="15.75" customHeight="1">
      <c r="R373" s="30"/>
    </row>
    <row r="374" spans="18:18" ht="15.75" customHeight="1">
      <c r="R374" s="30"/>
    </row>
    <row r="375" spans="18:18" ht="15.75" customHeight="1">
      <c r="R375" s="30"/>
    </row>
    <row r="376" spans="18:18" ht="15.75" customHeight="1">
      <c r="R376" s="30"/>
    </row>
    <row r="377" spans="18:18" ht="15.75" customHeight="1">
      <c r="R377" s="30"/>
    </row>
    <row r="378" spans="18:18" ht="15.75" customHeight="1">
      <c r="R378" s="30"/>
    </row>
    <row r="379" spans="18:18" ht="15.75" customHeight="1">
      <c r="R379" s="30"/>
    </row>
    <row r="380" spans="18:18" ht="15.75" customHeight="1">
      <c r="R380" s="30"/>
    </row>
    <row r="381" spans="18:18" ht="15.75" customHeight="1">
      <c r="R381" s="30"/>
    </row>
    <row r="382" spans="18:18" ht="15.75" customHeight="1">
      <c r="R382" s="30"/>
    </row>
    <row r="383" spans="18:18" ht="15.75" customHeight="1">
      <c r="R383" s="30"/>
    </row>
    <row r="384" spans="18:18" ht="15.75" customHeight="1">
      <c r="R384" s="30"/>
    </row>
    <row r="385" spans="18:18" ht="15.75" customHeight="1">
      <c r="R385" s="30"/>
    </row>
    <row r="386" spans="18:18" ht="15.75" customHeight="1">
      <c r="R386" s="30"/>
    </row>
    <row r="387" spans="18:18" ht="15.75" customHeight="1">
      <c r="R387" s="30"/>
    </row>
    <row r="388" spans="18:18" ht="15.75" customHeight="1">
      <c r="R388" s="30"/>
    </row>
    <row r="389" spans="18:18" ht="15.75" customHeight="1">
      <c r="R389" s="30"/>
    </row>
    <row r="390" spans="18:18" ht="15.75" customHeight="1">
      <c r="R390" s="30"/>
    </row>
    <row r="391" spans="18:18" ht="15.75" customHeight="1">
      <c r="R391" s="30"/>
    </row>
    <row r="392" spans="18:18" ht="15.75" customHeight="1">
      <c r="R392" s="30"/>
    </row>
    <row r="393" spans="18:18" ht="15.75" customHeight="1">
      <c r="R393" s="30"/>
    </row>
    <row r="394" spans="18:18" ht="15.75" customHeight="1">
      <c r="R394" s="30"/>
    </row>
    <row r="395" spans="18:18" ht="15.75" customHeight="1">
      <c r="R395" s="30"/>
    </row>
    <row r="396" spans="18:18" ht="15.75" customHeight="1">
      <c r="R396" s="30"/>
    </row>
    <row r="397" spans="18:18" ht="15.75" customHeight="1">
      <c r="R397" s="30"/>
    </row>
    <row r="398" spans="18:18" ht="15.75" customHeight="1">
      <c r="R398" s="30"/>
    </row>
    <row r="399" spans="18:18" ht="15.75" customHeight="1">
      <c r="R399" s="30"/>
    </row>
    <row r="400" spans="18:18" ht="15.75" customHeight="1">
      <c r="R400" s="30"/>
    </row>
    <row r="401" spans="18:18" ht="15.75" customHeight="1">
      <c r="R401" s="30"/>
    </row>
    <row r="402" spans="18:18" ht="15.75" customHeight="1">
      <c r="R402" s="30"/>
    </row>
    <row r="403" spans="18:18" ht="15.75" customHeight="1">
      <c r="R403" s="30"/>
    </row>
    <row r="404" spans="18:18" ht="15.75" customHeight="1">
      <c r="R404" s="30"/>
    </row>
    <row r="405" spans="18:18" ht="15.75" customHeight="1">
      <c r="R405" s="30"/>
    </row>
    <row r="406" spans="18:18" ht="15.75" customHeight="1">
      <c r="R406" s="30"/>
    </row>
    <row r="407" spans="18:18" ht="15.75" customHeight="1">
      <c r="R407" s="30"/>
    </row>
    <row r="408" spans="18:18" ht="15.75" customHeight="1">
      <c r="R408" s="30"/>
    </row>
    <row r="409" spans="18:18" ht="15.75" customHeight="1">
      <c r="R409" s="30"/>
    </row>
    <row r="410" spans="18:18" ht="15.75" customHeight="1">
      <c r="R410" s="30"/>
    </row>
    <row r="411" spans="18:18" ht="15.75" customHeight="1">
      <c r="R411" s="30"/>
    </row>
    <row r="412" spans="18:18" ht="15.75" customHeight="1">
      <c r="R412" s="30"/>
    </row>
    <row r="413" spans="18:18" ht="15.75" customHeight="1">
      <c r="R413" s="30"/>
    </row>
    <row r="414" spans="18:18" ht="15.75" customHeight="1">
      <c r="R414" s="30"/>
    </row>
    <row r="415" spans="18:18" ht="15.75" customHeight="1">
      <c r="R415" s="30"/>
    </row>
    <row r="416" spans="18:18" ht="15.75" customHeight="1">
      <c r="R416" s="30"/>
    </row>
    <row r="417" spans="18:18" ht="15.75" customHeight="1">
      <c r="R417" s="30"/>
    </row>
    <row r="418" spans="18:18" ht="15.75" customHeight="1">
      <c r="R418" s="30"/>
    </row>
    <row r="419" spans="18:18" ht="15.75" customHeight="1">
      <c r="R419" s="30"/>
    </row>
    <row r="420" spans="18:18" ht="15.75" customHeight="1">
      <c r="R420" s="30"/>
    </row>
    <row r="421" spans="18:18" ht="15.75" customHeight="1">
      <c r="R421" s="30"/>
    </row>
    <row r="422" spans="18:18" ht="15.75" customHeight="1">
      <c r="R422" s="30"/>
    </row>
    <row r="423" spans="18:18" ht="15.75" customHeight="1">
      <c r="R423" s="30"/>
    </row>
    <row r="424" spans="18:18" ht="15.75" customHeight="1">
      <c r="R424" s="30"/>
    </row>
    <row r="425" spans="18:18" ht="15.75" customHeight="1">
      <c r="R425" s="30"/>
    </row>
    <row r="426" spans="18:18" ht="15.75" customHeight="1">
      <c r="R426" s="30"/>
    </row>
    <row r="427" spans="18:18" ht="15.75" customHeight="1">
      <c r="R427" s="30"/>
    </row>
    <row r="428" spans="18:18" ht="15.75" customHeight="1">
      <c r="R428" s="30"/>
    </row>
    <row r="429" spans="18:18" ht="15.75" customHeight="1">
      <c r="R429" s="30"/>
    </row>
    <row r="430" spans="18:18" ht="15.75" customHeight="1">
      <c r="R430" s="30"/>
    </row>
    <row r="431" spans="18:18" ht="15.75" customHeight="1">
      <c r="R431" s="30"/>
    </row>
    <row r="432" spans="18:18" ht="15.75" customHeight="1">
      <c r="R432" s="30"/>
    </row>
    <row r="433" spans="18:18" ht="15.75" customHeight="1">
      <c r="R433" s="30"/>
    </row>
    <row r="434" spans="18:18" ht="15.75" customHeight="1">
      <c r="R434" s="30"/>
    </row>
    <row r="435" spans="18:18" ht="15.75" customHeight="1">
      <c r="R435" s="30"/>
    </row>
    <row r="436" spans="18:18" ht="15.75" customHeight="1">
      <c r="R436" s="30"/>
    </row>
    <row r="437" spans="18:18" ht="15.75" customHeight="1">
      <c r="R437" s="30"/>
    </row>
    <row r="438" spans="18:18" ht="15.75" customHeight="1">
      <c r="R438" s="30"/>
    </row>
    <row r="439" spans="18:18" ht="15.75" customHeight="1">
      <c r="R439" s="30"/>
    </row>
    <row r="440" spans="18:18" ht="15.75" customHeight="1">
      <c r="R440" s="30"/>
    </row>
    <row r="441" spans="18:18" ht="15.75" customHeight="1">
      <c r="R441" s="30"/>
    </row>
    <row r="442" spans="18:18" ht="15.75" customHeight="1">
      <c r="R442" s="30"/>
    </row>
    <row r="443" spans="18:18" ht="15.75" customHeight="1">
      <c r="R443" s="30"/>
    </row>
    <row r="444" spans="18:18" ht="15.75" customHeight="1">
      <c r="R444" s="30"/>
    </row>
    <row r="445" spans="18:18" ht="15.75" customHeight="1">
      <c r="R445" s="30"/>
    </row>
    <row r="446" spans="18:18" ht="15.75" customHeight="1">
      <c r="R446" s="30"/>
    </row>
    <row r="447" spans="18:18" ht="15.75" customHeight="1">
      <c r="R447" s="30"/>
    </row>
    <row r="448" spans="18:18" ht="15.75" customHeight="1">
      <c r="R448" s="30"/>
    </row>
    <row r="449" spans="18:18" ht="15.75" customHeight="1">
      <c r="R449" s="30"/>
    </row>
    <row r="450" spans="18:18" ht="15.75" customHeight="1">
      <c r="R450" s="30"/>
    </row>
    <row r="451" spans="18:18" ht="15.75" customHeight="1">
      <c r="R451" s="30"/>
    </row>
    <row r="452" spans="18:18" ht="15.75" customHeight="1">
      <c r="R452" s="30"/>
    </row>
    <row r="453" spans="18:18" ht="15.75" customHeight="1">
      <c r="R453" s="30"/>
    </row>
    <row r="454" spans="18:18" ht="15.75" customHeight="1">
      <c r="R454" s="30"/>
    </row>
    <row r="455" spans="18:18" ht="15.75" customHeight="1">
      <c r="R455" s="30"/>
    </row>
    <row r="456" spans="18:18" ht="15.75" customHeight="1">
      <c r="R456" s="30"/>
    </row>
    <row r="457" spans="18:18" ht="15.75" customHeight="1">
      <c r="R457" s="30"/>
    </row>
    <row r="458" spans="18:18" ht="15.75" customHeight="1">
      <c r="R458" s="30"/>
    </row>
    <row r="459" spans="18:18" ht="15.75" customHeight="1">
      <c r="R459" s="30"/>
    </row>
    <row r="460" spans="18:18" ht="15.75" customHeight="1">
      <c r="R460" s="30"/>
    </row>
    <row r="461" spans="18:18" ht="15.75" customHeight="1">
      <c r="R461" s="30"/>
    </row>
    <row r="462" spans="18:18" ht="15.75" customHeight="1">
      <c r="R462" s="30"/>
    </row>
    <row r="463" spans="18:18" ht="15.75" customHeight="1">
      <c r="R463" s="30"/>
    </row>
    <row r="464" spans="18:18" ht="15.75" customHeight="1">
      <c r="R464" s="30"/>
    </row>
    <row r="465" spans="18:18" ht="15.75" customHeight="1">
      <c r="R465" s="30"/>
    </row>
    <row r="466" spans="18:18" ht="15.75" customHeight="1">
      <c r="R466" s="30"/>
    </row>
    <row r="467" spans="18:18" ht="15.75" customHeight="1">
      <c r="R467" s="30"/>
    </row>
    <row r="468" spans="18:18" ht="15.75" customHeight="1">
      <c r="R468" s="30"/>
    </row>
    <row r="469" spans="18:18" ht="15.75" customHeight="1">
      <c r="R469" s="30"/>
    </row>
    <row r="470" spans="18:18" ht="15.75" customHeight="1">
      <c r="R470" s="30"/>
    </row>
    <row r="471" spans="18:18" ht="15.75" customHeight="1">
      <c r="R471" s="30"/>
    </row>
    <row r="472" spans="18:18" ht="15.75" customHeight="1">
      <c r="R472" s="30"/>
    </row>
    <row r="473" spans="18:18" ht="15.75" customHeight="1">
      <c r="R473" s="30"/>
    </row>
    <row r="474" spans="18:18" ht="15.75" customHeight="1">
      <c r="R474" s="30"/>
    </row>
    <row r="475" spans="18:18" ht="15.75" customHeight="1">
      <c r="R475" s="30"/>
    </row>
    <row r="476" spans="18:18" ht="15.75" customHeight="1">
      <c r="R476" s="30"/>
    </row>
    <row r="477" spans="18:18" ht="15.75" customHeight="1">
      <c r="R477" s="30"/>
    </row>
    <row r="478" spans="18:18" ht="15.75" customHeight="1">
      <c r="R478" s="30"/>
    </row>
    <row r="479" spans="18:18" ht="15.75" customHeight="1">
      <c r="R479" s="30"/>
    </row>
    <row r="480" spans="18:18" ht="15.75" customHeight="1">
      <c r="R480" s="30"/>
    </row>
    <row r="481" spans="18:18" ht="15.75" customHeight="1">
      <c r="R481" s="30"/>
    </row>
    <row r="482" spans="18:18" ht="15.75" customHeight="1">
      <c r="R482" s="30"/>
    </row>
    <row r="483" spans="18:18" ht="15.75" customHeight="1">
      <c r="R483" s="30"/>
    </row>
    <row r="484" spans="18:18" ht="15.75" customHeight="1">
      <c r="R484" s="30"/>
    </row>
    <row r="485" spans="18:18" ht="15.75" customHeight="1">
      <c r="R485" s="30"/>
    </row>
    <row r="486" spans="18:18" ht="15.75" customHeight="1">
      <c r="R486" s="30"/>
    </row>
    <row r="487" spans="18:18" ht="15.75" customHeight="1">
      <c r="R487" s="30"/>
    </row>
    <row r="488" spans="18:18" ht="15.75" customHeight="1">
      <c r="R488" s="30"/>
    </row>
    <row r="489" spans="18:18" ht="15.75" customHeight="1">
      <c r="R489" s="30"/>
    </row>
    <row r="490" spans="18:18" ht="15.75" customHeight="1">
      <c r="R490" s="30"/>
    </row>
    <row r="491" spans="18:18" ht="15.75" customHeight="1">
      <c r="R491" s="30"/>
    </row>
    <row r="492" spans="18:18" ht="15.75" customHeight="1">
      <c r="R492" s="30"/>
    </row>
    <row r="493" spans="18:18" ht="15.75" customHeight="1">
      <c r="R493" s="30"/>
    </row>
    <row r="494" spans="18:18" ht="15.75" customHeight="1">
      <c r="R494" s="30"/>
    </row>
    <row r="495" spans="18:18" ht="15.75" customHeight="1">
      <c r="R495" s="30"/>
    </row>
    <row r="496" spans="18:18" ht="15.75" customHeight="1">
      <c r="R496" s="30"/>
    </row>
    <row r="497" spans="18:18" ht="15.75" customHeight="1">
      <c r="R497" s="30"/>
    </row>
    <row r="498" spans="18:18" ht="15.75" customHeight="1">
      <c r="R498" s="30"/>
    </row>
    <row r="499" spans="18:18" ht="15.75" customHeight="1">
      <c r="R499" s="30"/>
    </row>
    <row r="500" spans="18:18" ht="15.75" customHeight="1">
      <c r="R500" s="30"/>
    </row>
    <row r="501" spans="18:18" ht="15.75" customHeight="1">
      <c r="R501" s="30"/>
    </row>
    <row r="502" spans="18:18" ht="15.75" customHeight="1">
      <c r="R502" s="30"/>
    </row>
    <row r="503" spans="18:18" ht="15.75" customHeight="1">
      <c r="R503" s="30"/>
    </row>
    <row r="504" spans="18:18" ht="15.75" customHeight="1">
      <c r="R504" s="30"/>
    </row>
    <row r="505" spans="18:18" ht="15.75" customHeight="1">
      <c r="R505" s="30"/>
    </row>
    <row r="506" spans="18:18" ht="15.75" customHeight="1">
      <c r="R506" s="30"/>
    </row>
    <row r="507" spans="18:18" ht="15.75" customHeight="1">
      <c r="R507" s="30"/>
    </row>
    <row r="508" spans="18:18" ht="15.75" customHeight="1">
      <c r="R508" s="30"/>
    </row>
    <row r="509" spans="18:18" ht="15.75" customHeight="1">
      <c r="R509" s="30"/>
    </row>
    <row r="510" spans="18:18" ht="15.75" customHeight="1">
      <c r="R510" s="30"/>
    </row>
    <row r="511" spans="18:18" ht="15.75" customHeight="1">
      <c r="R511" s="30"/>
    </row>
    <row r="512" spans="18:18" ht="15.75" customHeight="1">
      <c r="R512" s="30"/>
    </row>
    <row r="513" spans="18:18" ht="15.75" customHeight="1">
      <c r="R513" s="30"/>
    </row>
    <row r="514" spans="18:18" ht="15.75" customHeight="1">
      <c r="R514" s="30"/>
    </row>
    <row r="515" spans="18:18" ht="15.75" customHeight="1">
      <c r="R515" s="30"/>
    </row>
    <row r="516" spans="18:18" ht="15.75" customHeight="1">
      <c r="R516" s="30"/>
    </row>
    <row r="517" spans="18:18" ht="15.75" customHeight="1">
      <c r="R517" s="30"/>
    </row>
    <row r="518" spans="18:18" ht="15.75" customHeight="1">
      <c r="R518" s="30"/>
    </row>
    <row r="519" spans="18:18" ht="15.75" customHeight="1">
      <c r="R519" s="30"/>
    </row>
    <row r="520" spans="18:18" ht="15.75" customHeight="1">
      <c r="R520" s="30"/>
    </row>
    <row r="521" spans="18:18" ht="15.75" customHeight="1">
      <c r="R521" s="30"/>
    </row>
    <row r="522" spans="18:18" ht="15.75" customHeight="1">
      <c r="R522" s="30"/>
    </row>
    <row r="523" spans="18:18" ht="15.75" customHeight="1">
      <c r="R523" s="30"/>
    </row>
    <row r="524" spans="18:18" ht="15.75" customHeight="1">
      <c r="R524" s="30"/>
    </row>
    <row r="525" spans="18:18" ht="15.75" customHeight="1">
      <c r="R525" s="30"/>
    </row>
    <row r="526" spans="18:18" ht="15.75" customHeight="1">
      <c r="R526" s="30"/>
    </row>
    <row r="527" spans="18:18" ht="15.75" customHeight="1">
      <c r="R527" s="30"/>
    </row>
    <row r="528" spans="18:18" ht="15.75" customHeight="1">
      <c r="R528" s="30"/>
    </row>
    <row r="529" spans="18:18" ht="15.75" customHeight="1">
      <c r="R529" s="30"/>
    </row>
    <row r="530" spans="18:18" ht="15.75" customHeight="1">
      <c r="R530" s="30"/>
    </row>
    <row r="531" spans="18:18" ht="15.75" customHeight="1">
      <c r="R531" s="30"/>
    </row>
    <row r="532" spans="18:18" ht="15.75" customHeight="1">
      <c r="R532" s="30"/>
    </row>
    <row r="533" spans="18:18" ht="15.75" customHeight="1">
      <c r="R533" s="30"/>
    </row>
    <row r="534" spans="18:18" ht="15.75" customHeight="1">
      <c r="R534" s="30"/>
    </row>
    <row r="535" spans="18:18" ht="15.75" customHeight="1">
      <c r="R535" s="30"/>
    </row>
    <row r="536" spans="18:18" ht="15.75" customHeight="1">
      <c r="R536" s="30"/>
    </row>
    <row r="537" spans="18:18" ht="15.75" customHeight="1">
      <c r="R537" s="30"/>
    </row>
    <row r="538" spans="18:18" ht="15.75" customHeight="1">
      <c r="R538" s="30"/>
    </row>
    <row r="539" spans="18:18" ht="15.75" customHeight="1">
      <c r="R539" s="30"/>
    </row>
    <row r="540" spans="18:18" ht="15.75" customHeight="1">
      <c r="R540" s="30"/>
    </row>
    <row r="541" spans="18:18" ht="15.75" customHeight="1">
      <c r="R541" s="30"/>
    </row>
    <row r="542" spans="18:18" ht="15.75" customHeight="1">
      <c r="R542" s="30"/>
    </row>
    <row r="543" spans="18:18" ht="15.75" customHeight="1">
      <c r="R543" s="30"/>
    </row>
    <row r="544" spans="18:18" ht="15.75" customHeight="1">
      <c r="R544" s="30"/>
    </row>
    <row r="545" spans="18:18" ht="15.75" customHeight="1">
      <c r="R545" s="30"/>
    </row>
    <row r="546" spans="18:18" ht="15.75" customHeight="1">
      <c r="R546" s="30"/>
    </row>
    <row r="547" spans="18:18" ht="15.75" customHeight="1">
      <c r="R547" s="30"/>
    </row>
    <row r="548" spans="18:18" ht="15.75" customHeight="1">
      <c r="R548" s="30"/>
    </row>
    <row r="549" spans="18:18" ht="15.75" customHeight="1">
      <c r="R549" s="30"/>
    </row>
    <row r="550" spans="18:18" ht="15.75" customHeight="1">
      <c r="R550" s="30"/>
    </row>
    <row r="551" spans="18:18" ht="15.75" customHeight="1">
      <c r="R551" s="30"/>
    </row>
    <row r="552" spans="18:18" ht="15.75" customHeight="1">
      <c r="R552" s="30"/>
    </row>
    <row r="553" spans="18:18" ht="15.75" customHeight="1">
      <c r="R553" s="30"/>
    </row>
    <row r="554" spans="18:18" ht="15.75" customHeight="1">
      <c r="R554" s="30"/>
    </row>
    <row r="555" spans="18:18" ht="15.75" customHeight="1">
      <c r="R555" s="30"/>
    </row>
    <row r="556" spans="18:18" ht="15.75" customHeight="1">
      <c r="R556" s="30"/>
    </row>
    <row r="557" spans="18:18" ht="15.75" customHeight="1">
      <c r="R557" s="30"/>
    </row>
    <row r="558" spans="18:18" ht="15.75" customHeight="1">
      <c r="R558" s="30"/>
    </row>
    <row r="559" spans="18:18" ht="15.75" customHeight="1">
      <c r="R559" s="30"/>
    </row>
    <row r="560" spans="18:18" ht="15.75" customHeight="1">
      <c r="R560" s="30"/>
    </row>
    <row r="561" spans="18:18" ht="15.75" customHeight="1">
      <c r="R561" s="30"/>
    </row>
    <row r="562" spans="18:18" ht="15.75" customHeight="1">
      <c r="R562" s="30"/>
    </row>
    <row r="563" spans="18:18" ht="15.75" customHeight="1">
      <c r="R563" s="30"/>
    </row>
    <row r="564" spans="18:18" ht="15.75" customHeight="1">
      <c r="R564" s="30"/>
    </row>
    <row r="565" spans="18:18" ht="15.75" customHeight="1">
      <c r="R565" s="30"/>
    </row>
    <row r="566" spans="18:18" ht="15.75" customHeight="1">
      <c r="R566" s="30"/>
    </row>
    <row r="567" spans="18:18" ht="15.75" customHeight="1">
      <c r="R567" s="30"/>
    </row>
    <row r="568" spans="18:18" ht="15.75" customHeight="1">
      <c r="R568" s="30"/>
    </row>
    <row r="569" spans="18:18" ht="15.75" customHeight="1">
      <c r="R569" s="30"/>
    </row>
    <row r="570" spans="18:18" ht="15.75" customHeight="1">
      <c r="R570" s="30"/>
    </row>
    <row r="571" spans="18:18" ht="15.75" customHeight="1">
      <c r="R571" s="30"/>
    </row>
    <row r="572" spans="18:18" ht="15.75" customHeight="1">
      <c r="R572" s="30"/>
    </row>
    <row r="573" spans="18:18" ht="15.75" customHeight="1">
      <c r="R573" s="30"/>
    </row>
    <row r="574" spans="18:18" ht="15.75" customHeight="1">
      <c r="R574" s="30"/>
    </row>
    <row r="575" spans="18:18" ht="15.75" customHeight="1">
      <c r="R575" s="30"/>
    </row>
    <row r="576" spans="18:18" ht="15.75" customHeight="1">
      <c r="R576" s="30"/>
    </row>
    <row r="577" spans="18:18" ht="15.75" customHeight="1">
      <c r="R577" s="30"/>
    </row>
    <row r="578" spans="18:18" ht="15.75" customHeight="1">
      <c r="R578" s="30"/>
    </row>
    <row r="579" spans="18:18" ht="15.75" customHeight="1">
      <c r="R579" s="30"/>
    </row>
    <row r="580" spans="18:18" ht="15.75" customHeight="1">
      <c r="R580" s="30"/>
    </row>
    <row r="581" spans="18:18" ht="15.75" customHeight="1">
      <c r="R581" s="30"/>
    </row>
    <row r="582" spans="18:18" ht="15.75" customHeight="1">
      <c r="R582" s="30"/>
    </row>
    <row r="583" spans="18:18" ht="15.75" customHeight="1">
      <c r="R583" s="30"/>
    </row>
    <row r="584" spans="18:18" ht="15.75" customHeight="1">
      <c r="R584" s="30"/>
    </row>
    <row r="585" spans="18:18" ht="15.75" customHeight="1">
      <c r="R585" s="30"/>
    </row>
    <row r="586" spans="18:18" ht="15.75" customHeight="1">
      <c r="R586" s="30"/>
    </row>
    <row r="587" spans="18:18" ht="15.75" customHeight="1">
      <c r="R587" s="30"/>
    </row>
    <row r="588" spans="18:18" ht="15.75" customHeight="1">
      <c r="R588" s="30"/>
    </row>
    <row r="589" spans="18:18" ht="15.75" customHeight="1">
      <c r="R589" s="30"/>
    </row>
    <row r="590" spans="18:18" ht="15.75" customHeight="1">
      <c r="R590" s="30"/>
    </row>
    <row r="591" spans="18:18" ht="15.75" customHeight="1">
      <c r="R591" s="30"/>
    </row>
    <row r="592" spans="18:18" ht="15.75" customHeight="1">
      <c r="R592" s="30"/>
    </row>
    <row r="593" spans="18:18" ht="15.75" customHeight="1">
      <c r="R593" s="30"/>
    </row>
    <row r="594" spans="18:18" ht="15.75" customHeight="1">
      <c r="R594" s="30"/>
    </row>
    <row r="595" spans="18:18" ht="15.75" customHeight="1">
      <c r="R595" s="30"/>
    </row>
    <row r="596" spans="18:18" ht="15.75" customHeight="1">
      <c r="R596" s="30"/>
    </row>
    <row r="597" spans="18:18" ht="15.75" customHeight="1">
      <c r="R597" s="30"/>
    </row>
    <row r="598" spans="18:18" ht="15.75" customHeight="1">
      <c r="R598" s="30"/>
    </row>
    <row r="599" spans="18:18" ht="15.75" customHeight="1">
      <c r="R599" s="30"/>
    </row>
    <row r="600" spans="18:18" ht="15.75" customHeight="1">
      <c r="R600" s="30"/>
    </row>
    <row r="601" spans="18:18" ht="15.75" customHeight="1">
      <c r="R601" s="30"/>
    </row>
    <row r="602" spans="18:18" ht="15.75" customHeight="1">
      <c r="R602" s="30"/>
    </row>
    <row r="603" spans="18:18" ht="15.75" customHeight="1">
      <c r="R603" s="30"/>
    </row>
    <row r="604" spans="18:18" ht="15.75" customHeight="1">
      <c r="R604" s="30"/>
    </row>
    <row r="605" spans="18:18" ht="15.75" customHeight="1">
      <c r="R605" s="30"/>
    </row>
    <row r="606" spans="18:18" ht="15.75" customHeight="1">
      <c r="R606" s="30"/>
    </row>
    <row r="607" spans="18:18" ht="15.75" customHeight="1">
      <c r="R607" s="30"/>
    </row>
    <row r="608" spans="18:18" ht="15.75" customHeight="1">
      <c r="R608" s="30"/>
    </row>
    <row r="609" spans="18:18" ht="15.75" customHeight="1">
      <c r="R609" s="30"/>
    </row>
    <row r="610" spans="18:18" ht="15.75" customHeight="1">
      <c r="R610" s="30"/>
    </row>
    <row r="611" spans="18:18" ht="15.75" customHeight="1">
      <c r="R611" s="30"/>
    </row>
    <row r="612" spans="18:18" ht="15.75" customHeight="1">
      <c r="R612" s="30"/>
    </row>
    <row r="613" spans="18:18" ht="15.75" customHeight="1">
      <c r="R613" s="30"/>
    </row>
    <row r="614" spans="18:18" ht="15.75" customHeight="1">
      <c r="R614" s="30"/>
    </row>
    <row r="615" spans="18:18" ht="15.75" customHeight="1">
      <c r="R615" s="30"/>
    </row>
    <row r="616" spans="18:18" ht="15.75" customHeight="1">
      <c r="R616" s="30"/>
    </row>
    <row r="617" spans="18:18" ht="15.75" customHeight="1">
      <c r="R617" s="30"/>
    </row>
    <row r="618" spans="18:18" ht="15.75" customHeight="1">
      <c r="R618" s="30"/>
    </row>
    <row r="619" spans="18:18" ht="15.75" customHeight="1">
      <c r="R619" s="30"/>
    </row>
    <row r="620" spans="18:18" ht="15.75" customHeight="1">
      <c r="R620" s="30"/>
    </row>
    <row r="621" spans="18:18" ht="15.75" customHeight="1">
      <c r="R621" s="30"/>
    </row>
    <row r="622" spans="18:18" ht="15.75" customHeight="1">
      <c r="R622" s="30"/>
    </row>
    <row r="623" spans="18:18" ht="15.75" customHeight="1">
      <c r="R623" s="30"/>
    </row>
    <row r="624" spans="18:18" ht="15.75" customHeight="1">
      <c r="R624" s="30"/>
    </row>
    <row r="625" spans="18:18" ht="15.75" customHeight="1">
      <c r="R625" s="30"/>
    </row>
    <row r="626" spans="18:18" ht="15.75" customHeight="1">
      <c r="R626" s="30"/>
    </row>
    <row r="627" spans="18:18" ht="15.75" customHeight="1">
      <c r="R627" s="30"/>
    </row>
    <row r="628" spans="18:18" ht="15.75" customHeight="1">
      <c r="R628" s="30"/>
    </row>
    <row r="629" spans="18:18" ht="15.75" customHeight="1">
      <c r="R629" s="30"/>
    </row>
    <row r="630" spans="18:18" ht="15.75" customHeight="1">
      <c r="R630" s="30"/>
    </row>
    <row r="631" spans="18:18" ht="15.75" customHeight="1">
      <c r="R631" s="30"/>
    </row>
    <row r="632" spans="18:18" ht="15.75" customHeight="1">
      <c r="R632" s="30"/>
    </row>
    <row r="633" spans="18:18" ht="15.75" customHeight="1">
      <c r="R633" s="30"/>
    </row>
    <row r="634" spans="18:18" ht="15.75" customHeight="1">
      <c r="R634" s="30"/>
    </row>
    <row r="635" spans="18:18" ht="15.75" customHeight="1">
      <c r="R635" s="30"/>
    </row>
    <row r="636" spans="18:18" ht="15.75" customHeight="1">
      <c r="R636" s="30"/>
    </row>
    <row r="637" spans="18:18" ht="15.75" customHeight="1">
      <c r="R637" s="30"/>
    </row>
    <row r="638" spans="18:18" ht="15.75" customHeight="1">
      <c r="R638" s="30"/>
    </row>
    <row r="639" spans="18:18" ht="15.75" customHeight="1">
      <c r="R639" s="30"/>
    </row>
    <row r="640" spans="18:18" ht="15.75" customHeight="1">
      <c r="R640" s="30"/>
    </row>
    <row r="641" spans="18:18" ht="15.75" customHeight="1">
      <c r="R641" s="30"/>
    </row>
    <row r="642" spans="18:18" ht="15.75" customHeight="1">
      <c r="R642" s="30"/>
    </row>
    <row r="643" spans="18:18" ht="15.75" customHeight="1">
      <c r="R643" s="30"/>
    </row>
    <row r="644" spans="18:18" ht="15.75" customHeight="1">
      <c r="R644" s="30"/>
    </row>
    <row r="645" spans="18:18" ht="15.75" customHeight="1">
      <c r="R645" s="30"/>
    </row>
    <row r="646" spans="18:18" ht="15.75" customHeight="1">
      <c r="R646" s="30"/>
    </row>
    <row r="647" spans="18:18" ht="15.75" customHeight="1">
      <c r="R647" s="30"/>
    </row>
    <row r="648" spans="18:18" ht="15.75" customHeight="1">
      <c r="R648" s="30"/>
    </row>
    <row r="649" spans="18:18" ht="15.75" customHeight="1">
      <c r="R649" s="30"/>
    </row>
    <row r="650" spans="18:18" ht="15.75" customHeight="1">
      <c r="R650" s="30"/>
    </row>
    <row r="651" spans="18:18" ht="15.75" customHeight="1">
      <c r="R651" s="30"/>
    </row>
    <row r="652" spans="18:18" ht="15.75" customHeight="1">
      <c r="R652" s="30"/>
    </row>
    <row r="653" spans="18:18" ht="15.75" customHeight="1">
      <c r="R653" s="30"/>
    </row>
    <row r="654" spans="18:18" ht="15.75" customHeight="1">
      <c r="R654" s="30"/>
    </row>
    <row r="655" spans="18:18" ht="15.75" customHeight="1">
      <c r="R655" s="30"/>
    </row>
    <row r="656" spans="18:18" ht="15.75" customHeight="1">
      <c r="R656" s="30"/>
    </row>
    <row r="657" spans="18:18" ht="15.75" customHeight="1">
      <c r="R657" s="30"/>
    </row>
    <row r="658" spans="18:18" ht="15.75" customHeight="1">
      <c r="R658" s="30"/>
    </row>
    <row r="659" spans="18:18" ht="15.75" customHeight="1">
      <c r="R659" s="30"/>
    </row>
    <row r="660" spans="18:18" ht="15.75" customHeight="1">
      <c r="R660" s="30"/>
    </row>
    <row r="661" spans="18:18" ht="15.75" customHeight="1">
      <c r="R661" s="30"/>
    </row>
    <row r="662" spans="18:18" ht="15.75" customHeight="1">
      <c r="R662" s="30"/>
    </row>
    <row r="663" spans="18:18" ht="15.75" customHeight="1">
      <c r="R663" s="30"/>
    </row>
    <row r="664" spans="18:18" ht="15.75" customHeight="1">
      <c r="R664" s="30"/>
    </row>
    <row r="665" spans="18:18" ht="15.75" customHeight="1">
      <c r="R665" s="30"/>
    </row>
    <row r="666" spans="18:18" ht="15.75" customHeight="1">
      <c r="R666" s="30"/>
    </row>
    <row r="667" spans="18:18" ht="15.75" customHeight="1">
      <c r="R667" s="30"/>
    </row>
    <row r="668" spans="18:18" ht="15.75" customHeight="1">
      <c r="R668" s="30"/>
    </row>
    <row r="669" spans="18:18" ht="15.75" customHeight="1">
      <c r="R669" s="30"/>
    </row>
    <row r="670" spans="18:18" ht="15.75" customHeight="1">
      <c r="R670" s="30"/>
    </row>
    <row r="671" spans="18:18" ht="15.75" customHeight="1">
      <c r="R671" s="30"/>
    </row>
    <row r="672" spans="18:18" ht="15.75" customHeight="1">
      <c r="R672" s="30"/>
    </row>
    <row r="673" spans="18:18" ht="15.75" customHeight="1">
      <c r="R673" s="30"/>
    </row>
    <row r="674" spans="18:18" ht="15.75" customHeight="1">
      <c r="R674" s="30"/>
    </row>
    <row r="675" spans="18:18" ht="15.75" customHeight="1">
      <c r="R675" s="30"/>
    </row>
    <row r="676" spans="18:18" ht="15.75" customHeight="1">
      <c r="R676" s="30"/>
    </row>
    <row r="677" spans="18:18" ht="15.75" customHeight="1">
      <c r="R677" s="30"/>
    </row>
    <row r="678" spans="18:18" ht="15.75" customHeight="1">
      <c r="R678" s="30"/>
    </row>
    <row r="679" spans="18:18" ht="15.75" customHeight="1">
      <c r="R679" s="30"/>
    </row>
    <row r="680" spans="18:18" ht="15.75" customHeight="1">
      <c r="R680" s="30"/>
    </row>
    <row r="681" spans="18:18" ht="15.75" customHeight="1">
      <c r="R681" s="30"/>
    </row>
    <row r="682" spans="18:18" ht="15.75" customHeight="1">
      <c r="R682" s="30"/>
    </row>
    <row r="683" spans="18:18" ht="15.75" customHeight="1">
      <c r="R683" s="30"/>
    </row>
    <row r="684" spans="18:18" ht="15.75" customHeight="1">
      <c r="R684" s="30"/>
    </row>
    <row r="685" spans="18:18" ht="15.75" customHeight="1">
      <c r="R685" s="30"/>
    </row>
    <row r="686" spans="18:18" ht="15.75" customHeight="1">
      <c r="R686" s="30"/>
    </row>
    <row r="687" spans="18:18" ht="15.75" customHeight="1">
      <c r="R687" s="30"/>
    </row>
    <row r="688" spans="18:18" ht="15.75" customHeight="1">
      <c r="R688" s="30"/>
    </row>
    <row r="689" spans="18:18" ht="15.75" customHeight="1">
      <c r="R689" s="30"/>
    </row>
    <row r="690" spans="18:18" ht="15.75" customHeight="1">
      <c r="R690" s="30"/>
    </row>
    <row r="691" spans="18:18" ht="15.75" customHeight="1">
      <c r="R691" s="30"/>
    </row>
    <row r="692" spans="18:18" ht="15.75" customHeight="1">
      <c r="R692" s="30"/>
    </row>
    <row r="693" spans="18:18" ht="15.75" customHeight="1">
      <c r="R693" s="30"/>
    </row>
    <row r="694" spans="18:18" ht="15.75" customHeight="1">
      <c r="R694" s="30"/>
    </row>
    <row r="695" spans="18:18" ht="15.75" customHeight="1">
      <c r="R695" s="30"/>
    </row>
    <row r="696" spans="18:18" ht="15.75" customHeight="1">
      <c r="R696" s="30"/>
    </row>
    <row r="697" spans="18:18" ht="15.75" customHeight="1">
      <c r="R697" s="30"/>
    </row>
    <row r="698" spans="18:18" ht="15.75" customHeight="1">
      <c r="R698" s="30"/>
    </row>
    <row r="699" spans="18:18" ht="15.75" customHeight="1">
      <c r="R699" s="30"/>
    </row>
    <row r="700" spans="18:18" ht="15.75" customHeight="1">
      <c r="R700" s="30"/>
    </row>
    <row r="701" spans="18:18" ht="15.75" customHeight="1">
      <c r="R701" s="30"/>
    </row>
    <row r="702" spans="18:18" ht="15.75" customHeight="1">
      <c r="R702" s="30"/>
    </row>
    <row r="703" spans="18:18" ht="15.75" customHeight="1">
      <c r="R703" s="30"/>
    </row>
    <row r="704" spans="18:18" ht="15.75" customHeight="1">
      <c r="R704" s="30"/>
    </row>
    <row r="705" spans="18:18" ht="15.75" customHeight="1">
      <c r="R705" s="30"/>
    </row>
    <row r="706" spans="18:18" ht="15.75" customHeight="1">
      <c r="R706" s="30"/>
    </row>
    <row r="707" spans="18:18" ht="15.75" customHeight="1">
      <c r="R707" s="30"/>
    </row>
    <row r="708" spans="18:18" ht="15.75" customHeight="1">
      <c r="R708" s="30"/>
    </row>
    <row r="709" spans="18:18" ht="15.75" customHeight="1">
      <c r="R709" s="30"/>
    </row>
    <row r="710" spans="18:18" ht="15.75" customHeight="1">
      <c r="R710" s="30"/>
    </row>
    <row r="711" spans="18:18" ht="15.75" customHeight="1">
      <c r="R711" s="30"/>
    </row>
    <row r="712" spans="18:18" ht="15.75" customHeight="1">
      <c r="R712" s="30"/>
    </row>
    <row r="713" spans="18:18" ht="15.75" customHeight="1">
      <c r="R713" s="30"/>
    </row>
    <row r="714" spans="18:18" ht="15.75" customHeight="1">
      <c r="R714" s="30"/>
    </row>
    <row r="715" spans="18:18" ht="15.75" customHeight="1">
      <c r="R715" s="30"/>
    </row>
    <row r="716" spans="18:18" ht="15.75" customHeight="1">
      <c r="R716" s="30"/>
    </row>
    <row r="717" spans="18:18" ht="15.75" customHeight="1">
      <c r="R717" s="30"/>
    </row>
    <row r="718" spans="18:18" ht="15.75" customHeight="1">
      <c r="R718" s="30"/>
    </row>
    <row r="719" spans="18:18" ht="15.75" customHeight="1">
      <c r="R719" s="30"/>
    </row>
    <row r="720" spans="18:18" ht="15.75" customHeight="1">
      <c r="R720" s="30"/>
    </row>
    <row r="721" spans="18:18" ht="15.75" customHeight="1">
      <c r="R721" s="30"/>
    </row>
    <row r="722" spans="18:18" ht="15.75" customHeight="1">
      <c r="R722" s="30"/>
    </row>
    <row r="723" spans="18:18" ht="15.75" customHeight="1">
      <c r="R723" s="30"/>
    </row>
    <row r="724" spans="18:18" ht="15.75" customHeight="1">
      <c r="R724" s="30"/>
    </row>
    <row r="725" spans="18:18" ht="15.75" customHeight="1">
      <c r="R725" s="30"/>
    </row>
    <row r="726" spans="18:18" ht="15.75" customHeight="1">
      <c r="R726" s="30"/>
    </row>
    <row r="727" spans="18:18" ht="15.75" customHeight="1">
      <c r="R727" s="30"/>
    </row>
    <row r="728" spans="18:18" ht="15.75" customHeight="1">
      <c r="R728" s="30"/>
    </row>
    <row r="729" spans="18:18" ht="15.75" customHeight="1">
      <c r="R729" s="30"/>
    </row>
    <row r="730" spans="18:18" ht="15.75" customHeight="1">
      <c r="R730" s="30"/>
    </row>
    <row r="731" spans="18:18" ht="15.75" customHeight="1">
      <c r="R731" s="30"/>
    </row>
    <row r="732" spans="18:18" ht="15.75" customHeight="1">
      <c r="R732" s="30"/>
    </row>
    <row r="733" spans="18:18" ht="15.75" customHeight="1">
      <c r="R733" s="30"/>
    </row>
    <row r="734" spans="18:18" ht="15.75" customHeight="1">
      <c r="R734" s="30"/>
    </row>
    <row r="735" spans="18:18" ht="15.75" customHeight="1">
      <c r="R735" s="30"/>
    </row>
    <row r="736" spans="18:18" ht="15.75" customHeight="1">
      <c r="R736" s="30"/>
    </row>
    <row r="737" spans="18:18" ht="15.75" customHeight="1">
      <c r="R737" s="30"/>
    </row>
    <row r="738" spans="18:18" ht="15.75" customHeight="1">
      <c r="R738" s="30"/>
    </row>
    <row r="739" spans="18:18" ht="15.75" customHeight="1">
      <c r="R739" s="30"/>
    </row>
    <row r="740" spans="18:18" ht="15.75" customHeight="1">
      <c r="R740" s="30"/>
    </row>
    <row r="741" spans="18:18" ht="15.75" customHeight="1">
      <c r="R741" s="30"/>
    </row>
    <row r="742" spans="18:18" ht="15.75" customHeight="1">
      <c r="R742" s="30"/>
    </row>
    <row r="743" spans="18:18" ht="15.75" customHeight="1">
      <c r="R743" s="30"/>
    </row>
    <row r="744" spans="18:18" ht="15.75" customHeight="1">
      <c r="R744" s="30"/>
    </row>
    <row r="745" spans="18:18" ht="15.75" customHeight="1">
      <c r="R745" s="30"/>
    </row>
    <row r="746" spans="18:18" ht="15.75" customHeight="1">
      <c r="R746" s="30"/>
    </row>
    <row r="747" spans="18:18" ht="15.75" customHeight="1">
      <c r="R747" s="30"/>
    </row>
    <row r="748" spans="18:18" ht="15.75" customHeight="1">
      <c r="R748" s="30"/>
    </row>
    <row r="749" spans="18:18" ht="15.75" customHeight="1">
      <c r="R749" s="30"/>
    </row>
    <row r="750" spans="18:18" ht="15.75" customHeight="1">
      <c r="R750" s="30"/>
    </row>
    <row r="751" spans="18:18" ht="15.75" customHeight="1">
      <c r="R751" s="30"/>
    </row>
    <row r="752" spans="18:18" ht="15.75" customHeight="1">
      <c r="R752" s="30"/>
    </row>
    <row r="753" spans="18:18" ht="15.75" customHeight="1">
      <c r="R753" s="30"/>
    </row>
    <row r="754" spans="18:18" ht="15.75" customHeight="1">
      <c r="R754" s="30"/>
    </row>
    <row r="755" spans="18:18" ht="15.75" customHeight="1">
      <c r="R755" s="30"/>
    </row>
    <row r="756" spans="18:18" ht="15.75" customHeight="1">
      <c r="R756" s="30"/>
    </row>
    <row r="757" spans="18:18" ht="15.75" customHeight="1">
      <c r="R757" s="30"/>
    </row>
    <row r="758" spans="18:18" ht="15.75" customHeight="1">
      <c r="R758" s="30"/>
    </row>
    <row r="759" spans="18:18" ht="15.75" customHeight="1">
      <c r="R759" s="30"/>
    </row>
    <row r="760" spans="18:18" ht="15.75" customHeight="1">
      <c r="R760" s="30"/>
    </row>
    <row r="761" spans="18:18" ht="15.75" customHeight="1">
      <c r="R761" s="30"/>
    </row>
    <row r="762" spans="18:18" ht="15.75" customHeight="1">
      <c r="R762" s="30"/>
    </row>
    <row r="763" spans="18:18" ht="15.75" customHeight="1">
      <c r="R763" s="30"/>
    </row>
    <row r="764" spans="18:18" ht="15.75" customHeight="1">
      <c r="R764" s="30"/>
    </row>
    <row r="765" spans="18:18" ht="15.75" customHeight="1">
      <c r="R765" s="30"/>
    </row>
    <row r="766" spans="18:18" ht="15.75" customHeight="1">
      <c r="R766" s="30"/>
    </row>
    <row r="767" spans="18:18" ht="15.75" customHeight="1">
      <c r="R767" s="30"/>
    </row>
    <row r="768" spans="18:18" ht="15.75" customHeight="1">
      <c r="R768" s="30"/>
    </row>
    <row r="769" spans="18:18" ht="15.75" customHeight="1">
      <c r="R769" s="30"/>
    </row>
    <row r="770" spans="18:18" ht="15.75" customHeight="1">
      <c r="R770" s="30"/>
    </row>
    <row r="771" spans="18:18" ht="15.75" customHeight="1">
      <c r="R771" s="30"/>
    </row>
    <row r="772" spans="18:18" ht="15.75" customHeight="1">
      <c r="R772" s="30"/>
    </row>
    <row r="773" spans="18:18" ht="15.75" customHeight="1">
      <c r="R773" s="30"/>
    </row>
    <row r="774" spans="18:18" ht="15.75" customHeight="1">
      <c r="R774" s="30"/>
    </row>
    <row r="775" spans="18:18" ht="15.75" customHeight="1">
      <c r="R775" s="30"/>
    </row>
    <row r="776" spans="18:18" ht="15.75" customHeight="1">
      <c r="R776" s="30"/>
    </row>
    <row r="777" spans="18:18" ht="15.75" customHeight="1">
      <c r="R777" s="30"/>
    </row>
    <row r="778" spans="18:18" ht="15.75" customHeight="1">
      <c r="R778" s="30"/>
    </row>
    <row r="779" spans="18:18" ht="15.75" customHeight="1">
      <c r="R779" s="30"/>
    </row>
    <row r="780" spans="18:18" ht="15.75" customHeight="1">
      <c r="R780" s="30"/>
    </row>
    <row r="781" spans="18:18" ht="15.75" customHeight="1">
      <c r="R781" s="30"/>
    </row>
    <row r="782" spans="18:18" ht="15.75" customHeight="1">
      <c r="R782" s="30"/>
    </row>
    <row r="783" spans="18:18" ht="15.75" customHeight="1">
      <c r="R783" s="30"/>
    </row>
    <row r="784" spans="18:18" ht="15.75" customHeight="1">
      <c r="R784" s="30"/>
    </row>
    <row r="785" spans="18:18" ht="15.75" customHeight="1">
      <c r="R785" s="30"/>
    </row>
    <row r="786" spans="18:18" ht="15.75" customHeight="1">
      <c r="R786" s="30"/>
    </row>
    <row r="787" spans="18:18" ht="15.75" customHeight="1">
      <c r="R787" s="30"/>
    </row>
    <row r="788" spans="18:18" ht="15.75" customHeight="1">
      <c r="R788" s="30"/>
    </row>
    <row r="789" spans="18:18" ht="15.75" customHeight="1">
      <c r="R789" s="30"/>
    </row>
    <row r="790" spans="18:18" ht="15.75" customHeight="1">
      <c r="R790" s="30"/>
    </row>
    <row r="791" spans="18:18" ht="15.75" customHeight="1">
      <c r="R791" s="30"/>
    </row>
    <row r="792" spans="18:18" ht="15.75" customHeight="1">
      <c r="R792" s="30"/>
    </row>
    <row r="793" spans="18:18" ht="15.75" customHeight="1">
      <c r="R793" s="30"/>
    </row>
    <row r="794" spans="18:18" ht="15.75" customHeight="1">
      <c r="R794" s="30"/>
    </row>
    <row r="795" spans="18:18" ht="15.75" customHeight="1">
      <c r="R795" s="30"/>
    </row>
    <row r="796" spans="18:18" ht="15.75" customHeight="1">
      <c r="R796" s="30"/>
    </row>
    <row r="797" spans="18:18" ht="15.75" customHeight="1">
      <c r="R797" s="30"/>
    </row>
    <row r="798" spans="18:18" ht="15.75" customHeight="1">
      <c r="R798" s="30"/>
    </row>
    <row r="799" spans="18:18" ht="15.75" customHeight="1">
      <c r="R799" s="30"/>
    </row>
    <row r="800" spans="18:18" ht="15.75" customHeight="1">
      <c r="R800" s="30"/>
    </row>
    <row r="801" spans="18:18" ht="15.75" customHeight="1">
      <c r="R801" s="30"/>
    </row>
    <row r="802" spans="18:18" ht="15.75" customHeight="1">
      <c r="R802" s="30"/>
    </row>
    <row r="803" spans="18:18" ht="15.75" customHeight="1">
      <c r="R803" s="30"/>
    </row>
    <row r="804" spans="18:18" ht="15.75" customHeight="1">
      <c r="R804" s="30"/>
    </row>
    <row r="805" spans="18:18" ht="15.75" customHeight="1">
      <c r="R805" s="30"/>
    </row>
    <row r="806" spans="18:18" ht="15.75" customHeight="1">
      <c r="R806" s="30"/>
    </row>
    <row r="807" spans="18:18" ht="15.75" customHeight="1">
      <c r="R807" s="30"/>
    </row>
    <row r="808" spans="18:18" ht="15.75" customHeight="1">
      <c r="R808" s="30"/>
    </row>
    <row r="809" spans="18:18" ht="15.75" customHeight="1">
      <c r="R809" s="30"/>
    </row>
    <row r="810" spans="18:18" ht="15.75" customHeight="1">
      <c r="R810" s="30"/>
    </row>
    <row r="811" spans="18:18" ht="15.75" customHeight="1">
      <c r="R811" s="30"/>
    </row>
    <row r="812" spans="18:18" ht="15.75" customHeight="1">
      <c r="R812" s="30"/>
    </row>
    <row r="813" spans="18:18" ht="15.75" customHeight="1">
      <c r="R813" s="30"/>
    </row>
    <row r="814" spans="18:18" ht="15.75" customHeight="1">
      <c r="R814" s="30"/>
    </row>
    <row r="815" spans="18:18" ht="15.75" customHeight="1">
      <c r="R815" s="30"/>
    </row>
    <row r="816" spans="18:18" ht="15.75" customHeight="1">
      <c r="R816" s="30"/>
    </row>
    <row r="817" spans="18:18" ht="15.75" customHeight="1">
      <c r="R817" s="30"/>
    </row>
    <row r="818" spans="18:18" ht="15.75" customHeight="1">
      <c r="R818" s="30"/>
    </row>
    <row r="819" spans="18:18" ht="15.75" customHeight="1">
      <c r="R819" s="30"/>
    </row>
    <row r="820" spans="18:18" ht="15.75" customHeight="1">
      <c r="R820" s="30"/>
    </row>
    <row r="821" spans="18:18" ht="15.75" customHeight="1">
      <c r="R821" s="30"/>
    </row>
    <row r="822" spans="18:18" ht="15.75" customHeight="1">
      <c r="R822" s="30"/>
    </row>
    <row r="823" spans="18:18" ht="15.75" customHeight="1">
      <c r="R823" s="30"/>
    </row>
    <row r="824" spans="18:18" ht="15.75" customHeight="1">
      <c r="R824" s="30"/>
    </row>
    <row r="825" spans="18:18" ht="15.75" customHeight="1">
      <c r="R825" s="30"/>
    </row>
    <row r="826" spans="18:18" ht="15.75" customHeight="1">
      <c r="R826" s="30"/>
    </row>
    <row r="827" spans="18:18" ht="15.75" customHeight="1">
      <c r="R827" s="30"/>
    </row>
    <row r="828" spans="18:18" ht="15.75" customHeight="1">
      <c r="R828" s="30"/>
    </row>
    <row r="829" spans="18:18" ht="15.75" customHeight="1">
      <c r="R829" s="30"/>
    </row>
    <row r="830" spans="18:18" ht="15.75" customHeight="1">
      <c r="R830" s="30"/>
    </row>
    <row r="831" spans="18:18" ht="15.75" customHeight="1">
      <c r="R831" s="30"/>
    </row>
    <row r="832" spans="18:18" ht="15.75" customHeight="1">
      <c r="R832" s="30"/>
    </row>
    <row r="833" spans="18:18" ht="15.75" customHeight="1">
      <c r="R833" s="30"/>
    </row>
    <row r="834" spans="18:18" ht="15.75" customHeight="1">
      <c r="R834" s="30"/>
    </row>
    <row r="835" spans="18:18" ht="15.75" customHeight="1">
      <c r="R835" s="30"/>
    </row>
    <row r="836" spans="18:18" ht="15.75" customHeight="1">
      <c r="R836" s="30"/>
    </row>
    <row r="837" spans="18:18" ht="15.75" customHeight="1">
      <c r="R837" s="30"/>
    </row>
    <row r="838" spans="18:18" ht="15.75" customHeight="1">
      <c r="R838" s="30"/>
    </row>
    <row r="839" spans="18:18" ht="15.75" customHeight="1">
      <c r="R839" s="30"/>
    </row>
    <row r="840" spans="18:18" ht="15.75" customHeight="1">
      <c r="R840" s="30"/>
    </row>
    <row r="841" spans="18:18" ht="15.75" customHeight="1">
      <c r="R841" s="30"/>
    </row>
    <row r="842" spans="18:18" ht="15.75" customHeight="1">
      <c r="R842" s="30"/>
    </row>
    <row r="843" spans="18:18" ht="15.75" customHeight="1">
      <c r="R843" s="30"/>
    </row>
    <row r="844" spans="18:18" ht="15.75" customHeight="1">
      <c r="R844" s="30"/>
    </row>
    <row r="845" spans="18:18" ht="15.75" customHeight="1">
      <c r="R845" s="30"/>
    </row>
    <row r="846" spans="18:18" ht="15.75" customHeight="1">
      <c r="R846" s="30"/>
    </row>
    <row r="847" spans="18:18" ht="15.75" customHeight="1">
      <c r="R847" s="30"/>
    </row>
    <row r="848" spans="18:18" ht="15.75" customHeight="1">
      <c r="R848" s="30"/>
    </row>
    <row r="849" spans="18:18" ht="15.75" customHeight="1">
      <c r="R849" s="30"/>
    </row>
    <row r="850" spans="18:18" ht="15.75" customHeight="1">
      <c r="R850" s="30"/>
    </row>
    <row r="851" spans="18:18" ht="15.75" customHeight="1">
      <c r="R851" s="30"/>
    </row>
    <row r="852" spans="18:18" ht="15.75" customHeight="1">
      <c r="R852" s="30"/>
    </row>
    <row r="853" spans="18:18" ht="15.75" customHeight="1">
      <c r="R853" s="30"/>
    </row>
    <row r="854" spans="18:18" ht="15.75" customHeight="1">
      <c r="R854" s="30"/>
    </row>
    <row r="855" spans="18:18" ht="15.75" customHeight="1">
      <c r="R855" s="30"/>
    </row>
    <row r="856" spans="18:18" ht="15.75" customHeight="1">
      <c r="R856" s="30"/>
    </row>
    <row r="857" spans="18:18" ht="15.75" customHeight="1">
      <c r="R857" s="30"/>
    </row>
    <row r="858" spans="18:18" ht="15.75" customHeight="1">
      <c r="R858" s="30"/>
    </row>
    <row r="859" spans="18:18" ht="15.75" customHeight="1">
      <c r="R859" s="30"/>
    </row>
    <row r="860" spans="18:18" ht="15.75" customHeight="1">
      <c r="R860" s="30"/>
    </row>
    <row r="861" spans="18:18" ht="15.75" customHeight="1">
      <c r="R861" s="30"/>
    </row>
    <row r="862" spans="18:18" ht="15.75" customHeight="1">
      <c r="R862" s="30"/>
    </row>
    <row r="863" spans="18:18" ht="15.75" customHeight="1">
      <c r="R863" s="30"/>
    </row>
    <row r="864" spans="18:18" ht="15.75" customHeight="1">
      <c r="R864" s="30"/>
    </row>
    <row r="865" spans="18:18" ht="15.75" customHeight="1">
      <c r="R865" s="30"/>
    </row>
    <row r="866" spans="18:18" ht="15.75" customHeight="1">
      <c r="R866" s="30"/>
    </row>
    <row r="867" spans="18:18" ht="15.75" customHeight="1">
      <c r="R867" s="30"/>
    </row>
    <row r="868" spans="18:18" ht="15.75" customHeight="1">
      <c r="R868" s="30"/>
    </row>
    <row r="869" spans="18:18" ht="15.75" customHeight="1">
      <c r="R869" s="30"/>
    </row>
    <row r="870" spans="18:18" ht="15.75" customHeight="1">
      <c r="R870" s="30"/>
    </row>
    <row r="871" spans="18:18" ht="15.75" customHeight="1">
      <c r="R871" s="30"/>
    </row>
    <row r="872" spans="18:18" ht="15.75" customHeight="1">
      <c r="R872" s="30"/>
    </row>
    <row r="873" spans="18:18" ht="15.75" customHeight="1">
      <c r="R873" s="30"/>
    </row>
    <row r="874" spans="18:18" ht="15.75" customHeight="1">
      <c r="R874" s="30"/>
    </row>
    <row r="875" spans="18:18" ht="15.75" customHeight="1">
      <c r="R875" s="30"/>
    </row>
    <row r="876" spans="18:18" ht="15.75" customHeight="1">
      <c r="R876" s="30"/>
    </row>
    <row r="877" spans="18:18" ht="15.75" customHeight="1">
      <c r="R877" s="30"/>
    </row>
    <row r="878" spans="18:18" ht="15.75" customHeight="1">
      <c r="R878" s="30"/>
    </row>
    <row r="879" spans="18:18" ht="15.75" customHeight="1">
      <c r="R879" s="30"/>
    </row>
    <row r="880" spans="18:18" ht="15.75" customHeight="1">
      <c r="R880" s="30"/>
    </row>
    <row r="881" spans="18:18" ht="15.75" customHeight="1">
      <c r="R881" s="30"/>
    </row>
    <row r="882" spans="18:18" ht="15.75" customHeight="1">
      <c r="R882" s="30"/>
    </row>
    <row r="883" spans="18:18" ht="15.75" customHeight="1">
      <c r="R883" s="30"/>
    </row>
    <row r="884" spans="18:18" ht="15.75" customHeight="1">
      <c r="R884" s="30"/>
    </row>
    <row r="885" spans="18:18" ht="15.75" customHeight="1">
      <c r="R885" s="30"/>
    </row>
    <row r="886" spans="18:18" ht="15.75" customHeight="1">
      <c r="R886" s="30"/>
    </row>
    <row r="887" spans="18:18" ht="15.75" customHeight="1">
      <c r="R887" s="30"/>
    </row>
    <row r="888" spans="18:18" ht="15.75" customHeight="1">
      <c r="R888" s="30"/>
    </row>
    <row r="889" spans="18:18" ht="15.75" customHeight="1">
      <c r="R889" s="30"/>
    </row>
    <row r="890" spans="18:18" ht="15.75" customHeight="1">
      <c r="R890" s="30"/>
    </row>
    <row r="891" spans="18:18" ht="15.75" customHeight="1">
      <c r="R891" s="30"/>
    </row>
    <row r="892" spans="18:18" ht="15.75" customHeight="1">
      <c r="R892" s="30"/>
    </row>
    <row r="893" spans="18:18" ht="15.75" customHeight="1">
      <c r="R893" s="30"/>
    </row>
    <row r="894" spans="18:18" ht="15.75" customHeight="1">
      <c r="R894" s="30"/>
    </row>
    <row r="895" spans="18:18" ht="15.75" customHeight="1">
      <c r="R895" s="30"/>
    </row>
    <row r="896" spans="18:18" ht="15.75" customHeight="1">
      <c r="R896" s="30"/>
    </row>
    <row r="897" spans="18:18" ht="15.75" customHeight="1">
      <c r="R897" s="30"/>
    </row>
    <row r="898" spans="18:18" ht="15.75" customHeight="1">
      <c r="R898" s="30"/>
    </row>
    <row r="899" spans="18:18" ht="15.75" customHeight="1">
      <c r="R899" s="30"/>
    </row>
    <row r="900" spans="18:18" ht="15.75" customHeight="1">
      <c r="R900" s="30"/>
    </row>
    <row r="901" spans="18:18" ht="15.75" customHeight="1">
      <c r="R901" s="30"/>
    </row>
    <row r="902" spans="18:18" ht="15.75" customHeight="1">
      <c r="R902" s="30"/>
    </row>
    <row r="903" spans="18:18" ht="15.75" customHeight="1">
      <c r="R903" s="30"/>
    </row>
    <row r="904" spans="18:18" ht="15.75" customHeight="1">
      <c r="R904" s="30"/>
    </row>
    <row r="905" spans="18:18" ht="15.75" customHeight="1">
      <c r="R905" s="30"/>
    </row>
    <row r="906" spans="18:18" ht="15.75" customHeight="1">
      <c r="R906" s="30"/>
    </row>
    <row r="907" spans="18:18" ht="15.75" customHeight="1">
      <c r="R907" s="30"/>
    </row>
    <row r="908" spans="18:18" ht="15.75" customHeight="1">
      <c r="R908" s="30"/>
    </row>
    <row r="909" spans="18:18" ht="15.75" customHeight="1">
      <c r="R909" s="30"/>
    </row>
    <row r="910" spans="18:18" ht="15.75" customHeight="1">
      <c r="R910" s="30"/>
    </row>
    <row r="911" spans="18:18" ht="15.75" customHeight="1">
      <c r="R911" s="30"/>
    </row>
    <row r="912" spans="18:18" ht="15.75" customHeight="1">
      <c r="R912" s="30"/>
    </row>
    <row r="913" spans="18:18" ht="15.75" customHeight="1">
      <c r="R913" s="30"/>
    </row>
    <row r="914" spans="18:18" ht="15.75" customHeight="1">
      <c r="R914" s="30"/>
    </row>
    <row r="915" spans="18:18" ht="15.75" customHeight="1">
      <c r="R915" s="30"/>
    </row>
    <row r="916" spans="18:18" ht="15.75" customHeight="1">
      <c r="R916" s="30"/>
    </row>
    <row r="917" spans="18:18" ht="15.75" customHeight="1">
      <c r="R917" s="30"/>
    </row>
    <row r="918" spans="18:18" ht="15.75" customHeight="1">
      <c r="R918" s="30"/>
    </row>
    <row r="919" spans="18:18" ht="15.75" customHeight="1">
      <c r="R919" s="30"/>
    </row>
    <row r="920" spans="18:18" ht="15.75" customHeight="1">
      <c r="R920" s="30"/>
    </row>
    <row r="921" spans="18:18" ht="15.75" customHeight="1">
      <c r="R921" s="30"/>
    </row>
    <row r="922" spans="18:18" ht="15.75" customHeight="1">
      <c r="R922" s="30"/>
    </row>
    <row r="923" spans="18:18" ht="15.75" customHeight="1">
      <c r="R923" s="30"/>
    </row>
    <row r="924" spans="18:18" ht="15.75" customHeight="1">
      <c r="R924" s="30"/>
    </row>
    <row r="925" spans="18:18" ht="15.75" customHeight="1">
      <c r="R925" s="30"/>
    </row>
    <row r="926" spans="18:18" ht="15.75" customHeight="1">
      <c r="R926" s="30"/>
    </row>
    <row r="927" spans="18:18" ht="15.75" customHeight="1">
      <c r="R927" s="30"/>
    </row>
    <row r="928" spans="18:18" ht="15.75" customHeight="1">
      <c r="R928" s="30"/>
    </row>
    <row r="929" spans="18:18" ht="15.75" customHeight="1">
      <c r="R929" s="30"/>
    </row>
    <row r="930" spans="18:18" ht="15.75" customHeight="1">
      <c r="R930" s="30"/>
    </row>
    <row r="931" spans="18:18" ht="15.75" customHeight="1">
      <c r="R931" s="30"/>
    </row>
    <row r="932" spans="18:18" ht="15.75" customHeight="1">
      <c r="R932" s="30"/>
    </row>
    <row r="933" spans="18:18" ht="15.75" customHeight="1">
      <c r="R933" s="30"/>
    </row>
    <row r="934" spans="18:18" ht="15.75" customHeight="1">
      <c r="R934" s="30"/>
    </row>
    <row r="935" spans="18:18" ht="15.75" customHeight="1">
      <c r="R935" s="30"/>
    </row>
    <row r="936" spans="18:18" ht="15.75" customHeight="1">
      <c r="R936" s="30"/>
    </row>
    <row r="937" spans="18:18" ht="15.75" customHeight="1">
      <c r="R937" s="30"/>
    </row>
    <row r="938" spans="18:18" ht="15.75" customHeight="1">
      <c r="R938" s="30"/>
    </row>
    <row r="939" spans="18:18" ht="15.75" customHeight="1">
      <c r="R939" s="30"/>
    </row>
    <row r="940" spans="18:18" ht="15.75" customHeight="1">
      <c r="R940" s="30"/>
    </row>
    <row r="941" spans="18:18" ht="15.75" customHeight="1">
      <c r="R941" s="30"/>
    </row>
    <row r="942" spans="18:18" ht="15.75" customHeight="1">
      <c r="R942" s="30"/>
    </row>
    <row r="943" spans="18:18" ht="15.75" customHeight="1">
      <c r="R943" s="30"/>
    </row>
    <row r="944" spans="18:18" ht="15.75" customHeight="1">
      <c r="R944" s="30"/>
    </row>
    <row r="945" spans="18:18" ht="15.75" customHeight="1">
      <c r="R945" s="30"/>
    </row>
    <row r="946" spans="18:18" ht="15.75" customHeight="1">
      <c r="R946" s="30"/>
    </row>
    <row r="947" spans="18:18" ht="15.75" customHeight="1">
      <c r="R947" s="30"/>
    </row>
    <row r="948" spans="18:18" ht="15.75" customHeight="1">
      <c r="R948" s="30"/>
    </row>
    <row r="949" spans="18:18" ht="15.75" customHeight="1">
      <c r="R949" s="30"/>
    </row>
    <row r="950" spans="18:18" ht="15.75" customHeight="1">
      <c r="R950" s="30"/>
    </row>
    <row r="951" spans="18:18" ht="15.75" customHeight="1">
      <c r="R951" s="30"/>
    </row>
    <row r="952" spans="18:18" ht="15.75" customHeight="1">
      <c r="R952" s="30"/>
    </row>
    <row r="953" spans="18:18" ht="15.75" customHeight="1">
      <c r="R953" s="30"/>
    </row>
    <row r="954" spans="18:18" ht="15.75" customHeight="1">
      <c r="R954" s="30"/>
    </row>
    <row r="955" spans="18:18" ht="15.75" customHeight="1">
      <c r="R955" s="30"/>
    </row>
    <row r="956" spans="18:18" ht="15.75" customHeight="1">
      <c r="R956" s="30"/>
    </row>
    <row r="957" spans="18:18" ht="15.75" customHeight="1">
      <c r="R957" s="30"/>
    </row>
    <row r="958" spans="18:18" ht="15.75" customHeight="1">
      <c r="R958" s="30"/>
    </row>
    <row r="959" spans="18:18" ht="15.75" customHeight="1">
      <c r="R959" s="30"/>
    </row>
    <row r="960" spans="18:18" ht="15.75" customHeight="1">
      <c r="R960" s="30"/>
    </row>
    <row r="961" spans="18:18" ht="15.75" customHeight="1">
      <c r="R961" s="30"/>
    </row>
    <row r="962" spans="18:18" ht="15.75" customHeight="1">
      <c r="R962" s="30"/>
    </row>
    <row r="963" spans="18:18" ht="15.75" customHeight="1">
      <c r="R963" s="30"/>
    </row>
    <row r="964" spans="18:18" ht="15.75" customHeight="1">
      <c r="R964" s="30"/>
    </row>
    <row r="965" spans="18:18" ht="15.75" customHeight="1">
      <c r="R965" s="30"/>
    </row>
    <row r="966" spans="18:18" ht="15.75" customHeight="1">
      <c r="R966" s="30"/>
    </row>
    <row r="967" spans="18:18" ht="15.75" customHeight="1">
      <c r="R967" s="30"/>
    </row>
    <row r="968" spans="18:18" ht="15.75" customHeight="1">
      <c r="R968" s="30"/>
    </row>
    <row r="969" spans="18:18" ht="15.75" customHeight="1">
      <c r="R969" s="30"/>
    </row>
    <row r="970" spans="18:18" ht="15.75" customHeight="1">
      <c r="R970" s="30"/>
    </row>
    <row r="971" spans="18:18" ht="15.75" customHeight="1">
      <c r="R971" s="30"/>
    </row>
    <row r="972" spans="18:18" ht="15.75" customHeight="1">
      <c r="R972" s="30"/>
    </row>
    <row r="973" spans="18:18" ht="15.75" customHeight="1">
      <c r="R973" s="30"/>
    </row>
    <row r="974" spans="18:18" ht="15.75" customHeight="1">
      <c r="R974" s="30"/>
    </row>
    <row r="975" spans="18:18" ht="15.75" customHeight="1">
      <c r="R975" s="30"/>
    </row>
    <row r="976" spans="18:18" ht="15.75" customHeight="1">
      <c r="R976" s="30"/>
    </row>
    <row r="977" spans="18:18" ht="15.75" customHeight="1">
      <c r="R977" s="30"/>
    </row>
    <row r="978" spans="18:18" ht="15.75" customHeight="1">
      <c r="R978" s="30"/>
    </row>
    <row r="979" spans="18:18" ht="15.75" customHeight="1">
      <c r="R979" s="30"/>
    </row>
    <row r="980" spans="18:18" ht="15.75" customHeight="1">
      <c r="R980" s="30"/>
    </row>
    <row r="981" spans="18:18" ht="15.75" customHeight="1">
      <c r="R981" s="30"/>
    </row>
    <row r="982" spans="18:18" ht="15.75" customHeight="1">
      <c r="R982" s="30"/>
    </row>
    <row r="983" spans="18:18" ht="15.75" customHeight="1">
      <c r="R983" s="30"/>
    </row>
    <row r="984" spans="18:18" ht="15.75" customHeight="1">
      <c r="R984" s="30"/>
    </row>
    <row r="985" spans="18:18" ht="15.75" customHeight="1">
      <c r="R985" s="30"/>
    </row>
    <row r="986" spans="18:18" ht="15.75" customHeight="1">
      <c r="R986" s="30"/>
    </row>
    <row r="987" spans="18:18" ht="15.75" customHeight="1">
      <c r="R987" s="30"/>
    </row>
    <row r="988" spans="18:18" ht="15.75" customHeight="1">
      <c r="R988" s="30"/>
    </row>
    <row r="989" spans="18:18" ht="15.75" customHeight="1">
      <c r="R989" s="30"/>
    </row>
    <row r="990" spans="18:18" ht="15.75" customHeight="1">
      <c r="R990" s="30"/>
    </row>
    <row r="991" spans="18:18" ht="15.75" customHeight="1">
      <c r="R991" s="30"/>
    </row>
    <row r="992" spans="18:18" ht="15.75" customHeight="1">
      <c r="R992" s="30"/>
    </row>
    <row r="993" spans="18:18" ht="15.75" customHeight="1">
      <c r="R993" s="30"/>
    </row>
    <row r="994" spans="18:18" ht="15.75" customHeight="1">
      <c r="R994" s="30"/>
    </row>
    <row r="995" spans="18:18" ht="15.75" customHeight="1">
      <c r="R995" s="30"/>
    </row>
    <row r="996" spans="18:18" ht="15.75" customHeight="1">
      <c r="R996" s="30"/>
    </row>
    <row r="997" spans="18:18" ht="15.75" customHeight="1">
      <c r="R997" s="30"/>
    </row>
    <row r="998" spans="18:18" ht="15.75" customHeight="1">
      <c r="R998" s="30"/>
    </row>
    <row r="999" spans="18:18" ht="15.75" customHeight="1">
      <c r="R999" s="30"/>
    </row>
    <row r="1000" spans="18:18" ht="15.75" customHeight="1">
      <c r="R1000" s="3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2.6640625" defaultRowHeight="15" customHeight="1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8.6640625" customWidth="1"/>
    <col min="6" max="6" width="10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9.6640625" customWidth="1"/>
    <col min="16" max="16" width="8.1640625" customWidth="1"/>
    <col min="17" max="18" width="7.33203125" customWidth="1"/>
    <col min="19" max="19" width="7.1640625" customWidth="1"/>
    <col min="20" max="20" width="11.1640625" customWidth="1"/>
    <col min="21" max="21" width="13.5" customWidth="1"/>
    <col min="22" max="22" width="22" customWidth="1"/>
    <col min="23" max="24" width="7.6640625" customWidth="1"/>
    <col min="25" max="25" width="8.1640625" customWidth="1"/>
    <col min="26" max="26" width="11.1640625" customWidth="1"/>
    <col min="27" max="27" width="10.6640625" customWidth="1"/>
    <col min="28" max="28" width="9.6640625" customWidth="1"/>
    <col min="29" max="29" width="7.1640625" customWidth="1"/>
    <col min="30" max="30" width="10.83203125" customWidth="1"/>
    <col min="31" max="31" width="7.6640625" customWidth="1"/>
    <col min="32" max="32" width="10.1640625" customWidth="1"/>
    <col min="33" max="33" width="8.83203125" customWidth="1"/>
  </cols>
  <sheetData>
    <row r="1" spans="1:33" ht="18.75" customHeight="1">
      <c r="A1" s="46" t="str">
        <f ca="1">IFERROR(__xludf.DUMMYFUNCTION("IFERROR(VLOOKUP(B2,IMPORTRANGE(""https://docs.google.com/spreadsheets/d/1x0DhHglkXKoEBOD2MBsuK_EyIr1ouxD2ftIpqOYFa-k/edit?usp=sharing"",""Ubiquitty-SKU-Specific Info!B1:BJ5000""),3,FALSE),"""")"),"25 Foot Lighted Outdoor Extension Cord - 10/3 SJTW Orange 10 Gauge Extension Cable with 3 Prong Grounded Plug for Safety - Great for Garden and Major Appliances")</f>
        <v>25 Foot Lighted Outdoor Extension Cord - 10/3 SJTW Orange 10 Gauge Extension Cable with 3 Prong Grounded Plug for Safety - Great for Garden and Major Appliances</v>
      </c>
      <c r="B1" s="47"/>
      <c r="C1" s="48" t="s">
        <v>0</v>
      </c>
      <c r="D1" s="50" t="s">
        <v>1</v>
      </c>
      <c r="E1" s="50" t="s">
        <v>2</v>
      </c>
      <c r="F1" s="52" t="s">
        <v>3</v>
      </c>
      <c r="G1" s="52" t="s">
        <v>4</v>
      </c>
      <c r="H1" s="53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58" t="s">
        <v>10</v>
      </c>
      <c r="N1" s="59" t="s">
        <v>11</v>
      </c>
      <c r="O1" s="50" t="s">
        <v>12</v>
      </c>
      <c r="P1" s="50" t="s">
        <v>13</v>
      </c>
      <c r="Q1" s="57" t="s">
        <v>14</v>
      </c>
      <c r="R1" s="57" t="s">
        <v>15</v>
      </c>
      <c r="S1" s="60" t="s">
        <v>16</v>
      </c>
      <c r="T1" s="62" t="s">
        <v>2006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Info!B1:BJ5000""),2,FALSE),"""")"),"B08NFFYMXK")</f>
        <v>B08NFFYMXK</v>
      </c>
      <c r="B2" s="3" t="s">
        <v>123</v>
      </c>
      <c r="C2" s="49"/>
      <c r="D2" s="49"/>
      <c r="E2" s="51"/>
      <c r="F2" s="49"/>
      <c r="G2" s="49"/>
      <c r="H2" s="54"/>
      <c r="I2" s="49"/>
      <c r="J2" s="49"/>
      <c r="K2" s="54"/>
      <c r="L2" s="54"/>
      <c r="M2" s="54"/>
      <c r="N2" s="49"/>
      <c r="O2" s="49"/>
      <c r="P2" s="51"/>
      <c r="Q2" s="49"/>
      <c r="R2" s="49"/>
      <c r="S2" s="61"/>
      <c r="T2" s="47"/>
      <c r="U2" s="63"/>
      <c r="V2" s="63"/>
      <c r="W2" s="47"/>
      <c r="X2" s="47"/>
      <c r="Y2" s="47"/>
      <c r="Z2" s="47"/>
      <c r="AA2" s="63"/>
      <c r="AB2" s="63"/>
      <c r="AC2" s="63"/>
      <c r="AD2" s="63"/>
      <c r="AE2" s="47"/>
      <c r="AF2" s="47"/>
      <c r="AG2" s="47"/>
    </row>
    <row r="3" spans="1:33" ht="179.25" customHeight="1">
      <c r="A3" s="55" t="s">
        <v>31</v>
      </c>
      <c r="B3" s="56"/>
      <c r="C3" s="4">
        <f>((AE32+AF32)/0.85)*-1</f>
        <v>28.409246611176471</v>
      </c>
      <c r="D3" s="5">
        <f>SUM(D4:D99765)</f>
        <v>104</v>
      </c>
      <c r="E3" s="5"/>
      <c r="F3" s="6">
        <f t="shared" ref="F3:G3" si="0">SUM(F4:F99765)</f>
        <v>4115.8</v>
      </c>
      <c r="G3" s="6">
        <f t="shared" si="0"/>
        <v>0</v>
      </c>
      <c r="H3" s="7">
        <f>G3/F3*-1</f>
        <v>0</v>
      </c>
      <c r="I3" s="8">
        <f>J3/F3</f>
        <v>0.22410670235660266</v>
      </c>
      <c r="J3" s="6">
        <f>SUM(J4:J99765)</f>
        <v>922.37836555930528</v>
      </c>
      <c r="K3" s="6">
        <f>J3/D3</f>
        <v>8.8690227457625515</v>
      </c>
      <c r="L3" s="5"/>
      <c r="M3" s="9"/>
      <c r="N3" s="10"/>
      <c r="O3" s="5" t="str">
        <f ca="1">IFERROR(__xludf.DUMMYFUNCTION("VLOOKUP(B2,IMPORTRANGE(""https://docs.google.com/spreadsheets/d/1N8jvpEHDVkurDv7NrPxwI3eH6hQsvtb1QltGNCalRjU/edit#gid=865736387"",""Compiled Sheet!a1:g5000""),2,FALSE)"),"1 - March
1 - April
1 - May
1 - June
2 - July
2 - Aug
2 - Sept
2 - Oct
2 - Nov
2 - Dec
1 - Jan
1 - Feb")</f>
        <v>1 - March
1 - April
1 - May
1 - June
2 - July
2 - Aug
2 - Sept
2 - Oct
2 - Nov
2 - Dec
1 - Jan
1 -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QTY-72")</f>
        <v>US QTY-72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0</v>
      </c>
      <c r="X3" s="7">
        <f>W3/D3</f>
        <v>0</v>
      </c>
      <c r="Y3" s="6"/>
      <c r="Z3" s="5"/>
      <c r="AA3" s="5"/>
      <c r="AB3" s="5"/>
      <c r="AC3" s="5"/>
      <c r="AD3" s="6">
        <f>SUM(AD4:AD99765)</f>
        <v>-51.056451563194443</v>
      </c>
      <c r="AE3" s="6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Info!B2:BZ3000""),37,FALSE)),"""")*-1"),-17.2678596195)</f>
        <v>-17.267859619500001</v>
      </c>
      <c r="AG3" s="6">
        <f>SUM(AG4:AG99765)</f>
        <v>0</v>
      </c>
    </row>
    <row r="4" spans="1:33" ht="15.75" hidden="1" customHeight="1">
      <c r="A4" s="14"/>
      <c r="B4" s="14"/>
      <c r="C4" s="15"/>
      <c r="D4" s="16"/>
      <c r="E4" s="16"/>
      <c r="F4" s="17"/>
      <c r="G4" s="17"/>
      <c r="H4" s="18"/>
      <c r="I4" s="18"/>
      <c r="J4" s="17"/>
      <c r="K4" s="17"/>
      <c r="L4" s="16"/>
      <c r="M4" s="19"/>
      <c r="N4" s="16"/>
      <c r="O4" s="20"/>
      <c r="P4" s="20"/>
      <c r="Q4" s="16"/>
      <c r="R4" s="16"/>
      <c r="S4" s="21"/>
      <c r="T4" s="14"/>
      <c r="U4" s="22"/>
      <c r="V4" s="23"/>
      <c r="W4" s="14"/>
      <c r="X4" s="24"/>
      <c r="Y4" s="25"/>
      <c r="Z4" s="14"/>
      <c r="AA4" s="26"/>
      <c r="AB4" s="27"/>
      <c r="AC4" s="28"/>
      <c r="AD4" s="25"/>
      <c r="AE4" s="25"/>
      <c r="AF4" s="25"/>
      <c r="AG4" s="25"/>
    </row>
    <row r="5" spans="1:33" ht="15.75" hidden="1" customHeight="1">
      <c r="A5" s="14"/>
      <c r="B5" s="14"/>
      <c r="C5" s="15"/>
      <c r="D5" s="16"/>
      <c r="E5" s="16"/>
      <c r="F5" s="29"/>
      <c r="G5" s="29"/>
      <c r="H5" s="18"/>
      <c r="I5" s="18"/>
      <c r="J5" s="17"/>
      <c r="K5" s="17"/>
      <c r="L5" s="16"/>
      <c r="M5" s="19"/>
      <c r="N5" s="16"/>
      <c r="O5" s="20"/>
      <c r="P5" s="20"/>
      <c r="Q5" s="16"/>
      <c r="R5" s="16"/>
      <c r="S5" s="21"/>
      <c r="T5" s="14"/>
      <c r="U5" s="22"/>
      <c r="V5" s="23"/>
      <c r="W5" s="14"/>
      <c r="X5" s="24"/>
      <c r="Y5" s="25"/>
      <c r="Z5" s="14"/>
      <c r="AA5" s="14"/>
      <c r="AB5" s="27"/>
      <c r="AC5" s="28"/>
      <c r="AD5" s="25"/>
      <c r="AE5" s="25"/>
      <c r="AF5" s="25"/>
      <c r="AG5" s="25"/>
    </row>
    <row r="6" spans="1:33" ht="15.75" hidden="1" customHeight="1">
      <c r="A6" s="14"/>
      <c r="B6" s="14"/>
      <c r="C6" s="15"/>
      <c r="D6" s="16"/>
      <c r="E6" s="16"/>
      <c r="F6" s="29"/>
      <c r="G6" s="29"/>
      <c r="H6" s="18"/>
      <c r="I6" s="18"/>
      <c r="J6" s="17"/>
      <c r="K6" s="17"/>
      <c r="L6" s="16"/>
      <c r="M6" s="19"/>
      <c r="N6" s="16"/>
      <c r="O6" s="20"/>
      <c r="P6" s="20"/>
      <c r="Q6" s="16"/>
      <c r="R6" s="16"/>
      <c r="S6" s="21"/>
      <c r="T6" s="14"/>
      <c r="U6" s="22"/>
      <c r="V6" s="23"/>
      <c r="W6" s="14"/>
      <c r="X6" s="24"/>
      <c r="Y6" s="25"/>
      <c r="Z6" s="14"/>
      <c r="AA6" s="14"/>
      <c r="AB6" s="27"/>
      <c r="AC6" s="28"/>
      <c r="AD6" s="25"/>
      <c r="AE6" s="25"/>
      <c r="AF6" s="25"/>
      <c r="AG6" s="25"/>
    </row>
    <row r="7" spans="1:33" ht="15.75" hidden="1" customHeight="1">
      <c r="A7" s="14"/>
      <c r="B7" s="14"/>
      <c r="C7" s="15"/>
      <c r="D7" s="16"/>
      <c r="E7" s="16"/>
      <c r="F7" s="29"/>
      <c r="G7" s="29"/>
      <c r="H7" s="18"/>
      <c r="I7" s="18"/>
      <c r="J7" s="17"/>
      <c r="K7" s="17"/>
      <c r="L7" s="16"/>
      <c r="M7" s="19"/>
      <c r="N7" s="16"/>
      <c r="O7" s="20"/>
      <c r="P7" s="20"/>
      <c r="Q7" s="16"/>
      <c r="R7" s="16"/>
      <c r="S7" s="21"/>
      <c r="T7" s="14"/>
      <c r="U7" s="22"/>
      <c r="V7" s="23"/>
      <c r="W7" s="14"/>
      <c r="X7" s="24"/>
      <c r="Y7" s="25"/>
      <c r="Z7" s="14"/>
      <c r="AA7" s="14"/>
      <c r="AB7" s="27"/>
      <c r="AC7" s="28"/>
      <c r="AD7" s="25"/>
      <c r="AE7" s="25"/>
      <c r="AF7" s="25"/>
      <c r="AG7" s="25"/>
    </row>
    <row r="8" spans="1:33" ht="15.75" hidden="1" customHeight="1">
      <c r="A8" s="14"/>
      <c r="B8" s="14"/>
      <c r="C8" s="15"/>
      <c r="D8" s="16"/>
      <c r="E8" s="16"/>
      <c r="F8" s="29"/>
      <c r="G8" s="29"/>
      <c r="H8" s="18"/>
      <c r="I8" s="18"/>
      <c r="J8" s="17"/>
      <c r="K8" s="17"/>
      <c r="L8" s="16"/>
      <c r="M8" s="19"/>
      <c r="N8" s="16"/>
      <c r="O8" s="20"/>
      <c r="P8" s="20"/>
      <c r="Q8" s="16"/>
      <c r="R8" s="16"/>
      <c r="S8" s="21"/>
      <c r="T8" s="14"/>
      <c r="U8" s="22"/>
      <c r="V8" s="23"/>
      <c r="W8" s="14"/>
      <c r="X8" s="24"/>
      <c r="Y8" s="25"/>
      <c r="Z8" s="14"/>
      <c r="AA8" s="14"/>
      <c r="AB8" s="27"/>
      <c r="AC8" s="28"/>
      <c r="AD8" s="25"/>
      <c r="AE8" s="25"/>
      <c r="AF8" s="25"/>
      <c r="AG8" s="25"/>
    </row>
    <row r="9" spans="1:33" ht="15.75" hidden="1" customHeight="1">
      <c r="A9" s="14"/>
      <c r="B9" s="14"/>
      <c r="C9" s="15"/>
      <c r="D9" s="16"/>
      <c r="E9" s="16"/>
      <c r="F9" s="29"/>
      <c r="G9" s="29"/>
      <c r="H9" s="18"/>
      <c r="I9" s="18"/>
      <c r="J9" s="17"/>
      <c r="K9" s="17"/>
      <c r="L9" s="16"/>
      <c r="M9" s="19"/>
      <c r="N9" s="16"/>
      <c r="O9" s="20"/>
      <c r="P9" s="20"/>
      <c r="Q9" s="16"/>
      <c r="R9" s="16"/>
      <c r="S9" s="21"/>
      <c r="T9" s="14"/>
      <c r="U9" s="22"/>
      <c r="V9" s="23"/>
      <c r="W9" s="14"/>
      <c r="X9" s="24"/>
      <c r="Y9" s="25"/>
      <c r="Z9" s="14"/>
      <c r="AA9" s="14"/>
      <c r="AB9" s="27"/>
      <c r="AC9" s="28"/>
      <c r="AD9" s="25"/>
      <c r="AE9" s="25"/>
      <c r="AF9" s="25"/>
      <c r="AG9" s="25"/>
    </row>
    <row r="10" spans="1:33" ht="15.75" hidden="1" customHeight="1">
      <c r="A10" s="14"/>
      <c r="B10" s="14"/>
      <c r="C10" s="15"/>
      <c r="D10" s="16"/>
      <c r="E10" s="16"/>
      <c r="F10" s="29"/>
      <c r="G10" s="29"/>
      <c r="H10" s="18"/>
      <c r="I10" s="18"/>
      <c r="J10" s="17"/>
      <c r="K10" s="17"/>
      <c r="L10" s="16"/>
      <c r="M10" s="19"/>
      <c r="N10" s="16"/>
      <c r="O10" s="20"/>
      <c r="P10" s="20"/>
      <c r="Q10" s="16"/>
      <c r="R10" s="16"/>
      <c r="S10" s="21"/>
      <c r="T10" s="14"/>
      <c r="U10" s="22"/>
      <c r="V10" s="23"/>
      <c r="W10" s="14"/>
      <c r="X10" s="24"/>
      <c r="Y10" s="25"/>
      <c r="Z10" s="14"/>
      <c r="AA10" s="14"/>
      <c r="AB10" s="27"/>
      <c r="AC10" s="28"/>
      <c r="AD10" s="25"/>
      <c r="AE10" s="25"/>
      <c r="AF10" s="25"/>
      <c r="AG10" s="25"/>
    </row>
    <row r="11" spans="1:33" ht="15.75" hidden="1" customHeight="1">
      <c r="A11" s="14"/>
      <c r="B11" s="14"/>
      <c r="C11" s="15"/>
      <c r="D11" s="16"/>
      <c r="E11" s="16"/>
      <c r="F11" s="29"/>
      <c r="G11" s="29"/>
      <c r="H11" s="18"/>
      <c r="I11" s="18"/>
      <c r="J11" s="17"/>
      <c r="K11" s="17"/>
      <c r="L11" s="16"/>
      <c r="M11" s="19"/>
      <c r="N11" s="16"/>
      <c r="O11" s="20"/>
      <c r="P11" s="20"/>
      <c r="Q11" s="16"/>
      <c r="R11" s="16"/>
      <c r="S11" s="21"/>
      <c r="T11" s="14"/>
      <c r="U11" s="22"/>
      <c r="V11" s="23"/>
      <c r="W11" s="14"/>
      <c r="X11" s="24"/>
      <c r="Y11" s="25"/>
      <c r="Z11" s="14"/>
      <c r="AA11" s="14"/>
      <c r="AB11" s="27"/>
      <c r="AC11" s="28"/>
      <c r="AD11" s="25"/>
      <c r="AE11" s="25"/>
      <c r="AF11" s="25"/>
      <c r="AG11" s="25"/>
    </row>
    <row r="12" spans="1:33" ht="15.75" hidden="1" customHeight="1">
      <c r="A12" s="14"/>
      <c r="B12" s="14"/>
      <c r="C12" s="15"/>
      <c r="D12" s="16"/>
      <c r="E12" s="16"/>
      <c r="F12" s="29"/>
      <c r="G12" s="29"/>
      <c r="H12" s="18"/>
      <c r="I12" s="18"/>
      <c r="J12" s="17"/>
      <c r="K12" s="17"/>
      <c r="L12" s="16"/>
      <c r="M12" s="19"/>
      <c r="N12" s="16"/>
      <c r="O12" s="20"/>
      <c r="P12" s="20"/>
      <c r="Q12" s="16"/>
      <c r="R12" s="16"/>
      <c r="S12" s="21"/>
      <c r="T12" s="14"/>
      <c r="U12" s="22"/>
      <c r="V12" s="23"/>
      <c r="W12" s="14"/>
      <c r="X12" s="24"/>
      <c r="Y12" s="25"/>
      <c r="Z12" s="14"/>
      <c r="AA12" s="14"/>
      <c r="AB12" s="27"/>
      <c r="AC12" s="28"/>
      <c r="AD12" s="25"/>
      <c r="AE12" s="25"/>
      <c r="AF12" s="25"/>
      <c r="AG12" s="25"/>
    </row>
    <row r="13" spans="1:33" ht="15.75" hidden="1" customHeight="1">
      <c r="A13" s="14"/>
      <c r="B13" s="14"/>
      <c r="C13" s="15"/>
      <c r="D13" s="16"/>
      <c r="E13" s="16"/>
      <c r="F13" s="17"/>
      <c r="G13" s="29"/>
      <c r="H13" s="18"/>
      <c r="I13" s="18"/>
      <c r="J13" s="17"/>
      <c r="K13" s="17"/>
      <c r="L13" s="16"/>
      <c r="M13" s="19"/>
      <c r="N13" s="16"/>
      <c r="O13" s="20"/>
      <c r="P13" s="20"/>
      <c r="Q13" s="16"/>
      <c r="R13" s="16"/>
      <c r="S13" s="21"/>
      <c r="T13" s="14"/>
      <c r="U13" s="22"/>
      <c r="V13" s="23"/>
      <c r="W13" s="14"/>
      <c r="X13" s="24"/>
      <c r="Y13" s="25"/>
      <c r="Z13" s="14"/>
      <c r="AA13" s="14"/>
      <c r="AB13" s="27"/>
      <c r="AC13" s="28"/>
      <c r="AD13" s="25"/>
      <c r="AE13" s="25"/>
      <c r="AF13" s="25"/>
      <c r="AG13" s="25"/>
    </row>
    <row r="14" spans="1:33" ht="15.75" hidden="1" customHeight="1">
      <c r="A14" s="14"/>
      <c r="B14" s="14"/>
      <c r="C14" s="15"/>
      <c r="D14" s="16"/>
      <c r="E14" s="16"/>
      <c r="F14" s="17"/>
      <c r="G14" s="29"/>
      <c r="H14" s="18"/>
      <c r="I14" s="18"/>
      <c r="J14" s="17"/>
      <c r="K14" s="17"/>
      <c r="L14" s="16"/>
      <c r="M14" s="19"/>
      <c r="N14" s="16"/>
      <c r="O14" s="20"/>
      <c r="P14" s="20"/>
      <c r="Q14" s="16"/>
      <c r="R14" s="16"/>
      <c r="S14" s="21"/>
      <c r="T14" s="14"/>
      <c r="U14" s="22"/>
      <c r="V14" s="23"/>
      <c r="W14" s="14"/>
      <c r="X14" s="24"/>
      <c r="Y14" s="25"/>
      <c r="Z14" s="14"/>
      <c r="AA14" s="14"/>
      <c r="AB14" s="27"/>
      <c r="AC14" s="28"/>
      <c r="AD14" s="25"/>
      <c r="AE14" s="25"/>
      <c r="AF14" s="25"/>
      <c r="AG14" s="25"/>
    </row>
    <row r="15" spans="1:33" ht="15.75" hidden="1" customHeight="1">
      <c r="A15" s="14"/>
      <c r="B15" s="14"/>
      <c r="C15" s="15"/>
      <c r="D15" s="16"/>
      <c r="E15" s="16"/>
      <c r="F15" s="17"/>
      <c r="G15" s="29"/>
      <c r="H15" s="18"/>
      <c r="I15" s="18"/>
      <c r="J15" s="17"/>
      <c r="K15" s="17"/>
      <c r="L15" s="16"/>
      <c r="M15" s="19"/>
      <c r="N15" s="16"/>
      <c r="O15" s="20"/>
      <c r="P15" s="20"/>
      <c r="Q15" s="16"/>
      <c r="R15" s="16"/>
      <c r="S15" s="21"/>
      <c r="T15" s="14"/>
      <c r="U15" s="22"/>
      <c r="V15" s="23"/>
      <c r="W15" s="14"/>
      <c r="X15" s="24"/>
      <c r="Y15" s="25"/>
      <c r="Z15" s="14"/>
      <c r="AA15" s="14"/>
      <c r="AB15" s="27"/>
      <c r="AC15" s="28"/>
      <c r="AD15" s="25"/>
      <c r="AE15" s="25"/>
      <c r="AF15" s="25"/>
      <c r="AG15" s="25"/>
    </row>
    <row r="16" spans="1:33" ht="15.75" hidden="1" customHeight="1">
      <c r="A16" s="14"/>
      <c r="B16" s="14"/>
      <c r="C16" s="15"/>
      <c r="D16" s="16"/>
      <c r="E16" s="16"/>
      <c r="F16" s="17"/>
      <c r="G16" s="29"/>
      <c r="H16" s="18"/>
      <c r="I16" s="18"/>
      <c r="J16" s="17"/>
      <c r="K16" s="17"/>
      <c r="L16" s="16"/>
      <c r="M16" s="19"/>
      <c r="N16" s="16"/>
      <c r="O16" s="20"/>
      <c r="P16" s="20"/>
      <c r="Q16" s="16"/>
      <c r="R16" s="16"/>
      <c r="S16" s="21"/>
      <c r="T16" s="14"/>
      <c r="U16" s="22"/>
      <c r="V16" s="23"/>
      <c r="W16" s="14"/>
      <c r="X16" s="24"/>
      <c r="Y16" s="25"/>
      <c r="Z16" s="14"/>
      <c r="AA16" s="14"/>
      <c r="AB16" s="27"/>
      <c r="AC16" s="28"/>
      <c r="AD16" s="25"/>
      <c r="AE16" s="25"/>
      <c r="AF16" s="25"/>
      <c r="AG16" s="25"/>
    </row>
    <row r="17" spans="1:33" ht="15.75" hidden="1" customHeight="1">
      <c r="A17" s="14"/>
      <c r="B17" s="14"/>
      <c r="C17" s="15"/>
      <c r="D17" s="16"/>
      <c r="E17" s="16"/>
      <c r="F17" s="17"/>
      <c r="G17" s="29"/>
      <c r="H17" s="18"/>
      <c r="I17" s="18"/>
      <c r="J17" s="17"/>
      <c r="K17" s="17"/>
      <c r="L17" s="16"/>
      <c r="M17" s="19"/>
      <c r="N17" s="16"/>
      <c r="O17" s="20"/>
      <c r="P17" s="20"/>
      <c r="Q17" s="16"/>
      <c r="R17" s="16"/>
      <c r="S17" s="21"/>
      <c r="T17" s="14"/>
      <c r="U17" s="22"/>
      <c r="V17" s="23"/>
      <c r="W17" s="14"/>
      <c r="X17" s="24"/>
      <c r="Y17" s="25"/>
      <c r="Z17" s="14"/>
      <c r="AA17" s="14"/>
      <c r="AB17" s="27"/>
      <c r="AC17" s="28"/>
      <c r="AD17" s="25"/>
      <c r="AE17" s="25"/>
      <c r="AF17" s="25"/>
      <c r="AG17" s="25"/>
    </row>
    <row r="18" spans="1:33" ht="15.75" hidden="1" customHeight="1">
      <c r="A18" s="14"/>
      <c r="B18" s="14"/>
      <c r="C18" s="15"/>
      <c r="D18" s="16"/>
      <c r="E18" s="16"/>
      <c r="F18" s="17"/>
      <c r="G18" s="29"/>
      <c r="H18" s="18"/>
      <c r="I18" s="18"/>
      <c r="J18" s="17"/>
      <c r="K18" s="17"/>
      <c r="L18" s="16"/>
      <c r="M18" s="19"/>
      <c r="N18" s="16"/>
      <c r="O18" s="20"/>
      <c r="P18" s="20"/>
      <c r="Q18" s="16"/>
      <c r="R18" s="16"/>
      <c r="S18" s="21"/>
      <c r="T18" s="14"/>
      <c r="U18" s="22"/>
      <c r="V18" s="23"/>
      <c r="W18" s="14"/>
      <c r="X18" s="24"/>
      <c r="Y18" s="25"/>
      <c r="Z18" s="14"/>
      <c r="AA18" s="14"/>
      <c r="AB18" s="27"/>
      <c r="AC18" s="28"/>
      <c r="AD18" s="25"/>
      <c r="AE18" s="25"/>
      <c r="AF18" s="25"/>
      <c r="AG18" s="25"/>
    </row>
    <row r="19" spans="1:33" ht="15.75" customHeight="1">
      <c r="A19" s="14" t="s">
        <v>44</v>
      </c>
      <c r="B19" s="14" t="s">
        <v>124</v>
      </c>
      <c r="C19" s="15">
        <f t="shared" ref="C19:C32" si="1">IFERROR(F19/D19," - ")</f>
        <v>31.99</v>
      </c>
      <c r="D19" s="16">
        <v>5</v>
      </c>
      <c r="E19" s="16">
        <v>0</v>
      </c>
      <c r="F19" s="17">
        <v>159.94999999999999</v>
      </c>
      <c r="G19" s="29">
        <v>0</v>
      </c>
      <c r="H19" s="18">
        <f t="shared" ref="H19:H32" si="2">G19/F19*-1</f>
        <v>0</v>
      </c>
      <c r="I19" s="18">
        <f t="shared" ref="I19:I32" si="3">J19/F19</f>
        <v>0.13115383279497048</v>
      </c>
      <c r="J19" s="17">
        <f t="shared" ref="J19:J32" si="4">F19*0.85+G19+AF19*D19+D19*AE19+AG19+AD19</f>
        <v>20.978055555555525</v>
      </c>
      <c r="K19" s="17">
        <f t="shared" ref="K19:K32" si="5">J19/D19</f>
        <v>4.1956111111111047</v>
      </c>
      <c r="L19" s="16">
        <v>7</v>
      </c>
      <c r="M19" s="19">
        <f t="shared" ref="M19:M32" si="6">IFERROR(D19/L19,"-")</f>
        <v>0.7142857142857143</v>
      </c>
      <c r="N19" s="16">
        <v>44</v>
      </c>
      <c r="O19" s="20">
        <f t="shared" ref="O19:P19" si="7">D19/7</f>
        <v>0.7142857142857143</v>
      </c>
      <c r="P19" s="20">
        <f t="shared" si="7"/>
        <v>0</v>
      </c>
      <c r="Q19" s="16">
        <f t="shared" ref="Q19:Q32" si="8">ROUNDDOWN(N19/(O19+P19),0)</f>
        <v>61</v>
      </c>
      <c r="R19" s="16"/>
      <c r="S19" s="21">
        <v>0</v>
      </c>
      <c r="T19" s="14">
        <v>60</v>
      </c>
      <c r="U19" s="22">
        <v>60</v>
      </c>
      <c r="V19" s="23" t="s">
        <v>125</v>
      </c>
      <c r="W19" s="14">
        <v>0</v>
      </c>
      <c r="X19" s="24">
        <f t="shared" ref="X19:X32" si="9">IFERROR(W19/D19,0)</f>
        <v>0</v>
      </c>
      <c r="Y19" s="25">
        <f t="shared" ref="Y19:Y32" si="10">IFERROR(G19/(W19+Z19)*-1,0)</f>
        <v>0</v>
      </c>
      <c r="Z19" s="14">
        <v>0</v>
      </c>
      <c r="AA19" s="14" t="s">
        <v>35</v>
      </c>
      <c r="AB19" s="27">
        <f t="shared" ref="AB19:AB32" si="11">IF(OR(AA19="UsLargeStandardSize",AA19="UsSmallStandardSize"),-0.69,-0.48)</f>
        <v>-0.69</v>
      </c>
      <c r="AC19" s="28">
        <v>4.6296296296296294E-3</v>
      </c>
      <c r="AD19" s="25">
        <f t="shared" ref="AD19:AD32" si="12">IFERROR(AB19*AC19*D19*2,0)</f>
        <v>-3.1944444444444442E-2</v>
      </c>
      <c r="AE19" s="25">
        <v>-5.42</v>
      </c>
      <c r="AF19" s="25">
        <v>-17.569500000000001</v>
      </c>
      <c r="AG19" s="25">
        <v>0</v>
      </c>
    </row>
    <row r="20" spans="1:33" ht="15.75" customHeight="1">
      <c r="A20" s="14" t="s">
        <v>46</v>
      </c>
      <c r="B20" s="14" t="s">
        <v>126</v>
      </c>
      <c r="C20" s="15">
        <f t="shared" si="1"/>
        <v>31.99</v>
      </c>
      <c r="D20" s="16">
        <v>4</v>
      </c>
      <c r="E20" s="16">
        <v>0</v>
      </c>
      <c r="F20" s="17">
        <v>127.96</v>
      </c>
      <c r="G20" s="29">
        <v>0</v>
      </c>
      <c r="H20" s="18">
        <f t="shared" si="2"/>
        <v>0</v>
      </c>
      <c r="I20" s="18">
        <f t="shared" si="3"/>
        <v>6.7727444144871529E-2</v>
      </c>
      <c r="J20" s="17">
        <f t="shared" si="4"/>
        <v>8.6664037527777609</v>
      </c>
      <c r="K20" s="17">
        <f t="shared" si="5"/>
        <v>2.1666009381944402</v>
      </c>
      <c r="L20" s="16">
        <v>7</v>
      </c>
      <c r="M20" s="19">
        <f t="shared" si="6"/>
        <v>0.5714285714285714</v>
      </c>
      <c r="N20" s="16">
        <v>38</v>
      </c>
      <c r="O20" s="20">
        <f t="shared" ref="O20:P20" si="13">D20/7</f>
        <v>0.5714285714285714</v>
      </c>
      <c r="P20" s="20">
        <f t="shared" si="13"/>
        <v>0</v>
      </c>
      <c r="Q20" s="16">
        <f t="shared" si="8"/>
        <v>66</v>
      </c>
      <c r="R20" s="16"/>
      <c r="S20" s="21">
        <v>0.17499999999999999</v>
      </c>
      <c r="T20" s="14">
        <v>60</v>
      </c>
      <c r="U20" s="22">
        <v>60</v>
      </c>
      <c r="V20" s="23" t="s">
        <v>125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14" t="s">
        <v>35</v>
      </c>
      <c r="AB20" s="27">
        <f t="shared" si="11"/>
        <v>-0.69</v>
      </c>
      <c r="AC20" s="28">
        <v>0.37347758101851852</v>
      </c>
      <c r="AD20" s="25">
        <f t="shared" si="12"/>
        <v>-2.061596247222222</v>
      </c>
      <c r="AE20" s="25">
        <v>-6.94</v>
      </c>
      <c r="AF20" s="25">
        <v>-17.569500000000001</v>
      </c>
      <c r="AG20" s="25">
        <v>0</v>
      </c>
    </row>
    <row r="21" spans="1:33" ht="15.75" customHeight="1">
      <c r="A21" s="14" t="s">
        <v>47</v>
      </c>
      <c r="B21" s="14" t="s">
        <v>127</v>
      </c>
      <c r="C21" s="15">
        <f t="shared" si="1"/>
        <v>32.81666666666667</v>
      </c>
      <c r="D21" s="16">
        <v>6</v>
      </c>
      <c r="E21" s="16">
        <v>0</v>
      </c>
      <c r="F21" s="17">
        <v>196.9</v>
      </c>
      <c r="G21" s="29">
        <v>0</v>
      </c>
      <c r="H21" s="18">
        <f t="shared" si="2"/>
        <v>0</v>
      </c>
      <c r="I21" s="18">
        <f t="shared" si="3"/>
        <v>8.7433243418825163E-2</v>
      </c>
      <c r="J21" s="17">
        <f t="shared" si="4"/>
        <v>17.215605629166674</v>
      </c>
      <c r="K21" s="17">
        <f t="shared" si="5"/>
        <v>2.8692676048611125</v>
      </c>
      <c r="L21" s="16">
        <v>7</v>
      </c>
      <c r="M21" s="19">
        <f t="shared" si="6"/>
        <v>0.8571428571428571</v>
      </c>
      <c r="N21" s="16">
        <v>24</v>
      </c>
      <c r="O21" s="20">
        <f t="shared" ref="O21:P21" si="14">D21/7</f>
        <v>0.8571428571428571</v>
      </c>
      <c r="P21" s="20">
        <f t="shared" si="14"/>
        <v>0</v>
      </c>
      <c r="Q21" s="16">
        <f t="shared" si="8"/>
        <v>28</v>
      </c>
      <c r="R21" s="16"/>
      <c r="S21" s="21">
        <v>1.25</v>
      </c>
      <c r="T21" s="14">
        <v>60</v>
      </c>
      <c r="U21" s="22">
        <v>60</v>
      </c>
      <c r="V21" s="23" t="s">
        <v>128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14" t="s">
        <v>35</v>
      </c>
      <c r="AB21" s="27">
        <f t="shared" si="11"/>
        <v>-0.69</v>
      </c>
      <c r="AC21" s="28">
        <v>0.37347758101851852</v>
      </c>
      <c r="AD21" s="25">
        <f t="shared" si="12"/>
        <v>-3.092394370833333</v>
      </c>
      <c r="AE21" s="25">
        <v>-6.94</v>
      </c>
      <c r="AF21" s="25">
        <v>-17.569500000000001</v>
      </c>
      <c r="AG21" s="25">
        <v>0</v>
      </c>
    </row>
    <row r="22" spans="1:33" ht="15.75" customHeight="1">
      <c r="A22" s="14" t="s">
        <v>48</v>
      </c>
      <c r="B22" s="14" t="s">
        <v>129</v>
      </c>
      <c r="C22" s="15">
        <f t="shared" si="1"/>
        <v>37.450000000000003</v>
      </c>
      <c r="D22" s="16">
        <v>2</v>
      </c>
      <c r="E22" s="16">
        <v>1</v>
      </c>
      <c r="F22" s="29">
        <v>74.900000000000006</v>
      </c>
      <c r="G22" s="29">
        <v>0</v>
      </c>
      <c r="H22" s="18">
        <f t="shared" si="2"/>
        <v>0</v>
      </c>
      <c r="I22" s="18">
        <f t="shared" si="3"/>
        <v>0.18177839621346983</v>
      </c>
      <c r="J22" s="17">
        <f t="shared" si="4"/>
        <v>13.615201876388891</v>
      </c>
      <c r="K22" s="17">
        <f t="shared" si="5"/>
        <v>6.8076009381944456</v>
      </c>
      <c r="L22" s="16">
        <v>21</v>
      </c>
      <c r="M22" s="19">
        <f t="shared" si="6"/>
        <v>9.5238095238095233E-2</v>
      </c>
      <c r="N22" s="16">
        <v>30</v>
      </c>
      <c r="O22" s="20">
        <f t="shared" ref="O22:P22" si="15">D22/7</f>
        <v>0.2857142857142857</v>
      </c>
      <c r="P22" s="20">
        <f t="shared" si="15"/>
        <v>0.14285714285714285</v>
      </c>
      <c r="Q22" s="16">
        <f t="shared" si="8"/>
        <v>70</v>
      </c>
      <c r="R22" s="16"/>
      <c r="S22" s="21">
        <v>1.13333333333333</v>
      </c>
      <c r="T22" s="14">
        <v>60</v>
      </c>
      <c r="U22" s="22">
        <v>60</v>
      </c>
      <c r="V22" s="23" t="s">
        <v>128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35</v>
      </c>
      <c r="AB22" s="27">
        <f t="shared" si="11"/>
        <v>-0.69</v>
      </c>
      <c r="AC22" s="28">
        <v>0.37347758101851852</v>
      </c>
      <c r="AD22" s="25">
        <f t="shared" si="12"/>
        <v>-1.030798123611111</v>
      </c>
      <c r="AE22" s="25">
        <v>-6.94</v>
      </c>
      <c r="AF22" s="25">
        <v>-17.569500000000001</v>
      </c>
      <c r="AG22" s="25">
        <v>0</v>
      </c>
    </row>
    <row r="23" spans="1:33" ht="15.75" customHeight="1">
      <c r="A23" s="14" t="s">
        <v>49</v>
      </c>
      <c r="B23" s="14" t="s">
        <v>68</v>
      </c>
      <c r="C23" s="15">
        <f t="shared" si="1"/>
        <v>37.298571428571428</v>
      </c>
      <c r="D23" s="16">
        <v>14</v>
      </c>
      <c r="E23" s="16">
        <v>0</v>
      </c>
      <c r="F23" s="17">
        <v>522.17999999999995</v>
      </c>
      <c r="G23" s="29">
        <v>0</v>
      </c>
      <c r="H23" s="18">
        <f t="shared" si="2"/>
        <v>0</v>
      </c>
      <c r="I23" s="18">
        <f t="shared" si="3"/>
        <v>0.17906548150967513</v>
      </c>
      <c r="J23" s="17">
        <f t="shared" si="4"/>
        <v>93.504413134722157</v>
      </c>
      <c r="K23" s="17">
        <f t="shared" si="5"/>
        <v>6.6788866524801538</v>
      </c>
      <c r="L23" s="16">
        <v>21</v>
      </c>
      <c r="M23" s="19">
        <f t="shared" si="6"/>
        <v>0.66666666666666663</v>
      </c>
      <c r="N23" s="16">
        <v>21</v>
      </c>
      <c r="O23" s="20">
        <f t="shared" ref="O23:P23" si="16">D23/7</f>
        <v>2</v>
      </c>
      <c r="P23" s="20">
        <f t="shared" si="16"/>
        <v>0</v>
      </c>
      <c r="Q23" s="16">
        <f t="shared" si="8"/>
        <v>10</v>
      </c>
      <c r="R23" s="16"/>
      <c r="S23" s="21">
        <v>1.6923076923076901</v>
      </c>
      <c r="T23" s="14">
        <v>60</v>
      </c>
      <c r="U23" s="22">
        <v>60</v>
      </c>
      <c r="V23" s="23" t="s">
        <v>128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35</v>
      </c>
      <c r="AB23" s="27">
        <f t="shared" si="11"/>
        <v>-0.69</v>
      </c>
      <c r="AC23" s="28">
        <v>0.37347758101851852</v>
      </c>
      <c r="AD23" s="25">
        <f t="shared" si="12"/>
        <v>-7.2155868652777766</v>
      </c>
      <c r="AE23" s="25">
        <v>-6.94</v>
      </c>
      <c r="AF23" s="25">
        <v>-17.569500000000001</v>
      </c>
      <c r="AG23" s="25">
        <v>0</v>
      </c>
    </row>
    <row r="24" spans="1:33" ht="15.75" customHeight="1">
      <c r="A24" s="14" t="s">
        <v>50</v>
      </c>
      <c r="B24" s="14" t="s">
        <v>130</v>
      </c>
      <c r="C24" s="15">
        <f t="shared" si="1"/>
        <v>37.024444444444441</v>
      </c>
      <c r="D24" s="16">
        <v>9</v>
      </c>
      <c r="E24" s="16">
        <v>1</v>
      </c>
      <c r="F24" s="17">
        <v>333.21999999999997</v>
      </c>
      <c r="G24" s="17">
        <v>0</v>
      </c>
      <c r="H24" s="18">
        <f t="shared" si="2"/>
        <v>0</v>
      </c>
      <c r="I24" s="18">
        <f t="shared" si="3"/>
        <v>0.17409791862358187</v>
      </c>
      <c r="J24" s="17">
        <f t="shared" si="4"/>
        <v>58.01290844374995</v>
      </c>
      <c r="K24" s="17">
        <f t="shared" si="5"/>
        <v>6.4458787159722171</v>
      </c>
      <c r="L24" s="16">
        <v>23</v>
      </c>
      <c r="M24" s="19">
        <f t="shared" si="6"/>
        <v>0.39130434782608697</v>
      </c>
      <c r="N24" s="16">
        <v>10</v>
      </c>
      <c r="O24" s="20">
        <f t="shared" ref="O24:P24" si="17">D24/7</f>
        <v>1.2857142857142858</v>
      </c>
      <c r="P24" s="20">
        <f t="shared" si="17"/>
        <v>0.14285714285714285</v>
      </c>
      <c r="Q24" s="16">
        <f t="shared" si="8"/>
        <v>7</v>
      </c>
      <c r="R24" s="16"/>
      <c r="S24" s="21">
        <v>1.2280701754385901</v>
      </c>
      <c r="T24" s="14">
        <v>60</v>
      </c>
      <c r="U24" s="22">
        <v>60</v>
      </c>
      <c r="V24" s="23" t="s">
        <v>131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14" t="s">
        <v>35</v>
      </c>
      <c r="AB24" s="27">
        <f t="shared" si="11"/>
        <v>-0.69</v>
      </c>
      <c r="AC24" s="28">
        <v>0.37347758101851852</v>
      </c>
      <c r="AD24" s="25">
        <f t="shared" si="12"/>
        <v>-4.6385915562499997</v>
      </c>
      <c r="AE24" s="25">
        <v>-6.94</v>
      </c>
      <c r="AF24" s="25">
        <v>-17.569500000000001</v>
      </c>
      <c r="AG24" s="25">
        <v>0</v>
      </c>
    </row>
    <row r="25" spans="1:33" ht="15.75" customHeight="1">
      <c r="A25" s="14" t="s">
        <v>51</v>
      </c>
      <c r="B25" s="14"/>
      <c r="C25" s="15">
        <f t="shared" si="1"/>
        <v>40.99</v>
      </c>
      <c r="D25" s="16">
        <v>2</v>
      </c>
      <c r="E25" s="16">
        <v>1</v>
      </c>
      <c r="F25" s="17">
        <v>81.98</v>
      </c>
      <c r="G25" s="17">
        <v>0</v>
      </c>
      <c r="H25" s="18">
        <f t="shared" si="2"/>
        <v>0</v>
      </c>
      <c r="I25" s="18">
        <f t="shared" si="3"/>
        <v>0.23947550471320925</v>
      </c>
      <c r="J25" s="17">
        <f t="shared" si="4"/>
        <v>19.632201876388894</v>
      </c>
      <c r="K25" s="17">
        <f t="shared" si="5"/>
        <v>9.8161009381944471</v>
      </c>
      <c r="L25" s="16">
        <v>24</v>
      </c>
      <c r="M25" s="19">
        <f t="shared" si="6"/>
        <v>8.3333333333333329E-2</v>
      </c>
      <c r="N25" s="16">
        <v>3</v>
      </c>
      <c r="O25" s="20">
        <f t="shared" ref="O25:P25" si="18">D25/7</f>
        <v>0.2857142857142857</v>
      </c>
      <c r="P25" s="20">
        <f t="shared" si="18"/>
        <v>0.14285714285714285</v>
      </c>
      <c r="Q25" s="16">
        <f t="shared" si="8"/>
        <v>7</v>
      </c>
      <c r="R25" s="16"/>
      <c r="S25" s="21">
        <v>3.1428571428571428</v>
      </c>
      <c r="T25" s="14">
        <v>180</v>
      </c>
      <c r="U25" s="22">
        <v>60</v>
      </c>
      <c r="V25" s="23" t="s">
        <v>131</v>
      </c>
      <c r="W25" s="30">
        <v>0</v>
      </c>
      <c r="X25" s="24">
        <f t="shared" si="9"/>
        <v>0</v>
      </c>
      <c r="Y25" s="25">
        <f t="shared" si="10"/>
        <v>0</v>
      </c>
      <c r="Z25" s="30">
        <v>0</v>
      </c>
      <c r="AA25" s="14" t="s">
        <v>35</v>
      </c>
      <c r="AB25" s="27">
        <f t="shared" si="11"/>
        <v>-0.69</v>
      </c>
      <c r="AC25" s="28">
        <v>0.37347758101851852</v>
      </c>
      <c r="AD25" s="25">
        <f t="shared" si="12"/>
        <v>-1.030798123611111</v>
      </c>
      <c r="AE25" s="25">
        <v>-6.94</v>
      </c>
      <c r="AF25" s="25">
        <v>-17.57</v>
      </c>
      <c r="AG25" s="25">
        <v>0</v>
      </c>
    </row>
    <row r="26" spans="1:33" ht="15.75" customHeight="1">
      <c r="A26" s="14" t="s">
        <v>52</v>
      </c>
      <c r="B26" s="14" t="s">
        <v>45</v>
      </c>
      <c r="C26" s="15">
        <f t="shared" si="1"/>
        <v>40.99</v>
      </c>
      <c r="D26" s="16">
        <v>2</v>
      </c>
      <c r="E26" s="16">
        <v>0</v>
      </c>
      <c r="F26" s="17">
        <v>81.98</v>
      </c>
      <c r="G26" s="17">
        <v>0</v>
      </c>
      <c r="H26" s="18">
        <f t="shared" si="2"/>
        <v>0</v>
      </c>
      <c r="I26" s="18">
        <f t="shared" si="3"/>
        <v>0.24095147446192847</v>
      </c>
      <c r="J26" s="17">
        <f t="shared" si="4"/>
        <v>19.753201876388896</v>
      </c>
      <c r="K26" s="17">
        <f t="shared" si="5"/>
        <v>9.8766009381944482</v>
      </c>
      <c r="L26" s="16">
        <v>25</v>
      </c>
      <c r="M26" s="19">
        <f t="shared" si="6"/>
        <v>0.08</v>
      </c>
      <c r="N26" s="16">
        <v>1</v>
      </c>
      <c r="O26" s="20">
        <f t="shared" ref="O26:P26" si="19">D26/7</f>
        <v>0.2857142857142857</v>
      </c>
      <c r="P26" s="20">
        <f t="shared" si="19"/>
        <v>0</v>
      </c>
      <c r="Q26" s="16">
        <f t="shared" si="8"/>
        <v>3</v>
      </c>
      <c r="R26" s="16"/>
      <c r="S26" s="21">
        <v>4.9285714285714279</v>
      </c>
      <c r="T26" s="14">
        <v>180</v>
      </c>
      <c r="U26" s="22">
        <v>60</v>
      </c>
      <c r="V26" s="23" t="s">
        <v>132</v>
      </c>
      <c r="W26" s="30">
        <v>0</v>
      </c>
      <c r="X26" s="24">
        <f t="shared" si="9"/>
        <v>0</v>
      </c>
      <c r="Y26" s="25">
        <f t="shared" si="10"/>
        <v>0</v>
      </c>
      <c r="Z26" s="30">
        <v>0</v>
      </c>
      <c r="AA26" s="14" t="s">
        <v>35</v>
      </c>
      <c r="AB26" s="27">
        <f t="shared" si="11"/>
        <v>-0.69</v>
      </c>
      <c r="AC26" s="28">
        <v>0.37347758101851852</v>
      </c>
      <c r="AD26" s="25">
        <f t="shared" si="12"/>
        <v>-1.030798123611111</v>
      </c>
      <c r="AE26" s="25">
        <v>-6.88</v>
      </c>
      <c r="AF26" s="25">
        <v>-17.569500000000001</v>
      </c>
      <c r="AG26" s="25">
        <v>0</v>
      </c>
    </row>
    <row r="27" spans="1:33" ht="15.75" customHeight="1">
      <c r="A27" s="14" t="s">
        <v>53</v>
      </c>
      <c r="B27" s="14" t="s">
        <v>45</v>
      </c>
      <c r="C27" s="15">
        <f t="shared" si="1"/>
        <v>40.99</v>
      </c>
      <c r="D27" s="16">
        <v>1</v>
      </c>
      <c r="E27" s="16">
        <v>0</v>
      </c>
      <c r="F27" s="17">
        <v>40.99</v>
      </c>
      <c r="G27" s="17">
        <v>0</v>
      </c>
      <c r="H27" s="18">
        <f t="shared" si="2"/>
        <v>0</v>
      </c>
      <c r="I27" s="18">
        <f t="shared" si="3"/>
        <v>0.23948770281030615</v>
      </c>
      <c r="J27" s="17">
        <f t="shared" si="4"/>
        <v>9.8166009381944495</v>
      </c>
      <c r="K27" s="17">
        <f t="shared" si="5"/>
        <v>9.8166009381944495</v>
      </c>
      <c r="L27" s="16">
        <v>2</v>
      </c>
      <c r="M27" s="19">
        <f t="shared" si="6"/>
        <v>0.5</v>
      </c>
      <c r="N27" s="16">
        <v>0</v>
      </c>
      <c r="O27" s="20">
        <f t="shared" ref="O27:P27" si="20">D27/7</f>
        <v>0.14285714285714285</v>
      </c>
      <c r="P27" s="20">
        <f t="shared" si="20"/>
        <v>0</v>
      </c>
      <c r="Q27" s="16">
        <f t="shared" si="8"/>
        <v>0</v>
      </c>
      <c r="R27" s="16"/>
      <c r="S27" s="21">
        <v>0</v>
      </c>
      <c r="T27" s="14">
        <v>120</v>
      </c>
      <c r="U27" s="22" t="s">
        <v>34</v>
      </c>
      <c r="V27" s="23" t="s">
        <v>34</v>
      </c>
      <c r="W27" s="30">
        <v>0</v>
      </c>
      <c r="X27" s="24">
        <f t="shared" si="9"/>
        <v>0</v>
      </c>
      <c r="Y27" s="25">
        <f t="shared" si="10"/>
        <v>0</v>
      </c>
      <c r="Z27" s="30">
        <v>0</v>
      </c>
      <c r="AA27" s="14" t="s">
        <v>35</v>
      </c>
      <c r="AB27" s="27">
        <f t="shared" si="11"/>
        <v>-0.69</v>
      </c>
      <c r="AC27" s="28">
        <v>0.37347758101851852</v>
      </c>
      <c r="AD27" s="25">
        <f t="shared" si="12"/>
        <v>-0.5153990618055555</v>
      </c>
      <c r="AE27" s="25">
        <v>-6.88</v>
      </c>
      <c r="AF27" s="25">
        <v>-17.6295</v>
      </c>
      <c r="AG27" s="25">
        <v>0</v>
      </c>
    </row>
    <row r="28" spans="1:33" ht="15.75" customHeight="1">
      <c r="A28" s="14" t="s">
        <v>54</v>
      </c>
      <c r="B28" s="14" t="s">
        <v>133</v>
      </c>
      <c r="C28" s="15" t="str">
        <f t="shared" si="1"/>
        <v xml:space="preserve"> - </v>
      </c>
      <c r="D28" s="16">
        <v>0</v>
      </c>
      <c r="E28" s="16">
        <v>0</v>
      </c>
      <c r="F28" s="17">
        <v>0</v>
      </c>
      <c r="G28" s="17">
        <v>0</v>
      </c>
      <c r="H28" s="18" t="e">
        <f t="shared" si="2"/>
        <v>#DIV/0!</v>
      </c>
      <c r="I28" s="18" t="e">
        <f t="shared" si="3"/>
        <v>#DIV/0!</v>
      </c>
      <c r="J28" s="17">
        <f t="shared" si="4"/>
        <v>0</v>
      </c>
      <c r="K28" s="17" t="e">
        <f t="shared" si="5"/>
        <v>#DIV/0!</v>
      </c>
      <c r="L28" s="16">
        <v>0</v>
      </c>
      <c r="M28" s="19" t="str">
        <f t="shared" si="6"/>
        <v>-</v>
      </c>
      <c r="N28" s="16">
        <v>60</v>
      </c>
      <c r="O28" s="20">
        <f t="shared" ref="O28:P28" si="21">D28/7</f>
        <v>0</v>
      </c>
      <c r="P28" s="20">
        <f t="shared" si="21"/>
        <v>0</v>
      </c>
      <c r="Q28" s="16" t="e">
        <f t="shared" si="8"/>
        <v>#DIV/0!</v>
      </c>
      <c r="R28" s="16"/>
      <c r="S28" s="21">
        <v>1.180327868852459</v>
      </c>
      <c r="T28" s="14">
        <v>120</v>
      </c>
      <c r="U28" s="22" t="s">
        <v>34</v>
      </c>
      <c r="V28" s="23" t="s">
        <v>34</v>
      </c>
      <c r="W28" s="30">
        <v>0</v>
      </c>
      <c r="X28" s="24">
        <f t="shared" si="9"/>
        <v>0</v>
      </c>
      <c r="Y28" s="25">
        <f t="shared" si="10"/>
        <v>0</v>
      </c>
      <c r="Z28" s="30">
        <v>0</v>
      </c>
      <c r="AA28" s="14" t="s">
        <v>35</v>
      </c>
      <c r="AB28" s="27">
        <f t="shared" si="11"/>
        <v>-0.69</v>
      </c>
      <c r="AC28" s="28">
        <v>0.37347758101851852</v>
      </c>
      <c r="AD28" s="25">
        <f t="shared" si="12"/>
        <v>0</v>
      </c>
      <c r="AE28" s="25">
        <v>-6.88</v>
      </c>
      <c r="AF28" s="25">
        <v>-17.6295</v>
      </c>
      <c r="AG28" s="25">
        <v>0</v>
      </c>
    </row>
    <row r="29" spans="1:33" ht="15.75" customHeight="1">
      <c r="A29" s="14" t="s">
        <v>55</v>
      </c>
      <c r="B29" s="14" t="s">
        <v>134</v>
      </c>
      <c r="C29" s="15">
        <f t="shared" si="1"/>
        <v>39.390714285714289</v>
      </c>
      <c r="D29" s="16">
        <v>14</v>
      </c>
      <c r="E29" s="16">
        <v>0</v>
      </c>
      <c r="F29" s="17">
        <v>551.47</v>
      </c>
      <c r="G29" s="17">
        <v>0</v>
      </c>
      <c r="H29" s="18">
        <f t="shared" si="2"/>
        <v>0</v>
      </c>
      <c r="I29" s="18">
        <f t="shared" si="3"/>
        <v>0.21470055149821796</v>
      </c>
      <c r="J29" s="17">
        <f t="shared" si="4"/>
        <v>118.40091313472226</v>
      </c>
      <c r="K29" s="17">
        <f t="shared" si="5"/>
        <v>8.4572080810515899</v>
      </c>
      <c r="L29" s="16">
        <v>48</v>
      </c>
      <c r="M29" s="19">
        <f t="shared" si="6"/>
        <v>0.29166666666666669</v>
      </c>
      <c r="N29" s="16">
        <v>52</v>
      </c>
      <c r="O29" s="20">
        <f t="shared" ref="O29:P29" si="22">D29/7</f>
        <v>2</v>
      </c>
      <c r="P29" s="20">
        <f t="shared" si="22"/>
        <v>0</v>
      </c>
      <c r="Q29" s="16">
        <f t="shared" si="8"/>
        <v>26</v>
      </c>
      <c r="R29" s="16"/>
      <c r="S29" s="21">
        <v>1.709677419354839</v>
      </c>
      <c r="T29" s="14">
        <v>120</v>
      </c>
      <c r="U29" s="22" t="s">
        <v>34</v>
      </c>
      <c r="V29" s="23" t="s">
        <v>34</v>
      </c>
      <c r="W29" s="30">
        <v>0</v>
      </c>
      <c r="X29" s="24">
        <f t="shared" si="9"/>
        <v>0</v>
      </c>
      <c r="Y29" s="25">
        <f t="shared" si="10"/>
        <v>0</v>
      </c>
      <c r="Z29" s="30">
        <v>0</v>
      </c>
      <c r="AA29" s="14" t="s">
        <v>35</v>
      </c>
      <c r="AB29" s="27">
        <f t="shared" si="11"/>
        <v>-0.69</v>
      </c>
      <c r="AC29" s="28">
        <v>0.37347758101851852</v>
      </c>
      <c r="AD29" s="25">
        <f t="shared" si="12"/>
        <v>-7.2155868652777766</v>
      </c>
      <c r="AE29" s="25">
        <v>-6.88</v>
      </c>
      <c r="AF29" s="25">
        <v>-17.6295</v>
      </c>
      <c r="AG29" s="25">
        <v>0</v>
      </c>
    </row>
    <row r="30" spans="1:33" ht="15.75" customHeight="1">
      <c r="A30" s="14" t="s">
        <v>57</v>
      </c>
      <c r="B30" s="14" t="s">
        <v>68</v>
      </c>
      <c r="C30" s="15">
        <f t="shared" si="1"/>
        <v>42.27428571428571</v>
      </c>
      <c r="D30" s="16">
        <v>14</v>
      </c>
      <c r="E30" s="16">
        <v>0</v>
      </c>
      <c r="F30" s="17">
        <v>591.83999999999992</v>
      </c>
      <c r="G30" s="17">
        <v>0</v>
      </c>
      <c r="H30" s="18">
        <f t="shared" si="2"/>
        <v>0</v>
      </c>
      <c r="I30" s="18">
        <f t="shared" si="3"/>
        <v>0.2665895824238344</v>
      </c>
      <c r="J30" s="17">
        <f t="shared" si="4"/>
        <v>157.77837846172213</v>
      </c>
      <c r="K30" s="17">
        <f t="shared" si="5"/>
        <v>11.269884175837294</v>
      </c>
      <c r="L30" s="16">
        <v>57</v>
      </c>
      <c r="M30" s="19">
        <f t="shared" si="6"/>
        <v>0.24561403508771928</v>
      </c>
      <c r="N30" s="16">
        <v>25</v>
      </c>
      <c r="O30" s="20">
        <f t="shared" ref="O30:P30" si="23">D30/7</f>
        <v>2</v>
      </c>
      <c r="P30" s="20">
        <f t="shared" si="23"/>
        <v>0</v>
      </c>
      <c r="Q30" s="16">
        <f t="shared" si="8"/>
        <v>12</v>
      </c>
      <c r="R30" s="16"/>
      <c r="S30" s="21">
        <v>3.9411764705882359</v>
      </c>
      <c r="T30" s="14">
        <v>0</v>
      </c>
      <c r="U30" s="22" t="s">
        <v>34</v>
      </c>
      <c r="V30" s="23" t="s">
        <v>34</v>
      </c>
      <c r="W30" s="30">
        <v>0</v>
      </c>
      <c r="X30" s="24">
        <f t="shared" si="9"/>
        <v>0</v>
      </c>
      <c r="Y30" s="25">
        <f t="shared" si="10"/>
        <v>0</v>
      </c>
      <c r="Z30" s="30">
        <v>0</v>
      </c>
      <c r="AA30" s="14" t="s">
        <v>35</v>
      </c>
      <c r="AB30" s="27">
        <f t="shared" si="11"/>
        <v>-0.69</v>
      </c>
      <c r="AC30" s="28">
        <v>0.37347758101851852</v>
      </c>
      <c r="AD30" s="25">
        <f t="shared" si="12"/>
        <v>-7.2155868652777766</v>
      </c>
      <c r="AE30" s="25">
        <v>-6.88</v>
      </c>
      <c r="AF30" s="25">
        <v>-17.267859619500001</v>
      </c>
      <c r="AG30" s="25">
        <v>0</v>
      </c>
    </row>
    <row r="31" spans="1:33" ht="15.75" customHeight="1">
      <c r="A31" s="14" t="s">
        <v>58</v>
      </c>
      <c r="B31" s="14" t="s">
        <v>68</v>
      </c>
      <c r="C31" s="15">
        <f t="shared" si="1"/>
        <v>43.169999999999995</v>
      </c>
      <c r="D31" s="16">
        <v>3</v>
      </c>
      <c r="E31" s="16">
        <v>1</v>
      </c>
      <c r="F31" s="17">
        <v>129.51</v>
      </c>
      <c r="G31" s="17">
        <v>0</v>
      </c>
      <c r="H31" s="18">
        <f t="shared" si="2"/>
        <v>0</v>
      </c>
      <c r="I31" s="18">
        <f t="shared" si="3"/>
        <v>0.27869449429452026</v>
      </c>
      <c r="J31" s="17">
        <f t="shared" si="4"/>
        <v>36.093723956083316</v>
      </c>
      <c r="K31" s="17">
        <f t="shared" si="5"/>
        <v>12.031241318694439</v>
      </c>
      <c r="L31" s="16">
        <v>33</v>
      </c>
      <c r="M31" s="19">
        <f t="shared" si="6"/>
        <v>9.0909090909090912E-2</v>
      </c>
      <c r="N31" s="16">
        <v>30</v>
      </c>
      <c r="O31" s="20">
        <f t="shared" ref="O31:P31" si="24">D31/7</f>
        <v>0.42857142857142855</v>
      </c>
      <c r="P31" s="20">
        <f t="shared" si="24"/>
        <v>0.14285714285714285</v>
      </c>
      <c r="Q31" s="16">
        <f t="shared" si="8"/>
        <v>52</v>
      </c>
      <c r="R31" s="16"/>
      <c r="S31" s="21">
        <v>4.75</v>
      </c>
      <c r="T31" s="14" t="s">
        <v>34</v>
      </c>
      <c r="U31" s="22" t="s">
        <v>34</v>
      </c>
      <c r="V31" s="23" t="s">
        <v>135</v>
      </c>
      <c r="W31" s="30">
        <v>0</v>
      </c>
      <c r="X31" s="24">
        <f t="shared" si="9"/>
        <v>0</v>
      </c>
      <c r="Y31" s="25">
        <f t="shared" si="10"/>
        <v>0</v>
      </c>
      <c r="Z31" s="30">
        <v>0</v>
      </c>
      <c r="AA31" s="14" t="s">
        <v>35</v>
      </c>
      <c r="AB31" s="27">
        <f t="shared" si="11"/>
        <v>-0.69</v>
      </c>
      <c r="AC31" s="28">
        <v>0.37347758101851852</v>
      </c>
      <c r="AD31" s="25">
        <f t="shared" si="12"/>
        <v>-1.5461971854166665</v>
      </c>
      <c r="AE31" s="25">
        <v>-6.88</v>
      </c>
      <c r="AF31" s="25">
        <v>-17.267859619500001</v>
      </c>
      <c r="AG31" s="25">
        <v>0</v>
      </c>
    </row>
    <row r="32" spans="1:33" ht="15.75" customHeight="1">
      <c r="A32" s="14" t="s">
        <v>60</v>
      </c>
      <c r="B32" s="14"/>
      <c r="C32" s="15">
        <f t="shared" si="1"/>
        <v>43.675714285714285</v>
      </c>
      <c r="D32" s="16">
        <v>28</v>
      </c>
      <c r="E32" s="16">
        <v>0</v>
      </c>
      <c r="F32" s="17">
        <v>1222.92</v>
      </c>
      <c r="G32" s="17">
        <v>0</v>
      </c>
      <c r="H32" s="18">
        <f t="shared" si="2"/>
        <v>0</v>
      </c>
      <c r="I32" s="18">
        <f t="shared" si="3"/>
        <v>0.28530955166604877</v>
      </c>
      <c r="J32" s="17">
        <f t="shared" si="4"/>
        <v>348.91075692344441</v>
      </c>
      <c r="K32" s="17">
        <f t="shared" si="5"/>
        <v>12.461098461551586</v>
      </c>
      <c r="L32" s="16">
        <v>41</v>
      </c>
      <c r="M32" s="19">
        <f t="shared" si="6"/>
        <v>0.68292682926829273</v>
      </c>
      <c r="N32" s="16">
        <v>2</v>
      </c>
      <c r="O32" s="20">
        <f t="shared" ref="O32:P32" si="25">D32/7</f>
        <v>4</v>
      </c>
      <c r="P32" s="20">
        <f t="shared" si="25"/>
        <v>0</v>
      </c>
      <c r="Q32" s="16">
        <f t="shared" si="8"/>
        <v>0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5.2266666666666666</v>
      </c>
      <c r="T32" s="14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23" t="str">
        <f ca="1">IFERROR(__xludf.DUMMYFUNCTION("IFERROR(VLOOKUP($B$2,IMPORTRANGE(""https://docs.google.com/spreadsheets/d/1KiWZV1ko8G7lnRucBRBd29jj3Be6ltMfljMDqzOkQmI/edit#gid=1381463014"",""Lookup!A:D""),2,FALSE),"""")"),"No Transit or Factory Storage, 320 In Production 60-100 days from Earliest Arrival")</f>
        <v>No Transit or Factory Storage, 320 In Production 60-100 days from Earliest Arrival</v>
      </c>
      <c r="W32" s="30">
        <v>0</v>
      </c>
      <c r="X32" s="24">
        <f t="shared" si="9"/>
        <v>0</v>
      </c>
      <c r="Y32" s="25">
        <f t="shared" si="10"/>
        <v>0</v>
      </c>
      <c r="Z32" s="30">
        <v>0</v>
      </c>
      <c r="AA32" s="14" t="s">
        <v>35</v>
      </c>
      <c r="AB32" s="27">
        <f t="shared" si="11"/>
        <v>-0.69</v>
      </c>
      <c r="AC32" s="28">
        <v>0.37347758101851852</v>
      </c>
      <c r="AD32" s="25">
        <f t="shared" si="12"/>
        <v>-14.431173730555553</v>
      </c>
      <c r="AE32" s="25">
        <v>-6.88</v>
      </c>
      <c r="AF32" s="25">
        <v>-17.267859619500001</v>
      </c>
      <c r="AG32" s="25">
        <v>0</v>
      </c>
    </row>
    <row r="33" spans="1:33" ht="15.75" customHeight="1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16"/>
      <c r="S33" s="21"/>
      <c r="T33" s="31"/>
      <c r="U33" s="36"/>
      <c r="V33" s="1"/>
      <c r="W33" s="31"/>
      <c r="X33" s="31"/>
      <c r="Y33" s="31"/>
      <c r="Z33" s="31"/>
      <c r="AA33" s="2"/>
      <c r="AB33" s="31"/>
      <c r="AC33" s="31"/>
      <c r="AD33" s="31"/>
      <c r="AE33" s="37"/>
      <c r="AF33" s="37"/>
      <c r="AG33" s="37"/>
    </row>
    <row r="34" spans="1:33" ht="15.75" customHeight="1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6"/>
      <c r="V34" s="1"/>
      <c r="W34" s="31"/>
      <c r="X34" s="31"/>
      <c r="Y34" s="31"/>
      <c r="Z34" s="31"/>
      <c r="AA34" s="2"/>
      <c r="AB34" s="31"/>
      <c r="AC34" s="31"/>
      <c r="AD34" s="31"/>
      <c r="AE34" s="37"/>
      <c r="AF34" s="37"/>
      <c r="AG34" s="37"/>
    </row>
    <row r="35" spans="1:33" ht="15.75" customHeight="1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6"/>
      <c r="V35" s="1"/>
      <c r="W35" s="31"/>
      <c r="X35" s="31"/>
      <c r="Y35" s="31"/>
      <c r="Z35" s="31"/>
      <c r="AA35" s="2"/>
      <c r="AB35" s="31"/>
      <c r="AC35" s="31"/>
      <c r="AD35" s="31"/>
      <c r="AE35" s="37"/>
      <c r="AF35" s="37"/>
      <c r="AG35" s="37"/>
    </row>
    <row r="36" spans="1:33" ht="15.75" customHeight="1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6"/>
      <c r="V36" s="1"/>
      <c r="W36" s="31"/>
      <c r="X36" s="31"/>
      <c r="Y36" s="31"/>
      <c r="Z36" s="31"/>
      <c r="AA36" s="2"/>
      <c r="AB36" s="31"/>
      <c r="AC36" s="31"/>
      <c r="AD36" s="31"/>
      <c r="AE36" s="37"/>
      <c r="AF36" s="37"/>
      <c r="AG36" s="37"/>
    </row>
    <row r="37" spans="1:33" ht="15.75" customHeight="1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6"/>
      <c r="V37" s="1"/>
      <c r="W37" s="31"/>
      <c r="X37" s="31"/>
      <c r="Y37" s="31"/>
      <c r="Z37" s="31"/>
      <c r="AA37" s="2"/>
      <c r="AB37" s="31"/>
      <c r="AC37" s="31"/>
      <c r="AD37" s="31"/>
      <c r="AE37" s="37"/>
      <c r="AF37" s="37"/>
      <c r="AG37" s="37"/>
    </row>
    <row r="38" spans="1:33" ht="15.75" customHeight="1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6"/>
      <c r="V38" s="1"/>
      <c r="W38" s="31"/>
      <c r="X38" s="31"/>
      <c r="Y38" s="31"/>
      <c r="Z38" s="31"/>
      <c r="AA38" s="2"/>
      <c r="AB38" s="31"/>
      <c r="AC38" s="31"/>
      <c r="AD38" s="31"/>
      <c r="AE38" s="37"/>
      <c r="AF38" s="37"/>
      <c r="AG38" s="37"/>
    </row>
    <row r="39" spans="1:33" ht="15.75" customHeight="1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6"/>
      <c r="V39" s="1"/>
      <c r="W39" s="31"/>
      <c r="X39" s="31"/>
      <c r="Y39" s="31"/>
      <c r="Z39" s="31"/>
      <c r="AA39" s="2"/>
      <c r="AB39" s="31"/>
      <c r="AC39" s="31"/>
      <c r="AD39" s="31"/>
      <c r="AE39" s="37"/>
      <c r="AF39" s="37"/>
      <c r="AG39" s="37"/>
    </row>
    <row r="40" spans="1:33" ht="15.75" customHeight="1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6"/>
      <c r="V40" s="1"/>
      <c r="W40" s="31"/>
      <c r="X40" s="31"/>
      <c r="Y40" s="31"/>
      <c r="Z40" s="31"/>
      <c r="AA40" s="2"/>
      <c r="AB40" s="31"/>
      <c r="AC40" s="31"/>
      <c r="AD40" s="31"/>
      <c r="AE40" s="37"/>
      <c r="AF40" s="37"/>
      <c r="AG40" s="37"/>
    </row>
    <row r="41" spans="1:33" ht="15.75" customHeight="1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6"/>
      <c r="V41" s="1"/>
      <c r="W41" s="31"/>
      <c r="X41" s="31"/>
      <c r="Y41" s="31"/>
      <c r="Z41" s="31"/>
      <c r="AA41" s="2"/>
      <c r="AB41" s="31"/>
      <c r="AC41" s="31"/>
      <c r="AD41" s="31"/>
      <c r="AE41" s="37"/>
      <c r="AF41" s="37"/>
      <c r="AG41" s="37"/>
    </row>
    <row r="42" spans="1:33" ht="15.75" customHeight="1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6"/>
      <c r="V42" s="1"/>
      <c r="W42" s="31"/>
      <c r="X42" s="31"/>
      <c r="Y42" s="31"/>
      <c r="Z42" s="31"/>
      <c r="AA42" s="2"/>
      <c r="AB42" s="31"/>
      <c r="AC42" s="31"/>
      <c r="AD42" s="31"/>
      <c r="AE42" s="37"/>
      <c r="AF42" s="37"/>
      <c r="AG42" s="37"/>
    </row>
    <row r="43" spans="1:33" ht="15.75" customHeight="1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6"/>
      <c r="V43" s="1"/>
      <c r="W43" s="31"/>
      <c r="X43" s="31"/>
      <c r="Y43" s="31"/>
      <c r="Z43" s="31"/>
      <c r="AA43" s="2"/>
      <c r="AB43" s="31"/>
      <c r="AC43" s="31"/>
      <c r="AD43" s="31"/>
      <c r="AE43" s="37"/>
      <c r="AF43" s="37"/>
      <c r="AG43" s="37"/>
    </row>
    <row r="44" spans="1:33" ht="15.75" customHeight="1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6"/>
      <c r="V44" s="1"/>
      <c r="W44" s="31"/>
      <c r="X44" s="31"/>
      <c r="Y44" s="31"/>
      <c r="Z44" s="31"/>
      <c r="AA44" s="2"/>
      <c r="AB44" s="31"/>
      <c r="AC44" s="31"/>
      <c r="AD44" s="31"/>
      <c r="AE44" s="37"/>
      <c r="AF44" s="37"/>
      <c r="AG44" s="37"/>
    </row>
    <row r="45" spans="1:33" ht="15.75" customHeight="1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6"/>
      <c r="V45" s="1"/>
      <c r="W45" s="31"/>
      <c r="X45" s="31"/>
      <c r="Y45" s="31"/>
      <c r="Z45" s="31"/>
      <c r="AA45" s="2"/>
      <c r="AB45" s="31"/>
      <c r="AC45" s="31"/>
      <c r="AD45" s="31"/>
      <c r="AE45" s="37"/>
      <c r="AF45" s="37"/>
      <c r="AG45" s="37"/>
    </row>
    <row r="46" spans="1:33" ht="15.75" customHeight="1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6"/>
      <c r="V46" s="1"/>
      <c r="W46" s="31"/>
      <c r="X46" s="31"/>
      <c r="Y46" s="31"/>
      <c r="Z46" s="31"/>
      <c r="AA46" s="2"/>
      <c r="AB46" s="31"/>
      <c r="AC46" s="31"/>
      <c r="AD46" s="31"/>
      <c r="AE46" s="37"/>
      <c r="AF46" s="37"/>
      <c r="AG46" s="37"/>
    </row>
    <row r="47" spans="1:33" ht="15.75" customHeight="1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6"/>
      <c r="V47" s="1"/>
      <c r="W47" s="31"/>
      <c r="X47" s="31"/>
      <c r="Y47" s="31"/>
      <c r="Z47" s="31"/>
      <c r="AA47" s="2"/>
      <c r="AB47" s="31"/>
      <c r="AC47" s="31"/>
      <c r="AD47" s="31"/>
      <c r="AE47" s="37"/>
      <c r="AF47" s="37"/>
      <c r="AG47" s="37"/>
    </row>
    <row r="48" spans="1:33" ht="15.75" customHeight="1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6"/>
      <c r="V48" s="1"/>
      <c r="W48" s="31"/>
      <c r="X48" s="31"/>
      <c r="Y48" s="31"/>
      <c r="Z48" s="31"/>
      <c r="AA48" s="2"/>
      <c r="AB48" s="31"/>
      <c r="AC48" s="31"/>
      <c r="AD48" s="31"/>
      <c r="AE48" s="37"/>
      <c r="AF48" s="37"/>
      <c r="AG48" s="37"/>
    </row>
    <row r="49" spans="1:33" ht="15.75" customHeight="1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6"/>
      <c r="V49" s="1"/>
      <c r="W49" s="31"/>
      <c r="X49" s="31"/>
      <c r="Y49" s="31"/>
      <c r="Z49" s="31"/>
      <c r="AA49" s="2"/>
      <c r="AB49" s="31"/>
      <c r="AC49" s="31"/>
      <c r="AD49" s="31"/>
      <c r="AE49" s="37"/>
      <c r="AF49" s="37"/>
      <c r="AG49" s="37"/>
    </row>
    <row r="50" spans="1:33" ht="15.75" customHeight="1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6"/>
      <c r="V50" s="1"/>
      <c r="W50" s="31"/>
      <c r="X50" s="31"/>
      <c r="Y50" s="31"/>
      <c r="Z50" s="31"/>
      <c r="AA50" s="2"/>
      <c r="AB50" s="31"/>
      <c r="AC50" s="31"/>
      <c r="AD50" s="31"/>
      <c r="AE50" s="37"/>
      <c r="AF50" s="37"/>
      <c r="AG50" s="37"/>
    </row>
    <row r="51" spans="1:33" ht="15.75" customHeight="1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6"/>
      <c r="V51" s="1"/>
      <c r="W51" s="31"/>
      <c r="X51" s="31"/>
      <c r="Y51" s="31"/>
      <c r="Z51" s="31"/>
      <c r="AA51" s="2"/>
      <c r="AB51" s="31"/>
      <c r="AC51" s="31"/>
      <c r="AD51" s="31"/>
      <c r="AE51" s="37"/>
      <c r="AF51" s="37"/>
      <c r="AG51" s="37"/>
    </row>
    <row r="52" spans="1:33" ht="15.75" customHeight="1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6"/>
      <c r="V52" s="1"/>
      <c r="W52" s="31"/>
      <c r="X52" s="31"/>
      <c r="Y52" s="31"/>
      <c r="Z52" s="31"/>
      <c r="AA52" s="2"/>
      <c r="AB52" s="31"/>
      <c r="AC52" s="31"/>
      <c r="AD52" s="31"/>
      <c r="AE52" s="37"/>
      <c r="AF52" s="37"/>
      <c r="AG52" s="37"/>
    </row>
    <row r="53" spans="1:33" ht="15.75" customHeight="1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6"/>
      <c r="V53" s="1"/>
      <c r="W53" s="31"/>
      <c r="X53" s="31"/>
      <c r="Y53" s="31"/>
      <c r="Z53" s="31"/>
      <c r="AA53" s="2"/>
      <c r="AB53" s="31"/>
      <c r="AC53" s="31"/>
      <c r="AD53" s="31"/>
      <c r="AE53" s="37"/>
      <c r="AF53" s="37"/>
      <c r="AG53" s="37"/>
    </row>
    <row r="54" spans="1:33" ht="15.75" customHeight="1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6"/>
      <c r="V54" s="1"/>
      <c r="W54" s="31"/>
      <c r="X54" s="31"/>
      <c r="Y54" s="31"/>
      <c r="Z54" s="31"/>
      <c r="AA54" s="2"/>
      <c r="AB54" s="31"/>
      <c r="AC54" s="31"/>
      <c r="AD54" s="31"/>
      <c r="AE54" s="37"/>
      <c r="AF54" s="37"/>
      <c r="AG54" s="37"/>
    </row>
    <row r="55" spans="1:33" ht="15.75" customHeight="1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6"/>
      <c r="V55" s="1"/>
      <c r="W55" s="31"/>
      <c r="X55" s="31"/>
      <c r="Y55" s="31"/>
      <c r="Z55" s="31"/>
      <c r="AA55" s="2"/>
      <c r="AB55" s="31"/>
      <c r="AC55" s="31"/>
      <c r="AD55" s="31"/>
      <c r="AE55" s="37"/>
      <c r="AF55" s="37"/>
      <c r="AG55" s="37"/>
    </row>
    <row r="56" spans="1:33" ht="15.75" customHeight="1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6"/>
      <c r="V56" s="1"/>
      <c r="W56" s="31"/>
      <c r="X56" s="31"/>
      <c r="Y56" s="31"/>
      <c r="Z56" s="31"/>
      <c r="AA56" s="2"/>
      <c r="AB56" s="31"/>
      <c r="AC56" s="31"/>
      <c r="AD56" s="31"/>
      <c r="AE56" s="37"/>
      <c r="AF56" s="37"/>
      <c r="AG56" s="37"/>
    </row>
    <row r="57" spans="1:33" ht="15.75" customHeight="1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6"/>
      <c r="V57" s="1"/>
      <c r="W57" s="31"/>
      <c r="X57" s="31"/>
      <c r="Y57" s="31"/>
      <c r="Z57" s="31"/>
      <c r="AA57" s="2"/>
      <c r="AB57" s="31"/>
      <c r="AC57" s="31"/>
      <c r="AD57" s="31"/>
      <c r="AE57" s="37"/>
      <c r="AF57" s="37"/>
      <c r="AG57" s="37"/>
    </row>
    <row r="58" spans="1:33" ht="15.75" customHeight="1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6"/>
      <c r="V58" s="1"/>
      <c r="W58" s="31"/>
      <c r="X58" s="31"/>
      <c r="Y58" s="31"/>
      <c r="Z58" s="31"/>
      <c r="AA58" s="2"/>
      <c r="AB58" s="31"/>
      <c r="AC58" s="31"/>
      <c r="AD58" s="31"/>
      <c r="AE58" s="37"/>
      <c r="AF58" s="37"/>
      <c r="AG58" s="37"/>
    </row>
    <row r="59" spans="1:33" ht="15.75" customHeight="1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6"/>
      <c r="V59" s="1"/>
      <c r="W59" s="31"/>
      <c r="X59" s="31"/>
      <c r="Y59" s="31"/>
      <c r="Z59" s="31"/>
      <c r="AA59" s="2"/>
      <c r="AB59" s="31"/>
      <c r="AC59" s="31"/>
      <c r="AD59" s="31"/>
      <c r="AE59" s="37"/>
      <c r="AF59" s="37"/>
      <c r="AG59" s="37"/>
    </row>
    <row r="60" spans="1:33" ht="15.75" customHeight="1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6"/>
      <c r="V60" s="1"/>
      <c r="W60" s="31"/>
      <c r="X60" s="31"/>
      <c r="Y60" s="31"/>
      <c r="Z60" s="31"/>
      <c r="AA60" s="2"/>
      <c r="AB60" s="31"/>
      <c r="AC60" s="31"/>
      <c r="AD60" s="31"/>
      <c r="AE60" s="37"/>
      <c r="AF60" s="37"/>
      <c r="AG60" s="37"/>
    </row>
    <row r="61" spans="1:33" ht="15.75" customHeight="1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6"/>
      <c r="V61" s="1"/>
      <c r="W61" s="31"/>
      <c r="X61" s="31"/>
      <c r="Y61" s="31"/>
      <c r="Z61" s="31"/>
      <c r="AA61" s="2"/>
      <c r="AB61" s="31"/>
      <c r="AC61" s="31"/>
      <c r="AD61" s="31"/>
      <c r="AE61" s="37"/>
      <c r="AF61" s="37"/>
      <c r="AG61" s="37"/>
    </row>
    <row r="62" spans="1:33" ht="15.75" customHeight="1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6"/>
      <c r="V62" s="1"/>
      <c r="W62" s="31"/>
      <c r="X62" s="31"/>
      <c r="Y62" s="31"/>
      <c r="Z62" s="31"/>
      <c r="AA62" s="2"/>
      <c r="AB62" s="31"/>
      <c r="AC62" s="31"/>
      <c r="AD62" s="31"/>
      <c r="AE62" s="37"/>
      <c r="AF62" s="37"/>
      <c r="AG62" s="37"/>
    </row>
    <row r="63" spans="1:33" ht="15.75" customHeight="1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6"/>
      <c r="V63" s="1"/>
      <c r="W63" s="31"/>
      <c r="X63" s="31"/>
      <c r="Y63" s="31"/>
      <c r="Z63" s="31"/>
      <c r="AA63" s="2"/>
      <c r="AB63" s="31"/>
      <c r="AC63" s="31"/>
      <c r="AD63" s="31"/>
      <c r="AE63" s="37"/>
      <c r="AF63" s="37"/>
      <c r="AG63" s="37"/>
    </row>
    <row r="64" spans="1:33" ht="15.75" customHeight="1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6"/>
      <c r="V64" s="1"/>
      <c r="W64" s="31"/>
      <c r="X64" s="31"/>
      <c r="Y64" s="31"/>
      <c r="Z64" s="31"/>
      <c r="AA64" s="2"/>
      <c r="AB64" s="31"/>
      <c r="AC64" s="31"/>
      <c r="AD64" s="31"/>
      <c r="AE64" s="37"/>
      <c r="AF64" s="37"/>
      <c r="AG64" s="37"/>
    </row>
    <row r="65" spans="1:33" ht="15.75" customHeight="1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6"/>
      <c r="V65" s="1"/>
      <c r="W65" s="31"/>
      <c r="X65" s="31"/>
      <c r="Y65" s="31"/>
      <c r="Z65" s="31"/>
      <c r="AA65" s="2"/>
      <c r="AB65" s="31"/>
      <c r="AC65" s="31"/>
      <c r="AD65" s="31"/>
      <c r="AE65" s="37"/>
      <c r="AF65" s="37"/>
      <c r="AG65" s="37"/>
    </row>
    <row r="66" spans="1:33" ht="15.75" customHeight="1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6"/>
      <c r="V66" s="1"/>
      <c r="W66" s="31"/>
      <c r="X66" s="31"/>
      <c r="Y66" s="31"/>
      <c r="Z66" s="31"/>
      <c r="AA66" s="2"/>
      <c r="AB66" s="31"/>
      <c r="AC66" s="31"/>
      <c r="AD66" s="31"/>
      <c r="AE66" s="37"/>
      <c r="AF66" s="37"/>
      <c r="AG66" s="37"/>
    </row>
    <row r="67" spans="1:33" ht="15.75" customHeight="1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6"/>
      <c r="V67" s="1"/>
      <c r="W67" s="31"/>
      <c r="X67" s="31"/>
      <c r="Y67" s="31"/>
      <c r="Z67" s="31"/>
      <c r="AA67" s="2"/>
      <c r="AB67" s="31"/>
      <c r="AC67" s="31"/>
      <c r="AD67" s="31"/>
      <c r="AE67" s="37"/>
      <c r="AF67" s="37"/>
      <c r="AG67" s="37"/>
    </row>
    <row r="68" spans="1:33" ht="15.75" customHeight="1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6"/>
      <c r="V68" s="1"/>
      <c r="W68" s="31"/>
      <c r="X68" s="31"/>
      <c r="Y68" s="31"/>
      <c r="Z68" s="31"/>
      <c r="AA68" s="2"/>
      <c r="AB68" s="31"/>
      <c r="AC68" s="31"/>
      <c r="AD68" s="31"/>
      <c r="AE68" s="37"/>
      <c r="AF68" s="37"/>
      <c r="AG68" s="37"/>
    </row>
    <row r="69" spans="1:33" ht="15.75" customHeight="1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6"/>
      <c r="V69" s="1"/>
      <c r="W69" s="31"/>
      <c r="X69" s="31"/>
      <c r="Y69" s="31"/>
      <c r="Z69" s="31"/>
      <c r="AA69" s="2"/>
      <c r="AB69" s="31"/>
      <c r="AC69" s="31"/>
      <c r="AD69" s="31"/>
      <c r="AE69" s="37"/>
      <c r="AF69" s="37"/>
      <c r="AG69" s="37"/>
    </row>
    <row r="70" spans="1:33" ht="15.75" customHeight="1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6"/>
      <c r="V70" s="1"/>
      <c r="W70" s="31"/>
      <c r="X70" s="31"/>
      <c r="Y70" s="31"/>
      <c r="Z70" s="31"/>
      <c r="AA70" s="2"/>
      <c r="AB70" s="31"/>
      <c r="AC70" s="31"/>
      <c r="AD70" s="31"/>
      <c r="AE70" s="37"/>
      <c r="AF70" s="37"/>
      <c r="AG70" s="37"/>
    </row>
    <row r="71" spans="1:33" ht="15.75" customHeight="1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6"/>
      <c r="V71" s="1"/>
      <c r="W71" s="31"/>
      <c r="X71" s="31"/>
      <c r="Y71" s="31"/>
      <c r="Z71" s="31"/>
      <c r="AA71" s="2"/>
      <c r="AB71" s="31"/>
      <c r="AC71" s="31"/>
      <c r="AD71" s="31"/>
      <c r="AE71" s="37"/>
      <c r="AF71" s="37"/>
      <c r="AG71" s="37"/>
    </row>
    <row r="72" spans="1:33" ht="15.75" customHeight="1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6"/>
      <c r="V72" s="1"/>
      <c r="W72" s="31"/>
      <c r="X72" s="31"/>
      <c r="Y72" s="31"/>
      <c r="Z72" s="31"/>
      <c r="AA72" s="2"/>
      <c r="AB72" s="31"/>
      <c r="AC72" s="31"/>
      <c r="AD72" s="31"/>
      <c r="AE72" s="37"/>
      <c r="AF72" s="37"/>
      <c r="AG72" s="37"/>
    </row>
    <row r="73" spans="1:33" ht="15.75" customHeight="1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6"/>
      <c r="V73" s="1"/>
      <c r="W73" s="31"/>
      <c r="X73" s="31"/>
      <c r="Y73" s="31"/>
      <c r="Z73" s="31"/>
      <c r="AA73" s="2"/>
      <c r="AB73" s="31"/>
      <c r="AC73" s="31"/>
      <c r="AD73" s="31"/>
      <c r="AE73" s="37"/>
      <c r="AF73" s="37"/>
      <c r="AG73" s="37"/>
    </row>
    <row r="74" spans="1:33" ht="15.75" customHeight="1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6"/>
      <c r="V74" s="1"/>
      <c r="W74" s="31"/>
      <c r="X74" s="31"/>
      <c r="Y74" s="31"/>
      <c r="Z74" s="31"/>
      <c r="AA74" s="2"/>
      <c r="AB74" s="31"/>
      <c r="AC74" s="31"/>
      <c r="AD74" s="31"/>
      <c r="AE74" s="37"/>
      <c r="AF74" s="37"/>
      <c r="AG74" s="37"/>
    </row>
    <row r="75" spans="1:33" ht="15.75" customHeight="1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6"/>
      <c r="V75" s="1"/>
      <c r="W75" s="31"/>
      <c r="X75" s="31"/>
      <c r="Y75" s="31"/>
      <c r="Z75" s="31"/>
      <c r="AA75" s="2"/>
      <c r="AB75" s="31"/>
      <c r="AC75" s="31"/>
      <c r="AD75" s="31"/>
      <c r="AE75" s="37"/>
      <c r="AF75" s="37"/>
      <c r="AG75" s="37"/>
    </row>
    <row r="76" spans="1:33" ht="15.75" customHeight="1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6"/>
      <c r="V76" s="1"/>
      <c r="W76" s="31"/>
      <c r="X76" s="31"/>
      <c r="Y76" s="31"/>
      <c r="Z76" s="31"/>
      <c r="AA76" s="2"/>
      <c r="AB76" s="31"/>
      <c r="AC76" s="31"/>
      <c r="AD76" s="31"/>
      <c r="AE76" s="37"/>
      <c r="AF76" s="37"/>
      <c r="AG76" s="37"/>
    </row>
    <row r="77" spans="1:33" ht="15.75" customHeight="1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6"/>
      <c r="V77" s="1"/>
      <c r="W77" s="31"/>
      <c r="X77" s="31"/>
      <c r="Y77" s="31"/>
      <c r="Z77" s="31"/>
      <c r="AA77" s="2"/>
      <c r="AB77" s="31"/>
      <c r="AC77" s="31"/>
      <c r="AD77" s="31"/>
      <c r="AE77" s="37"/>
      <c r="AF77" s="37"/>
      <c r="AG77" s="37"/>
    </row>
    <row r="78" spans="1:33" ht="15.75" customHeight="1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6"/>
      <c r="V78" s="1"/>
      <c r="W78" s="31"/>
      <c r="X78" s="31"/>
      <c r="Y78" s="31"/>
      <c r="Z78" s="31"/>
      <c r="AA78" s="2"/>
      <c r="AB78" s="31"/>
      <c r="AC78" s="31"/>
      <c r="AD78" s="31"/>
      <c r="AE78" s="37"/>
      <c r="AF78" s="37"/>
      <c r="AG78" s="37"/>
    </row>
    <row r="79" spans="1:33" ht="15.75" customHeight="1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6"/>
      <c r="V79" s="1"/>
      <c r="W79" s="31"/>
      <c r="X79" s="31"/>
      <c r="Y79" s="31"/>
      <c r="Z79" s="31"/>
      <c r="AA79" s="2"/>
      <c r="AB79" s="31"/>
      <c r="AC79" s="31"/>
      <c r="AD79" s="31"/>
      <c r="AE79" s="37"/>
      <c r="AF79" s="37"/>
      <c r="AG79" s="37"/>
    </row>
    <row r="80" spans="1:33" ht="15.75" customHeight="1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6"/>
      <c r="V80" s="1"/>
      <c r="W80" s="31"/>
      <c r="X80" s="31"/>
      <c r="Y80" s="31"/>
      <c r="Z80" s="31"/>
      <c r="AA80" s="2"/>
      <c r="AB80" s="31"/>
      <c r="AC80" s="31"/>
      <c r="AD80" s="31"/>
      <c r="AE80" s="37"/>
      <c r="AF80" s="37"/>
      <c r="AG80" s="37"/>
    </row>
    <row r="81" spans="1:33" ht="15.75" customHeight="1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6"/>
      <c r="V81" s="1"/>
      <c r="W81" s="31"/>
      <c r="X81" s="31"/>
      <c r="Y81" s="31"/>
      <c r="Z81" s="31"/>
      <c r="AA81" s="2"/>
      <c r="AB81" s="31"/>
      <c r="AC81" s="31"/>
      <c r="AD81" s="31"/>
      <c r="AE81" s="37"/>
      <c r="AF81" s="37"/>
      <c r="AG81" s="37"/>
    </row>
    <row r="82" spans="1:33" ht="15.75" customHeight="1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6"/>
      <c r="V82" s="1"/>
      <c r="W82" s="31"/>
      <c r="X82" s="31"/>
      <c r="Y82" s="31"/>
      <c r="Z82" s="31"/>
      <c r="AA82" s="2"/>
      <c r="AB82" s="31"/>
      <c r="AC82" s="31"/>
      <c r="AD82" s="31"/>
      <c r="AE82" s="37"/>
      <c r="AF82" s="37"/>
      <c r="AG82" s="37"/>
    </row>
    <row r="83" spans="1:33" ht="15.75" customHeight="1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6"/>
      <c r="V83" s="1"/>
      <c r="W83" s="31"/>
      <c r="X83" s="31"/>
      <c r="Y83" s="31"/>
      <c r="Z83" s="31"/>
      <c r="AA83" s="2"/>
      <c r="AB83" s="31"/>
      <c r="AC83" s="31"/>
      <c r="AD83" s="31"/>
      <c r="AE83" s="37"/>
      <c r="AF83" s="37"/>
      <c r="AG83" s="37"/>
    </row>
    <row r="84" spans="1:33" ht="15.75" customHeight="1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6"/>
      <c r="V84" s="1"/>
      <c r="W84" s="31"/>
      <c r="X84" s="31"/>
      <c r="Y84" s="31"/>
      <c r="Z84" s="31"/>
      <c r="AA84" s="2"/>
      <c r="AB84" s="31"/>
      <c r="AC84" s="31"/>
      <c r="AD84" s="31"/>
      <c r="AE84" s="37"/>
      <c r="AF84" s="37"/>
      <c r="AG84" s="37"/>
    </row>
    <row r="85" spans="1:33" ht="15.75" customHeight="1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6"/>
      <c r="V85" s="1"/>
      <c r="W85" s="31"/>
      <c r="X85" s="31"/>
      <c r="Y85" s="31"/>
      <c r="Z85" s="31"/>
      <c r="AA85" s="2"/>
      <c r="AB85" s="31"/>
      <c r="AC85" s="31"/>
      <c r="AD85" s="31"/>
      <c r="AE85" s="37"/>
      <c r="AF85" s="37"/>
      <c r="AG85" s="37"/>
    </row>
    <row r="86" spans="1:33" ht="15.75" customHeight="1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6"/>
      <c r="V86" s="1"/>
      <c r="W86" s="31"/>
      <c r="X86" s="31"/>
      <c r="Y86" s="31"/>
      <c r="Z86" s="31"/>
      <c r="AA86" s="2"/>
      <c r="AB86" s="31"/>
      <c r="AC86" s="31"/>
      <c r="AD86" s="31"/>
      <c r="AE86" s="37"/>
      <c r="AF86" s="37"/>
      <c r="AG86" s="37"/>
    </row>
    <row r="87" spans="1:33" ht="15.75" customHeight="1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6"/>
      <c r="V87" s="1"/>
      <c r="W87" s="31"/>
      <c r="X87" s="31"/>
      <c r="Y87" s="31"/>
      <c r="Z87" s="31"/>
      <c r="AA87" s="2"/>
      <c r="AB87" s="31"/>
      <c r="AC87" s="31"/>
      <c r="AD87" s="31"/>
      <c r="AE87" s="37"/>
      <c r="AF87" s="37"/>
      <c r="AG87" s="37"/>
    </row>
    <row r="88" spans="1:33" ht="15.75" customHeight="1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6"/>
      <c r="V88" s="1"/>
      <c r="W88" s="31"/>
      <c r="X88" s="31"/>
      <c r="Y88" s="31"/>
      <c r="Z88" s="31"/>
      <c r="AA88" s="2"/>
      <c r="AB88" s="31"/>
      <c r="AC88" s="31"/>
      <c r="AD88" s="31"/>
      <c r="AE88" s="37"/>
      <c r="AF88" s="37"/>
      <c r="AG88" s="37"/>
    </row>
    <row r="89" spans="1:33" ht="15.75" customHeight="1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6"/>
      <c r="V89" s="1"/>
      <c r="W89" s="31"/>
      <c r="X89" s="31"/>
      <c r="Y89" s="31"/>
      <c r="Z89" s="31"/>
      <c r="AA89" s="2"/>
      <c r="AB89" s="31"/>
      <c r="AC89" s="31"/>
      <c r="AD89" s="31"/>
      <c r="AE89" s="37"/>
      <c r="AF89" s="37"/>
      <c r="AG89" s="37"/>
    </row>
    <row r="90" spans="1:33" ht="15.75" customHeight="1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6"/>
      <c r="V90" s="1"/>
      <c r="W90" s="31"/>
      <c r="X90" s="31"/>
      <c r="Y90" s="31"/>
      <c r="Z90" s="31"/>
      <c r="AA90" s="2"/>
      <c r="AB90" s="31"/>
      <c r="AC90" s="31"/>
      <c r="AD90" s="31"/>
      <c r="AE90" s="37"/>
      <c r="AF90" s="37"/>
      <c r="AG90" s="37"/>
    </row>
    <row r="91" spans="1:33" ht="15.75" customHeight="1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6"/>
      <c r="V91" s="1"/>
      <c r="W91" s="31"/>
      <c r="X91" s="31"/>
      <c r="Y91" s="31"/>
      <c r="Z91" s="31"/>
      <c r="AA91" s="2"/>
      <c r="AB91" s="31"/>
      <c r="AC91" s="31"/>
      <c r="AD91" s="31"/>
      <c r="AE91" s="37"/>
      <c r="AF91" s="37"/>
      <c r="AG91" s="37"/>
    </row>
    <row r="92" spans="1:33" ht="15.75" customHeight="1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6"/>
      <c r="V92" s="1"/>
      <c r="W92" s="31"/>
      <c r="X92" s="31"/>
      <c r="Y92" s="31"/>
      <c r="Z92" s="31"/>
      <c r="AA92" s="2"/>
      <c r="AB92" s="31"/>
      <c r="AC92" s="31"/>
      <c r="AD92" s="31"/>
      <c r="AE92" s="37"/>
      <c r="AF92" s="37"/>
      <c r="AG92" s="37"/>
    </row>
    <row r="93" spans="1:33" ht="15.75" customHeight="1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6"/>
      <c r="V93" s="1"/>
      <c r="W93" s="31"/>
      <c r="X93" s="31"/>
      <c r="Y93" s="31"/>
      <c r="Z93" s="31"/>
      <c r="AA93" s="2"/>
      <c r="AB93" s="31"/>
      <c r="AC93" s="31"/>
      <c r="AD93" s="31"/>
      <c r="AE93" s="37"/>
      <c r="AF93" s="37"/>
      <c r="AG93" s="37"/>
    </row>
    <row r="94" spans="1:33" ht="15.75" customHeight="1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6"/>
      <c r="V94" s="1"/>
      <c r="W94" s="31"/>
      <c r="X94" s="31"/>
      <c r="Y94" s="31"/>
      <c r="Z94" s="31"/>
      <c r="AA94" s="2"/>
      <c r="AB94" s="31"/>
      <c r="AC94" s="31"/>
      <c r="AD94" s="31"/>
      <c r="AE94" s="37"/>
      <c r="AF94" s="37"/>
      <c r="AG94" s="37"/>
    </row>
    <row r="95" spans="1:33" ht="15.75" customHeight="1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6"/>
      <c r="V95" s="1"/>
      <c r="W95" s="31"/>
      <c r="X95" s="31"/>
      <c r="Y95" s="31"/>
      <c r="Z95" s="31"/>
      <c r="AA95" s="2"/>
      <c r="AB95" s="31"/>
      <c r="AC95" s="31"/>
      <c r="AD95" s="31"/>
      <c r="AE95" s="37"/>
      <c r="AF95" s="37"/>
      <c r="AG95" s="37"/>
    </row>
    <row r="96" spans="1:33" ht="15.75" customHeight="1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6"/>
      <c r="V96" s="1"/>
      <c r="W96" s="31"/>
      <c r="X96" s="31"/>
      <c r="Y96" s="31"/>
      <c r="Z96" s="31"/>
      <c r="AA96" s="2"/>
      <c r="AB96" s="31"/>
      <c r="AC96" s="31"/>
      <c r="AD96" s="31"/>
      <c r="AE96" s="37"/>
      <c r="AF96" s="37"/>
      <c r="AG96" s="37"/>
    </row>
    <row r="97" spans="1:33" ht="15.75" customHeight="1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8"/>
      <c r="R97" s="38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8"/>
      <c r="R98" s="38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8"/>
      <c r="R99" s="38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8"/>
      <c r="R100" s="38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8"/>
      <c r="R101" s="38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8"/>
      <c r="R102" s="38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8"/>
      <c r="R103" s="38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8"/>
      <c r="R104" s="38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8"/>
      <c r="R105" s="38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8"/>
      <c r="R106" s="38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8"/>
      <c r="R107" s="38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8"/>
      <c r="R108" s="38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8"/>
      <c r="R109" s="38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8"/>
      <c r="R110" s="38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8"/>
      <c r="R111" s="38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8"/>
      <c r="R112" s="38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8"/>
      <c r="R113" s="38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8"/>
      <c r="R114" s="38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>
      <c r="A115" s="31"/>
      <c r="B115" s="31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>
      <c r="A116" s="31"/>
      <c r="B116" s="31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>
      <c r="A117" s="31"/>
      <c r="B117" s="31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>
      <c r="A118" s="31"/>
      <c r="B118" s="31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>
      <c r="A119" s="31"/>
      <c r="B119" s="31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>
      <c r="A120" s="31"/>
      <c r="B120" s="31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>
      <c r="A121" s="31"/>
      <c r="B121" s="31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>
      <c r="A122" s="31"/>
      <c r="B122" s="31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>
      <c r="A123" s="31"/>
      <c r="B123" s="31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>
      <c r="A124" s="31"/>
      <c r="B124" s="31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>
      <c r="A125" s="31"/>
      <c r="B125" s="31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>
      <c r="A126" s="31"/>
      <c r="B126" s="31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>
      <c r="A127" s="31"/>
      <c r="B127" s="31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>
      <c r="A128" s="31"/>
      <c r="B128" s="31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>
      <c r="A129" s="31"/>
      <c r="B129" s="31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>
      <c r="A130" s="31"/>
      <c r="B130" s="31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>
      <c r="A131" s="31"/>
      <c r="B131" s="31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>
      <c r="A132" s="31"/>
      <c r="B132" s="31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>
      <c r="A133" s="31"/>
      <c r="B133" s="31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>
      <c r="A134" s="31"/>
      <c r="B134" s="31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>
      <c r="A135" s="31"/>
      <c r="B135" s="31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>
      <c r="A136" s="31"/>
      <c r="B136" s="31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>
      <c r="A137" s="31"/>
      <c r="B137" s="31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>
      <c r="A138" s="31"/>
      <c r="B138" s="31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>
      <c r="A139" s="31"/>
      <c r="B139" s="31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>
      <c r="A140" s="31"/>
      <c r="B140" s="31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>
      <c r="A141" s="31"/>
      <c r="B141" s="31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2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>
      <c r="A142" s="31"/>
      <c r="B142" s="31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2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>
      <c r="A143" s="31"/>
      <c r="B143" s="31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2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>
      <c r="A144" s="31"/>
      <c r="B144" s="31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2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>
      <c r="A145" s="31"/>
      <c r="B145" s="31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2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>
      <c r="A146" s="31"/>
      <c r="B146" s="31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2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>
      <c r="A147" s="31"/>
      <c r="B147" s="31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2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>
      <c r="A148" s="31"/>
      <c r="B148" s="31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2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</row>
    <row r="149" spans="1:33" ht="15.75" customHeight="1">
      <c r="A149" s="14"/>
      <c r="B149" s="14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>
      <c r="A150" s="14"/>
      <c r="B150" s="14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>
      <c r="A151" s="14"/>
      <c r="B151" s="14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>
      <c r="A152" s="14"/>
      <c r="B152" s="14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>
      <c r="A153" s="14"/>
      <c r="B153" s="14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>
      <c r="A154" s="14"/>
      <c r="B154" s="14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>
      <c r="A155" s="14"/>
      <c r="B155" s="14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>
      <c r="A156" s="14"/>
      <c r="B156" s="14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>
      <c r="A157" s="14"/>
      <c r="B157" s="14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>
      <c r="A158" s="14"/>
      <c r="B158" s="14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>
      <c r="A159" s="14"/>
      <c r="B159" s="14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>
      <c r="A160" s="14"/>
      <c r="B160" s="14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>
      <c r="A161" s="14"/>
      <c r="B161" s="14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>
      <c r="A162" s="14"/>
      <c r="B162" s="14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>
      <c r="A163" s="14"/>
      <c r="B163" s="14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>
      <c r="A164" s="14"/>
      <c r="B164" s="14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>
      <c r="A165" s="14"/>
      <c r="B165" s="14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>
      <c r="A166" s="14"/>
      <c r="B166" s="14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>
      <c r="A167" s="14"/>
      <c r="B167" s="14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>
      <c r="A168" s="14"/>
      <c r="B168" s="14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>
      <c r="A169" s="14"/>
      <c r="B169" s="14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>
      <c r="A170" s="14"/>
      <c r="B170" s="14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>
      <c r="A171" s="14"/>
      <c r="B171" s="14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>
      <c r="A172" s="14"/>
      <c r="B172" s="14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>
      <c r="A173" s="14"/>
      <c r="B173" s="14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>
      <c r="A174" s="14"/>
      <c r="B174" s="14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>
      <c r="A175" s="14"/>
      <c r="B175" s="14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>
      <c r="A176" s="14"/>
      <c r="B176" s="14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>
      <c r="A177" s="14"/>
      <c r="B177" s="14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>
      <c r="A178" s="14"/>
      <c r="B178" s="14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>
      <c r="A179" s="14"/>
      <c r="B179" s="14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>
      <c r="A180" s="14"/>
      <c r="B180" s="14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>
      <c r="A181" s="14"/>
      <c r="B181" s="14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>
      <c r="A182" s="14"/>
      <c r="B182" s="14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>
      <c r="A183" s="14"/>
      <c r="B183" s="14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>
      <c r="A184" s="14"/>
      <c r="B184" s="14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>
      <c r="A185" s="14"/>
      <c r="B185" s="14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>
      <c r="A186" s="14"/>
      <c r="B186" s="14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>
      <c r="A187" s="14"/>
      <c r="B187" s="14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>
      <c r="A188" s="14"/>
      <c r="B188" s="14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>
      <c r="A189" s="14"/>
      <c r="B189" s="14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>
      <c r="A190" s="14"/>
      <c r="B190" s="14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>
      <c r="A191" s="14"/>
      <c r="B191" s="14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>
      <c r="A192" s="14"/>
      <c r="B192" s="14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>
      <c r="A193" s="14"/>
      <c r="B193" s="14"/>
      <c r="C193" s="39"/>
      <c r="D193" s="39"/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>
      <c r="A194" s="14"/>
      <c r="B194" s="14"/>
      <c r="C194" s="39"/>
      <c r="D194" s="39"/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>
      <c r="A195" s="14"/>
      <c r="B195" s="14"/>
      <c r="C195" s="39"/>
      <c r="D195" s="39"/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>
      <c r="A196" s="14"/>
      <c r="B196" s="14"/>
      <c r="C196" s="39"/>
      <c r="D196" s="39"/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>
      <c r="A197" s="14"/>
      <c r="B197" s="14"/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>
      <c r="A198" s="14"/>
      <c r="B198" s="14"/>
      <c r="C198" s="39"/>
      <c r="D198" s="39"/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>
      <c r="A199" s="14"/>
      <c r="B199" s="14"/>
      <c r="C199" s="39"/>
      <c r="D199" s="39"/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>
      <c r="A200" s="14"/>
      <c r="B200" s="14"/>
      <c r="C200" s="39"/>
      <c r="D200" s="39"/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>
      <c r="A201" s="14"/>
      <c r="B201" s="14"/>
      <c r="C201" s="39"/>
      <c r="D201" s="39"/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>
      <c r="A202" s="14"/>
      <c r="B202" s="14"/>
      <c r="C202" s="39"/>
      <c r="D202" s="39"/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>
      <c r="A203" s="14"/>
      <c r="B203" s="14"/>
      <c r="C203" s="39"/>
      <c r="D203" s="39"/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>
      <c r="A204" s="14"/>
      <c r="B204" s="14"/>
      <c r="C204" s="39"/>
      <c r="D204" s="39"/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>
      <c r="A205" s="14"/>
      <c r="B205" s="14"/>
      <c r="C205" s="39"/>
      <c r="D205" s="39"/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>
      <c r="A206" s="14"/>
      <c r="B206" s="14"/>
      <c r="C206" s="39"/>
      <c r="D206" s="39"/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>
      <c r="A207" s="14"/>
      <c r="B207" s="14"/>
      <c r="C207" s="39"/>
      <c r="D207" s="39"/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>
      <c r="A208" s="14"/>
      <c r="B208" s="14"/>
      <c r="C208" s="39"/>
      <c r="D208" s="39"/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>
      <c r="A209" s="14"/>
      <c r="B209" s="14"/>
      <c r="C209" s="39"/>
      <c r="D209" s="39"/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>
      <c r="A210" s="14"/>
      <c r="B210" s="14"/>
      <c r="C210" s="39"/>
      <c r="D210" s="39"/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>
      <c r="A211" s="14"/>
      <c r="B211" s="14"/>
      <c r="C211" s="39"/>
      <c r="D211" s="39"/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>
      <c r="A212" s="14"/>
      <c r="B212" s="14"/>
      <c r="C212" s="39"/>
      <c r="D212" s="39"/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>
      <c r="A213" s="14"/>
      <c r="B213" s="14"/>
      <c r="C213" s="39"/>
      <c r="D213" s="39"/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>
      <c r="A214" s="14"/>
      <c r="B214" s="14"/>
      <c r="C214" s="39"/>
      <c r="D214" s="39"/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>
      <c r="A215" s="14"/>
      <c r="B215" s="14"/>
      <c r="C215" s="39"/>
      <c r="D215" s="39"/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>
      <c r="A216" s="14"/>
      <c r="B216" s="14"/>
      <c r="C216" s="39"/>
      <c r="D216" s="39"/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>
      <c r="A217" s="14"/>
      <c r="B217" s="14"/>
      <c r="C217" s="39"/>
      <c r="D217" s="39"/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>
      <c r="A218" s="14"/>
      <c r="B218" s="14"/>
      <c r="C218" s="39"/>
      <c r="D218" s="39"/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>
      <c r="A219" s="14"/>
      <c r="B219" s="14"/>
      <c r="C219" s="39"/>
      <c r="D219" s="39"/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>
      <c r="A220" s="14"/>
      <c r="B220" s="14"/>
      <c r="C220" s="39"/>
      <c r="D220" s="39"/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>
      <c r="R221" s="30"/>
      <c r="S221" s="40"/>
    </row>
    <row r="222" spans="1:33" ht="15.75" customHeight="1">
      <c r="R222" s="30"/>
      <c r="S222" s="40"/>
    </row>
    <row r="223" spans="1:33" ht="15.75" customHeight="1">
      <c r="R223" s="30"/>
      <c r="S223" s="40"/>
    </row>
    <row r="224" spans="1:33" ht="15.75" customHeight="1">
      <c r="R224" s="30"/>
      <c r="S224" s="40"/>
    </row>
    <row r="225" spans="18:18" ht="15.75" customHeight="1">
      <c r="R225" s="30"/>
    </row>
    <row r="226" spans="18:18" ht="15.75" customHeight="1">
      <c r="R226" s="30"/>
    </row>
    <row r="227" spans="18:18" ht="15.75" customHeight="1">
      <c r="R227" s="30"/>
    </row>
    <row r="228" spans="18:18" ht="15.75" customHeight="1">
      <c r="R228" s="30"/>
    </row>
    <row r="229" spans="18:18" ht="15.75" customHeight="1">
      <c r="R229" s="30"/>
    </row>
    <row r="230" spans="18:18" ht="15.75" customHeight="1">
      <c r="R230" s="30"/>
    </row>
    <row r="231" spans="18:18" ht="15.75" customHeight="1">
      <c r="R231" s="30"/>
    </row>
    <row r="232" spans="18:18" ht="15.75" customHeight="1">
      <c r="R232" s="30"/>
    </row>
    <row r="233" spans="18:18" ht="15.75" customHeight="1">
      <c r="R233" s="30"/>
    </row>
    <row r="234" spans="18:18" ht="15.75" customHeight="1">
      <c r="R234" s="30"/>
    </row>
    <row r="235" spans="18:18" ht="15.75" customHeight="1">
      <c r="R235" s="30"/>
    </row>
    <row r="236" spans="18:18" ht="15.75" customHeight="1">
      <c r="R236" s="30"/>
    </row>
    <row r="237" spans="18:18" ht="15.75" customHeight="1">
      <c r="R237" s="30"/>
    </row>
    <row r="238" spans="18:18" ht="15.75" customHeight="1">
      <c r="R238" s="30"/>
    </row>
    <row r="239" spans="18:18" ht="15.75" customHeight="1">
      <c r="R239" s="30"/>
    </row>
    <row r="240" spans="18:18" ht="15.75" customHeight="1">
      <c r="R240" s="30"/>
    </row>
    <row r="241" spans="18:18" ht="15.75" customHeight="1">
      <c r="R241" s="30"/>
    </row>
    <row r="242" spans="18:18" ht="15.75" customHeight="1">
      <c r="R242" s="30"/>
    </row>
    <row r="243" spans="18:18" ht="15.75" customHeight="1">
      <c r="R243" s="30"/>
    </row>
    <row r="244" spans="18:18" ht="15.75" customHeight="1">
      <c r="R244" s="30"/>
    </row>
    <row r="245" spans="18:18" ht="15.75" customHeight="1">
      <c r="R245" s="30"/>
    </row>
    <row r="246" spans="18:18" ht="15.75" customHeight="1">
      <c r="R246" s="30"/>
    </row>
    <row r="247" spans="18:18" ht="15.75" customHeight="1">
      <c r="R247" s="30"/>
    </row>
    <row r="248" spans="18:18" ht="15.75" customHeight="1">
      <c r="R248" s="30"/>
    </row>
    <row r="249" spans="18:18" ht="15.75" customHeight="1">
      <c r="R249" s="30"/>
    </row>
    <row r="250" spans="18:18" ht="15.75" customHeight="1">
      <c r="R250" s="30"/>
    </row>
    <row r="251" spans="18:18" ht="15.75" customHeight="1">
      <c r="R251" s="30"/>
    </row>
    <row r="252" spans="18:18" ht="15.75" customHeight="1">
      <c r="R252" s="30"/>
    </row>
    <row r="253" spans="18:18" ht="15.75" customHeight="1">
      <c r="R253" s="30"/>
    </row>
    <row r="254" spans="18:18" ht="15.75" customHeight="1">
      <c r="R254" s="30"/>
    </row>
    <row r="255" spans="18:18" ht="15.75" customHeight="1">
      <c r="R255" s="30"/>
    </row>
    <row r="256" spans="18:18" ht="15.75" customHeight="1">
      <c r="R256" s="30"/>
    </row>
    <row r="257" spans="18:18" ht="15.75" customHeight="1">
      <c r="R257" s="30"/>
    </row>
    <row r="258" spans="18:18" ht="15.75" customHeight="1">
      <c r="R258" s="30"/>
    </row>
    <row r="259" spans="18:18" ht="15.75" customHeight="1">
      <c r="R259" s="30"/>
    </row>
    <row r="260" spans="18:18" ht="15.75" customHeight="1">
      <c r="R260" s="30"/>
    </row>
    <row r="261" spans="18:18" ht="15.75" customHeight="1">
      <c r="R261" s="30"/>
    </row>
    <row r="262" spans="18:18" ht="15.75" customHeight="1">
      <c r="R262" s="30"/>
    </row>
    <row r="263" spans="18:18" ht="15.75" customHeight="1">
      <c r="R263" s="30"/>
    </row>
    <row r="264" spans="18:18" ht="15.75" customHeight="1">
      <c r="R264" s="30"/>
    </row>
    <row r="265" spans="18:18" ht="15.75" customHeight="1">
      <c r="R265" s="30"/>
    </row>
    <row r="266" spans="18:18" ht="15.75" customHeight="1">
      <c r="R266" s="30"/>
    </row>
    <row r="267" spans="18:18" ht="15.75" customHeight="1">
      <c r="R267" s="30"/>
    </row>
    <row r="268" spans="18:18" ht="15.75" customHeight="1">
      <c r="R268" s="30"/>
    </row>
    <row r="269" spans="18:18" ht="15.75" customHeight="1">
      <c r="R269" s="30"/>
    </row>
    <row r="270" spans="18:18" ht="15.75" customHeight="1">
      <c r="R270" s="30"/>
    </row>
    <row r="271" spans="18:18" ht="15.75" customHeight="1">
      <c r="R271" s="30"/>
    </row>
    <row r="272" spans="18:18" ht="15.75" customHeight="1">
      <c r="R272" s="30"/>
    </row>
    <row r="273" spans="18:18" ht="15.75" customHeight="1">
      <c r="R273" s="30"/>
    </row>
    <row r="274" spans="18:18" ht="15.75" customHeight="1">
      <c r="R274" s="30"/>
    </row>
    <row r="275" spans="18:18" ht="15.75" customHeight="1">
      <c r="R275" s="30"/>
    </row>
    <row r="276" spans="18:18" ht="15.75" customHeight="1">
      <c r="R276" s="30"/>
    </row>
    <row r="277" spans="18:18" ht="15.75" customHeight="1">
      <c r="R277" s="30"/>
    </row>
    <row r="278" spans="18:18" ht="15.75" customHeight="1">
      <c r="R278" s="30"/>
    </row>
    <row r="279" spans="18:18" ht="15.75" customHeight="1">
      <c r="R279" s="30"/>
    </row>
    <row r="280" spans="18:18" ht="15.75" customHeight="1">
      <c r="R280" s="30"/>
    </row>
    <row r="281" spans="18:18" ht="15.75" customHeight="1">
      <c r="R281" s="30"/>
    </row>
    <row r="282" spans="18:18" ht="15.75" customHeight="1">
      <c r="R282" s="30"/>
    </row>
    <row r="283" spans="18:18" ht="15.75" customHeight="1">
      <c r="R283" s="30"/>
    </row>
    <row r="284" spans="18:18" ht="15.75" customHeight="1">
      <c r="R284" s="30"/>
    </row>
    <row r="285" spans="18:18" ht="15.75" customHeight="1">
      <c r="R285" s="30"/>
    </row>
    <row r="286" spans="18:18" ht="15.75" customHeight="1">
      <c r="R286" s="30"/>
    </row>
    <row r="287" spans="18:18" ht="15.75" customHeight="1">
      <c r="R287" s="30"/>
    </row>
    <row r="288" spans="18:18" ht="15.75" customHeight="1">
      <c r="R288" s="30"/>
    </row>
    <row r="289" spans="18:18" ht="15.75" customHeight="1">
      <c r="R289" s="30"/>
    </row>
    <row r="290" spans="18:18" ht="15.75" customHeight="1">
      <c r="R290" s="30"/>
    </row>
    <row r="291" spans="18:18" ht="15.75" customHeight="1">
      <c r="R291" s="30"/>
    </row>
    <row r="292" spans="18:18" ht="15.75" customHeight="1">
      <c r="R292" s="30"/>
    </row>
    <row r="293" spans="18:18" ht="15.75" customHeight="1">
      <c r="R293" s="30"/>
    </row>
    <row r="294" spans="18:18" ht="15.75" customHeight="1">
      <c r="R294" s="30"/>
    </row>
    <row r="295" spans="18:18" ht="15.75" customHeight="1">
      <c r="R295" s="30"/>
    </row>
    <row r="296" spans="18:18" ht="15.75" customHeight="1">
      <c r="R296" s="30"/>
    </row>
    <row r="297" spans="18:18" ht="15.75" customHeight="1">
      <c r="R297" s="30"/>
    </row>
    <row r="298" spans="18:18" ht="15.75" customHeight="1">
      <c r="R298" s="30"/>
    </row>
    <row r="299" spans="18:18" ht="15.75" customHeight="1">
      <c r="R299" s="30"/>
    </row>
    <row r="300" spans="18:18" ht="15.75" customHeight="1">
      <c r="R300" s="30"/>
    </row>
    <row r="301" spans="18:18" ht="15.75" customHeight="1">
      <c r="R301" s="30"/>
    </row>
    <row r="302" spans="18:18" ht="15.75" customHeight="1">
      <c r="R302" s="30"/>
    </row>
    <row r="303" spans="18:18" ht="15.75" customHeight="1">
      <c r="R303" s="30"/>
    </row>
    <row r="304" spans="18:18" ht="15.75" customHeight="1">
      <c r="R304" s="30"/>
    </row>
    <row r="305" spans="18:18" ht="15.75" customHeight="1">
      <c r="R305" s="30"/>
    </row>
    <row r="306" spans="18:18" ht="15.75" customHeight="1">
      <c r="R306" s="30"/>
    </row>
    <row r="307" spans="18:18" ht="15.75" customHeight="1">
      <c r="R307" s="30"/>
    </row>
    <row r="308" spans="18:18" ht="15.75" customHeight="1">
      <c r="R308" s="30"/>
    </row>
    <row r="309" spans="18:18" ht="15.75" customHeight="1">
      <c r="R309" s="30"/>
    </row>
    <row r="310" spans="18:18" ht="15.75" customHeight="1">
      <c r="R310" s="30"/>
    </row>
    <row r="311" spans="18:18" ht="15.75" customHeight="1">
      <c r="R311" s="30"/>
    </row>
    <row r="312" spans="18:18" ht="15.75" customHeight="1">
      <c r="R312" s="30"/>
    </row>
    <row r="313" spans="18:18" ht="15.75" customHeight="1">
      <c r="R313" s="30"/>
    </row>
    <row r="314" spans="18:18" ht="15.75" customHeight="1">
      <c r="R314" s="30"/>
    </row>
    <row r="315" spans="18:18" ht="15.75" customHeight="1">
      <c r="R315" s="30"/>
    </row>
    <row r="316" spans="18:18" ht="15.75" customHeight="1">
      <c r="R316" s="30"/>
    </row>
    <row r="317" spans="18:18" ht="15.75" customHeight="1">
      <c r="R317" s="30"/>
    </row>
    <row r="318" spans="18:18" ht="15.75" customHeight="1">
      <c r="R318" s="30"/>
    </row>
    <row r="319" spans="18:18" ht="15.75" customHeight="1">
      <c r="R319" s="30"/>
    </row>
    <row r="320" spans="18:18" ht="15.75" customHeight="1">
      <c r="R320" s="30"/>
    </row>
    <row r="321" spans="18:18" ht="15.75" customHeight="1">
      <c r="R321" s="30"/>
    </row>
    <row r="322" spans="18:18" ht="15.75" customHeight="1">
      <c r="R322" s="30"/>
    </row>
    <row r="323" spans="18:18" ht="15.75" customHeight="1">
      <c r="R323" s="30"/>
    </row>
    <row r="324" spans="18:18" ht="15.75" customHeight="1">
      <c r="R324" s="30"/>
    </row>
    <row r="325" spans="18:18" ht="15.75" customHeight="1">
      <c r="R325" s="30"/>
    </row>
    <row r="326" spans="18:18" ht="15.75" customHeight="1">
      <c r="R326" s="30"/>
    </row>
    <row r="327" spans="18:18" ht="15.75" customHeight="1">
      <c r="R327" s="30"/>
    </row>
    <row r="328" spans="18:18" ht="15.75" customHeight="1">
      <c r="R328" s="30"/>
    </row>
    <row r="329" spans="18:18" ht="15.75" customHeight="1">
      <c r="R329" s="30"/>
    </row>
    <row r="330" spans="18:18" ht="15.75" customHeight="1">
      <c r="R330" s="30"/>
    </row>
    <row r="331" spans="18:18" ht="15.75" customHeight="1">
      <c r="R331" s="30"/>
    </row>
    <row r="332" spans="18:18" ht="15.75" customHeight="1">
      <c r="R332" s="30"/>
    </row>
    <row r="333" spans="18:18" ht="15.75" customHeight="1">
      <c r="R333" s="30"/>
    </row>
    <row r="334" spans="18:18" ht="15.75" customHeight="1">
      <c r="R334" s="30"/>
    </row>
    <row r="335" spans="18:18" ht="15.75" customHeight="1">
      <c r="R335" s="30"/>
    </row>
    <row r="336" spans="18:18" ht="15.75" customHeight="1">
      <c r="R336" s="30"/>
    </row>
    <row r="337" spans="18:18" ht="15.75" customHeight="1">
      <c r="R337" s="30"/>
    </row>
    <row r="338" spans="18:18" ht="15.75" customHeight="1">
      <c r="R338" s="30"/>
    </row>
    <row r="339" spans="18:18" ht="15.75" customHeight="1">
      <c r="R339" s="30"/>
    </row>
    <row r="340" spans="18:18" ht="15.75" customHeight="1">
      <c r="R340" s="30"/>
    </row>
    <row r="341" spans="18:18" ht="15.75" customHeight="1">
      <c r="R341" s="30"/>
    </row>
    <row r="342" spans="18:18" ht="15.75" customHeight="1">
      <c r="R342" s="30"/>
    </row>
    <row r="343" spans="18:18" ht="15.75" customHeight="1">
      <c r="R343" s="30"/>
    </row>
    <row r="344" spans="18:18" ht="15.75" customHeight="1">
      <c r="R344" s="30"/>
    </row>
    <row r="345" spans="18:18" ht="15.75" customHeight="1">
      <c r="R345" s="30"/>
    </row>
    <row r="346" spans="18:18" ht="15.75" customHeight="1">
      <c r="R346" s="30"/>
    </row>
    <row r="347" spans="18:18" ht="15.75" customHeight="1">
      <c r="R347" s="30"/>
    </row>
    <row r="348" spans="18:18" ht="15.75" customHeight="1">
      <c r="R348" s="30"/>
    </row>
    <row r="349" spans="18:18" ht="15.75" customHeight="1">
      <c r="R349" s="30"/>
    </row>
    <row r="350" spans="18:18" ht="15.75" customHeight="1">
      <c r="R350" s="30"/>
    </row>
    <row r="351" spans="18:18" ht="15.75" customHeight="1">
      <c r="R351" s="30"/>
    </row>
    <row r="352" spans="18:18" ht="15.75" customHeight="1">
      <c r="R352" s="30"/>
    </row>
    <row r="353" spans="18:18" ht="15.75" customHeight="1">
      <c r="R353" s="30"/>
    </row>
    <row r="354" spans="18:18" ht="15.75" customHeight="1">
      <c r="R354" s="30"/>
    </row>
    <row r="355" spans="18:18" ht="15.75" customHeight="1">
      <c r="R355" s="30"/>
    </row>
    <row r="356" spans="18:18" ht="15.75" customHeight="1">
      <c r="R356" s="30"/>
    </row>
    <row r="357" spans="18:18" ht="15.75" customHeight="1">
      <c r="R357" s="30"/>
    </row>
    <row r="358" spans="18:18" ht="15.75" customHeight="1">
      <c r="R358" s="30"/>
    </row>
    <row r="359" spans="18:18" ht="15.75" customHeight="1">
      <c r="R359" s="30"/>
    </row>
    <row r="360" spans="18:18" ht="15.75" customHeight="1">
      <c r="R360" s="30"/>
    </row>
    <row r="361" spans="18:18" ht="15.75" customHeight="1">
      <c r="R361" s="30"/>
    </row>
    <row r="362" spans="18:18" ht="15.75" customHeight="1">
      <c r="R362" s="30"/>
    </row>
    <row r="363" spans="18:18" ht="15.75" customHeight="1">
      <c r="R363" s="30"/>
    </row>
    <row r="364" spans="18:18" ht="15.75" customHeight="1">
      <c r="R364" s="30"/>
    </row>
    <row r="365" spans="18:18" ht="15.75" customHeight="1">
      <c r="R365" s="30"/>
    </row>
    <row r="366" spans="18:18" ht="15.75" customHeight="1">
      <c r="R366" s="30"/>
    </row>
    <row r="367" spans="18:18" ht="15.75" customHeight="1">
      <c r="R367" s="30"/>
    </row>
    <row r="368" spans="18:18" ht="15.75" customHeight="1">
      <c r="R368" s="30"/>
    </row>
    <row r="369" spans="18:18" ht="15.75" customHeight="1">
      <c r="R369" s="30"/>
    </row>
    <row r="370" spans="18:18" ht="15.75" customHeight="1">
      <c r="R370" s="30"/>
    </row>
    <row r="371" spans="18:18" ht="15.75" customHeight="1">
      <c r="R371" s="30"/>
    </row>
    <row r="372" spans="18:18" ht="15.75" customHeight="1">
      <c r="R372" s="30"/>
    </row>
    <row r="373" spans="18:18" ht="15.75" customHeight="1">
      <c r="R373" s="30"/>
    </row>
    <row r="374" spans="18:18" ht="15.75" customHeight="1">
      <c r="R374" s="30"/>
    </row>
    <row r="375" spans="18:18" ht="15.75" customHeight="1">
      <c r="R375" s="30"/>
    </row>
    <row r="376" spans="18:18" ht="15.75" customHeight="1">
      <c r="R376" s="30"/>
    </row>
    <row r="377" spans="18:18" ht="15.75" customHeight="1">
      <c r="R377" s="30"/>
    </row>
    <row r="378" spans="18:18" ht="15.75" customHeight="1">
      <c r="R378" s="30"/>
    </row>
    <row r="379" spans="18:18" ht="15.75" customHeight="1">
      <c r="R379" s="30"/>
    </row>
    <row r="380" spans="18:18" ht="15.75" customHeight="1">
      <c r="R380" s="30"/>
    </row>
    <row r="381" spans="18:18" ht="15.75" customHeight="1">
      <c r="R381" s="30"/>
    </row>
    <row r="382" spans="18:18" ht="15.75" customHeight="1">
      <c r="R382" s="30"/>
    </row>
    <row r="383" spans="18:18" ht="15.75" customHeight="1">
      <c r="R383" s="30"/>
    </row>
    <row r="384" spans="18:18" ht="15.75" customHeight="1">
      <c r="R384" s="30"/>
    </row>
    <row r="385" spans="18:18" ht="15.75" customHeight="1">
      <c r="R385" s="30"/>
    </row>
    <row r="386" spans="18:18" ht="15.75" customHeight="1">
      <c r="R386" s="30"/>
    </row>
    <row r="387" spans="18:18" ht="15.75" customHeight="1">
      <c r="R387" s="30"/>
    </row>
    <row r="388" spans="18:18" ht="15.75" customHeight="1">
      <c r="R388" s="30"/>
    </row>
    <row r="389" spans="18:18" ht="15.75" customHeight="1">
      <c r="R389" s="30"/>
    </row>
    <row r="390" spans="18:18" ht="15.75" customHeight="1">
      <c r="R390" s="30"/>
    </row>
    <row r="391" spans="18:18" ht="15.75" customHeight="1">
      <c r="R391" s="30"/>
    </row>
    <row r="392" spans="18:18" ht="15.75" customHeight="1">
      <c r="R392" s="30"/>
    </row>
    <row r="393" spans="18:18" ht="15.75" customHeight="1">
      <c r="R393" s="30"/>
    </row>
    <row r="394" spans="18:18" ht="15.75" customHeight="1">
      <c r="R394" s="30"/>
    </row>
    <row r="395" spans="18:18" ht="15.75" customHeight="1">
      <c r="R395" s="30"/>
    </row>
    <row r="396" spans="18:18" ht="15.75" customHeight="1">
      <c r="R396" s="30"/>
    </row>
    <row r="397" spans="18:18" ht="15.75" customHeight="1">
      <c r="R397" s="30"/>
    </row>
    <row r="398" spans="18:18" ht="15.75" customHeight="1">
      <c r="R398" s="30"/>
    </row>
    <row r="399" spans="18:18" ht="15.75" customHeight="1">
      <c r="R399" s="30"/>
    </row>
    <row r="400" spans="18:18" ht="15.75" customHeight="1">
      <c r="R400" s="30"/>
    </row>
    <row r="401" spans="18:18" ht="15.75" customHeight="1">
      <c r="R401" s="30"/>
    </row>
    <row r="402" spans="18:18" ht="15.75" customHeight="1">
      <c r="R402" s="30"/>
    </row>
    <row r="403" spans="18:18" ht="15.75" customHeight="1">
      <c r="R403" s="30"/>
    </row>
    <row r="404" spans="18:18" ht="15.75" customHeight="1">
      <c r="R404" s="30"/>
    </row>
    <row r="405" spans="18:18" ht="15.75" customHeight="1">
      <c r="R405" s="30"/>
    </row>
    <row r="406" spans="18:18" ht="15.75" customHeight="1">
      <c r="R406" s="30"/>
    </row>
    <row r="407" spans="18:18" ht="15.75" customHeight="1">
      <c r="R407" s="30"/>
    </row>
    <row r="408" spans="18:18" ht="15.75" customHeight="1">
      <c r="R408" s="30"/>
    </row>
    <row r="409" spans="18:18" ht="15.75" customHeight="1">
      <c r="R409" s="30"/>
    </row>
    <row r="410" spans="18:18" ht="15.75" customHeight="1">
      <c r="R410" s="30"/>
    </row>
    <row r="411" spans="18:18" ht="15.75" customHeight="1">
      <c r="R411" s="30"/>
    </row>
    <row r="412" spans="18:18" ht="15.75" customHeight="1">
      <c r="R412" s="30"/>
    </row>
    <row r="413" spans="18:18" ht="15.75" customHeight="1">
      <c r="R413" s="30"/>
    </row>
    <row r="414" spans="18:18" ht="15.75" customHeight="1">
      <c r="R414" s="30"/>
    </row>
    <row r="415" spans="18:18" ht="15.75" customHeight="1">
      <c r="R415" s="30"/>
    </row>
    <row r="416" spans="18:18" ht="15.75" customHeight="1">
      <c r="R416" s="30"/>
    </row>
    <row r="417" spans="18:18" ht="15.75" customHeight="1">
      <c r="R417" s="30"/>
    </row>
    <row r="418" spans="18:18" ht="15.75" customHeight="1">
      <c r="R418" s="30"/>
    </row>
    <row r="419" spans="18:18" ht="15.75" customHeight="1">
      <c r="R419" s="30"/>
    </row>
    <row r="420" spans="18:18" ht="15.75" customHeight="1">
      <c r="R420" s="30"/>
    </row>
    <row r="421" spans="18:18" ht="15.75" customHeight="1">
      <c r="R421" s="30"/>
    </row>
    <row r="422" spans="18:18" ht="15.75" customHeight="1">
      <c r="R422" s="30"/>
    </row>
    <row r="423" spans="18:18" ht="15.75" customHeight="1">
      <c r="R423" s="30"/>
    </row>
    <row r="424" spans="18:18" ht="15.75" customHeight="1">
      <c r="R424" s="30"/>
    </row>
    <row r="425" spans="18:18" ht="15.75" customHeight="1">
      <c r="R425" s="30"/>
    </row>
    <row r="426" spans="18:18" ht="15.75" customHeight="1">
      <c r="R426" s="30"/>
    </row>
    <row r="427" spans="18:18" ht="15.75" customHeight="1">
      <c r="R427" s="30"/>
    </row>
    <row r="428" spans="18:18" ht="15.75" customHeight="1">
      <c r="R428" s="30"/>
    </row>
    <row r="429" spans="18:18" ht="15.75" customHeight="1">
      <c r="R429" s="30"/>
    </row>
    <row r="430" spans="18:18" ht="15.75" customHeight="1">
      <c r="R430" s="30"/>
    </row>
    <row r="431" spans="18:18" ht="15.75" customHeight="1">
      <c r="R431" s="30"/>
    </row>
    <row r="432" spans="18:18" ht="15.75" customHeight="1">
      <c r="R432" s="30"/>
    </row>
    <row r="433" spans="18:18" ht="15.75" customHeight="1">
      <c r="R433" s="30"/>
    </row>
    <row r="434" spans="18:18" ht="15.75" customHeight="1">
      <c r="R434" s="30"/>
    </row>
    <row r="435" spans="18:18" ht="15.75" customHeight="1">
      <c r="R435" s="30"/>
    </row>
    <row r="436" spans="18:18" ht="15.75" customHeight="1">
      <c r="R436" s="30"/>
    </row>
    <row r="437" spans="18:18" ht="15.75" customHeight="1">
      <c r="R437" s="30"/>
    </row>
    <row r="438" spans="18:18" ht="15.75" customHeight="1">
      <c r="R438" s="30"/>
    </row>
    <row r="439" spans="18:18" ht="15.75" customHeight="1">
      <c r="R439" s="30"/>
    </row>
    <row r="440" spans="18:18" ht="15.75" customHeight="1">
      <c r="R440" s="30"/>
    </row>
    <row r="441" spans="18:18" ht="15.75" customHeight="1">
      <c r="R441" s="30"/>
    </row>
    <row r="442" spans="18:18" ht="15.75" customHeight="1">
      <c r="R442" s="30"/>
    </row>
    <row r="443" spans="18:18" ht="15.75" customHeight="1">
      <c r="R443" s="30"/>
    </row>
    <row r="444" spans="18:18" ht="15.75" customHeight="1">
      <c r="R444" s="30"/>
    </row>
    <row r="445" spans="18:18" ht="15.75" customHeight="1">
      <c r="R445" s="30"/>
    </row>
    <row r="446" spans="18:18" ht="15.75" customHeight="1">
      <c r="R446" s="30"/>
    </row>
    <row r="447" spans="18:18" ht="15.75" customHeight="1">
      <c r="R447" s="30"/>
    </row>
    <row r="448" spans="18:18" ht="15.75" customHeight="1">
      <c r="R448" s="30"/>
    </row>
    <row r="449" spans="18:18" ht="15.75" customHeight="1">
      <c r="R449" s="30"/>
    </row>
    <row r="450" spans="18:18" ht="15.75" customHeight="1">
      <c r="R450" s="30"/>
    </row>
    <row r="451" spans="18:18" ht="15.75" customHeight="1">
      <c r="R451" s="30"/>
    </row>
    <row r="452" spans="18:18" ht="15.75" customHeight="1">
      <c r="R452" s="30"/>
    </row>
    <row r="453" spans="18:18" ht="15.75" customHeight="1">
      <c r="R453" s="30"/>
    </row>
    <row r="454" spans="18:18" ht="15.75" customHeight="1">
      <c r="R454" s="30"/>
    </row>
    <row r="455" spans="18:18" ht="15.75" customHeight="1">
      <c r="R455" s="30"/>
    </row>
    <row r="456" spans="18:18" ht="15.75" customHeight="1">
      <c r="R456" s="30"/>
    </row>
    <row r="457" spans="18:18" ht="15.75" customHeight="1">
      <c r="R457" s="30"/>
    </row>
    <row r="458" spans="18:18" ht="15.75" customHeight="1">
      <c r="R458" s="30"/>
    </row>
    <row r="459" spans="18:18" ht="15.75" customHeight="1">
      <c r="R459" s="30"/>
    </row>
    <row r="460" spans="18:18" ht="15.75" customHeight="1">
      <c r="R460" s="30"/>
    </row>
    <row r="461" spans="18:18" ht="15.75" customHeight="1">
      <c r="R461" s="30"/>
    </row>
    <row r="462" spans="18:18" ht="15.75" customHeight="1">
      <c r="R462" s="30"/>
    </row>
    <row r="463" spans="18:18" ht="15.75" customHeight="1">
      <c r="R463" s="30"/>
    </row>
    <row r="464" spans="18:18" ht="15.75" customHeight="1">
      <c r="R464" s="30"/>
    </row>
    <row r="465" spans="18:18" ht="15.75" customHeight="1">
      <c r="R465" s="30"/>
    </row>
    <row r="466" spans="18:18" ht="15.75" customHeight="1">
      <c r="R466" s="30"/>
    </row>
    <row r="467" spans="18:18" ht="15.75" customHeight="1">
      <c r="R467" s="30"/>
    </row>
    <row r="468" spans="18:18" ht="15.75" customHeight="1">
      <c r="R468" s="30"/>
    </row>
    <row r="469" spans="18:18" ht="15.75" customHeight="1">
      <c r="R469" s="30"/>
    </row>
    <row r="470" spans="18:18" ht="15.75" customHeight="1">
      <c r="R470" s="30"/>
    </row>
    <row r="471" spans="18:18" ht="15.75" customHeight="1">
      <c r="R471" s="30"/>
    </row>
    <row r="472" spans="18:18" ht="15.75" customHeight="1">
      <c r="R472" s="30"/>
    </row>
    <row r="473" spans="18:18" ht="15.75" customHeight="1">
      <c r="R473" s="30"/>
    </row>
    <row r="474" spans="18:18" ht="15.75" customHeight="1">
      <c r="R474" s="30"/>
    </row>
    <row r="475" spans="18:18" ht="15.75" customHeight="1">
      <c r="R475" s="30"/>
    </row>
    <row r="476" spans="18:18" ht="15.75" customHeight="1">
      <c r="R476" s="30"/>
    </row>
    <row r="477" spans="18:18" ht="15.75" customHeight="1">
      <c r="R477" s="30"/>
    </row>
    <row r="478" spans="18:18" ht="15.75" customHeight="1">
      <c r="R478" s="30"/>
    </row>
    <row r="479" spans="18:18" ht="15.75" customHeight="1">
      <c r="R479" s="30"/>
    </row>
    <row r="480" spans="18:18" ht="15.75" customHeight="1">
      <c r="R480" s="30"/>
    </row>
    <row r="481" spans="18:18" ht="15.75" customHeight="1">
      <c r="R481" s="30"/>
    </row>
    <row r="482" spans="18:18" ht="15.75" customHeight="1">
      <c r="R482" s="30"/>
    </row>
    <row r="483" spans="18:18" ht="15.75" customHeight="1">
      <c r="R483" s="30"/>
    </row>
    <row r="484" spans="18:18" ht="15.75" customHeight="1">
      <c r="R484" s="30"/>
    </row>
    <row r="485" spans="18:18" ht="15.75" customHeight="1">
      <c r="R485" s="30"/>
    </row>
    <row r="486" spans="18:18" ht="15.75" customHeight="1">
      <c r="R486" s="30"/>
    </row>
    <row r="487" spans="18:18" ht="15.75" customHeight="1">
      <c r="R487" s="30"/>
    </row>
    <row r="488" spans="18:18" ht="15.75" customHeight="1">
      <c r="R488" s="30"/>
    </row>
    <row r="489" spans="18:18" ht="15.75" customHeight="1">
      <c r="R489" s="30"/>
    </row>
    <row r="490" spans="18:18" ht="15.75" customHeight="1">
      <c r="R490" s="30"/>
    </row>
    <row r="491" spans="18:18" ht="15.75" customHeight="1">
      <c r="R491" s="30"/>
    </row>
    <row r="492" spans="18:18" ht="15.75" customHeight="1">
      <c r="R492" s="30"/>
    </row>
    <row r="493" spans="18:18" ht="15.75" customHeight="1">
      <c r="R493" s="30"/>
    </row>
    <row r="494" spans="18:18" ht="15.75" customHeight="1">
      <c r="R494" s="30"/>
    </row>
    <row r="495" spans="18:18" ht="15.75" customHeight="1">
      <c r="R495" s="30"/>
    </row>
    <row r="496" spans="18:18" ht="15.75" customHeight="1">
      <c r="R496" s="30"/>
    </row>
    <row r="497" spans="18:18" ht="15.75" customHeight="1">
      <c r="R497" s="30"/>
    </row>
    <row r="498" spans="18:18" ht="15.75" customHeight="1">
      <c r="R498" s="30"/>
    </row>
    <row r="499" spans="18:18" ht="15.75" customHeight="1">
      <c r="R499" s="30"/>
    </row>
    <row r="500" spans="18:18" ht="15.75" customHeight="1">
      <c r="R500" s="30"/>
    </row>
    <row r="501" spans="18:18" ht="15.75" customHeight="1">
      <c r="R501" s="30"/>
    </row>
    <row r="502" spans="18:18" ht="15.75" customHeight="1">
      <c r="R502" s="30"/>
    </row>
    <row r="503" spans="18:18" ht="15.75" customHeight="1">
      <c r="R503" s="30"/>
    </row>
    <row r="504" spans="18:18" ht="15.75" customHeight="1">
      <c r="R504" s="30"/>
    </row>
    <row r="505" spans="18:18" ht="15.75" customHeight="1">
      <c r="R505" s="30"/>
    </row>
    <row r="506" spans="18:18" ht="15.75" customHeight="1">
      <c r="R506" s="30"/>
    </row>
    <row r="507" spans="18:18" ht="15.75" customHeight="1">
      <c r="R507" s="30"/>
    </row>
    <row r="508" spans="18:18" ht="15.75" customHeight="1">
      <c r="R508" s="30"/>
    </row>
    <row r="509" spans="18:18" ht="15.75" customHeight="1">
      <c r="R509" s="30"/>
    </row>
    <row r="510" spans="18:18" ht="15.75" customHeight="1">
      <c r="R510" s="30"/>
    </row>
    <row r="511" spans="18:18" ht="15.75" customHeight="1">
      <c r="R511" s="30"/>
    </row>
    <row r="512" spans="18:18" ht="15.75" customHeight="1">
      <c r="R512" s="30"/>
    </row>
    <row r="513" spans="18:18" ht="15.75" customHeight="1">
      <c r="R513" s="30"/>
    </row>
    <row r="514" spans="18:18" ht="15.75" customHeight="1">
      <c r="R514" s="30"/>
    </row>
    <row r="515" spans="18:18" ht="15.75" customHeight="1">
      <c r="R515" s="30"/>
    </row>
    <row r="516" spans="18:18" ht="15.75" customHeight="1">
      <c r="R516" s="30"/>
    </row>
    <row r="517" spans="18:18" ht="15.75" customHeight="1">
      <c r="R517" s="30"/>
    </row>
    <row r="518" spans="18:18" ht="15.75" customHeight="1">
      <c r="R518" s="30"/>
    </row>
    <row r="519" spans="18:18" ht="15.75" customHeight="1">
      <c r="R519" s="30"/>
    </row>
    <row r="520" spans="18:18" ht="15.75" customHeight="1">
      <c r="R520" s="30"/>
    </row>
    <row r="521" spans="18:18" ht="15.75" customHeight="1">
      <c r="R521" s="30"/>
    </row>
    <row r="522" spans="18:18" ht="15.75" customHeight="1">
      <c r="R522" s="30"/>
    </row>
    <row r="523" spans="18:18" ht="15.75" customHeight="1">
      <c r="R523" s="30"/>
    </row>
    <row r="524" spans="18:18" ht="15.75" customHeight="1">
      <c r="R524" s="30"/>
    </row>
    <row r="525" spans="18:18" ht="15.75" customHeight="1">
      <c r="R525" s="30"/>
    </row>
    <row r="526" spans="18:18" ht="15.75" customHeight="1">
      <c r="R526" s="30"/>
    </row>
    <row r="527" spans="18:18" ht="15.75" customHeight="1">
      <c r="R527" s="30"/>
    </row>
    <row r="528" spans="18:18" ht="15.75" customHeight="1">
      <c r="R528" s="30"/>
    </row>
    <row r="529" spans="18:18" ht="15.75" customHeight="1">
      <c r="R529" s="30"/>
    </row>
    <row r="530" spans="18:18" ht="15.75" customHeight="1">
      <c r="R530" s="30"/>
    </row>
    <row r="531" spans="18:18" ht="15.75" customHeight="1">
      <c r="R531" s="30"/>
    </row>
    <row r="532" spans="18:18" ht="15.75" customHeight="1">
      <c r="R532" s="30"/>
    </row>
    <row r="533" spans="18:18" ht="15.75" customHeight="1">
      <c r="R533" s="30"/>
    </row>
    <row r="534" spans="18:18" ht="15.75" customHeight="1">
      <c r="R534" s="30"/>
    </row>
    <row r="535" spans="18:18" ht="15.75" customHeight="1">
      <c r="R535" s="30"/>
    </row>
    <row r="536" spans="18:18" ht="15.75" customHeight="1">
      <c r="R536" s="30"/>
    </row>
    <row r="537" spans="18:18" ht="15.75" customHeight="1">
      <c r="R537" s="30"/>
    </row>
    <row r="538" spans="18:18" ht="15.75" customHeight="1">
      <c r="R538" s="30"/>
    </row>
    <row r="539" spans="18:18" ht="15.75" customHeight="1">
      <c r="R539" s="30"/>
    </row>
    <row r="540" spans="18:18" ht="15.75" customHeight="1">
      <c r="R540" s="30"/>
    </row>
    <row r="541" spans="18:18" ht="15.75" customHeight="1">
      <c r="R541" s="30"/>
    </row>
    <row r="542" spans="18:18" ht="15.75" customHeight="1">
      <c r="R542" s="30"/>
    </row>
    <row r="543" spans="18:18" ht="15.75" customHeight="1">
      <c r="R543" s="30"/>
    </row>
    <row r="544" spans="18:18" ht="15.75" customHeight="1">
      <c r="R544" s="30"/>
    </row>
    <row r="545" spans="18:18" ht="15.75" customHeight="1">
      <c r="R545" s="30"/>
    </row>
    <row r="546" spans="18:18" ht="15.75" customHeight="1">
      <c r="R546" s="30"/>
    </row>
    <row r="547" spans="18:18" ht="15.75" customHeight="1">
      <c r="R547" s="30"/>
    </row>
    <row r="548" spans="18:18" ht="15.75" customHeight="1">
      <c r="R548" s="30"/>
    </row>
    <row r="549" spans="18:18" ht="15.75" customHeight="1">
      <c r="R549" s="30"/>
    </row>
    <row r="550" spans="18:18" ht="15.75" customHeight="1">
      <c r="R550" s="30"/>
    </row>
    <row r="551" spans="18:18" ht="15.75" customHeight="1">
      <c r="R551" s="30"/>
    </row>
    <row r="552" spans="18:18" ht="15.75" customHeight="1">
      <c r="R552" s="30"/>
    </row>
    <row r="553" spans="18:18" ht="15.75" customHeight="1">
      <c r="R553" s="30"/>
    </row>
    <row r="554" spans="18:18" ht="15.75" customHeight="1">
      <c r="R554" s="30"/>
    </row>
    <row r="555" spans="18:18" ht="15.75" customHeight="1">
      <c r="R555" s="30"/>
    </row>
    <row r="556" spans="18:18" ht="15.75" customHeight="1">
      <c r="R556" s="30"/>
    </row>
    <row r="557" spans="18:18" ht="15.75" customHeight="1">
      <c r="R557" s="30"/>
    </row>
    <row r="558" spans="18:18" ht="15.75" customHeight="1">
      <c r="R558" s="30"/>
    </row>
    <row r="559" spans="18:18" ht="15.75" customHeight="1">
      <c r="R559" s="30"/>
    </row>
    <row r="560" spans="18:18" ht="15.75" customHeight="1">
      <c r="R560" s="30"/>
    </row>
    <row r="561" spans="18:18" ht="15.75" customHeight="1">
      <c r="R561" s="30"/>
    </row>
    <row r="562" spans="18:18" ht="15.75" customHeight="1">
      <c r="R562" s="30"/>
    </row>
    <row r="563" spans="18:18" ht="15.75" customHeight="1">
      <c r="R563" s="30"/>
    </row>
    <row r="564" spans="18:18" ht="15.75" customHeight="1">
      <c r="R564" s="30"/>
    </row>
    <row r="565" spans="18:18" ht="15.75" customHeight="1">
      <c r="R565" s="30"/>
    </row>
    <row r="566" spans="18:18" ht="15.75" customHeight="1">
      <c r="R566" s="30"/>
    </row>
    <row r="567" spans="18:18" ht="15.75" customHeight="1">
      <c r="R567" s="30"/>
    </row>
    <row r="568" spans="18:18" ht="15.75" customHeight="1">
      <c r="R568" s="30"/>
    </row>
    <row r="569" spans="18:18" ht="15.75" customHeight="1">
      <c r="R569" s="30"/>
    </row>
    <row r="570" spans="18:18" ht="15.75" customHeight="1">
      <c r="R570" s="30"/>
    </row>
    <row r="571" spans="18:18" ht="15.75" customHeight="1">
      <c r="R571" s="30"/>
    </row>
    <row r="572" spans="18:18" ht="15.75" customHeight="1">
      <c r="R572" s="30"/>
    </row>
    <row r="573" spans="18:18" ht="15.75" customHeight="1">
      <c r="R573" s="30"/>
    </row>
    <row r="574" spans="18:18" ht="15.75" customHeight="1">
      <c r="R574" s="30"/>
    </row>
    <row r="575" spans="18:18" ht="15.75" customHeight="1">
      <c r="R575" s="30"/>
    </row>
    <row r="576" spans="18:18" ht="15.75" customHeight="1">
      <c r="R576" s="30"/>
    </row>
    <row r="577" spans="18:18" ht="15.75" customHeight="1">
      <c r="R577" s="30"/>
    </row>
    <row r="578" spans="18:18" ht="15.75" customHeight="1">
      <c r="R578" s="30"/>
    </row>
    <row r="579" spans="18:18" ht="15.75" customHeight="1">
      <c r="R579" s="30"/>
    </row>
    <row r="580" spans="18:18" ht="15.75" customHeight="1">
      <c r="R580" s="30"/>
    </row>
    <row r="581" spans="18:18" ht="15.75" customHeight="1">
      <c r="R581" s="30"/>
    </row>
    <row r="582" spans="18:18" ht="15.75" customHeight="1">
      <c r="R582" s="30"/>
    </row>
    <row r="583" spans="18:18" ht="15.75" customHeight="1">
      <c r="R583" s="30"/>
    </row>
    <row r="584" spans="18:18" ht="15.75" customHeight="1">
      <c r="R584" s="30"/>
    </row>
    <row r="585" spans="18:18" ht="15.75" customHeight="1">
      <c r="R585" s="30"/>
    </row>
    <row r="586" spans="18:18" ht="15.75" customHeight="1">
      <c r="R586" s="30"/>
    </row>
    <row r="587" spans="18:18" ht="15.75" customHeight="1">
      <c r="R587" s="30"/>
    </row>
    <row r="588" spans="18:18" ht="15.75" customHeight="1">
      <c r="R588" s="30"/>
    </row>
    <row r="589" spans="18:18" ht="15.75" customHeight="1">
      <c r="R589" s="30"/>
    </row>
    <row r="590" spans="18:18" ht="15.75" customHeight="1">
      <c r="R590" s="30"/>
    </row>
    <row r="591" spans="18:18" ht="15.75" customHeight="1">
      <c r="R591" s="30"/>
    </row>
    <row r="592" spans="18:18" ht="15.75" customHeight="1">
      <c r="R592" s="30"/>
    </row>
    <row r="593" spans="18:18" ht="15.75" customHeight="1">
      <c r="R593" s="30"/>
    </row>
    <row r="594" spans="18:18" ht="15.75" customHeight="1">
      <c r="R594" s="30"/>
    </row>
    <row r="595" spans="18:18" ht="15.75" customHeight="1">
      <c r="R595" s="30"/>
    </row>
    <row r="596" spans="18:18" ht="15.75" customHeight="1">
      <c r="R596" s="30"/>
    </row>
    <row r="597" spans="18:18" ht="15.75" customHeight="1">
      <c r="R597" s="30"/>
    </row>
    <row r="598" spans="18:18" ht="15.75" customHeight="1">
      <c r="R598" s="30"/>
    </row>
    <row r="599" spans="18:18" ht="15.75" customHeight="1">
      <c r="R599" s="30"/>
    </row>
    <row r="600" spans="18:18" ht="15.75" customHeight="1">
      <c r="R600" s="30"/>
    </row>
    <row r="601" spans="18:18" ht="15.75" customHeight="1">
      <c r="R601" s="30"/>
    </row>
    <row r="602" spans="18:18" ht="15.75" customHeight="1">
      <c r="R602" s="30"/>
    </row>
    <row r="603" spans="18:18" ht="15.75" customHeight="1">
      <c r="R603" s="30"/>
    </row>
    <row r="604" spans="18:18" ht="15.75" customHeight="1">
      <c r="R604" s="30"/>
    </row>
    <row r="605" spans="18:18" ht="15.75" customHeight="1">
      <c r="R605" s="30"/>
    </row>
    <row r="606" spans="18:18" ht="15.75" customHeight="1">
      <c r="R606" s="30"/>
    </row>
    <row r="607" spans="18:18" ht="15.75" customHeight="1">
      <c r="R607" s="30"/>
    </row>
    <row r="608" spans="18:18" ht="15.75" customHeight="1">
      <c r="R608" s="30"/>
    </row>
    <row r="609" spans="18:18" ht="15.75" customHeight="1">
      <c r="R609" s="30"/>
    </row>
    <row r="610" spans="18:18" ht="15.75" customHeight="1">
      <c r="R610" s="30"/>
    </row>
    <row r="611" spans="18:18" ht="15.75" customHeight="1">
      <c r="R611" s="30"/>
    </row>
    <row r="612" spans="18:18" ht="15.75" customHeight="1">
      <c r="R612" s="30"/>
    </row>
    <row r="613" spans="18:18" ht="15.75" customHeight="1">
      <c r="R613" s="30"/>
    </row>
    <row r="614" spans="18:18" ht="15.75" customHeight="1">
      <c r="R614" s="30"/>
    </row>
    <row r="615" spans="18:18" ht="15.75" customHeight="1">
      <c r="R615" s="30"/>
    </row>
    <row r="616" spans="18:18" ht="15.75" customHeight="1">
      <c r="R616" s="30"/>
    </row>
    <row r="617" spans="18:18" ht="15.75" customHeight="1">
      <c r="R617" s="30"/>
    </row>
    <row r="618" spans="18:18" ht="15.75" customHeight="1">
      <c r="R618" s="30"/>
    </row>
    <row r="619" spans="18:18" ht="15.75" customHeight="1">
      <c r="R619" s="30"/>
    </row>
    <row r="620" spans="18:18" ht="15.75" customHeight="1">
      <c r="R620" s="30"/>
    </row>
    <row r="621" spans="18:18" ht="15.75" customHeight="1">
      <c r="R621" s="30"/>
    </row>
    <row r="622" spans="18:18" ht="15.75" customHeight="1">
      <c r="R622" s="30"/>
    </row>
    <row r="623" spans="18:18" ht="15.75" customHeight="1">
      <c r="R623" s="30"/>
    </row>
    <row r="624" spans="18:18" ht="15.75" customHeight="1">
      <c r="R624" s="30"/>
    </row>
    <row r="625" spans="18:18" ht="15.75" customHeight="1">
      <c r="R625" s="30"/>
    </row>
    <row r="626" spans="18:18" ht="15.75" customHeight="1">
      <c r="R626" s="30"/>
    </row>
    <row r="627" spans="18:18" ht="15.75" customHeight="1">
      <c r="R627" s="30"/>
    </row>
    <row r="628" spans="18:18" ht="15.75" customHeight="1">
      <c r="R628" s="30"/>
    </row>
    <row r="629" spans="18:18" ht="15.75" customHeight="1">
      <c r="R629" s="30"/>
    </row>
    <row r="630" spans="18:18" ht="15.75" customHeight="1">
      <c r="R630" s="30"/>
    </row>
    <row r="631" spans="18:18" ht="15.75" customHeight="1">
      <c r="R631" s="30"/>
    </row>
    <row r="632" spans="18:18" ht="15.75" customHeight="1">
      <c r="R632" s="30"/>
    </row>
    <row r="633" spans="18:18" ht="15.75" customHeight="1">
      <c r="R633" s="30"/>
    </row>
    <row r="634" spans="18:18" ht="15.75" customHeight="1">
      <c r="R634" s="30"/>
    </row>
    <row r="635" spans="18:18" ht="15.75" customHeight="1">
      <c r="R635" s="30"/>
    </row>
    <row r="636" spans="18:18" ht="15.75" customHeight="1">
      <c r="R636" s="30"/>
    </row>
    <row r="637" spans="18:18" ht="15.75" customHeight="1">
      <c r="R637" s="30"/>
    </row>
    <row r="638" spans="18:18" ht="15.75" customHeight="1">
      <c r="R638" s="30"/>
    </row>
    <row r="639" spans="18:18" ht="15.75" customHeight="1">
      <c r="R639" s="30"/>
    </row>
    <row r="640" spans="18:18" ht="15.75" customHeight="1">
      <c r="R640" s="30"/>
    </row>
    <row r="641" spans="18:18" ht="15.75" customHeight="1">
      <c r="R641" s="30"/>
    </row>
    <row r="642" spans="18:18" ht="15.75" customHeight="1">
      <c r="R642" s="30"/>
    </row>
    <row r="643" spans="18:18" ht="15.75" customHeight="1">
      <c r="R643" s="30"/>
    </row>
    <row r="644" spans="18:18" ht="15.75" customHeight="1">
      <c r="R644" s="30"/>
    </row>
    <row r="645" spans="18:18" ht="15.75" customHeight="1">
      <c r="R645" s="30"/>
    </row>
    <row r="646" spans="18:18" ht="15.75" customHeight="1">
      <c r="R646" s="30"/>
    </row>
    <row r="647" spans="18:18" ht="15.75" customHeight="1">
      <c r="R647" s="30"/>
    </row>
    <row r="648" spans="18:18" ht="15.75" customHeight="1">
      <c r="R648" s="30"/>
    </row>
    <row r="649" spans="18:18" ht="15.75" customHeight="1">
      <c r="R649" s="30"/>
    </row>
    <row r="650" spans="18:18" ht="15.75" customHeight="1">
      <c r="R650" s="30"/>
    </row>
    <row r="651" spans="18:18" ht="15.75" customHeight="1">
      <c r="R651" s="30"/>
    </row>
    <row r="652" spans="18:18" ht="15.75" customHeight="1">
      <c r="R652" s="30"/>
    </row>
    <row r="653" spans="18:18" ht="15.75" customHeight="1">
      <c r="R653" s="30"/>
    </row>
    <row r="654" spans="18:18" ht="15.75" customHeight="1">
      <c r="R654" s="30"/>
    </row>
    <row r="655" spans="18:18" ht="15.75" customHeight="1">
      <c r="R655" s="30"/>
    </row>
    <row r="656" spans="18:18" ht="15.75" customHeight="1">
      <c r="R656" s="30"/>
    </row>
    <row r="657" spans="18:18" ht="15.75" customHeight="1">
      <c r="R657" s="30"/>
    </row>
    <row r="658" spans="18:18" ht="15.75" customHeight="1">
      <c r="R658" s="30"/>
    </row>
    <row r="659" spans="18:18" ht="15.75" customHeight="1">
      <c r="R659" s="30"/>
    </row>
    <row r="660" spans="18:18" ht="15.75" customHeight="1">
      <c r="R660" s="30"/>
    </row>
    <row r="661" spans="18:18" ht="15.75" customHeight="1">
      <c r="R661" s="30"/>
    </row>
    <row r="662" spans="18:18" ht="15.75" customHeight="1">
      <c r="R662" s="30"/>
    </row>
    <row r="663" spans="18:18" ht="15.75" customHeight="1">
      <c r="R663" s="30"/>
    </row>
    <row r="664" spans="18:18" ht="15.75" customHeight="1">
      <c r="R664" s="30"/>
    </row>
    <row r="665" spans="18:18" ht="15.75" customHeight="1">
      <c r="R665" s="30"/>
    </row>
    <row r="666" spans="18:18" ht="15.75" customHeight="1">
      <c r="R666" s="30"/>
    </row>
    <row r="667" spans="18:18" ht="15.75" customHeight="1">
      <c r="R667" s="30"/>
    </row>
    <row r="668" spans="18:18" ht="15.75" customHeight="1">
      <c r="R668" s="30"/>
    </row>
    <row r="669" spans="18:18" ht="15.75" customHeight="1">
      <c r="R669" s="30"/>
    </row>
    <row r="670" spans="18:18" ht="15.75" customHeight="1">
      <c r="R670" s="30"/>
    </row>
    <row r="671" spans="18:18" ht="15.75" customHeight="1">
      <c r="R671" s="30"/>
    </row>
    <row r="672" spans="18:18" ht="15.75" customHeight="1">
      <c r="R672" s="30"/>
    </row>
    <row r="673" spans="18:18" ht="15.75" customHeight="1">
      <c r="R673" s="30"/>
    </row>
    <row r="674" spans="18:18" ht="15.75" customHeight="1">
      <c r="R674" s="30"/>
    </row>
    <row r="675" spans="18:18" ht="15.75" customHeight="1">
      <c r="R675" s="30"/>
    </row>
    <row r="676" spans="18:18" ht="15.75" customHeight="1">
      <c r="R676" s="30"/>
    </row>
    <row r="677" spans="18:18" ht="15.75" customHeight="1">
      <c r="R677" s="30"/>
    </row>
    <row r="678" spans="18:18" ht="15.75" customHeight="1">
      <c r="R678" s="30"/>
    </row>
    <row r="679" spans="18:18" ht="15.75" customHeight="1">
      <c r="R679" s="30"/>
    </row>
    <row r="680" spans="18:18" ht="15.75" customHeight="1">
      <c r="R680" s="30"/>
    </row>
    <row r="681" spans="18:18" ht="15.75" customHeight="1">
      <c r="R681" s="30"/>
    </row>
    <row r="682" spans="18:18" ht="15.75" customHeight="1">
      <c r="R682" s="30"/>
    </row>
    <row r="683" spans="18:18" ht="15.75" customHeight="1">
      <c r="R683" s="30"/>
    </row>
    <row r="684" spans="18:18" ht="15.75" customHeight="1">
      <c r="R684" s="30"/>
    </row>
    <row r="685" spans="18:18" ht="15.75" customHeight="1">
      <c r="R685" s="30"/>
    </row>
    <row r="686" spans="18:18" ht="15.75" customHeight="1">
      <c r="R686" s="30"/>
    </row>
    <row r="687" spans="18:18" ht="15.75" customHeight="1">
      <c r="R687" s="30"/>
    </row>
    <row r="688" spans="18:18" ht="15.75" customHeight="1">
      <c r="R688" s="30"/>
    </row>
    <row r="689" spans="18:18" ht="15.75" customHeight="1">
      <c r="R689" s="30"/>
    </row>
    <row r="690" spans="18:18" ht="15.75" customHeight="1">
      <c r="R690" s="30"/>
    </row>
    <row r="691" spans="18:18" ht="15.75" customHeight="1">
      <c r="R691" s="30"/>
    </row>
    <row r="692" spans="18:18" ht="15.75" customHeight="1">
      <c r="R692" s="30"/>
    </row>
    <row r="693" spans="18:18" ht="15.75" customHeight="1">
      <c r="R693" s="30"/>
    </row>
    <row r="694" spans="18:18" ht="15.75" customHeight="1">
      <c r="R694" s="30"/>
    </row>
    <row r="695" spans="18:18" ht="15.75" customHeight="1">
      <c r="R695" s="30"/>
    </row>
    <row r="696" spans="18:18" ht="15.75" customHeight="1">
      <c r="R696" s="30"/>
    </row>
    <row r="697" spans="18:18" ht="15.75" customHeight="1">
      <c r="R697" s="30"/>
    </row>
    <row r="698" spans="18:18" ht="15.75" customHeight="1">
      <c r="R698" s="30"/>
    </row>
    <row r="699" spans="18:18" ht="15.75" customHeight="1">
      <c r="R699" s="30"/>
    </row>
    <row r="700" spans="18:18" ht="15.75" customHeight="1">
      <c r="R700" s="30"/>
    </row>
    <row r="701" spans="18:18" ht="15.75" customHeight="1">
      <c r="R701" s="30"/>
    </row>
    <row r="702" spans="18:18" ht="15.75" customHeight="1">
      <c r="R702" s="30"/>
    </row>
    <row r="703" spans="18:18" ht="15.75" customHeight="1">
      <c r="R703" s="30"/>
    </row>
    <row r="704" spans="18:18" ht="15.75" customHeight="1">
      <c r="R704" s="30"/>
    </row>
    <row r="705" spans="18:18" ht="15.75" customHeight="1">
      <c r="R705" s="30"/>
    </row>
    <row r="706" spans="18:18" ht="15.75" customHeight="1">
      <c r="R706" s="30"/>
    </row>
    <row r="707" spans="18:18" ht="15.75" customHeight="1">
      <c r="R707" s="30"/>
    </row>
    <row r="708" spans="18:18" ht="15.75" customHeight="1">
      <c r="R708" s="30"/>
    </row>
    <row r="709" spans="18:18" ht="15.75" customHeight="1">
      <c r="R709" s="30"/>
    </row>
    <row r="710" spans="18:18" ht="15.75" customHeight="1">
      <c r="R710" s="30"/>
    </row>
    <row r="711" spans="18:18" ht="15.75" customHeight="1">
      <c r="R711" s="30"/>
    </row>
    <row r="712" spans="18:18" ht="15.75" customHeight="1">
      <c r="R712" s="30"/>
    </row>
    <row r="713" spans="18:18" ht="15.75" customHeight="1">
      <c r="R713" s="30"/>
    </row>
    <row r="714" spans="18:18" ht="15.75" customHeight="1">
      <c r="R714" s="30"/>
    </row>
    <row r="715" spans="18:18" ht="15.75" customHeight="1">
      <c r="R715" s="30"/>
    </row>
    <row r="716" spans="18:18" ht="15.75" customHeight="1">
      <c r="R716" s="30"/>
    </row>
    <row r="717" spans="18:18" ht="15.75" customHeight="1">
      <c r="R717" s="30"/>
    </row>
    <row r="718" spans="18:18" ht="15.75" customHeight="1">
      <c r="R718" s="30"/>
    </row>
    <row r="719" spans="18:18" ht="15.75" customHeight="1">
      <c r="R719" s="30"/>
    </row>
    <row r="720" spans="18:18" ht="15.75" customHeight="1">
      <c r="R720" s="30"/>
    </row>
    <row r="721" spans="18:18" ht="15.75" customHeight="1">
      <c r="R721" s="30"/>
    </row>
    <row r="722" spans="18:18" ht="15.75" customHeight="1">
      <c r="R722" s="30"/>
    </row>
    <row r="723" spans="18:18" ht="15.75" customHeight="1">
      <c r="R723" s="30"/>
    </row>
    <row r="724" spans="18:18" ht="15.75" customHeight="1">
      <c r="R724" s="30"/>
    </row>
    <row r="725" spans="18:18" ht="15.75" customHeight="1">
      <c r="R725" s="30"/>
    </row>
    <row r="726" spans="18:18" ht="15.75" customHeight="1">
      <c r="R726" s="30"/>
    </row>
    <row r="727" spans="18:18" ht="15.75" customHeight="1">
      <c r="R727" s="30"/>
    </row>
    <row r="728" spans="18:18" ht="15.75" customHeight="1">
      <c r="R728" s="30"/>
    </row>
    <row r="729" spans="18:18" ht="15.75" customHeight="1">
      <c r="R729" s="30"/>
    </row>
    <row r="730" spans="18:18" ht="15.75" customHeight="1">
      <c r="R730" s="30"/>
    </row>
    <row r="731" spans="18:18" ht="15.75" customHeight="1">
      <c r="R731" s="30"/>
    </row>
    <row r="732" spans="18:18" ht="15.75" customHeight="1">
      <c r="R732" s="30"/>
    </row>
    <row r="733" spans="18:18" ht="15.75" customHeight="1">
      <c r="R733" s="30"/>
    </row>
    <row r="734" spans="18:18" ht="15.75" customHeight="1">
      <c r="R734" s="30"/>
    </row>
    <row r="735" spans="18:18" ht="15.75" customHeight="1">
      <c r="R735" s="30"/>
    </row>
    <row r="736" spans="18:18" ht="15.75" customHeight="1">
      <c r="R736" s="30"/>
    </row>
    <row r="737" spans="18:18" ht="15.75" customHeight="1">
      <c r="R737" s="30"/>
    </row>
    <row r="738" spans="18:18" ht="15.75" customHeight="1">
      <c r="R738" s="30"/>
    </row>
    <row r="739" spans="18:18" ht="15.75" customHeight="1">
      <c r="R739" s="30"/>
    </row>
    <row r="740" spans="18:18" ht="15.75" customHeight="1">
      <c r="R740" s="30"/>
    </row>
    <row r="741" spans="18:18" ht="15.75" customHeight="1">
      <c r="R741" s="30"/>
    </row>
    <row r="742" spans="18:18" ht="15.75" customHeight="1">
      <c r="R742" s="30"/>
    </row>
    <row r="743" spans="18:18" ht="15.75" customHeight="1">
      <c r="R743" s="30"/>
    </row>
    <row r="744" spans="18:18" ht="15.75" customHeight="1">
      <c r="R744" s="30"/>
    </row>
    <row r="745" spans="18:18" ht="15.75" customHeight="1">
      <c r="R745" s="30"/>
    </row>
    <row r="746" spans="18:18" ht="15.75" customHeight="1">
      <c r="R746" s="30"/>
    </row>
    <row r="747" spans="18:18" ht="15.75" customHeight="1">
      <c r="R747" s="30"/>
    </row>
    <row r="748" spans="18:18" ht="15.75" customHeight="1">
      <c r="R748" s="30"/>
    </row>
    <row r="749" spans="18:18" ht="15.75" customHeight="1">
      <c r="R749" s="30"/>
    </row>
    <row r="750" spans="18:18" ht="15.75" customHeight="1">
      <c r="R750" s="30"/>
    </row>
    <row r="751" spans="18:18" ht="15.75" customHeight="1">
      <c r="R751" s="30"/>
    </row>
    <row r="752" spans="18:18" ht="15.75" customHeight="1">
      <c r="R752" s="30"/>
    </row>
    <row r="753" spans="18:18" ht="15.75" customHeight="1">
      <c r="R753" s="30"/>
    </row>
    <row r="754" spans="18:18" ht="15.75" customHeight="1">
      <c r="R754" s="30"/>
    </row>
    <row r="755" spans="18:18" ht="15.75" customHeight="1">
      <c r="R755" s="30"/>
    </row>
    <row r="756" spans="18:18" ht="15.75" customHeight="1">
      <c r="R756" s="30"/>
    </row>
    <row r="757" spans="18:18" ht="15.75" customHeight="1">
      <c r="R757" s="30"/>
    </row>
    <row r="758" spans="18:18" ht="15.75" customHeight="1">
      <c r="R758" s="30"/>
    </row>
    <row r="759" spans="18:18" ht="15.75" customHeight="1">
      <c r="R759" s="30"/>
    </row>
    <row r="760" spans="18:18" ht="15.75" customHeight="1">
      <c r="R760" s="30"/>
    </row>
    <row r="761" spans="18:18" ht="15.75" customHeight="1">
      <c r="R761" s="30"/>
    </row>
    <row r="762" spans="18:18" ht="15.75" customHeight="1">
      <c r="R762" s="30"/>
    </row>
    <row r="763" spans="18:18" ht="15.75" customHeight="1">
      <c r="R763" s="30"/>
    </row>
    <row r="764" spans="18:18" ht="15.75" customHeight="1">
      <c r="R764" s="30"/>
    </row>
    <row r="765" spans="18:18" ht="15.75" customHeight="1">
      <c r="R765" s="30"/>
    </row>
    <row r="766" spans="18:18" ht="15.75" customHeight="1">
      <c r="R766" s="30"/>
    </row>
    <row r="767" spans="18:18" ht="15.75" customHeight="1">
      <c r="R767" s="30"/>
    </row>
    <row r="768" spans="18:18" ht="15.75" customHeight="1">
      <c r="R768" s="30"/>
    </row>
    <row r="769" spans="18:18" ht="15.75" customHeight="1">
      <c r="R769" s="30"/>
    </row>
    <row r="770" spans="18:18" ht="15.75" customHeight="1">
      <c r="R770" s="30"/>
    </row>
    <row r="771" spans="18:18" ht="15.75" customHeight="1">
      <c r="R771" s="30"/>
    </row>
    <row r="772" spans="18:18" ht="15.75" customHeight="1">
      <c r="R772" s="30"/>
    </row>
    <row r="773" spans="18:18" ht="15.75" customHeight="1">
      <c r="R773" s="30"/>
    </row>
    <row r="774" spans="18:18" ht="15.75" customHeight="1">
      <c r="R774" s="30"/>
    </row>
    <row r="775" spans="18:18" ht="15.75" customHeight="1">
      <c r="R775" s="30"/>
    </row>
    <row r="776" spans="18:18" ht="15.75" customHeight="1">
      <c r="R776" s="30"/>
    </row>
    <row r="777" spans="18:18" ht="15.75" customHeight="1">
      <c r="R777" s="30"/>
    </row>
    <row r="778" spans="18:18" ht="15.75" customHeight="1">
      <c r="R778" s="30"/>
    </row>
    <row r="779" spans="18:18" ht="15.75" customHeight="1">
      <c r="R779" s="30"/>
    </row>
    <row r="780" spans="18:18" ht="15.75" customHeight="1">
      <c r="R780" s="30"/>
    </row>
    <row r="781" spans="18:18" ht="15.75" customHeight="1">
      <c r="R781" s="30"/>
    </row>
    <row r="782" spans="18:18" ht="15.75" customHeight="1">
      <c r="R782" s="30"/>
    </row>
    <row r="783" spans="18:18" ht="15.75" customHeight="1">
      <c r="R783" s="30"/>
    </row>
    <row r="784" spans="18:18" ht="15.75" customHeight="1">
      <c r="R784" s="30"/>
    </row>
    <row r="785" spans="18:18" ht="15.75" customHeight="1">
      <c r="R785" s="30"/>
    </row>
    <row r="786" spans="18:18" ht="15.75" customHeight="1">
      <c r="R786" s="30"/>
    </row>
    <row r="787" spans="18:18" ht="15.75" customHeight="1">
      <c r="R787" s="30"/>
    </row>
    <row r="788" spans="18:18" ht="15.75" customHeight="1">
      <c r="R788" s="30"/>
    </row>
    <row r="789" spans="18:18" ht="15.75" customHeight="1">
      <c r="R789" s="30"/>
    </row>
    <row r="790" spans="18:18" ht="15.75" customHeight="1">
      <c r="R790" s="30"/>
    </row>
    <row r="791" spans="18:18" ht="15.75" customHeight="1">
      <c r="R791" s="30"/>
    </row>
    <row r="792" spans="18:18" ht="15.75" customHeight="1">
      <c r="R792" s="30"/>
    </row>
    <row r="793" spans="18:18" ht="15.75" customHeight="1">
      <c r="R793" s="30"/>
    </row>
    <row r="794" spans="18:18" ht="15.75" customHeight="1">
      <c r="R794" s="30"/>
    </row>
    <row r="795" spans="18:18" ht="15.75" customHeight="1">
      <c r="R795" s="30"/>
    </row>
    <row r="796" spans="18:18" ht="15.75" customHeight="1">
      <c r="R796" s="30"/>
    </row>
    <row r="797" spans="18:18" ht="15.75" customHeight="1">
      <c r="R797" s="30"/>
    </row>
    <row r="798" spans="18:18" ht="15.75" customHeight="1">
      <c r="R798" s="30"/>
    </row>
    <row r="799" spans="18:18" ht="15.75" customHeight="1">
      <c r="R799" s="30"/>
    </row>
    <row r="800" spans="18:18" ht="15.75" customHeight="1">
      <c r="R800" s="30"/>
    </row>
    <row r="801" spans="18:18" ht="15.75" customHeight="1">
      <c r="R801" s="30"/>
    </row>
    <row r="802" spans="18:18" ht="15.75" customHeight="1">
      <c r="R802" s="30"/>
    </row>
    <row r="803" spans="18:18" ht="15.75" customHeight="1">
      <c r="R803" s="30"/>
    </row>
    <row r="804" spans="18:18" ht="15.75" customHeight="1">
      <c r="R804" s="30"/>
    </row>
    <row r="805" spans="18:18" ht="15.75" customHeight="1">
      <c r="R805" s="30"/>
    </row>
    <row r="806" spans="18:18" ht="15.75" customHeight="1">
      <c r="R806" s="30"/>
    </row>
    <row r="807" spans="18:18" ht="15.75" customHeight="1">
      <c r="R807" s="30"/>
    </row>
    <row r="808" spans="18:18" ht="15.75" customHeight="1">
      <c r="R808" s="30"/>
    </row>
    <row r="809" spans="18:18" ht="15.75" customHeight="1">
      <c r="R809" s="30"/>
    </row>
    <row r="810" spans="18:18" ht="15.75" customHeight="1">
      <c r="R810" s="30"/>
    </row>
    <row r="811" spans="18:18" ht="15.75" customHeight="1">
      <c r="R811" s="30"/>
    </row>
    <row r="812" spans="18:18" ht="15.75" customHeight="1">
      <c r="R812" s="30"/>
    </row>
    <row r="813" spans="18:18" ht="15.75" customHeight="1">
      <c r="R813" s="30"/>
    </row>
    <row r="814" spans="18:18" ht="15.75" customHeight="1">
      <c r="R814" s="30"/>
    </row>
    <row r="815" spans="18:18" ht="15.75" customHeight="1">
      <c r="R815" s="30"/>
    </row>
    <row r="816" spans="18:18" ht="15.75" customHeight="1">
      <c r="R816" s="30"/>
    </row>
    <row r="817" spans="18:18" ht="15.75" customHeight="1">
      <c r="R817" s="30"/>
    </row>
    <row r="818" spans="18:18" ht="15.75" customHeight="1">
      <c r="R818" s="30"/>
    </row>
    <row r="819" spans="18:18" ht="15.75" customHeight="1">
      <c r="R819" s="30"/>
    </row>
    <row r="820" spans="18:18" ht="15.75" customHeight="1">
      <c r="R820" s="30"/>
    </row>
    <row r="821" spans="18:18" ht="15.75" customHeight="1">
      <c r="R821" s="30"/>
    </row>
    <row r="822" spans="18:18" ht="15.75" customHeight="1">
      <c r="R822" s="30"/>
    </row>
    <row r="823" spans="18:18" ht="15.75" customHeight="1">
      <c r="R823" s="30"/>
    </row>
    <row r="824" spans="18:18" ht="15.75" customHeight="1">
      <c r="R824" s="30"/>
    </row>
    <row r="825" spans="18:18" ht="15.75" customHeight="1">
      <c r="R825" s="30"/>
    </row>
    <row r="826" spans="18:18" ht="15.75" customHeight="1">
      <c r="R826" s="30"/>
    </row>
    <row r="827" spans="18:18" ht="15.75" customHeight="1">
      <c r="R827" s="30"/>
    </row>
    <row r="828" spans="18:18" ht="15.75" customHeight="1">
      <c r="R828" s="30"/>
    </row>
    <row r="829" spans="18:18" ht="15.75" customHeight="1">
      <c r="R829" s="30"/>
    </row>
    <row r="830" spans="18:18" ht="15.75" customHeight="1">
      <c r="R830" s="30"/>
    </row>
    <row r="831" spans="18:18" ht="15.75" customHeight="1">
      <c r="R831" s="30"/>
    </row>
    <row r="832" spans="18:18" ht="15.75" customHeight="1">
      <c r="R832" s="30"/>
    </row>
    <row r="833" spans="18:18" ht="15.75" customHeight="1">
      <c r="R833" s="30"/>
    </row>
    <row r="834" spans="18:18" ht="15.75" customHeight="1">
      <c r="R834" s="30"/>
    </row>
    <row r="835" spans="18:18" ht="15.75" customHeight="1">
      <c r="R835" s="30"/>
    </row>
    <row r="836" spans="18:18" ht="15.75" customHeight="1">
      <c r="R836" s="30"/>
    </row>
    <row r="837" spans="18:18" ht="15.75" customHeight="1">
      <c r="R837" s="30"/>
    </row>
    <row r="838" spans="18:18" ht="15.75" customHeight="1">
      <c r="R838" s="30"/>
    </row>
    <row r="839" spans="18:18" ht="15.75" customHeight="1">
      <c r="R839" s="30"/>
    </row>
    <row r="840" spans="18:18" ht="15.75" customHeight="1">
      <c r="R840" s="30"/>
    </row>
    <row r="841" spans="18:18" ht="15.75" customHeight="1">
      <c r="R841" s="30"/>
    </row>
    <row r="842" spans="18:18" ht="15.75" customHeight="1">
      <c r="R842" s="30"/>
    </row>
    <row r="843" spans="18:18" ht="15.75" customHeight="1">
      <c r="R843" s="30"/>
    </row>
    <row r="844" spans="18:18" ht="15.75" customHeight="1">
      <c r="R844" s="30"/>
    </row>
    <row r="845" spans="18:18" ht="15.75" customHeight="1">
      <c r="R845" s="30"/>
    </row>
    <row r="846" spans="18:18" ht="15.75" customHeight="1">
      <c r="R846" s="30"/>
    </row>
    <row r="847" spans="18:18" ht="15.75" customHeight="1">
      <c r="R847" s="30"/>
    </row>
    <row r="848" spans="18:18" ht="15.75" customHeight="1">
      <c r="R848" s="30"/>
    </row>
    <row r="849" spans="18:18" ht="15.75" customHeight="1">
      <c r="R849" s="30"/>
    </row>
    <row r="850" spans="18:18" ht="15.75" customHeight="1">
      <c r="R850" s="30"/>
    </row>
    <row r="851" spans="18:18" ht="15.75" customHeight="1">
      <c r="R851" s="30"/>
    </row>
    <row r="852" spans="18:18" ht="15.75" customHeight="1">
      <c r="R852" s="30"/>
    </row>
    <row r="853" spans="18:18" ht="15.75" customHeight="1">
      <c r="R853" s="30"/>
    </row>
    <row r="854" spans="18:18" ht="15.75" customHeight="1">
      <c r="R854" s="30"/>
    </row>
    <row r="855" spans="18:18" ht="15.75" customHeight="1">
      <c r="R855" s="30"/>
    </row>
    <row r="856" spans="18:18" ht="15.75" customHeight="1">
      <c r="R856" s="30"/>
    </row>
    <row r="857" spans="18:18" ht="15.75" customHeight="1">
      <c r="R857" s="30"/>
    </row>
    <row r="858" spans="18:18" ht="15.75" customHeight="1">
      <c r="R858" s="30"/>
    </row>
    <row r="859" spans="18:18" ht="15.75" customHeight="1">
      <c r="R859" s="30"/>
    </row>
    <row r="860" spans="18:18" ht="15.75" customHeight="1">
      <c r="R860" s="30"/>
    </row>
    <row r="861" spans="18:18" ht="15.75" customHeight="1">
      <c r="R861" s="30"/>
    </row>
    <row r="862" spans="18:18" ht="15.75" customHeight="1">
      <c r="R862" s="30"/>
    </row>
    <row r="863" spans="18:18" ht="15.75" customHeight="1">
      <c r="R863" s="30"/>
    </row>
    <row r="864" spans="18:18" ht="15.75" customHeight="1">
      <c r="R864" s="30"/>
    </row>
    <row r="865" spans="18:18" ht="15.75" customHeight="1">
      <c r="R865" s="30"/>
    </row>
    <row r="866" spans="18:18" ht="15.75" customHeight="1">
      <c r="R866" s="30"/>
    </row>
    <row r="867" spans="18:18" ht="15.75" customHeight="1">
      <c r="R867" s="30"/>
    </row>
    <row r="868" spans="18:18" ht="15.75" customHeight="1">
      <c r="R868" s="30"/>
    </row>
    <row r="869" spans="18:18" ht="15.75" customHeight="1">
      <c r="R869" s="30"/>
    </row>
    <row r="870" spans="18:18" ht="15.75" customHeight="1">
      <c r="R870" s="30"/>
    </row>
    <row r="871" spans="18:18" ht="15.75" customHeight="1">
      <c r="R871" s="30"/>
    </row>
    <row r="872" spans="18:18" ht="15.75" customHeight="1">
      <c r="R872" s="30"/>
    </row>
    <row r="873" spans="18:18" ht="15.75" customHeight="1">
      <c r="R873" s="30"/>
    </row>
    <row r="874" spans="18:18" ht="15.75" customHeight="1">
      <c r="R874" s="30"/>
    </row>
    <row r="875" spans="18:18" ht="15.75" customHeight="1">
      <c r="R875" s="30"/>
    </row>
    <row r="876" spans="18:18" ht="15.75" customHeight="1">
      <c r="R876" s="30"/>
    </row>
    <row r="877" spans="18:18" ht="15.75" customHeight="1">
      <c r="R877" s="30"/>
    </row>
    <row r="878" spans="18:18" ht="15.75" customHeight="1">
      <c r="R878" s="30"/>
    </row>
    <row r="879" spans="18:18" ht="15.75" customHeight="1">
      <c r="R879" s="30"/>
    </row>
    <row r="880" spans="18:18" ht="15.75" customHeight="1">
      <c r="R880" s="30"/>
    </row>
    <row r="881" spans="18:18" ht="15.75" customHeight="1">
      <c r="R881" s="30"/>
    </row>
    <row r="882" spans="18:18" ht="15.75" customHeight="1">
      <c r="R882" s="30"/>
    </row>
    <row r="883" spans="18:18" ht="15.75" customHeight="1">
      <c r="R883" s="30"/>
    </row>
    <row r="884" spans="18:18" ht="15.75" customHeight="1">
      <c r="R884" s="30"/>
    </row>
    <row r="885" spans="18:18" ht="15.75" customHeight="1">
      <c r="R885" s="30"/>
    </row>
    <row r="886" spans="18:18" ht="15.75" customHeight="1">
      <c r="R886" s="30"/>
    </row>
    <row r="887" spans="18:18" ht="15.75" customHeight="1">
      <c r="R887" s="30"/>
    </row>
    <row r="888" spans="18:18" ht="15.75" customHeight="1">
      <c r="R888" s="30"/>
    </row>
    <row r="889" spans="18:18" ht="15.75" customHeight="1">
      <c r="R889" s="30"/>
    </row>
    <row r="890" spans="18:18" ht="15.75" customHeight="1">
      <c r="R890" s="30"/>
    </row>
    <row r="891" spans="18:18" ht="15.75" customHeight="1">
      <c r="R891" s="30"/>
    </row>
    <row r="892" spans="18:18" ht="15.75" customHeight="1">
      <c r="R892" s="30"/>
    </row>
    <row r="893" spans="18:18" ht="15.75" customHeight="1">
      <c r="R893" s="30"/>
    </row>
    <row r="894" spans="18:18" ht="15.75" customHeight="1">
      <c r="R894" s="30"/>
    </row>
    <row r="895" spans="18:18" ht="15.75" customHeight="1">
      <c r="R895" s="30"/>
    </row>
    <row r="896" spans="18:18" ht="15.75" customHeight="1">
      <c r="R896" s="30"/>
    </row>
    <row r="897" spans="18:18" ht="15.75" customHeight="1">
      <c r="R897" s="30"/>
    </row>
    <row r="898" spans="18:18" ht="15.75" customHeight="1">
      <c r="R898" s="30"/>
    </row>
    <row r="899" spans="18:18" ht="15.75" customHeight="1">
      <c r="R899" s="30"/>
    </row>
    <row r="900" spans="18:18" ht="15.75" customHeight="1">
      <c r="R900" s="30"/>
    </row>
    <row r="901" spans="18:18" ht="15.75" customHeight="1">
      <c r="R901" s="30"/>
    </row>
    <row r="902" spans="18:18" ht="15.75" customHeight="1">
      <c r="R902" s="30"/>
    </row>
    <row r="903" spans="18:18" ht="15.75" customHeight="1">
      <c r="R903" s="30"/>
    </row>
    <row r="904" spans="18:18" ht="15.75" customHeight="1">
      <c r="R904" s="30"/>
    </row>
    <row r="905" spans="18:18" ht="15.75" customHeight="1">
      <c r="R905" s="30"/>
    </row>
    <row r="906" spans="18:18" ht="15.75" customHeight="1">
      <c r="R906" s="30"/>
    </row>
    <row r="907" spans="18:18" ht="15.75" customHeight="1">
      <c r="R907" s="30"/>
    </row>
    <row r="908" spans="18:18" ht="15.75" customHeight="1">
      <c r="R908" s="30"/>
    </row>
    <row r="909" spans="18:18" ht="15.75" customHeight="1">
      <c r="R909" s="30"/>
    </row>
    <row r="910" spans="18:18" ht="15.75" customHeight="1">
      <c r="R910" s="30"/>
    </row>
    <row r="911" spans="18:18" ht="15.75" customHeight="1">
      <c r="R911" s="30"/>
    </row>
    <row r="912" spans="18:18" ht="15.75" customHeight="1">
      <c r="R912" s="30"/>
    </row>
    <row r="913" spans="18:18" ht="15.75" customHeight="1">
      <c r="R913" s="30"/>
    </row>
    <row r="914" spans="18:18" ht="15.75" customHeight="1">
      <c r="R914" s="30"/>
    </row>
    <row r="915" spans="18:18" ht="15.75" customHeight="1">
      <c r="R915" s="30"/>
    </row>
    <row r="916" spans="18:18" ht="15.75" customHeight="1">
      <c r="R916" s="30"/>
    </row>
    <row r="917" spans="18:18" ht="15.75" customHeight="1">
      <c r="R917" s="30"/>
    </row>
    <row r="918" spans="18:18" ht="15.75" customHeight="1">
      <c r="R918" s="30"/>
    </row>
    <row r="919" spans="18:18" ht="15.75" customHeight="1">
      <c r="R919" s="30"/>
    </row>
    <row r="920" spans="18:18" ht="15.75" customHeight="1">
      <c r="R920" s="30"/>
    </row>
    <row r="921" spans="18:18" ht="15.75" customHeight="1">
      <c r="R921" s="30"/>
    </row>
    <row r="922" spans="18:18" ht="15.75" customHeight="1">
      <c r="R922" s="30"/>
    </row>
    <row r="923" spans="18:18" ht="15.75" customHeight="1">
      <c r="R923" s="30"/>
    </row>
    <row r="924" spans="18:18" ht="15.75" customHeight="1">
      <c r="R924" s="30"/>
    </row>
    <row r="925" spans="18:18" ht="15.75" customHeight="1">
      <c r="R925" s="30"/>
    </row>
    <row r="926" spans="18:18" ht="15.75" customHeight="1">
      <c r="R926" s="30"/>
    </row>
    <row r="927" spans="18:18" ht="15.75" customHeight="1">
      <c r="R927" s="30"/>
    </row>
    <row r="928" spans="18:18" ht="15.75" customHeight="1">
      <c r="R928" s="30"/>
    </row>
    <row r="929" spans="18:18" ht="15.75" customHeight="1">
      <c r="R929" s="30"/>
    </row>
    <row r="930" spans="18:18" ht="15.75" customHeight="1">
      <c r="R930" s="30"/>
    </row>
    <row r="931" spans="18:18" ht="15.75" customHeight="1">
      <c r="R931" s="30"/>
    </row>
    <row r="932" spans="18:18" ht="15.75" customHeight="1">
      <c r="R932" s="30"/>
    </row>
    <row r="933" spans="18:18" ht="15.75" customHeight="1">
      <c r="R933" s="30"/>
    </row>
    <row r="934" spans="18:18" ht="15.75" customHeight="1">
      <c r="R934" s="30"/>
    </row>
    <row r="935" spans="18:18" ht="15.75" customHeight="1">
      <c r="R935" s="30"/>
    </row>
    <row r="936" spans="18:18" ht="15.75" customHeight="1">
      <c r="R936" s="30"/>
    </row>
    <row r="937" spans="18:18" ht="15.75" customHeight="1">
      <c r="R937" s="30"/>
    </row>
    <row r="938" spans="18:18" ht="15.75" customHeight="1">
      <c r="R938" s="30"/>
    </row>
    <row r="939" spans="18:18" ht="15.75" customHeight="1">
      <c r="R939" s="30"/>
    </row>
    <row r="940" spans="18:18" ht="15.75" customHeight="1">
      <c r="R940" s="30"/>
    </row>
    <row r="941" spans="18:18" ht="15.75" customHeight="1">
      <c r="R941" s="30"/>
    </row>
    <row r="942" spans="18:18" ht="15.75" customHeight="1">
      <c r="R942" s="30"/>
    </row>
    <row r="943" spans="18:18" ht="15.75" customHeight="1">
      <c r="R943" s="30"/>
    </row>
    <row r="944" spans="18:18" ht="15.75" customHeight="1">
      <c r="R944" s="30"/>
    </row>
    <row r="945" spans="18:18" ht="15.75" customHeight="1">
      <c r="R945" s="30"/>
    </row>
    <row r="946" spans="18:18" ht="15.75" customHeight="1">
      <c r="R946" s="30"/>
    </row>
    <row r="947" spans="18:18" ht="15.75" customHeight="1">
      <c r="R947" s="30"/>
    </row>
    <row r="948" spans="18:18" ht="15.75" customHeight="1">
      <c r="R948" s="30"/>
    </row>
    <row r="949" spans="18:18" ht="15.75" customHeight="1">
      <c r="R949" s="30"/>
    </row>
    <row r="950" spans="18:18" ht="15.75" customHeight="1">
      <c r="R950" s="30"/>
    </row>
    <row r="951" spans="18:18" ht="15.75" customHeight="1">
      <c r="R951" s="30"/>
    </row>
    <row r="952" spans="18:18" ht="15.75" customHeight="1">
      <c r="R952" s="30"/>
    </row>
    <row r="953" spans="18:18" ht="15.75" customHeight="1">
      <c r="R953" s="30"/>
    </row>
    <row r="954" spans="18:18" ht="15.75" customHeight="1">
      <c r="R954" s="30"/>
    </row>
    <row r="955" spans="18:18" ht="15.75" customHeight="1">
      <c r="R955" s="30"/>
    </row>
    <row r="956" spans="18:18" ht="15.75" customHeight="1">
      <c r="R956" s="30"/>
    </row>
    <row r="957" spans="18:18" ht="15.75" customHeight="1">
      <c r="R957" s="30"/>
    </row>
    <row r="958" spans="18:18" ht="15.75" customHeight="1">
      <c r="R958" s="30"/>
    </row>
    <row r="959" spans="18:18" ht="15.75" customHeight="1">
      <c r="R959" s="30"/>
    </row>
    <row r="960" spans="18:18" ht="15.75" customHeight="1">
      <c r="R960" s="30"/>
    </row>
    <row r="961" spans="18:18" ht="15.75" customHeight="1">
      <c r="R961" s="30"/>
    </row>
    <row r="962" spans="18:18" ht="15.75" customHeight="1">
      <c r="R962" s="30"/>
    </row>
    <row r="963" spans="18:18" ht="15.75" customHeight="1">
      <c r="R963" s="30"/>
    </row>
    <row r="964" spans="18:18" ht="15.75" customHeight="1">
      <c r="R964" s="30"/>
    </row>
    <row r="965" spans="18:18" ht="15.75" customHeight="1">
      <c r="R965" s="30"/>
    </row>
    <row r="966" spans="18:18" ht="15.75" customHeight="1">
      <c r="R966" s="30"/>
    </row>
    <row r="967" spans="18:18" ht="15.75" customHeight="1">
      <c r="R967" s="30"/>
    </row>
    <row r="968" spans="18:18" ht="15.75" customHeight="1">
      <c r="R968" s="30"/>
    </row>
    <row r="969" spans="18:18" ht="15.75" customHeight="1">
      <c r="R969" s="30"/>
    </row>
    <row r="970" spans="18:18" ht="15.75" customHeight="1">
      <c r="R970" s="30"/>
    </row>
    <row r="971" spans="18:18" ht="15.75" customHeight="1">
      <c r="R971" s="30"/>
    </row>
    <row r="972" spans="18:18" ht="15.75" customHeight="1">
      <c r="R972" s="30"/>
    </row>
    <row r="973" spans="18:18" ht="15.75" customHeight="1">
      <c r="R973" s="30"/>
    </row>
    <row r="974" spans="18:18" ht="15.75" customHeight="1">
      <c r="R974" s="30"/>
    </row>
    <row r="975" spans="18:18" ht="15.75" customHeight="1">
      <c r="R975" s="30"/>
    </row>
    <row r="976" spans="18:18" ht="15.75" customHeight="1">
      <c r="R976" s="30"/>
    </row>
    <row r="977" spans="18:18" ht="15.75" customHeight="1">
      <c r="R977" s="30"/>
    </row>
    <row r="978" spans="18:18" ht="15.75" customHeight="1">
      <c r="R978" s="30"/>
    </row>
    <row r="979" spans="18:18" ht="15.75" customHeight="1">
      <c r="R979" s="30"/>
    </row>
    <row r="980" spans="18:18" ht="15.75" customHeight="1">
      <c r="R980" s="30"/>
    </row>
    <row r="981" spans="18:18" ht="15.75" customHeight="1">
      <c r="R981" s="30"/>
    </row>
    <row r="982" spans="18:18" ht="15.75" customHeight="1">
      <c r="R982" s="30"/>
    </row>
    <row r="983" spans="18:18" ht="15.75" customHeight="1">
      <c r="R983" s="30"/>
    </row>
    <row r="984" spans="18:18" ht="15.75" customHeight="1">
      <c r="R984" s="30"/>
    </row>
    <row r="985" spans="18:18" ht="15.75" customHeight="1">
      <c r="R985" s="30"/>
    </row>
    <row r="986" spans="18:18" ht="15.75" customHeight="1">
      <c r="R986" s="30"/>
    </row>
    <row r="987" spans="18:18" ht="15.75" customHeight="1">
      <c r="R987" s="30"/>
    </row>
    <row r="988" spans="18:18" ht="15.75" customHeight="1">
      <c r="R988" s="30"/>
    </row>
    <row r="989" spans="18:18" ht="15.75" customHeight="1">
      <c r="R989" s="30"/>
    </row>
    <row r="990" spans="18:18" ht="15.75" customHeight="1">
      <c r="R990" s="30"/>
    </row>
    <row r="991" spans="18:18" ht="15.75" customHeight="1">
      <c r="R991" s="30"/>
    </row>
    <row r="992" spans="18:18" ht="15.75" customHeight="1">
      <c r="R992" s="30"/>
    </row>
    <row r="993" spans="18:18" ht="15.75" customHeight="1">
      <c r="R993" s="30"/>
    </row>
    <row r="994" spans="18:18" ht="15.75" customHeight="1">
      <c r="R994" s="30"/>
    </row>
    <row r="995" spans="18:18" ht="15.75" customHeight="1">
      <c r="R995" s="30"/>
    </row>
    <row r="996" spans="18:18" ht="15.75" customHeight="1">
      <c r="R996" s="30"/>
    </row>
    <row r="997" spans="18:18" ht="15.75" customHeight="1">
      <c r="R997" s="30"/>
    </row>
    <row r="998" spans="18:18" ht="15.75" customHeight="1">
      <c r="R998" s="30"/>
    </row>
    <row r="999" spans="18:18" ht="15.75" customHeight="1">
      <c r="R999" s="30"/>
    </row>
    <row r="1000" spans="18:18" ht="15.75" customHeight="1">
      <c r="R1000" s="3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2.6640625" defaultRowHeight="15" customHeight="1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8.6640625" customWidth="1"/>
    <col min="6" max="6" width="10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9.6640625" customWidth="1"/>
    <col min="16" max="16" width="8.1640625" customWidth="1"/>
    <col min="17" max="18" width="7.33203125" customWidth="1"/>
    <col min="19" max="19" width="7.1640625" customWidth="1"/>
    <col min="20" max="20" width="11.1640625" customWidth="1"/>
    <col min="21" max="21" width="13.5" customWidth="1"/>
    <col min="22" max="22" width="22" customWidth="1"/>
    <col min="23" max="24" width="7.6640625" customWidth="1"/>
    <col min="25" max="25" width="8.1640625" customWidth="1"/>
    <col min="26" max="26" width="11.1640625" customWidth="1"/>
    <col min="27" max="27" width="10.6640625" customWidth="1"/>
    <col min="28" max="28" width="9.6640625" customWidth="1"/>
    <col min="29" max="29" width="7.1640625" customWidth="1"/>
    <col min="30" max="30" width="10.83203125" customWidth="1"/>
    <col min="31" max="31" width="7.6640625" customWidth="1"/>
    <col min="32" max="32" width="10.1640625" customWidth="1"/>
    <col min="33" max="33" width="8.83203125" customWidth="1"/>
  </cols>
  <sheetData>
    <row r="1" spans="1:33" ht="18.75" customHeight="1">
      <c r="A1" s="46" t="str">
        <f ca="1">IFERROR(__xludf.DUMMYFUNCTION("IFERROR(VLOOKUP(B2,IMPORTRANGE(""https://docs.google.com/spreadsheets/d/1x0DhHglkXKoEBOD2MBsuK_EyIr1ouxD2ftIpqOYFa-k/edit?usp=sharing"",""Ubiquitty-SKU-Specific Info!B1:BJ5000""),3,FALSE),"""")"),"25 Foot Lighted Outdoor Extension Cord with 3 Electrical Power Outlets - 10/3 SJTW Orange 10 Gauge Extension Cable with 3 Prong Grounded Plug for Safety")</f>
        <v>25 Foot Lighted Outdoor Extension Cord with 3 Electrical Power Outlets - 10/3 SJTW Orange 10 Gauge Extension Cable with 3 Prong Grounded Plug for Safety</v>
      </c>
      <c r="B1" s="47"/>
      <c r="C1" s="48" t="s">
        <v>0</v>
      </c>
      <c r="D1" s="50" t="s">
        <v>1</v>
      </c>
      <c r="E1" s="50" t="s">
        <v>2</v>
      </c>
      <c r="F1" s="52" t="s">
        <v>3</v>
      </c>
      <c r="G1" s="52" t="s">
        <v>4</v>
      </c>
      <c r="H1" s="53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58" t="s">
        <v>10</v>
      </c>
      <c r="N1" s="59" t="s">
        <v>11</v>
      </c>
      <c r="O1" s="50" t="s">
        <v>12</v>
      </c>
      <c r="P1" s="50" t="s">
        <v>13</v>
      </c>
      <c r="Q1" s="57" t="s">
        <v>14</v>
      </c>
      <c r="R1" s="57" t="s">
        <v>15</v>
      </c>
      <c r="S1" s="60" t="s">
        <v>16</v>
      </c>
      <c r="T1" s="62" t="s">
        <v>2006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Info!B1:BJ5000""),2,FALSE),"""")"),"B08NFFN7LB")</f>
        <v>B08NFFN7LB</v>
      </c>
      <c r="B2" s="3" t="s">
        <v>136</v>
      </c>
      <c r="C2" s="49"/>
      <c r="D2" s="49"/>
      <c r="E2" s="51"/>
      <c r="F2" s="49"/>
      <c r="G2" s="49"/>
      <c r="H2" s="54"/>
      <c r="I2" s="49"/>
      <c r="J2" s="49"/>
      <c r="K2" s="54"/>
      <c r="L2" s="54"/>
      <c r="M2" s="54"/>
      <c r="N2" s="49"/>
      <c r="O2" s="49"/>
      <c r="P2" s="51"/>
      <c r="Q2" s="49"/>
      <c r="R2" s="49"/>
      <c r="S2" s="61"/>
      <c r="T2" s="47"/>
      <c r="U2" s="63"/>
      <c r="V2" s="63"/>
      <c r="W2" s="47"/>
      <c r="X2" s="47"/>
      <c r="Y2" s="47"/>
      <c r="Z2" s="47"/>
      <c r="AA2" s="63"/>
      <c r="AB2" s="63"/>
      <c r="AC2" s="63"/>
      <c r="AD2" s="63"/>
      <c r="AE2" s="47"/>
      <c r="AF2" s="47"/>
      <c r="AG2" s="47"/>
    </row>
    <row r="3" spans="1:33" ht="179.25" customHeight="1">
      <c r="A3" s="55" t="s">
        <v>31</v>
      </c>
      <c r="B3" s="56"/>
      <c r="C3" s="4">
        <f>((AE32+AF32)/0.85)*-1</f>
        <v>29.459246611176468</v>
      </c>
      <c r="D3" s="5">
        <f>SUM(D4:D99765)</f>
        <v>92</v>
      </c>
      <c r="E3" s="5"/>
      <c r="F3" s="6">
        <f t="shared" ref="F3:G3" si="0">SUM(F4:F99765)</f>
        <v>3421.4400000000005</v>
      </c>
      <c r="G3" s="6">
        <f t="shared" si="0"/>
        <v>0</v>
      </c>
      <c r="H3" s="7">
        <f>G3/F3*-1</f>
        <v>0</v>
      </c>
      <c r="I3" s="8">
        <f>J3/F3</f>
        <v>0.1570776717732397</v>
      </c>
      <c r="J3" s="6">
        <f>SUM(J4:J99765)</f>
        <v>537.43182931183333</v>
      </c>
      <c r="K3" s="6">
        <f>J3/D3</f>
        <v>5.8416503186068836</v>
      </c>
      <c r="L3" s="5"/>
      <c r="M3" s="9"/>
      <c r="N3" s="10"/>
      <c r="O3" s="5" t="str">
        <f ca="1">IFERROR(__xludf.DUMMYFUNCTION("VLOOKUP(B2,IMPORTRANGE(""https://docs.google.com/spreadsheets/d/1N8jvpEHDVkurDv7NrPxwI3eH6hQsvtb1QltGNCalRjU/edit#gid=865736387"",""Compiled Sheet!a1:g5000""),2,FALSE)"),"1 - March
1 - April
1 - May
1 - June
1 - July
1 - Aug
1 - Sept
1 - Oct
1 - Nov
1 - Dec
1 - Jan
1 - Feb")</f>
        <v>1 - March
1 - April
1 - May
1 - June
1 - July
1 - Aug
1 - Sept
1 - Oct
1 - Nov
1 - Dec
1 - Jan
1 -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QTY-72")</f>
        <v>US QTY-72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0</v>
      </c>
      <c r="X3" s="7">
        <f>W3/D3</f>
        <v>0</v>
      </c>
      <c r="Y3" s="6"/>
      <c r="Z3" s="5"/>
      <c r="AA3" s="5"/>
      <c r="AB3" s="5"/>
      <c r="AC3" s="5"/>
      <c r="AD3" s="6">
        <f>SUM(AD4:AD99765)</f>
        <v>-44.957364766666657</v>
      </c>
      <c r="AE3" s="6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Info!B2:BZ3000""),37,FALSE)),"""")*-1"),-18.1603596195)</f>
        <v>-18.160359619499999</v>
      </c>
      <c r="AG3" s="6">
        <f>SUM(AG4:AG99765)</f>
        <v>0</v>
      </c>
    </row>
    <row r="4" spans="1:33" ht="15.75" hidden="1" customHeight="1">
      <c r="A4" s="14"/>
      <c r="B4" s="14"/>
      <c r="C4" s="15"/>
      <c r="D4" s="16"/>
      <c r="E4" s="16"/>
      <c r="F4" s="17"/>
      <c r="G4" s="17"/>
      <c r="H4" s="18"/>
      <c r="I4" s="18"/>
      <c r="J4" s="17"/>
      <c r="K4" s="17"/>
      <c r="L4" s="16"/>
      <c r="M4" s="19"/>
      <c r="N4" s="16"/>
      <c r="O4" s="20"/>
      <c r="P4" s="20"/>
      <c r="Q4" s="16"/>
      <c r="R4" s="16"/>
      <c r="S4" s="21"/>
      <c r="T4" s="14"/>
      <c r="U4" s="22"/>
      <c r="V4" s="23"/>
      <c r="W4" s="14"/>
      <c r="X4" s="24"/>
      <c r="Y4" s="25"/>
      <c r="Z4" s="14"/>
      <c r="AA4" s="26"/>
      <c r="AB4" s="27"/>
      <c r="AC4" s="28"/>
      <c r="AD4" s="25"/>
      <c r="AE4" s="25"/>
      <c r="AF4" s="25"/>
      <c r="AG4" s="25"/>
    </row>
    <row r="5" spans="1:33" ht="15.75" hidden="1" customHeight="1">
      <c r="A5" s="14"/>
      <c r="B5" s="14"/>
      <c r="C5" s="15"/>
      <c r="D5" s="16"/>
      <c r="E5" s="16"/>
      <c r="F5" s="29"/>
      <c r="G5" s="29"/>
      <c r="H5" s="18"/>
      <c r="I5" s="18"/>
      <c r="J5" s="17"/>
      <c r="K5" s="17"/>
      <c r="L5" s="16"/>
      <c r="M5" s="19"/>
      <c r="N5" s="16"/>
      <c r="O5" s="20"/>
      <c r="P5" s="20"/>
      <c r="Q5" s="16"/>
      <c r="R5" s="16"/>
      <c r="S5" s="21"/>
      <c r="T5" s="14"/>
      <c r="U5" s="22"/>
      <c r="V5" s="23"/>
      <c r="W5" s="14"/>
      <c r="X5" s="24"/>
      <c r="Y5" s="25"/>
      <c r="Z5" s="14"/>
      <c r="AA5" s="14"/>
      <c r="AB5" s="27"/>
      <c r="AC5" s="28"/>
      <c r="AD5" s="25"/>
      <c r="AE5" s="25"/>
      <c r="AF5" s="25"/>
      <c r="AG5" s="25"/>
    </row>
    <row r="6" spans="1:33" ht="15.75" hidden="1" customHeight="1">
      <c r="A6" s="14"/>
      <c r="B6" s="14"/>
      <c r="C6" s="15"/>
      <c r="D6" s="16"/>
      <c r="E6" s="16"/>
      <c r="F6" s="29"/>
      <c r="G6" s="29"/>
      <c r="H6" s="18"/>
      <c r="I6" s="18"/>
      <c r="J6" s="17"/>
      <c r="K6" s="17"/>
      <c r="L6" s="16"/>
      <c r="M6" s="19"/>
      <c r="N6" s="16"/>
      <c r="O6" s="20"/>
      <c r="P6" s="20"/>
      <c r="Q6" s="16"/>
      <c r="R6" s="16"/>
      <c r="S6" s="21"/>
      <c r="T6" s="14"/>
      <c r="U6" s="22"/>
      <c r="V6" s="23"/>
      <c r="W6" s="14"/>
      <c r="X6" s="24"/>
      <c r="Y6" s="25"/>
      <c r="Z6" s="14"/>
      <c r="AA6" s="14"/>
      <c r="AB6" s="27"/>
      <c r="AC6" s="28"/>
      <c r="AD6" s="25"/>
      <c r="AE6" s="25"/>
      <c r="AF6" s="25"/>
      <c r="AG6" s="25"/>
    </row>
    <row r="7" spans="1:33" ht="15.75" hidden="1" customHeight="1">
      <c r="A7" s="14"/>
      <c r="B7" s="14"/>
      <c r="C7" s="15"/>
      <c r="D7" s="16"/>
      <c r="E7" s="16"/>
      <c r="F7" s="29"/>
      <c r="G7" s="29"/>
      <c r="H7" s="18"/>
      <c r="I7" s="18"/>
      <c r="J7" s="17"/>
      <c r="K7" s="17"/>
      <c r="L7" s="16"/>
      <c r="M7" s="19"/>
      <c r="N7" s="16"/>
      <c r="O7" s="20"/>
      <c r="P7" s="20"/>
      <c r="Q7" s="16"/>
      <c r="R7" s="16"/>
      <c r="S7" s="21"/>
      <c r="T7" s="14"/>
      <c r="U7" s="22"/>
      <c r="V7" s="23"/>
      <c r="W7" s="14"/>
      <c r="X7" s="24"/>
      <c r="Y7" s="25"/>
      <c r="Z7" s="14"/>
      <c r="AA7" s="14"/>
      <c r="AB7" s="27"/>
      <c r="AC7" s="28"/>
      <c r="AD7" s="25"/>
      <c r="AE7" s="25"/>
      <c r="AF7" s="25"/>
      <c r="AG7" s="25"/>
    </row>
    <row r="8" spans="1:33" ht="15.75" hidden="1" customHeight="1">
      <c r="A8" s="14"/>
      <c r="B8" s="14"/>
      <c r="C8" s="15"/>
      <c r="D8" s="16"/>
      <c r="E8" s="16"/>
      <c r="F8" s="29"/>
      <c r="G8" s="29"/>
      <c r="H8" s="18"/>
      <c r="I8" s="18"/>
      <c r="J8" s="17"/>
      <c r="K8" s="17"/>
      <c r="L8" s="16"/>
      <c r="M8" s="19"/>
      <c r="N8" s="16"/>
      <c r="O8" s="20"/>
      <c r="P8" s="20"/>
      <c r="Q8" s="16"/>
      <c r="R8" s="16"/>
      <c r="S8" s="21"/>
      <c r="T8" s="14"/>
      <c r="U8" s="22"/>
      <c r="V8" s="23"/>
      <c r="W8" s="14"/>
      <c r="X8" s="24"/>
      <c r="Y8" s="25"/>
      <c r="Z8" s="14"/>
      <c r="AA8" s="14"/>
      <c r="AB8" s="27"/>
      <c r="AC8" s="28"/>
      <c r="AD8" s="25"/>
      <c r="AE8" s="25"/>
      <c r="AF8" s="25"/>
      <c r="AG8" s="25"/>
    </row>
    <row r="9" spans="1:33" ht="15.75" hidden="1" customHeight="1">
      <c r="A9" s="14"/>
      <c r="B9" s="14"/>
      <c r="C9" s="15"/>
      <c r="D9" s="16"/>
      <c r="E9" s="16"/>
      <c r="F9" s="29"/>
      <c r="G9" s="29"/>
      <c r="H9" s="18"/>
      <c r="I9" s="18"/>
      <c r="J9" s="17"/>
      <c r="K9" s="17"/>
      <c r="L9" s="16"/>
      <c r="M9" s="19"/>
      <c r="N9" s="16"/>
      <c r="O9" s="20"/>
      <c r="P9" s="20"/>
      <c r="Q9" s="16"/>
      <c r="R9" s="16"/>
      <c r="S9" s="21"/>
      <c r="T9" s="14"/>
      <c r="U9" s="22"/>
      <c r="V9" s="23"/>
      <c r="W9" s="14"/>
      <c r="X9" s="24"/>
      <c r="Y9" s="25"/>
      <c r="Z9" s="14"/>
      <c r="AA9" s="14"/>
      <c r="AB9" s="27"/>
      <c r="AC9" s="28"/>
      <c r="AD9" s="25"/>
      <c r="AE9" s="25"/>
      <c r="AF9" s="25"/>
      <c r="AG9" s="25"/>
    </row>
    <row r="10" spans="1:33" ht="15.75" hidden="1" customHeight="1">
      <c r="A10" s="14"/>
      <c r="B10" s="14"/>
      <c r="C10" s="15"/>
      <c r="D10" s="16"/>
      <c r="E10" s="16"/>
      <c r="F10" s="29"/>
      <c r="G10" s="29"/>
      <c r="H10" s="18"/>
      <c r="I10" s="18"/>
      <c r="J10" s="17"/>
      <c r="K10" s="17"/>
      <c r="L10" s="16"/>
      <c r="M10" s="19"/>
      <c r="N10" s="16"/>
      <c r="O10" s="20"/>
      <c r="P10" s="20"/>
      <c r="Q10" s="16"/>
      <c r="R10" s="16"/>
      <c r="S10" s="21"/>
      <c r="T10" s="14"/>
      <c r="U10" s="22"/>
      <c r="V10" s="23"/>
      <c r="W10" s="14"/>
      <c r="X10" s="24"/>
      <c r="Y10" s="25"/>
      <c r="Z10" s="14"/>
      <c r="AA10" s="14"/>
      <c r="AB10" s="27"/>
      <c r="AC10" s="28"/>
      <c r="AD10" s="25"/>
      <c r="AE10" s="25"/>
      <c r="AF10" s="25"/>
      <c r="AG10" s="25"/>
    </row>
    <row r="11" spans="1:33" ht="15.75" hidden="1" customHeight="1">
      <c r="A11" s="14"/>
      <c r="B11" s="14"/>
      <c r="C11" s="15"/>
      <c r="D11" s="16"/>
      <c r="E11" s="16"/>
      <c r="F11" s="29"/>
      <c r="G11" s="29"/>
      <c r="H11" s="18"/>
      <c r="I11" s="18"/>
      <c r="J11" s="17"/>
      <c r="K11" s="17"/>
      <c r="L11" s="16"/>
      <c r="M11" s="19"/>
      <c r="N11" s="16"/>
      <c r="O11" s="20"/>
      <c r="P11" s="20"/>
      <c r="Q11" s="16"/>
      <c r="R11" s="16"/>
      <c r="S11" s="21"/>
      <c r="T11" s="14"/>
      <c r="U11" s="22"/>
      <c r="V11" s="23"/>
      <c r="W11" s="14"/>
      <c r="X11" s="24"/>
      <c r="Y11" s="25"/>
      <c r="Z11" s="14"/>
      <c r="AA11" s="14"/>
      <c r="AB11" s="27"/>
      <c r="AC11" s="28"/>
      <c r="AD11" s="25"/>
      <c r="AE11" s="25"/>
      <c r="AF11" s="25"/>
      <c r="AG11" s="25"/>
    </row>
    <row r="12" spans="1:33" ht="15.75" hidden="1" customHeight="1">
      <c r="A12" s="14"/>
      <c r="B12" s="14"/>
      <c r="C12" s="15"/>
      <c r="D12" s="16"/>
      <c r="E12" s="16"/>
      <c r="F12" s="29"/>
      <c r="G12" s="29"/>
      <c r="H12" s="18"/>
      <c r="I12" s="18"/>
      <c r="J12" s="17"/>
      <c r="K12" s="17"/>
      <c r="L12" s="16"/>
      <c r="M12" s="19"/>
      <c r="N12" s="16"/>
      <c r="O12" s="20"/>
      <c r="P12" s="20"/>
      <c r="Q12" s="16"/>
      <c r="R12" s="16"/>
      <c r="S12" s="21"/>
      <c r="T12" s="14"/>
      <c r="U12" s="22"/>
      <c r="V12" s="23"/>
      <c r="W12" s="14"/>
      <c r="X12" s="24"/>
      <c r="Y12" s="25"/>
      <c r="Z12" s="14"/>
      <c r="AA12" s="14"/>
      <c r="AB12" s="27"/>
      <c r="AC12" s="28"/>
      <c r="AD12" s="25"/>
      <c r="AE12" s="25"/>
      <c r="AF12" s="25"/>
      <c r="AG12" s="25"/>
    </row>
    <row r="13" spans="1:33" ht="15.75" hidden="1" customHeight="1">
      <c r="A13" s="14"/>
      <c r="B13" s="14"/>
      <c r="C13" s="15"/>
      <c r="D13" s="16"/>
      <c r="E13" s="16"/>
      <c r="F13" s="17"/>
      <c r="G13" s="29"/>
      <c r="H13" s="18"/>
      <c r="I13" s="18"/>
      <c r="J13" s="17"/>
      <c r="K13" s="17"/>
      <c r="L13" s="16"/>
      <c r="M13" s="19"/>
      <c r="N13" s="16"/>
      <c r="O13" s="20"/>
      <c r="P13" s="20"/>
      <c r="Q13" s="16"/>
      <c r="R13" s="16"/>
      <c r="S13" s="21"/>
      <c r="T13" s="14"/>
      <c r="U13" s="22"/>
      <c r="V13" s="23"/>
      <c r="W13" s="14"/>
      <c r="X13" s="24"/>
      <c r="Y13" s="25"/>
      <c r="Z13" s="14"/>
      <c r="AA13" s="14"/>
      <c r="AB13" s="27"/>
      <c r="AC13" s="28"/>
      <c r="AD13" s="25"/>
      <c r="AE13" s="25"/>
      <c r="AF13" s="25"/>
      <c r="AG13" s="25"/>
    </row>
    <row r="14" spans="1:33" ht="15.75" hidden="1" customHeight="1">
      <c r="A14" s="14"/>
      <c r="B14" s="14"/>
      <c r="C14" s="15"/>
      <c r="D14" s="16"/>
      <c r="E14" s="16"/>
      <c r="F14" s="17"/>
      <c r="G14" s="29"/>
      <c r="H14" s="18"/>
      <c r="I14" s="18"/>
      <c r="J14" s="17"/>
      <c r="K14" s="17"/>
      <c r="L14" s="16"/>
      <c r="M14" s="19"/>
      <c r="N14" s="16"/>
      <c r="O14" s="20"/>
      <c r="P14" s="20"/>
      <c r="Q14" s="16"/>
      <c r="R14" s="16"/>
      <c r="S14" s="21"/>
      <c r="T14" s="14"/>
      <c r="U14" s="22"/>
      <c r="V14" s="23"/>
      <c r="W14" s="14"/>
      <c r="X14" s="24"/>
      <c r="Y14" s="25"/>
      <c r="Z14" s="14"/>
      <c r="AA14" s="14"/>
      <c r="AB14" s="27"/>
      <c r="AC14" s="28"/>
      <c r="AD14" s="25"/>
      <c r="AE14" s="25"/>
      <c r="AF14" s="25"/>
      <c r="AG14" s="25"/>
    </row>
    <row r="15" spans="1:33" ht="15.75" hidden="1" customHeight="1">
      <c r="A15" s="14"/>
      <c r="B15" s="14"/>
      <c r="C15" s="15"/>
      <c r="D15" s="16"/>
      <c r="E15" s="16"/>
      <c r="F15" s="17"/>
      <c r="G15" s="29"/>
      <c r="H15" s="18"/>
      <c r="I15" s="18"/>
      <c r="J15" s="17"/>
      <c r="K15" s="17"/>
      <c r="L15" s="16"/>
      <c r="M15" s="19"/>
      <c r="N15" s="16"/>
      <c r="O15" s="20"/>
      <c r="P15" s="20"/>
      <c r="Q15" s="16"/>
      <c r="R15" s="16"/>
      <c r="S15" s="21"/>
      <c r="T15" s="14"/>
      <c r="U15" s="22"/>
      <c r="V15" s="23"/>
      <c r="W15" s="14"/>
      <c r="X15" s="24"/>
      <c r="Y15" s="25"/>
      <c r="Z15" s="14"/>
      <c r="AA15" s="14"/>
      <c r="AB15" s="27"/>
      <c r="AC15" s="28"/>
      <c r="AD15" s="25"/>
      <c r="AE15" s="25"/>
      <c r="AF15" s="25"/>
      <c r="AG15" s="25"/>
    </row>
    <row r="16" spans="1:33" ht="15.75" hidden="1" customHeight="1">
      <c r="A16" s="14"/>
      <c r="B16" s="14"/>
      <c r="C16" s="15"/>
      <c r="D16" s="16"/>
      <c r="E16" s="16"/>
      <c r="F16" s="17"/>
      <c r="G16" s="29"/>
      <c r="H16" s="18"/>
      <c r="I16" s="18"/>
      <c r="J16" s="17"/>
      <c r="K16" s="17"/>
      <c r="L16" s="16"/>
      <c r="M16" s="19"/>
      <c r="N16" s="16"/>
      <c r="O16" s="20"/>
      <c r="P16" s="20"/>
      <c r="Q16" s="16"/>
      <c r="R16" s="16"/>
      <c r="S16" s="21"/>
      <c r="T16" s="14"/>
      <c r="U16" s="22"/>
      <c r="V16" s="23"/>
      <c r="W16" s="14"/>
      <c r="X16" s="24"/>
      <c r="Y16" s="25"/>
      <c r="Z16" s="14"/>
      <c r="AA16" s="14"/>
      <c r="AB16" s="27"/>
      <c r="AC16" s="28"/>
      <c r="AD16" s="25"/>
      <c r="AE16" s="25"/>
      <c r="AF16" s="25"/>
      <c r="AG16" s="25"/>
    </row>
    <row r="17" spans="1:33" ht="15.75" hidden="1" customHeight="1">
      <c r="A17" s="14"/>
      <c r="B17" s="14"/>
      <c r="C17" s="15"/>
      <c r="D17" s="16"/>
      <c r="E17" s="16"/>
      <c r="F17" s="17"/>
      <c r="G17" s="29"/>
      <c r="H17" s="18"/>
      <c r="I17" s="18"/>
      <c r="J17" s="17"/>
      <c r="K17" s="17"/>
      <c r="L17" s="16"/>
      <c r="M17" s="19"/>
      <c r="N17" s="16"/>
      <c r="O17" s="20"/>
      <c r="P17" s="20"/>
      <c r="Q17" s="16"/>
      <c r="R17" s="16"/>
      <c r="S17" s="21"/>
      <c r="T17" s="14"/>
      <c r="U17" s="22"/>
      <c r="V17" s="23"/>
      <c r="W17" s="14"/>
      <c r="X17" s="24"/>
      <c r="Y17" s="25"/>
      <c r="Z17" s="14"/>
      <c r="AA17" s="14"/>
      <c r="AB17" s="27"/>
      <c r="AC17" s="28"/>
      <c r="AD17" s="25"/>
      <c r="AE17" s="25"/>
      <c r="AF17" s="25"/>
      <c r="AG17" s="25"/>
    </row>
    <row r="18" spans="1:33" ht="15.75" hidden="1" customHeight="1">
      <c r="A18" s="14"/>
      <c r="B18" s="14"/>
      <c r="C18" s="15"/>
      <c r="D18" s="16"/>
      <c r="E18" s="16"/>
      <c r="F18" s="17"/>
      <c r="G18" s="29"/>
      <c r="H18" s="18"/>
      <c r="I18" s="18"/>
      <c r="J18" s="17"/>
      <c r="K18" s="17"/>
      <c r="L18" s="16"/>
      <c r="M18" s="19"/>
      <c r="N18" s="16"/>
      <c r="O18" s="20"/>
      <c r="P18" s="20"/>
      <c r="Q18" s="16"/>
      <c r="R18" s="16"/>
      <c r="S18" s="21"/>
      <c r="T18" s="14"/>
      <c r="U18" s="22"/>
      <c r="V18" s="23"/>
      <c r="W18" s="14"/>
      <c r="X18" s="24"/>
      <c r="Y18" s="25"/>
      <c r="Z18" s="14"/>
      <c r="AA18" s="14"/>
      <c r="AB18" s="27"/>
      <c r="AC18" s="28"/>
      <c r="AD18" s="25"/>
      <c r="AE18" s="25"/>
      <c r="AF18" s="25"/>
      <c r="AG18" s="25"/>
    </row>
    <row r="19" spans="1:33" ht="15.75" customHeight="1">
      <c r="A19" s="14" t="s">
        <v>44</v>
      </c>
      <c r="B19" s="14" t="s">
        <v>137</v>
      </c>
      <c r="C19" s="15">
        <f t="shared" ref="C19:C32" si="1">IFERROR(F19/D19," - ")</f>
        <v>33.99</v>
      </c>
      <c r="D19" s="16">
        <v>2</v>
      </c>
      <c r="E19" s="16">
        <v>0</v>
      </c>
      <c r="F19" s="17">
        <v>67.98</v>
      </c>
      <c r="G19" s="29">
        <v>0</v>
      </c>
      <c r="H19" s="18">
        <f t="shared" ref="H19:H32" si="2">G19/F19*-1</f>
        <v>0</v>
      </c>
      <c r="I19" s="18">
        <f t="shared" ref="I19:I32" si="3">J19/F19</f>
        <v>8.6814739384132589E-2</v>
      </c>
      <c r="J19" s="17">
        <f t="shared" ref="J19:J32" si="4">F19*0.85+G19+AF19*D19+D19*AE19+AG19+AD19</f>
        <v>5.9016659833333334</v>
      </c>
      <c r="K19" s="17">
        <f t="shared" ref="K19:K32" si="5">J19/D19</f>
        <v>2.9508329916666667</v>
      </c>
      <c r="L19" s="16">
        <v>9</v>
      </c>
      <c r="M19" s="19">
        <f t="shared" ref="M19:M32" si="6">IFERROR(D19/L19,"-")</f>
        <v>0.22222222222222221</v>
      </c>
      <c r="N19" s="16">
        <v>52</v>
      </c>
      <c r="O19" s="20">
        <f t="shared" ref="O19:P19" si="7">D19/7</f>
        <v>0.2857142857142857</v>
      </c>
      <c r="P19" s="20">
        <f t="shared" si="7"/>
        <v>0</v>
      </c>
      <c r="Q19" s="16">
        <f t="shared" ref="Q19:Q32" si="8">ROUNDDOWN(N19/(O19+P19),0)</f>
        <v>182</v>
      </c>
      <c r="R19" s="16"/>
      <c r="S19" s="21">
        <v>0</v>
      </c>
      <c r="T19" s="14">
        <v>180</v>
      </c>
      <c r="U19" s="22">
        <v>60</v>
      </c>
      <c r="V19" s="23" t="s">
        <v>125</v>
      </c>
      <c r="W19" s="14">
        <v>0</v>
      </c>
      <c r="X19" s="24">
        <f t="shared" ref="X19:X32" si="9">IFERROR(W19/D19,0)</f>
        <v>0</v>
      </c>
      <c r="Y19" s="25">
        <f t="shared" ref="Y19:Y32" si="10">IFERROR(G19/(W19+Z19)*-1,0)</f>
        <v>0</v>
      </c>
      <c r="Z19" s="14">
        <v>0</v>
      </c>
      <c r="AA19" s="14" t="s">
        <v>35</v>
      </c>
      <c r="AB19" s="27">
        <f t="shared" ref="AB19:AB32" si="11">IF(OR(AA19="UsLargeStandardSize",AA19="UsSmallStandardSize"),-0.69,-0.48)</f>
        <v>-0.69</v>
      </c>
      <c r="AC19" s="28">
        <v>0.35410652777777768</v>
      </c>
      <c r="AD19" s="25">
        <f t="shared" ref="AD19:AD32" si="12">IFERROR(AB19*AC19*D19*2,0)</f>
        <v>-0.97733401666666631</v>
      </c>
      <c r="AE19" s="25">
        <v>-6.94</v>
      </c>
      <c r="AF19" s="25">
        <v>-18.512</v>
      </c>
      <c r="AG19" s="25">
        <v>0</v>
      </c>
    </row>
    <row r="20" spans="1:33" ht="15.75" customHeight="1">
      <c r="A20" s="14" t="s">
        <v>46</v>
      </c>
      <c r="B20" s="14" t="s">
        <v>138</v>
      </c>
      <c r="C20" s="15">
        <f t="shared" si="1"/>
        <v>33.99</v>
      </c>
      <c r="D20" s="16">
        <v>3</v>
      </c>
      <c r="E20" s="16">
        <v>0</v>
      </c>
      <c r="F20" s="17">
        <v>101.97</v>
      </c>
      <c r="G20" s="29">
        <v>0</v>
      </c>
      <c r="H20" s="18">
        <f t="shared" si="2"/>
        <v>0</v>
      </c>
      <c r="I20" s="18">
        <f t="shared" si="3"/>
        <v>8.6814739384132533E-2</v>
      </c>
      <c r="J20" s="17">
        <f t="shared" si="4"/>
        <v>8.8524989749999943</v>
      </c>
      <c r="K20" s="17">
        <f t="shared" si="5"/>
        <v>2.9508329916666649</v>
      </c>
      <c r="L20" s="16">
        <v>20</v>
      </c>
      <c r="M20" s="19">
        <f t="shared" si="6"/>
        <v>0.15</v>
      </c>
      <c r="N20" s="16">
        <v>43</v>
      </c>
      <c r="O20" s="20">
        <f t="shared" ref="O20:P20" si="13">D20/7</f>
        <v>0.42857142857142855</v>
      </c>
      <c r="P20" s="20">
        <f t="shared" si="13"/>
        <v>0</v>
      </c>
      <c r="Q20" s="16">
        <f t="shared" si="8"/>
        <v>100</v>
      </c>
      <c r="R20" s="16"/>
      <c r="S20" s="21">
        <v>9.0909090909090898E-2</v>
      </c>
      <c r="T20" s="14">
        <v>60</v>
      </c>
      <c r="U20" s="22">
        <v>60</v>
      </c>
      <c r="V20" s="23" t="s">
        <v>125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14" t="s">
        <v>35</v>
      </c>
      <c r="AB20" s="27">
        <f t="shared" si="11"/>
        <v>-0.69</v>
      </c>
      <c r="AC20" s="28">
        <v>0.35410652777777768</v>
      </c>
      <c r="AD20" s="25">
        <f t="shared" si="12"/>
        <v>-1.4660010249999995</v>
      </c>
      <c r="AE20" s="25">
        <v>-6.94</v>
      </c>
      <c r="AF20" s="25">
        <v>-18.512</v>
      </c>
      <c r="AG20" s="25">
        <v>0</v>
      </c>
    </row>
    <row r="21" spans="1:33" ht="15.75" customHeight="1">
      <c r="A21" s="14" t="s">
        <v>47</v>
      </c>
      <c r="B21" s="14" t="s">
        <v>139</v>
      </c>
      <c r="C21" s="15">
        <f t="shared" si="1"/>
        <v>33.99</v>
      </c>
      <c r="D21" s="16">
        <v>8</v>
      </c>
      <c r="E21" s="16">
        <v>0</v>
      </c>
      <c r="F21" s="17">
        <v>271.92</v>
      </c>
      <c r="G21" s="29">
        <v>0</v>
      </c>
      <c r="H21" s="18">
        <f t="shared" si="2"/>
        <v>0</v>
      </c>
      <c r="I21" s="18">
        <f t="shared" si="3"/>
        <v>8.6814739384132589E-2</v>
      </c>
      <c r="J21" s="17">
        <f t="shared" si="4"/>
        <v>23.606663933333333</v>
      </c>
      <c r="K21" s="17">
        <f t="shared" si="5"/>
        <v>2.9508329916666667</v>
      </c>
      <c r="L21" s="16">
        <v>5</v>
      </c>
      <c r="M21" s="19">
        <f t="shared" si="6"/>
        <v>1.6</v>
      </c>
      <c r="N21" s="16">
        <v>31</v>
      </c>
      <c r="O21" s="20">
        <f t="shared" ref="O21:P21" si="14">D21/7</f>
        <v>1.1428571428571428</v>
      </c>
      <c r="P21" s="20">
        <f t="shared" si="14"/>
        <v>0</v>
      </c>
      <c r="Q21" s="16">
        <f t="shared" si="8"/>
        <v>27</v>
      </c>
      <c r="R21" s="16"/>
      <c r="S21" s="21">
        <v>0.75862068965517204</v>
      </c>
      <c r="T21" s="14">
        <v>60</v>
      </c>
      <c r="U21" s="22">
        <v>60</v>
      </c>
      <c r="V21" s="23" t="s">
        <v>128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14" t="s">
        <v>35</v>
      </c>
      <c r="AB21" s="27">
        <f t="shared" si="11"/>
        <v>-0.69</v>
      </c>
      <c r="AC21" s="28">
        <v>0.35410652777777768</v>
      </c>
      <c r="AD21" s="25">
        <f t="shared" si="12"/>
        <v>-3.9093360666666652</v>
      </c>
      <c r="AE21" s="25">
        <v>-6.94</v>
      </c>
      <c r="AF21" s="25">
        <v>-18.512</v>
      </c>
      <c r="AG21" s="25">
        <v>0</v>
      </c>
    </row>
    <row r="22" spans="1:33" ht="15.75" customHeight="1">
      <c r="A22" s="14" t="s">
        <v>48</v>
      </c>
      <c r="B22" s="14" t="s">
        <v>129</v>
      </c>
      <c r="C22" s="15">
        <f t="shared" si="1"/>
        <v>38.950000000000003</v>
      </c>
      <c r="D22" s="16">
        <v>1</v>
      </c>
      <c r="E22" s="16">
        <v>0</v>
      </c>
      <c r="F22" s="29">
        <v>38.950000000000003</v>
      </c>
      <c r="G22" s="29">
        <v>0</v>
      </c>
      <c r="H22" s="18">
        <f t="shared" si="2"/>
        <v>0</v>
      </c>
      <c r="I22" s="18">
        <f t="shared" si="3"/>
        <v>0.18400084702610184</v>
      </c>
      <c r="J22" s="17">
        <f t="shared" si="4"/>
        <v>7.1668329916666673</v>
      </c>
      <c r="K22" s="17">
        <f t="shared" si="5"/>
        <v>7.1668329916666673</v>
      </c>
      <c r="L22" s="16">
        <v>0</v>
      </c>
      <c r="M22" s="19" t="str">
        <f t="shared" si="6"/>
        <v>-</v>
      </c>
      <c r="N22" s="16">
        <v>34</v>
      </c>
      <c r="O22" s="20">
        <f t="shared" ref="O22:P22" si="15">D22/7</f>
        <v>0.14285714285714285</v>
      </c>
      <c r="P22" s="20">
        <f t="shared" si="15"/>
        <v>0</v>
      </c>
      <c r="Q22" s="16">
        <f t="shared" si="8"/>
        <v>238</v>
      </c>
      <c r="R22" s="16"/>
      <c r="S22" s="21">
        <v>0.76470588235294101</v>
      </c>
      <c r="T22" s="14">
        <v>60</v>
      </c>
      <c r="U22" s="22">
        <v>60</v>
      </c>
      <c r="V22" s="23" t="s">
        <v>128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35</v>
      </c>
      <c r="AB22" s="27">
        <f t="shared" si="11"/>
        <v>-0.69</v>
      </c>
      <c r="AC22" s="28">
        <v>0.35410652777777768</v>
      </c>
      <c r="AD22" s="25">
        <f t="shared" si="12"/>
        <v>-0.48866700833333315</v>
      </c>
      <c r="AE22" s="25">
        <v>-6.94</v>
      </c>
      <c r="AF22" s="25">
        <v>-18.512</v>
      </c>
      <c r="AG22" s="25">
        <v>0</v>
      </c>
    </row>
    <row r="23" spans="1:33" ht="15.75" customHeight="1">
      <c r="A23" s="14" t="s">
        <v>49</v>
      </c>
      <c r="B23" s="14" t="s">
        <v>140</v>
      </c>
      <c r="C23" s="15">
        <f t="shared" si="1"/>
        <v>39.11</v>
      </c>
      <c r="D23" s="16">
        <v>5</v>
      </c>
      <c r="E23" s="16">
        <v>0</v>
      </c>
      <c r="F23" s="17">
        <v>195.55</v>
      </c>
      <c r="G23" s="29">
        <v>0</v>
      </c>
      <c r="H23" s="18">
        <f t="shared" si="2"/>
        <v>0</v>
      </c>
      <c r="I23" s="18">
        <f t="shared" si="3"/>
        <v>0.18672546641950052</v>
      </c>
      <c r="J23" s="17">
        <f t="shared" si="4"/>
        <v>36.514164958333332</v>
      </c>
      <c r="K23" s="17">
        <f t="shared" si="5"/>
        <v>7.3028329916666666</v>
      </c>
      <c r="L23" s="16">
        <v>13</v>
      </c>
      <c r="M23" s="19">
        <f t="shared" si="6"/>
        <v>0.38461538461538464</v>
      </c>
      <c r="N23" s="16">
        <v>29</v>
      </c>
      <c r="O23" s="20">
        <f t="shared" ref="O23:P23" si="16">D23/7</f>
        <v>0.7142857142857143</v>
      </c>
      <c r="P23" s="20">
        <f t="shared" si="16"/>
        <v>0</v>
      </c>
      <c r="Q23" s="16">
        <f t="shared" si="8"/>
        <v>40</v>
      </c>
      <c r="R23" s="16"/>
      <c r="S23" s="21">
        <v>1.3103448275862</v>
      </c>
      <c r="T23" s="14">
        <v>60</v>
      </c>
      <c r="U23" s="22">
        <v>60</v>
      </c>
      <c r="V23" s="23" t="s">
        <v>128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35</v>
      </c>
      <c r="AB23" s="27">
        <f t="shared" si="11"/>
        <v>-0.69</v>
      </c>
      <c r="AC23" s="28">
        <v>0.35410652777777768</v>
      </c>
      <c r="AD23" s="25">
        <f t="shared" si="12"/>
        <v>-2.4433350416666659</v>
      </c>
      <c r="AE23" s="25">
        <v>-6.94</v>
      </c>
      <c r="AF23" s="25">
        <v>-18.512</v>
      </c>
      <c r="AG23" s="25">
        <v>0</v>
      </c>
    </row>
    <row r="24" spans="1:33" ht="15.75" customHeight="1">
      <c r="A24" s="14" t="s">
        <v>50</v>
      </c>
      <c r="B24" s="14" t="s">
        <v>141</v>
      </c>
      <c r="C24" s="15">
        <f t="shared" si="1"/>
        <v>35.950000000000003</v>
      </c>
      <c r="D24" s="16">
        <v>4</v>
      </c>
      <c r="E24" s="16">
        <v>0</v>
      </c>
      <c r="F24" s="17">
        <v>143.80000000000001</v>
      </c>
      <c r="G24" s="17">
        <v>0</v>
      </c>
      <c r="H24" s="18">
        <f t="shared" si="2"/>
        <v>0</v>
      </c>
      <c r="I24" s="18">
        <f t="shared" si="3"/>
        <v>0.12842372716736206</v>
      </c>
      <c r="J24" s="17">
        <f t="shared" si="4"/>
        <v>18.467331966666666</v>
      </c>
      <c r="K24" s="17">
        <f t="shared" si="5"/>
        <v>4.6168329916666666</v>
      </c>
      <c r="L24" s="16">
        <v>18</v>
      </c>
      <c r="M24" s="19">
        <f t="shared" si="6"/>
        <v>0.22222222222222221</v>
      </c>
      <c r="N24" s="16">
        <v>26</v>
      </c>
      <c r="O24" s="20">
        <f t="shared" ref="O24:P24" si="17">D24/7</f>
        <v>0.5714285714285714</v>
      </c>
      <c r="P24" s="20">
        <f t="shared" si="17"/>
        <v>0</v>
      </c>
      <c r="Q24" s="16">
        <f t="shared" si="8"/>
        <v>45</v>
      </c>
      <c r="R24" s="16"/>
      <c r="S24" s="21">
        <v>0.53333333333333299</v>
      </c>
      <c r="T24" s="14">
        <v>60</v>
      </c>
      <c r="U24" s="22">
        <v>60</v>
      </c>
      <c r="V24" s="23" t="s">
        <v>131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14" t="s">
        <v>35</v>
      </c>
      <c r="AB24" s="27">
        <f t="shared" si="11"/>
        <v>-0.69</v>
      </c>
      <c r="AC24" s="28">
        <v>0.35410652777777768</v>
      </c>
      <c r="AD24" s="25">
        <f t="shared" si="12"/>
        <v>-1.9546680333333326</v>
      </c>
      <c r="AE24" s="25">
        <v>-6.94</v>
      </c>
      <c r="AF24" s="25">
        <v>-18.512</v>
      </c>
      <c r="AG24" s="25">
        <v>0</v>
      </c>
    </row>
    <row r="25" spans="1:33" ht="15.75" customHeight="1">
      <c r="A25" s="14" t="s">
        <v>51</v>
      </c>
      <c r="B25" s="14"/>
      <c r="C25" s="15">
        <f t="shared" si="1"/>
        <v>36.875</v>
      </c>
      <c r="D25" s="16">
        <v>8</v>
      </c>
      <c r="E25" s="16">
        <v>0</v>
      </c>
      <c r="F25" s="17">
        <v>295</v>
      </c>
      <c r="G25" s="17">
        <v>0</v>
      </c>
      <c r="H25" s="18">
        <f t="shared" si="2"/>
        <v>0</v>
      </c>
      <c r="I25" s="18">
        <f t="shared" si="3"/>
        <v>0.14657852180790953</v>
      </c>
      <c r="J25" s="17">
        <f t="shared" si="4"/>
        <v>43.240663933333316</v>
      </c>
      <c r="K25" s="17">
        <f t="shared" si="5"/>
        <v>5.4050829916666645</v>
      </c>
      <c r="L25" s="16">
        <v>27</v>
      </c>
      <c r="M25" s="19">
        <f t="shared" si="6"/>
        <v>0.29629629629629628</v>
      </c>
      <c r="N25" s="16">
        <v>17</v>
      </c>
      <c r="O25" s="20">
        <f t="shared" ref="O25:P25" si="18">D25/7</f>
        <v>1.1428571428571428</v>
      </c>
      <c r="P25" s="20">
        <f t="shared" si="18"/>
        <v>0</v>
      </c>
      <c r="Q25" s="16">
        <f t="shared" si="8"/>
        <v>14</v>
      </c>
      <c r="R25" s="16"/>
      <c r="S25" s="21">
        <v>0.87096774193548387</v>
      </c>
      <c r="T25" s="14">
        <v>60</v>
      </c>
      <c r="U25" s="22">
        <v>60</v>
      </c>
      <c r="V25" s="23" t="s">
        <v>131</v>
      </c>
      <c r="W25" s="30">
        <v>0</v>
      </c>
      <c r="X25" s="24">
        <f t="shared" si="9"/>
        <v>0</v>
      </c>
      <c r="Y25" s="25">
        <f t="shared" si="10"/>
        <v>0</v>
      </c>
      <c r="Z25" s="30">
        <v>0</v>
      </c>
      <c r="AA25" s="14" t="s">
        <v>35</v>
      </c>
      <c r="AB25" s="27">
        <f t="shared" si="11"/>
        <v>-0.69</v>
      </c>
      <c r="AC25" s="28">
        <v>0.35410652777777768</v>
      </c>
      <c r="AD25" s="25">
        <f t="shared" si="12"/>
        <v>-3.9093360666666652</v>
      </c>
      <c r="AE25" s="25">
        <v>-6.94</v>
      </c>
      <c r="AF25" s="25">
        <v>-18.510000000000002</v>
      </c>
      <c r="AG25" s="25">
        <v>0</v>
      </c>
    </row>
    <row r="26" spans="1:33" ht="15.75" customHeight="1">
      <c r="A26" s="14" t="s">
        <v>52</v>
      </c>
      <c r="B26" s="14" t="s">
        <v>68</v>
      </c>
      <c r="C26" s="15">
        <f t="shared" si="1"/>
        <v>37.261111111111113</v>
      </c>
      <c r="D26" s="16">
        <v>9</v>
      </c>
      <c r="E26" s="16">
        <v>3</v>
      </c>
      <c r="F26" s="17">
        <v>335.35</v>
      </c>
      <c r="G26" s="17">
        <v>0</v>
      </c>
      <c r="H26" s="18">
        <f t="shared" si="2"/>
        <v>0</v>
      </c>
      <c r="I26" s="18">
        <f t="shared" si="3"/>
        <v>0.1554241745191591</v>
      </c>
      <c r="J26" s="17">
        <f t="shared" si="4"/>
        <v>52.12149692500001</v>
      </c>
      <c r="K26" s="17">
        <f t="shared" si="5"/>
        <v>5.7912774361111126</v>
      </c>
      <c r="L26" s="16">
        <v>40</v>
      </c>
      <c r="M26" s="19">
        <f t="shared" si="6"/>
        <v>0.22500000000000001</v>
      </c>
      <c r="N26" s="16">
        <v>6</v>
      </c>
      <c r="O26" s="20">
        <f t="shared" ref="O26:P26" si="19">D26/7</f>
        <v>1.2857142857142858</v>
      </c>
      <c r="P26" s="20">
        <f t="shared" si="19"/>
        <v>0.42857142857142855</v>
      </c>
      <c r="Q26" s="16">
        <f t="shared" si="8"/>
        <v>3</v>
      </c>
      <c r="R26" s="16"/>
      <c r="S26" s="21">
        <v>1.9411764705882351</v>
      </c>
      <c r="T26" s="14">
        <v>60</v>
      </c>
      <c r="U26" s="22">
        <v>60</v>
      </c>
      <c r="V26" s="23" t="s">
        <v>132</v>
      </c>
      <c r="W26" s="30">
        <v>0</v>
      </c>
      <c r="X26" s="24">
        <f t="shared" si="9"/>
        <v>0</v>
      </c>
      <c r="Y26" s="25">
        <f t="shared" si="10"/>
        <v>0</v>
      </c>
      <c r="Z26" s="30">
        <v>0</v>
      </c>
      <c r="AA26" s="14" t="s">
        <v>35</v>
      </c>
      <c r="AB26" s="27">
        <f t="shared" si="11"/>
        <v>-0.69</v>
      </c>
      <c r="AC26" s="28">
        <v>0.35410652777777768</v>
      </c>
      <c r="AD26" s="25">
        <f t="shared" si="12"/>
        <v>-4.3980030749999983</v>
      </c>
      <c r="AE26" s="25">
        <v>-6.88</v>
      </c>
      <c r="AF26" s="25">
        <v>-18.512</v>
      </c>
      <c r="AG26" s="25">
        <v>0</v>
      </c>
    </row>
    <row r="27" spans="1:33" ht="15.75" customHeight="1">
      <c r="A27" s="14" t="s">
        <v>53</v>
      </c>
      <c r="B27" s="14" t="s">
        <v>142</v>
      </c>
      <c r="C27" s="15">
        <f t="shared" si="1"/>
        <v>36.950000000000003</v>
      </c>
      <c r="D27" s="16">
        <v>1</v>
      </c>
      <c r="E27" s="16">
        <v>1</v>
      </c>
      <c r="F27" s="17">
        <v>36.950000000000003</v>
      </c>
      <c r="G27" s="17">
        <v>0</v>
      </c>
      <c r="H27" s="18">
        <f t="shared" si="2"/>
        <v>0</v>
      </c>
      <c r="I27" s="18">
        <f t="shared" si="3"/>
        <v>0.14788451939557964</v>
      </c>
      <c r="J27" s="17">
        <f t="shared" si="4"/>
        <v>5.4643329916666685</v>
      </c>
      <c r="K27" s="17">
        <f t="shared" si="5"/>
        <v>5.4643329916666685</v>
      </c>
      <c r="L27" s="16">
        <v>24</v>
      </c>
      <c r="M27" s="19">
        <f t="shared" si="6"/>
        <v>4.1666666666666664E-2</v>
      </c>
      <c r="N27" s="16">
        <v>5</v>
      </c>
      <c r="O27" s="20">
        <f t="shared" ref="O27:P27" si="20">D27/7</f>
        <v>0.14285714285714285</v>
      </c>
      <c r="P27" s="20">
        <f t="shared" si="20"/>
        <v>0.14285714285714285</v>
      </c>
      <c r="Q27" s="16">
        <f t="shared" si="8"/>
        <v>17</v>
      </c>
      <c r="R27" s="16"/>
      <c r="S27" s="21">
        <v>3.3157894736842111</v>
      </c>
      <c r="T27" s="14">
        <v>0</v>
      </c>
      <c r="U27" s="22" t="s">
        <v>34</v>
      </c>
      <c r="V27" s="23" t="s">
        <v>34</v>
      </c>
      <c r="W27" s="30">
        <v>0</v>
      </c>
      <c r="X27" s="24">
        <f t="shared" si="9"/>
        <v>0</v>
      </c>
      <c r="Y27" s="25">
        <f t="shared" si="10"/>
        <v>0</v>
      </c>
      <c r="Z27" s="30">
        <v>0</v>
      </c>
      <c r="AA27" s="14" t="s">
        <v>35</v>
      </c>
      <c r="AB27" s="27">
        <f t="shared" si="11"/>
        <v>-0.69</v>
      </c>
      <c r="AC27" s="28">
        <v>0.35410652777777768</v>
      </c>
      <c r="AD27" s="25">
        <f t="shared" si="12"/>
        <v>-0.48866700833333315</v>
      </c>
      <c r="AE27" s="25">
        <v>-6.88</v>
      </c>
      <c r="AF27" s="25">
        <v>-18.5745</v>
      </c>
      <c r="AG27" s="25">
        <v>0</v>
      </c>
    </row>
    <row r="28" spans="1:33" ht="15.75" customHeight="1">
      <c r="A28" s="14" t="s">
        <v>54</v>
      </c>
      <c r="B28" s="14" t="s">
        <v>68</v>
      </c>
      <c r="C28" s="15">
        <f t="shared" si="1"/>
        <v>37.04</v>
      </c>
      <c r="D28" s="16">
        <v>5</v>
      </c>
      <c r="E28" s="16">
        <v>0</v>
      </c>
      <c r="F28" s="17">
        <v>185.2</v>
      </c>
      <c r="G28" s="17">
        <v>0</v>
      </c>
      <c r="H28" s="18">
        <f t="shared" si="2"/>
        <v>0</v>
      </c>
      <c r="I28" s="18">
        <f t="shared" si="3"/>
        <v>0.1495905235331173</v>
      </c>
      <c r="J28" s="17">
        <f t="shared" si="4"/>
        <v>27.704164958333322</v>
      </c>
      <c r="K28" s="17">
        <f t="shared" si="5"/>
        <v>5.5408329916666643</v>
      </c>
      <c r="L28" s="16">
        <v>22</v>
      </c>
      <c r="M28" s="19">
        <f t="shared" si="6"/>
        <v>0.22727272727272727</v>
      </c>
      <c r="N28" s="16">
        <v>59</v>
      </c>
      <c r="O28" s="20">
        <f t="shared" ref="O28:P28" si="21">D28/7</f>
        <v>0.7142857142857143</v>
      </c>
      <c r="P28" s="20">
        <f t="shared" si="21"/>
        <v>0</v>
      </c>
      <c r="Q28" s="16">
        <f t="shared" si="8"/>
        <v>82</v>
      </c>
      <c r="R28" s="16"/>
      <c r="S28" s="21">
        <v>1.0285714285714289</v>
      </c>
      <c r="T28" s="14">
        <v>0</v>
      </c>
      <c r="U28" s="22" t="s">
        <v>34</v>
      </c>
      <c r="V28" s="23" t="s">
        <v>34</v>
      </c>
      <c r="W28" s="30">
        <v>0</v>
      </c>
      <c r="X28" s="24">
        <f t="shared" si="9"/>
        <v>0</v>
      </c>
      <c r="Y28" s="25">
        <f t="shared" si="10"/>
        <v>0</v>
      </c>
      <c r="Z28" s="30">
        <v>0</v>
      </c>
      <c r="AA28" s="14" t="s">
        <v>35</v>
      </c>
      <c r="AB28" s="27">
        <f t="shared" si="11"/>
        <v>-0.69</v>
      </c>
      <c r="AC28" s="28">
        <v>0.35410652777777768</v>
      </c>
      <c r="AD28" s="25">
        <f t="shared" si="12"/>
        <v>-2.4433350416666659</v>
      </c>
      <c r="AE28" s="25">
        <v>-6.88</v>
      </c>
      <c r="AF28" s="25">
        <v>-18.5745</v>
      </c>
      <c r="AG28" s="25">
        <v>0</v>
      </c>
    </row>
    <row r="29" spans="1:33" ht="15.75" customHeight="1">
      <c r="A29" s="14" t="s">
        <v>55</v>
      </c>
      <c r="B29" s="14" t="s">
        <v>68</v>
      </c>
      <c r="C29" s="15">
        <f t="shared" si="1"/>
        <v>37.074444444444445</v>
      </c>
      <c r="D29" s="16">
        <v>9</v>
      </c>
      <c r="E29" s="16">
        <v>0</v>
      </c>
      <c r="F29" s="17">
        <v>333.67</v>
      </c>
      <c r="G29" s="17">
        <v>0</v>
      </c>
      <c r="H29" s="18">
        <f t="shared" si="2"/>
        <v>0</v>
      </c>
      <c r="I29" s="18">
        <f t="shared" si="3"/>
        <v>0.15024124711541345</v>
      </c>
      <c r="J29" s="17">
        <f t="shared" si="4"/>
        <v>50.130996925000012</v>
      </c>
      <c r="K29" s="17">
        <f t="shared" si="5"/>
        <v>5.5701107694444456</v>
      </c>
      <c r="L29" s="16">
        <v>31</v>
      </c>
      <c r="M29" s="19">
        <f t="shared" si="6"/>
        <v>0.29032258064516131</v>
      </c>
      <c r="N29" s="16">
        <v>52</v>
      </c>
      <c r="O29" s="20">
        <f t="shared" ref="O29:P29" si="22">D29/7</f>
        <v>1.2857142857142858</v>
      </c>
      <c r="P29" s="20">
        <f t="shared" si="22"/>
        <v>0</v>
      </c>
      <c r="Q29" s="16">
        <f t="shared" si="8"/>
        <v>40</v>
      </c>
      <c r="R29" s="16"/>
      <c r="S29" s="21">
        <v>1.365853658536585</v>
      </c>
      <c r="T29" s="14">
        <v>0</v>
      </c>
      <c r="U29" s="22" t="s">
        <v>34</v>
      </c>
      <c r="V29" s="23" t="s">
        <v>34</v>
      </c>
      <c r="W29" s="30">
        <v>0</v>
      </c>
      <c r="X29" s="24">
        <f t="shared" si="9"/>
        <v>0</v>
      </c>
      <c r="Y29" s="25">
        <f t="shared" si="10"/>
        <v>0</v>
      </c>
      <c r="Z29" s="30">
        <v>0</v>
      </c>
      <c r="AA29" s="14" t="s">
        <v>35</v>
      </c>
      <c r="AB29" s="27">
        <f t="shared" si="11"/>
        <v>-0.69</v>
      </c>
      <c r="AC29" s="28">
        <v>0.35410652777777768</v>
      </c>
      <c r="AD29" s="25">
        <f t="shared" si="12"/>
        <v>-4.3980030749999983</v>
      </c>
      <c r="AE29" s="25">
        <v>-6.88</v>
      </c>
      <c r="AF29" s="25">
        <v>-18.5745</v>
      </c>
      <c r="AG29" s="25">
        <v>0</v>
      </c>
    </row>
    <row r="30" spans="1:33" ht="15.75" customHeight="1">
      <c r="A30" s="14" t="s">
        <v>57</v>
      </c>
      <c r="B30" s="14" t="s">
        <v>127</v>
      </c>
      <c r="C30" s="15">
        <f t="shared" si="1"/>
        <v>37.088888888888889</v>
      </c>
      <c r="D30" s="16">
        <v>9</v>
      </c>
      <c r="E30" s="16">
        <v>0</v>
      </c>
      <c r="F30" s="17">
        <v>333.8</v>
      </c>
      <c r="G30" s="17">
        <v>0</v>
      </c>
      <c r="H30" s="18">
        <f t="shared" si="2"/>
        <v>0</v>
      </c>
      <c r="I30" s="18">
        <f t="shared" si="3"/>
        <v>0.16167992914769325</v>
      </c>
      <c r="J30" s="17">
        <f t="shared" si="4"/>
        <v>53.968760349500009</v>
      </c>
      <c r="K30" s="17">
        <f t="shared" si="5"/>
        <v>5.9965289277222231</v>
      </c>
      <c r="L30" s="16">
        <v>38</v>
      </c>
      <c r="M30" s="19">
        <f t="shared" si="6"/>
        <v>0.23684210526315788</v>
      </c>
      <c r="N30" s="16">
        <v>33</v>
      </c>
      <c r="O30" s="20">
        <f t="shared" ref="O30:P30" si="23">D30/7</f>
        <v>1.2857142857142858</v>
      </c>
      <c r="P30" s="20">
        <f t="shared" si="23"/>
        <v>0</v>
      </c>
      <c r="Q30" s="16">
        <f t="shared" si="8"/>
        <v>25</v>
      </c>
      <c r="R30" s="16"/>
      <c r="S30" s="21">
        <v>2.336633663366336</v>
      </c>
      <c r="T30" s="14">
        <v>0</v>
      </c>
      <c r="U30" s="22" t="s">
        <v>34</v>
      </c>
      <c r="V30" s="23" t="s">
        <v>34</v>
      </c>
      <c r="W30" s="30">
        <v>0</v>
      </c>
      <c r="X30" s="24">
        <f t="shared" si="9"/>
        <v>0</v>
      </c>
      <c r="Y30" s="25">
        <f t="shared" si="10"/>
        <v>0</v>
      </c>
      <c r="Z30" s="30">
        <v>0</v>
      </c>
      <c r="AA30" s="14" t="s">
        <v>35</v>
      </c>
      <c r="AB30" s="27">
        <f t="shared" si="11"/>
        <v>-0.69</v>
      </c>
      <c r="AC30" s="28">
        <v>0.35410652777777768</v>
      </c>
      <c r="AD30" s="25">
        <f t="shared" si="12"/>
        <v>-4.3980030749999983</v>
      </c>
      <c r="AE30" s="25">
        <v>-6.88</v>
      </c>
      <c r="AF30" s="25">
        <v>-18.160359619499999</v>
      </c>
      <c r="AG30" s="25">
        <v>0</v>
      </c>
    </row>
    <row r="31" spans="1:33" ht="15.75" customHeight="1">
      <c r="A31" s="14" t="s">
        <v>58</v>
      </c>
      <c r="B31" s="14" t="s">
        <v>143</v>
      </c>
      <c r="C31" s="15">
        <f t="shared" si="1"/>
        <v>37.695882352941169</v>
      </c>
      <c r="D31" s="16">
        <v>17</v>
      </c>
      <c r="E31" s="16">
        <v>3</v>
      </c>
      <c r="F31" s="17">
        <v>640.82999999999993</v>
      </c>
      <c r="G31" s="17">
        <v>0</v>
      </c>
      <c r="H31" s="18">
        <f t="shared" si="2"/>
        <v>0</v>
      </c>
      <c r="I31" s="18">
        <f t="shared" si="3"/>
        <v>0.1727635212565474</v>
      </c>
      <c r="J31" s="17">
        <f t="shared" si="4"/>
        <v>110.71204732683326</v>
      </c>
      <c r="K31" s="17">
        <f t="shared" si="5"/>
        <v>6.5124733721666619</v>
      </c>
      <c r="L31" s="16">
        <v>36</v>
      </c>
      <c r="M31" s="19">
        <f t="shared" si="6"/>
        <v>0.47222222222222221</v>
      </c>
      <c r="N31" s="16">
        <v>25</v>
      </c>
      <c r="O31" s="20">
        <f t="shared" ref="O31:P31" si="24">D31/7</f>
        <v>2.4285714285714284</v>
      </c>
      <c r="P31" s="20">
        <f t="shared" si="24"/>
        <v>0.42857142857142855</v>
      </c>
      <c r="Q31" s="16">
        <f t="shared" si="8"/>
        <v>8</v>
      </c>
      <c r="R31" s="16"/>
      <c r="S31" s="21">
        <v>3.1460674157303301</v>
      </c>
      <c r="T31" s="14" t="s">
        <v>34</v>
      </c>
      <c r="U31" s="22" t="s">
        <v>34</v>
      </c>
      <c r="V31" s="23" t="s">
        <v>144</v>
      </c>
      <c r="W31" s="30">
        <v>0</v>
      </c>
      <c r="X31" s="24">
        <f t="shared" si="9"/>
        <v>0</v>
      </c>
      <c r="Y31" s="25">
        <f t="shared" si="10"/>
        <v>0</v>
      </c>
      <c r="Z31" s="30">
        <v>0</v>
      </c>
      <c r="AA31" s="14" t="s">
        <v>35</v>
      </c>
      <c r="AB31" s="27">
        <f t="shared" si="11"/>
        <v>-0.69</v>
      </c>
      <c r="AC31" s="28">
        <v>0.35410652777777768</v>
      </c>
      <c r="AD31" s="25">
        <f t="shared" si="12"/>
        <v>-8.3073391416666631</v>
      </c>
      <c r="AE31" s="25">
        <v>-6.88</v>
      </c>
      <c r="AF31" s="25">
        <v>-18.160359619499999</v>
      </c>
      <c r="AG31" s="25">
        <v>0</v>
      </c>
    </row>
    <row r="32" spans="1:33" ht="15.75" customHeight="1">
      <c r="A32" s="14" t="s">
        <v>60</v>
      </c>
      <c r="B32" s="14"/>
      <c r="C32" s="15">
        <f t="shared" si="1"/>
        <v>40.042727272727276</v>
      </c>
      <c r="D32" s="16">
        <v>11</v>
      </c>
      <c r="E32" s="16">
        <v>1</v>
      </c>
      <c r="F32" s="17">
        <v>440.47</v>
      </c>
      <c r="G32" s="17">
        <v>0</v>
      </c>
      <c r="H32" s="18">
        <f t="shared" si="2"/>
        <v>0</v>
      </c>
      <c r="I32" s="18">
        <f t="shared" si="3"/>
        <v>0.2124553479098085</v>
      </c>
      <c r="J32" s="17">
        <f t="shared" si="4"/>
        <v>93.580207093833351</v>
      </c>
      <c r="K32" s="17">
        <f t="shared" si="5"/>
        <v>8.5072915539848495</v>
      </c>
      <c r="L32" s="16">
        <v>54</v>
      </c>
      <c r="M32" s="19">
        <f t="shared" si="6"/>
        <v>0.20370370370370369</v>
      </c>
      <c r="N32" s="16">
        <v>10</v>
      </c>
      <c r="O32" s="20">
        <f t="shared" ref="O32:P32" si="25">D32/7</f>
        <v>1.5714285714285714</v>
      </c>
      <c r="P32" s="20">
        <f t="shared" si="25"/>
        <v>0.14285714285714285</v>
      </c>
      <c r="Q32" s="16">
        <f t="shared" si="8"/>
        <v>5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3.96</v>
      </c>
      <c r="T32" s="14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23" t="str">
        <f ca="1">IFERROR(__xludf.DUMMYFUNCTION("IFERROR(VLOOKUP($B$2,IMPORTRANGE(""https://docs.google.com/spreadsheets/d/1KiWZV1ko8G7lnRucBRBd29jj3Be6ltMfljMDqzOkQmI/edit#gid=1381463014"",""Lookup!A:D""),2,FALSE),"""")"),"No Transit or Factory Storage, 200 In Production 60-100 days from Earliest Arrival")</f>
        <v>No Transit or Factory Storage, 200 In Production 60-100 days from Earliest Arrival</v>
      </c>
      <c r="W32" s="30">
        <v>0</v>
      </c>
      <c r="X32" s="24">
        <f t="shared" si="9"/>
        <v>0</v>
      </c>
      <c r="Y32" s="25">
        <f t="shared" si="10"/>
        <v>0</v>
      </c>
      <c r="Z32" s="30">
        <v>0</v>
      </c>
      <c r="AA32" s="14" t="s">
        <v>35</v>
      </c>
      <c r="AB32" s="27">
        <f t="shared" si="11"/>
        <v>-0.69</v>
      </c>
      <c r="AC32" s="28">
        <v>0.35410652777777768</v>
      </c>
      <c r="AD32" s="25">
        <f t="shared" si="12"/>
        <v>-5.3753370916666645</v>
      </c>
      <c r="AE32" s="25">
        <v>-6.88</v>
      </c>
      <c r="AF32" s="25">
        <v>-18.160359619499999</v>
      </c>
      <c r="AG32" s="25">
        <v>0</v>
      </c>
    </row>
    <row r="33" spans="1:33" ht="15.75" customHeight="1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16"/>
      <c r="S33" s="21"/>
      <c r="T33" s="31"/>
      <c r="U33" s="36"/>
      <c r="V33" s="1"/>
      <c r="W33" s="31"/>
      <c r="X33" s="31"/>
      <c r="Y33" s="31"/>
      <c r="Z33" s="31"/>
      <c r="AA33" s="2"/>
      <c r="AB33" s="31"/>
      <c r="AC33" s="31"/>
      <c r="AD33" s="31"/>
      <c r="AE33" s="37"/>
      <c r="AF33" s="37"/>
      <c r="AG33" s="37"/>
    </row>
    <row r="34" spans="1:33" ht="15.75" customHeight="1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6"/>
      <c r="V34" s="1"/>
      <c r="W34" s="31"/>
      <c r="X34" s="31"/>
      <c r="Y34" s="31"/>
      <c r="Z34" s="31"/>
      <c r="AA34" s="2"/>
      <c r="AB34" s="31"/>
      <c r="AC34" s="31"/>
      <c r="AD34" s="31"/>
      <c r="AE34" s="37"/>
      <c r="AF34" s="37"/>
      <c r="AG34" s="37"/>
    </row>
    <row r="35" spans="1:33" ht="15.75" customHeight="1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6"/>
      <c r="V35" s="1"/>
      <c r="W35" s="31"/>
      <c r="X35" s="31"/>
      <c r="Y35" s="31"/>
      <c r="Z35" s="31"/>
      <c r="AA35" s="2"/>
      <c r="AB35" s="31"/>
      <c r="AC35" s="31"/>
      <c r="AD35" s="31"/>
      <c r="AE35" s="37"/>
      <c r="AF35" s="37"/>
      <c r="AG35" s="37"/>
    </row>
    <row r="36" spans="1:33" ht="15.75" customHeight="1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6"/>
      <c r="V36" s="1"/>
      <c r="W36" s="31"/>
      <c r="X36" s="31"/>
      <c r="Y36" s="31"/>
      <c r="Z36" s="31"/>
      <c r="AA36" s="2"/>
      <c r="AB36" s="31"/>
      <c r="AC36" s="31"/>
      <c r="AD36" s="31"/>
      <c r="AE36" s="37"/>
      <c r="AF36" s="37"/>
      <c r="AG36" s="37"/>
    </row>
    <row r="37" spans="1:33" ht="15.75" customHeight="1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6"/>
      <c r="V37" s="1"/>
      <c r="W37" s="31"/>
      <c r="X37" s="31"/>
      <c r="Y37" s="31"/>
      <c r="Z37" s="31"/>
      <c r="AA37" s="2"/>
      <c r="AB37" s="31"/>
      <c r="AC37" s="31"/>
      <c r="AD37" s="31"/>
      <c r="AE37" s="37"/>
      <c r="AF37" s="37"/>
      <c r="AG37" s="37"/>
    </row>
    <row r="38" spans="1:33" ht="15.75" customHeight="1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6"/>
      <c r="V38" s="1"/>
      <c r="W38" s="31"/>
      <c r="X38" s="31"/>
      <c r="Y38" s="31"/>
      <c r="Z38" s="31"/>
      <c r="AA38" s="2"/>
      <c r="AB38" s="31"/>
      <c r="AC38" s="31"/>
      <c r="AD38" s="31"/>
      <c r="AE38" s="37"/>
      <c r="AF38" s="37"/>
      <c r="AG38" s="37"/>
    </row>
    <row r="39" spans="1:33" ht="15.75" customHeight="1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6"/>
      <c r="V39" s="1"/>
      <c r="W39" s="31"/>
      <c r="X39" s="31"/>
      <c r="Y39" s="31"/>
      <c r="Z39" s="31"/>
      <c r="AA39" s="2"/>
      <c r="AB39" s="31"/>
      <c r="AC39" s="31"/>
      <c r="AD39" s="31"/>
      <c r="AE39" s="37"/>
      <c r="AF39" s="37"/>
      <c r="AG39" s="37"/>
    </row>
    <row r="40" spans="1:33" ht="15.75" customHeight="1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6"/>
      <c r="V40" s="1"/>
      <c r="W40" s="31"/>
      <c r="X40" s="31"/>
      <c r="Y40" s="31"/>
      <c r="Z40" s="31"/>
      <c r="AA40" s="2"/>
      <c r="AB40" s="31"/>
      <c r="AC40" s="31"/>
      <c r="AD40" s="31"/>
      <c r="AE40" s="37"/>
      <c r="AF40" s="37"/>
      <c r="AG40" s="37"/>
    </row>
    <row r="41" spans="1:33" ht="15.75" customHeight="1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6"/>
      <c r="V41" s="1"/>
      <c r="W41" s="31"/>
      <c r="X41" s="31"/>
      <c r="Y41" s="31"/>
      <c r="Z41" s="31"/>
      <c r="AA41" s="2"/>
      <c r="AB41" s="31"/>
      <c r="AC41" s="31"/>
      <c r="AD41" s="31"/>
      <c r="AE41" s="37"/>
      <c r="AF41" s="37"/>
      <c r="AG41" s="37"/>
    </row>
    <row r="42" spans="1:33" ht="15.75" customHeight="1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6"/>
      <c r="V42" s="1"/>
      <c r="W42" s="31"/>
      <c r="X42" s="31"/>
      <c r="Y42" s="31"/>
      <c r="Z42" s="31"/>
      <c r="AA42" s="2"/>
      <c r="AB42" s="31"/>
      <c r="AC42" s="31"/>
      <c r="AD42" s="31"/>
      <c r="AE42" s="37"/>
      <c r="AF42" s="37"/>
      <c r="AG42" s="37"/>
    </row>
    <row r="43" spans="1:33" ht="15.75" customHeight="1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6"/>
      <c r="V43" s="1"/>
      <c r="W43" s="31"/>
      <c r="X43" s="31"/>
      <c r="Y43" s="31"/>
      <c r="Z43" s="31"/>
      <c r="AA43" s="2"/>
      <c r="AB43" s="31"/>
      <c r="AC43" s="31"/>
      <c r="AD43" s="31"/>
      <c r="AE43" s="37"/>
      <c r="AF43" s="37"/>
      <c r="AG43" s="37"/>
    </row>
    <row r="44" spans="1:33" ht="15.75" customHeight="1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6"/>
      <c r="V44" s="1"/>
      <c r="W44" s="31"/>
      <c r="X44" s="31"/>
      <c r="Y44" s="31"/>
      <c r="Z44" s="31"/>
      <c r="AA44" s="2"/>
      <c r="AB44" s="31"/>
      <c r="AC44" s="31"/>
      <c r="AD44" s="31"/>
      <c r="AE44" s="37"/>
      <c r="AF44" s="37"/>
      <c r="AG44" s="37"/>
    </row>
    <row r="45" spans="1:33" ht="15.75" customHeight="1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6"/>
      <c r="V45" s="1"/>
      <c r="W45" s="31"/>
      <c r="X45" s="31"/>
      <c r="Y45" s="31"/>
      <c r="Z45" s="31"/>
      <c r="AA45" s="2"/>
      <c r="AB45" s="31"/>
      <c r="AC45" s="31"/>
      <c r="AD45" s="31"/>
      <c r="AE45" s="37"/>
      <c r="AF45" s="37"/>
      <c r="AG45" s="37"/>
    </row>
    <row r="46" spans="1:33" ht="15.75" customHeight="1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6"/>
      <c r="V46" s="1"/>
      <c r="W46" s="31"/>
      <c r="X46" s="31"/>
      <c r="Y46" s="31"/>
      <c r="Z46" s="31"/>
      <c r="AA46" s="2"/>
      <c r="AB46" s="31"/>
      <c r="AC46" s="31"/>
      <c r="AD46" s="31"/>
      <c r="AE46" s="37"/>
      <c r="AF46" s="37"/>
      <c r="AG46" s="37"/>
    </row>
    <row r="47" spans="1:33" ht="15.75" customHeight="1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6"/>
      <c r="V47" s="1"/>
      <c r="W47" s="31"/>
      <c r="X47" s="31"/>
      <c r="Y47" s="31"/>
      <c r="Z47" s="31"/>
      <c r="AA47" s="2"/>
      <c r="AB47" s="31"/>
      <c r="AC47" s="31"/>
      <c r="AD47" s="31"/>
      <c r="AE47" s="37"/>
      <c r="AF47" s="37"/>
      <c r="AG47" s="37"/>
    </row>
    <row r="48" spans="1:33" ht="15.75" customHeight="1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6"/>
      <c r="V48" s="1"/>
      <c r="W48" s="31"/>
      <c r="X48" s="31"/>
      <c r="Y48" s="31"/>
      <c r="Z48" s="31"/>
      <c r="AA48" s="2"/>
      <c r="AB48" s="31"/>
      <c r="AC48" s="31"/>
      <c r="AD48" s="31"/>
      <c r="AE48" s="37"/>
      <c r="AF48" s="37"/>
      <c r="AG48" s="37"/>
    </row>
    <row r="49" spans="1:33" ht="15.75" customHeight="1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6"/>
      <c r="V49" s="1"/>
      <c r="W49" s="31"/>
      <c r="X49" s="31"/>
      <c r="Y49" s="31"/>
      <c r="Z49" s="31"/>
      <c r="AA49" s="2"/>
      <c r="AB49" s="31"/>
      <c r="AC49" s="31"/>
      <c r="AD49" s="31"/>
      <c r="AE49" s="37"/>
      <c r="AF49" s="37"/>
      <c r="AG49" s="37"/>
    </row>
    <row r="50" spans="1:33" ht="15.75" customHeight="1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6"/>
      <c r="V50" s="1"/>
      <c r="W50" s="31"/>
      <c r="X50" s="31"/>
      <c r="Y50" s="31"/>
      <c r="Z50" s="31"/>
      <c r="AA50" s="2"/>
      <c r="AB50" s="31"/>
      <c r="AC50" s="31"/>
      <c r="AD50" s="31"/>
      <c r="AE50" s="37"/>
      <c r="AF50" s="37"/>
      <c r="AG50" s="37"/>
    </row>
    <row r="51" spans="1:33" ht="15.75" customHeight="1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6"/>
      <c r="V51" s="1"/>
      <c r="W51" s="31"/>
      <c r="X51" s="31"/>
      <c r="Y51" s="31"/>
      <c r="Z51" s="31"/>
      <c r="AA51" s="2"/>
      <c r="AB51" s="31"/>
      <c r="AC51" s="31"/>
      <c r="AD51" s="31"/>
      <c r="AE51" s="37"/>
      <c r="AF51" s="37"/>
      <c r="AG51" s="37"/>
    </row>
    <row r="52" spans="1:33" ht="15.75" customHeight="1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6"/>
      <c r="V52" s="1"/>
      <c r="W52" s="31"/>
      <c r="X52" s="31"/>
      <c r="Y52" s="31"/>
      <c r="Z52" s="31"/>
      <c r="AA52" s="2"/>
      <c r="AB52" s="31"/>
      <c r="AC52" s="31"/>
      <c r="AD52" s="31"/>
      <c r="AE52" s="37"/>
      <c r="AF52" s="37"/>
      <c r="AG52" s="37"/>
    </row>
    <row r="53" spans="1:33" ht="15.75" customHeight="1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6"/>
      <c r="V53" s="1"/>
      <c r="W53" s="31"/>
      <c r="X53" s="31"/>
      <c r="Y53" s="31"/>
      <c r="Z53" s="31"/>
      <c r="AA53" s="2"/>
      <c r="AB53" s="31"/>
      <c r="AC53" s="31"/>
      <c r="AD53" s="31"/>
      <c r="AE53" s="37"/>
      <c r="AF53" s="37"/>
      <c r="AG53" s="37"/>
    </row>
    <row r="54" spans="1:33" ht="15.75" customHeight="1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6"/>
      <c r="V54" s="1"/>
      <c r="W54" s="31"/>
      <c r="X54" s="31"/>
      <c r="Y54" s="31"/>
      <c r="Z54" s="31"/>
      <c r="AA54" s="2"/>
      <c r="AB54" s="31"/>
      <c r="AC54" s="31"/>
      <c r="AD54" s="31"/>
      <c r="AE54" s="37"/>
      <c r="AF54" s="37"/>
      <c r="AG54" s="37"/>
    </row>
    <row r="55" spans="1:33" ht="15.75" customHeight="1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6"/>
      <c r="V55" s="1"/>
      <c r="W55" s="31"/>
      <c r="X55" s="31"/>
      <c r="Y55" s="31"/>
      <c r="Z55" s="31"/>
      <c r="AA55" s="2"/>
      <c r="AB55" s="31"/>
      <c r="AC55" s="31"/>
      <c r="AD55" s="31"/>
      <c r="AE55" s="37"/>
      <c r="AF55" s="37"/>
      <c r="AG55" s="37"/>
    </row>
    <row r="56" spans="1:33" ht="15.75" customHeight="1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6"/>
      <c r="V56" s="1"/>
      <c r="W56" s="31"/>
      <c r="X56" s="31"/>
      <c r="Y56" s="31"/>
      <c r="Z56" s="31"/>
      <c r="AA56" s="2"/>
      <c r="AB56" s="31"/>
      <c r="AC56" s="31"/>
      <c r="AD56" s="31"/>
      <c r="AE56" s="37"/>
      <c r="AF56" s="37"/>
      <c r="AG56" s="37"/>
    </row>
    <row r="57" spans="1:33" ht="15.75" customHeight="1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6"/>
      <c r="V57" s="1"/>
      <c r="W57" s="31"/>
      <c r="X57" s="31"/>
      <c r="Y57" s="31"/>
      <c r="Z57" s="31"/>
      <c r="AA57" s="2"/>
      <c r="AB57" s="31"/>
      <c r="AC57" s="31"/>
      <c r="AD57" s="31"/>
      <c r="AE57" s="37"/>
      <c r="AF57" s="37"/>
      <c r="AG57" s="37"/>
    </row>
    <row r="58" spans="1:33" ht="15.75" customHeight="1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6"/>
      <c r="V58" s="1"/>
      <c r="W58" s="31"/>
      <c r="X58" s="31"/>
      <c r="Y58" s="31"/>
      <c r="Z58" s="31"/>
      <c r="AA58" s="2"/>
      <c r="AB58" s="31"/>
      <c r="AC58" s="31"/>
      <c r="AD58" s="31"/>
      <c r="AE58" s="37"/>
      <c r="AF58" s="37"/>
      <c r="AG58" s="37"/>
    </row>
    <row r="59" spans="1:33" ht="15.75" customHeight="1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6"/>
      <c r="V59" s="1"/>
      <c r="W59" s="31"/>
      <c r="X59" s="31"/>
      <c r="Y59" s="31"/>
      <c r="Z59" s="31"/>
      <c r="AA59" s="2"/>
      <c r="AB59" s="31"/>
      <c r="AC59" s="31"/>
      <c r="AD59" s="31"/>
      <c r="AE59" s="37"/>
      <c r="AF59" s="37"/>
      <c r="AG59" s="37"/>
    </row>
    <row r="60" spans="1:33" ht="15.75" customHeight="1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6"/>
      <c r="V60" s="1"/>
      <c r="W60" s="31"/>
      <c r="X60" s="31"/>
      <c r="Y60" s="31"/>
      <c r="Z60" s="31"/>
      <c r="AA60" s="2"/>
      <c r="AB60" s="31"/>
      <c r="AC60" s="31"/>
      <c r="AD60" s="31"/>
      <c r="AE60" s="37"/>
      <c r="AF60" s="37"/>
      <c r="AG60" s="37"/>
    </row>
    <row r="61" spans="1:33" ht="15.75" customHeight="1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6"/>
      <c r="V61" s="1"/>
      <c r="W61" s="31"/>
      <c r="X61" s="31"/>
      <c r="Y61" s="31"/>
      <c r="Z61" s="31"/>
      <c r="AA61" s="2"/>
      <c r="AB61" s="31"/>
      <c r="AC61" s="31"/>
      <c r="AD61" s="31"/>
      <c r="AE61" s="37"/>
      <c r="AF61" s="37"/>
      <c r="AG61" s="37"/>
    </row>
    <row r="62" spans="1:33" ht="15.75" customHeight="1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6"/>
      <c r="V62" s="1"/>
      <c r="W62" s="31"/>
      <c r="X62" s="31"/>
      <c r="Y62" s="31"/>
      <c r="Z62" s="31"/>
      <c r="AA62" s="2"/>
      <c r="AB62" s="31"/>
      <c r="AC62" s="31"/>
      <c r="AD62" s="31"/>
      <c r="AE62" s="37"/>
      <c r="AF62" s="37"/>
      <c r="AG62" s="37"/>
    </row>
    <row r="63" spans="1:33" ht="15.75" customHeight="1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6"/>
      <c r="V63" s="1"/>
      <c r="W63" s="31"/>
      <c r="X63" s="31"/>
      <c r="Y63" s="31"/>
      <c r="Z63" s="31"/>
      <c r="AA63" s="2"/>
      <c r="AB63" s="31"/>
      <c r="AC63" s="31"/>
      <c r="AD63" s="31"/>
      <c r="AE63" s="37"/>
      <c r="AF63" s="37"/>
      <c r="AG63" s="37"/>
    </row>
    <row r="64" spans="1:33" ht="15.75" customHeight="1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6"/>
      <c r="V64" s="1"/>
      <c r="W64" s="31"/>
      <c r="X64" s="31"/>
      <c r="Y64" s="31"/>
      <c r="Z64" s="31"/>
      <c r="AA64" s="2"/>
      <c r="AB64" s="31"/>
      <c r="AC64" s="31"/>
      <c r="AD64" s="31"/>
      <c r="AE64" s="37"/>
      <c r="AF64" s="37"/>
      <c r="AG64" s="37"/>
    </row>
    <row r="65" spans="1:33" ht="15.75" customHeight="1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6"/>
      <c r="V65" s="1"/>
      <c r="W65" s="31"/>
      <c r="X65" s="31"/>
      <c r="Y65" s="31"/>
      <c r="Z65" s="31"/>
      <c r="AA65" s="2"/>
      <c r="AB65" s="31"/>
      <c r="AC65" s="31"/>
      <c r="AD65" s="31"/>
      <c r="AE65" s="37"/>
      <c r="AF65" s="37"/>
      <c r="AG65" s="37"/>
    </row>
    <row r="66" spans="1:33" ht="15.75" customHeight="1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6"/>
      <c r="V66" s="1"/>
      <c r="W66" s="31"/>
      <c r="X66" s="31"/>
      <c r="Y66" s="31"/>
      <c r="Z66" s="31"/>
      <c r="AA66" s="2"/>
      <c r="AB66" s="31"/>
      <c r="AC66" s="31"/>
      <c r="AD66" s="31"/>
      <c r="AE66" s="37"/>
      <c r="AF66" s="37"/>
      <c r="AG66" s="37"/>
    </row>
    <row r="67" spans="1:33" ht="15.75" customHeight="1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6"/>
      <c r="V67" s="1"/>
      <c r="W67" s="31"/>
      <c r="X67" s="31"/>
      <c r="Y67" s="31"/>
      <c r="Z67" s="31"/>
      <c r="AA67" s="2"/>
      <c r="AB67" s="31"/>
      <c r="AC67" s="31"/>
      <c r="AD67" s="31"/>
      <c r="AE67" s="37"/>
      <c r="AF67" s="37"/>
      <c r="AG67" s="37"/>
    </row>
    <row r="68" spans="1:33" ht="15.75" customHeight="1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6"/>
      <c r="V68" s="1"/>
      <c r="W68" s="31"/>
      <c r="X68" s="31"/>
      <c r="Y68" s="31"/>
      <c r="Z68" s="31"/>
      <c r="AA68" s="2"/>
      <c r="AB68" s="31"/>
      <c r="AC68" s="31"/>
      <c r="AD68" s="31"/>
      <c r="AE68" s="37"/>
      <c r="AF68" s="37"/>
      <c r="AG68" s="37"/>
    </row>
    <row r="69" spans="1:33" ht="15.75" customHeight="1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6"/>
      <c r="V69" s="1"/>
      <c r="W69" s="31"/>
      <c r="X69" s="31"/>
      <c r="Y69" s="31"/>
      <c r="Z69" s="31"/>
      <c r="AA69" s="2"/>
      <c r="AB69" s="31"/>
      <c r="AC69" s="31"/>
      <c r="AD69" s="31"/>
      <c r="AE69" s="37"/>
      <c r="AF69" s="37"/>
      <c r="AG69" s="37"/>
    </row>
    <row r="70" spans="1:33" ht="15.75" customHeight="1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6"/>
      <c r="V70" s="1"/>
      <c r="W70" s="31"/>
      <c r="X70" s="31"/>
      <c r="Y70" s="31"/>
      <c r="Z70" s="31"/>
      <c r="AA70" s="2"/>
      <c r="AB70" s="31"/>
      <c r="AC70" s="31"/>
      <c r="AD70" s="31"/>
      <c r="AE70" s="37"/>
      <c r="AF70" s="37"/>
      <c r="AG70" s="37"/>
    </row>
    <row r="71" spans="1:33" ht="15.75" customHeight="1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6"/>
      <c r="V71" s="1"/>
      <c r="W71" s="31"/>
      <c r="X71" s="31"/>
      <c r="Y71" s="31"/>
      <c r="Z71" s="31"/>
      <c r="AA71" s="2"/>
      <c r="AB71" s="31"/>
      <c r="AC71" s="31"/>
      <c r="AD71" s="31"/>
      <c r="AE71" s="37"/>
      <c r="AF71" s="37"/>
      <c r="AG71" s="37"/>
    </row>
    <row r="72" spans="1:33" ht="15.75" customHeight="1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6"/>
      <c r="V72" s="1"/>
      <c r="W72" s="31"/>
      <c r="X72" s="31"/>
      <c r="Y72" s="31"/>
      <c r="Z72" s="31"/>
      <c r="AA72" s="2"/>
      <c r="AB72" s="31"/>
      <c r="AC72" s="31"/>
      <c r="AD72" s="31"/>
      <c r="AE72" s="37"/>
      <c r="AF72" s="37"/>
      <c r="AG72" s="37"/>
    </row>
    <row r="73" spans="1:33" ht="15.75" customHeight="1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6"/>
      <c r="V73" s="1"/>
      <c r="W73" s="31"/>
      <c r="X73" s="31"/>
      <c r="Y73" s="31"/>
      <c r="Z73" s="31"/>
      <c r="AA73" s="2"/>
      <c r="AB73" s="31"/>
      <c r="AC73" s="31"/>
      <c r="AD73" s="31"/>
      <c r="AE73" s="37"/>
      <c r="AF73" s="37"/>
      <c r="AG73" s="37"/>
    </row>
    <row r="74" spans="1:33" ht="15.75" customHeight="1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6"/>
      <c r="V74" s="1"/>
      <c r="W74" s="31"/>
      <c r="X74" s="31"/>
      <c r="Y74" s="31"/>
      <c r="Z74" s="31"/>
      <c r="AA74" s="2"/>
      <c r="AB74" s="31"/>
      <c r="AC74" s="31"/>
      <c r="AD74" s="31"/>
      <c r="AE74" s="37"/>
      <c r="AF74" s="37"/>
      <c r="AG74" s="37"/>
    </row>
    <row r="75" spans="1:33" ht="15.75" customHeight="1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6"/>
      <c r="V75" s="1"/>
      <c r="W75" s="31"/>
      <c r="X75" s="31"/>
      <c r="Y75" s="31"/>
      <c r="Z75" s="31"/>
      <c r="AA75" s="2"/>
      <c r="AB75" s="31"/>
      <c r="AC75" s="31"/>
      <c r="AD75" s="31"/>
      <c r="AE75" s="37"/>
      <c r="AF75" s="37"/>
      <c r="AG75" s="37"/>
    </row>
    <row r="76" spans="1:33" ht="15.75" customHeight="1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6"/>
      <c r="V76" s="1"/>
      <c r="W76" s="31"/>
      <c r="X76" s="31"/>
      <c r="Y76" s="31"/>
      <c r="Z76" s="31"/>
      <c r="AA76" s="2"/>
      <c r="AB76" s="31"/>
      <c r="AC76" s="31"/>
      <c r="AD76" s="31"/>
      <c r="AE76" s="37"/>
      <c r="AF76" s="37"/>
      <c r="AG76" s="37"/>
    </row>
    <row r="77" spans="1:33" ht="15.75" customHeight="1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6"/>
      <c r="V77" s="1"/>
      <c r="W77" s="31"/>
      <c r="X77" s="31"/>
      <c r="Y77" s="31"/>
      <c r="Z77" s="31"/>
      <c r="AA77" s="2"/>
      <c r="AB77" s="31"/>
      <c r="AC77" s="31"/>
      <c r="AD77" s="31"/>
      <c r="AE77" s="37"/>
      <c r="AF77" s="37"/>
      <c r="AG77" s="37"/>
    </row>
    <row r="78" spans="1:33" ht="15.75" customHeight="1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6"/>
      <c r="V78" s="1"/>
      <c r="W78" s="31"/>
      <c r="X78" s="31"/>
      <c r="Y78" s="31"/>
      <c r="Z78" s="31"/>
      <c r="AA78" s="2"/>
      <c r="AB78" s="31"/>
      <c r="AC78" s="31"/>
      <c r="AD78" s="31"/>
      <c r="AE78" s="37"/>
      <c r="AF78" s="37"/>
      <c r="AG78" s="37"/>
    </row>
    <row r="79" spans="1:33" ht="15.75" customHeight="1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6"/>
      <c r="V79" s="1"/>
      <c r="W79" s="31"/>
      <c r="X79" s="31"/>
      <c r="Y79" s="31"/>
      <c r="Z79" s="31"/>
      <c r="AA79" s="2"/>
      <c r="AB79" s="31"/>
      <c r="AC79" s="31"/>
      <c r="AD79" s="31"/>
      <c r="AE79" s="37"/>
      <c r="AF79" s="37"/>
      <c r="AG79" s="37"/>
    </row>
    <row r="80" spans="1:33" ht="15.75" customHeight="1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6"/>
      <c r="V80" s="1"/>
      <c r="W80" s="31"/>
      <c r="X80" s="31"/>
      <c r="Y80" s="31"/>
      <c r="Z80" s="31"/>
      <c r="AA80" s="2"/>
      <c r="AB80" s="31"/>
      <c r="AC80" s="31"/>
      <c r="AD80" s="31"/>
      <c r="AE80" s="37"/>
      <c r="AF80" s="37"/>
      <c r="AG80" s="37"/>
    </row>
    <row r="81" spans="1:33" ht="15.75" customHeight="1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6"/>
      <c r="V81" s="1"/>
      <c r="W81" s="31"/>
      <c r="X81" s="31"/>
      <c r="Y81" s="31"/>
      <c r="Z81" s="31"/>
      <c r="AA81" s="2"/>
      <c r="AB81" s="31"/>
      <c r="AC81" s="31"/>
      <c r="AD81" s="31"/>
      <c r="AE81" s="37"/>
      <c r="AF81" s="37"/>
      <c r="AG81" s="37"/>
    </row>
    <row r="82" spans="1:33" ht="15.75" customHeight="1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6"/>
      <c r="V82" s="1"/>
      <c r="W82" s="31"/>
      <c r="X82" s="31"/>
      <c r="Y82" s="31"/>
      <c r="Z82" s="31"/>
      <c r="AA82" s="2"/>
      <c r="AB82" s="31"/>
      <c r="AC82" s="31"/>
      <c r="AD82" s="31"/>
      <c r="AE82" s="37"/>
      <c r="AF82" s="37"/>
      <c r="AG82" s="37"/>
    </row>
    <row r="83" spans="1:33" ht="15.75" customHeight="1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6"/>
      <c r="V83" s="1"/>
      <c r="W83" s="31"/>
      <c r="X83" s="31"/>
      <c r="Y83" s="31"/>
      <c r="Z83" s="31"/>
      <c r="AA83" s="2"/>
      <c r="AB83" s="31"/>
      <c r="AC83" s="31"/>
      <c r="AD83" s="31"/>
      <c r="AE83" s="37"/>
      <c r="AF83" s="37"/>
      <c r="AG83" s="37"/>
    </row>
    <row r="84" spans="1:33" ht="15.75" customHeight="1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6"/>
      <c r="V84" s="1"/>
      <c r="W84" s="31"/>
      <c r="X84" s="31"/>
      <c r="Y84" s="31"/>
      <c r="Z84" s="31"/>
      <c r="AA84" s="2"/>
      <c r="AB84" s="31"/>
      <c r="AC84" s="31"/>
      <c r="AD84" s="31"/>
      <c r="AE84" s="37"/>
      <c r="AF84" s="37"/>
      <c r="AG84" s="37"/>
    </row>
    <row r="85" spans="1:33" ht="15.75" customHeight="1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6"/>
      <c r="V85" s="1"/>
      <c r="W85" s="31"/>
      <c r="X85" s="31"/>
      <c r="Y85" s="31"/>
      <c r="Z85" s="31"/>
      <c r="AA85" s="2"/>
      <c r="AB85" s="31"/>
      <c r="AC85" s="31"/>
      <c r="AD85" s="31"/>
      <c r="AE85" s="37"/>
      <c r="AF85" s="37"/>
      <c r="AG85" s="37"/>
    </row>
    <row r="86" spans="1:33" ht="15.75" customHeight="1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6"/>
      <c r="V86" s="1"/>
      <c r="W86" s="31"/>
      <c r="X86" s="31"/>
      <c r="Y86" s="31"/>
      <c r="Z86" s="31"/>
      <c r="AA86" s="2"/>
      <c r="AB86" s="31"/>
      <c r="AC86" s="31"/>
      <c r="AD86" s="31"/>
      <c r="AE86" s="37"/>
      <c r="AF86" s="37"/>
      <c r="AG86" s="37"/>
    </row>
    <row r="87" spans="1:33" ht="15.75" customHeight="1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6"/>
      <c r="V87" s="1"/>
      <c r="W87" s="31"/>
      <c r="X87" s="31"/>
      <c r="Y87" s="31"/>
      <c r="Z87" s="31"/>
      <c r="AA87" s="2"/>
      <c r="AB87" s="31"/>
      <c r="AC87" s="31"/>
      <c r="AD87" s="31"/>
      <c r="AE87" s="37"/>
      <c r="AF87" s="37"/>
      <c r="AG87" s="37"/>
    </row>
    <row r="88" spans="1:33" ht="15.75" customHeight="1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6"/>
      <c r="V88" s="1"/>
      <c r="W88" s="31"/>
      <c r="X88" s="31"/>
      <c r="Y88" s="31"/>
      <c r="Z88" s="31"/>
      <c r="AA88" s="2"/>
      <c r="AB88" s="31"/>
      <c r="AC88" s="31"/>
      <c r="AD88" s="31"/>
      <c r="AE88" s="37"/>
      <c r="AF88" s="37"/>
      <c r="AG88" s="37"/>
    </row>
    <row r="89" spans="1:33" ht="15.75" customHeight="1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6"/>
      <c r="V89" s="1"/>
      <c r="W89" s="31"/>
      <c r="X89" s="31"/>
      <c r="Y89" s="31"/>
      <c r="Z89" s="31"/>
      <c r="AA89" s="2"/>
      <c r="AB89" s="31"/>
      <c r="AC89" s="31"/>
      <c r="AD89" s="31"/>
      <c r="AE89" s="37"/>
      <c r="AF89" s="37"/>
      <c r="AG89" s="37"/>
    </row>
    <row r="90" spans="1:33" ht="15.75" customHeight="1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6"/>
      <c r="V90" s="1"/>
      <c r="W90" s="31"/>
      <c r="X90" s="31"/>
      <c r="Y90" s="31"/>
      <c r="Z90" s="31"/>
      <c r="AA90" s="2"/>
      <c r="AB90" s="31"/>
      <c r="AC90" s="31"/>
      <c r="AD90" s="31"/>
      <c r="AE90" s="37"/>
      <c r="AF90" s="37"/>
      <c r="AG90" s="37"/>
    </row>
    <row r="91" spans="1:33" ht="15.75" customHeight="1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6"/>
      <c r="V91" s="1"/>
      <c r="W91" s="31"/>
      <c r="X91" s="31"/>
      <c r="Y91" s="31"/>
      <c r="Z91" s="31"/>
      <c r="AA91" s="2"/>
      <c r="AB91" s="31"/>
      <c r="AC91" s="31"/>
      <c r="AD91" s="31"/>
      <c r="AE91" s="37"/>
      <c r="AF91" s="37"/>
      <c r="AG91" s="37"/>
    </row>
    <row r="92" spans="1:33" ht="15.75" customHeight="1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6"/>
      <c r="V92" s="1"/>
      <c r="W92" s="31"/>
      <c r="X92" s="31"/>
      <c r="Y92" s="31"/>
      <c r="Z92" s="31"/>
      <c r="AA92" s="2"/>
      <c r="AB92" s="31"/>
      <c r="AC92" s="31"/>
      <c r="AD92" s="31"/>
      <c r="AE92" s="37"/>
      <c r="AF92" s="37"/>
      <c r="AG92" s="37"/>
    </row>
    <row r="93" spans="1:33" ht="15.75" customHeight="1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6"/>
      <c r="V93" s="1"/>
      <c r="W93" s="31"/>
      <c r="X93" s="31"/>
      <c r="Y93" s="31"/>
      <c r="Z93" s="31"/>
      <c r="AA93" s="2"/>
      <c r="AB93" s="31"/>
      <c r="AC93" s="31"/>
      <c r="AD93" s="31"/>
      <c r="AE93" s="37"/>
      <c r="AF93" s="37"/>
      <c r="AG93" s="37"/>
    </row>
    <row r="94" spans="1:33" ht="15.75" customHeight="1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6"/>
      <c r="V94" s="1"/>
      <c r="W94" s="31"/>
      <c r="X94" s="31"/>
      <c r="Y94" s="31"/>
      <c r="Z94" s="31"/>
      <c r="AA94" s="2"/>
      <c r="AB94" s="31"/>
      <c r="AC94" s="31"/>
      <c r="AD94" s="31"/>
      <c r="AE94" s="37"/>
      <c r="AF94" s="37"/>
      <c r="AG94" s="37"/>
    </row>
    <row r="95" spans="1:33" ht="15.75" customHeight="1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6"/>
      <c r="V95" s="1"/>
      <c r="W95" s="31"/>
      <c r="X95" s="31"/>
      <c r="Y95" s="31"/>
      <c r="Z95" s="31"/>
      <c r="AA95" s="2"/>
      <c r="AB95" s="31"/>
      <c r="AC95" s="31"/>
      <c r="AD95" s="31"/>
      <c r="AE95" s="37"/>
      <c r="AF95" s="37"/>
      <c r="AG95" s="37"/>
    </row>
    <row r="96" spans="1:33" ht="15.75" customHeight="1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6"/>
      <c r="V96" s="1"/>
      <c r="W96" s="31"/>
      <c r="X96" s="31"/>
      <c r="Y96" s="31"/>
      <c r="Z96" s="31"/>
      <c r="AA96" s="2"/>
      <c r="AB96" s="31"/>
      <c r="AC96" s="31"/>
      <c r="AD96" s="31"/>
      <c r="AE96" s="37"/>
      <c r="AF96" s="37"/>
      <c r="AG96" s="37"/>
    </row>
    <row r="97" spans="1:33" ht="15.75" customHeight="1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8"/>
      <c r="R97" s="38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8"/>
      <c r="R98" s="38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8"/>
      <c r="R99" s="38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8"/>
      <c r="R100" s="38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8"/>
      <c r="R101" s="38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8"/>
      <c r="R102" s="38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8"/>
      <c r="R103" s="38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8"/>
      <c r="R104" s="38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8"/>
      <c r="R105" s="38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8"/>
      <c r="R106" s="38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8"/>
      <c r="R107" s="38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8"/>
      <c r="R108" s="38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8"/>
      <c r="R109" s="38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8"/>
      <c r="R110" s="38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8"/>
      <c r="R111" s="38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8"/>
      <c r="R112" s="38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8"/>
      <c r="R113" s="38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8"/>
      <c r="R114" s="38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>
      <c r="A115" s="31"/>
      <c r="B115" s="31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>
      <c r="A116" s="31"/>
      <c r="B116" s="31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>
      <c r="A117" s="31"/>
      <c r="B117" s="31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>
      <c r="A118" s="31"/>
      <c r="B118" s="31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>
      <c r="A119" s="31"/>
      <c r="B119" s="31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>
      <c r="A120" s="31"/>
      <c r="B120" s="31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>
      <c r="A121" s="31"/>
      <c r="B121" s="31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>
      <c r="A122" s="31"/>
      <c r="B122" s="31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>
      <c r="A123" s="31"/>
      <c r="B123" s="31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>
      <c r="A124" s="31"/>
      <c r="B124" s="31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>
      <c r="A125" s="31"/>
      <c r="B125" s="31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>
      <c r="A126" s="31"/>
      <c r="B126" s="31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>
      <c r="A127" s="31"/>
      <c r="B127" s="31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>
      <c r="A128" s="31"/>
      <c r="B128" s="31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>
      <c r="A129" s="31"/>
      <c r="B129" s="31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>
      <c r="A130" s="31"/>
      <c r="B130" s="31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>
      <c r="A131" s="31"/>
      <c r="B131" s="31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>
      <c r="A132" s="31"/>
      <c r="B132" s="31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>
      <c r="A133" s="31"/>
      <c r="B133" s="31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>
      <c r="A134" s="31"/>
      <c r="B134" s="31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>
      <c r="A135" s="31"/>
      <c r="B135" s="31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>
      <c r="A136" s="31"/>
      <c r="B136" s="31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>
      <c r="A137" s="31"/>
      <c r="B137" s="31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>
      <c r="A138" s="31"/>
      <c r="B138" s="31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>
      <c r="A139" s="31"/>
      <c r="B139" s="31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>
      <c r="A140" s="31"/>
      <c r="B140" s="31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>
      <c r="A141" s="31"/>
      <c r="B141" s="31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2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>
      <c r="A142" s="31"/>
      <c r="B142" s="31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2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>
      <c r="A143" s="31"/>
      <c r="B143" s="31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2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>
      <c r="A144" s="31"/>
      <c r="B144" s="31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2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>
      <c r="A145" s="31"/>
      <c r="B145" s="31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2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>
      <c r="A146" s="31"/>
      <c r="B146" s="31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2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>
      <c r="A147" s="31"/>
      <c r="B147" s="31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2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>
      <c r="A148" s="31"/>
      <c r="B148" s="31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2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</row>
    <row r="149" spans="1:33" ht="15.75" customHeight="1">
      <c r="A149" s="14"/>
      <c r="B149" s="14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>
      <c r="A150" s="14"/>
      <c r="B150" s="14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>
      <c r="A151" s="14"/>
      <c r="B151" s="14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>
      <c r="A152" s="14"/>
      <c r="B152" s="14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>
      <c r="A153" s="14"/>
      <c r="B153" s="14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>
      <c r="A154" s="14"/>
      <c r="B154" s="14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>
      <c r="A155" s="14"/>
      <c r="B155" s="14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>
      <c r="A156" s="14"/>
      <c r="B156" s="14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>
      <c r="A157" s="14"/>
      <c r="B157" s="14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>
      <c r="A158" s="14"/>
      <c r="B158" s="14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>
      <c r="A159" s="14"/>
      <c r="B159" s="14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>
      <c r="A160" s="14"/>
      <c r="B160" s="14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>
      <c r="A161" s="14"/>
      <c r="B161" s="14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>
      <c r="A162" s="14"/>
      <c r="B162" s="14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>
      <c r="A163" s="14"/>
      <c r="B163" s="14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>
      <c r="A164" s="14"/>
      <c r="B164" s="14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>
      <c r="A165" s="14"/>
      <c r="B165" s="14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>
      <c r="A166" s="14"/>
      <c r="B166" s="14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>
      <c r="A167" s="14"/>
      <c r="B167" s="14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>
      <c r="A168" s="14"/>
      <c r="B168" s="14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>
      <c r="A169" s="14"/>
      <c r="B169" s="14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>
      <c r="A170" s="14"/>
      <c r="B170" s="14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>
      <c r="A171" s="14"/>
      <c r="B171" s="14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>
      <c r="A172" s="14"/>
      <c r="B172" s="14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>
      <c r="A173" s="14"/>
      <c r="B173" s="14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>
      <c r="A174" s="14"/>
      <c r="B174" s="14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>
      <c r="A175" s="14"/>
      <c r="B175" s="14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>
      <c r="A176" s="14"/>
      <c r="B176" s="14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>
      <c r="A177" s="14"/>
      <c r="B177" s="14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>
      <c r="A178" s="14"/>
      <c r="B178" s="14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>
      <c r="A179" s="14"/>
      <c r="B179" s="14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>
      <c r="A180" s="14"/>
      <c r="B180" s="14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>
      <c r="A181" s="14"/>
      <c r="B181" s="14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>
      <c r="A182" s="14"/>
      <c r="B182" s="14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>
      <c r="A183" s="14"/>
      <c r="B183" s="14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>
      <c r="A184" s="14"/>
      <c r="B184" s="14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>
      <c r="A185" s="14"/>
      <c r="B185" s="14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>
      <c r="A186" s="14"/>
      <c r="B186" s="14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>
      <c r="A187" s="14"/>
      <c r="B187" s="14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>
      <c r="A188" s="14"/>
      <c r="B188" s="14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>
      <c r="A189" s="14"/>
      <c r="B189" s="14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>
      <c r="A190" s="14"/>
      <c r="B190" s="14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>
      <c r="A191" s="14"/>
      <c r="B191" s="14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>
      <c r="A192" s="14"/>
      <c r="B192" s="14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>
      <c r="A193" s="14"/>
      <c r="B193" s="14"/>
      <c r="C193" s="39"/>
      <c r="D193" s="39"/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>
      <c r="A194" s="14"/>
      <c r="B194" s="14"/>
      <c r="C194" s="39"/>
      <c r="D194" s="39"/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>
      <c r="A195" s="14"/>
      <c r="B195" s="14"/>
      <c r="C195" s="39"/>
      <c r="D195" s="39"/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>
      <c r="A196" s="14"/>
      <c r="B196" s="14"/>
      <c r="C196" s="39"/>
      <c r="D196" s="39"/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>
      <c r="A197" s="14"/>
      <c r="B197" s="14"/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>
      <c r="A198" s="14"/>
      <c r="B198" s="14"/>
      <c r="C198" s="39"/>
      <c r="D198" s="39"/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>
      <c r="A199" s="14"/>
      <c r="B199" s="14"/>
      <c r="C199" s="39"/>
      <c r="D199" s="39"/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>
      <c r="A200" s="14"/>
      <c r="B200" s="14"/>
      <c r="C200" s="39"/>
      <c r="D200" s="39"/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>
      <c r="A201" s="14"/>
      <c r="B201" s="14"/>
      <c r="C201" s="39"/>
      <c r="D201" s="39"/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>
      <c r="A202" s="14"/>
      <c r="B202" s="14"/>
      <c r="C202" s="39"/>
      <c r="D202" s="39"/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>
      <c r="A203" s="14"/>
      <c r="B203" s="14"/>
      <c r="C203" s="39"/>
      <c r="D203" s="39"/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>
      <c r="A204" s="14"/>
      <c r="B204" s="14"/>
      <c r="C204" s="39"/>
      <c r="D204" s="39"/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>
      <c r="A205" s="14"/>
      <c r="B205" s="14"/>
      <c r="C205" s="39"/>
      <c r="D205" s="39"/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>
      <c r="A206" s="14"/>
      <c r="B206" s="14"/>
      <c r="C206" s="39"/>
      <c r="D206" s="39"/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>
      <c r="A207" s="14"/>
      <c r="B207" s="14"/>
      <c r="C207" s="39"/>
      <c r="D207" s="39"/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>
      <c r="A208" s="14"/>
      <c r="B208" s="14"/>
      <c r="C208" s="39"/>
      <c r="D208" s="39"/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>
      <c r="A209" s="14"/>
      <c r="B209" s="14"/>
      <c r="C209" s="39"/>
      <c r="D209" s="39"/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>
      <c r="A210" s="14"/>
      <c r="B210" s="14"/>
      <c r="C210" s="39"/>
      <c r="D210" s="39"/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>
      <c r="A211" s="14"/>
      <c r="B211" s="14"/>
      <c r="C211" s="39"/>
      <c r="D211" s="39"/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>
      <c r="A212" s="14"/>
      <c r="B212" s="14"/>
      <c r="C212" s="39"/>
      <c r="D212" s="39"/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>
      <c r="A213" s="14"/>
      <c r="B213" s="14"/>
      <c r="C213" s="39"/>
      <c r="D213" s="39"/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>
      <c r="A214" s="14"/>
      <c r="B214" s="14"/>
      <c r="C214" s="39"/>
      <c r="D214" s="39"/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>
      <c r="A215" s="14"/>
      <c r="B215" s="14"/>
      <c r="C215" s="39"/>
      <c r="D215" s="39"/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>
      <c r="A216" s="14"/>
      <c r="B216" s="14"/>
      <c r="C216" s="39"/>
      <c r="D216" s="39"/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>
      <c r="A217" s="14"/>
      <c r="B217" s="14"/>
      <c r="C217" s="39"/>
      <c r="D217" s="39"/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>
      <c r="A218" s="14"/>
      <c r="B218" s="14"/>
      <c r="C218" s="39"/>
      <c r="D218" s="39"/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>
      <c r="A219" s="14"/>
      <c r="B219" s="14"/>
      <c r="C219" s="39"/>
      <c r="D219" s="39"/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>
      <c r="A220" s="14"/>
      <c r="B220" s="14"/>
      <c r="C220" s="39"/>
      <c r="D220" s="39"/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>
      <c r="R221" s="30"/>
      <c r="S221" s="40"/>
    </row>
    <row r="222" spans="1:33" ht="15.75" customHeight="1">
      <c r="R222" s="30"/>
      <c r="S222" s="40"/>
    </row>
    <row r="223" spans="1:33" ht="15.75" customHeight="1">
      <c r="R223" s="30"/>
      <c r="S223" s="40"/>
    </row>
    <row r="224" spans="1:33" ht="15.75" customHeight="1">
      <c r="R224" s="30"/>
      <c r="S224" s="40"/>
    </row>
    <row r="225" spans="18:18" ht="15.75" customHeight="1">
      <c r="R225" s="30"/>
    </row>
    <row r="226" spans="18:18" ht="15.75" customHeight="1">
      <c r="R226" s="30"/>
    </row>
    <row r="227" spans="18:18" ht="15.75" customHeight="1">
      <c r="R227" s="30"/>
    </row>
    <row r="228" spans="18:18" ht="15.75" customHeight="1">
      <c r="R228" s="30"/>
    </row>
    <row r="229" spans="18:18" ht="15.75" customHeight="1">
      <c r="R229" s="30"/>
    </row>
    <row r="230" spans="18:18" ht="15.75" customHeight="1">
      <c r="R230" s="30"/>
    </row>
    <row r="231" spans="18:18" ht="15.75" customHeight="1">
      <c r="R231" s="30"/>
    </row>
    <row r="232" spans="18:18" ht="15.75" customHeight="1">
      <c r="R232" s="30"/>
    </row>
    <row r="233" spans="18:18" ht="15.75" customHeight="1">
      <c r="R233" s="30"/>
    </row>
    <row r="234" spans="18:18" ht="15.75" customHeight="1">
      <c r="R234" s="30"/>
    </row>
    <row r="235" spans="18:18" ht="15.75" customHeight="1">
      <c r="R235" s="30"/>
    </row>
    <row r="236" spans="18:18" ht="15.75" customHeight="1">
      <c r="R236" s="30"/>
    </row>
    <row r="237" spans="18:18" ht="15.75" customHeight="1">
      <c r="R237" s="30"/>
    </row>
    <row r="238" spans="18:18" ht="15.75" customHeight="1">
      <c r="R238" s="30"/>
    </row>
    <row r="239" spans="18:18" ht="15.75" customHeight="1">
      <c r="R239" s="30"/>
    </row>
    <row r="240" spans="18:18" ht="15.75" customHeight="1">
      <c r="R240" s="30"/>
    </row>
    <row r="241" spans="18:18" ht="15.75" customHeight="1">
      <c r="R241" s="30"/>
    </row>
    <row r="242" spans="18:18" ht="15.75" customHeight="1">
      <c r="R242" s="30"/>
    </row>
    <row r="243" spans="18:18" ht="15.75" customHeight="1">
      <c r="R243" s="30"/>
    </row>
    <row r="244" spans="18:18" ht="15.75" customHeight="1">
      <c r="R244" s="30"/>
    </row>
    <row r="245" spans="18:18" ht="15.75" customHeight="1">
      <c r="R245" s="30"/>
    </row>
    <row r="246" spans="18:18" ht="15.75" customHeight="1">
      <c r="R246" s="30"/>
    </row>
    <row r="247" spans="18:18" ht="15.75" customHeight="1">
      <c r="R247" s="30"/>
    </row>
    <row r="248" spans="18:18" ht="15.75" customHeight="1">
      <c r="R248" s="30"/>
    </row>
    <row r="249" spans="18:18" ht="15.75" customHeight="1">
      <c r="R249" s="30"/>
    </row>
    <row r="250" spans="18:18" ht="15.75" customHeight="1">
      <c r="R250" s="30"/>
    </row>
    <row r="251" spans="18:18" ht="15.75" customHeight="1">
      <c r="R251" s="30"/>
    </row>
    <row r="252" spans="18:18" ht="15.75" customHeight="1">
      <c r="R252" s="30"/>
    </row>
    <row r="253" spans="18:18" ht="15.75" customHeight="1">
      <c r="R253" s="30"/>
    </row>
    <row r="254" spans="18:18" ht="15.75" customHeight="1">
      <c r="R254" s="30"/>
    </row>
    <row r="255" spans="18:18" ht="15.75" customHeight="1">
      <c r="R255" s="30"/>
    </row>
    <row r="256" spans="18:18" ht="15.75" customHeight="1">
      <c r="R256" s="30"/>
    </row>
    <row r="257" spans="18:18" ht="15.75" customHeight="1">
      <c r="R257" s="30"/>
    </row>
    <row r="258" spans="18:18" ht="15.75" customHeight="1">
      <c r="R258" s="30"/>
    </row>
    <row r="259" spans="18:18" ht="15.75" customHeight="1">
      <c r="R259" s="30"/>
    </row>
    <row r="260" spans="18:18" ht="15.75" customHeight="1">
      <c r="R260" s="30"/>
    </row>
    <row r="261" spans="18:18" ht="15.75" customHeight="1">
      <c r="R261" s="30"/>
    </row>
    <row r="262" spans="18:18" ht="15.75" customHeight="1">
      <c r="R262" s="30"/>
    </row>
    <row r="263" spans="18:18" ht="15.75" customHeight="1">
      <c r="R263" s="30"/>
    </row>
    <row r="264" spans="18:18" ht="15.75" customHeight="1">
      <c r="R264" s="30"/>
    </row>
    <row r="265" spans="18:18" ht="15.75" customHeight="1">
      <c r="R265" s="30"/>
    </row>
    <row r="266" spans="18:18" ht="15.75" customHeight="1">
      <c r="R266" s="30"/>
    </row>
    <row r="267" spans="18:18" ht="15.75" customHeight="1">
      <c r="R267" s="30"/>
    </row>
    <row r="268" spans="18:18" ht="15.75" customHeight="1">
      <c r="R268" s="30"/>
    </row>
    <row r="269" spans="18:18" ht="15.75" customHeight="1">
      <c r="R269" s="30"/>
    </row>
    <row r="270" spans="18:18" ht="15.75" customHeight="1">
      <c r="R270" s="30"/>
    </row>
    <row r="271" spans="18:18" ht="15.75" customHeight="1">
      <c r="R271" s="30"/>
    </row>
    <row r="272" spans="18:18" ht="15.75" customHeight="1">
      <c r="R272" s="30"/>
    </row>
    <row r="273" spans="18:18" ht="15.75" customHeight="1">
      <c r="R273" s="30"/>
    </row>
    <row r="274" spans="18:18" ht="15.75" customHeight="1">
      <c r="R274" s="30"/>
    </row>
    <row r="275" spans="18:18" ht="15.75" customHeight="1">
      <c r="R275" s="30"/>
    </row>
    <row r="276" spans="18:18" ht="15.75" customHeight="1">
      <c r="R276" s="30"/>
    </row>
    <row r="277" spans="18:18" ht="15.75" customHeight="1">
      <c r="R277" s="30"/>
    </row>
    <row r="278" spans="18:18" ht="15.75" customHeight="1">
      <c r="R278" s="30"/>
    </row>
    <row r="279" spans="18:18" ht="15.75" customHeight="1">
      <c r="R279" s="30"/>
    </row>
    <row r="280" spans="18:18" ht="15.75" customHeight="1">
      <c r="R280" s="30"/>
    </row>
    <row r="281" spans="18:18" ht="15.75" customHeight="1">
      <c r="R281" s="30"/>
    </row>
    <row r="282" spans="18:18" ht="15.75" customHeight="1">
      <c r="R282" s="30"/>
    </row>
    <row r="283" spans="18:18" ht="15.75" customHeight="1">
      <c r="R283" s="30"/>
    </row>
    <row r="284" spans="18:18" ht="15.75" customHeight="1">
      <c r="R284" s="30"/>
    </row>
    <row r="285" spans="18:18" ht="15.75" customHeight="1">
      <c r="R285" s="30"/>
    </row>
    <row r="286" spans="18:18" ht="15.75" customHeight="1">
      <c r="R286" s="30"/>
    </row>
    <row r="287" spans="18:18" ht="15.75" customHeight="1">
      <c r="R287" s="30"/>
    </row>
    <row r="288" spans="18:18" ht="15.75" customHeight="1">
      <c r="R288" s="30"/>
    </row>
    <row r="289" spans="18:18" ht="15.75" customHeight="1">
      <c r="R289" s="30"/>
    </row>
    <row r="290" spans="18:18" ht="15.75" customHeight="1">
      <c r="R290" s="30"/>
    </row>
    <row r="291" spans="18:18" ht="15.75" customHeight="1">
      <c r="R291" s="30"/>
    </row>
    <row r="292" spans="18:18" ht="15.75" customHeight="1">
      <c r="R292" s="30"/>
    </row>
    <row r="293" spans="18:18" ht="15.75" customHeight="1">
      <c r="R293" s="30"/>
    </row>
    <row r="294" spans="18:18" ht="15.75" customHeight="1">
      <c r="R294" s="30"/>
    </row>
    <row r="295" spans="18:18" ht="15.75" customHeight="1">
      <c r="R295" s="30"/>
    </row>
    <row r="296" spans="18:18" ht="15.75" customHeight="1">
      <c r="R296" s="30"/>
    </row>
    <row r="297" spans="18:18" ht="15.75" customHeight="1">
      <c r="R297" s="30"/>
    </row>
    <row r="298" spans="18:18" ht="15.75" customHeight="1">
      <c r="R298" s="30"/>
    </row>
    <row r="299" spans="18:18" ht="15.75" customHeight="1">
      <c r="R299" s="30"/>
    </row>
    <row r="300" spans="18:18" ht="15.75" customHeight="1">
      <c r="R300" s="30"/>
    </row>
    <row r="301" spans="18:18" ht="15.75" customHeight="1">
      <c r="R301" s="30"/>
    </row>
    <row r="302" spans="18:18" ht="15.75" customHeight="1">
      <c r="R302" s="30"/>
    </row>
    <row r="303" spans="18:18" ht="15.75" customHeight="1">
      <c r="R303" s="30"/>
    </row>
    <row r="304" spans="18:18" ht="15.75" customHeight="1">
      <c r="R304" s="30"/>
    </row>
    <row r="305" spans="18:18" ht="15.75" customHeight="1">
      <c r="R305" s="30"/>
    </row>
    <row r="306" spans="18:18" ht="15.75" customHeight="1">
      <c r="R306" s="30"/>
    </row>
    <row r="307" spans="18:18" ht="15.75" customHeight="1">
      <c r="R307" s="30"/>
    </row>
    <row r="308" spans="18:18" ht="15.75" customHeight="1">
      <c r="R308" s="30"/>
    </row>
    <row r="309" spans="18:18" ht="15.75" customHeight="1">
      <c r="R309" s="30"/>
    </row>
    <row r="310" spans="18:18" ht="15.75" customHeight="1">
      <c r="R310" s="30"/>
    </row>
    <row r="311" spans="18:18" ht="15.75" customHeight="1">
      <c r="R311" s="30"/>
    </row>
    <row r="312" spans="18:18" ht="15.75" customHeight="1">
      <c r="R312" s="30"/>
    </row>
    <row r="313" spans="18:18" ht="15.75" customHeight="1">
      <c r="R313" s="30"/>
    </row>
    <row r="314" spans="18:18" ht="15.75" customHeight="1">
      <c r="R314" s="30"/>
    </row>
    <row r="315" spans="18:18" ht="15.75" customHeight="1">
      <c r="R315" s="30"/>
    </row>
    <row r="316" spans="18:18" ht="15.75" customHeight="1">
      <c r="R316" s="30"/>
    </row>
    <row r="317" spans="18:18" ht="15.75" customHeight="1">
      <c r="R317" s="30"/>
    </row>
    <row r="318" spans="18:18" ht="15.75" customHeight="1">
      <c r="R318" s="30"/>
    </row>
    <row r="319" spans="18:18" ht="15.75" customHeight="1">
      <c r="R319" s="30"/>
    </row>
    <row r="320" spans="18:18" ht="15.75" customHeight="1">
      <c r="R320" s="30"/>
    </row>
    <row r="321" spans="18:18" ht="15.75" customHeight="1">
      <c r="R321" s="30"/>
    </row>
    <row r="322" spans="18:18" ht="15.75" customHeight="1">
      <c r="R322" s="30"/>
    </row>
    <row r="323" spans="18:18" ht="15.75" customHeight="1">
      <c r="R323" s="30"/>
    </row>
    <row r="324" spans="18:18" ht="15.75" customHeight="1">
      <c r="R324" s="30"/>
    </row>
    <row r="325" spans="18:18" ht="15.75" customHeight="1">
      <c r="R325" s="30"/>
    </row>
    <row r="326" spans="18:18" ht="15.75" customHeight="1">
      <c r="R326" s="30"/>
    </row>
    <row r="327" spans="18:18" ht="15.75" customHeight="1">
      <c r="R327" s="30"/>
    </row>
    <row r="328" spans="18:18" ht="15.75" customHeight="1">
      <c r="R328" s="30"/>
    </row>
    <row r="329" spans="18:18" ht="15.75" customHeight="1">
      <c r="R329" s="30"/>
    </row>
    <row r="330" spans="18:18" ht="15.75" customHeight="1">
      <c r="R330" s="30"/>
    </row>
    <row r="331" spans="18:18" ht="15.75" customHeight="1">
      <c r="R331" s="30"/>
    </row>
    <row r="332" spans="18:18" ht="15.75" customHeight="1">
      <c r="R332" s="30"/>
    </row>
    <row r="333" spans="18:18" ht="15.75" customHeight="1">
      <c r="R333" s="30"/>
    </row>
    <row r="334" spans="18:18" ht="15.75" customHeight="1">
      <c r="R334" s="30"/>
    </row>
    <row r="335" spans="18:18" ht="15.75" customHeight="1">
      <c r="R335" s="30"/>
    </row>
    <row r="336" spans="18:18" ht="15.75" customHeight="1">
      <c r="R336" s="30"/>
    </row>
    <row r="337" spans="18:18" ht="15.75" customHeight="1">
      <c r="R337" s="30"/>
    </row>
    <row r="338" spans="18:18" ht="15.75" customHeight="1">
      <c r="R338" s="30"/>
    </row>
    <row r="339" spans="18:18" ht="15.75" customHeight="1">
      <c r="R339" s="30"/>
    </row>
    <row r="340" spans="18:18" ht="15.75" customHeight="1">
      <c r="R340" s="30"/>
    </row>
    <row r="341" spans="18:18" ht="15.75" customHeight="1">
      <c r="R341" s="30"/>
    </row>
    <row r="342" spans="18:18" ht="15.75" customHeight="1">
      <c r="R342" s="30"/>
    </row>
    <row r="343" spans="18:18" ht="15.75" customHeight="1">
      <c r="R343" s="30"/>
    </row>
    <row r="344" spans="18:18" ht="15.75" customHeight="1">
      <c r="R344" s="30"/>
    </row>
    <row r="345" spans="18:18" ht="15.75" customHeight="1">
      <c r="R345" s="30"/>
    </row>
    <row r="346" spans="18:18" ht="15.75" customHeight="1">
      <c r="R346" s="30"/>
    </row>
    <row r="347" spans="18:18" ht="15.75" customHeight="1">
      <c r="R347" s="30"/>
    </row>
    <row r="348" spans="18:18" ht="15.75" customHeight="1">
      <c r="R348" s="30"/>
    </row>
    <row r="349" spans="18:18" ht="15.75" customHeight="1">
      <c r="R349" s="30"/>
    </row>
    <row r="350" spans="18:18" ht="15.75" customHeight="1">
      <c r="R350" s="30"/>
    </row>
    <row r="351" spans="18:18" ht="15.75" customHeight="1">
      <c r="R351" s="30"/>
    </row>
    <row r="352" spans="18:18" ht="15.75" customHeight="1">
      <c r="R352" s="30"/>
    </row>
    <row r="353" spans="18:18" ht="15.75" customHeight="1">
      <c r="R353" s="30"/>
    </row>
    <row r="354" spans="18:18" ht="15.75" customHeight="1">
      <c r="R354" s="30"/>
    </row>
    <row r="355" spans="18:18" ht="15.75" customHeight="1">
      <c r="R355" s="30"/>
    </row>
    <row r="356" spans="18:18" ht="15.75" customHeight="1">
      <c r="R356" s="30"/>
    </row>
    <row r="357" spans="18:18" ht="15.75" customHeight="1">
      <c r="R357" s="30"/>
    </row>
    <row r="358" spans="18:18" ht="15.75" customHeight="1">
      <c r="R358" s="30"/>
    </row>
    <row r="359" spans="18:18" ht="15.75" customHeight="1">
      <c r="R359" s="30"/>
    </row>
    <row r="360" spans="18:18" ht="15.75" customHeight="1">
      <c r="R360" s="30"/>
    </row>
    <row r="361" spans="18:18" ht="15.75" customHeight="1">
      <c r="R361" s="30"/>
    </row>
    <row r="362" spans="18:18" ht="15.75" customHeight="1">
      <c r="R362" s="30"/>
    </row>
    <row r="363" spans="18:18" ht="15.75" customHeight="1">
      <c r="R363" s="30"/>
    </row>
    <row r="364" spans="18:18" ht="15.75" customHeight="1">
      <c r="R364" s="30"/>
    </row>
    <row r="365" spans="18:18" ht="15.75" customHeight="1">
      <c r="R365" s="30"/>
    </row>
    <row r="366" spans="18:18" ht="15.75" customHeight="1">
      <c r="R366" s="30"/>
    </row>
    <row r="367" spans="18:18" ht="15.75" customHeight="1">
      <c r="R367" s="30"/>
    </row>
    <row r="368" spans="18:18" ht="15.75" customHeight="1">
      <c r="R368" s="30"/>
    </row>
    <row r="369" spans="18:18" ht="15.75" customHeight="1">
      <c r="R369" s="30"/>
    </row>
    <row r="370" spans="18:18" ht="15.75" customHeight="1">
      <c r="R370" s="30"/>
    </row>
    <row r="371" spans="18:18" ht="15.75" customHeight="1">
      <c r="R371" s="30"/>
    </row>
    <row r="372" spans="18:18" ht="15.75" customHeight="1">
      <c r="R372" s="30"/>
    </row>
    <row r="373" spans="18:18" ht="15.75" customHeight="1">
      <c r="R373" s="30"/>
    </row>
    <row r="374" spans="18:18" ht="15.75" customHeight="1">
      <c r="R374" s="30"/>
    </row>
    <row r="375" spans="18:18" ht="15.75" customHeight="1">
      <c r="R375" s="30"/>
    </row>
    <row r="376" spans="18:18" ht="15.75" customHeight="1">
      <c r="R376" s="30"/>
    </row>
    <row r="377" spans="18:18" ht="15.75" customHeight="1">
      <c r="R377" s="30"/>
    </row>
    <row r="378" spans="18:18" ht="15.75" customHeight="1">
      <c r="R378" s="30"/>
    </row>
    <row r="379" spans="18:18" ht="15.75" customHeight="1">
      <c r="R379" s="30"/>
    </row>
    <row r="380" spans="18:18" ht="15.75" customHeight="1">
      <c r="R380" s="30"/>
    </row>
    <row r="381" spans="18:18" ht="15.75" customHeight="1">
      <c r="R381" s="30"/>
    </row>
    <row r="382" spans="18:18" ht="15.75" customHeight="1">
      <c r="R382" s="30"/>
    </row>
    <row r="383" spans="18:18" ht="15.75" customHeight="1">
      <c r="R383" s="30"/>
    </row>
    <row r="384" spans="18:18" ht="15.75" customHeight="1">
      <c r="R384" s="30"/>
    </row>
    <row r="385" spans="18:18" ht="15.75" customHeight="1">
      <c r="R385" s="30"/>
    </row>
    <row r="386" spans="18:18" ht="15.75" customHeight="1">
      <c r="R386" s="30"/>
    </row>
    <row r="387" spans="18:18" ht="15.75" customHeight="1">
      <c r="R387" s="30"/>
    </row>
    <row r="388" spans="18:18" ht="15.75" customHeight="1">
      <c r="R388" s="30"/>
    </row>
    <row r="389" spans="18:18" ht="15.75" customHeight="1">
      <c r="R389" s="30"/>
    </row>
    <row r="390" spans="18:18" ht="15.75" customHeight="1">
      <c r="R390" s="30"/>
    </row>
    <row r="391" spans="18:18" ht="15.75" customHeight="1">
      <c r="R391" s="30"/>
    </row>
    <row r="392" spans="18:18" ht="15.75" customHeight="1">
      <c r="R392" s="30"/>
    </row>
    <row r="393" spans="18:18" ht="15.75" customHeight="1">
      <c r="R393" s="30"/>
    </row>
    <row r="394" spans="18:18" ht="15.75" customHeight="1">
      <c r="R394" s="30"/>
    </row>
    <row r="395" spans="18:18" ht="15.75" customHeight="1">
      <c r="R395" s="30"/>
    </row>
    <row r="396" spans="18:18" ht="15.75" customHeight="1">
      <c r="R396" s="30"/>
    </row>
    <row r="397" spans="18:18" ht="15.75" customHeight="1">
      <c r="R397" s="30"/>
    </row>
    <row r="398" spans="18:18" ht="15.75" customHeight="1">
      <c r="R398" s="30"/>
    </row>
    <row r="399" spans="18:18" ht="15.75" customHeight="1">
      <c r="R399" s="30"/>
    </row>
    <row r="400" spans="18:18" ht="15.75" customHeight="1">
      <c r="R400" s="30"/>
    </row>
    <row r="401" spans="18:18" ht="15.75" customHeight="1">
      <c r="R401" s="30"/>
    </row>
    <row r="402" spans="18:18" ht="15.75" customHeight="1">
      <c r="R402" s="30"/>
    </row>
    <row r="403" spans="18:18" ht="15.75" customHeight="1">
      <c r="R403" s="30"/>
    </row>
    <row r="404" spans="18:18" ht="15.75" customHeight="1">
      <c r="R404" s="30"/>
    </row>
    <row r="405" spans="18:18" ht="15.75" customHeight="1">
      <c r="R405" s="30"/>
    </row>
    <row r="406" spans="18:18" ht="15.75" customHeight="1">
      <c r="R406" s="30"/>
    </row>
    <row r="407" spans="18:18" ht="15.75" customHeight="1">
      <c r="R407" s="30"/>
    </row>
    <row r="408" spans="18:18" ht="15.75" customHeight="1">
      <c r="R408" s="30"/>
    </row>
    <row r="409" spans="18:18" ht="15.75" customHeight="1">
      <c r="R409" s="30"/>
    </row>
    <row r="410" spans="18:18" ht="15.75" customHeight="1">
      <c r="R410" s="30"/>
    </row>
    <row r="411" spans="18:18" ht="15.75" customHeight="1">
      <c r="R411" s="30"/>
    </row>
    <row r="412" spans="18:18" ht="15.75" customHeight="1">
      <c r="R412" s="30"/>
    </row>
    <row r="413" spans="18:18" ht="15.75" customHeight="1">
      <c r="R413" s="30"/>
    </row>
    <row r="414" spans="18:18" ht="15.75" customHeight="1">
      <c r="R414" s="30"/>
    </row>
    <row r="415" spans="18:18" ht="15.75" customHeight="1">
      <c r="R415" s="30"/>
    </row>
    <row r="416" spans="18:18" ht="15.75" customHeight="1">
      <c r="R416" s="30"/>
    </row>
    <row r="417" spans="18:18" ht="15.75" customHeight="1">
      <c r="R417" s="30"/>
    </row>
    <row r="418" spans="18:18" ht="15.75" customHeight="1">
      <c r="R418" s="30"/>
    </row>
    <row r="419" spans="18:18" ht="15.75" customHeight="1">
      <c r="R419" s="30"/>
    </row>
    <row r="420" spans="18:18" ht="15.75" customHeight="1">
      <c r="R420" s="30"/>
    </row>
    <row r="421" spans="18:18" ht="15.75" customHeight="1">
      <c r="R421" s="30"/>
    </row>
    <row r="422" spans="18:18" ht="15.75" customHeight="1">
      <c r="R422" s="30"/>
    </row>
    <row r="423" spans="18:18" ht="15.75" customHeight="1">
      <c r="R423" s="30"/>
    </row>
    <row r="424" spans="18:18" ht="15.75" customHeight="1">
      <c r="R424" s="30"/>
    </row>
    <row r="425" spans="18:18" ht="15.75" customHeight="1">
      <c r="R425" s="30"/>
    </row>
    <row r="426" spans="18:18" ht="15.75" customHeight="1">
      <c r="R426" s="30"/>
    </row>
    <row r="427" spans="18:18" ht="15.75" customHeight="1">
      <c r="R427" s="30"/>
    </row>
    <row r="428" spans="18:18" ht="15.75" customHeight="1">
      <c r="R428" s="30"/>
    </row>
    <row r="429" spans="18:18" ht="15.75" customHeight="1">
      <c r="R429" s="30"/>
    </row>
    <row r="430" spans="18:18" ht="15.75" customHeight="1">
      <c r="R430" s="30"/>
    </row>
    <row r="431" spans="18:18" ht="15.75" customHeight="1">
      <c r="R431" s="30"/>
    </row>
    <row r="432" spans="18:18" ht="15.75" customHeight="1">
      <c r="R432" s="30"/>
    </row>
    <row r="433" spans="18:18" ht="15.75" customHeight="1">
      <c r="R433" s="30"/>
    </row>
    <row r="434" spans="18:18" ht="15.75" customHeight="1">
      <c r="R434" s="30"/>
    </row>
    <row r="435" spans="18:18" ht="15.75" customHeight="1">
      <c r="R435" s="30"/>
    </row>
    <row r="436" spans="18:18" ht="15.75" customHeight="1">
      <c r="R436" s="30"/>
    </row>
    <row r="437" spans="18:18" ht="15.75" customHeight="1">
      <c r="R437" s="30"/>
    </row>
    <row r="438" spans="18:18" ht="15.75" customHeight="1">
      <c r="R438" s="30"/>
    </row>
    <row r="439" spans="18:18" ht="15.75" customHeight="1">
      <c r="R439" s="30"/>
    </row>
    <row r="440" spans="18:18" ht="15.75" customHeight="1">
      <c r="R440" s="30"/>
    </row>
    <row r="441" spans="18:18" ht="15.75" customHeight="1">
      <c r="R441" s="30"/>
    </row>
    <row r="442" spans="18:18" ht="15.75" customHeight="1">
      <c r="R442" s="30"/>
    </row>
    <row r="443" spans="18:18" ht="15.75" customHeight="1">
      <c r="R443" s="30"/>
    </row>
    <row r="444" spans="18:18" ht="15.75" customHeight="1">
      <c r="R444" s="30"/>
    </row>
    <row r="445" spans="18:18" ht="15.75" customHeight="1">
      <c r="R445" s="30"/>
    </row>
    <row r="446" spans="18:18" ht="15.75" customHeight="1">
      <c r="R446" s="30"/>
    </row>
    <row r="447" spans="18:18" ht="15.75" customHeight="1">
      <c r="R447" s="30"/>
    </row>
    <row r="448" spans="18:18" ht="15.75" customHeight="1">
      <c r="R448" s="30"/>
    </row>
    <row r="449" spans="18:18" ht="15.75" customHeight="1">
      <c r="R449" s="30"/>
    </row>
    <row r="450" spans="18:18" ht="15.75" customHeight="1">
      <c r="R450" s="30"/>
    </row>
    <row r="451" spans="18:18" ht="15.75" customHeight="1">
      <c r="R451" s="30"/>
    </row>
    <row r="452" spans="18:18" ht="15.75" customHeight="1">
      <c r="R452" s="30"/>
    </row>
    <row r="453" spans="18:18" ht="15.75" customHeight="1">
      <c r="R453" s="30"/>
    </row>
    <row r="454" spans="18:18" ht="15.75" customHeight="1">
      <c r="R454" s="30"/>
    </row>
    <row r="455" spans="18:18" ht="15.75" customHeight="1">
      <c r="R455" s="30"/>
    </row>
    <row r="456" spans="18:18" ht="15.75" customHeight="1">
      <c r="R456" s="30"/>
    </row>
    <row r="457" spans="18:18" ht="15.75" customHeight="1">
      <c r="R457" s="30"/>
    </row>
    <row r="458" spans="18:18" ht="15.75" customHeight="1">
      <c r="R458" s="30"/>
    </row>
    <row r="459" spans="18:18" ht="15.75" customHeight="1">
      <c r="R459" s="30"/>
    </row>
    <row r="460" spans="18:18" ht="15.75" customHeight="1">
      <c r="R460" s="30"/>
    </row>
    <row r="461" spans="18:18" ht="15.75" customHeight="1">
      <c r="R461" s="30"/>
    </row>
    <row r="462" spans="18:18" ht="15.75" customHeight="1">
      <c r="R462" s="30"/>
    </row>
    <row r="463" spans="18:18" ht="15.75" customHeight="1">
      <c r="R463" s="30"/>
    </row>
    <row r="464" spans="18:18" ht="15.75" customHeight="1">
      <c r="R464" s="30"/>
    </row>
    <row r="465" spans="18:18" ht="15.75" customHeight="1">
      <c r="R465" s="30"/>
    </row>
    <row r="466" spans="18:18" ht="15.75" customHeight="1">
      <c r="R466" s="30"/>
    </row>
    <row r="467" spans="18:18" ht="15.75" customHeight="1">
      <c r="R467" s="30"/>
    </row>
    <row r="468" spans="18:18" ht="15.75" customHeight="1">
      <c r="R468" s="30"/>
    </row>
    <row r="469" spans="18:18" ht="15.75" customHeight="1">
      <c r="R469" s="30"/>
    </row>
    <row r="470" spans="18:18" ht="15.75" customHeight="1">
      <c r="R470" s="30"/>
    </row>
    <row r="471" spans="18:18" ht="15.75" customHeight="1">
      <c r="R471" s="30"/>
    </row>
    <row r="472" spans="18:18" ht="15.75" customHeight="1">
      <c r="R472" s="30"/>
    </row>
    <row r="473" spans="18:18" ht="15.75" customHeight="1">
      <c r="R473" s="30"/>
    </row>
    <row r="474" spans="18:18" ht="15.75" customHeight="1">
      <c r="R474" s="30"/>
    </row>
    <row r="475" spans="18:18" ht="15.75" customHeight="1">
      <c r="R475" s="30"/>
    </row>
    <row r="476" spans="18:18" ht="15.75" customHeight="1">
      <c r="R476" s="30"/>
    </row>
    <row r="477" spans="18:18" ht="15.75" customHeight="1">
      <c r="R477" s="30"/>
    </row>
    <row r="478" spans="18:18" ht="15.75" customHeight="1">
      <c r="R478" s="30"/>
    </row>
    <row r="479" spans="18:18" ht="15.75" customHeight="1">
      <c r="R479" s="30"/>
    </row>
    <row r="480" spans="18:18" ht="15.75" customHeight="1">
      <c r="R480" s="30"/>
    </row>
    <row r="481" spans="18:18" ht="15.75" customHeight="1">
      <c r="R481" s="30"/>
    </row>
    <row r="482" spans="18:18" ht="15.75" customHeight="1">
      <c r="R482" s="30"/>
    </row>
    <row r="483" spans="18:18" ht="15.75" customHeight="1">
      <c r="R483" s="30"/>
    </row>
    <row r="484" spans="18:18" ht="15.75" customHeight="1">
      <c r="R484" s="30"/>
    </row>
    <row r="485" spans="18:18" ht="15.75" customHeight="1">
      <c r="R485" s="30"/>
    </row>
    <row r="486" spans="18:18" ht="15.75" customHeight="1">
      <c r="R486" s="30"/>
    </row>
    <row r="487" spans="18:18" ht="15.75" customHeight="1">
      <c r="R487" s="30"/>
    </row>
    <row r="488" spans="18:18" ht="15.75" customHeight="1">
      <c r="R488" s="30"/>
    </row>
    <row r="489" spans="18:18" ht="15.75" customHeight="1">
      <c r="R489" s="30"/>
    </row>
    <row r="490" spans="18:18" ht="15.75" customHeight="1">
      <c r="R490" s="30"/>
    </row>
    <row r="491" spans="18:18" ht="15.75" customHeight="1">
      <c r="R491" s="30"/>
    </row>
    <row r="492" spans="18:18" ht="15.75" customHeight="1">
      <c r="R492" s="30"/>
    </row>
    <row r="493" spans="18:18" ht="15.75" customHeight="1">
      <c r="R493" s="30"/>
    </row>
    <row r="494" spans="18:18" ht="15.75" customHeight="1">
      <c r="R494" s="30"/>
    </row>
    <row r="495" spans="18:18" ht="15.75" customHeight="1">
      <c r="R495" s="30"/>
    </row>
    <row r="496" spans="18:18" ht="15.75" customHeight="1">
      <c r="R496" s="30"/>
    </row>
    <row r="497" spans="18:18" ht="15.75" customHeight="1">
      <c r="R497" s="30"/>
    </row>
    <row r="498" spans="18:18" ht="15.75" customHeight="1">
      <c r="R498" s="30"/>
    </row>
    <row r="499" spans="18:18" ht="15.75" customHeight="1">
      <c r="R499" s="30"/>
    </row>
    <row r="500" spans="18:18" ht="15.75" customHeight="1">
      <c r="R500" s="30"/>
    </row>
    <row r="501" spans="18:18" ht="15.75" customHeight="1">
      <c r="R501" s="30"/>
    </row>
    <row r="502" spans="18:18" ht="15.75" customHeight="1">
      <c r="R502" s="30"/>
    </row>
    <row r="503" spans="18:18" ht="15.75" customHeight="1">
      <c r="R503" s="30"/>
    </row>
    <row r="504" spans="18:18" ht="15.75" customHeight="1">
      <c r="R504" s="30"/>
    </row>
    <row r="505" spans="18:18" ht="15.75" customHeight="1">
      <c r="R505" s="30"/>
    </row>
    <row r="506" spans="18:18" ht="15.75" customHeight="1">
      <c r="R506" s="30"/>
    </row>
    <row r="507" spans="18:18" ht="15.75" customHeight="1">
      <c r="R507" s="30"/>
    </row>
    <row r="508" spans="18:18" ht="15.75" customHeight="1">
      <c r="R508" s="30"/>
    </row>
    <row r="509" spans="18:18" ht="15.75" customHeight="1">
      <c r="R509" s="30"/>
    </row>
    <row r="510" spans="18:18" ht="15.75" customHeight="1">
      <c r="R510" s="30"/>
    </row>
    <row r="511" spans="18:18" ht="15.75" customHeight="1">
      <c r="R511" s="30"/>
    </row>
    <row r="512" spans="18:18" ht="15.75" customHeight="1">
      <c r="R512" s="30"/>
    </row>
    <row r="513" spans="18:18" ht="15.75" customHeight="1">
      <c r="R513" s="30"/>
    </row>
    <row r="514" spans="18:18" ht="15.75" customHeight="1">
      <c r="R514" s="30"/>
    </row>
    <row r="515" spans="18:18" ht="15.75" customHeight="1">
      <c r="R515" s="30"/>
    </row>
    <row r="516" spans="18:18" ht="15.75" customHeight="1">
      <c r="R516" s="30"/>
    </row>
    <row r="517" spans="18:18" ht="15.75" customHeight="1">
      <c r="R517" s="30"/>
    </row>
    <row r="518" spans="18:18" ht="15.75" customHeight="1">
      <c r="R518" s="30"/>
    </row>
    <row r="519" spans="18:18" ht="15.75" customHeight="1">
      <c r="R519" s="30"/>
    </row>
    <row r="520" spans="18:18" ht="15.75" customHeight="1">
      <c r="R520" s="30"/>
    </row>
    <row r="521" spans="18:18" ht="15.75" customHeight="1">
      <c r="R521" s="30"/>
    </row>
    <row r="522" spans="18:18" ht="15.75" customHeight="1">
      <c r="R522" s="30"/>
    </row>
    <row r="523" spans="18:18" ht="15.75" customHeight="1">
      <c r="R523" s="30"/>
    </row>
    <row r="524" spans="18:18" ht="15.75" customHeight="1">
      <c r="R524" s="30"/>
    </row>
    <row r="525" spans="18:18" ht="15.75" customHeight="1">
      <c r="R525" s="30"/>
    </row>
    <row r="526" spans="18:18" ht="15.75" customHeight="1">
      <c r="R526" s="30"/>
    </row>
    <row r="527" spans="18:18" ht="15.75" customHeight="1">
      <c r="R527" s="30"/>
    </row>
    <row r="528" spans="18:18" ht="15.75" customHeight="1">
      <c r="R528" s="30"/>
    </row>
    <row r="529" spans="18:18" ht="15.75" customHeight="1">
      <c r="R529" s="30"/>
    </row>
    <row r="530" spans="18:18" ht="15.75" customHeight="1">
      <c r="R530" s="30"/>
    </row>
    <row r="531" spans="18:18" ht="15.75" customHeight="1">
      <c r="R531" s="30"/>
    </row>
    <row r="532" spans="18:18" ht="15.75" customHeight="1">
      <c r="R532" s="30"/>
    </row>
    <row r="533" spans="18:18" ht="15.75" customHeight="1">
      <c r="R533" s="30"/>
    </row>
    <row r="534" spans="18:18" ht="15.75" customHeight="1">
      <c r="R534" s="30"/>
    </row>
    <row r="535" spans="18:18" ht="15.75" customHeight="1">
      <c r="R535" s="30"/>
    </row>
    <row r="536" spans="18:18" ht="15.75" customHeight="1">
      <c r="R536" s="30"/>
    </row>
    <row r="537" spans="18:18" ht="15.75" customHeight="1">
      <c r="R537" s="30"/>
    </row>
    <row r="538" spans="18:18" ht="15.75" customHeight="1">
      <c r="R538" s="30"/>
    </row>
    <row r="539" spans="18:18" ht="15.75" customHeight="1">
      <c r="R539" s="30"/>
    </row>
    <row r="540" spans="18:18" ht="15.75" customHeight="1">
      <c r="R540" s="30"/>
    </row>
    <row r="541" spans="18:18" ht="15.75" customHeight="1">
      <c r="R541" s="30"/>
    </row>
    <row r="542" spans="18:18" ht="15.75" customHeight="1">
      <c r="R542" s="30"/>
    </row>
    <row r="543" spans="18:18" ht="15.75" customHeight="1">
      <c r="R543" s="30"/>
    </row>
    <row r="544" spans="18:18" ht="15.75" customHeight="1">
      <c r="R544" s="30"/>
    </row>
    <row r="545" spans="18:18" ht="15.75" customHeight="1">
      <c r="R545" s="30"/>
    </row>
    <row r="546" spans="18:18" ht="15.75" customHeight="1">
      <c r="R546" s="30"/>
    </row>
    <row r="547" spans="18:18" ht="15.75" customHeight="1">
      <c r="R547" s="30"/>
    </row>
    <row r="548" spans="18:18" ht="15.75" customHeight="1">
      <c r="R548" s="30"/>
    </row>
    <row r="549" spans="18:18" ht="15.75" customHeight="1">
      <c r="R549" s="30"/>
    </row>
    <row r="550" spans="18:18" ht="15.75" customHeight="1">
      <c r="R550" s="30"/>
    </row>
    <row r="551" spans="18:18" ht="15.75" customHeight="1">
      <c r="R551" s="30"/>
    </row>
    <row r="552" spans="18:18" ht="15.75" customHeight="1">
      <c r="R552" s="30"/>
    </row>
    <row r="553" spans="18:18" ht="15.75" customHeight="1">
      <c r="R553" s="30"/>
    </row>
    <row r="554" spans="18:18" ht="15.75" customHeight="1">
      <c r="R554" s="30"/>
    </row>
    <row r="555" spans="18:18" ht="15.75" customHeight="1">
      <c r="R555" s="30"/>
    </row>
    <row r="556" spans="18:18" ht="15.75" customHeight="1">
      <c r="R556" s="30"/>
    </row>
    <row r="557" spans="18:18" ht="15.75" customHeight="1">
      <c r="R557" s="30"/>
    </row>
    <row r="558" spans="18:18" ht="15.75" customHeight="1">
      <c r="R558" s="30"/>
    </row>
    <row r="559" spans="18:18" ht="15.75" customHeight="1">
      <c r="R559" s="30"/>
    </row>
    <row r="560" spans="18:18" ht="15.75" customHeight="1">
      <c r="R560" s="30"/>
    </row>
    <row r="561" spans="18:18" ht="15.75" customHeight="1">
      <c r="R561" s="30"/>
    </row>
    <row r="562" spans="18:18" ht="15.75" customHeight="1">
      <c r="R562" s="30"/>
    </row>
    <row r="563" spans="18:18" ht="15.75" customHeight="1">
      <c r="R563" s="30"/>
    </row>
    <row r="564" spans="18:18" ht="15.75" customHeight="1">
      <c r="R564" s="30"/>
    </row>
    <row r="565" spans="18:18" ht="15.75" customHeight="1">
      <c r="R565" s="30"/>
    </row>
    <row r="566" spans="18:18" ht="15.75" customHeight="1">
      <c r="R566" s="30"/>
    </row>
    <row r="567" spans="18:18" ht="15.75" customHeight="1">
      <c r="R567" s="30"/>
    </row>
    <row r="568" spans="18:18" ht="15.75" customHeight="1">
      <c r="R568" s="30"/>
    </row>
    <row r="569" spans="18:18" ht="15.75" customHeight="1">
      <c r="R569" s="30"/>
    </row>
    <row r="570" spans="18:18" ht="15.75" customHeight="1">
      <c r="R570" s="30"/>
    </row>
    <row r="571" spans="18:18" ht="15.75" customHeight="1">
      <c r="R571" s="30"/>
    </row>
    <row r="572" spans="18:18" ht="15.75" customHeight="1">
      <c r="R572" s="30"/>
    </row>
    <row r="573" spans="18:18" ht="15.75" customHeight="1">
      <c r="R573" s="30"/>
    </row>
    <row r="574" spans="18:18" ht="15.75" customHeight="1">
      <c r="R574" s="30"/>
    </row>
    <row r="575" spans="18:18" ht="15.75" customHeight="1">
      <c r="R575" s="30"/>
    </row>
    <row r="576" spans="18:18" ht="15.75" customHeight="1">
      <c r="R576" s="30"/>
    </row>
    <row r="577" spans="18:18" ht="15.75" customHeight="1">
      <c r="R577" s="30"/>
    </row>
    <row r="578" spans="18:18" ht="15.75" customHeight="1">
      <c r="R578" s="30"/>
    </row>
    <row r="579" spans="18:18" ht="15.75" customHeight="1">
      <c r="R579" s="30"/>
    </row>
    <row r="580" spans="18:18" ht="15.75" customHeight="1">
      <c r="R580" s="30"/>
    </row>
    <row r="581" spans="18:18" ht="15.75" customHeight="1">
      <c r="R581" s="30"/>
    </row>
    <row r="582" spans="18:18" ht="15.75" customHeight="1">
      <c r="R582" s="30"/>
    </row>
    <row r="583" spans="18:18" ht="15.75" customHeight="1">
      <c r="R583" s="30"/>
    </row>
    <row r="584" spans="18:18" ht="15.75" customHeight="1">
      <c r="R584" s="30"/>
    </row>
    <row r="585" spans="18:18" ht="15.75" customHeight="1">
      <c r="R585" s="30"/>
    </row>
    <row r="586" spans="18:18" ht="15.75" customHeight="1">
      <c r="R586" s="30"/>
    </row>
    <row r="587" spans="18:18" ht="15.75" customHeight="1">
      <c r="R587" s="30"/>
    </row>
    <row r="588" spans="18:18" ht="15.75" customHeight="1">
      <c r="R588" s="30"/>
    </row>
    <row r="589" spans="18:18" ht="15.75" customHeight="1">
      <c r="R589" s="30"/>
    </row>
    <row r="590" spans="18:18" ht="15.75" customHeight="1">
      <c r="R590" s="30"/>
    </row>
    <row r="591" spans="18:18" ht="15.75" customHeight="1">
      <c r="R591" s="30"/>
    </row>
    <row r="592" spans="18:18" ht="15.75" customHeight="1">
      <c r="R592" s="30"/>
    </row>
    <row r="593" spans="18:18" ht="15.75" customHeight="1">
      <c r="R593" s="30"/>
    </row>
    <row r="594" spans="18:18" ht="15.75" customHeight="1">
      <c r="R594" s="30"/>
    </row>
    <row r="595" spans="18:18" ht="15.75" customHeight="1">
      <c r="R595" s="30"/>
    </row>
    <row r="596" spans="18:18" ht="15.75" customHeight="1">
      <c r="R596" s="30"/>
    </row>
    <row r="597" spans="18:18" ht="15.75" customHeight="1">
      <c r="R597" s="30"/>
    </row>
    <row r="598" spans="18:18" ht="15.75" customHeight="1">
      <c r="R598" s="30"/>
    </row>
    <row r="599" spans="18:18" ht="15.75" customHeight="1">
      <c r="R599" s="30"/>
    </row>
    <row r="600" spans="18:18" ht="15.75" customHeight="1">
      <c r="R600" s="30"/>
    </row>
    <row r="601" spans="18:18" ht="15.75" customHeight="1">
      <c r="R601" s="30"/>
    </row>
    <row r="602" spans="18:18" ht="15.75" customHeight="1">
      <c r="R602" s="30"/>
    </row>
    <row r="603" spans="18:18" ht="15.75" customHeight="1">
      <c r="R603" s="30"/>
    </row>
    <row r="604" spans="18:18" ht="15.75" customHeight="1">
      <c r="R604" s="30"/>
    </row>
    <row r="605" spans="18:18" ht="15.75" customHeight="1">
      <c r="R605" s="30"/>
    </row>
    <row r="606" spans="18:18" ht="15.75" customHeight="1">
      <c r="R606" s="30"/>
    </row>
    <row r="607" spans="18:18" ht="15.75" customHeight="1">
      <c r="R607" s="30"/>
    </row>
    <row r="608" spans="18:18" ht="15.75" customHeight="1">
      <c r="R608" s="30"/>
    </row>
    <row r="609" spans="18:18" ht="15.75" customHeight="1">
      <c r="R609" s="30"/>
    </row>
    <row r="610" spans="18:18" ht="15.75" customHeight="1">
      <c r="R610" s="30"/>
    </row>
    <row r="611" spans="18:18" ht="15.75" customHeight="1">
      <c r="R611" s="30"/>
    </row>
    <row r="612" spans="18:18" ht="15.75" customHeight="1">
      <c r="R612" s="30"/>
    </row>
    <row r="613" spans="18:18" ht="15.75" customHeight="1">
      <c r="R613" s="30"/>
    </row>
    <row r="614" spans="18:18" ht="15.75" customHeight="1">
      <c r="R614" s="30"/>
    </row>
    <row r="615" spans="18:18" ht="15.75" customHeight="1">
      <c r="R615" s="30"/>
    </row>
    <row r="616" spans="18:18" ht="15.75" customHeight="1">
      <c r="R616" s="30"/>
    </row>
    <row r="617" spans="18:18" ht="15.75" customHeight="1">
      <c r="R617" s="30"/>
    </row>
    <row r="618" spans="18:18" ht="15.75" customHeight="1">
      <c r="R618" s="30"/>
    </row>
    <row r="619" spans="18:18" ht="15.75" customHeight="1">
      <c r="R619" s="30"/>
    </row>
    <row r="620" spans="18:18" ht="15.75" customHeight="1">
      <c r="R620" s="30"/>
    </row>
    <row r="621" spans="18:18" ht="15.75" customHeight="1">
      <c r="R621" s="30"/>
    </row>
    <row r="622" spans="18:18" ht="15.75" customHeight="1">
      <c r="R622" s="30"/>
    </row>
    <row r="623" spans="18:18" ht="15.75" customHeight="1">
      <c r="R623" s="30"/>
    </row>
    <row r="624" spans="18:18" ht="15.75" customHeight="1">
      <c r="R624" s="30"/>
    </row>
    <row r="625" spans="18:18" ht="15.75" customHeight="1">
      <c r="R625" s="30"/>
    </row>
    <row r="626" spans="18:18" ht="15.75" customHeight="1">
      <c r="R626" s="30"/>
    </row>
    <row r="627" spans="18:18" ht="15.75" customHeight="1">
      <c r="R627" s="30"/>
    </row>
    <row r="628" spans="18:18" ht="15.75" customHeight="1">
      <c r="R628" s="30"/>
    </row>
    <row r="629" spans="18:18" ht="15.75" customHeight="1">
      <c r="R629" s="30"/>
    </row>
    <row r="630" spans="18:18" ht="15.75" customHeight="1">
      <c r="R630" s="30"/>
    </row>
    <row r="631" spans="18:18" ht="15.75" customHeight="1">
      <c r="R631" s="30"/>
    </row>
    <row r="632" spans="18:18" ht="15.75" customHeight="1">
      <c r="R632" s="30"/>
    </row>
    <row r="633" spans="18:18" ht="15.75" customHeight="1">
      <c r="R633" s="30"/>
    </row>
    <row r="634" spans="18:18" ht="15.75" customHeight="1">
      <c r="R634" s="30"/>
    </row>
    <row r="635" spans="18:18" ht="15.75" customHeight="1">
      <c r="R635" s="30"/>
    </row>
    <row r="636" spans="18:18" ht="15.75" customHeight="1">
      <c r="R636" s="30"/>
    </row>
    <row r="637" spans="18:18" ht="15.75" customHeight="1">
      <c r="R637" s="30"/>
    </row>
    <row r="638" spans="18:18" ht="15.75" customHeight="1">
      <c r="R638" s="30"/>
    </row>
    <row r="639" spans="18:18" ht="15.75" customHeight="1">
      <c r="R639" s="30"/>
    </row>
    <row r="640" spans="18:18" ht="15.75" customHeight="1">
      <c r="R640" s="30"/>
    </row>
    <row r="641" spans="18:18" ht="15.75" customHeight="1">
      <c r="R641" s="30"/>
    </row>
    <row r="642" spans="18:18" ht="15.75" customHeight="1">
      <c r="R642" s="30"/>
    </row>
    <row r="643" spans="18:18" ht="15.75" customHeight="1">
      <c r="R643" s="30"/>
    </row>
    <row r="644" spans="18:18" ht="15.75" customHeight="1">
      <c r="R644" s="30"/>
    </row>
    <row r="645" spans="18:18" ht="15.75" customHeight="1">
      <c r="R645" s="30"/>
    </row>
    <row r="646" spans="18:18" ht="15.75" customHeight="1">
      <c r="R646" s="30"/>
    </row>
    <row r="647" spans="18:18" ht="15.75" customHeight="1">
      <c r="R647" s="30"/>
    </row>
    <row r="648" spans="18:18" ht="15.75" customHeight="1">
      <c r="R648" s="30"/>
    </row>
    <row r="649" spans="18:18" ht="15.75" customHeight="1">
      <c r="R649" s="30"/>
    </row>
    <row r="650" spans="18:18" ht="15.75" customHeight="1">
      <c r="R650" s="30"/>
    </row>
    <row r="651" spans="18:18" ht="15.75" customHeight="1">
      <c r="R651" s="30"/>
    </row>
    <row r="652" spans="18:18" ht="15.75" customHeight="1">
      <c r="R652" s="30"/>
    </row>
    <row r="653" spans="18:18" ht="15.75" customHeight="1">
      <c r="R653" s="30"/>
    </row>
    <row r="654" spans="18:18" ht="15.75" customHeight="1">
      <c r="R654" s="30"/>
    </row>
    <row r="655" spans="18:18" ht="15.75" customHeight="1">
      <c r="R655" s="30"/>
    </row>
    <row r="656" spans="18:18" ht="15.75" customHeight="1">
      <c r="R656" s="30"/>
    </row>
    <row r="657" spans="18:18" ht="15.75" customHeight="1">
      <c r="R657" s="30"/>
    </row>
    <row r="658" spans="18:18" ht="15.75" customHeight="1">
      <c r="R658" s="30"/>
    </row>
    <row r="659" spans="18:18" ht="15.75" customHeight="1">
      <c r="R659" s="30"/>
    </row>
    <row r="660" spans="18:18" ht="15.75" customHeight="1">
      <c r="R660" s="30"/>
    </row>
    <row r="661" spans="18:18" ht="15.75" customHeight="1">
      <c r="R661" s="30"/>
    </row>
    <row r="662" spans="18:18" ht="15.75" customHeight="1">
      <c r="R662" s="30"/>
    </row>
    <row r="663" spans="18:18" ht="15.75" customHeight="1">
      <c r="R663" s="30"/>
    </row>
    <row r="664" spans="18:18" ht="15.75" customHeight="1">
      <c r="R664" s="30"/>
    </row>
    <row r="665" spans="18:18" ht="15.75" customHeight="1">
      <c r="R665" s="30"/>
    </row>
    <row r="666" spans="18:18" ht="15.75" customHeight="1">
      <c r="R666" s="30"/>
    </row>
    <row r="667" spans="18:18" ht="15.75" customHeight="1">
      <c r="R667" s="30"/>
    </row>
    <row r="668" spans="18:18" ht="15.75" customHeight="1">
      <c r="R668" s="30"/>
    </row>
    <row r="669" spans="18:18" ht="15.75" customHeight="1">
      <c r="R669" s="30"/>
    </row>
    <row r="670" spans="18:18" ht="15.75" customHeight="1">
      <c r="R670" s="30"/>
    </row>
    <row r="671" spans="18:18" ht="15.75" customHeight="1">
      <c r="R671" s="30"/>
    </row>
    <row r="672" spans="18:18" ht="15.75" customHeight="1">
      <c r="R672" s="30"/>
    </row>
    <row r="673" spans="18:18" ht="15.75" customHeight="1">
      <c r="R673" s="30"/>
    </row>
    <row r="674" spans="18:18" ht="15.75" customHeight="1">
      <c r="R674" s="30"/>
    </row>
    <row r="675" spans="18:18" ht="15.75" customHeight="1">
      <c r="R675" s="30"/>
    </row>
    <row r="676" spans="18:18" ht="15.75" customHeight="1">
      <c r="R676" s="30"/>
    </row>
    <row r="677" spans="18:18" ht="15.75" customHeight="1">
      <c r="R677" s="30"/>
    </row>
    <row r="678" spans="18:18" ht="15.75" customHeight="1">
      <c r="R678" s="30"/>
    </row>
    <row r="679" spans="18:18" ht="15.75" customHeight="1">
      <c r="R679" s="30"/>
    </row>
    <row r="680" spans="18:18" ht="15.75" customHeight="1">
      <c r="R680" s="30"/>
    </row>
    <row r="681" spans="18:18" ht="15.75" customHeight="1">
      <c r="R681" s="30"/>
    </row>
    <row r="682" spans="18:18" ht="15.75" customHeight="1">
      <c r="R682" s="30"/>
    </row>
    <row r="683" spans="18:18" ht="15.75" customHeight="1">
      <c r="R683" s="30"/>
    </row>
    <row r="684" spans="18:18" ht="15.75" customHeight="1">
      <c r="R684" s="30"/>
    </row>
    <row r="685" spans="18:18" ht="15.75" customHeight="1">
      <c r="R685" s="30"/>
    </row>
    <row r="686" spans="18:18" ht="15.75" customHeight="1">
      <c r="R686" s="30"/>
    </row>
    <row r="687" spans="18:18" ht="15.75" customHeight="1">
      <c r="R687" s="30"/>
    </row>
    <row r="688" spans="18:18" ht="15.75" customHeight="1">
      <c r="R688" s="30"/>
    </row>
    <row r="689" spans="18:18" ht="15.75" customHeight="1">
      <c r="R689" s="30"/>
    </row>
    <row r="690" spans="18:18" ht="15.75" customHeight="1">
      <c r="R690" s="30"/>
    </row>
    <row r="691" spans="18:18" ht="15.75" customHeight="1">
      <c r="R691" s="30"/>
    </row>
    <row r="692" spans="18:18" ht="15.75" customHeight="1">
      <c r="R692" s="30"/>
    </row>
    <row r="693" spans="18:18" ht="15.75" customHeight="1">
      <c r="R693" s="30"/>
    </row>
    <row r="694" spans="18:18" ht="15.75" customHeight="1">
      <c r="R694" s="30"/>
    </row>
    <row r="695" spans="18:18" ht="15.75" customHeight="1">
      <c r="R695" s="30"/>
    </row>
    <row r="696" spans="18:18" ht="15.75" customHeight="1">
      <c r="R696" s="30"/>
    </row>
    <row r="697" spans="18:18" ht="15.75" customHeight="1">
      <c r="R697" s="30"/>
    </row>
    <row r="698" spans="18:18" ht="15.75" customHeight="1">
      <c r="R698" s="30"/>
    </row>
    <row r="699" spans="18:18" ht="15.75" customHeight="1">
      <c r="R699" s="30"/>
    </row>
    <row r="700" spans="18:18" ht="15.75" customHeight="1">
      <c r="R700" s="30"/>
    </row>
    <row r="701" spans="18:18" ht="15.75" customHeight="1">
      <c r="R701" s="30"/>
    </row>
    <row r="702" spans="18:18" ht="15.75" customHeight="1">
      <c r="R702" s="30"/>
    </row>
    <row r="703" spans="18:18" ht="15.75" customHeight="1">
      <c r="R703" s="30"/>
    </row>
    <row r="704" spans="18:18" ht="15.75" customHeight="1">
      <c r="R704" s="30"/>
    </row>
    <row r="705" spans="18:18" ht="15.75" customHeight="1">
      <c r="R705" s="30"/>
    </row>
    <row r="706" spans="18:18" ht="15.75" customHeight="1">
      <c r="R706" s="30"/>
    </row>
    <row r="707" spans="18:18" ht="15.75" customHeight="1">
      <c r="R707" s="30"/>
    </row>
    <row r="708" spans="18:18" ht="15.75" customHeight="1">
      <c r="R708" s="30"/>
    </row>
    <row r="709" spans="18:18" ht="15.75" customHeight="1">
      <c r="R709" s="30"/>
    </row>
    <row r="710" spans="18:18" ht="15.75" customHeight="1">
      <c r="R710" s="30"/>
    </row>
    <row r="711" spans="18:18" ht="15.75" customHeight="1">
      <c r="R711" s="30"/>
    </row>
    <row r="712" spans="18:18" ht="15.75" customHeight="1">
      <c r="R712" s="30"/>
    </row>
    <row r="713" spans="18:18" ht="15.75" customHeight="1">
      <c r="R713" s="30"/>
    </row>
    <row r="714" spans="18:18" ht="15.75" customHeight="1">
      <c r="R714" s="30"/>
    </row>
    <row r="715" spans="18:18" ht="15.75" customHeight="1">
      <c r="R715" s="30"/>
    </row>
    <row r="716" spans="18:18" ht="15.75" customHeight="1">
      <c r="R716" s="30"/>
    </row>
    <row r="717" spans="18:18" ht="15.75" customHeight="1">
      <c r="R717" s="30"/>
    </row>
    <row r="718" spans="18:18" ht="15.75" customHeight="1">
      <c r="R718" s="30"/>
    </row>
    <row r="719" spans="18:18" ht="15.75" customHeight="1">
      <c r="R719" s="30"/>
    </row>
    <row r="720" spans="18:18" ht="15.75" customHeight="1">
      <c r="R720" s="30"/>
    </row>
    <row r="721" spans="18:18" ht="15.75" customHeight="1">
      <c r="R721" s="30"/>
    </row>
    <row r="722" spans="18:18" ht="15.75" customHeight="1">
      <c r="R722" s="30"/>
    </row>
    <row r="723" spans="18:18" ht="15.75" customHeight="1">
      <c r="R723" s="30"/>
    </row>
    <row r="724" spans="18:18" ht="15.75" customHeight="1">
      <c r="R724" s="30"/>
    </row>
    <row r="725" spans="18:18" ht="15.75" customHeight="1">
      <c r="R725" s="30"/>
    </row>
    <row r="726" spans="18:18" ht="15.75" customHeight="1">
      <c r="R726" s="30"/>
    </row>
    <row r="727" spans="18:18" ht="15.75" customHeight="1">
      <c r="R727" s="30"/>
    </row>
    <row r="728" spans="18:18" ht="15.75" customHeight="1">
      <c r="R728" s="30"/>
    </row>
    <row r="729" spans="18:18" ht="15.75" customHeight="1">
      <c r="R729" s="30"/>
    </row>
    <row r="730" spans="18:18" ht="15.75" customHeight="1">
      <c r="R730" s="30"/>
    </row>
    <row r="731" spans="18:18" ht="15.75" customHeight="1">
      <c r="R731" s="30"/>
    </row>
    <row r="732" spans="18:18" ht="15.75" customHeight="1">
      <c r="R732" s="30"/>
    </row>
    <row r="733" spans="18:18" ht="15.75" customHeight="1">
      <c r="R733" s="30"/>
    </row>
    <row r="734" spans="18:18" ht="15.75" customHeight="1">
      <c r="R734" s="30"/>
    </row>
    <row r="735" spans="18:18" ht="15.75" customHeight="1">
      <c r="R735" s="30"/>
    </row>
    <row r="736" spans="18:18" ht="15.75" customHeight="1">
      <c r="R736" s="30"/>
    </row>
    <row r="737" spans="18:18" ht="15.75" customHeight="1">
      <c r="R737" s="30"/>
    </row>
    <row r="738" spans="18:18" ht="15.75" customHeight="1">
      <c r="R738" s="30"/>
    </row>
    <row r="739" spans="18:18" ht="15.75" customHeight="1">
      <c r="R739" s="30"/>
    </row>
    <row r="740" spans="18:18" ht="15.75" customHeight="1">
      <c r="R740" s="30"/>
    </row>
    <row r="741" spans="18:18" ht="15.75" customHeight="1">
      <c r="R741" s="30"/>
    </row>
    <row r="742" spans="18:18" ht="15.75" customHeight="1">
      <c r="R742" s="30"/>
    </row>
    <row r="743" spans="18:18" ht="15.75" customHeight="1">
      <c r="R743" s="30"/>
    </row>
    <row r="744" spans="18:18" ht="15.75" customHeight="1">
      <c r="R744" s="30"/>
    </row>
    <row r="745" spans="18:18" ht="15.75" customHeight="1">
      <c r="R745" s="30"/>
    </row>
    <row r="746" spans="18:18" ht="15.75" customHeight="1">
      <c r="R746" s="30"/>
    </row>
    <row r="747" spans="18:18" ht="15.75" customHeight="1">
      <c r="R747" s="30"/>
    </row>
    <row r="748" spans="18:18" ht="15.75" customHeight="1">
      <c r="R748" s="30"/>
    </row>
    <row r="749" spans="18:18" ht="15.75" customHeight="1">
      <c r="R749" s="30"/>
    </row>
    <row r="750" spans="18:18" ht="15.75" customHeight="1">
      <c r="R750" s="30"/>
    </row>
    <row r="751" spans="18:18" ht="15.75" customHeight="1">
      <c r="R751" s="30"/>
    </row>
    <row r="752" spans="18:18" ht="15.75" customHeight="1">
      <c r="R752" s="30"/>
    </row>
    <row r="753" spans="18:18" ht="15.75" customHeight="1">
      <c r="R753" s="30"/>
    </row>
    <row r="754" spans="18:18" ht="15.75" customHeight="1">
      <c r="R754" s="30"/>
    </row>
    <row r="755" spans="18:18" ht="15.75" customHeight="1">
      <c r="R755" s="30"/>
    </row>
    <row r="756" spans="18:18" ht="15.75" customHeight="1">
      <c r="R756" s="30"/>
    </row>
    <row r="757" spans="18:18" ht="15.75" customHeight="1">
      <c r="R757" s="30"/>
    </row>
    <row r="758" spans="18:18" ht="15.75" customHeight="1">
      <c r="R758" s="30"/>
    </row>
    <row r="759" spans="18:18" ht="15.75" customHeight="1">
      <c r="R759" s="30"/>
    </row>
    <row r="760" spans="18:18" ht="15.75" customHeight="1">
      <c r="R760" s="30"/>
    </row>
    <row r="761" spans="18:18" ht="15.75" customHeight="1">
      <c r="R761" s="30"/>
    </row>
    <row r="762" spans="18:18" ht="15.75" customHeight="1">
      <c r="R762" s="30"/>
    </row>
    <row r="763" spans="18:18" ht="15.75" customHeight="1">
      <c r="R763" s="30"/>
    </row>
    <row r="764" spans="18:18" ht="15.75" customHeight="1">
      <c r="R764" s="30"/>
    </row>
    <row r="765" spans="18:18" ht="15.75" customHeight="1">
      <c r="R765" s="30"/>
    </row>
    <row r="766" spans="18:18" ht="15.75" customHeight="1">
      <c r="R766" s="30"/>
    </row>
    <row r="767" spans="18:18" ht="15.75" customHeight="1">
      <c r="R767" s="30"/>
    </row>
    <row r="768" spans="18:18" ht="15.75" customHeight="1">
      <c r="R768" s="30"/>
    </row>
    <row r="769" spans="18:18" ht="15.75" customHeight="1">
      <c r="R769" s="30"/>
    </row>
    <row r="770" spans="18:18" ht="15.75" customHeight="1">
      <c r="R770" s="30"/>
    </row>
    <row r="771" spans="18:18" ht="15.75" customHeight="1">
      <c r="R771" s="30"/>
    </row>
    <row r="772" spans="18:18" ht="15.75" customHeight="1">
      <c r="R772" s="30"/>
    </row>
    <row r="773" spans="18:18" ht="15.75" customHeight="1">
      <c r="R773" s="30"/>
    </row>
    <row r="774" spans="18:18" ht="15.75" customHeight="1">
      <c r="R774" s="30"/>
    </row>
    <row r="775" spans="18:18" ht="15.75" customHeight="1">
      <c r="R775" s="30"/>
    </row>
    <row r="776" spans="18:18" ht="15.75" customHeight="1">
      <c r="R776" s="30"/>
    </row>
    <row r="777" spans="18:18" ht="15.75" customHeight="1">
      <c r="R777" s="30"/>
    </row>
    <row r="778" spans="18:18" ht="15.75" customHeight="1">
      <c r="R778" s="30"/>
    </row>
    <row r="779" spans="18:18" ht="15.75" customHeight="1">
      <c r="R779" s="30"/>
    </row>
    <row r="780" spans="18:18" ht="15.75" customHeight="1">
      <c r="R780" s="30"/>
    </row>
    <row r="781" spans="18:18" ht="15.75" customHeight="1">
      <c r="R781" s="30"/>
    </row>
    <row r="782" spans="18:18" ht="15.75" customHeight="1">
      <c r="R782" s="30"/>
    </row>
    <row r="783" spans="18:18" ht="15.75" customHeight="1">
      <c r="R783" s="30"/>
    </row>
    <row r="784" spans="18:18" ht="15.75" customHeight="1">
      <c r="R784" s="30"/>
    </row>
    <row r="785" spans="18:18" ht="15.75" customHeight="1">
      <c r="R785" s="30"/>
    </row>
    <row r="786" spans="18:18" ht="15.75" customHeight="1">
      <c r="R786" s="30"/>
    </row>
    <row r="787" spans="18:18" ht="15.75" customHeight="1">
      <c r="R787" s="30"/>
    </row>
    <row r="788" spans="18:18" ht="15.75" customHeight="1">
      <c r="R788" s="30"/>
    </row>
    <row r="789" spans="18:18" ht="15.75" customHeight="1">
      <c r="R789" s="30"/>
    </row>
    <row r="790" spans="18:18" ht="15.75" customHeight="1">
      <c r="R790" s="30"/>
    </row>
    <row r="791" spans="18:18" ht="15.75" customHeight="1">
      <c r="R791" s="30"/>
    </row>
    <row r="792" spans="18:18" ht="15.75" customHeight="1">
      <c r="R792" s="30"/>
    </row>
    <row r="793" spans="18:18" ht="15.75" customHeight="1">
      <c r="R793" s="30"/>
    </row>
    <row r="794" spans="18:18" ht="15.75" customHeight="1">
      <c r="R794" s="30"/>
    </row>
    <row r="795" spans="18:18" ht="15.75" customHeight="1">
      <c r="R795" s="30"/>
    </row>
    <row r="796" spans="18:18" ht="15.75" customHeight="1">
      <c r="R796" s="30"/>
    </row>
    <row r="797" spans="18:18" ht="15.75" customHeight="1">
      <c r="R797" s="30"/>
    </row>
    <row r="798" spans="18:18" ht="15.75" customHeight="1">
      <c r="R798" s="30"/>
    </row>
    <row r="799" spans="18:18" ht="15.75" customHeight="1">
      <c r="R799" s="30"/>
    </row>
    <row r="800" spans="18:18" ht="15.75" customHeight="1">
      <c r="R800" s="30"/>
    </row>
    <row r="801" spans="18:18" ht="15.75" customHeight="1">
      <c r="R801" s="30"/>
    </row>
    <row r="802" spans="18:18" ht="15.75" customHeight="1">
      <c r="R802" s="30"/>
    </row>
    <row r="803" spans="18:18" ht="15.75" customHeight="1">
      <c r="R803" s="30"/>
    </row>
    <row r="804" spans="18:18" ht="15.75" customHeight="1">
      <c r="R804" s="30"/>
    </row>
    <row r="805" spans="18:18" ht="15.75" customHeight="1">
      <c r="R805" s="30"/>
    </row>
    <row r="806" spans="18:18" ht="15.75" customHeight="1">
      <c r="R806" s="30"/>
    </row>
    <row r="807" spans="18:18" ht="15.75" customHeight="1">
      <c r="R807" s="30"/>
    </row>
    <row r="808" spans="18:18" ht="15.75" customHeight="1">
      <c r="R808" s="30"/>
    </row>
    <row r="809" spans="18:18" ht="15.75" customHeight="1">
      <c r="R809" s="30"/>
    </row>
    <row r="810" spans="18:18" ht="15.75" customHeight="1">
      <c r="R810" s="30"/>
    </row>
    <row r="811" spans="18:18" ht="15.75" customHeight="1">
      <c r="R811" s="30"/>
    </row>
    <row r="812" spans="18:18" ht="15.75" customHeight="1">
      <c r="R812" s="30"/>
    </row>
    <row r="813" spans="18:18" ht="15.75" customHeight="1">
      <c r="R813" s="30"/>
    </row>
    <row r="814" spans="18:18" ht="15.75" customHeight="1">
      <c r="R814" s="30"/>
    </row>
    <row r="815" spans="18:18" ht="15.75" customHeight="1">
      <c r="R815" s="30"/>
    </row>
    <row r="816" spans="18:18" ht="15.75" customHeight="1">
      <c r="R816" s="30"/>
    </row>
    <row r="817" spans="18:18" ht="15.75" customHeight="1">
      <c r="R817" s="30"/>
    </row>
    <row r="818" spans="18:18" ht="15.75" customHeight="1">
      <c r="R818" s="30"/>
    </row>
    <row r="819" spans="18:18" ht="15.75" customHeight="1">
      <c r="R819" s="30"/>
    </row>
    <row r="820" spans="18:18" ht="15.75" customHeight="1">
      <c r="R820" s="30"/>
    </row>
    <row r="821" spans="18:18" ht="15.75" customHeight="1">
      <c r="R821" s="30"/>
    </row>
    <row r="822" spans="18:18" ht="15.75" customHeight="1">
      <c r="R822" s="30"/>
    </row>
    <row r="823" spans="18:18" ht="15.75" customHeight="1">
      <c r="R823" s="30"/>
    </row>
    <row r="824" spans="18:18" ht="15.75" customHeight="1">
      <c r="R824" s="30"/>
    </row>
    <row r="825" spans="18:18" ht="15.75" customHeight="1">
      <c r="R825" s="30"/>
    </row>
    <row r="826" spans="18:18" ht="15.75" customHeight="1">
      <c r="R826" s="30"/>
    </row>
    <row r="827" spans="18:18" ht="15.75" customHeight="1">
      <c r="R827" s="30"/>
    </row>
    <row r="828" spans="18:18" ht="15.75" customHeight="1">
      <c r="R828" s="30"/>
    </row>
    <row r="829" spans="18:18" ht="15.75" customHeight="1">
      <c r="R829" s="30"/>
    </row>
    <row r="830" spans="18:18" ht="15.75" customHeight="1">
      <c r="R830" s="30"/>
    </row>
    <row r="831" spans="18:18" ht="15.75" customHeight="1">
      <c r="R831" s="30"/>
    </row>
    <row r="832" spans="18:18" ht="15.75" customHeight="1">
      <c r="R832" s="30"/>
    </row>
    <row r="833" spans="18:18" ht="15.75" customHeight="1">
      <c r="R833" s="30"/>
    </row>
    <row r="834" spans="18:18" ht="15.75" customHeight="1">
      <c r="R834" s="30"/>
    </row>
    <row r="835" spans="18:18" ht="15.75" customHeight="1">
      <c r="R835" s="30"/>
    </row>
    <row r="836" spans="18:18" ht="15.75" customHeight="1">
      <c r="R836" s="30"/>
    </row>
    <row r="837" spans="18:18" ht="15.75" customHeight="1">
      <c r="R837" s="30"/>
    </row>
    <row r="838" spans="18:18" ht="15.75" customHeight="1">
      <c r="R838" s="30"/>
    </row>
    <row r="839" spans="18:18" ht="15.75" customHeight="1">
      <c r="R839" s="30"/>
    </row>
    <row r="840" spans="18:18" ht="15.75" customHeight="1">
      <c r="R840" s="30"/>
    </row>
    <row r="841" spans="18:18" ht="15.75" customHeight="1">
      <c r="R841" s="30"/>
    </row>
    <row r="842" spans="18:18" ht="15.75" customHeight="1">
      <c r="R842" s="30"/>
    </row>
    <row r="843" spans="18:18" ht="15.75" customHeight="1">
      <c r="R843" s="30"/>
    </row>
    <row r="844" spans="18:18" ht="15.75" customHeight="1">
      <c r="R844" s="30"/>
    </row>
    <row r="845" spans="18:18" ht="15.75" customHeight="1">
      <c r="R845" s="30"/>
    </row>
    <row r="846" spans="18:18" ht="15.75" customHeight="1">
      <c r="R846" s="30"/>
    </row>
    <row r="847" spans="18:18" ht="15.75" customHeight="1">
      <c r="R847" s="30"/>
    </row>
    <row r="848" spans="18:18" ht="15.75" customHeight="1">
      <c r="R848" s="30"/>
    </row>
    <row r="849" spans="18:18" ht="15.75" customHeight="1">
      <c r="R849" s="30"/>
    </row>
    <row r="850" spans="18:18" ht="15.75" customHeight="1">
      <c r="R850" s="30"/>
    </row>
    <row r="851" spans="18:18" ht="15.75" customHeight="1">
      <c r="R851" s="30"/>
    </row>
    <row r="852" spans="18:18" ht="15.75" customHeight="1">
      <c r="R852" s="30"/>
    </row>
    <row r="853" spans="18:18" ht="15.75" customHeight="1">
      <c r="R853" s="30"/>
    </row>
    <row r="854" spans="18:18" ht="15.75" customHeight="1">
      <c r="R854" s="30"/>
    </row>
    <row r="855" spans="18:18" ht="15.75" customHeight="1">
      <c r="R855" s="30"/>
    </row>
    <row r="856" spans="18:18" ht="15.75" customHeight="1">
      <c r="R856" s="30"/>
    </row>
    <row r="857" spans="18:18" ht="15.75" customHeight="1">
      <c r="R857" s="30"/>
    </row>
    <row r="858" spans="18:18" ht="15.75" customHeight="1">
      <c r="R858" s="30"/>
    </row>
    <row r="859" spans="18:18" ht="15.75" customHeight="1">
      <c r="R859" s="30"/>
    </row>
    <row r="860" spans="18:18" ht="15.75" customHeight="1">
      <c r="R860" s="30"/>
    </row>
    <row r="861" spans="18:18" ht="15.75" customHeight="1">
      <c r="R861" s="30"/>
    </row>
    <row r="862" spans="18:18" ht="15.75" customHeight="1">
      <c r="R862" s="30"/>
    </row>
    <row r="863" spans="18:18" ht="15.75" customHeight="1">
      <c r="R863" s="30"/>
    </row>
    <row r="864" spans="18:18" ht="15.75" customHeight="1">
      <c r="R864" s="30"/>
    </row>
    <row r="865" spans="18:18" ht="15.75" customHeight="1">
      <c r="R865" s="30"/>
    </row>
    <row r="866" spans="18:18" ht="15.75" customHeight="1">
      <c r="R866" s="30"/>
    </row>
    <row r="867" spans="18:18" ht="15.75" customHeight="1">
      <c r="R867" s="30"/>
    </row>
    <row r="868" spans="18:18" ht="15.75" customHeight="1">
      <c r="R868" s="30"/>
    </row>
    <row r="869" spans="18:18" ht="15.75" customHeight="1">
      <c r="R869" s="30"/>
    </row>
    <row r="870" spans="18:18" ht="15.75" customHeight="1">
      <c r="R870" s="30"/>
    </row>
    <row r="871" spans="18:18" ht="15.75" customHeight="1">
      <c r="R871" s="30"/>
    </row>
    <row r="872" spans="18:18" ht="15.75" customHeight="1">
      <c r="R872" s="30"/>
    </row>
    <row r="873" spans="18:18" ht="15.75" customHeight="1">
      <c r="R873" s="30"/>
    </row>
    <row r="874" spans="18:18" ht="15.75" customHeight="1">
      <c r="R874" s="30"/>
    </row>
    <row r="875" spans="18:18" ht="15.75" customHeight="1">
      <c r="R875" s="30"/>
    </row>
    <row r="876" spans="18:18" ht="15.75" customHeight="1">
      <c r="R876" s="30"/>
    </row>
    <row r="877" spans="18:18" ht="15.75" customHeight="1">
      <c r="R877" s="30"/>
    </row>
    <row r="878" spans="18:18" ht="15.75" customHeight="1">
      <c r="R878" s="30"/>
    </row>
    <row r="879" spans="18:18" ht="15.75" customHeight="1">
      <c r="R879" s="30"/>
    </row>
    <row r="880" spans="18:18" ht="15.75" customHeight="1">
      <c r="R880" s="30"/>
    </row>
    <row r="881" spans="18:18" ht="15.75" customHeight="1">
      <c r="R881" s="30"/>
    </row>
    <row r="882" spans="18:18" ht="15.75" customHeight="1">
      <c r="R882" s="30"/>
    </row>
    <row r="883" spans="18:18" ht="15.75" customHeight="1">
      <c r="R883" s="30"/>
    </row>
    <row r="884" spans="18:18" ht="15.75" customHeight="1">
      <c r="R884" s="30"/>
    </row>
    <row r="885" spans="18:18" ht="15.75" customHeight="1">
      <c r="R885" s="30"/>
    </row>
    <row r="886" spans="18:18" ht="15.75" customHeight="1">
      <c r="R886" s="30"/>
    </row>
    <row r="887" spans="18:18" ht="15.75" customHeight="1">
      <c r="R887" s="30"/>
    </row>
    <row r="888" spans="18:18" ht="15.75" customHeight="1">
      <c r="R888" s="30"/>
    </row>
    <row r="889" spans="18:18" ht="15.75" customHeight="1">
      <c r="R889" s="30"/>
    </row>
    <row r="890" spans="18:18" ht="15.75" customHeight="1">
      <c r="R890" s="30"/>
    </row>
    <row r="891" spans="18:18" ht="15.75" customHeight="1">
      <c r="R891" s="30"/>
    </row>
    <row r="892" spans="18:18" ht="15.75" customHeight="1">
      <c r="R892" s="30"/>
    </row>
    <row r="893" spans="18:18" ht="15.75" customHeight="1">
      <c r="R893" s="30"/>
    </row>
    <row r="894" spans="18:18" ht="15.75" customHeight="1">
      <c r="R894" s="30"/>
    </row>
    <row r="895" spans="18:18" ht="15.75" customHeight="1">
      <c r="R895" s="30"/>
    </row>
    <row r="896" spans="18:18" ht="15.75" customHeight="1">
      <c r="R896" s="30"/>
    </row>
    <row r="897" spans="18:18" ht="15.75" customHeight="1">
      <c r="R897" s="30"/>
    </row>
    <row r="898" spans="18:18" ht="15.75" customHeight="1">
      <c r="R898" s="30"/>
    </row>
    <row r="899" spans="18:18" ht="15.75" customHeight="1">
      <c r="R899" s="30"/>
    </row>
    <row r="900" spans="18:18" ht="15.75" customHeight="1">
      <c r="R900" s="30"/>
    </row>
    <row r="901" spans="18:18" ht="15.75" customHeight="1">
      <c r="R901" s="30"/>
    </row>
    <row r="902" spans="18:18" ht="15.75" customHeight="1">
      <c r="R902" s="30"/>
    </row>
    <row r="903" spans="18:18" ht="15.75" customHeight="1">
      <c r="R903" s="30"/>
    </row>
    <row r="904" spans="18:18" ht="15.75" customHeight="1">
      <c r="R904" s="30"/>
    </row>
    <row r="905" spans="18:18" ht="15.75" customHeight="1">
      <c r="R905" s="30"/>
    </row>
    <row r="906" spans="18:18" ht="15.75" customHeight="1">
      <c r="R906" s="30"/>
    </row>
    <row r="907" spans="18:18" ht="15.75" customHeight="1">
      <c r="R907" s="30"/>
    </row>
    <row r="908" spans="18:18" ht="15.75" customHeight="1">
      <c r="R908" s="30"/>
    </row>
    <row r="909" spans="18:18" ht="15.75" customHeight="1">
      <c r="R909" s="30"/>
    </row>
    <row r="910" spans="18:18" ht="15.75" customHeight="1">
      <c r="R910" s="30"/>
    </row>
    <row r="911" spans="18:18" ht="15.75" customHeight="1">
      <c r="R911" s="30"/>
    </row>
    <row r="912" spans="18:18" ht="15.75" customHeight="1">
      <c r="R912" s="30"/>
    </row>
    <row r="913" spans="18:18" ht="15.75" customHeight="1">
      <c r="R913" s="30"/>
    </row>
    <row r="914" spans="18:18" ht="15.75" customHeight="1">
      <c r="R914" s="30"/>
    </row>
    <row r="915" spans="18:18" ht="15.75" customHeight="1">
      <c r="R915" s="30"/>
    </row>
    <row r="916" spans="18:18" ht="15.75" customHeight="1">
      <c r="R916" s="30"/>
    </row>
    <row r="917" spans="18:18" ht="15.75" customHeight="1">
      <c r="R917" s="30"/>
    </row>
    <row r="918" spans="18:18" ht="15.75" customHeight="1">
      <c r="R918" s="30"/>
    </row>
    <row r="919" spans="18:18" ht="15.75" customHeight="1">
      <c r="R919" s="30"/>
    </row>
    <row r="920" spans="18:18" ht="15.75" customHeight="1">
      <c r="R920" s="30"/>
    </row>
    <row r="921" spans="18:18" ht="15.75" customHeight="1">
      <c r="R921" s="30"/>
    </row>
    <row r="922" spans="18:18" ht="15.75" customHeight="1">
      <c r="R922" s="30"/>
    </row>
    <row r="923" spans="18:18" ht="15.75" customHeight="1">
      <c r="R923" s="30"/>
    </row>
    <row r="924" spans="18:18" ht="15.75" customHeight="1">
      <c r="R924" s="30"/>
    </row>
    <row r="925" spans="18:18" ht="15.75" customHeight="1">
      <c r="R925" s="30"/>
    </row>
    <row r="926" spans="18:18" ht="15.75" customHeight="1">
      <c r="R926" s="30"/>
    </row>
    <row r="927" spans="18:18" ht="15.75" customHeight="1">
      <c r="R927" s="30"/>
    </row>
    <row r="928" spans="18:18" ht="15.75" customHeight="1">
      <c r="R928" s="30"/>
    </row>
    <row r="929" spans="18:18" ht="15.75" customHeight="1">
      <c r="R929" s="30"/>
    </row>
    <row r="930" spans="18:18" ht="15.75" customHeight="1">
      <c r="R930" s="30"/>
    </row>
    <row r="931" spans="18:18" ht="15.75" customHeight="1">
      <c r="R931" s="30"/>
    </row>
    <row r="932" spans="18:18" ht="15.75" customHeight="1">
      <c r="R932" s="30"/>
    </row>
    <row r="933" spans="18:18" ht="15.75" customHeight="1">
      <c r="R933" s="30"/>
    </row>
    <row r="934" spans="18:18" ht="15.75" customHeight="1">
      <c r="R934" s="30"/>
    </row>
    <row r="935" spans="18:18" ht="15.75" customHeight="1">
      <c r="R935" s="30"/>
    </row>
    <row r="936" spans="18:18" ht="15.75" customHeight="1">
      <c r="R936" s="30"/>
    </row>
    <row r="937" spans="18:18" ht="15.75" customHeight="1">
      <c r="R937" s="30"/>
    </row>
    <row r="938" spans="18:18" ht="15.75" customHeight="1">
      <c r="R938" s="30"/>
    </row>
    <row r="939" spans="18:18" ht="15.75" customHeight="1">
      <c r="R939" s="30"/>
    </row>
    <row r="940" spans="18:18" ht="15.75" customHeight="1">
      <c r="R940" s="30"/>
    </row>
    <row r="941" spans="18:18" ht="15.75" customHeight="1">
      <c r="R941" s="30"/>
    </row>
    <row r="942" spans="18:18" ht="15.75" customHeight="1">
      <c r="R942" s="30"/>
    </row>
    <row r="943" spans="18:18" ht="15.75" customHeight="1">
      <c r="R943" s="30"/>
    </row>
    <row r="944" spans="18:18" ht="15.75" customHeight="1">
      <c r="R944" s="30"/>
    </row>
    <row r="945" spans="18:18" ht="15.75" customHeight="1">
      <c r="R945" s="30"/>
    </row>
    <row r="946" spans="18:18" ht="15.75" customHeight="1">
      <c r="R946" s="30"/>
    </row>
    <row r="947" spans="18:18" ht="15.75" customHeight="1">
      <c r="R947" s="30"/>
    </row>
    <row r="948" spans="18:18" ht="15.75" customHeight="1">
      <c r="R948" s="30"/>
    </row>
    <row r="949" spans="18:18" ht="15.75" customHeight="1">
      <c r="R949" s="30"/>
    </row>
    <row r="950" spans="18:18" ht="15.75" customHeight="1">
      <c r="R950" s="30"/>
    </row>
    <row r="951" spans="18:18" ht="15.75" customHeight="1">
      <c r="R951" s="30"/>
    </row>
    <row r="952" spans="18:18" ht="15.75" customHeight="1">
      <c r="R952" s="30"/>
    </row>
    <row r="953" spans="18:18" ht="15.75" customHeight="1">
      <c r="R953" s="30"/>
    </row>
    <row r="954" spans="18:18" ht="15.75" customHeight="1">
      <c r="R954" s="30"/>
    </row>
    <row r="955" spans="18:18" ht="15.75" customHeight="1">
      <c r="R955" s="30"/>
    </row>
    <row r="956" spans="18:18" ht="15.75" customHeight="1">
      <c r="R956" s="30"/>
    </row>
    <row r="957" spans="18:18" ht="15.75" customHeight="1">
      <c r="R957" s="30"/>
    </row>
    <row r="958" spans="18:18" ht="15.75" customHeight="1">
      <c r="R958" s="30"/>
    </row>
    <row r="959" spans="18:18" ht="15.75" customHeight="1">
      <c r="R959" s="30"/>
    </row>
    <row r="960" spans="18:18" ht="15.75" customHeight="1">
      <c r="R960" s="30"/>
    </row>
    <row r="961" spans="18:18" ht="15.75" customHeight="1">
      <c r="R961" s="30"/>
    </row>
    <row r="962" spans="18:18" ht="15.75" customHeight="1">
      <c r="R962" s="30"/>
    </row>
    <row r="963" spans="18:18" ht="15.75" customHeight="1">
      <c r="R963" s="30"/>
    </row>
    <row r="964" spans="18:18" ht="15.75" customHeight="1">
      <c r="R964" s="30"/>
    </row>
    <row r="965" spans="18:18" ht="15.75" customHeight="1">
      <c r="R965" s="30"/>
    </row>
    <row r="966" spans="18:18" ht="15.75" customHeight="1">
      <c r="R966" s="30"/>
    </row>
    <row r="967" spans="18:18" ht="15.75" customHeight="1">
      <c r="R967" s="30"/>
    </row>
    <row r="968" spans="18:18" ht="15.75" customHeight="1">
      <c r="R968" s="30"/>
    </row>
    <row r="969" spans="18:18" ht="15.75" customHeight="1">
      <c r="R969" s="30"/>
    </row>
    <row r="970" spans="18:18" ht="15.75" customHeight="1">
      <c r="R970" s="30"/>
    </row>
    <row r="971" spans="18:18" ht="15.75" customHeight="1">
      <c r="R971" s="30"/>
    </row>
    <row r="972" spans="18:18" ht="15.75" customHeight="1">
      <c r="R972" s="30"/>
    </row>
    <row r="973" spans="18:18" ht="15.75" customHeight="1">
      <c r="R973" s="30"/>
    </row>
    <row r="974" spans="18:18" ht="15.75" customHeight="1">
      <c r="R974" s="30"/>
    </row>
    <row r="975" spans="18:18" ht="15.75" customHeight="1">
      <c r="R975" s="30"/>
    </row>
    <row r="976" spans="18:18" ht="15.75" customHeight="1">
      <c r="R976" s="30"/>
    </row>
    <row r="977" spans="18:18" ht="15.75" customHeight="1">
      <c r="R977" s="30"/>
    </row>
    <row r="978" spans="18:18" ht="15.75" customHeight="1">
      <c r="R978" s="30"/>
    </row>
    <row r="979" spans="18:18" ht="15.75" customHeight="1">
      <c r="R979" s="30"/>
    </row>
    <row r="980" spans="18:18" ht="15.75" customHeight="1">
      <c r="R980" s="30"/>
    </row>
    <row r="981" spans="18:18" ht="15.75" customHeight="1">
      <c r="R981" s="30"/>
    </row>
    <row r="982" spans="18:18" ht="15.75" customHeight="1">
      <c r="R982" s="30"/>
    </row>
    <row r="983" spans="18:18" ht="15.75" customHeight="1">
      <c r="R983" s="30"/>
    </row>
    <row r="984" spans="18:18" ht="15.75" customHeight="1">
      <c r="R984" s="30"/>
    </row>
    <row r="985" spans="18:18" ht="15.75" customHeight="1">
      <c r="R985" s="30"/>
    </row>
    <row r="986" spans="18:18" ht="15.75" customHeight="1">
      <c r="R986" s="30"/>
    </row>
    <row r="987" spans="18:18" ht="15.75" customHeight="1">
      <c r="R987" s="30"/>
    </row>
    <row r="988" spans="18:18" ht="15.75" customHeight="1">
      <c r="R988" s="30"/>
    </row>
    <row r="989" spans="18:18" ht="15.75" customHeight="1">
      <c r="R989" s="30"/>
    </row>
    <row r="990" spans="18:18" ht="15.75" customHeight="1">
      <c r="R990" s="30"/>
    </row>
    <row r="991" spans="18:18" ht="15.75" customHeight="1">
      <c r="R991" s="30"/>
    </row>
    <row r="992" spans="18:18" ht="15.75" customHeight="1">
      <c r="R992" s="30"/>
    </row>
    <row r="993" spans="18:18" ht="15.75" customHeight="1">
      <c r="R993" s="30"/>
    </row>
    <row r="994" spans="18:18" ht="15.75" customHeight="1">
      <c r="R994" s="30"/>
    </row>
    <row r="995" spans="18:18" ht="15.75" customHeight="1">
      <c r="R995" s="30"/>
    </row>
    <row r="996" spans="18:18" ht="15.75" customHeight="1">
      <c r="R996" s="30"/>
    </row>
    <row r="997" spans="18:18" ht="15.75" customHeight="1">
      <c r="R997" s="30"/>
    </row>
    <row r="998" spans="18:18" ht="15.75" customHeight="1">
      <c r="R998" s="30"/>
    </row>
    <row r="999" spans="18:18" ht="15.75" customHeight="1">
      <c r="R999" s="30"/>
    </row>
    <row r="1000" spans="18:18" ht="15.75" customHeight="1">
      <c r="R1000" s="3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2.6640625" defaultRowHeight="15" customHeight="1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8.6640625" customWidth="1"/>
    <col min="6" max="6" width="10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9.6640625" customWidth="1"/>
    <col min="16" max="16" width="8.1640625" customWidth="1"/>
    <col min="17" max="18" width="7.33203125" customWidth="1"/>
    <col min="19" max="19" width="7.1640625" customWidth="1"/>
    <col min="20" max="20" width="11.1640625" customWidth="1"/>
    <col min="21" max="21" width="13.5" customWidth="1"/>
    <col min="22" max="22" width="77.33203125" customWidth="1"/>
    <col min="23" max="24" width="7.6640625" customWidth="1"/>
    <col min="25" max="25" width="8.1640625" customWidth="1"/>
    <col min="26" max="26" width="11.1640625" customWidth="1"/>
    <col min="27" max="27" width="10.6640625" customWidth="1"/>
    <col min="28" max="28" width="9.6640625" customWidth="1"/>
    <col min="29" max="29" width="7.1640625" customWidth="1"/>
    <col min="30" max="30" width="10.83203125" customWidth="1"/>
    <col min="31" max="31" width="7.6640625" customWidth="1"/>
    <col min="32" max="32" width="10.1640625" customWidth="1"/>
    <col min="33" max="33" width="8.83203125" customWidth="1"/>
  </cols>
  <sheetData>
    <row r="1" spans="1:33" ht="18.75" customHeight="1">
      <c r="A1" s="46" t="str">
        <f ca="1">IFERROR(__xludf.DUMMYFUNCTION("IFERROR(VLOOKUP(B2,IMPORTRANGE(""https://docs.google.com/spreadsheets/d/1x0DhHglkXKoEBOD2MBsuK_EyIr1ouxD2ftIpqOYFa-k/edit?usp=sharing"",""Ubiquitty-SKU-Specific Info!B1:BJ5000""),3,FALSE),"""")"),"50 Foot Lighted Outdoor Extension Cord - 10/3 SJTW Orange 10 Gauge Extension Cable with 3 Prong Grounded Plug for Safety - Great for Garden and Major Appliances")</f>
        <v>50 Foot Lighted Outdoor Extension Cord - 10/3 SJTW Orange 10 Gauge Extension Cable with 3 Prong Grounded Plug for Safety - Great for Garden and Major Appliances</v>
      </c>
      <c r="B1" s="47"/>
      <c r="C1" s="48" t="s">
        <v>0</v>
      </c>
      <c r="D1" s="50" t="s">
        <v>1</v>
      </c>
      <c r="E1" s="50" t="s">
        <v>2</v>
      </c>
      <c r="F1" s="52" t="s">
        <v>3</v>
      </c>
      <c r="G1" s="52" t="s">
        <v>4</v>
      </c>
      <c r="H1" s="53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58" t="s">
        <v>10</v>
      </c>
      <c r="N1" s="59" t="s">
        <v>11</v>
      </c>
      <c r="O1" s="50" t="s">
        <v>12</v>
      </c>
      <c r="P1" s="50" t="s">
        <v>13</v>
      </c>
      <c r="Q1" s="57" t="s">
        <v>14</v>
      </c>
      <c r="R1" s="57" t="s">
        <v>15</v>
      </c>
      <c r="S1" s="60" t="s">
        <v>16</v>
      </c>
      <c r="T1" s="62" t="s">
        <v>2006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Info!B1:BJ5000""),2,FALSE),"""")"),"B08NFG25RV")</f>
        <v>B08NFG25RV</v>
      </c>
      <c r="B2" s="3" t="s">
        <v>145</v>
      </c>
      <c r="C2" s="49"/>
      <c r="D2" s="49"/>
      <c r="E2" s="51"/>
      <c r="F2" s="49"/>
      <c r="G2" s="49"/>
      <c r="H2" s="54"/>
      <c r="I2" s="49"/>
      <c r="J2" s="49"/>
      <c r="K2" s="54"/>
      <c r="L2" s="54"/>
      <c r="M2" s="54"/>
      <c r="N2" s="49"/>
      <c r="O2" s="49"/>
      <c r="P2" s="51"/>
      <c r="Q2" s="49"/>
      <c r="R2" s="49"/>
      <c r="S2" s="61"/>
      <c r="T2" s="47"/>
      <c r="U2" s="63"/>
      <c r="V2" s="63"/>
      <c r="W2" s="47"/>
      <c r="X2" s="47"/>
      <c r="Y2" s="47"/>
      <c r="Z2" s="47"/>
      <c r="AA2" s="63"/>
      <c r="AB2" s="63"/>
      <c r="AC2" s="63"/>
      <c r="AD2" s="63"/>
      <c r="AE2" s="47"/>
      <c r="AF2" s="47"/>
      <c r="AG2" s="47"/>
    </row>
    <row r="3" spans="1:33" ht="179.25" customHeight="1">
      <c r="A3" s="55" t="s">
        <v>31</v>
      </c>
      <c r="B3" s="56"/>
      <c r="C3" s="4">
        <f>((AE32+AF32)/0.85)*-1</f>
        <v>48.26212584117647</v>
      </c>
      <c r="D3" s="5">
        <f>SUM(D4:D99765)</f>
        <v>124</v>
      </c>
      <c r="E3" s="5"/>
      <c r="F3" s="6">
        <f t="shared" ref="F3:G3" si="0">SUM(F4:F99765)</f>
        <v>7982.41</v>
      </c>
      <c r="G3" s="6">
        <f t="shared" si="0"/>
        <v>0</v>
      </c>
      <c r="H3" s="7">
        <f>G3/F3*-1</f>
        <v>0</v>
      </c>
      <c r="I3" s="8">
        <f>J3/F3</f>
        <v>0.19179420275556572</v>
      </c>
      <c r="J3" s="6">
        <f>SUM(J4:J99765)</f>
        <v>1530.9799620180554</v>
      </c>
      <c r="K3" s="6">
        <f>J3/D3</f>
        <v>12.346612596919801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0.5 - April
0.5 - May
1.5 - June
1.5 - July
1.5 - Aug
1.5 - Sept
1.5 - Oct
1.5 - Nov
1.5 - Dec
 - Jan
 - Feb")</f>
        <v xml:space="preserve"> - March
0.5 - April
0.5 - May
1.5 - June
1.5 - July
1.5 - Aug
1.5 - Sept
1.5 - Oct
1.5 - Nov
1.5 -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QTY-0")</f>
        <v>US QTY-0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0</v>
      </c>
      <c r="X3" s="7">
        <f>W3/D3</f>
        <v>0</v>
      </c>
      <c r="Y3" s="6"/>
      <c r="Z3" s="5"/>
      <c r="AA3" s="5"/>
      <c r="AB3" s="5"/>
      <c r="AC3" s="5"/>
      <c r="AD3" s="6">
        <f>SUM(AD4:AD99765)</f>
        <v>-51.523294206944435</v>
      </c>
      <c r="AE3" s="6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Info!B2:BZ3000""),37,FALSE)),"""")*-1"),-32.342806965)</f>
        <v>-32.342806965000001</v>
      </c>
      <c r="AG3" s="6">
        <f>SUM(AG4:AG99765)</f>
        <v>0</v>
      </c>
    </row>
    <row r="4" spans="1:33" ht="15.75" hidden="1" customHeight="1">
      <c r="A4" s="14"/>
      <c r="B4" s="14"/>
      <c r="C4" s="15"/>
      <c r="D4" s="16"/>
      <c r="E4" s="16"/>
      <c r="F4" s="17"/>
      <c r="G4" s="17"/>
      <c r="H4" s="18"/>
      <c r="I4" s="18"/>
      <c r="J4" s="17"/>
      <c r="K4" s="17"/>
      <c r="L4" s="16"/>
      <c r="M4" s="19"/>
      <c r="N4" s="16"/>
      <c r="O4" s="20"/>
      <c r="P4" s="20"/>
      <c r="Q4" s="16"/>
      <c r="R4" s="16"/>
      <c r="S4" s="21"/>
      <c r="T4" s="14"/>
      <c r="U4" s="22"/>
      <c r="V4" s="23"/>
      <c r="W4" s="14"/>
      <c r="X4" s="24"/>
      <c r="Y4" s="25"/>
      <c r="Z4" s="14"/>
      <c r="AA4" s="26"/>
      <c r="AB4" s="27"/>
      <c r="AC4" s="28"/>
      <c r="AD4" s="25"/>
      <c r="AE4" s="25"/>
      <c r="AF4" s="25"/>
      <c r="AG4" s="25"/>
    </row>
    <row r="5" spans="1:33" ht="15.75" hidden="1" customHeight="1">
      <c r="A5" s="14"/>
      <c r="B5" s="14"/>
      <c r="C5" s="15"/>
      <c r="D5" s="16"/>
      <c r="E5" s="16"/>
      <c r="F5" s="29"/>
      <c r="G5" s="29"/>
      <c r="H5" s="18"/>
      <c r="I5" s="18"/>
      <c r="J5" s="17"/>
      <c r="K5" s="17"/>
      <c r="L5" s="16"/>
      <c r="M5" s="19"/>
      <c r="N5" s="16"/>
      <c r="O5" s="20"/>
      <c r="P5" s="20"/>
      <c r="Q5" s="16"/>
      <c r="R5" s="16"/>
      <c r="S5" s="21"/>
      <c r="T5" s="14"/>
      <c r="U5" s="22"/>
      <c r="V5" s="23"/>
      <c r="W5" s="14"/>
      <c r="X5" s="24"/>
      <c r="Y5" s="25"/>
      <c r="Z5" s="14"/>
      <c r="AA5" s="14"/>
      <c r="AB5" s="27"/>
      <c r="AC5" s="28"/>
      <c r="AD5" s="25"/>
      <c r="AE5" s="25"/>
      <c r="AF5" s="25"/>
      <c r="AG5" s="25"/>
    </row>
    <row r="6" spans="1:33" ht="15.75" hidden="1" customHeight="1">
      <c r="A6" s="14"/>
      <c r="B6" s="14"/>
      <c r="C6" s="15"/>
      <c r="D6" s="16"/>
      <c r="E6" s="16"/>
      <c r="F6" s="29"/>
      <c r="G6" s="29"/>
      <c r="H6" s="18"/>
      <c r="I6" s="18"/>
      <c r="J6" s="17"/>
      <c r="K6" s="17"/>
      <c r="L6" s="16"/>
      <c r="M6" s="19"/>
      <c r="N6" s="16"/>
      <c r="O6" s="20"/>
      <c r="P6" s="20"/>
      <c r="Q6" s="16"/>
      <c r="R6" s="16"/>
      <c r="S6" s="21"/>
      <c r="T6" s="14"/>
      <c r="U6" s="22"/>
      <c r="V6" s="23"/>
      <c r="W6" s="14"/>
      <c r="X6" s="24"/>
      <c r="Y6" s="25"/>
      <c r="Z6" s="14"/>
      <c r="AA6" s="14"/>
      <c r="AB6" s="27"/>
      <c r="AC6" s="28"/>
      <c r="AD6" s="25"/>
      <c r="AE6" s="25"/>
      <c r="AF6" s="25"/>
      <c r="AG6" s="25"/>
    </row>
    <row r="7" spans="1:33" ht="15.75" hidden="1" customHeight="1">
      <c r="A7" s="14"/>
      <c r="B7" s="14"/>
      <c r="C7" s="15"/>
      <c r="D7" s="16"/>
      <c r="E7" s="16"/>
      <c r="F7" s="29"/>
      <c r="G7" s="29"/>
      <c r="H7" s="18"/>
      <c r="I7" s="18"/>
      <c r="J7" s="17"/>
      <c r="K7" s="17"/>
      <c r="L7" s="16"/>
      <c r="M7" s="19"/>
      <c r="N7" s="16"/>
      <c r="O7" s="20"/>
      <c r="P7" s="20"/>
      <c r="Q7" s="16"/>
      <c r="R7" s="16"/>
      <c r="S7" s="21"/>
      <c r="T7" s="14"/>
      <c r="U7" s="22"/>
      <c r="V7" s="23"/>
      <c r="W7" s="14"/>
      <c r="X7" s="24"/>
      <c r="Y7" s="25"/>
      <c r="Z7" s="14"/>
      <c r="AA7" s="14"/>
      <c r="AB7" s="27"/>
      <c r="AC7" s="28"/>
      <c r="AD7" s="25"/>
      <c r="AE7" s="25"/>
      <c r="AF7" s="25"/>
      <c r="AG7" s="25"/>
    </row>
    <row r="8" spans="1:33" ht="15.75" hidden="1" customHeight="1">
      <c r="A8" s="14"/>
      <c r="B8" s="14"/>
      <c r="C8" s="15"/>
      <c r="D8" s="16"/>
      <c r="E8" s="16"/>
      <c r="F8" s="29"/>
      <c r="G8" s="29"/>
      <c r="H8" s="18"/>
      <c r="I8" s="18"/>
      <c r="J8" s="17"/>
      <c r="K8" s="17"/>
      <c r="L8" s="16"/>
      <c r="M8" s="19"/>
      <c r="N8" s="16"/>
      <c r="O8" s="20"/>
      <c r="P8" s="20"/>
      <c r="Q8" s="16"/>
      <c r="R8" s="16"/>
      <c r="S8" s="21"/>
      <c r="T8" s="14"/>
      <c r="U8" s="22"/>
      <c r="V8" s="23"/>
      <c r="W8" s="14"/>
      <c r="X8" s="24"/>
      <c r="Y8" s="25"/>
      <c r="Z8" s="14"/>
      <c r="AA8" s="14"/>
      <c r="AB8" s="27"/>
      <c r="AC8" s="28"/>
      <c r="AD8" s="25"/>
      <c r="AE8" s="25"/>
      <c r="AF8" s="25"/>
      <c r="AG8" s="25"/>
    </row>
    <row r="9" spans="1:33" ht="15.75" hidden="1" customHeight="1">
      <c r="A9" s="14"/>
      <c r="B9" s="14"/>
      <c r="C9" s="15"/>
      <c r="D9" s="16"/>
      <c r="E9" s="16"/>
      <c r="F9" s="29"/>
      <c r="G9" s="29"/>
      <c r="H9" s="18"/>
      <c r="I9" s="18"/>
      <c r="J9" s="17"/>
      <c r="K9" s="17"/>
      <c r="L9" s="16"/>
      <c r="M9" s="19"/>
      <c r="N9" s="16"/>
      <c r="O9" s="20"/>
      <c r="P9" s="20"/>
      <c r="Q9" s="16"/>
      <c r="R9" s="16"/>
      <c r="S9" s="21"/>
      <c r="T9" s="14"/>
      <c r="U9" s="22"/>
      <c r="V9" s="23"/>
      <c r="W9" s="14"/>
      <c r="X9" s="24"/>
      <c r="Y9" s="25"/>
      <c r="Z9" s="14"/>
      <c r="AA9" s="14"/>
      <c r="AB9" s="27"/>
      <c r="AC9" s="28"/>
      <c r="AD9" s="25"/>
      <c r="AE9" s="25"/>
      <c r="AF9" s="25"/>
      <c r="AG9" s="25"/>
    </row>
    <row r="10" spans="1:33" ht="15.75" hidden="1" customHeight="1">
      <c r="A10" s="14"/>
      <c r="B10" s="14"/>
      <c r="C10" s="15"/>
      <c r="D10" s="16"/>
      <c r="E10" s="16"/>
      <c r="F10" s="29"/>
      <c r="G10" s="29"/>
      <c r="H10" s="18"/>
      <c r="I10" s="18"/>
      <c r="J10" s="17"/>
      <c r="K10" s="17"/>
      <c r="L10" s="16"/>
      <c r="M10" s="19"/>
      <c r="N10" s="16"/>
      <c r="O10" s="20"/>
      <c r="P10" s="20"/>
      <c r="Q10" s="16"/>
      <c r="R10" s="16"/>
      <c r="S10" s="21"/>
      <c r="T10" s="14"/>
      <c r="U10" s="22"/>
      <c r="V10" s="23"/>
      <c r="W10" s="14"/>
      <c r="X10" s="24"/>
      <c r="Y10" s="25"/>
      <c r="Z10" s="14"/>
      <c r="AA10" s="14"/>
      <c r="AB10" s="27"/>
      <c r="AC10" s="28"/>
      <c r="AD10" s="25"/>
      <c r="AE10" s="25"/>
      <c r="AF10" s="25"/>
      <c r="AG10" s="25"/>
    </row>
    <row r="11" spans="1:33" ht="15.75" hidden="1" customHeight="1">
      <c r="A11" s="14"/>
      <c r="B11" s="14"/>
      <c r="C11" s="15"/>
      <c r="D11" s="16"/>
      <c r="E11" s="16"/>
      <c r="F11" s="29"/>
      <c r="G11" s="29"/>
      <c r="H11" s="18"/>
      <c r="I11" s="18"/>
      <c r="J11" s="17"/>
      <c r="K11" s="17"/>
      <c r="L11" s="16"/>
      <c r="M11" s="19"/>
      <c r="N11" s="16"/>
      <c r="O11" s="20"/>
      <c r="P11" s="20"/>
      <c r="Q11" s="16"/>
      <c r="R11" s="16"/>
      <c r="S11" s="21"/>
      <c r="T11" s="14"/>
      <c r="U11" s="22"/>
      <c r="V11" s="23"/>
      <c r="W11" s="14"/>
      <c r="X11" s="24"/>
      <c r="Y11" s="25"/>
      <c r="Z11" s="14"/>
      <c r="AA11" s="14"/>
      <c r="AB11" s="27"/>
      <c r="AC11" s="28"/>
      <c r="AD11" s="25"/>
      <c r="AE11" s="25"/>
      <c r="AF11" s="25"/>
      <c r="AG11" s="25"/>
    </row>
    <row r="12" spans="1:33" ht="15.75" hidden="1" customHeight="1">
      <c r="A12" s="14"/>
      <c r="B12" s="14"/>
      <c r="C12" s="15"/>
      <c r="D12" s="16"/>
      <c r="E12" s="16"/>
      <c r="F12" s="29"/>
      <c r="G12" s="29"/>
      <c r="H12" s="18"/>
      <c r="I12" s="18"/>
      <c r="J12" s="17"/>
      <c r="K12" s="17"/>
      <c r="L12" s="16"/>
      <c r="M12" s="19"/>
      <c r="N12" s="16"/>
      <c r="O12" s="20"/>
      <c r="P12" s="20"/>
      <c r="Q12" s="16"/>
      <c r="R12" s="16"/>
      <c r="S12" s="21"/>
      <c r="T12" s="14"/>
      <c r="U12" s="22"/>
      <c r="V12" s="23"/>
      <c r="W12" s="14"/>
      <c r="X12" s="24"/>
      <c r="Y12" s="25"/>
      <c r="Z12" s="14"/>
      <c r="AA12" s="14"/>
      <c r="AB12" s="27"/>
      <c r="AC12" s="28"/>
      <c r="AD12" s="25"/>
      <c r="AE12" s="25"/>
      <c r="AF12" s="25"/>
      <c r="AG12" s="25"/>
    </row>
    <row r="13" spans="1:33" ht="15.75" hidden="1" customHeight="1">
      <c r="A13" s="14"/>
      <c r="B13" s="14"/>
      <c r="C13" s="15"/>
      <c r="D13" s="16"/>
      <c r="E13" s="16"/>
      <c r="F13" s="17"/>
      <c r="G13" s="29"/>
      <c r="H13" s="18"/>
      <c r="I13" s="18"/>
      <c r="J13" s="17"/>
      <c r="K13" s="17"/>
      <c r="L13" s="16"/>
      <c r="M13" s="19"/>
      <c r="N13" s="16"/>
      <c r="O13" s="20"/>
      <c r="P13" s="20"/>
      <c r="Q13" s="16"/>
      <c r="R13" s="16"/>
      <c r="S13" s="21"/>
      <c r="T13" s="14"/>
      <c r="U13" s="22"/>
      <c r="V13" s="23"/>
      <c r="W13" s="14"/>
      <c r="X13" s="24"/>
      <c r="Y13" s="25"/>
      <c r="Z13" s="14"/>
      <c r="AA13" s="14"/>
      <c r="AB13" s="27"/>
      <c r="AC13" s="28"/>
      <c r="AD13" s="25"/>
      <c r="AE13" s="25"/>
      <c r="AF13" s="25"/>
      <c r="AG13" s="25"/>
    </row>
    <row r="14" spans="1:33" ht="15.75" hidden="1" customHeight="1">
      <c r="A14" s="14"/>
      <c r="B14" s="14"/>
      <c r="C14" s="15"/>
      <c r="D14" s="16"/>
      <c r="E14" s="16"/>
      <c r="F14" s="17"/>
      <c r="G14" s="29"/>
      <c r="H14" s="18"/>
      <c r="I14" s="18"/>
      <c r="J14" s="17"/>
      <c r="K14" s="17"/>
      <c r="L14" s="16"/>
      <c r="M14" s="19"/>
      <c r="N14" s="16"/>
      <c r="O14" s="20"/>
      <c r="P14" s="20"/>
      <c r="Q14" s="16"/>
      <c r="R14" s="16"/>
      <c r="S14" s="21"/>
      <c r="T14" s="14"/>
      <c r="U14" s="22"/>
      <c r="V14" s="23"/>
      <c r="W14" s="14"/>
      <c r="X14" s="24"/>
      <c r="Y14" s="25"/>
      <c r="Z14" s="14"/>
      <c r="AA14" s="14"/>
      <c r="AB14" s="27"/>
      <c r="AC14" s="28"/>
      <c r="AD14" s="25"/>
      <c r="AE14" s="25"/>
      <c r="AF14" s="25"/>
      <c r="AG14" s="25"/>
    </row>
    <row r="15" spans="1:33" ht="15.75" hidden="1" customHeight="1">
      <c r="A15" s="14"/>
      <c r="B15" s="14"/>
      <c r="C15" s="15"/>
      <c r="D15" s="16"/>
      <c r="E15" s="16"/>
      <c r="F15" s="17"/>
      <c r="G15" s="29"/>
      <c r="H15" s="18"/>
      <c r="I15" s="18"/>
      <c r="J15" s="17"/>
      <c r="K15" s="17"/>
      <c r="L15" s="16"/>
      <c r="M15" s="19"/>
      <c r="N15" s="16"/>
      <c r="O15" s="20"/>
      <c r="P15" s="20"/>
      <c r="Q15" s="16"/>
      <c r="R15" s="16"/>
      <c r="S15" s="21"/>
      <c r="T15" s="14"/>
      <c r="U15" s="22"/>
      <c r="V15" s="23"/>
      <c r="W15" s="14"/>
      <c r="X15" s="24"/>
      <c r="Y15" s="25"/>
      <c r="Z15" s="14"/>
      <c r="AA15" s="14"/>
      <c r="AB15" s="27"/>
      <c r="AC15" s="28"/>
      <c r="AD15" s="25"/>
      <c r="AE15" s="25"/>
      <c r="AF15" s="25"/>
      <c r="AG15" s="25"/>
    </row>
    <row r="16" spans="1:33" ht="15.75" hidden="1" customHeight="1">
      <c r="A16" s="14"/>
      <c r="B16" s="14"/>
      <c r="C16" s="15"/>
      <c r="D16" s="16"/>
      <c r="E16" s="16"/>
      <c r="F16" s="17"/>
      <c r="G16" s="29"/>
      <c r="H16" s="18"/>
      <c r="I16" s="18"/>
      <c r="J16" s="17"/>
      <c r="K16" s="17"/>
      <c r="L16" s="16"/>
      <c r="M16" s="19"/>
      <c r="N16" s="16"/>
      <c r="O16" s="20"/>
      <c r="P16" s="20"/>
      <c r="Q16" s="16"/>
      <c r="R16" s="16"/>
      <c r="S16" s="21"/>
      <c r="T16" s="14"/>
      <c r="U16" s="22"/>
      <c r="V16" s="23"/>
      <c r="W16" s="14"/>
      <c r="X16" s="24"/>
      <c r="Y16" s="25"/>
      <c r="Z16" s="14"/>
      <c r="AA16" s="14"/>
      <c r="AB16" s="27"/>
      <c r="AC16" s="28"/>
      <c r="AD16" s="25"/>
      <c r="AE16" s="25"/>
      <c r="AF16" s="25"/>
      <c r="AG16" s="25"/>
    </row>
    <row r="17" spans="1:33" ht="15.75" hidden="1" customHeight="1">
      <c r="A17" s="14"/>
      <c r="B17" s="14"/>
      <c r="C17" s="15"/>
      <c r="D17" s="16"/>
      <c r="E17" s="16"/>
      <c r="F17" s="17"/>
      <c r="G17" s="29"/>
      <c r="H17" s="18"/>
      <c r="I17" s="18"/>
      <c r="J17" s="17"/>
      <c r="K17" s="17"/>
      <c r="L17" s="16"/>
      <c r="M17" s="19"/>
      <c r="N17" s="16"/>
      <c r="O17" s="20"/>
      <c r="P17" s="20"/>
      <c r="Q17" s="16"/>
      <c r="R17" s="16"/>
      <c r="S17" s="21"/>
      <c r="T17" s="14"/>
      <c r="U17" s="22"/>
      <c r="V17" s="23"/>
      <c r="W17" s="14"/>
      <c r="X17" s="24"/>
      <c r="Y17" s="25"/>
      <c r="Z17" s="14"/>
      <c r="AA17" s="14"/>
      <c r="AB17" s="27"/>
      <c r="AC17" s="28"/>
      <c r="AD17" s="25"/>
      <c r="AE17" s="25"/>
      <c r="AF17" s="25"/>
      <c r="AG17" s="25"/>
    </row>
    <row r="18" spans="1:33" ht="15.75" customHeight="1">
      <c r="A18" s="14" t="s">
        <v>42</v>
      </c>
      <c r="B18" s="14" t="s">
        <v>146</v>
      </c>
      <c r="C18" s="15">
        <f t="shared" ref="C18:C32" si="1">IFERROR(F18/D18," - ")</f>
        <v>55.99</v>
      </c>
      <c r="D18" s="16">
        <v>8</v>
      </c>
      <c r="E18" s="16">
        <v>0</v>
      </c>
      <c r="F18" s="17">
        <v>447.92</v>
      </c>
      <c r="G18" s="29">
        <v>0</v>
      </c>
      <c r="H18" s="18">
        <f t="shared" ref="H18:H32" si="2">G18/F18*-1</f>
        <v>0</v>
      </c>
      <c r="I18" s="18">
        <f t="shared" ref="I18:I32" si="3">J18/F18</f>
        <v>0.10673315882920566</v>
      </c>
      <c r="J18" s="17">
        <f t="shared" ref="J18:J32" si="4">F18*0.85+G18+AF18*D18+D18*AE18+AG18+AD18</f>
        <v>47.8079165027778</v>
      </c>
      <c r="K18" s="17">
        <f t="shared" ref="K18:K32" si="5">J18/D18</f>
        <v>5.975989562847225</v>
      </c>
      <c r="L18" s="16">
        <v>21</v>
      </c>
      <c r="M18" s="19">
        <f t="shared" ref="M18:M32" si="6">IFERROR(D18/L18,"-")</f>
        <v>0.38095238095238093</v>
      </c>
      <c r="N18" s="16">
        <v>42</v>
      </c>
      <c r="O18" s="20">
        <f t="shared" ref="O18:P18" si="7">D18/7</f>
        <v>1.1428571428571428</v>
      </c>
      <c r="P18" s="20">
        <f t="shared" si="7"/>
        <v>0</v>
      </c>
      <c r="Q18" s="16">
        <f t="shared" ref="Q18:Q32" si="8">ROUNDDOWN(N18/(O18+P18),0)</f>
        <v>36</v>
      </c>
      <c r="R18" s="16"/>
      <c r="S18" s="21">
        <v>8.6956521739130405E-2</v>
      </c>
      <c r="T18" s="14">
        <v>0</v>
      </c>
      <c r="U18" s="22">
        <v>0</v>
      </c>
      <c r="V18" s="23" t="s">
        <v>34</v>
      </c>
      <c r="W18" s="14">
        <v>0</v>
      </c>
      <c r="X18" s="24">
        <f t="shared" ref="X18:X32" si="9">IFERROR(W18/D18,0)</f>
        <v>0</v>
      </c>
      <c r="Y18" s="25">
        <f t="shared" ref="Y18:Y32" si="10">IFERROR(G18/(W18+Z18)*-1,0)</f>
        <v>0</v>
      </c>
      <c r="Z18" s="14">
        <v>0</v>
      </c>
      <c r="AA18" s="14" t="s">
        <v>35</v>
      </c>
      <c r="AB18" s="27">
        <f t="shared" ref="AB18:AB32" si="11">IF(OR(AA18="UsLargeStandardSize",AA18="UsSmallStandardSize"),-0.69,-0.48)</f>
        <v>-0.69</v>
      </c>
      <c r="AC18" s="28">
        <v>0.30109451967592593</v>
      </c>
      <c r="AD18" s="25">
        <f t="shared" ref="AD18:AD32" si="12">IFERROR(AB18*AC18*D18*2,0)</f>
        <v>-3.324083497222222</v>
      </c>
      <c r="AE18" s="25">
        <v>-9.2200000000000006</v>
      </c>
      <c r="AF18" s="25">
        <v>-31.98</v>
      </c>
      <c r="AG18" s="25">
        <v>0</v>
      </c>
    </row>
    <row r="19" spans="1:33" ht="15.75" customHeight="1">
      <c r="A19" s="14" t="s">
        <v>44</v>
      </c>
      <c r="B19" s="14" t="s">
        <v>147</v>
      </c>
      <c r="C19" s="15">
        <f t="shared" si="1"/>
        <v>64.724999999999994</v>
      </c>
      <c r="D19" s="16">
        <v>2</v>
      </c>
      <c r="E19" s="16">
        <v>0</v>
      </c>
      <c r="F19" s="17">
        <v>129.44999999999999</v>
      </c>
      <c r="G19" s="29">
        <v>0</v>
      </c>
      <c r="H19" s="18">
        <f t="shared" si="2"/>
        <v>0</v>
      </c>
      <c r="I19" s="18">
        <f t="shared" si="3"/>
        <v>0.18412884608493185</v>
      </c>
      <c r="J19" s="17">
        <f t="shared" si="4"/>
        <v>23.835479125694427</v>
      </c>
      <c r="K19" s="17">
        <f t="shared" si="5"/>
        <v>11.917739562847213</v>
      </c>
      <c r="L19" s="16">
        <v>26</v>
      </c>
      <c r="M19" s="19">
        <f t="shared" si="6"/>
        <v>7.6923076923076927E-2</v>
      </c>
      <c r="N19" s="16">
        <v>86</v>
      </c>
      <c r="O19" s="20">
        <f t="shared" ref="O19:P19" si="13">D19/7</f>
        <v>0.2857142857142857</v>
      </c>
      <c r="P19" s="20">
        <f t="shared" si="13"/>
        <v>0</v>
      </c>
      <c r="Q19" s="16">
        <f t="shared" si="8"/>
        <v>301</v>
      </c>
      <c r="R19" s="16"/>
      <c r="S19" s="21">
        <v>0.20689655172413701</v>
      </c>
      <c r="T19" s="14">
        <v>0</v>
      </c>
      <c r="U19" s="22" t="s">
        <v>34</v>
      </c>
      <c r="V19" s="23" t="s">
        <v>34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14" t="s">
        <v>35</v>
      </c>
      <c r="AB19" s="27">
        <f t="shared" si="11"/>
        <v>-0.69</v>
      </c>
      <c r="AC19" s="28">
        <v>0.30109451967592593</v>
      </c>
      <c r="AD19" s="25">
        <f t="shared" si="12"/>
        <v>-0.83102087430555549</v>
      </c>
      <c r="AE19" s="25">
        <v>-9.2200000000000006</v>
      </c>
      <c r="AF19" s="25">
        <v>-33.463000000000001</v>
      </c>
      <c r="AG19" s="25">
        <v>0</v>
      </c>
    </row>
    <row r="20" spans="1:33" ht="15.75" customHeight="1">
      <c r="A20" s="14" t="s">
        <v>46</v>
      </c>
      <c r="B20" s="14" t="s">
        <v>68</v>
      </c>
      <c r="C20" s="15">
        <f t="shared" si="1"/>
        <v>66.346666666666678</v>
      </c>
      <c r="D20" s="16">
        <v>6</v>
      </c>
      <c r="E20" s="16">
        <v>0</v>
      </c>
      <c r="F20" s="17">
        <v>398.08000000000004</v>
      </c>
      <c r="G20" s="29">
        <v>0</v>
      </c>
      <c r="H20" s="18">
        <f t="shared" si="2"/>
        <v>0</v>
      </c>
      <c r="I20" s="18">
        <f t="shared" si="3"/>
        <v>0.20040428400593688</v>
      </c>
      <c r="J20" s="17">
        <f t="shared" si="4"/>
        <v>79.776937377083357</v>
      </c>
      <c r="K20" s="17">
        <f t="shared" si="5"/>
        <v>13.296156229513892</v>
      </c>
      <c r="L20" s="16">
        <v>36</v>
      </c>
      <c r="M20" s="19">
        <f t="shared" si="6"/>
        <v>0.16666666666666666</v>
      </c>
      <c r="N20" s="16">
        <v>80</v>
      </c>
      <c r="O20" s="20">
        <f t="shared" ref="O20:P20" si="14">D20/7</f>
        <v>0.8571428571428571</v>
      </c>
      <c r="P20" s="20">
        <f t="shared" si="14"/>
        <v>0</v>
      </c>
      <c r="Q20" s="16">
        <f t="shared" si="8"/>
        <v>93</v>
      </c>
      <c r="R20" s="16"/>
      <c r="S20" s="21">
        <v>0.48749999999999999</v>
      </c>
      <c r="T20" s="14">
        <v>0</v>
      </c>
      <c r="U20" s="22" t="s">
        <v>34</v>
      </c>
      <c r="V20" s="23" t="s">
        <v>34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14" t="s">
        <v>35</v>
      </c>
      <c r="AB20" s="27">
        <f t="shared" si="11"/>
        <v>-0.69</v>
      </c>
      <c r="AC20" s="28">
        <v>0.30109451967592593</v>
      </c>
      <c r="AD20" s="25">
        <f t="shared" si="12"/>
        <v>-2.4930626229166664</v>
      </c>
      <c r="AE20" s="25">
        <v>-9.2200000000000006</v>
      </c>
      <c r="AF20" s="25">
        <v>-33.463000000000001</v>
      </c>
      <c r="AG20" s="25">
        <v>0</v>
      </c>
    </row>
    <row r="21" spans="1:33" ht="15.75" customHeight="1">
      <c r="A21" s="14" t="s">
        <v>47</v>
      </c>
      <c r="B21" s="14" t="s">
        <v>148</v>
      </c>
      <c r="C21" s="15">
        <f t="shared" si="1"/>
        <v>60.684000000000005</v>
      </c>
      <c r="D21" s="16">
        <v>5</v>
      </c>
      <c r="E21" s="16">
        <v>1</v>
      </c>
      <c r="F21" s="17">
        <v>303.42</v>
      </c>
      <c r="G21" s="29">
        <v>0</v>
      </c>
      <c r="H21" s="18">
        <f t="shared" si="2"/>
        <v>0</v>
      </c>
      <c r="I21" s="18">
        <f t="shared" si="3"/>
        <v>0.13978791053403236</v>
      </c>
      <c r="J21" s="17">
        <f t="shared" si="4"/>
        <v>42.414447814236098</v>
      </c>
      <c r="K21" s="17">
        <f t="shared" si="5"/>
        <v>8.4828895628472196</v>
      </c>
      <c r="L21" s="16">
        <v>14</v>
      </c>
      <c r="M21" s="19">
        <f t="shared" si="6"/>
        <v>0.35714285714285715</v>
      </c>
      <c r="N21" s="16">
        <v>68</v>
      </c>
      <c r="O21" s="20">
        <f t="shared" ref="O21:P21" si="15">D21/7</f>
        <v>0.7142857142857143</v>
      </c>
      <c r="P21" s="20">
        <f t="shared" si="15"/>
        <v>0.14285714285714285</v>
      </c>
      <c r="Q21" s="16">
        <f t="shared" si="8"/>
        <v>79</v>
      </c>
      <c r="R21" s="16"/>
      <c r="S21" s="21">
        <v>0.85714285714285698</v>
      </c>
      <c r="T21" s="14">
        <v>0</v>
      </c>
      <c r="U21" s="22" t="s">
        <v>34</v>
      </c>
      <c r="V21" s="23" t="s">
        <v>34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14" t="s">
        <v>35</v>
      </c>
      <c r="AB21" s="27">
        <f t="shared" si="11"/>
        <v>-0.69</v>
      </c>
      <c r="AC21" s="28">
        <v>0.30109451967592593</v>
      </c>
      <c r="AD21" s="25">
        <f t="shared" si="12"/>
        <v>-2.0775521857638886</v>
      </c>
      <c r="AE21" s="25">
        <v>-9.2200000000000006</v>
      </c>
      <c r="AF21" s="25">
        <v>-33.463000000000001</v>
      </c>
      <c r="AG21" s="25">
        <v>0</v>
      </c>
    </row>
    <row r="22" spans="1:33" ht="15.75" customHeight="1">
      <c r="A22" s="14" t="s">
        <v>48</v>
      </c>
      <c r="B22" s="14" t="s">
        <v>68</v>
      </c>
      <c r="C22" s="15">
        <f t="shared" si="1"/>
        <v>64.037999999999997</v>
      </c>
      <c r="D22" s="16">
        <v>5</v>
      </c>
      <c r="E22" s="16">
        <v>1</v>
      </c>
      <c r="F22" s="29">
        <v>320.19</v>
      </c>
      <c r="G22" s="29">
        <v>0</v>
      </c>
      <c r="H22" s="18">
        <f t="shared" si="2"/>
        <v>0</v>
      </c>
      <c r="I22" s="18">
        <f t="shared" si="3"/>
        <v>0.17698537685198196</v>
      </c>
      <c r="J22" s="17">
        <f t="shared" si="4"/>
        <v>56.668947814236105</v>
      </c>
      <c r="K22" s="17">
        <f t="shared" si="5"/>
        <v>11.333789562847221</v>
      </c>
      <c r="L22" s="16">
        <v>37</v>
      </c>
      <c r="M22" s="19">
        <f t="shared" si="6"/>
        <v>0.13513513513513514</v>
      </c>
      <c r="N22" s="16">
        <v>66</v>
      </c>
      <c r="O22" s="20">
        <f t="shared" ref="O22:P22" si="16">D22/7</f>
        <v>0.7142857142857143</v>
      </c>
      <c r="P22" s="20">
        <f t="shared" si="16"/>
        <v>0.14285714285714285</v>
      </c>
      <c r="Q22" s="16">
        <f t="shared" si="8"/>
        <v>77</v>
      </c>
      <c r="R22" s="16"/>
      <c r="S22" s="21">
        <v>0.69026548672566301</v>
      </c>
      <c r="T22" s="14">
        <v>0</v>
      </c>
      <c r="U22" s="22" t="s">
        <v>34</v>
      </c>
      <c r="V22" s="23" t="s">
        <v>34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35</v>
      </c>
      <c r="AB22" s="27">
        <f t="shared" si="11"/>
        <v>-0.69</v>
      </c>
      <c r="AC22" s="28">
        <v>0.30109451967592593</v>
      </c>
      <c r="AD22" s="25">
        <f t="shared" si="12"/>
        <v>-2.0775521857638886</v>
      </c>
      <c r="AE22" s="25">
        <v>-9.2200000000000006</v>
      </c>
      <c r="AF22" s="25">
        <v>-33.463000000000001</v>
      </c>
      <c r="AG22" s="25">
        <v>0</v>
      </c>
    </row>
    <row r="23" spans="1:33" ht="15.75" customHeight="1">
      <c r="A23" s="14" t="s">
        <v>49</v>
      </c>
      <c r="B23" s="14" t="s">
        <v>68</v>
      </c>
      <c r="C23" s="15">
        <f t="shared" si="1"/>
        <v>65.354444444444454</v>
      </c>
      <c r="D23" s="16">
        <v>9</v>
      </c>
      <c r="E23" s="16">
        <v>0</v>
      </c>
      <c r="F23" s="17">
        <v>588.19000000000005</v>
      </c>
      <c r="G23" s="29">
        <v>0</v>
      </c>
      <c r="H23" s="18">
        <f t="shared" si="2"/>
        <v>0</v>
      </c>
      <c r="I23" s="18">
        <f t="shared" si="3"/>
        <v>0.1905420120464901</v>
      </c>
      <c r="J23" s="17">
        <f t="shared" si="4"/>
        <v>112.07490606562503</v>
      </c>
      <c r="K23" s="17">
        <f t="shared" si="5"/>
        <v>12.452767340625003</v>
      </c>
      <c r="L23" s="16">
        <v>21</v>
      </c>
      <c r="M23" s="19">
        <f t="shared" si="6"/>
        <v>0.42857142857142855</v>
      </c>
      <c r="N23" s="16">
        <v>60</v>
      </c>
      <c r="O23" s="20">
        <f t="shared" ref="O23:P23" si="17">D23/7</f>
        <v>1.2857142857142858</v>
      </c>
      <c r="P23" s="20">
        <f t="shared" si="17"/>
        <v>0</v>
      </c>
      <c r="Q23" s="16">
        <f t="shared" si="8"/>
        <v>46</v>
      </c>
      <c r="R23" s="16"/>
      <c r="S23" s="21">
        <v>0.97058823529411697</v>
      </c>
      <c r="T23" s="14">
        <v>0</v>
      </c>
      <c r="U23" s="22" t="s">
        <v>34</v>
      </c>
      <c r="V23" s="23" t="s">
        <v>34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35</v>
      </c>
      <c r="AB23" s="27">
        <f t="shared" si="11"/>
        <v>-0.69</v>
      </c>
      <c r="AC23" s="28">
        <v>0.30109451967592593</v>
      </c>
      <c r="AD23" s="25">
        <f t="shared" si="12"/>
        <v>-3.7395939343749998</v>
      </c>
      <c r="AE23" s="25">
        <v>-9.2200000000000006</v>
      </c>
      <c r="AF23" s="25">
        <v>-33.463000000000001</v>
      </c>
      <c r="AG23" s="25">
        <v>0</v>
      </c>
    </row>
    <row r="24" spans="1:33" ht="15.75" customHeight="1">
      <c r="A24" s="14" t="s">
        <v>50</v>
      </c>
      <c r="B24" s="14" t="s">
        <v>149</v>
      </c>
      <c r="C24" s="15">
        <f t="shared" si="1"/>
        <v>64.989999999999995</v>
      </c>
      <c r="D24" s="16">
        <v>6</v>
      </c>
      <c r="E24" s="16">
        <v>1</v>
      </c>
      <c r="F24" s="17">
        <v>389.94</v>
      </c>
      <c r="G24" s="17">
        <v>0</v>
      </c>
      <c r="H24" s="18">
        <f t="shared" si="2"/>
        <v>0</v>
      </c>
      <c r="I24" s="18">
        <f t="shared" si="3"/>
        <v>0.1868439692698449</v>
      </c>
      <c r="J24" s="17">
        <f t="shared" si="4"/>
        <v>72.857937377083317</v>
      </c>
      <c r="K24" s="17">
        <f t="shared" si="5"/>
        <v>12.14298956284722</v>
      </c>
      <c r="L24" s="16">
        <v>24</v>
      </c>
      <c r="M24" s="19">
        <f t="shared" si="6"/>
        <v>0.25</v>
      </c>
      <c r="N24" s="16">
        <v>56</v>
      </c>
      <c r="O24" s="20">
        <f t="shared" ref="O24:P24" si="18">D24/7</f>
        <v>0.8571428571428571</v>
      </c>
      <c r="P24" s="20">
        <f t="shared" si="18"/>
        <v>0.14285714285714285</v>
      </c>
      <c r="Q24" s="16">
        <f t="shared" si="8"/>
        <v>56</v>
      </c>
      <c r="R24" s="16"/>
      <c r="S24" s="21">
        <v>0.8125</v>
      </c>
      <c r="T24" s="14">
        <v>0</v>
      </c>
      <c r="U24" s="22" t="s">
        <v>34</v>
      </c>
      <c r="V24" s="23" t="s">
        <v>34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14" t="s">
        <v>35</v>
      </c>
      <c r="AB24" s="27">
        <f t="shared" si="11"/>
        <v>-0.69</v>
      </c>
      <c r="AC24" s="28">
        <v>0.30109451967592593</v>
      </c>
      <c r="AD24" s="25">
        <f t="shared" si="12"/>
        <v>-2.4930626229166664</v>
      </c>
      <c r="AE24" s="25">
        <v>-9.2200000000000006</v>
      </c>
      <c r="AF24" s="25">
        <v>-33.463000000000001</v>
      </c>
      <c r="AG24" s="25">
        <v>0</v>
      </c>
    </row>
    <row r="25" spans="1:33" ht="15.75" customHeight="1">
      <c r="A25" s="14" t="s">
        <v>51</v>
      </c>
      <c r="B25" s="14" t="s">
        <v>64</v>
      </c>
      <c r="C25" s="15">
        <f t="shared" si="1"/>
        <v>65.349999999999994</v>
      </c>
      <c r="D25" s="16">
        <v>4</v>
      </c>
      <c r="E25" s="16">
        <v>0</v>
      </c>
      <c r="F25" s="17">
        <v>261.39999999999998</v>
      </c>
      <c r="G25" s="17">
        <v>0</v>
      </c>
      <c r="H25" s="18">
        <f t="shared" si="2"/>
        <v>0</v>
      </c>
      <c r="I25" s="18">
        <f t="shared" si="3"/>
        <v>0.19054306905657559</v>
      </c>
      <c r="J25" s="17">
        <f t="shared" si="4"/>
        <v>49.807958251388854</v>
      </c>
      <c r="K25" s="17">
        <f t="shared" si="5"/>
        <v>12.451989562847213</v>
      </c>
      <c r="L25" s="16">
        <v>27</v>
      </c>
      <c r="M25" s="19">
        <f t="shared" si="6"/>
        <v>0.14814814814814814</v>
      </c>
      <c r="N25" s="16">
        <v>47</v>
      </c>
      <c r="O25" s="20">
        <f t="shared" ref="O25:P25" si="19">D25/7</f>
        <v>0.5714285714285714</v>
      </c>
      <c r="P25" s="20">
        <f t="shared" si="19"/>
        <v>0</v>
      </c>
      <c r="Q25" s="16">
        <f t="shared" si="8"/>
        <v>82</v>
      </c>
      <c r="R25" s="16"/>
      <c r="S25" s="21">
        <v>1.5161290322580649</v>
      </c>
      <c r="T25" s="14">
        <v>0</v>
      </c>
      <c r="U25" s="22" t="s">
        <v>34</v>
      </c>
      <c r="V25" s="23" t="s">
        <v>34</v>
      </c>
      <c r="W25" s="30">
        <v>0</v>
      </c>
      <c r="X25" s="24">
        <f t="shared" si="9"/>
        <v>0</v>
      </c>
      <c r="Y25" s="25">
        <f t="shared" si="10"/>
        <v>0</v>
      </c>
      <c r="Z25" s="30">
        <v>0</v>
      </c>
      <c r="AA25" s="14" t="s">
        <v>35</v>
      </c>
      <c r="AB25" s="27">
        <f t="shared" si="11"/>
        <v>-0.69</v>
      </c>
      <c r="AC25" s="28">
        <v>0.30109451967592593</v>
      </c>
      <c r="AD25" s="25">
        <f t="shared" si="12"/>
        <v>-1.662041748611111</v>
      </c>
      <c r="AE25" s="25">
        <v>-9.2200000000000006</v>
      </c>
      <c r="AF25" s="25">
        <v>-33.46</v>
      </c>
      <c r="AG25" s="25">
        <v>0</v>
      </c>
    </row>
    <row r="26" spans="1:33" ht="15.75" customHeight="1">
      <c r="A26" s="14" t="s">
        <v>52</v>
      </c>
      <c r="B26" s="14" t="s">
        <v>68</v>
      </c>
      <c r="C26" s="15">
        <f t="shared" si="1"/>
        <v>65.455384615384617</v>
      </c>
      <c r="D26" s="16">
        <v>13</v>
      </c>
      <c r="E26" s="16">
        <v>1</v>
      </c>
      <c r="F26" s="17">
        <v>850.92</v>
      </c>
      <c r="G26" s="17">
        <v>0</v>
      </c>
      <c r="H26" s="18">
        <f t="shared" si="2"/>
        <v>0</v>
      </c>
      <c r="I26" s="18">
        <f t="shared" si="3"/>
        <v>0.19980887077165166</v>
      </c>
      <c r="J26" s="17">
        <f t="shared" si="4"/>
        <v>170.02136431701382</v>
      </c>
      <c r="K26" s="17">
        <f t="shared" si="5"/>
        <v>13.07856648592414</v>
      </c>
      <c r="L26" s="16">
        <v>31</v>
      </c>
      <c r="M26" s="19">
        <f t="shared" si="6"/>
        <v>0.41935483870967744</v>
      </c>
      <c r="N26" s="16">
        <v>36</v>
      </c>
      <c r="O26" s="20">
        <f t="shared" ref="O26:P26" si="20">D26/7</f>
        <v>1.8571428571428572</v>
      </c>
      <c r="P26" s="20">
        <f t="shared" si="20"/>
        <v>0.14285714285714285</v>
      </c>
      <c r="Q26" s="16">
        <f t="shared" si="8"/>
        <v>18</v>
      </c>
      <c r="R26" s="16"/>
      <c r="S26" s="21">
        <v>2.0540540540540539</v>
      </c>
      <c r="T26" s="14">
        <v>0</v>
      </c>
      <c r="U26" s="22" t="s">
        <v>34</v>
      </c>
      <c r="V26" s="23" t="s">
        <v>34</v>
      </c>
      <c r="W26" s="30">
        <v>0</v>
      </c>
      <c r="X26" s="24">
        <f t="shared" si="9"/>
        <v>0</v>
      </c>
      <c r="Y26" s="25">
        <f t="shared" si="10"/>
        <v>0</v>
      </c>
      <c r="Z26" s="30">
        <v>0</v>
      </c>
      <c r="AA26" s="14" t="s">
        <v>35</v>
      </c>
      <c r="AB26" s="27">
        <f t="shared" si="11"/>
        <v>-0.69</v>
      </c>
      <c r="AC26" s="28">
        <v>0.30109451967592593</v>
      </c>
      <c r="AD26" s="25">
        <f t="shared" si="12"/>
        <v>-5.401635682986111</v>
      </c>
      <c r="AE26" s="25">
        <v>-8.68</v>
      </c>
      <c r="AF26" s="25">
        <v>-33.463000000000001</v>
      </c>
      <c r="AG26" s="25">
        <v>0</v>
      </c>
    </row>
    <row r="27" spans="1:33" ht="15.75" customHeight="1">
      <c r="A27" s="14" t="s">
        <v>53</v>
      </c>
      <c r="B27" s="14" t="s">
        <v>150</v>
      </c>
      <c r="C27" s="15">
        <f t="shared" si="1"/>
        <v>65.125</v>
      </c>
      <c r="D27" s="16">
        <v>10</v>
      </c>
      <c r="E27" s="16">
        <v>1</v>
      </c>
      <c r="F27" s="17">
        <v>651.25</v>
      </c>
      <c r="G27" s="17">
        <v>0</v>
      </c>
      <c r="H27" s="18">
        <f t="shared" si="2"/>
        <v>0</v>
      </c>
      <c r="I27" s="18">
        <f t="shared" si="3"/>
        <v>0.19472920633930468</v>
      </c>
      <c r="J27" s="17">
        <f t="shared" si="4"/>
        <v>126.81739562847218</v>
      </c>
      <c r="K27" s="17">
        <f t="shared" si="5"/>
        <v>12.681739562847218</v>
      </c>
      <c r="L27" s="16">
        <v>50</v>
      </c>
      <c r="M27" s="19">
        <f t="shared" si="6"/>
        <v>0.2</v>
      </c>
      <c r="N27" s="16">
        <v>25</v>
      </c>
      <c r="O27" s="20">
        <f t="shared" ref="O27:P27" si="21">D27/7</f>
        <v>1.4285714285714286</v>
      </c>
      <c r="P27" s="20">
        <f t="shared" si="21"/>
        <v>0.14285714285714285</v>
      </c>
      <c r="Q27" s="16">
        <f t="shared" si="8"/>
        <v>15</v>
      </c>
      <c r="R27" s="16"/>
      <c r="S27" s="21">
        <v>2</v>
      </c>
      <c r="T27" s="14">
        <v>0</v>
      </c>
      <c r="U27" s="22" t="s">
        <v>34</v>
      </c>
      <c r="V27" s="23" t="s">
        <v>34</v>
      </c>
      <c r="W27" s="30">
        <v>0</v>
      </c>
      <c r="X27" s="24">
        <f t="shared" si="9"/>
        <v>0</v>
      </c>
      <c r="Y27" s="25">
        <f t="shared" si="10"/>
        <v>0</v>
      </c>
      <c r="Z27" s="30">
        <v>0</v>
      </c>
      <c r="AA27" s="14" t="s">
        <v>35</v>
      </c>
      <c r="AB27" s="27">
        <f t="shared" si="11"/>
        <v>-0.69</v>
      </c>
      <c r="AC27" s="28">
        <v>0.30109451967592593</v>
      </c>
      <c r="AD27" s="25">
        <f t="shared" si="12"/>
        <v>-4.1551043715277771</v>
      </c>
      <c r="AE27" s="25">
        <v>-8.68</v>
      </c>
      <c r="AF27" s="25">
        <v>-33.579000000000001</v>
      </c>
      <c r="AG27" s="25">
        <v>0</v>
      </c>
    </row>
    <row r="28" spans="1:33" ht="15.75" customHeight="1">
      <c r="A28" s="14" t="s">
        <v>54</v>
      </c>
      <c r="B28" s="14" t="s">
        <v>151</v>
      </c>
      <c r="C28" s="15">
        <f t="shared" si="1"/>
        <v>66.102999999999994</v>
      </c>
      <c r="D28" s="16">
        <v>20</v>
      </c>
      <c r="E28" s="16">
        <v>2</v>
      </c>
      <c r="F28" s="17">
        <v>1322.06</v>
      </c>
      <c r="G28" s="17">
        <v>0</v>
      </c>
      <c r="H28" s="18">
        <f t="shared" si="2"/>
        <v>0</v>
      </c>
      <c r="I28" s="18">
        <f t="shared" si="3"/>
        <v>0.20442399834874692</v>
      </c>
      <c r="J28" s="17">
        <f t="shared" si="4"/>
        <v>270.26079125694434</v>
      </c>
      <c r="K28" s="17">
        <f t="shared" si="5"/>
        <v>13.513039562847217</v>
      </c>
      <c r="L28" s="16">
        <v>64</v>
      </c>
      <c r="M28" s="19">
        <f t="shared" si="6"/>
        <v>0.3125</v>
      </c>
      <c r="N28" s="16">
        <v>3</v>
      </c>
      <c r="O28" s="20">
        <f t="shared" ref="O28:P28" si="22">D28/7</f>
        <v>2.8571428571428572</v>
      </c>
      <c r="P28" s="20">
        <f t="shared" si="22"/>
        <v>0.2857142857142857</v>
      </c>
      <c r="Q28" s="16">
        <f t="shared" si="8"/>
        <v>0</v>
      </c>
      <c r="R28" s="16"/>
      <c r="S28" s="21">
        <v>2.2564102564102559</v>
      </c>
      <c r="T28" s="14">
        <v>0</v>
      </c>
      <c r="U28" s="22" t="s">
        <v>34</v>
      </c>
      <c r="V28" s="23" t="s">
        <v>34</v>
      </c>
      <c r="W28" s="30">
        <v>0</v>
      </c>
      <c r="X28" s="24">
        <f t="shared" si="9"/>
        <v>0</v>
      </c>
      <c r="Y28" s="25">
        <f t="shared" si="10"/>
        <v>0</v>
      </c>
      <c r="Z28" s="30">
        <v>0</v>
      </c>
      <c r="AA28" s="14" t="s">
        <v>35</v>
      </c>
      <c r="AB28" s="27">
        <f t="shared" si="11"/>
        <v>-0.69</v>
      </c>
      <c r="AC28" s="28">
        <v>0.30109451967592593</v>
      </c>
      <c r="AD28" s="25">
        <f t="shared" si="12"/>
        <v>-8.3102087430555542</v>
      </c>
      <c r="AE28" s="25">
        <v>-8.68</v>
      </c>
      <c r="AF28" s="25">
        <v>-33.579000000000001</v>
      </c>
      <c r="AG28" s="25">
        <v>0</v>
      </c>
    </row>
    <row r="29" spans="1:33" ht="15.75" customHeight="1">
      <c r="A29" s="14" t="s">
        <v>55</v>
      </c>
      <c r="B29" s="14" t="s">
        <v>152</v>
      </c>
      <c r="C29" s="15">
        <f t="shared" si="1"/>
        <v>66.010000000000005</v>
      </c>
      <c r="D29" s="16">
        <v>1</v>
      </c>
      <c r="E29" s="16">
        <v>0</v>
      </c>
      <c r="F29" s="17">
        <v>66.010000000000005</v>
      </c>
      <c r="G29" s="17">
        <v>0</v>
      </c>
      <c r="H29" s="18">
        <f t="shared" si="2"/>
        <v>0</v>
      </c>
      <c r="I29" s="18">
        <f t="shared" si="3"/>
        <v>0.20351446088239994</v>
      </c>
      <c r="J29" s="17">
        <f t="shared" si="4"/>
        <v>13.433989562847222</v>
      </c>
      <c r="K29" s="17">
        <f t="shared" si="5"/>
        <v>13.433989562847222</v>
      </c>
      <c r="L29" s="16">
        <v>36</v>
      </c>
      <c r="M29" s="19">
        <f t="shared" si="6"/>
        <v>2.7777777777777776E-2</v>
      </c>
      <c r="N29" s="16">
        <v>63</v>
      </c>
      <c r="O29" s="20">
        <f t="shared" ref="O29:P29" si="23">D29/7</f>
        <v>0.14285714285714285</v>
      </c>
      <c r="P29" s="20">
        <f t="shared" si="23"/>
        <v>0</v>
      </c>
      <c r="Q29" s="16">
        <f t="shared" si="8"/>
        <v>441</v>
      </c>
      <c r="R29" s="16"/>
      <c r="S29" s="21">
        <v>1.9492385786802029</v>
      </c>
      <c r="T29" s="14">
        <v>0</v>
      </c>
      <c r="U29" s="22" t="s">
        <v>34</v>
      </c>
      <c r="V29" s="23" t="s">
        <v>34</v>
      </c>
      <c r="W29" s="30">
        <v>0</v>
      </c>
      <c r="X29" s="24">
        <f t="shared" si="9"/>
        <v>0</v>
      </c>
      <c r="Y29" s="25">
        <f t="shared" si="10"/>
        <v>0</v>
      </c>
      <c r="Z29" s="30">
        <v>0</v>
      </c>
      <c r="AA29" s="14" t="s">
        <v>35</v>
      </c>
      <c r="AB29" s="27">
        <f t="shared" si="11"/>
        <v>-0.69</v>
      </c>
      <c r="AC29" s="28">
        <v>0.30109451967592593</v>
      </c>
      <c r="AD29" s="25">
        <f t="shared" si="12"/>
        <v>-0.41551043715277775</v>
      </c>
      <c r="AE29" s="25">
        <v>-8.68</v>
      </c>
      <c r="AF29" s="25">
        <v>-33.579000000000001</v>
      </c>
      <c r="AG29" s="25">
        <v>0</v>
      </c>
    </row>
    <row r="30" spans="1:33" ht="15.75" customHeight="1">
      <c r="A30" s="14" t="s">
        <v>57</v>
      </c>
      <c r="B30" s="14" t="s">
        <v>153</v>
      </c>
      <c r="C30" s="15">
        <f t="shared" si="1"/>
        <v>63.000526315789472</v>
      </c>
      <c r="D30" s="16">
        <v>19</v>
      </c>
      <c r="E30" s="16">
        <v>1</v>
      </c>
      <c r="F30" s="17">
        <v>1197.01</v>
      </c>
      <c r="G30" s="17">
        <v>0</v>
      </c>
      <c r="H30" s="18">
        <f t="shared" si="2"/>
        <v>0</v>
      </c>
      <c r="I30" s="18">
        <f t="shared" si="3"/>
        <v>0.19225442507505972</v>
      </c>
      <c r="J30" s="17">
        <f t="shared" si="4"/>
        <v>230.13046935909722</v>
      </c>
      <c r="K30" s="17">
        <f t="shared" si="5"/>
        <v>12.112129966268276</v>
      </c>
      <c r="L30" s="16">
        <v>35</v>
      </c>
      <c r="M30" s="19">
        <f t="shared" si="6"/>
        <v>0.54285714285714282</v>
      </c>
      <c r="N30" s="16">
        <v>45</v>
      </c>
      <c r="O30" s="20">
        <f t="shared" ref="O30:P30" si="24">D30/7</f>
        <v>2.7142857142857144</v>
      </c>
      <c r="P30" s="20">
        <f t="shared" si="24"/>
        <v>0.14285714285714285</v>
      </c>
      <c r="Q30" s="16">
        <f t="shared" si="8"/>
        <v>15</v>
      </c>
      <c r="R30" s="16"/>
      <c r="S30" s="21">
        <v>2.2346368715083802</v>
      </c>
      <c r="T30" s="14">
        <v>0</v>
      </c>
      <c r="U30" s="22" t="s">
        <v>34</v>
      </c>
      <c r="V30" s="23" t="s">
        <v>34</v>
      </c>
      <c r="W30" s="30">
        <v>0</v>
      </c>
      <c r="X30" s="24">
        <f t="shared" si="9"/>
        <v>0</v>
      </c>
      <c r="Y30" s="25">
        <f t="shared" si="10"/>
        <v>0</v>
      </c>
      <c r="Z30" s="30">
        <v>0</v>
      </c>
      <c r="AA30" s="14" t="s">
        <v>35</v>
      </c>
      <c r="AB30" s="27">
        <f t="shared" si="11"/>
        <v>-0.69</v>
      </c>
      <c r="AC30" s="28">
        <v>0.30109451967592593</v>
      </c>
      <c r="AD30" s="25">
        <f t="shared" si="12"/>
        <v>-7.8946983059027769</v>
      </c>
      <c r="AE30" s="25">
        <v>-8.68</v>
      </c>
      <c r="AF30" s="25">
        <v>-32.342806965000001</v>
      </c>
      <c r="AG30" s="25">
        <v>0</v>
      </c>
    </row>
    <row r="31" spans="1:33" ht="15.75" customHeight="1">
      <c r="A31" s="14" t="s">
        <v>58</v>
      </c>
      <c r="B31" s="14" t="s">
        <v>154</v>
      </c>
      <c r="C31" s="15">
        <f t="shared" si="1"/>
        <v>61.4</v>
      </c>
      <c r="D31" s="16">
        <v>7</v>
      </c>
      <c r="E31" s="16">
        <v>0</v>
      </c>
      <c r="F31" s="17">
        <v>429.8</v>
      </c>
      <c r="G31" s="17">
        <v>0</v>
      </c>
      <c r="H31" s="18">
        <f t="shared" si="2"/>
        <v>0</v>
      </c>
      <c r="I31" s="18">
        <f t="shared" si="3"/>
        <v>0.1751088370984889</v>
      </c>
      <c r="J31" s="17">
        <f t="shared" si="4"/>
        <v>75.261778184930535</v>
      </c>
      <c r="K31" s="17">
        <f t="shared" si="5"/>
        <v>10.751682597847219</v>
      </c>
      <c r="L31" s="16">
        <v>48</v>
      </c>
      <c r="M31" s="19">
        <f t="shared" si="6"/>
        <v>0.14583333333333334</v>
      </c>
      <c r="N31" s="16">
        <v>35</v>
      </c>
      <c r="O31" s="20">
        <f t="shared" ref="O31:P31" si="25">D31/7</f>
        <v>1</v>
      </c>
      <c r="P31" s="20">
        <f t="shared" si="25"/>
        <v>0</v>
      </c>
      <c r="Q31" s="16">
        <f t="shared" si="8"/>
        <v>35</v>
      </c>
      <c r="R31" s="16"/>
      <c r="S31" s="21">
        <v>2.5806451612903198</v>
      </c>
      <c r="T31" s="14" t="s">
        <v>34</v>
      </c>
      <c r="U31" s="22" t="s">
        <v>34</v>
      </c>
      <c r="V31" s="23" t="s">
        <v>135</v>
      </c>
      <c r="W31" s="30">
        <v>0</v>
      </c>
      <c r="X31" s="24">
        <f t="shared" si="9"/>
        <v>0</v>
      </c>
      <c r="Y31" s="25">
        <f t="shared" si="10"/>
        <v>0</v>
      </c>
      <c r="Z31" s="30">
        <v>0</v>
      </c>
      <c r="AA31" s="14" t="s">
        <v>35</v>
      </c>
      <c r="AB31" s="27">
        <f t="shared" si="11"/>
        <v>-0.69</v>
      </c>
      <c r="AC31" s="28">
        <v>0.30109451967592593</v>
      </c>
      <c r="AD31" s="25">
        <f t="shared" si="12"/>
        <v>-2.9085730600694442</v>
      </c>
      <c r="AE31" s="25">
        <v>-8.68</v>
      </c>
      <c r="AF31" s="25">
        <v>-32.342806965000001</v>
      </c>
      <c r="AG31" s="25">
        <v>0</v>
      </c>
    </row>
    <row r="32" spans="1:33" ht="15.75" customHeight="1">
      <c r="A32" s="14" t="s">
        <v>60</v>
      </c>
      <c r="B32" s="14"/>
      <c r="C32" s="15">
        <f t="shared" si="1"/>
        <v>69.641111111111115</v>
      </c>
      <c r="D32" s="16">
        <v>9</v>
      </c>
      <c r="E32" s="16">
        <v>1</v>
      </c>
      <c r="F32" s="17">
        <v>626.77</v>
      </c>
      <c r="G32" s="17">
        <v>0</v>
      </c>
      <c r="H32" s="18">
        <f t="shared" si="2"/>
        <v>0</v>
      </c>
      <c r="I32" s="18">
        <f t="shared" si="3"/>
        <v>0.25497334489625378</v>
      </c>
      <c r="J32" s="17">
        <f t="shared" si="4"/>
        <v>159.80964338062498</v>
      </c>
      <c r="K32" s="17">
        <f t="shared" si="5"/>
        <v>17.756627042291665</v>
      </c>
      <c r="L32" s="16">
        <v>35</v>
      </c>
      <c r="M32" s="19">
        <f t="shared" si="6"/>
        <v>0.25714285714285712</v>
      </c>
      <c r="N32" s="16">
        <v>28</v>
      </c>
      <c r="O32" s="20">
        <f t="shared" ref="O32:P32" si="26">D32/7</f>
        <v>1.2857142857142858</v>
      </c>
      <c r="P32" s="20">
        <f t="shared" si="26"/>
        <v>0.14285714285714285</v>
      </c>
      <c r="Q32" s="16">
        <f t="shared" si="8"/>
        <v>19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2.4712041884816749</v>
      </c>
      <c r="T32" s="14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23" t="str">
        <f ca="1">IFERROR(__xludf.DUMMYFUNCTION("IFERROR(VLOOKUP($B$2,IMPORTRANGE(""https://docs.google.com/spreadsheets/d/1KiWZV1ko8G7lnRucBRBd29jj3Be6ltMfljMDqzOkQmI/edit#gid=1381463014"",""Lookup!A:D""),2,FALSE),"""")"),"No Transit or Factory Storage, 320 In Production 60-100 days from Earliest Arrival")</f>
        <v>No Transit or Factory Storage, 320 In Production 60-100 days from Earliest Arrival</v>
      </c>
      <c r="W32" s="30">
        <v>0</v>
      </c>
      <c r="X32" s="24">
        <f t="shared" si="9"/>
        <v>0</v>
      </c>
      <c r="Y32" s="25">
        <f t="shared" si="10"/>
        <v>0</v>
      </c>
      <c r="Z32" s="30">
        <v>0</v>
      </c>
      <c r="AA32" s="14" t="s">
        <v>35</v>
      </c>
      <c r="AB32" s="27">
        <f t="shared" si="11"/>
        <v>-0.69</v>
      </c>
      <c r="AC32" s="28">
        <v>0.30109451967592593</v>
      </c>
      <c r="AD32" s="25">
        <f t="shared" si="12"/>
        <v>-3.7395939343749998</v>
      </c>
      <c r="AE32" s="25">
        <v>-8.68</v>
      </c>
      <c r="AF32" s="25">
        <v>-32.342806965000001</v>
      </c>
      <c r="AG32" s="25">
        <v>0</v>
      </c>
    </row>
    <row r="33" spans="1:33" ht="15.75" customHeight="1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16"/>
      <c r="S33" s="21"/>
      <c r="T33" s="31"/>
      <c r="U33" s="36"/>
      <c r="V33" s="1"/>
      <c r="W33" s="31"/>
      <c r="X33" s="31"/>
      <c r="Y33" s="31"/>
      <c r="Z33" s="31"/>
      <c r="AA33" s="2"/>
      <c r="AB33" s="31"/>
      <c r="AC33" s="31"/>
      <c r="AD33" s="31"/>
      <c r="AE33" s="37"/>
      <c r="AF33" s="37"/>
      <c r="AG33" s="37"/>
    </row>
    <row r="34" spans="1:33" ht="15.75" customHeight="1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6"/>
      <c r="V34" s="1"/>
      <c r="W34" s="31"/>
      <c r="X34" s="31"/>
      <c r="Y34" s="31"/>
      <c r="Z34" s="31"/>
      <c r="AA34" s="2"/>
      <c r="AB34" s="31"/>
      <c r="AC34" s="31"/>
      <c r="AD34" s="31"/>
      <c r="AE34" s="37"/>
      <c r="AF34" s="37"/>
      <c r="AG34" s="37"/>
    </row>
    <row r="35" spans="1:33" ht="15.75" customHeight="1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6"/>
      <c r="V35" s="1"/>
      <c r="W35" s="31"/>
      <c r="X35" s="31"/>
      <c r="Y35" s="31"/>
      <c r="Z35" s="31"/>
      <c r="AA35" s="2"/>
      <c r="AB35" s="31"/>
      <c r="AC35" s="31"/>
      <c r="AD35" s="31"/>
      <c r="AE35" s="37"/>
      <c r="AF35" s="37"/>
      <c r="AG35" s="37"/>
    </row>
    <row r="36" spans="1:33" ht="15.75" customHeight="1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6"/>
      <c r="V36" s="1"/>
      <c r="W36" s="31"/>
      <c r="X36" s="31"/>
      <c r="Y36" s="31"/>
      <c r="Z36" s="31"/>
      <c r="AA36" s="2"/>
      <c r="AB36" s="31"/>
      <c r="AC36" s="31"/>
      <c r="AD36" s="31"/>
      <c r="AE36" s="37"/>
      <c r="AF36" s="37"/>
      <c r="AG36" s="37"/>
    </row>
    <row r="37" spans="1:33" ht="15.75" customHeight="1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6"/>
      <c r="V37" s="1"/>
      <c r="W37" s="31"/>
      <c r="X37" s="31"/>
      <c r="Y37" s="31"/>
      <c r="Z37" s="31"/>
      <c r="AA37" s="2"/>
      <c r="AB37" s="31"/>
      <c r="AC37" s="31"/>
      <c r="AD37" s="31"/>
      <c r="AE37" s="37"/>
      <c r="AF37" s="37"/>
      <c r="AG37" s="37"/>
    </row>
    <row r="38" spans="1:33" ht="15.75" customHeight="1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6"/>
      <c r="V38" s="1"/>
      <c r="W38" s="31"/>
      <c r="X38" s="31"/>
      <c r="Y38" s="31"/>
      <c r="Z38" s="31"/>
      <c r="AA38" s="2"/>
      <c r="AB38" s="31"/>
      <c r="AC38" s="31"/>
      <c r="AD38" s="31"/>
      <c r="AE38" s="37"/>
      <c r="AF38" s="37"/>
      <c r="AG38" s="37"/>
    </row>
    <row r="39" spans="1:33" ht="15.75" customHeight="1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6"/>
      <c r="V39" s="1"/>
      <c r="W39" s="31"/>
      <c r="X39" s="31"/>
      <c r="Y39" s="31"/>
      <c r="Z39" s="31"/>
      <c r="AA39" s="2"/>
      <c r="AB39" s="31"/>
      <c r="AC39" s="31"/>
      <c r="AD39" s="31"/>
      <c r="AE39" s="37"/>
      <c r="AF39" s="37"/>
      <c r="AG39" s="37"/>
    </row>
    <row r="40" spans="1:33" ht="15.75" customHeight="1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6"/>
      <c r="V40" s="1"/>
      <c r="W40" s="31"/>
      <c r="X40" s="31"/>
      <c r="Y40" s="31"/>
      <c r="Z40" s="31"/>
      <c r="AA40" s="2"/>
      <c r="AB40" s="31"/>
      <c r="AC40" s="31"/>
      <c r="AD40" s="31"/>
      <c r="AE40" s="37"/>
      <c r="AF40" s="37"/>
      <c r="AG40" s="37"/>
    </row>
    <row r="41" spans="1:33" ht="15.75" customHeight="1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6"/>
      <c r="V41" s="1"/>
      <c r="W41" s="31"/>
      <c r="X41" s="31"/>
      <c r="Y41" s="31"/>
      <c r="Z41" s="31"/>
      <c r="AA41" s="2"/>
      <c r="AB41" s="31"/>
      <c r="AC41" s="31"/>
      <c r="AD41" s="31"/>
      <c r="AE41" s="37"/>
      <c r="AF41" s="37"/>
      <c r="AG41" s="37"/>
    </row>
    <row r="42" spans="1:33" ht="15.75" customHeight="1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6"/>
      <c r="V42" s="1"/>
      <c r="W42" s="31"/>
      <c r="X42" s="31"/>
      <c r="Y42" s="31"/>
      <c r="Z42" s="31"/>
      <c r="AA42" s="2"/>
      <c r="AB42" s="31"/>
      <c r="AC42" s="31"/>
      <c r="AD42" s="31"/>
      <c r="AE42" s="37"/>
      <c r="AF42" s="37"/>
      <c r="AG42" s="37"/>
    </row>
    <row r="43" spans="1:33" ht="15.75" customHeight="1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6"/>
      <c r="V43" s="1"/>
      <c r="W43" s="31"/>
      <c r="X43" s="31"/>
      <c r="Y43" s="31"/>
      <c r="Z43" s="31"/>
      <c r="AA43" s="2"/>
      <c r="AB43" s="31"/>
      <c r="AC43" s="31"/>
      <c r="AD43" s="31"/>
      <c r="AE43" s="37"/>
      <c r="AF43" s="37"/>
      <c r="AG43" s="37"/>
    </row>
    <row r="44" spans="1:33" ht="15.75" customHeight="1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6"/>
      <c r="V44" s="1"/>
      <c r="W44" s="31"/>
      <c r="X44" s="31"/>
      <c r="Y44" s="31"/>
      <c r="Z44" s="31"/>
      <c r="AA44" s="2"/>
      <c r="AB44" s="31"/>
      <c r="AC44" s="31"/>
      <c r="AD44" s="31"/>
      <c r="AE44" s="37"/>
      <c r="AF44" s="37"/>
      <c r="AG44" s="37"/>
    </row>
    <row r="45" spans="1:33" ht="15.75" customHeight="1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6"/>
      <c r="V45" s="1"/>
      <c r="W45" s="31"/>
      <c r="X45" s="31"/>
      <c r="Y45" s="31"/>
      <c r="Z45" s="31"/>
      <c r="AA45" s="2"/>
      <c r="AB45" s="31"/>
      <c r="AC45" s="31"/>
      <c r="AD45" s="31"/>
      <c r="AE45" s="37"/>
      <c r="AF45" s="37"/>
      <c r="AG45" s="37"/>
    </row>
    <row r="46" spans="1:33" ht="15.75" customHeight="1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6"/>
      <c r="V46" s="1"/>
      <c r="W46" s="31"/>
      <c r="X46" s="31"/>
      <c r="Y46" s="31"/>
      <c r="Z46" s="31"/>
      <c r="AA46" s="2"/>
      <c r="AB46" s="31"/>
      <c r="AC46" s="31"/>
      <c r="AD46" s="31"/>
      <c r="AE46" s="37"/>
      <c r="AF46" s="37"/>
      <c r="AG46" s="37"/>
    </row>
    <row r="47" spans="1:33" ht="15.75" customHeight="1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6"/>
      <c r="V47" s="1"/>
      <c r="W47" s="31"/>
      <c r="X47" s="31"/>
      <c r="Y47" s="31"/>
      <c r="Z47" s="31"/>
      <c r="AA47" s="2"/>
      <c r="AB47" s="31"/>
      <c r="AC47" s="31"/>
      <c r="AD47" s="31"/>
      <c r="AE47" s="37"/>
      <c r="AF47" s="37"/>
      <c r="AG47" s="37"/>
    </row>
    <row r="48" spans="1:33" ht="15.75" customHeight="1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6"/>
      <c r="V48" s="1"/>
      <c r="W48" s="31"/>
      <c r="X48" s="31"/>
      <c r="Y48" s="31"/>
      <c r="Z48" s="31"/>
      <c r="AA48" s="2"/>
      <c r="AB48" s="31"/>
      <c r="AC48" s="31"/>
      <c r="AD48" s="31"/>
      <c r="AE48" s="37"/>
      <c r="AF48" s="37"/>
      <c r="AG48" s="37"/>
    </row>
    <row r="49" spans="1:33" ht="15.75" customHeight="1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6"/>
      <c r="V49" s="1"/>
      <c r="W49" s="31"/>
      <c r="X49" s="31"/>
      <c r="Y49" s="31"/>
      <c r="Z49" s="31"/>
      <c r="AA49" s="2"/>
      <c r="AB49" s="31"/>
      <c r="AC49" s="31"/>
      <c r="AD49" s="31"/>
      <c r="AE49" s="37"/>
      <c r="AF49" s="37"/>
      <c r="AG49" s="37"/>
    </row>
    <row r="50" spans="1:33" ht="15.75" customHeight="1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6"/>
      <c r="V50" s="1"/>
      <c r="W50" s="31"/>
      <c r="X50" s="31"/>
      <c r="Y50" s="31"/>
      <c r="Z50" s="31"/>
      <c r="AA50" s="2"/>
      <c r="AB50" s="31"/>
      <c r="AC50" s="31"/>
      <c r="AD50" s="31"/>
      <c r="AE50" s="37"/>
      <c r="AF50" s="37"/>
      <c r="AG50" s="37"/>
    </row>
    <row r="51" spans="1:33" ht="15.75" customHeight="1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6"/>
      <c r="V51" s="1"/>
      <c r="W51" s="31"/>
      <c r="X51" s="31"/>
      <c r="Y51" s="31"/>
      <c r="Z51" s="31"/>
      <c r="AA51" s="2"/>
      <c r="AB51" s="31"/>
      <c r="AC51" s="31"/>
      <c r="AD51" s="31"/>
      <c r="AE51" s="37"/>
      <c r="AF51" s="37"/>
      <c r="AG51" s="37"/>
    </row>
    <row r="52" spans="1:33" ht="15.75" customHeight="1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6"/>
      <c r="V52" s="1"/>
      <c r="W52" s="31"/>
      <c r="X52" s="31"/>
      <c r="Y52" s="31"/>
      <c r="Z52" s="31"/>
      <c r="AA52" s="2"/>
      <c r="AB52" s="31"/>
      <c r="AC52" s="31"/>
      <c r="AD52" s="31"/>
      <c r="AE52" s="37"/>
      <c r="AF52" s="37"/>
      <c r="AG52" s="37"/>
    </row>
    <row r="53" spans="1:33" ht="15.75" customHeight="1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6"/>
      <c r="V53" s="1"/>
      <c r="W53" s="31"/>
      <c r="X53" s="31"/>
      <c r="Y53" s="31"/>
      <c r="Z53" s="31"/>
      <c r="AA53" s="2"/>
      <c r="AB53" s="31"/>
      <c r="AC53" s="31"/>
      <c r="AD53" s="31"/>
      <c r="AE53" s="37"/>
      <c r="AF53" s="37"/>
      <c r="AG53" s="37"/>
    </row>
    <row r="54" spans="1:33" ht="15.75" customHeight="1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6"/>
      <c r="V54" s="1"/>
      <c r="W54" s="31"/>
      <c r="X54" s="31"/>
      <c r="Y54" s="31"/>
      <c r="Z54" s="31"/>
      <c r="AA54" s="2"/>
      <c r="AB54" s="31"/>
      <c r="AC54" s="31"/>
      <c r="AD54" s="31"/>
      <c r="AE54" s="37"/>
      <c r="AF54" s="37"/>
      <c r="AG54" s="37"/>
    </row>
    <row r="55" spans="1:33" ht="15.75" customHeight="1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6"/>
      <c r="V55" s="1"/>
      <c r="W55" s="31"/>
      <c r="X55" s="31"/>
      <c r="Y55" s="31"/>
      <c r="Z55" s="31"/>
      <c r="AA55" s="2"/>
      <c r="AB55" s="31"/>
      <c r="AC55" s="31"/>
      <c r="AD55" s="31"/>
      <c r="AE55" s="37"/>
      <c r="AF55" s="37"/>
      <c r="AG55" s="37"/>
    </row>
    <row r="56" spans="1:33" ht="15.75" customHeight="1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6"/>
      <c r="V56" s="1"/>
      <c r="W56" s="31"/>
      <c r="X56" s="31"/>
      <c r="Y56" s="31"/>
      <c r="Z56" s="31"/>
      <c r="AA56" s="2"/>
      <c r="AB56" s="31"/>
      <c r="AC56" s="31"/>
      <c r="AD56" s="31"/>
      <c r="AE56" s="37"/>
      <c r="AF56" s="37"/>
      <c r="AG56" s="37"/>
    </row>
    <row r="57" spans="1:33" ht="15.75" customHeight="1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6"/>
      <c r="V57" s="1"/>
      <c r="W57" s="31"/>
      <c r="X57" s="31"/>
      <c r="Y57" s="31"/>
      <c r="Z57" s="31"/>
      <c r="AA57" s="2"/>
      <c r="AB57" s="31"/>
      <c r="AC57" s="31"/>
      <c r="AD57" s="31"/>
      <c r="AE57" s="37"/>
      <c r="AF57" s="37"/>
      <c r="AG57" s="37"/>
    </row>
    <row r="58" spans="1:33" ht="15.75" customHeight="1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6"/>
      <c r="V58" s="1"/>
      <c r="W58" s="31"/>
      <c r="X58" s="31"/>
      <c r="Y58" s="31"/>
      <c r="Z58" s="31"/>
      <c r="AA58" s="2"/>
      <c r="AB58" s="31"/>
      <c r="AC58" s="31"/>
      <c r="AD58" s="31"/>
      <c r="AE58" s="37"/>
      <c r="AF58" s="37"/>
      <c r="AG58" s="37"/>
    </row>
    <row r="59" spans="1:33" ht="15.75" customHeight="1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6"/>
      <c r="V59" s="1"/>
      <c r="W59" s="31"/>
      <c r="X59" s="31"/>
      <c r="Y59" s="31"/>
      <c r="Z59" s="31"/>
      <c r="AA59" s="2"/>
      <c r="AB59" s="31"/>
      <c r="AC59" s="31"/>
      <c r="AD59" s="31"/>
      <c r="AE59" s="37"/>
      <c r="AF59" s="37"/>
      <c r="AG59" s="37"/>
    </row>
    <row r="60" spans="1:33" ht="15.75" customHeight="1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6"/>
      <c r="V60" s="1"/>
      <c r="W60" s="31"/>
      <c r="X60" s="31"/>
      <c r="Y60" s="31"/>
      <c r="Z60" s="31"/>
      <c r="AA60" s="2"/>
      <c r="AB60" s="31"/>
      <c r="AC60" s="31"/>
      <c r="AD60" s="31"/>
      <c r="AE60" s="37"/>
      <c r="AF60" s="37"/>
      <c r="AG60" s="37"/>
    </row>
    <row r="61" spans="1:33" ht="15.75" customHeight="1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6"/>
      <c r="V61" s="1"/>
      <c r="W61" s="31"/>
      <c r="X61" s="31"/>
      <c r="Y61" s="31"/>
      <c r="Z61" s="31"/>
      <c r="AA61" s="2"/>
      <c r="AB61" s="31"/>
      <c r="AC61" s="31"/>
      <c r="AD61" s="31"/>
      <c r="AE61" s="37"/>
      <c r="AF61" s="37"/>
      <c r="AG61" s="37"/>
    </row>
    <row r="62" spans="1:33" ht="15.75" customHeight="1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6"/>
      <c r="V62" s="1"/>
      <c r="W62" s="31"/>
      <c r="X62" s="31"/>
      <c r="Y62" s="31"/>
      <c r="Z62" s="31"/>
      <c r="AA62" s="2"/>
      <c r="AB62" s="31"/>
      <c r="AC62" s="31"/>
      <c r="AD62" s="31"/>
      <c r="AE62" s="37"/>
      <c r="AF62" s="37"/>
      <c r="AG62" s="37"/>
    </row>
    <row r="63" spans="1:33" ht="15.75" customHeight="1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6"/>
      <c r="V63" s="1"/>
      <c r="W63" s="31"/>
      <c r="X63" s="31"/>
      <c r="Y63" s="31"/>
      <c r="Z63" s="31"/>
      <c r="AA63" s="2"/>
      <c r="AB63" s="31"/>
      <c r="AC63" s="31"/>
      <c r="AD63" s="31"/>
      <c r="AE63" s="37"/>
      <c r="AF63" s="37"/>
      <c r="AG63" s="37"/>
    </row>
    <row r="64" spans="1:33" ht="15.75" customHeight="1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6"/>
      <c r="V64" s="1"/>
      <c r="W64" s="31"/>
      <c r="X64" s="31"/>
      <c r="Y64" s="31"/>
      <c r="Z64" s="31"/>
      <c r="AA64" s="2"/>
      <c r="AB64" s="31"/>
      <c r="AC64" s="31"/>
      <c r="AD64" s="31"/>
      <c r="AE64" s="37"/>
      <c r="AF64" s="37"/>
      <c r="AG64" s="37"/>
    </row>
    <row r="65" spans="1:33" ht="15.75" customHeight="1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6"/>
      <c r="V65" s="1"/>
      <c r="W65" s="31"/>
      <c r="X65" s="31"/>
      <c r="Y65" s="31"/>
      <c r="Z65" s="31"/>
      <c r="AA65" s="2"/>
      <c r="AB65" s="31"/>
      <c r="AC65" s="31"/>
      <c r="AD65" s="31"/>
      <c r="AE65" s="37"/>
      <c r="AF65" s="37"/>
      <c r="AG65" s="37"/>
    </row>
    <row r="66" spans="1:33" ht="15.75" customHeight="1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6"/>
      <c r="V66" s="1"/>
      <c r="W66" s="31"/>
      <c r="X66" s="31"/>
      <c r="Y66" s="31"/>
      <c r="Z66" s="31"/>
      <c r="AA66" s="2"/>
      <c r="AB66" s="31"/>
      <c r="AC66" s="31"/>
      <c r="AD66" s="31"/>
      <c r="AE66" s="37"/>
      <c r="AF66" s="37"/>
      <c r="AG66" s="37"/>
    </row>
    <row r="67" spans="1:33" ht="15.75" customHeight="1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6"/>
      <c r="V67" s="1"/>
      <c r="W67" s="31"/>
      <c r="X67" s="31"/>
      <c r="Y67" s="31"/>
      <c r="Z67" s="31"/>
      <c r="AA67" s="2"/>
      <c r="AB67" s="31"/>
      <c r="AC67" s="31"/>
      <c r="AD67" s="31"/>
      <c r="AE67" s="37"/>
      <c r="AF67" s="37"/>
      <c r="AG67" s="37"/>
    </row>
    <row r="68" spans="1:33" ht="15.75" customHeight="1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6"/>
      <c r="V68" s="1"/>
      <c r="W68" s="31"/>
      <c r="X68" s="31"/>
      <c r="Y68" s="31"/>
      <c r="Z68" s="31"/>
      <c r="AA68" s="2"/>
      <c r="AB68" s="31"/>
      <c r="AC68" s="31"/>
      <c r="AD68" s="31"/>
      <c r="AE68" s="37"/>
      <c r="AF68" s="37"/>
      <c r="AG68" s="37"/>
    </row>
    <row r="69" spans="1:33" ht="15.75" customHeight="1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6"/>
      <c r="V69" s="1"/>
      <c r="W69" s="31"/>
      <c r="X69" s="31"/>
      <c r="Y69" s="31"/>
      <c r="Z69" s="31"/>
      <c r="AA69" s="2"/>
      <c r="AB69" s="31"/>
      <c r="AC69" s="31"/>
      <c r="AD69" s="31"/>
      <c r="AE69" s="37"/>
      <c r="AF69" s="37"/>
      <c r="AG69" s="37"/>
    </row>
    <row r="70" spans="1:33" ht="15.75" customHeight="1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6"/>
      <c r="V70" s="1"/>
      <c r="W70" s="31"/>
      <c r="X70" s="31"/>
      <c r="Y70" s="31"/>
      <c r="Z70" s="31"/>
      <c r="AA70" s="2"/>
      <c r="AB70" s="31"/>
      <c r="AC70" s="31"/>
      <c r="AD70" s="31"/>
      <c r="AE70" s="37"/>
      <c r="AF70" s="37"/>
      <c r="AG70" s="37"/>
    </row>
    <row r="71" spans="1:33" ht="15.75" customHeight="1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6"/>
      <c r="V71" s="1"/>
      <c r="W71" s="31"/>
      <c r="X71" s="31"/>
      <c r="Y71" s="31"/>
      <c r="Z71" s="31"/>
      <c r="AA71" s="2"/>
      <c r="AB71" s="31"/>
      <c r="AC71" s="31"/>
      <c r="AD71" s="31"/>
      <c r="AE71" s="37"/>
      <c r="AF71" s="37"/>
      <c r="AG71" s="37"/>
    </row>
    <row r="72" spans="1:33" ht="15.75" customHeight="1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6"/>
      <c r="V72" s="1"/>
      <c r="W72" s="31"/>
      <c r="X72" s="31"/>
      <c r="Y72" s="31"/>
      <c r="Z72" s="31"/>
      <c r="AA72" s="2"/>
      <c r="AB72" s="31"/>
      <c r="AC72" s="31"/>
      <c r="AD72" s="31"/>
      <c r="AE72" s="37"/>
      <c r="AF72" s="37"/>
      <c r="AG72" s="37"/>
    </row>
    <row r="73" spans="1:33" ht="15.75" customHeight="1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6"/>
      <c r="V73" s="1"/>
      <c r="W73" s="31"/>
      <c r="X73" s="31"/>
      <c r="Y73" s="31"/>
      <c r="Z73" s="31"/>
      <c r="AA73" s="2"/>
      <c r="AB73" s="31"/>
      <c r="AC73" s="31"/>
      <c r="AD73" s="31"/>
      <c r="AE73" s="37"/>
      <c r="AF73" s="37"/>
      <c r="AG73" s="37"/>
    </row>
    <row r="74" spans="1:33" ht="15.75" customHeight="1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6"/>
      <c r="V74" s="1"/>
      <c r="W74" s="31"/>
      <c r="X74" s="31"/>
      <c r="Y74" s="31"/>
      <c r="Z74" s="31"/>
      <c r="AA74" s="2"/>
      <c r="AB74" s="31"/>
      <c r="AC74" s="31"/>
      <c r="AD74" s="31"/>
      <c r="AE74" s="37"/>
      <c r="AF74" s="37"/>
      <c r="AG74" s="37"/>
    </row>
    <row r="75" spans="1:33" ht="15.75" customHeight="1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6"/>
      <c r="V75" s="1"/>
      <c r="W75" s="31"/>
      <c r="X75" s="31"/>
      <c r="Y75" s="31"/>
      <c r="Z75" s="31"/>
      <c r="AA75" s="2"/>
      <c r="AB75" s="31"/>
      <c r="AC75" s="31"/>
      <c r="AD75" s="31"/>
      <c r="AE75" s="37"/>
      <c r="AF75" s="37"/>
      <c r="AG75" s="37"/>
    </row>
    <row r="76" spans="1:33" ht="15.75" customHeight="1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6"/>
      <c r="V76" s="1"/>
      <c r="W76" s="31"/>
      <c r="X76" s="31"/>
      <c r="Y76" s="31"/>
      <c r="Z76" s="31"/>
      <c r="AA76" s="2"/>
      <c r="AB76" s="31"/>
      <c r="AC76" s="31"/>
      <c r="AD76" s="31"/>
      <c r="AE76" s="37"/>
      <c r="AF76" s="37"/>
      <c r="AG76" s="37"/>
    </row>
    <row r="77" spans="1:33" ht="15.75" customHeight="1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6"/>
      <c r="V77" s="1"/>
      <c r="W77" s="31"/>
      <c r="X77" s="31"/>
      <c r="Y77" s="31"/>
      <c r="Z77" s="31"/>
      <c r="AA77" s="2"/>
      <c r="AB77" s="31"/>
      <c r="AC77" s="31"/>
      <c r="AD77" s="31"/>
      <c r="AE77" s="37"/>
      <c r="AF77" s="37"/>
      <c r="AG77" s="37"/>
    </row>
    <row r="78" spans="1:33" ht="15.75" customHeight="1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6"/>
      <c r="V78" s="1"/>
      <c r="W78" s="31"/>
      <c r="X78" s="31"/>
      <c r="Y78" s="31"/>
      <c r="Z78" s="31"/>
      <c r="AA78" s="2"/>
      <c r="AB78" s="31"/>
      <c r="AC78" s="31"/>
      <c r="AD78" s="31"/>
      <c r="AE78" s="37"/>
      <c r="AF78" s="37"/>
      <c r="AG78" s="37"/>
    </row>
    <row r="79" spans="1:33" ht="15.75" customHeight="1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6"/>
      <c r="V79" s="1"/>
      <c r="W79" s="31"/>
      <c r="X79" s="31"/>
      <c r="Y79" s="31"/>
      <c r="Z79" s="31"/>
      <c r="AA79" s="2"/>
      <c r="AB79" s="31"/>
      <c r="AC79" s="31"/>
      <c r="AD79" s="31"/>
      <c r="AE79" s="37"/>
      <c r="AF79" s="37"/>
      <c r="AG79" s="37"/>
    </row>
    <row r="80" spans="1:33" ht="15.75" customHeight="1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6"/>
      <c r="V80" s="1"/>
      <c r="W80" s="31"/>
      <c r="X80" s="31"/>
      <c r="Y80" s="31"/>
      <c r="Z80" s="31"/>
      <c r="AA80" s="2"/>
      <c r="AB80" s="31"/>
      <c r="AC80" s="31"/>
      <c r="AD80" s="31"/>
      <c r="AE80" s="37"/>
      <c r="AF80" s="37"/>
      <c r="AG80" s="37"/>
    </row>
    <row r="81" spans="1:33" ht="15.75" customHeight="1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6"/>
      <c r="V81" s="1"/>
      <c r="W81" s="31"/>
      <c r="X81" s="31"/>
      <c r="Y81" s="31"/>
      <c r="Z81" s="31"/>
      <c r="AA81" s="2"/>
      <c r="AB81" s="31"/>
      <c r="AC81" s="31"/>
      <c r="AD81" s="31"/>
      <c r="AE81" s="37"/>
      <c r="AF81" s="37"/>
      <c r="AG81" s="37"/>
    </row>
    <row r="82" spans="1:33" ht="15.75" customHeight="1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6"/>
      <c r="V82" s="1"/>
      <c r="W82" s="31"/>
      <c r="X82" s="31"/>
      <c r="Y82" s="31"/>
      <c r="Z82" s="31"/>
      <c r="AA82" s="2"/>
      <c r="AB82" s="31"/>
      <c r="AC82" s="31"/>
      <c r="AD82" s="31"/>
      <c r="AE82" s="37"/>
      <c r="AF82" s="37"/>
      <c r="AG82" s="37"/>
    </row>
    <row r="83" spans="1:33" ht="15.75" customHeight="1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6"/>
      <c r="V83" s="1"/>
      <c r="W83" s="31"/>
      <c r="X83" s="31"/>
      <c r="Y83" s="31"/>
      <c r="Z83" s="31"/>
      <c r="AA83" s="2"/>
      <c r="AB83" s="31"/>
      <c r="AC83" s="31"/>
      <c r="AD83" s="31"/>
      <c r="AE83" s="37"/>
      <c r="AF83" s="37"/>
      <c r="AG83" s="37"/>
    </row>
    <row r="84" spans="1:33" ht="15.75" customHeight="1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6"/>
      <c r="V84" s="1"/>
      <c r="W84" s="31"/>
      <c r="X84" s="31"/>
      <c r="Y84" s="31"/>
      <c r="Z84" s="31"/>
      <c r="AA84" s="2"/>
      <c r="AB84" s="31"/>
      <c r="AC84" s="31"/>
      <c r="AD84" s="31"/>
      <c r="AE84" s="37"/>
      <c r="AF84" s="37"/>
      <c r="AG84" s="37"/>
    </row>
    <row r="85" spans="1:33" ht="15.75" customHeight="1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6"/>
      <c r="V85" s="1"/>
      <c r="W85" s="31"/>
      <c r="X85" s="31"/>
      <c r="Y85" s="31"/>
      <c r="Z85" s="31"/>
      <c r="AA85" s="2"/>
      <c r="AB85" s="31"/>
      <c r="AC85" s="31"/>
      <c r="AD85" s="31"/>
      <c r="AE85" s="37"/>
      <c r="AF85" s="37"/>
      <c r="AG85" s="37"/>
    </row>
    <row r="86" spans="1:33" ht="15.75" customHeight="1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6"/>
      <c r="V86" s="1"/>
      <c r="W86" s="31"/>
      <c r="X86" s="31"/>
      <c r="Y86" s="31"/>
      <c r="Z86" s="31"/>
      <c r="AA86" s="2"/>
      <c r="AB86" s="31"/>
      <c r="AC86" s="31"/>
      <c r="AD86" s="31"/>
      <c r="AE86" s="37"/>
      <c r="AF86" s="37"/>
      <c r="AG86" s="37"/>
    </row>
    <row r="87" spans="1:33" ht="15.75" customHeight="1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6"/>
      <c r="V87" s="1"/>
      <c r="W87" s="31"/>
      <c r="X87" s="31"/>
      <c r="Y87" s="31"/>
      <c r="Z87" s="31"/>
      <c r="AA87" s="2"/>
      <c r="AB87" s="31"/>
      <c r="AC87" s="31"/>
      <c r="AD87" s="31"/>
      <c r="AE87" s="37"/>
      <c r="AF87" s="37"/>
      <c r="AG87" s="37"/>
    </row>
    <row r="88" spans="1:33" ht="15.75" customHeight="1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6"/>
      <c r="V88" s="1"/>
      <c r="W88" s="31"/>
      <c r="X88" s="31"/>
      <c r="Y88" s="31"/>
      <c r="Z88" s="31"/>
      <c r="AA88" s="2"/>
      <c r="AB88" s="31"/>
      <c r="AC88" s="31"/>
      <c r="AD88" s="31"/>
      <c r="AE88" s="37"/>
      <c r="AF88" s="37"/>
      <c r="AG88" s="37"/>
    </row>
    <row r="89" spans="1:33" ht="15.75" customHeight="1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6"/>
      <c r="V89" s="1"/>
      <c r="W89" s="31"/>
      <c r="X89" s="31"/>
      <c r="Y89" s="31"/>
      <c r="Z89" s="31"/>
      <c r="AA89" s="2"/>
      <c r="AB89" s="31"/>
      <c r="AC89" s="31"/>
      <c r="AD89" s="31"/>
      <c r="AE89" s="37"/>
      <c r="AF89" s="37"/>
      <c r="AG89" s="37"/>
    </row>
    <row r="90" spans="1:33" ht="15.75" customHeight="1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6"/>
      <c r="V90" s="1"/>
      <c r="W90" s="31"/>
      <c r="X90" s="31"/>
      <c r="Y90" s="31"/>
      <c r="Z90" s="31"/>
      <c r="AA90" s="2"/>
      <c r="AB90" s="31"/>
      <c r="AC90" s="31"/>
      <c r="AD90" s="31"/>
      <c r="AE90" s="37"/>
      <c r="AF90" s="37"/>
      <c r="AG90" s="37"/>
    </row>
    <row r="91" spans="1:33" ht="15.75" customHeight="1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6"/>
      <c r="V91" s="1"/>
      <c r="W91" s="31"/>
      <c r="X91" s="31"/>
      <c r="Y91" s="31"/>
      <c r="Z91" s="31"/>
      <c r="AA91" s="2"/>
      <c r="AB91" s="31"/>
      <c r="AC91" s="31"/>
      <c r="AD91" s="31"/>
      <c r="AE91" s="37"/>
      <c r="AF91" s="37"/>
      <c r="AG91" s="37"/>
    </row>
    <row r="92" spans="1:33" ht="15.75" customHeight="1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6"/>
      <c r="V92" s="1"/>
      <c r="W92" s="31"/>
      <c r="X92" s="31"/>
      <c r="Y92" s="31"/>
      <c r="Z92" s="31"/>
      <c r="AA92" s="2"/>
      <c r="AB92" s="31"/>
      <c r="AC92" s="31"/>
      <c r="AD92" s="31"/>
      <c r="AE92" s="37"/>
      <c r="AF92" s="37"/>
      <c r="AG92" s="37"/>
    </row>
    <row r="93" spans="1:33" ht="15.75" customHeight="1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6"/>
      <c r="V93" s="1"/>
      <c r="W93" s="31"/>
      <c r="X93" s="31"/>
      <c r="Y93" s="31"/>
      <c r="Z93" s="31"/>
      <c r="AA93" s="2"/>
      <c r="AB93" s="31"/>
      <c r="AC93" s="31"/>
      <c r="AD93" s="31"/>
      <c r="AE93" s="37"/>
      <c r="AF93" s="37"/>
      <c r="AG93" s="37"/>
    </row>
    <row r="94" spans="1:33" ht="15.75" customHeight="1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6"/>
      <c r="V94" s="1"/>
      <c r="W94" s="31"/>
      <c r="X94" s="31"/>
      <c r="Y94" s="31"/>
      <c r="Z94" s="31"/>
      <c r="AA94" s="2"/>
      <c r="AB94" s="31"/>
      <c r="AC94" s="31"/>
      <c r="AD94" s="31"/>
      <c r="AE94" s="37"/>
      <c r="AF94" s="37"/>
      <c r="AG94" s="37"/>
    </row>
    <row r="95" spans="1:33" ht="15.75" customHeight="1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6"/>
      <c r="V95" s="1"/>
      <c r="W95" s="31"/>
      <c r="X95" s="31"/>
      <c r="Y95" s="31"/>
      <c r="Z95" s="31"/>
      <c r="AA95" s="2"/>
      <c r="AB95" s="31"/>
      <c r="AC95" s="31"/>
      <c r="AD95" s="31"/>
      <c r="AE95" s="37"/>
      <c r="AF95" s="37"/>
      <c r="AG95" s="37"/>
    </row>
    <row r="96" spans="1:33" ht="15.75" customHeight="1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6"/>
      <c r="V96" s="1"/>
      <c r="W96" s="31"/>
      <c r="X96" s="31"/>
      <c r="Y96" s="31"/>
      <c r="Z96" s="31"/>
      <c r="AA96" s="2"/>
      <c r="AB96" s="31"/>
      <c r="AC96" s="31"/>
      <c r="AD96" s="31"/>
      <c r="AE96" s="37"/>
      <c r="AF96" s="37"/>
      <c r="AG96" s="37"/>
    </row>
    <row r="97" spans="1:33" ht="15.75" customHeight="1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8"/>
      <c r="R97" s="38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8"/>
      <c r="R98" s="38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8"/>
      <c r="R99" s="38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8"/>
      <c r="R100" s="38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8"/>
      <c r="R101" s="38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8"/>
      <c r="R102" s="38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8"/>
      <c r="R103" s="38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8"/>
      <c r="R104" s="38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8"/>
      <c r="R105" s="38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8"/>
      <c r="R106" s="38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8"/>
      <c r="R107" s="38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8"/>
      <c r="R108" s="38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8"/>
      <c r="R109" s="38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8"/>
      <c r="R110" s="38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8"/>
      <c r="R111" s="38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8"/>
      <c r="R112" s="38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8"/>
      <c r="R113" s="38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8"/>
      <c r="R114" s="38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>
      <c r="A115" s="31"/>
      <c r="B115" s="31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>
      <c r="A116" s="31"/>
      <c r="B116" s="31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>
      <c r="A117" s="31"/>
      <c r="B117" s="31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>
      <c r="A118" s="31"/>
      <c r="B118" s="31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>
      <c r="A119" s="31"/>
      <c r="B119" s="31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>
      <c r="A120" s="31"/>
      <c r="B120" s="31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>
      <c r="A121" s="31"/>
      <c r="B121" s="31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>
      <c r="A122" s="31"/>
      <c r="B122" s="31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>
      <c r="A123" s="31"/>
      <c r="B123" s="31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>
      <c r="A124" s="31"/>
      <c r="B124" s="31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>
      <c r="A125" s="31"/>
      <c r="B125" s="31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>
      <c r="A126" s="31"/>
      <c r="B126" s="31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>
      <c r="A127" s="31"/>
      <c r="B127" s="31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>
      <c r="A128" s="31"/>
      <c r="B128" s="31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>
      <c r="A129" s="31"/>
      <c r="B129" s="31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>
      <c r="A130" s="31"/>
      <c r="B130" s="31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>
      <c r="A131" s="31"/>
      <c r="B131" s="31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>
      <c r="A132" s="31"/>
      <c r="B132" s="31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>
      <c r="A133" s="31"/>
      <c r="B133" s="31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>
      <c r="A134" s="31"/>
      <c r="B134" s="31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>
      <c r="A135" s="31"/>
      <c r="B135" s="31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>
      <c r="A136" s="31"/>
      <c r="B136" s="31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>
      <c r="A137" s="31"/>
      <c r="B137" s="31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>
      <c r="A138" s="31"/>
      <c r="B138" s="31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>
      <c r="A139" s="31"/>
      <c r="B139" s="31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>
      <c r="A140" s="31"/>
      <c r="B140" s="31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>
      <c r="A141" s="31"/>
      <c r="B141" s="31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2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>
      <c r="A142" s="31"/>
      <c r="B142" s="31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2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>
      <c r="A143" s="31"/>
      <c r="B143" s="31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2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>
      <c r="A144" s="31"/>
      <c r="B144" s="31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2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>
      <c r="A145" s="31"/>
      <c r="B145" s="31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2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>
      <c r="A146" s="31"/>
      <c r="B146" s="31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2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>
      <c r="A147" s="31"/>
      <c r="B147" s="31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2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>
      <c r="A148" s="31"/>
      <c r="B148" s="31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2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</row>
    <row r="149" spans="1:33" ht="15.75" customHeight="1">
      <c r="A149" s="14"/>
      <c r="B149" s="14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>
      <c r="A150" s="14"/>
      <c r="B150" s="14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>
      <c r="A151" s="14"/>
      <c r="B151" s="14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>
      <c r="A152" s="14"/>
      <c r="B152" s="14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>
      <c r="A153" s="14"/>
      <c r="B153" s="14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>
      <c r="A154" s="14"/>
      <c r="B154" s="14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>
      <c r="A155" s="14"/>
      <c r="B155" s="14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>
      <c r="A156" s="14"/>
      <c r="B156" s="14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>
      <c r="A157" s="14"/>
      <c r="B157" s="14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>
      <c r="A158" s="14"/>
      <c r="B158" s="14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>
      <c r="A159" s="14"/>
      <c r="B159" s="14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>
      <c r="A160" s="14"/>
      <c r="B160" s="14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>
      <c r="A161" s="14"/>
      <c r="B161" s="14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>
      <c r="A162" s="14"/>
      <c r="B162" s="14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>
      <c r="A163" s="14"/>
      <c r="B163" s="14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>
      <c r="A164" s="14"/>
      <c r="B164" s="14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>
      <c r="A165" s="14"/>
      <c r="B165" s="14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>
      <c r="A166" s="14"/>
      <c r="B166" s="14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>
      <c r="A167" s="14"/>
      <c r="B167" s="14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>
      <c r="A168" s="14"/>
      <c r="B168" s="14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>
      <c r="A169" s="14"/>
      <c r="B169" s="14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>
      <c r="A170" s="14"/>
      <c r="B170" s="14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>
      <c r="A171" s="14"/>
      <c r="B171" s="14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>
      <c r="A172" s="14"/>
      <c r="B172" s="14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>
      <c r="A173" s="14"/>
      <c r="B173" s="14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>
      <c r="A174" s="14"/>
      <c r="B174" s="14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>
      <c r="A175" s="14"/>
      <c r="B175" s="14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>
      <c r="A176" s="14"/>
      <c r="B176" s="14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>
      <c r="A177" s="14"/>
      <c r="B177" s="14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>
      <c r="A178" s="14"/>
      <c r="B178" s="14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>
      <c r="A179" s="14"/>
      <c r="B179" s="14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>
      <c r="A180" s="14"/>
      <c r="B180" s="14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>
      <c r="A181" s="14"/>
      <c r="B181" s="14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>
      <c r="A182" s="14"/>
      <c r="B182" s="14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>
      <c r="A183" s="14"/>
      <c r="B183" s="14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>
      <c r="A184" s="14"/>
      <c r="B184" s="14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>
      <c r="A185" s="14"/>
      <c r="B185" s="14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>
      <c r="A186" s="14"/>
      <c r="B186" s="14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>
      <c r="A187" s="14"/>
      <c r="B187" s="14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>
      <c r="A188" s="14"/>
      <c r="B188" s="14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>
      <c r="A189" s="14"/>
      <c r="B189" s="14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>
      <c r="A190" s="14"/>
      <c r="B190" s="14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>
      <c r="A191" s="14"/>
      <c r="B191" s="14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>
      <c r="A192" s="14"/>
      <c r="B192" s="14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>
      <c r="A193" s="14"/>
      <c r="B193" s="14"/>
      <c r="C193" s="39"/>
      <c r="D193" s="39"/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>
      <c r="A194" s="14"/>
      <c r="B194" s="14"/>
      <c r="C194" s="39"/>
      <c r="D194" s="39"/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>
      <c r="A195" s="14"/>
      <c r="B195" s="14"/>
      <c r="C195" s="39"/>
      <c r="D195" s="39"/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>
      <c r="A196" s="14"/>
      <c r="B196" s="14"/>
      <c r="C196" s="39"/>
      <c r="D196" s="39"/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>
      <c r="A197" s="14"/>
      <c r="B197" s="14"/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>
      <c r="A198" s="14"/>
      <c r="B198" s="14"/>
      <c r="C198" s="39"/>
      <c r="D198" s="39"/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>
      <c r="A199" s="14"/>
      <c r="B199" s="14"/>
      <c r="C199" s="39"/>
      <c r="D199" s="39"/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>
      <c r="A200" s="14"/>
      <c r="B200" s="14"/>
      <c r="C200" s="39"/>
      <c r="D200" s="39"/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>
      <c r="A201" s="14"/>
      <c r="B201" s="14"/>
      <c r="C201" s="39"/>
      <c r="D201" s="39"/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>
      <c r="A202" s="14"/>
      <c r="B202" s="14"/>
      <c r="C202" s="39"/>
      <c r="D202" s="39"/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>
      <c r="A203" s="14"/>
      <c r="B203" s="14"/>
      <c r="C203" s="39"/>
      <c r="D203" s="39"/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>
      <c r="A204" s="14"/>
      <c r="B204" s="14"/>
      <c r="C204" s="39"/>
      <c r="D204" s="39"/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>
      <c r="A205" s="14"/>
      <c r="B205" s="14"/>
      <c r="C205" s="39"/>
      <c r="D205" s="39"/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>
      <c r="A206" s="14"/>
      <c r="B206" s="14"/>
      <c r="C206" s="39"/>
      <c r="D206" s="39"/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>
      <c r="A207" s="14"/>
      <c r="B207" s="14"/>
      <c r="C207" s="39"/>
      <c r="D207" s="39"/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>
      <c r="A208" s="14"/>
      <c r="B208" s="14"/>
      <c r="C208" s="39"/>
      <c r="D208" s="39"/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>
      <c r="A209" s="14"/>
      <c r="B209" s="14"/>
      <c r="C209" s="39"/>
      <c r="D209" s="39"/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>
      <c r="A210" s="14"/>
      <c r="B210" s="14"/>
      <c r="C210" s="39"/>
      <c r="D210" s="39"/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>
      <c r="A211" s="14"/>
      <c r="B211" s="14"/>
      <c r="C211" s="39"/>
      <c r="D211" s="39"/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>
      <c r="A212" s="14"/>
      <c r="B212" s="14"/>
      <c r="C212" s="39"/>
      <c r="D212" s="39"/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>
      <c r="A213" s="14"/>
      <c r="B213" s="14"/>
      <c r="C213" s="39"/>
      <c r="D213" s="39"/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>
      <c r="A214" s="14"/>
      <c r="B214" s="14"/>
      <c r="C214" s="39"/>
      <c r="D214" s="39"/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>
      <c r="A215" s="14"/>
      <c r="B215" s="14"/>
      <c r="C215" s="39"/>
      <c r="D215" s="39"/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>
      <c r="A216" s="14"/>
      <c r="B216" s="14"/>
      <c r="C216" s="39"/>
      <c r="D216" s="39"/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>
      <c r="A217" s="14"/>
      <c r="B217" s="14"/>
      <c r="C217" s="39"/>
      <c r="D217" s="39"/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>
      <c r="A218" s="14"/>
      <c r="B218" s="14"/>
      <c r="C218" s="39"/>
      <c r="D218" s="39"/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>
      <c r="A219" s="14"/>
      <c r="B219" s="14"/>
      <c r="C219" s="39"/>
      <c r="D219" s="39"/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>
      <c r="A220" s="14"/>
      <c r="B220" s="14"/>
      <c r="C220" s="39"/>
      <c r="D220" s="39"/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>
      <c r="R221" s="30"/>
      <c r="S221" s="40"/>
    </row>
    <row r="222" spans="1:33" ht="15.75" customHeight="1">
      <c r="R222" s="30"/>
      <c r="S222" s="40"/>
    </row>
    <row r="223" spans="1:33" ht="15.75" customHeight="1">
      <c r="R223" s="30"/>
      <c r="S223" s="40"/>
    </row>
    <row r="224" spans="1:33" ht="15.75" customHeight="1">
      <c r="R224" s="30"/>
      <c r="S224" s="40"/>
    </row>
    <row r="225" spans="18:18" ht="15.75" customHeight="1">
      <c r="R225" s="30"/>
    </row>
    <row r="226" spans="18:18" ht="15.75" customHeight="1">
      <c r="R226" s="30"/>
    </row>
    <row r="227" spans="18:18" ht="15.75" customHeight="1">
      <c r="R227" s="30"/>
    </row>
    <row r="228" spans="18:18" ht="15.75" customHeight="1">
      <c r="R228" s="30"/>
    </row>
    <row r="229" spans="18:18" ht="15.75" customHeight="1">
      <c r="R229" s="30"/>
    </row>
    <row r="230" spans="18:18" ht="15.75" customHeight="1">
      <c r="R230" s="30"/>
    </row>
    <row r="231" spans="18:18" ht="15.75" customHeight="1">
      <c r="R231" s="30"/>
    </row>
    <row r="232" spans="18:18" ht="15.75" customHeight="1">
      <c r="R232" s="30"/>
    </row>
    <row r="233" spans="18:18" ht="15.75" customHeight="1">
      <c r="R233" s="30"/>
    </row>
    <row r="234" spans="18:18" ht="15.75" customHeight="1">
      <c r="R234" s="30"/>
    </row>
    <row r="235" spans="18:18" ht="15.75" customHeight="1">
      <c r="R235" s="30"/>
    </row>
    <row r="236" spans="18:18" ht="15.75" customHeight="1">
      <c r="R236" s="30"/>
    </row>
    <row r="237" spans="18:18" ht="15.75" customHeight="1">
      <c r="R237" s="30"/>
    </row>
    <row r="238" spans="18:18" ht="15.75" customHeight="1">
      <c r="R238" s="30"/>
    </row>
    <row r="239" spans="18:18" ht="15.75" customHeight="1">
      <c r="R239" s="30"/>
    </row>
    <row r="240" spans="18:18" ht="15.75" customHeight="1">
      <c r="R240" s="30"/>
    </row>
    <row r="241" spans="18:18" ht="15.75" customHeight="1">
      <c r="R241" s="30"/>
    </row>
    <row r="242" spans="18:18" ht="15.75" customHeight="1">
      <c r="R242" s="30"/>
    </row>
    <row r="243" spans="18:18" ht="15.75" customHeight="1">
      <c r="R243" s="30"/>
    </row>
    <row r="244" spans="18:18" ht="15.75" customHeight="1">
      <c r="R244" s="30"/>
    </row>
    <row r="245" spans="18:18" ht="15.75" customHeight="1">
      <c r="R245" s="30"/>
    </row>
    <row r="246" spans="18:18" ht="15.75" customHeight="1">
      <c r="R246" s="30"/>
    </row>
    <row r="247" spans="18:18" ht="15.75" customHeight="1">
      <c r="R247" s="30"/>
    </row>
    <row r="248" spans="18:18" ht="15.75" customHeight="1">
      <c r="R248" s="30"/>
    </row>
    <row r="249" spans="18:18" ht="15.75" customHeight="1">
      <c r="R249" s="30"/>
    </row>
    <row r="250" spans="18:18" ht="15.75" customHeight="1">
      <c r="R250" s="30"/>
    </row>
    <row r="251" spans="18:18" ht="15.75" customHeight="1">
      <c r="R251" s="30"/>
    </row>
    <row r="252" spans="18:18" ht="15.75" customHeight="1">
      <c r="R252" s="30"/>
    </row>
    <row r="253" spans="18:18" ht="15.75" customHeight="1">
      <c r="R253" s="30"/>
    </row>
    <row r="254" spans="18:18" ht="15.75" customHeight="1">
      <c r="R254" s="30"/>
    </row>
    <row r="255" spans="18:18" ht="15.75" customHeight="1">
      <c r="R255" s="30"/>
    </row>
    <row r="256" spans="18:18" ht="15.75" customHeight="1">
      <c r="R256" s="30"/>
    </row>
    <row r="257" spans="18:18" ht="15.75" customHeight="1">
      <c r="R257" s="30"/>
    </row>
    <row r="258" spans="18:18" ht="15.75" customHeight="1">
      <c r="R258" s="30"/>
    </row>
    <row r="259" spans="18:18" ht="15.75" customHeight="1">
      <c r="R259" s="30"/>
    </row>
    <row r="260" spans="18:18" ht="15.75" customHeight="1">
      <c r="R260" s="30"/>
    </row>
    <row r="261" spans="18:18" ht="15.75" customHeight="1">
      <c r="R261" s="30"/>
    </row>
    <row r="262" spans="18:18" ht="15.75" customHeight="1">
      <c r="R262" s="30"/>
    </row>
    <row r="263" spans="18:18" ht="15.75" customHeight="1">
      <c r="R263" s="30"/>
    </row>
    <row r="264" spans="18:18" ht="15.75" customHeight="1">
      <c r="R264" s="30"/>
    </row>
    <row r="265" spans="18:18" ht="15.75" customHeight="1">
      <c r="R265" s="30"/>
    </row>
    <row r="266" spans="18:18" ht="15.75" customHeight="1">
      <c r="R266" s="30"/>
    </row>
    <row r="267" spans="18:18" ht="15.75" customHeight="1">
      <c r="R267" s="30"/>
    </row>
    <row r="268" spans="18:18" ht="15.75" customHeight="1">
      <c r="R268" s="30"/>
    </row>
    <row r="269" spans="18:18" ht="15.75" customHeight="1">
      <c r="R269" s="30"/>
    </row>
    <row r="270" spans="18:18" ht="15.75" customHeight="1">
      <c r="R270" s="30"/>
    </row>
    <row r="271" spans="18:18" ht="15.75" customHeight="1">
      <c r="R271" s="30"/>
    </row>
    <row r="272" spans="18:18" ht="15.75" customHeight="1">
      <c r="R272" s="30"/>
    </row>
    <row r="273" spans="18:18" ht="15.75" customHeight="1">
      <c r="R273" s="30"/>
    </row>
    <row r="274" spans="18:18" ht="15.75" customHeight="1">
      <c r="R274" s="30"/>
    </row>
    <row r="275" spans="18:18" ht="15.75" customHeight="1">
      <c r="R275" s="30"/>
    </row>
    <row r="276" spans="18:18" ht="15.75" customHeight="1">
      <c r="R276" s="30"/>
    </row>
    <row r="277" spans="18:18" ht="15.75" customHeight="1">
      <c r="R277" s="30"/>
    </row>
    <row r="278" spans="18:18" ht="15.75" customHeight="1">
      <c r="R278" s="30"/>
    </row>
    <row r="279" spans="18:18" ht="15.75" customHeight="1">
      <c r="R279" s="30"/>
    </row>
    <row r="280" spans="18:18" ht="15.75" customHeight="1">
      <c r="R280" s="30"/>
    </row>
    <row r="281" spans="18:18" ht="15.75" customHeight="1">
      <c r="R281" s="30"/>
    </row>
    <row r="282" spans="18:18" ht="15.75" customHeight="1">
      <c r="R282" s="30"/>
    </row>
    <row r="283" spans="18:18" ht="15.75" customHeight="1">
      <c r="R283" s="30"/>
    </row>
    <row r="284" spans="18:18" ht="15.75" customHeight="1">
      <c r="R284" s="30"/>
    </row>
    <row r="285" spans="18:18" ht="15.75" customHeight="1">
      <c r="R285" s="30"/>
    </row>
    <row r="286" spans="18:18" ht="15.75" customHeight="1">
      <c r="R286" s="30"/>
    </row>
    <row r="287" spans="18:18" ht="15.75" customHeight="1">
      <c r="R287" s="30"/>
    </row>
    <row r="288" spans="18:18" ht="15.75" customHeight="1">
      <c r="R288" s="30"/>
    </row>
    <row r="289" spans="18:18" ht="15.75" customHeight="1">
      <c r="R289" s="30"/>
    </row>
    <row r="290" spans="18:18" ht="15.75" customHeight="1">
      <c r="R290" s="30"/>
    </row>
    <row r="291" spans="18:18" ht="15.75" customHeight="1">
      <c r="R291" s="30"/>
    </row>
    <row r="292" spans="18:18" ht="15.75" customHeight="1">
      <c r="R292" s="30"/>
    </row>
    <row r="293" spans="18:18" ht="15.75" customHeight="1">
      <c r="R293" s="30"/>
    </row>
    <row r="294" spans="18:18" ht="15.75" customHeight="1">
      <c r="R294" s="30"/>
    </row>
    <row r="295" spans="18:18" ht="15.75" customHeight="1">
      <c r="R295" s="30"/>
    </row>
    <row r="296" spans="18:18" ht="15.75" customHeight="1">
      <c r="R296" s="30"/>
    </row>
    <row r="297" spans="18:18" ht="15.75" customHeight="1">
      <c r="R297" s="30"/>
    </row>
    <row r="298" spans="18:18" ht="15.75" customHeight="1">
      <c r="R298" s="30"/>
    </row>
    <row r="299" spans="18:18" ht="15.75" customHeight="1">
      <c r="R299" s="30"/>
    </row>
    <row r="300" spans="18:18" ht="15.75" customHeight="1">
      <c r="R300" s="30"/>
    </row>
    <row r="301" spans="18:18" ht="15.75" customHeight="1">
      <c r="R301" s="30"/>
    </row>
    <row r="302" spans="18:18" ht="15.75" customHeight="1">
      <c r="R302" s="30"/>
    </row>
    <row r="303" spans="18:18" ht="15.75" customHeight="1">
      <c r="R303" s="30"/>
    </row>
    <row r="304" spans="18:18" ht="15.75" customHeight="1">
      <c r="R304" s="30"/>
    </row>
    <row r="305" spans="18:18" ht="15.75" customHeight="1">
      <c r="R305" s="30"/>
    </row>
    <row r="306" spans="18:18" ht="15.75" customHeight="1">
      <c r="R306" s="30"/>
    </row>
    <row r="307" spans="18:18" ht="15.75" customHeight="1">
      <c r="R307" s="30"/>
    </row>
    <row r="308" spans="18:18" ht="15.75" customHeight="1">
      <c r="R308" s="30"/>
    </row>
    <row r="309" spans="18:18" ht="15.75" customHeight="1">
      <c r="R309" s="30"/>
    </row>
    <row r="310" spans="18:18" ht="15.75" customHeight="1">
      <c r="R310" s="30"/>
    </row>
    <row r="311" spans="18:18" ht="15.75" customHeight="1">
      <c r="R311" s="30"/>
    </row>
    <row r="312" spans="18:18" ht="15.75" customHeight="1">
      <c r="R312" s="30"/>
    </row>
    <row r="313" spans="18:18" ht="15.75" customHeight="1">
      <c r="R313" s="30"/>
    </row>
    <row r="314" spans="18:18" ht="15.75" customHeight="1">
      <c r="R314" s="30"/>
    </row>
    <row r="315" spans="18:18" ht="15.75" customHeight="1">
      <c r="R315" s="30"/>
    </row>
    <row r="316" spans="18:18" ht="15.75" customHeight="1">
      <c r="R316" s="30"/>
    </row>
    <row r="317" spans="18:18" ht="15.75" customHeight="1">
      <c r="R317" s="30"/>
    </row>
    <row r="318" spans="18:18" ht="15.75" customHeight="1">
      <c r="R318" s="30"/>
    </row>
    <row r="319" spans="18:18" ht="15.75" customHeight="1">
      <c r="R319" s="30"/>
    </row>
    <row r="320" spans="18:18" ht="15.75" customHeight="1">
      <c r="R320" s="30"/>
    </row>
    <row r="321" spans="18:18" ht="15.75" customHeight="1">
      <c r="R321" s="30"/>
    </row>
    <row r="322" spans="18:18" ht="15.75" customHeight="1">
      <c r="R322" s="30"/>
    </row>
    <row r="323" spans="18:18" ht="15.75" customHeight="1">
      <c r="R323" s="30"/>
    </row>
    <row r="324" spans="18:18" ht="15.75" customHeight="1">
      <c r="R324" s="30"/>
    </row>
    <row r="325" spans="18:18" ht="15.75" customHeight="1">
      <c r="R325" s="30"/>
    </row>
    <row r="326" spans="18:18" ht="15.75" customHeight="1">
      <c r="R326" s="30"/>
    </row>
    <row r="327" spans="18:18" ht="15.75" customHeight="1">
      <c r="R327" s="30"/>
    </row>
    <row r="328" spans="18:18" ht="15.75" customHeight="1">
      <c r="R328" s="30"/>
    </row>
    <row r="329" spans="18:18" ht="15.75" customHeight="1">
      <c r="R329" s="30"/>
    </row>
    <row r="330" spans="18:18" ht="15.75" customHeight="1">
      <c r="R330" s="30"/>
    </row>
    <row r="331" spans="18:18" ht="15.75" customHeight="1">
      <c r="R331" s="30"/>
    </row>
    <row r="332" spans="18:18" ht="15.75" customHeight="1">
      <c r="R332" s="30"/>
    </row>
    <row r="333" spans="18:18" ht="15.75" customHeight="1">
      <c r="R333" s="30"/>
    </row>
    <row r="334" spans="18:18" ht="15.75" customHeight="1">
      <c r="R334" s="30"/>
    </row>
    <row r="335" spans="18:18" ht="15.75" customHeight="1">
      <c r="R335" s="30"/>
    </row>
    <row r="336" spans="18:18" ht="15.75" customHeight="1">
      <c r="R336" s="30"/>
    </row>
    <row r="337" spans="18:18" ht="15.75" customHeight="1">
      <c r="R337" s="30"/>
    </row>
    <row r="338" spans="18:18" ht="15.75" customHeight="1">
      <c r="R338" s="30"/>
    </row>
    <row r="339" spans="18:18" ht="15.75" customHeight="1">
      <c r="R339" s="30"/>
    </row>
    <row r="340" spans="18:18" ht="15.75" customHeight="1">
      <c r="R340" s="30"/>
    </row>
    <row r="341" spans="18:18" ht="15.75" customHeight="1">
      <c r="R341" s="30"/>
    </row>
    <row r="342" spans="18:18" ht="15.75" customHeight="1">
      <c r="R342" s="30"/>
    </row>
    <row r="343" spans="18:18" ht="15.75" customHeight="1">
      <c r="R343" s="30"/>
    </row>
    <row r="344" spans="18:18" ht="15.75" customHeight="1">
      <c r="R344" s="30"/>
    </row>
    <row r="345" spans="18:18" ht="15.75" customHeight="1">
      <c r="R345" s="30"/>
    </row>
    <row r="346" spans="18:18" ht="15.75" customHeight="1">
      <c r="R346" s="30"/>
    </row>
    <row r="347" spans="18:18" ht="15.75" customHeight="1">
      <c r="R347" s="30"/>
    </row>
    <row r="348" spans="18:18" ht="15.75" customHeight="1">
      <c r="R348" s="30"/>
    </row>
    <row r="349" spans="18:18" ht="15.75" customHeight="1">
      <c r="R349" s="30"/>
    </row>
    <row r="350" spans="18:18" ht="15.75" customHeight="1">
      <c r="R350" s="30"/>
    </row>
    <row r="351" spans="18:18" ht="15.75" customHeight="1">
      <c r="R351" s="30"/>
    </row>
    <row r="352" spans="18:18" ht="15.75" customHeight="1">
      <c r="R352" s="30"/>
    </row>
    <row r="353" spans="18:18" ht="15.75" customHeight="1">
      <c r="R353" s="30"/>
    </row>
    <row r="354" spans="18:18" ht="15.75" customHeight="1">
      <c r="R354" s="30"/>
    </row>
    <row r="355" spans="18:18" ht="15.75" customHeight="1">
      <c r="R355" s="30"/>
    </row>
    <row r="356" spans="18:18" ht="15.75" customHeight="1">
      <c r="R356" s="30"/>
    </row>
    <row r="357" spans="18:18" ht="15.75" customHeight="1">
      <c r="R357" s="30"/>
    </row>
    <row r="358" spans="18:18" ht="15.75" customHeight="1">
      <c r="R358" s="30"/>
    </row>
    <row r="359" spans="18:18" ht="15.75" customHeight="1">
      <c r="R359" s="30"/>
    </row>
    <row r="360" spans="18:18" ht="15.75" customHeight="1">
      <c r="R360" s="30"/>
    </row>
    <row r="361" spans="18:18" ht="15.75" customHeight="1">
      <c r="R361" s="30"/>
    </row>
    <row r="362" spans="18:18" ht="15.75" customHeight="1">
      <c r="R362" s="30"/>
    </row>
    <row r="363" spans="18:18" ht="15.75" customHeight="1">
      <c r="R363" s="30"/>
    </row>
    <row r="364" spans="18:18" ht="15.75" customHeight="1">
      <c r="R364" s="30"/>
    </row>
    <row r="365" spans="18:18" ht="15.75" customHeight="1">
      <c r="R365" s="30"/>
    </row>
    <row r="366" spans="18:18" ht="15.75" customHeight="1">
      <c r="R366" s="30"/>
    </row>
    <row r="367" spans="18:18" ht="15.75" customHeight="1">
      <c r="R367" s="30"/>
    </row>
    <row r="368" spans="18:18" ht="15.75" customHeight="1">
      <c r="R368" s="30"/>
    </row>
    <row r="369" spans="18:18" ht="15.75" customHeight="1">
      <c r="R369" s="30"/>
    </row>
    <row r="370" spans="18:18" ht="15.75" customHeight="1">
      <c r="R370" s="30"/>
    </row>
    <row r="371" spans="18:18" ht="15.75" customHeight="1">
      <c r="R371" s="30"/>
    </row>
    <row r="372" spans="18:18" ht="15.75" customHeight="1">
      <c r="R372" s="30"/>
    </row>
    <row r="373" spans="18:18" ht="15.75" customHeight="1">
      <c r="R373" s="30"/>
    </row>
    <row r="374" spans="18:18" ht="15.75" customHeight="1">
      <c r="R374" s="30"/>
    </row>
    <row r="375" spans="18:18" ht="15.75" customHeight="1">
      <c r="R375" s="30"/>
    </row>
    <row r="376" spans="18:18" ht="15.75" customHeight="1">
      <c r="R376" s="30"/>
    </row>
    <row r="377" spans="18:18" ht="15.75" customHeight="1">
      <c r="R377" s="30"/>
    </row>
    <row r="378" spans="18:18" ht="15.75" customHeight="1">
      <c r="R378" s="30"/>
    </row>
    <row r="379" spans="18:18" ht="15.75" customHeight="1">
      <c r="R379" s="30"/>
    </row>
    <row r="380" spans="18:18" ht="15.75" customHeight="1">
      <c r="R380" s="30"/>
    </row>
    <row r="381" spans="18:18" ht="15.75" customHeight="1">
      <c r="R381" s="30"/>
    </row>
    <row r="382" spans="18:18" ht="15.75" customHeight="1">
      <c r="R382" s="30"/>
    </row>
    <row r="383" spans="18:18" ht="15.75" customHeight="1">
      <c r="R383" s="30"/>
    </row>
    <row r="384" spans="18:18" ht="15.75" customHeight="1">
      <c r="R384" s="30"/>
    </row>
    <row r="385" spans="18:18" ht="15.75" customHeight="1">
      <c r="R385" s="30"/>
    </row>
    <row r="386" spans="18:18" ht="15.75" customHeight="1">
      <c r="R386" s="30"/>
    </row>
    <row r="387" spans="18:18" ht="15.75" customHeight="1">
      <c r="R387" s="30"/>
    </row>
    <row r="388" spans="18:18" ht="15.75" customHeight="1">
      <c r="R388" s="30"/>
    </row>
    <row r="389" spans="18:18" ht="15.75" customHeight="1">
      <c r="R389" s="30"/>
    </row>
    <row r="390" spans="18:18" ht="15.75" customHeight="1">
      <c r="R390" s="30"/>
    </row>
    <row r="391" spans="18:18" ht="15.75" customHeight="1">
      <c r="R391" s="30"/>
    </row>
    <row r="392" spans="18:18" ht="15.75" customHeight="1">
      <c r="R392" s="30"/>
    </row>
    <row r="393" spans="18:18" ht="15.75" customHeight="1">
      <c r="R393" s="30"/>
    </row>
    <row r="394" spans="18:18" ht="15.75" customHeight="1">
      <c r="R394" s="30"/>
    </row>
    <row r="395" spans="18:18" ht="15.75" customHeight="1">
      <c r="R395" s="30"/>
    </row>
    <row r="396" spans="18:18" ht="15.75" customHeight="1">
      <c r="R396" s="30"/>
    </row>
    <row r="397" spans="18:18" ht="15.75" customHeight="1">
      <c r="R397" s="30"/>
    </row>
    <row r="398" spans="18:18" ht="15.75" customHeight="1">
      <c r="R398" s="30"/>
    </row>
    <row r="399" spans="18:18" ht="15.75" customHeight="1">
      <c r="R399" s="30"/>
    </row>
    <row r="400" spans="18:18" ht="15.75" customHeight="1">
      <c r="R400" s="30"/>
    </row>
    <row r="401" spans="18:18" ht="15.75" customHeight="1">
      <c r="R401" s="30"/>
    </row>
    <row r="402" spans="18:18" ht="15.75" customHeight="1">
      <c r="R402" s="30"/>
    </row>
    <row r="403" spans="18:18" ht="15.75" customHeight="1">
      <c r="R403" s="30"/>
    </row>
    <row r="404" spans="18:18" ht="15.75" customHeight="1">
      <c r="R404" s="30"/>
    </row>
    <row r="405" spans="18:18" ht="15.75" customHeight="1">
      <c r="R405" s="30"/>
    </row>
    <row r="406" spans="18:18" ht="15.75" customHeight="1">
      <c r="R406" s="30"/>
    </row>
    <row r="407" spans="18:18" ht="15.75" customHeight="1">
      <c r="R407" s="30"/>
    </row>
    <row r="408" spans="18:18" ht="15.75" customHeight="1">
      <c r="R408" s="30"/>
    </row>
    <row r="409" spans="18:18" ht="15.75" customHeight="1">
      <c r="R409" s="30"/>
    </row>
    <row r="410" spans="18:18" ht="15.75" customHeight="1">
      <c r="R410" s="30"/>
    </row>
    <row r="411" spans="18:18" ht="15.75" customHeight="1">
      <c r="R411" s="30"/>
    </row>
    <row r="412" spans="18:18" ht="15.75" customHeight="1">
      <c r="R412" s="30"/>
    </row>
    <row r="413" spans="18:18" ht="15.75" customHeight="1">
      <c r="R413" s="30"/>
    </row>
    <row r="414" spans="18:18" ht="15.75" customHeight="1">
      <c r="R414" s="30"/>
    </row>
    <row r="415" spans="18:18" ht="15.75" customHeight="1">
      <c r="R415" s="30"/>
    </row>
    <row r="416" spans="18:18" ht="15.75" customHeight="1">
      <c r="R416" s="30"/>
    </row>
    <row r="417" spans="18:18" ht="15.75" customHeight="1">
      <c r="R417" s="30"/>
    </row>
    <row r="418" spans="18:18" ht="15.75" customHeight="1">
      <c r="R418" s="30"/>
    </row>
    <row r="419" spans="18:18" ht="15.75" customHeight="1">
      <c r="R419" s="30"/>
    </row>
    <row r="420" spans="18:18" ht="15.75" customHeight="1">
      <c r="R420" s="30"/>
    </row>
    <row r="421" spans="18:18" ht="15.75" customHeight="1">
      <c r="R421" s="30"/>
    </row>
    <row r="422" spans="18:18" ht="15.75" customHeight="1">
      <c r="R422" s="30"/>
    </row>
    <row r="423" spans="18:18" ht="15.75" customHeight="1">
      <c r="R423" s="30"/>
    </row>
    <row r="424" spans="18:18" ht="15.75" customHeight="1">
      <c r="R424" s="30"/>
    </row>
    <row r="425" spans="18:18" ht="15.75" customHeight="1">
      <c r="R425" s="30"/>
    </row>
    <row r="426" spans="18:18" ht="15.75" customHeight="1">
      <c r="R426" s="30"/>
    </row>
    <row r="427" spans="18:18" ht="15.75" customHeight="1">
      <c r="R427" s="30"/>
    </row>
    <row r="428" spans="18:18" ht="15.75" customHeight="1">
      <c r="R428" s="30"/>
    </row>
    <row r="429" spans="18:18" ht="15.75" customHeight="1">
      <c r="R429" s="30"/>
    </row>
    <row r="430" spans="18:18" ht="15.75" customHeight="1">
      <c r="R430" s="30"/>
    </row>
    <row r="431" spans="18:18" ht="15.75" customHeight="1">
      <c r="R431" s="30"/>
    </row>
    <row r="432" spans="18:18" ht="15.75" customHeight="1">
      <c r="R432" s="30"/>
    </row>
    <row r="433" spans="18:18" ht="15.75" customHeight="1">
      <c r="R433" s="30"/>
    </row>
    <row r="434" spans="18:18" ht="15.75" customHeight="1">
      <c r="R434" s="30"/>
    </row>
    <row r="435" spans="18:18" ht="15.75" customHeight="1">
      <c r="R435" s="30"/>
    </row>
    <row r="436" spans="18:18" ht="15.75" customHeight="1">
      <c r="R436" s="30"/>
    </row>
    <row r="437" spans="18:18" ht="15.75" customHeight="1">
      <c r="R437" s="30"/>
    </row>
    <row r="438" spans="18:18" ht="15.75" customHeight="1">
      <c r="R438" s="30"/>
    </row>
    <row r="439" spans="18:18" ht="15.75" customHeight="1">
      <c r="R439" s="30"/>
    </row>
    <row r="440" spans="18:18" ht="15.75" customHeight="1">
      <c r="R440" s="30"/>
    </row>
    <row r="441" spans="18:18" ht="15.75" customHeight="1">
      <c r="R441" s="30"/>
    </row>
    <row r="442" spans="18:18" ht="15.75" customHeight="1">
      <c r="R442" s="30"/>
    </row>
    <row r="443" spans="18:18" ht="15.75" customHeight="1">
      <c r="R443" s="30"/>
    </row>
    <row r="444" spans="18:18" ht="15.75" customHeight="1">
      <c r="R444" s="30"/>
    </row>
    <row r="445" spans="18:18" ht="15.75" customHeight="1">
      <c r="R445" s="30"/>
    </row>
    <row r="446" spans="18:18" ht="15.75" customHeight="1">
      <c r="R446" s="30"/>
    </row>
    <row r="447" spans="18:18" ht="15.75" customHeight="1">
      <c r="R447" s="30"/>
    </row>
    <row r="448" spans="18:18" ht="15.75" customHeight="1">
      <c r="R448" s="30"/>
    </row>
    <row r="449" spans="18:18" ht="15.75" customHeight="1">
      <c r="R449" s="30"/>
    </row>
    <row r="450" spans="18:18" ht="15.75" customHeight="1">
      <c r="R450" s="30"/>
    </row>
    <row r="451" spans="18:18" ht="15.75" customHeight="1">
      <c r="R451" s="30"/>
    </row>
    <row r="452" spans="18:18" ht="15.75" customHeight="1">
      <c r="R452" s="30"/>
    </row>
    <row r="453" spans="18:18" ht="15.75" customHeight="1">
      <c r="R453" s="30"/>
    </row>
    <row r="454" spans="18:18" ht="15.75" customHeight="1">
      <c r="R454" s="30"/>
    </row>
    <row r="455" spans="18:18" ht="15.75" customHeight="1">
      <c r="R455" s="30"/>
    </row>
    <row r="456" spans="18:18" ht="15.75" customHeight="1">
      <c r="R456" s="30"/>
    </row>
    <row r="457" spans="18:18" ht="15.75" customHeight="1">
      <c r="R457" s="30"/>
    </row>
    <row r="458" spans="18:18" ht="15.75" customHeight="1">
      <c r="R458" s="30"/>
    </row>
    <row r="459" spans="18:18" ht="15.75" customHeight="1">
      <c r="R459" s="30"/>
    </row>
    <row r="460" spans="18:18" ht="15.75" customHeight="1">
      <c r="R460" s="30"/>
    </row>
    <row r="461" spans="18:18" ht="15.75" customHeight="1">
      <c r="R461" s="30"/>
    </row>
    <row r="462" spans="18:18" ht="15.75" customHeight="1">
      <c r="R462" s="30"/>
    </row>
    <row r="463" spans="18:18" ht="15.75" customHeight="1">
      <c r="R463" s="30"/>
    </row>
    <row r="464" spans="18:18" ht="15.75" customHeight="1">
      <c r="R464" s="30"/>
    </row>
    <row r="465" spans="18:18" ht="15.75" customHeight="1">
      <c r="R465" s="30"/>
    </row>
    <row r="466" spans="18:18" ht="15.75" customHeight="1">
      <c r="R466" s="30"/>
    </row>
    <row r="467" spans="18:18" ht="15.75" customHeight="1">
      <c r="R467" s="30"/>
    </row>
    <row r="468" spans="18:18" ht="15.75" customHeight="1">
      <c r="R468" s="30"/>
    </row>
    <row r="469" spans="18:18" ht="15.75" customHeight="1">
      <c r="R469" s="30"/>
    </row>
    <row r="470" spans="18:18" ht="15.75" customHeight="1">
      <c r="R470" s="30"/>
    </row>
    <row r="471" spans="18:18" ht="15.75" customHeight="1">
      <c r="R471" s="30"/>
    </row>
    <row r="472" spans="18:18" ht="15.75" customHeight="1">
      <c r="R472" s="30"/>
    </row>
    <row r="473" spans="18:18" ht="15.75" customHeight="1">
      <c r="R473" s="30"/>
    </row>
    <row r="474" spans="18:18" ht="15.75" customHeight="1">
      <c r="R474" s="30"/>
    </row>
    <row r="475" spans="18:18" ht="15.75" customHeight="1">
      <c r="R475" s="30"/>
    </row>
    <row r="476" spans="18:18" ht="15.75" customHeight="1">
      <c r="R476" s="30"/>
    </row>
    <row r="477" spans="18:18" ht="15.75" customHeight="1">
      <c r="R477" s="30"/>
    </row>
    <row r="478" spans="18:18" ht="15.75" customHeight="1">
      <c r="R478" s="30"/>
    </row>
    <row r="479" spans="18:18" ht="15.75" customHeight="1">
      <c r="R479" s="30"/>
    </row>
    <row r="480" spans="18:18" ht="15.75" customHeight="1">
      <c r="R480" s="30"/>
    </row>
    <row r="481" spans="18:18" ht="15.75" customHeight="1">
      <c r="R481" s="30"/>
    </row>
    <row r="482" spans="18:18" ht="15.75" customHeight="1">
      <c r="R482" s="30"/>
    </row>
    <row r="483" spans="18:18" ht="15.75" customHeight="1">
      <c r="R483" s="30"/>
    </row>
    <row r="484" spans="18:18" ht="15.75" customHeight="1">
      <c r="R484" s="30"/>
    </row>
    <row r="485" spans="18:18" ht="15.75" customHeight="1">
      <c r="R485" s="30"/>
    </row>
    <row r="486" spans="18:18" ht="15.75" customHeight="1">
      <c r="R486" s="30"/>
    </row>
    <row r="487" spans="18:18" ht="15.75" customHeight="1">
      <c r="R487" s="30"/>
    </row>
    <row r="488" spans="18:18" ht="15.75" customHeight="1">
      <c r="R488" s="30"/>
    </row>
    <row r="489" spans="18:18" ht="15.75" customHeight="1">
      <c r="R489" s="30"/>
    </row>
    <row r="490" spans="18:18" ht="15.75" customHeight="1">
      <c r="R490" s="30"/>
    </row>
    <row r="491" spans="18:18" ht="15.75" customHeight="1">
      <c r="R491" s="30"/>
    </row>
    <row r="492" spans="18:18" ht="15.75" customHeight="1">
      <c r="R492" s="30"/>
    </row>
    <row r="493" spans="18:18" ht="15.75" customHeight="1">
      <c r="R493" s="30"/>
    </row>
    <row r="494" spans="18:18" ht="15.75" customHeight="1">
      <c r="R494" s="30"/>
    </row>
    <row r="495" spans="18:18" ht="15.75" customHeight="1">
      <c r="R495" s="30"/>
    </row>
    <row r="496" spans="18:18" ht="15.75" customHeight="1">
      <c r="R496" s="30"/>
    </row>
    <row r="497" spans="18:18" ht="15.75" customHeight="1">
      <c r="R497" s="30"/>
    </row>
    <row r="498" spans="18:18" ht="15.75" customHeight="1">
      <c r="R498" s="30"/>
    </row>
    <row r="499" spans="18:18" ht="15.75" customHeight="1">
      <c r="R499" s="30"/>
    </row>
    <row r="500" spans="18:18" ht="15.75" customHeight="1">
      <c r="R500" s="30"/>
    </row>
    <row r="501" spans="18:18" ht="15.75" customHeight="1">
      <c r="R501" s="30"/>
    </row>
    <row r="502" spans="18:18" ht="15.75" customHeight="1">
      <c r="R502" s="30"/>
    </row>
    <row r="503" spans="18:18" ht="15.75" customHeight="1">
      <c r="R503" s="30"/>
    </row>
    <row r="504" spans="18:18" ht="15.75" customHeight="1">
      <c r="R504" s="30"/>
    </row>
    <row r="505" spans="18:18" ht="15.75" customHeight="1">
      <c r="R505" s="30"/>
    </row>
    <row r="506" spans="18:18" ht="15.75" customHeight="1">
      <c r="R506" s="30"/>
    </row>
    <row r="507" spans="18:18" ht="15.75" customHeight="1">
      <c r="R507" s="30"/>
    </row>
    <row r="508" spans="18:18" ht="15.75" customHeight="1">
      <c r="R508" s="30"/>
    </row>
    <row r="509" spans="18:18" ht="15.75" customHeight="1">
      <c r="R509" s="30"/>
    </row>
    <row r="510" spans="18:18" ht="15.75" customHeight="1">
      <c r="R510" s="30"/>
    </row>
    <row r="511" spans="18:18" ht="15.75" customHeight="1">
      <c r="R511" s="30"/>
    </row>
    <row r="512" spans="18:18" ht="15.75" customHeight="1">
      <c r="R512" s="30"/>
    </row>
    <row r="513" spans="18:18" ht="15.75" customHeight="1">
      <c r="R513" s="30"/>
    </row>
    <row r="514" spans="18:18" ht="15.75" customHeight="1">
      <c r="R514" s="30"/>
    </row>
    <row r="515" spans="18:18" ht="15.75" customHeight="1">
      <c r="R515" s="30"/>
    </row>
    <row r="516" spans="18:18" ht="15.75" customHeight="1">
      <c r="R516" s="30"/>
    </row>
    <row r="517" spans="18:18" ht="15.75" customHeight="1">
      <c r="R517" s="30"/>
    </row>
    <row r="518" spans="18:18" ht="15.75" customHeight="1">
      <c r="R518" s="30"/>
    </row>
    <row r="519" spans="18:18" ht="15.75" customHeight="1">
      <c r="R519" s="30"/>
    </row>
    <row r="520" spans="18:18" ht="15.75" customHeight="1">
      <c r="R520" s="30"/>
    </row>
    <row r="521" spans="18:18" ht="15.75" customHeight="1">
      <c r="R521" s="30"/>
    </row>
    <row r="522" spans="18:18" ht="15.75" customHeight="1">
      <c r="R522" s="30"/>
    </row>
    <row r="523" spans="18:18" ht="15.75" customHeight="1">
      <c r="R523" s="30"/>
    </row>
    <row r="524" spans="18:18" ht="15.75" customHeight="1">
      <c r="R524" s="30"/>
    </row>
    <row r="525" spans="18:18" ht="15.75" customHeight="1">
      <c r="R525" s="30"/>
    </row>
    <row r="526" spans="18:18" ht="15.75" customHeight="1">
      <c r="R526" s="30"/>
    </row>
    <row r="527" spans="18:18" ht="15.75" customHeight="1">
      <c r="R527" s="30"/>
    </row>
    <row r="528" spans="18:18" ht="15.75" customHeight="1">
      <c r="R528" s="30"/>
    </row>
    <row r="529" spans="18:18" ht="15.75" customHeight="1">
      <c r="R529" s="30"/>
    </row>
    <row r="530" spans="18:18" ht="15.75" customHeight="1">
      <c r="R530" s="30"/>
    </row>
    <row r="531" spans="18:18" ht="15.75" customHeight="1">
      <c r="R531" s="30"/>
    </row>
    <row r="532" spans="18:18" ht="15.75" customHeight="1">
      <c r="R532" s="30"/>
    </row>
    <row r="533" spans="18:18" ht="15.75" customHeight="1">
      <c r="R533" s="30"/>
    </row>
    <row r="534" spans="18:18" ht="15.75" customHeight="1">
      <c r="R534" s="30"/>
    </row>
    <row r="535" spans="18:18" ht="15.75" customHeight="1">
      <c r="R535" s="30"/>
    </row>
    <row r="536" spans="18:18" ht="15.75" customHeight="1">
      <c r="R536" s="30"/>
    </row>
    <row r="537" spans="18:18" ht="15.75" customHeight="1">
      <c r="R537" s="30"/>
    </row>
    <row r="538" spans="18:18" ht="15.75" customHeight="1">
      <c r="R538" s="30"/>
    </row>
    <row r="539" spans="18:18" ht="15.75" customHeight="1">
      <c r="R539" s="30"/>
    </row>
    <row r="540" spans="18:18" ht="15.75" customHeight="1">
      <c r="R540" s="30"/>
    </row>
    <row r="541" spans="18:18" ht="15.75" customHeight="1">
      <c r="R541" s="30"/>
    </row>
    <row r="542" spans="18:18" ht="15.75" customHeight="1">
      <c r="R542" s="30"/>
    </row>
    <row r="543" spans="18:18" ht="15.75" customHeight="1">
      <c r="R543" s="30"/>
    </row>
    <row r="544" spans="18:18" ht="15.75" customHeight="1">
      <c r="R544" s="30"/>
    </row>
    <row r="545" spans="18:18" ht="15.75" customHeight="1">
      <c r="R545" s="30"/>
    </row>
    <row r="546" spans="18:18" ht="15.75" customHeight="1">
      <c r="R546" s="30"/>
    </row>
    <row r="547" spans="18:18" ht="15.75" customHeight="1">
      <c r="R547" s="30"/>
    </row>
    <row r="548" spans="18:18" ht="15.75" customHeight="1">
      <c r="R548" s="30"/>
    </row>
    <row r="549" spans="18:18" ht="15.75" customHeight="1">
      <c r="R549" s="30"/>
    </row>
    <row r="550" spans="18:18" ht="15.75" customHeight="1">
      <c r="R550" s="30"/>
    </row>
    <row r="551" spans="18:18" ht="15.75" customHeight="1">
      <c r="R551" s="30"/>
    </row>
    <row r="552" spans="18:18" ht="15.75" customHeight="1">
      <c r="R552" s="30"/>
    </row>
    <row r="553" spans="18:18" ht="15.75" customHeight="1">
      <c r="R553" s="30"/>
    </row>
    <row r="554" spans="18:18" ht="15.75" customHeight="1">
      <c r="R554" s="30"/>
    </row>
    <row r="555" spans="18:18" ht="15.75" customHeight="1">
      <c r="R555" s="30"/>
    </row>
    <row r="556" spans="18:18" ht="15.75" customHeight="1">
      <c r="R556" s="30"/>
    </row>
    <row r="557" spans="18:18" ht="15.75" customHeight="1">
      <c r="R557" s="30"/>
    </row>
    <row r="558" spans="18:18" ht="15.75" customHeight="1">
      <c r="R558" s="30"/>
    </row>
    <row r="559" spans="18:18" ht="15.75" customHeight="1">
      <c r="R559" s="30"/>
    </row>
    <row r="560" spans="18:18" ht="15.75" customHeight="1">
      <c r="R560" s="30"/>
    </row>
    <row r="561" spans="18:18" ht="15.75" customHeight="1">
      <c r="R561" s="30"/>
    </row>
    <row r="562" spans="18:18" ht="15.75" customHeight="1">
      <c r="R562" s="30"/>
    </row>
    <row r="563" spans="18:18" ht="15.75" customHeight="1">
      <c r="R563" s="30"/>
    </row>
    <row r="564" spans="18:18" ht="15.75" customHeight="1">
      <c r="R564" s="30"/>
    </row>
    <row r="565" spans="18:18" ht="15.75" customHeight="1">
      <c r="R565" s="30"/>
    </row>
    <row r="566" spans="18:18" ht="15.75" customHeight="1">
      <c r="R566" s="30"/>
    </row>
    <row r="567" spans="18:18" ht="15.75" customHeight="1">
      <c r="R567" s="30"/>
    </row>
    <row r="568" spans="18:18" ht="15.75" customHeight="1">
      <c r="R568" s="30"/>
    </row>
    <row r="569" spans="18:18" ht="15.75" customHeight="1">
      <c r="R569" s="30"/>
    </row>
    <row r="570" spans="18:18" ht="15.75" customHeight="1">
      <c r="R570" s="30"/>
    </row>
    <row r="571" spans="18:18" ht="15.75" customHeight="1">
      <c r="R571" s="30"/>
    </row>
    <row r="572" spans="18:18" ht="15.75" customHeight="1">
      <c r="R572" s="30"/>
    </row>
    <row r="573" spans="18:18" ht="15.75" customHeight="1">
      <c r="R573" s="30"/>
    </row>
    <row r="574" spans="18:18" ht="15.75" customHeight="1">
      <c r="R574" s="30"/>
    </row>
    <row r="575" spans="18:18" ht="15.75" customHeight="1">
      <c r="R575" s="30"/>
    </row>
    <row r="576" spans="18:18" ht="15.75" customHeight="1">
      <c r="R576" s="30"/>
    </row>
    <row r="577" spans="18:18" ht="15.75" customHeight="1">
      <c r="R577" s="30"/>
    </row>
    <row r="578" spans="18:18" ht="15.75" customHeight="1">
      <c r="R578" s="30"/>
    </row>
    <row r="579" spans="18:18" ht="15.75" customHeight="1">
      <c r="R579" s="30"/>
    </row>
    <row r="580" spans="18:18" ht="15.75" customHeight="1">
      <c r="R580" s="30"/>
    </row>
    <row r="581" spans="18:18" ht="15.75" customHeight="1">
      <c r="R581" s="30"/>
    </row>
    <row r="582" spans="18:18" ht="15.75" customHeight="1">
      <c r="R582" s="30"/>
    </row>
    <row r="583" spans="18:18" ht="15.75" customHeight="1">
      <c r="R583" s="30"/>
    </row>
    <row r="584" spans="18:18" ht="15.75" customHeight="1">
      <c r="R584" s="30"/>
    </row>
    <row r="585" spans="18:18" ht="15.75" customHeight="1">
      <c r="R585" s="30"/>
    </row>
    <row r="586" spans="18:18" ht="15.75" customHeight="1">
      <c r="R586" s="30"/>
    </row>
    <row r="587" spans="18:18" ht="15.75" customHeight="1">
      <c r="R587" s="30"/>
    </row>
    <row r="588" spans="18:18" ht="15.75" customHeight="1">
      <c r="R588" s="30"/>
    </row>
    <row r="589" spans="18:18" ht="15.75" customHeight="1">
      <c r="R589" s="30"/>
    </row>
    <row r="590" spans="18:18" ht="15.75" customHeight="1">
      <c r="R590" s="30"/>
    </row>
    <row r="591" spans="18:18" ht="15.75" customHeight="1">
      <c r="R591" s="30"/>
    </row>
    <row r="592" spans="18:18" ht="15.75" customHeight="1">
      <c r="R592" s="30"/>
    </row>
    <row r="593" spans="18:18" ht="15.75" customHeight="1">
      <c r="R593" s="30"/>
    </row>
    <row r="594" spans="18:18" ht="15.75" customHeight="1">
      <c r="R594" s="30"/>
    </row>
    <row r="595" spans="18:18" ht="15.75" customHeight="1">
      <c r="R595" s="30"/>
    </row>
    <row r="596" spans="18:18" ht="15.75" customHeight="1">
      <c r="R596" s="30"/>
    </row>
    <row r="597" spans="18:18" ht="15.75" customHeight="1">
      <c r="R597" s="30"/>
    </row>
    <row r="598" spans="18:18" ht="15.75" customHeight="1">
      <c r="R598" s="30"/>
    </row>
    <row r="599" spans="18:18" ht="15.75" customHeight="1">
      <c r="R599" s="30"/>
    </row>
    <row r="600" spans="18:18" ht="15.75" customHeight="1">
      <c r="R600" s="30"/>
    </row>
    <row r="601" spans="18:18" ht="15.75" customHeight="1">
      <c r="R601" s="30"/>
    </row>
    <row r="602" spans="18:18" ht="15.75" customHeight="1">
      <c r="R602" s="30"/>
    </row>
    <row r="603" spans="18:18" ht="15.75" customHeight="1">
      <c r="R603" s="30"/>
    </row>
    <row r="604" spans="18:18" ht="15.75" customHeight="1">
      <c r="R604" s="30"/>
    </row>
    <row r="605" spans="18:18" ht="15.75" customHeight="1">
      <c r="R605" s="30"/>
    </row>
    <row r="606" spans="18:18" ht="15.75" customHeight="1">
      <c r="R606" s="30"/>
    </row>
    <row r="607" spans="18:18" ht="15.75" customHeight="1">
      <c r="R607" s="30"/>
    </row>
    <row r="608" spans="18:18" ht="15.75" customHeight="1">
      <c r="R608" s="30"/>
    </row>
    <row r="609" spans="18:18" ht="15.75" customHeight="1">
      <c r="R609" s="30"/>
    </row>
    <row r="610" spans="18:18" ht="15.75" customHeight="1">
      <c r="R610" s="30"/>
    </row>
    <row r="611" spans="18:18" ht="15.75" customHeight="1">
      <c r="R611" s="30"/>
    </row>
    <row r="612" spans="18:18" ht="15.75" customHeight="1">
      <c r="R612" s="30"/>
    </row>
    <row r="613" spans="18:18" ht="15.75" customHeight="1">
      <c r="R613" s="30"/>
    </row>
    <row r="614" spans="18:18" ht="15.75" customHeight="1">
      <c r="R614" s="30"/>
    </row>
    <row r="615" spans="18:18" ht="15.75" customHeight="1">
      <c r="R615" s="30"/>
    </row>
    <row r="616" spans="18:18" ht="15.75" customHeight="1">
      <c r="R616" s="30"/>
    </row>
    <row r="617" spans="18:18" ht="15.75" customHeight="1">
      <c r="R617" s="30"/>
    </row>
    <row r="618" spans="18:18" ht="15.75" customHeight="1">
      <c r="R618" s="30"/>
    </row>
    <row r="619" spans="18:18" ht="15.75" customHeight="1">
      <c r="R619" s="30"/>
    </row>
    <row r="620" spans="18:18" ht="15.75" customHeight="1">
      <c r="R620" s="30"/>
    </row>
    <row r="621" spans="18:18" ht="15.75" customHeight="1">
      <c r="R621" s="30"/>
    </row>
    <row r="622" spans="18:18" ht="15.75" customHeight="1">
      <c r="R622" s="30"/>
    </row>
    <row r="623" spans="18:18" ht="15.75" customHeight="1">
      <c r="R623" s="30"/>
    </row>
    <row r="624" spans="18:18" ht="15.75" customHeight="1">
      <c r="R624" s="30"/>
    </row>
    <row r="625" spans="18:18" ht="15.75" customHeight="1">
      <c r="R625" s="30"/>
    </row>
    <row r="626" spans="18:18" ht="15.75" customHeight="1">
      <c r="R626" s="30"/>
    </row>
    <row r="627" spans="18:18" ht="15.75" customHeight="1">
      <c r="R627" s="30"/>
    </row>
    <row r="628" spans="18:18" ht="15.75" customHeight="1">
      <c r="R628" s="30"/>
    </row>
    <row r="629" spans="18:18" ht="15.75" customHeight="1">
      <c r="R629" s="30"/>
    </row>
    <row r="630" spans="18:18" ht="15.75" customHeight="1">
      <c r="R630" s="30"/>
    </row>
    <row r="631" spans="18:18" ht="15.75" customHeight="1">
      <c r="R631" s="30"/>
    </row>
    <row r="632" spans="18:18" ht="15.75" customHeight="1">
      <c r="R632" s="30"/>
    </row>
    <row r="633" spans="18:18" ht="15.75" customHeight="1">
      <c r="R633" s="30"/>
    </row>
    <row r="634" spans="18:18" ht="15.75" customHeight="1">
      <c r="R634" s="30"/>
    </row>
    <row r="635" spans="18:18" ht="15.75" customHeight="1">
      <c r="R635" s="30"/>
    </row>
    <row r="636" spans="18:18" ht="15.75" customHeight="1">
      <c r="R636" s="30"/>
    </row>
    <row r="637" spans="18:18" ht="15.75" customHeight="1">
      <c r="R637" s="30"/>
    </row>
    <row r="638" spans="18:18" ht="15.75" customHeight="1">
      <c r="R638" s="30"/>
    </row>
    <row r="639" spans="18:18" ht="15.75" customHeight="1">
      <c r="R639" s="30"/>
    </row>
    <row r="640" spans="18:18" ht="15.75" customHeight="1">
      <c r="R640" s="30"/>
    </row>
    <row r="641" spans="18:18" ht="15.75" customHeight="1">
      <c r="R641" s="30"/>
    </row>
    <row r="642" spans="18:18" ht="15.75" customHeight="1">
      <c r="R642" s="30"/>
    </row>
    <row r="643" spans="18:18" ht="15.75" customHeight="1">
      <c r="R643" s="30"/>
    </row>
    <row r="644" spans="18:18" ht="15.75" customHeight="1">
      <c r="R644" s="30"/>
    </row>
    <row r="645" spans="18:18" ht="15.75" customHeight="1">
      <c r="R645" s="30"/>
    </row>
    <row r="646" spans="18:18" ht="15.75" customHeight="1">
      <c r="R646" s="30"/>
    </row>
    <row r="647" spans="18:18" ht="15.75" customHeight="1">
      <c r="R647" s="30"/>
    </row>
    <row r="648" spans="18:18" ht="15.75" customHeight="1">
      <c r="R648" s="30"/>
    </row>
    <row r="649" spans="18:18" ht="15.75" customHeight="1">
      <c r="R649" s="30"/>
    </row>
    <row r="650" spans="18:18" ht="15.75" customHeight="1">
      <c r="R650" s="30"/>
    </row>
    <row r="651" spans="18:18" ht="15.75" customHeight="1">
      <c r="R651" s="30"/>
    </row>
    <row r="652" spans="18:18" ht="15.75" customHeight="1">
      <c r="R652" s="30"/>
    </row>
    <row r="653" spans="18:18" ht="15.75" customHeight="1">
      <c r="R653" s="30"/>
    </row>
    <row r="654" spans="18:18" ht="15.75" customHeight="1">
      <c r="R654" s="30"/>
    </row>
    <row r="655" spans="18:18" ht="15.75" customHeight="1">
      <c r="R655" s="30"/>
    </row>
    <row r="656" spans="18:18" ht="15.75" customHeight="1">
      <c r="R656" s="30"/>
    </row>
    <row r="657" spans="18:18" ht="15.75" customHeight="1">
      <c r="R657" s="30"/>
    </row>
    <row r="658" spans="18:18" ht="15.75" customHeight="1">
      <c r="R658" s="30"/>
    </row>
    <row r="659" spans="18:18" ht="15.75" customHeight="1">
      <c r="R659" s="30"/>
    </row>
    <row r="660" spans="18:18" ht="15.75" customHeight="1">
      <c r="R660" s="30"/>
    </row>
    <row r="661" spans="18:18" ht="15.75" customHeight="1">
      <c r="R661" s="30"/>
    </row>
    <row r="662" spans="18:18" ht="15.75" customHeight="1">
      <c r="R662" s="30"/>
    </row>
    <row r="663" spans="18:18" ht="15.75" customHeight="1">
      <c r="R663" s="30"/>
    </row>
    <row r="664" spans="18:18" ht="15.75" customHeight="1">
      <c r="R664" s="30"/>
    </row>
    <row r="665" spans="18:18" ht="15.75" customHeight="1">
      <c r="R665" s="30"/>
    </row>
    <row r="666" spans="18:18" ht="15.75" customHeight="1">
      <c r="R666" s="30"/>
    </row>
    <row r="667" spans="18:18" ht="15.75" customHeight="1">
      <c r="R667" s="30"/>
    </row>
    <row r="668" spans="18:18" ht="15.75" customHeight="1">
      <c r="R668" s="30"/>
    </row>
    <row r="669" spans="18:18" ht="15.75" customHeight="1">
      <c r="R669" s="30"/>
    </row>
    <row r="670" spans="18:18" ht="15.75" customHeight="1">
      <c r="R670" s="30"/>
    </row>
    <row r="671" spans="18:18" ht="15.75" customHeight="1">
      <c r="R671" s="30"/>
    </row>
    <row r="672" spans="18:18" ht="15.75" customHeight="1">
      <c r="R672" s="30"/>
    </row>
    <row r="673" spans="18:18" ht="15.75" customHeight="1">
      <c r="R673" s="30"/>
    </row>
    <row r="674" spans="18:18" ht="15.75" customHeight="1">
      <c r="R674" s="30"/>
    </row>
    <row r="675" spans="18:18" ht="15.75" customHeight="1">
      <c r="R675" s="30"/>
    </row>
    <row r="676" spans="18:18" ht="15.75" customHeight="1">
      <c r="R676" s="30"/>
    </row>
    <row r="677" spans="18:18" ht="15.75" customHeight="1">
      <c r="R677" s="30"/>
    </row>
    <row r="678" spans="18:18" ht="15.75" customHeight="1">
      <c r="R678" s="30"/>
    </row>
    <row r="679" spans="18:18" ht="15.75" customHeight="1">
      <c r="R679" s="30"/>
    </row>
    <row r="680" spans="18:18" ht="15.75" customHeight="1">
      <c r="R680" s="30"/>
    </row>
    <row r="681" spans="18:18" ht="15.75" customHeight="1">
      <c r="R681" s="30"/>
    </row>
    <row r="682" spans="18:18" ht="15.75" customHeight="1">
      <c r="R682" s="30"/>
    </row>
    <row r="683" spans="18:18" ht="15.75" customHeight="1">
      <c r="R683" s="30"/>
    </row>
    <row r="684" spans="18:18" ht="15.75" customHeight="1">
      <c r="R684" s="30"/>
    </row>
    <row r="685" spans="18:18" ht="15.75" customHeight="1">
      <c r="R685" s="30"/>
    </row>
    <row r="686" spans="18:18" ht="15.75" customHeight="1">
      <c r="R686" s="30"/>
    </row>
    <row r="687" spans="18:18" ht="15.75" customHeight="1">
      <c r="R687" s="30"/>
    </row>
    <row r="688" spans="18:18" ht="15.75" customHeight="1">
      <c r="R688" s="30"/>
    </row>
    <row r="689" spans="18:18" ht="15.75" customHeight="1">
      <c r="R689" s="30"/>
    </row>
    <row r="690" spans="18:18" ht="15.75" customHeight="1">
      <c r="R690" s="30"/>
    </row>
    <row r="691" spans="18:18" ht="15.75" customHeight="1">
      <c r="R691" s="30"/>
    </row>
    <row r="692" spans="18:18" ht="15.75" customHeight="1">
      <c r="R692" s="30"/>
    </row>
    <row r="693" spans="18:18" ht="15.75" customHeight="1">
      <c r="R693" s="30"/>
    </row>
    <row r="694" spans="18:18" ht="15.75" customHeight="1">
      <c r="R694" s="30"/>
    </row>
    <row r="695" spans="18:18" ht="15.75" customHeight="1">
      <c r="R695" s="30"/>
    </row>
    <row r="696" spans="18:18" ht="15.75" customHeight="1">
      <c r="R696" s="30"/>
    </row>
    <row r="697" spans="18:18" ht="15.75" customHeight="1">
      <c r="R697" s="30"/>
    </row>
    <row r="698" spans="18:18" ht="15.75" customHeight="1">
      <c r="R698" s="30"/>
    </row>
    <row r="699" spans="18:18" ht="15.75" customHeight="1">
      <c r="R699" s="30"/>
    </row>
    <row r="700" spans="18:18" ht="15.75" customHeight="1">
      <c r="R700" s="30"/>
    </row>
    <row r="701" spans="18:18" ht="15.75" customHeight="1">
      <c r="R701" s="30"/>
    </row>
    <row r="702" spans="18:18" ht="15.75" customHeight="1">
      <c r="R702" s="30"/>
    </row>
    <row r="703" spans="18:18" ht="15.75" customHeight="1">
      <c r="R703" s="30"/>
    </row>
    <row r="704" spans="18:18" ht="15.75" customHeight="1">
      <c r="R704" s="30"/>
    </row>
    <row r="705" spans="18:18" ht="15.75" customHeight="1">
      <c r="R705" s="30"/>
    </row>
    <row r="706" spans="18:18" ht="15.75" customHeight="1">
      <c r="R706" s="30"/>
    </row>
    <row r="707" spans="18:18" ht="15.75" customHeight="1">
      <c r="R707" s="30"/>
    </row>
    <row r="708" spans="18:18" ht="15.75" customHeight="1">
      <c r="R708" s="30"/>
    </row>
    <row r="709" spans="18:18" ht="15.75" customHeight="1">
      <c r="R709" s="30"/>
    </row>
    <row r="710" spans="18:18" ht="15.75" customHeight="1">
      <c r="R710" s="30"/>
    </row>
    <row r="711" spans="18:18" ht="15.75" customHeight="1">
      <c r="R711" s="30"/>
    </row>
    <row r="712" spans="18:18" ht="15.75" customHeight="1">
      <c r="R712" s="30"/>
    </row>
    <row r="713" spans="18:18" ht="15.75" customHeight="1">
      <c r="R713" s="30"/>
    </row>
    <row r="714" spans="18:18" ht="15.75" customHeight="1">
      <c r="R714" s="30"/>
    </row>
    <row r="715" spans="18:18" ht="15.75" customHeight="1">
      <c r="R715" s="30"/>
    </row>
    <row r="716" spans="18:18" ht="15.75" customHeight="1">
      <c r="R716" s="30"/>
    </row>
    <row r="717" spans="18:18" ht="15.75" customHeight="1">
      <c r="R717" s="30"/>
    </row>
    <row r="718" spans="18:18" ht="15.75" customHeight="1">
      <c r="R718" s="30"/>
    </row>
    <row r="719" spans="18:18" ht="15.75" customHeight="1">
      <c r="R719" s="30"/>
    </row>
    <row r="720" spans="18:18" ht="15.75" customHeight="1">
      <c r="R720" s="30"/>
    </row>
    <row r="721" spans="18:18" ht="15.75" customHeight="1">
      <c r="R721" s="30"/>
    </row>
    <row r="722" spans="18:18" ht="15.75" customHeight="1">
      <c r="R722" s="30"/>
    </row>
    <row r="723" spans="18:18" ht="15.75" customHeight="1">
      <c r="R723" s="30"/>
    </row>
    <row r="724" spans="18:18" ht="15.75" customHeight="1">
      <c r="R724" s="30"/>
    </row>
    <row r="725" spans="18:18" ht="15.75" customHeight="1">
      <c r="R725" s="30"/>
    </row>
    <row r="726" spans="18:18" ht="15.75" customHeight="1">
      <c r="R726" s="30"/>
    </row>
    <row r="727" spans="18:18" ht="15.75" customHeight="1">
      <c r="R727" s="30"/>
    </row>
    <row r="728" spans="18:18" ht="15.75" customHeight="1">
      <c r="R728" s="30"/>
    </row>
    <row r="729" spans="18:18" ht="15.75" customHeight="1">
      <c r="R729" s="30"/>
    </row>
    <row r="730" spans="18:18" ht="15.75" customHeight="1">
      <c r="R730" s="30"/>
    </row>
    <row r="731" spans="18:18" ht="15.75" customHeight="1">
      <c r="R731" s="30"/>
    </row>
    <row r="732" spans="18:18" ht="15.75" customHeight="1">
      <c r="R732" s="30"/>
    </row>
    <row r="733" spans="18:18" ht="15.75" customHeight="1">
      <c r="R733" s="30"/>
    </row>
    <row r="734" spans="18:18" ht="15.75" customHeight="1">
      <c r="R734" s="30"/>
    </row>
    <row r="735" spans="18:18" ht="15.75" customHeight="1">
      <c r="R735" s="30"/>
    </row>
    <row r="736" spans="18:18" ht="15.75" customHeight="1">
      <c r="R736" s="30"/>
    </row>
    <row r="737" spans="18:18" ht="15.75" customHeight="1">
      <c r="R737" s="30"/>
    </row>
    <row r="738" spans="18:18" ht="15.75" customHeight="1">
      <c r="R738" s="30"/>
    </row>
    <row r="739" spans="18:18" ht="15.75" customHeight="1">
      <c r="R739" s="30"/>
    </row>
    <row r="740" spans="18:18" ht="15.75" customHeight="1">
      <c r="R740" s="30"/>
    </row>
    <row r="741" spans="18:18" ht="15.75" customHeight="1">
      <c r="R741" s="30"/>
    </row>
    <row r="742" spans="18:18" ht="15.75" customHeight="1">
      <c r="R742" s="30"/>
    </row>
    <row r="743" spans="18:18" ht="15.75" customHeight="1">
      <c r="R743" s="30"/>
    </row>
    <row r="744" spans="18:18" ht="15.75" customHeight="1">
      <c r="R744" s="30"/>
    </row>
    <row r="745" spans="18:18" ht="15.75" customHeight="1">
      <c r="R745" s="30"/>
    </row>
    <row r="746" spans="18:18" ht="15.75" customHeight="1">
      <c r="R746" s="30"/>
    </row>
    <row r="747" spans="18:18" ht="15.75" customHeight="1">
      <c r="R747" s="30"/>
    </row>
    <row r="748" spans="18:18" ht="15.75" customHeight="1">
      <c r="R748" s="30"/>
    </row>
    <row r="749" spans="18:18" ht="15.75" customHeight="1">
      <c r="R749" s="30"/>
    </row>
    <row r="750" spans="18:18" ht="15.75" customHeight="1">
      <c r="R750" s="30"/>
    </row>
    <row r="751" spans="18:18" ht="15.75" customHeight="1">
      <c r="R751" s="30"/>
    </row>
    <row r="752" spans="18:18" ht="15.75" customHeight="1">
      <c r="R752" s="30"/>
    </row>
    <row r="753" spans="18:18" ht="15.75" customHeight="1">
      <c r="R753" s="30"/>
    </row>
    <row r="754" spans="18:18" ht="15.75" customHeight="1">
      <c r="R754" s="30"/>
    </row>
    <row r="755" spans="18:18" ht="15.75" customHeight="1">
      <c r="R755" s="30"/>
    </row>
    <row r="756" spans="18:18" ht="15.75" customHeight="1">
      <c r="R756" s="30"/>
    </row>
    <row r="757" spans="18:18" ht="15.75" customHeight="1">
      <c r="R757" s="30"/>
    </row>
    <row r="758" spans="18:18" ht="15.75" customHeight="1">
      <c r="R758" s="30"/>
    </row>
    <row r="759" spans="18:18" ht="15.75" customHeight="1">
      <c r="R759" s="30"/>
    </row>
    <row r="760" spans="18:18" ht="15.75" customHeight="1">
      <c r="R760" s="30"/>
    </row>
    <row r="761" spans="18:18" ht="15.75" customHeight="1">
      <c r="R761" s="30"/>
    </row>
    <row r="762" spans="18:18" ht="15.75" customHeight="1">
      <c r="R762" s="30"/>
    </row>
    <row r="763" spans="18:18" ht="15.75" customHeight="1">
      <c r="R763" s="30"/>
    </row>
    <row r="764" spans="18:18" ht="15.75" customHeight="1">
      <c r="R764" s="30"/>
    </row>
    <row r="765" spans="18:18" ht="15.75" customHeight="1">
      <c r="R765" s="30"/>
    </row>
    <row r="766" spans="18:18" ht="15.75" customHeight="1">
      <c r="R766" s="30"/>
    </row>
    <row r="767" spans="18:18" ht="15.75" customHeight="1">
      <c r="R767" s="30"/>
    </row>
    <row r="768" spans="18:18" ht="15.75" customHeight="1">
      <c r="R768" s="30"/>
    </row>
    <row r="769" spans="18:18" ht="15.75" customHeight="1">
      <c r="R769" s="30"/>
    </row>
    <row r="770" spans="18:18" ht="15.75" customHeight="1">
      <c r="R770" s="30"/>
    </row>
    <row r="771" spans="18:18" ht="15.75" customHeight="1">
      <c r="R771" s="30"/>
    </row>
    <row r="772" spans="18:18" ht="15.75" customHeight="1">
      <c r="R772" s="30"/>
    </row>
    <row r="773" spans="18:18" ht="15.75" customHeight="1">
      <c r="R773" s="30"/>
    </row>
    <row r="774" spans="18:18" ht="15.75" customHeight="1">
      <c r="R774" s="30"/>
    </row>
    <row r="775" spans="18:18" ht="15.75" customHeight="1">
      <c r="R775" s="30"/>
    </row>
    <row r="776" spans="18:18" ht="15.75" customHeight="1">
      <c r="R776" s="30"/>
    </row>
    <row r="777" spans="18:18" ht="15.75" customHeight="1">
      <c r="R777" s="30"/>
    </row>
    <row r="778" spans="18:18" ht="15.75" customHeight="1">
      <c r="R778" s="30"/>
    </row>
    <row r="779" spans="18:18" ht="15.75" customHeight="1">
      <c r="R779" s="30"/>
    </row>
    <row r="780" spans="18:18" ht="15.75" customHeight="1">
      <c r="R780" s="30"/>
    </row>
    <row r="781" spans="18:18" ht="15.75" customHeight="1">
      <c r="R781" s="30"/>
    </row>
    <row r="782" spans="18:18" ht="15.75" customHeight="1">
      <c r="R782" s="30"/>
    </row>
    <row r="783" spans="18:18" ht="15.75" customHeight="1">
      <c r="R783" s="30"/>
    </row>
    <row r="784" spans="18:18" ht="15.75" customHeight="1">
      <c r="R784" s="30"/>
    </row>
    <row r="785" spans="18:18" ht="15.75" customHeight="1">
      <c r="R785" s="30"/>
    </row>
    <row r="786" spans="18:18" ht="15.75" customHeight="1">
      <c r="R786" s="30"/>
    </row>
    <row r="787" spans="18:18" ht="15.75" customHeight="1">
      <c r="R787" s="30"/>
    </row>
    <row r="788" spans="18:18" ht="15.75" customHeight="1">
      <c r="R788" s="30"/>
    </row>
    <row r="789" spans="18:18" ht="15.75" customHeight="1">
      <c r="R789" s="30"/>
    </row>
    <row r="790" spans="18:18" ht="15.75" customHeight="1">
      <c r="R790" s="30"/>
    </row>
    <row r="791" spans="18:18" ht="15.75" customHeight="1">
      <c r="R791" s="30"/>
    </row>
    <row r="792" spans="18:18" ht="15.75" customHeight="1">
      <c r="R792" s="30"/>
    </row>
    <row r="793" spans="18:18" ht="15.75" customHeight="1">
      <c r="R793" s="30"/>
    </row>
    <row r="794" spans="18:18" ht="15.75" customHeight="1">
      <c r="R794" s="30"/>
    </row>
    <row r="795" spans="18:18" ht="15.75" customHeight="1">
      <c r="R795" s="30"/>
    </row>
    <row r="796" spans="18:18" ht="15.75" customHeight="1">
      <c r="R796" s="30"/>
    </row>
    <row r="797" spans="18:18" ht="15.75" customHeight="1">
      <c r="R797" s="30"/>
    </row>
    <row r="798" spans="18:18" ht="15.75" customHeight="1">
      <c r="R798" s="30"/>
    </row>
    <row r="799" spans="18:18" ht="15.75" customHeight="1">
      <c r="R799" s="30"/>
    </row>
    <row r="800" spans="18:18" ht="15.75" customHeight="1">
      <c r="R800" s="30"/>
    </row>
    <row r="801" spans="18:18" ht="15.75" customHeight="1">
      <c r="R801" s="30"/>
    </row>
    <row r="802" spans="18:18" ht="15.75" customHeight="1">
      <c r="R802" s="30"/>
    </row>
    <row r="803" spans="18:18" ht="15.75" customHeight="1">
      <c r="R803" s="30"/>
    </row>
    <row r="804" spans="18:18" ht="15.75" customHeight="1">
      <c r="R804" s="30"/>
    </row>
    <row r="805" spans="18:18" ht="15.75" customHeight="1">
      <c r="R805" s="30"/>
    </row>
    <row r="806" spans="18:18" ht="15.75" customHeight="1">
      <c r="R806" s="30"/>
    </row>
    <row r="807" spans="18:18" ht="15.75" customHeight="1">
      <c r="R807" s="30"/>
    </row>
    <row r="808" spans="18:18" ht="15.75" customHeight="1">
      <c r="R808" s="30"/>
    </row>
    <row r="809" spans="18:18" ht="15.75" customHeight="1">
      <c r="R809" s="30"/>
    </row>
    <row r="810" spans="18:18" ht="15.75" customHeight="1">
      <c r="R810" s="30"/>
    </row>
    <row r="811" spans="18:18" ht="15.75" customHeight="1">
      <c r="R811" s="30"/>
    </row>
    <row r="812" spans="18:18" ht="15.75" customHeight="1">
      <c r="R812" s="30"/>
    </row>
    <row r="813" spans="18:18" ht="15.75" customHeight="1">
      <c r="R813" s="30"/>
    </row>
    <row r="814" spans="18:18" ht="15.75" customHeight="1">
      <c r="R814" s="30"/>
    </row>
    <row r="815" spans="18:18" ht="15.75" customHeight="1">
      <c r="R815" s="30"/>
    </row>
    <row r="816" spans="18:18" ht="15.75" customHeight="1">
      <c r="R816" s="30"/>
    </row>
    <row r="817" spans="18:18" ht="15.75" customHeight="1">
      <c r="R817" s="30"/>
    </row>
    <row r="818" spans="18:18" ht="15.75" customHeight="1">
      <c r="R818" s="30"/>
    </row>
    <row r="819" spans="18:18" ht="15.75" customHeight="1">
      <c r="R819" s="30"/>
    </row>
    <row r="820" spans="18:18" ht="15.75" customHeight="1">
      <c r="R820" s="30"/>
    </row>
    <row r="821" spans="18:18" ht="15.75" customHeight="1">
      <c r="R821" s="30"/>
    </row>
    <row r="822" spans="18:18" ht="15.75" customHeight="1">
      <c r="R822" s="30"/>
    </row>
    <row r="823" spans="18:18" ht="15.75" customHeight="1">
      <c r="R823" s="30"/>
    </row>
    <row r="824" spans="18:18" ht="15.75" customHeight="1">
      <c r="R824" s="30"/>
    </row>
    <row r="825" spans="18:18" ht="15.75" customHeight="1">
      <c r="R825" s="30"/>
    </row>
    <row r="826" spans="18:18" ht="15.75" customHeight="1">
      <c r="R826" s="30"/>
    </row>
    <row r="827" spans="18:18" ht="15.75" customHeight="1">
      <c r="R827" s="30"/>
    </row>
    <row r="828" spans="18:18" ht="15.75" customHeight="1">
      <c r="R828" s="30"/>
    </row>
    <row r="829" spans="18:18" ht="15.75" customHeight="1">
      <c r="R829" s="30"/>
    </row>
    <row r="830" spans="18:18" ht="15.75" customHeight="1">
      <c r="R830" s="30"/>
    </row>
    <row r="831" spans="18:18" ht="15.75" customHeight="1">
      <c r="R831" s="30"/>
    </row>
    <row r="832" spans="18:18" ht="15.75" customHeight="1">
      <c r="R832" s="30"/>
    </row>
    <row r="833" spans="18:18" ht="15.75" customHeight="1">
      <c r="R833" s="30"/>
    </row>
    <row r="834" spans="18:18" ht="15.75" customHeight="1">
      <c r="R834" s="30"/>
    </row>
    <row r="835" spans="18:18" ht="15.75" customHeight="1">
      <c r="R835" s="30"/>
    </row>
    <row r="836" spans="18:18" ht="15.75" customHeight="1">
      <c r="R836" s="30"/>
    </row>
    <row r="837" spans="18:18" ht="15.75" customHeight="1">
      <c r="R837" s="30"/>
    </row>
    <row r="838" spans="18:18" ht="15.75" customHeight="1">
      <c r="R838" s="30"/>
    </row>
    <row r="839" spans="18:18" ht="15.75" customHeight="1">
      <c r="R839" s="30"/>
    </row>
    <row r="840" spans="18:18" ht="15.75" customHeight="1">
      <c r="R840" s="30"/>
    </row>
    <row r="841" spans="18:18" ht="15.75" customHeight="1">
      <c r="R841" s="30"/>
    </row>
    <row r="842" spans="18:18" ht="15.75" customHeight="1">
      <c r="R842" s="30"/>
    </row>
    <row r="843" spans="18:18" ht="15.75" customHeight="1">
      <c r="R843" s="30"/>
    </row>
    <row r="844" spans="18:18" ht="15.75" customHeight="1">
      <c r="R844" s="30"/>
    </row>
    <row r="845" spans="18:18" ht="15.75" customHeight="1">
      <c r="R845" s="30"/>
    </row>
    <row r="846" spans="18:18" ht="15.75" customHeight="1">
      <c r="R846" s="30"/>
    </row>
    <row r="847" spans="18:18" ht="15.75" customHeight="1">
      <c r="R847" s="30"/>
    </row>
    <row r="848" spans="18:18" ht="15.75" customHeight="1">
      <c r="R848" s="30"/>
    </row>
    <row r="849" spans="18:18" ht="15.75" customHeight="1">
      <c r="R849" s="30"/>
    </row>
    <row r="850" spans="18:18" ht="15.75" customHeight="1">
      <c r="R850" s="30"/>
    </row>
    <row r="851" spans="18:18" ht="15.75" customHeight="1">
      <c r="R851" s="30"/>
    </row>
    <row r="852" spans="18:18" ht="15.75" customHeight="1">
      <c r="R852" s="30"/>
    </row>
    <row r="853" spans="18:18" ht="15.75" customHeight="1">
      <c r="R853" s="30"/>
    </row>
    <row r="854" spans="18:18" ht="15.75" customHeight="1">
      <c r="R854" s="30"/>
    </row>
    <row r="855" spans="18:18" ht="15.75" customHeight="1">
      <c r="R855" s="30"/>
    </row>
    <row r="856" spans="18:18" ht="15.75" customHeight="1">
      <c r="R856" s="30"/>
    </row>
    <row r="857" spans="18:18" ht="15.75" customHeight="1">
      <c r="R857" s="30"/>
    </row>
    <row r="858" spans="18:18" ht="15.75" customHeight="1">
      <c r="R858" s="30"/>
    </row>
    <row r="859" spans="18:18" ht="15.75" customHeight="1">
      <c r="R859" s="30"/>
    </row>
    <row r="860" spans="18:18" ht="15.75" customHeight="1">
      <c r="R860" s="30"/>
    </row>
    <row r="861" spans="18:18" ht="15.75" customHeight="1">
      <c r="R861" s="30"/>
    </row>
    <row r="862" spans="18:18" ht="15.75" customHeight="1">
      <c r="R862" s="30"/>
    </row>
    <row r="863" spans="18:18" ht="15.75" customHeight="1">
      <c r="R863" s="30"/>
    </row>
    <row r="864" spans="18:18" ht="15.75" customHeight="1">
      <c r="R864" s="30"/>
    </row>
    <row r="865" spans="18:18" ht="15.75" customHeight="1">
      <c r="R865" s="30"/>
    </row>
    <row r="866" spans="18:18" ht="15.75" customHeight="1">
      <c r="R866" s="30"/>
    </row>
    <row r="867" spans="18:18" ht="15.75" customHeight="1">
      <c r="R867" s="30"/>
    </row>
    <row r="868" spans="18:18" ht="15.75" customHeight="1">
      <c r="R868" s="30"/>
    </row>
    <row r="869" spans="18:18" ht="15.75" customHeight="1">
      <c r="R869" s="30"/>
    </row>
    <row r="870" spans="18:18" ht="15.75" customHeight="1">
      <c r="R870" s="30"/>
    </row>
    <row r="871" spans="18:18" ht="15.75" customHeight="1">
      <c r="R871" s="30"/>
    </row>
    <row r="872" spans="18:18" ht="15.75" customHeight="1">
      <c r="R872" s="30"/>
    </row>
    <row r="873" spans="18:18" ht="15.75" customHeight="1">
      <c r="R873" s="30"/>
    </row>
    <row r="874" spans="18:18" ht="15.75" customHeight="1">
      <c r="R874" s="30"/>
    </row>
    <row r="875" spans="18:18" ht="15.75" customHeight="1">
      <c r="R875" s="30"/>
    </row>
    <row r="876" spans="18:18" ht="15.75" customHeight="1">
      <c r="R876" s="30"/>
    </row>
    <row r="877" spans="18:18" ht="15.75" customHeight="1">
      <c r="R877" s="30"/>
    </row>
    <row r="878" spans="18:18" ht="15.75" customHeight="1">
      <c r="R878" s="30"/>
    </row>
    <row r="879" spans="18:18" ht="15.75" customHeight="1">
      <c r="R879" s="30"/>
    </row>
    <row r="880" spans="18:18" ht="15.75" customHeight="1">
      <c r="R880" s="30"/>
    </row>
    <row r="881" spans="18:18" ht="15.75" customHeight="1">
      <c r="R881" s="30"/>
    </row>
    <row r="882" spans="18:18" ht="15.75" customHeight="1">
      <c r="R882" s="30"/>
    </row>
    <row r="883" spans="18:18" ht="15.75" customHeight="1">
      <c r="R883" s="30"/>
    </row>
    <row r="884" spans="18:18" ht="15.75" customHeight="1">
      <c r="R884" s="30"/>
    </row>
    <row r="885" spans="18:18" ht="15.75" customHeight="1">
      <c r="R885" s="30"/>
    </row>
    <row r="886" spans="18:18" ht="15.75" customHeight="1">
      <c r="R886" s="30"/>
    </row>
    <row r="887" spans="18:18" ht="15.75" customHeight="1">
      <c r="R887" s="30"/>
    </row>
    <row r="888" spans="18:18" ht="15.75" customHeight="1">
      <c r="R888" s="30"/>
    </row>
    <row r="889" spans="18:18" ht="15.75" customHeight="1">
      <c r="R889" s="30"/>
    </row>
    <row r="890" spans="18:18" ht="15.75" customHeight="1">
      <c r="R890" s="30"/>
    </row>
    <row r="891" spans="18:18" ht="15.75" customHeight="1">
      <c r="R891" s="30"/>
    </row>
    <row r="892" spans="18:18" ht="15.75" customHeight="1">
      <c r="R892" s="30"/>
    </row>
    <row r="893" spans="18:18" ht="15.75" customHeight="1">
      <c r="R893" s="30"/>
    </row>
    <row r="894" spans="18:18" ht="15.75" customHeight="1">
      <c r="R894" s="30"/>
    </row>
    <row r="895" spans="18:18" ht="15.75" customHeight="1">
      <c r="R895" s="30"/>
    </row>
    <row r="896" spans="18:18" ht="15.75" customHeight="1">
      <c r="R896" s="30"/>
    </row>
    <row r="897" spans="18:18" ht="15.75" customHeight="1">
      <c r="R897" s="30"/>
    </row>
    <row r="898" spans="18:18" ht="15.75" customHeight="1">
      <c r="R898" s="30"/>
    </row>
    <row r="899" spans="18:18" ht="15.75" customHeight="1">
      <c r="R899" s="30"/>
    </row>
    <row r="900" spans="18:18" ht="15.75" customHeight="1">
      <c r="R900" s="30"/>
    </row>
    <row r="901" spans="18:18" ht="15.75" customHeight="1">
      <c r="R901" s="30"/>
    </row>
    <row r="902" spans="18:18" ht="15.75" customHeight="1">
      <c r="R902" s="30"/>
    </row>
    <row r="903" spans="18:18" ht="15.75" customHeight="1">
      <c r="R903" s="30"/>
    </row>
    <row r="904" spans="18:18" ht="15.75" customHeight="1">
      <c r="R904" s="30"/>
    </row>
    <row r="905" spans="18:18" ht="15.75" customHeight="1">
      <c r="R905" s="30"/>
    </row>
    <row r="906" spans="18:18" ht="15.75" customHeight="1">
      <c r="R906" s="30"/>
    </row>
    <row r="907" spans="18:18" ht="15.75" customHeight="1">
      <c r="R907" s="30"/>
    </row>
    <row r="908" spans="18:18" ht="15.75" customHeight="1">
      <c r="R908" s="30"/>
    </row>
    <row r="909" spans="18:18" ht="15.75" customHeight="1">
      <c r="R909" s="30"/>
    </row>
    <row r="910" spans="18:18" ht="15.75" customHeight="1">
      <c r="R910" s="30"/>
    </row>
    <row r="911" spans="18:18" ht="15.75" customHeight="1">
      <c r="R911" s="30"/>
    </row>
    <row r="912" spans="18:18" ht="15.75" customHeight="1">
      <c r="R912" s="30"/>
    </row>
    <row r="913" spans="18:18" ht="15.75" customHeight="1">
      <c r="R913" s="30"/>
    </row>
    <row r="914" spans="18:18" ht="15.75" customHeight="1">
      <c r="R914" s="30"/>
    </row>
    <row r="915" spans="18:18" ht="15.75" customHeight="1">
      <c r="R915" s="30"/>
    </row>
    <row r="916" spans="18:18" ht="15.75" customHeight="1">
      <c r="R916" s="30"/>
    </row>
    <row r="917" spans="18:18" ht="15.75" customHeight="1">
      <c r="R917" s="30"/>
    </row>
    <row r="918" spans="18:18" ht="15.75" customHeight="1">
      <c r="R918" s="30"/>
    </row>
    <row r="919" spans="18:18" ht="15.75" customHeight="1">
      <c r="R919" s="30"/>
    </row>
    <row r="920" spans="18:18" ht="15.75" customHeight="1">
      <c r="R920" s="30"/>
    </row>
    <row r="921" spans="18:18" ht="15.75" customHeight="1">
      <c r="R921" s="30"/>
    </row>
    <row r="922" spans="18:18" ht="15.75" customHeight="1">
      <c r="R922" s="30"/>
    </row>
    <row r="923" spans="18:18" ht="15.75" customHeight="1">
      <c r="R923" s="30"/>
    </row>
    <row r="924" spans="18:18" ht="15.75" customHeight="1">
      <c r="R924" s="30"/>
    </row>
    <row r="925" spans="18:18" ht="15.75" customHeight="1">
      <c r="R925" s="30"/>
    </row>
    <row r="926" spans="18:18" ht="15.75" customHeight="1">
      <c r="R926" s="30"/>
    </row>
    <row r="927" spans="18:18" ht="15.75" customHeight="1">
      <c r="R927" s="30"/>
    </row>
    <row r="928" spans="18:18" ht="15.75" customHeight="1">
      <c r="R928" s="30"/>
    </row>
    <row r="929" spans="18:18" ht="15.75" customHeight="1">
      <c r="R929" s="30"/>
    </row>
    <row r="930" spans="18:18" ht="15.75" customHeight="1">
      <c r="R930" s="30"/>
    </row>
    <row r="931" spans="18:18" ht="15.75" customHeight="1">
      <c r="R931" s="30"/>
    </row>
    <row r="932" spans="18:18" ht="15.75" customHeight="1">
      <c r="R932" s="30"/>
    </row>
    <row r="933" spans="18:18" ht="15.75" customHeight="1">
      <c r="R933" s="30"/>
    </row>
    <row r="934" spans="18:18" ht="15.75" customHeight="1">
      <c r="R934" s="30"/>
    </row>
    <row r="935" spans="18:18" ht="15.75" customHeight="1">
      <c r="R935" s="30"/>
    </row>
    <row r="936" spans="18:18" ht="15.75" customHeight="1">
      <c r="R936" s="30"/>
    </row>
    <row r="937" spans="18:18" ht="15.75" customHeight="1">
      <c r="R937" s="30"/>
    </row>
    <row r="938" spans="18:18" ht="15.75" customHeight="1">
      <c r="R938" s="30"/>
    </row>
    <row r="939" spans="18:18" ht="15.75" customHeight="1">
      <c r="R939" s="30"/>
    </row>
    <row r="940" spans="18:18" ht="15.75" customHeight="1">
      <c r="R940" s="30"/>
    </row>
    <row r="941" spans="18:18" ht="15.75" customHeight="1">
      <c r="R941" s="30"/>
    </row>
    <row r="942" spans="18:18" ht="15.75" customHeight="1">
      <c r="R942" s="30"/>
    </row>
    <row r="943" spans="18:18" ht="15.75" customHeight="1">
      <c r="R943" s="30"/>
    </row>
    <row r="944" spans="18:18" ht="15.75" customHeight="1">
      <c r="R944" s="30"/>
    </row>
    <row r="945" spans="18:18" ht="15.75" customHeight="1">
      <c r="R945" s="30"/>
    </row>
    <row r="946" spans="18:18" ht="15.75" customHeight="1">
      <c r="R946" s="30"/>
    </row>
    <row r="947" spans="18:18" ht="15.75" customHeight="1">
      <c r="R947" s="30"/>
    </row>
    <row r="948" spans="18:18" ht="15.75" customHeight="1">
      <c r="R948" s="30"/>
    </row>
    <row r="949" spans="18:18" ht="15.75" customHeight="1">
      <c r="R949" s="30"/>
    </row>
    <row r="950" spans="18:18" ht="15.75" customHeight="1">
      <c r="R950" s="30"/>
    </row>
    <row r="951" spans="18:18" ht="15.75" customHeight="1">
      <c r="R951" s="30"/>
    </row>
    <row r="952" spans="18:18" ht="15.75" customHeight="1">
      <c r="R952" s="30"/>
    </row>
    <row r="953" spans="18:18" ht="15.75" customHeight="1">
      <c r="R953" s="30"/>
    </row>
    <row r="954" spans="18:18" ht="15.75" customHeight="1">
      <c r="R954" s="30"/>
    </row>
    <row r="955" spans="18:18" ht="15.75" customHeight="1">
      <c r="R955" s="30"/>
    </row>
    <row r="956" spans="18:18" ht="15.75" customHeight="1">
      <c r="R956" s="30"/>
    </row>
    <row r="957" spans="18:18" ht="15.75" customHeight="1">
      <c r="R957" s="30"/>
    </row>
    <row r="958" spans="18:18" ht="15.75" customHeight="1">
      <c r="R958" s="30"/>
    </row>
    <row r="959" spans="18:18" ht="15.75" customHeight="1">
      <c r="R959" s="30"/>
    </row>
    <row r="960" spans="18:18" ht="15.75" customHeight="1">
      <c r="R960" s="30"/>
    </row>
    <row r="961" spans="18:18" ht="15.75" customHeight="1">
      <c r="R961" s="30"/>
    </row>
    <row r="962" spans="18:18" ht="15.75" customHeight="1">
      <c r="R962" s="30"/>
    </row>
    <row r="963" spans="18:18" ht="15.75" customHeight="1">
      <c r="R963" s="30"/>
    </row>
    <row r="964" spans="18:18" ht="15.75" customHeight="1">
      <c r="R964" s="30"/>
    </row>
    <row r="965" spans="18:18" ht="15.75" customHeight="1">
      <c r="R965" s="30"/>
    </row>
    <row r="966" spans="18:18" ht="15.75" customHeight="1">
      <c r="R966" s="30"/>
    </row>
    <row r="967" spans="18:18" ht="15.75" customHeight="1">
      <c r="R967" s="30"/>
    </row>
    <row r="968" spans="18:18" ht="15.75" customHeight="1">
      <c r="R968" s="30"/>
    </row>
    <row r="969" spans="18:18" ht="15.75" customHeight="1">
      <c r="R969" s="30"/>
    </row>
    <row r="970" spans="18:18" ht="15.75" customHeight="1">
      <c r="R970" s="30"/>
    </row>
    <row r="971" spans="18:18" ht="15.75" customHeight="1">
      <c r="R971" s="30"/>
    </row>
    <row r="972" spans="18:18" ht="15.75" customHeight="1">
      <c r="R972" s="30"/>
    </row>
    <row r="973" spans="18:18" ht="15.75" customHeight="1">
      <c r="R973" s="30"/>
    </row>
    <row r="974" spans="18:18" ht="15.75" customHeight="1">
      <c r="R974" s="30"/>
    </row>
    <row r="975" spans="18:18" ht="15.75" customHeight="1">
      <c r="R975" s="30"/>
    </row>
    <row r="976" spans="18:18" ht="15.75" customHeight="1">
      <c r="R976" s="30"/>
    </row>
    <row r="977" spans="18:18" ht="15.75" customHeight="1">
      <c r="R977" s="30"/>
    </row>
    <row r="978" spans="18:18" ht="15.75" customHeight="1">
      <c r="R978" s="30"/>
    </row>
    <row r="979" spans="18:18" ht="15.75" customHeight="1">
      <c r="R979" s="30"/>
    </row>
    <row r="980" spans="18:18" ht="15.75" customHeight="1">
      <c r="R980" s="30"/>
    </row>
    <row r="981" spans="18:18" ht="15.75" customHeight="1">
      <c r="R981" s="30"/>
    </row>
    <row r="982" spans="18:18" ht="15.75" customHeight="1">
      <c r="R982" s="30"/>
    </row>
    <row r="983" spans="18:18" ht="15.75" customHeight="1">
      <c r="R983" s="30"/>
    </row>
    <row r="984" spans="18:18" ht="15.75" customHeight="1">
      <c r="R984" s="30"/>
    </row>
    <row r="985" spans="18:18" ht="15.75" customHeight="1">
      <c r="R985" s="30"/>
    </row>
    <row r="986" spans="18:18" ht="15.75" customHeight="1">
      <c r="R986" s="30"/>
    </row>
    <row r="987" spans="18:18" ht="15.75" customHeight="1">
      <c r="R987" s="30"/>
    </row>
    <row r="988" spans="18:18" ht="15.75" customHeight="1">
      <c r="R988" s="30"/>
    </row>
    <row r="989" spans="18:18" ht="15.75" customHeight="1">
      <c r="R989" s="30"/>
    </row>
    <row r="990" spans="18:18" ht="15.75" customHeight="1">
      <c r="R990" s="30"/>
    </row>
    <row r="991" spans="18:18" ht="15.75" customHeight="1">
      <c r="R991" s="30"/>
    </row>
    <row r="992" spans="18:18" ht="15.75" customHeight="1">
      <c r="R992" s="30"/>
    </row>
    <row r="993" spans="18:18" ht="15.75" customHeight="1">
      <c r="R993" s="30"/>
    </row>
    <row r="994" spans="18:18" ht="15.75" customHeight="1">
      <c r="R994" s="30"/>
    </row>
    <row r="995" spans="18:18" ht="15.75" customHeight="1">
      <c r="R995" s="30"/>
    </row>
    <row r="996" spans="18:18" ht="15.75" customHeight="1">
      <c r="R996" s="30"/>
    </row>
    <row r="997" spans="18:18" ht="15.75" customHeight="1">
      <c r="R997" s="30"/>
    </row>
    <row r="998" spans="18:18" ht="15.75" customHeight="1">
      <c r="R998" s="30"/>
    </row>
    <row r="999" spans="18:18" ht="15.75" customHeight="1">
      <c r="R999" s="30"/>
    </row>
    <row r="1000" spans="18:18" ht="15.75" customHeight="1">
      <c r="R1000" s="3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2.6640625" defaultRowHeight="15" customHeight="1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8.6640625" customWidth="1"/>
    <col min="6" max="6" width="10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9.6640625" customWidth="1"/>
    <col min="16" max="16" width="8.1640625" customWidth="1"/>
    <col min="17" max="18" width="7.33203125" customWidth="1"/>
    <col min="19" max="19" width="7.1640625" customWidth="1"/>
    <col min="20" max="20" width="11.1640625" customWidth="1"/>
    <col min="21" max="21" width="13.5" customWidth="1"/>
    <col min="22" max="22" width="22" customWidth="1"/>
    <col min="23" max="24" width="7.6640625" customWidth="1"/>
    <col min="25" max="25" width="8.1640625" customWidth="1"/>
    <col min="26" max="26" width="11.1640625" customWidth="1"/>
    <col min="27" max="27" width="10.6640625" customWidth="1"/>
    <col min="28" max="28" width="9.6640625" customWidth="1"/>
    <col min="29" max="29" width="7.1640625" customWidth="1"/>
    <col min="30" max="30" width="10.83203125" customWidth="1"/>
    <col min="31" max="31" width="7.6640625" customWidth="1"/>
    <col min="32" max="32" width="10.1640625" customWidth="1"/>
    <col min="33" max="33" width="8.83203125" customWidth="1"/>
  </cols>
  <sheetData>
    <row r="1" spans="1:33" ht="18.75" customHeight="1">
      <c r="A1" s="46" t="str">
        <f ca="1">IFERROR(__xludf.DUMMYFUNCTION("IFERROR(VLOOKUP(B2,IMPORTRANGE(""https://docs.google.com/spreadsheets/d/1x0DhHglkXKoEBOD2MBsuK_EyIr1ouxD2ftIpqOYFa-k/edit?usp=sharing"",""Ubiquitty-SKU-Specific Info!B1:BJ5000""),3,FALSE),"""")"),"50 Foot Lighted Outdoor Extension Cord with 3 Electrical Power Outlets - 10/3 SJTW Orange 10 Gauge Extension Cable with 3 Prong Grounded Plug for Safety")</f>
        <v>50 Foot Lighted Outdoor Extension Cord with 3 Electrical Power Outlets - 10/3 SJTW Orange 10 Gauge Extension Cable with 3 Prong Grounded Plug for Safety</v>
      </c>
      <c r="B1" s="47"/>
      <c r="C1" s="48" t="s">
        <v>0</v>
      </c>
      <c r="D1" s="50" t="s">
        <v>1</v>
      </c>
      <c r="E1" s="50" t="s">
        <v>2</v>
      </c>
      <c r="F1" s="52" t="s">
        <v>3</v>
      </c>
      <c r="G1" s="52" t="s">
        <v>4</v>
      </c>
      <c r="H1" s="53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58" t="s">
        <v>10</v>
      </c>
      <c r="N1" s="59" t="s">
        <v>11</v>
      </c>
      <c r="O1" s="50" t="s">
        <v>12</v>
      </c>
      <c r="P1" s="50" t="s">
        <v>13</v>
      </c>
      <c r="Q1" s="57" t="s">
        <v>14</v>
      </c>
      <c r="R1" s="57" t="s">
        <v>15</v>
      </c>
      <c r="S1" s="60" t="s">
        <v>16</v>
      </c>
      <c r="T1" s="62" t="s">
        <v>2006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Info!B1:BJ5000""),2,FALSE),"""")"),"B08NFHW95B")</f>
        <v>B08NFHW95B</v>
      </c>
      <c r="B2" s="3" t="s">
        <v>155</v>
      </c>
      <c r="C2" s="49"/>
      <c r="D2" s="49"/>
      <c r="E2" s="51"/>
      <c r="F2" s="49"/>
      <c r="G2" s="49"/>
      <c r="H2" s="54"/>
      <c r="I2" s="49"/>
      <c r="J2" s="49"/>
      <c r="K2" s="54"/>
      <c r="L2" s="54"/>
      <c r="M2" s="54"/>
      <c r="N2" s="49"/>
      <c r="O2" s="49"/>
      <c r="P2" s="51"/>
      <c r="Q2" s="49"/>
      <c r="R2" s="49"/>
      <c r="S2" s="61"/>
      <c r="T2" s="47"/>
      <c r="U2" s="63"/>
      <c r="V2" s="63"/>
      <c r="W2" s="47"/>
      <c r="X2" s="47"/>
      <c r="Y2" s="47"/>
      <c r="Z2" s="47"/>
      <c r="AA2" s="63"/>
      <c r="AB2" s="63"/>
      <c r="AC2" s="63"/>
      <c r="AD2" s="63"/>
      <c r="AE2" s="47"/>
      <c r="AF2" s="47"/>
      <c r="AG2" s="47"/>
    </row>
    <row r="3" spans="1:33" ht="179.25" customHeight="1">
      <c r="A3" s="55" t="s">
        <v>31</v>
      </c>
      <c r="B3" s="56"/>
      <c r="C3" s="4">
        <f>((AE32+AF32)/0.85)*-1</f>
        <v>50.695655252941179</v>
      </c>
      <c r="D3" s="5">
        <f>SUM(D4:D99765)</f>
        <v>85</v>
      </c>
      <c r="E3" s="5"/>
      <c r="F3" s="6">
        <f t="shared" ref="F3:G3" si="0">SUM(F4:F99765)</f>
        <v>5424.26</v>
      </c>
      <c r="G3" s="6">
        <f t="shared" si="0"/>
        <v>0</v>
      </c>
      <c r="H3" s="7">
        <f>G3/F3*-1</f>
        <v>0</v>
      </c>
      <c r="I3" s="8">
        <f>J3/F3</f>
        <v>0.14811825926931416</v>
      </c>
      <c r="J3" s="6">
        <f>SUM(J4:J99765)</f>
        <v>803.43194902417008</v>
      </c>
      <c r="K3" s="6">
        <f>J3/D3</f>
        <v>9.4521405767549425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0.5 - April
0.5 - May
1 - June
1 - July
1 - Aug
1 - Sept
1 - Oct
1 - Nov
1 - Dec
 - Jan
 - Feb")</f>
        <v xml:space="preserve"> - March
0.5 - April
0.5 - May
1 - June
1 - July
1 - Aug
1 - Sept
1 - Oct
1 - Nov
1 -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QTY-22")</f>
        <v>US QTY-22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0</v>
      </c>
      <c r="X3" s="7">
        <f>W3/D3</f>
        <v>0</v>
      </c>
      <c r="Y3" s="6"/>
      <c r="Z3" s="5"/>
      <c r="AA3" s="5"/>
      <c r="AB3" s="5"/>
      <c r="AC3" s="5"/>
      <c r="AD3" s="6">
        <f>SUM(AD4:AD99765)</f>
        <v>-33.265050975833319</v>
      </c>
      <c r="AE3" s="6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Info!B2:BZ3000""),37,FALSE)),"""")*-1"),-34.411306965)</f>
        <v>-34.411306965000001</v>
      </c>
      <c r="AG3" s="6">
        <f>SUM(AG4:AG99765)</f>
        <v>0</v>
      </c>
    </row>
    <row r="4" spans="1:33" ht="15.75" hidden="1" customHeight="1">
      <c r="A4" s="14"/>
      <c r="B4" s="14"/>
      <c r="C4" s="15"/>
      <c r="D4" s="16"/>
      <c r="E4" s="16"/>
      <c r="F4" s="17"/>
      <c r="G4" s="17"/>
      <c r="H4" s="18"/>
      <c r="I4" s="18"/>
      <c r="J4" s="17"/>
      <c r="K4" s="17"/>
      <c r="L4" s="16"/>
      <c r="M4" s="19"/>
      <c r="N4" s="16"/>
      <c r="O4" s="20"/>
      <c r="P4" s="20"/>
      <c r="Q4" s="16"/>
      <c r="R4" s="16"/>
      <c r="S4" s="21"/>
      <c r="T4" s="14"/>
      <c r="U4" s="22"/>
      <c r="V4" s="23"/>
      <c r="W4" s="14"/>
      <c r="X4" s="24"/>
      <c r="Y4" s="25"/>
      <c r="Z4" s="14"/>
      <c r="AA4" s="26"/>
      <c r="AB4" s="27"/>
      <c r="AC4" s="28"/>
      <c r="AD4" s="25"/>
      <c r="AE4" s="25"/>
      <c r="AF4" s="25"/>
      <c r="AG4" s="25"/>
    </row>
    <row r="5" spans="1:33" ht="15.75" hidden="1" customHeight="1">
      <c r="A5" s="14"/>
      <c r="B5" s="14"/>
      <c r="C5" s="15"/>
      <c r="D5" s="16"/>
      <c r="E5" s="16"/>
      <c r="F5" s="29"/>
      <c r="G5" s="29"/>
      <c r="H5" s="18"/>
      <c r="I5" s="18"/>
      <c r="J5" s="17"/>
      <c r="K5" s="17"/>
      <c r="L5" s="16"/>
      <c r="M5" s="19"/>
      <c r="N5" s="16"/>
      <c r="O5" s="20"/>
      <c r="P5" s="20"/>
      <c r="Q5" s="16"/>
      <c r="R5" s="16"/>
      <c r="S5" s="21"/>
      <c r="T5" s="14"/>
      <c r="U5" s="22"/>
      <c r="V5" s="23"/>
      <c r="W5" s="14"/>
      <c r="X5" s="24"/>
      <c r="Y5" s="25"/>
      <c r="Z5" s="14"/>
      <c r="AA5" s="14"/>
      <c r="AB5" s="27"/>
      <c r="AC5" s="28"/>
      <c r="AD5" s="25"/>
      <c r="AE5" s="25"/>
      <c r="AF5" s="25"/>
      <c r="AG5" s="25"/>
    </row>
    <row r="6" spans="1:33" ht="15.75" hidden="1" customHeight="1">
      <c r="A6" s="14"/>
      <c r="B6" s="14"/>
      <c r="C6" s="15"/>
      <c r="D6" s="16"/>
      <c r="E6" s="16"/>
      <c r="F6" s="29"/>
      <c r="G6" s="29"/>
      <c r="H6" s="18"/>
      <c r="I6" s="18"/>
      <c r="J6" s="17"/>
      <c r="K6" s="17"/>
      <c r="L6" s="16"/>
      <c r="M6" s="19"/>
      <c r="N6" s="16"/>
      <c r="O6" s="20"/>
      <c r="P6" s="20"/>
      <c r="Q6" s="16"/>
      <c r="R6" s="16"/>
      <c r="S6" s="21"/>
      <c r="T6" s="14"/>
      <c r="U6" s="22"/>
      <c r="V6" s="23"/>
      <c r="W6" s="14"/>
      <c r="X6" s="24"/>
      <c r="Y6" s="25"/>
      <c r="Z6" s="14"/>
      <c r="AA6" s="14"/>
      <c r="AB6" s="27"/>
      <c r="AC6" s="28"/>
      <c r="AD6" s="25"/>
      <c r="AE6" s="25"/>
      <c r="AF6" s="25"/>
      <c r="AG6" s="25"/>
    </row>
    <row r="7" spans="1:33" ht="15.75" hidden="1" customHeight="1">
      <c r="A7" s="14"/>
      <c r="B7" s="14"/>
      <c r="C7" s="15"/>
      <c r="D7" s="16"/>
      <c r="E7" s="16"/>
      <c r="F7" s="29"/>
      <c r="G7" s="29"/>
      <c r="H7" s="18"/>
      <c r="I7" s="18"/>
      <c r="J7" s="17"/>
      <c r="K7" s="17"/>
      <c r="L7" s="16"/>
      <c r="M7" s="19"/>
      <c r="N7" s="16"/>
      <c r="O7" s="20"/>
      <c r="P7" s="20"/>
      <c r="Q7" s="16"/>
      <c r="R7" s="16"/>
      <c r="S7" s="21"/>
      <c r="T7" s="14"/>
      <c r="U7" s="22"/>
      <c r="V7" s="23"/>
      <c r="W7" s="14"/>
      <c r="X7" s="24"/>
      <c r="Y7" s="25"/>
      <c r="Z7" s="14"/>
      <c r="AA7" s="14"/>
      <c r="AB7" s="27"/>
      <c r="AC7" s="28"/>
      <c r="AD7" s="25"/>
      <c r="AE7" s="25"/>
      <c r="AF7" s="25"/>
      <c r="AG7" s="25"/>
    </row>
    <row r="8" spans="1:33" ht="15.75" hidden="1" customHeight="1">
      <c r="A8" s="14"/>
      <c r="B8" s="14"/>
      <c r="C8" s="15"/>
      <c r="D8" s="16"/>
      <c r="E8" s="16"/>
      <c r="F8" s="29"/>
      <c r="G8" s="29"/>
      <c r="H8" s="18"/>
      <c r="I8" s="18"/>
      <c r="J8" s="17"/>
      <c r="K8" s="17"/>
      <c r="L8" s="16"/>
      <c r="M8" s="19"/>
      <c r="N8" s="16"/>
      <c r="O8" s="20"/>
      <c r="P8" s="20"/>
      <c r="Q8" s="16"/>
      <c r="R8" s="16"/>
      <c r="S8" s="21"/>
      <c r="T8" s="14"/>
      <c r="U8" s="22"/>
      <c r="V8" s="23"/>
      <c r="W8" s="14"/>
      <c r="X8" s="24"/>
      <c r="Y8" s="25"/>
      <c r="Z8" s="14"/>
      <c r="AA8" s="14"/>
      <c r="AB8" s="27"/>
      <c r="AC8" s="28"/>
      <c r="AD8" s="25"/>
      <c r="AE8" s="25"/>
      <c r="AF8" s="25"/>
      <c r="AG8" s="25"/>
    </row>
    <row r="9" spans="1:33" ht="15.75" hidden="1" customHeight="1">
      <c r="A9" s="14"/>
      <c r="B9" s="14"/>
      <c r="C9" s="15"/>
      <c r="D9" s="16"/>
      <c r="E9" s="16"/>
      <c r="F9" s="29"/>
      <c r="G9" s="29"/>
      <c r="H9" s="18"/>
      <c r="I9" s="18"/>
      <c r="J9" s="17"/>
      <c r="K9" s="17"/>
      <c r="L9" s="16"/>
      <c r="M9" s="19"/>
      <c r="N9" s="16"/>
      <c r="O9" s="20"/>
      <c r="P9" s="20"/>
      <c r="Q9" s="16"/>
      <c r="R9" s="16"/>
      <c r="S9" s="21"/>
      <c r="T9" s="14"/>
      <c r="U9" s="22"/>
      <c r="V9" s="23"/>
      <c r="W9" s="14"/>
      <c r="X9" s="24"/>
      <c r="Y9" s="25"/>
      <c r="Z9" s="14"/>
      <c r="AA9" s="14"/>
      <c r="AB9" s="27"/>
      <c r="AC9" s="28"/>
      <c r="AD9" s="25"/>
      <c r="AE9" s="25"/>
      <c r="AF9" s="25"/>
      <c r="AG9" s="25"/>
    </row>
    <row r="10" spans="1:33" ht="15.75" hidden="1" customHeight="1">
      <c r="A10" s="14"/>
      <c r="B10" s="14"/>
      <c r="C10" s="15"/>
      <c r="D10" s="16"/>
      <c r="E10" s="16"/>
      <c r="F10" s="29"/>
      <c r="G10" s="29"/>
      <c r="H10" s="18"/>
      <c r="I10" s="18"/>
      <c r="J10" s="17"/>
      <c r="K10" s="17"/>
      <c r="L10" s="16"/>
      <c r="M10" s="19"/>
      <c r="N10" s="16"/>
      <c r="O10" s="20"/>
      <c r="P10" s="20"/>
      <c r="Q10" s="16"/>
      <c r="R10" s="16"/>
      <c r="S10" s="21"/>
      <c r="T10" s="14"/>
      <c r="U10" s="22"/>
      <c r="V10" s="23"/>
      <c r="W10" s="14"/>
      <c r="X10" s="24"/>
      <c r="Y10" s="25"/>
      <c r="Z10" s="14"/>
      <c r="AA10" s="14"/>
      <c r="AB10" s="27"/>
      <c r="AC10" s="28"/>
      <c r="AD10" s="25"/>
      <c r="AE10" s="25"/>
      <c r="AF10" s="25"/>
      <c r="AG10" s="25"/>
    </row>
    <row r="11" spans="1:33" ht="15.75" hidden="1" customHeight="1">
      <c r="A11" s="14"/>
      <c r="B11" s="14"/>
      <c r="C11" s="15"/>
      <c r="D11" s="16"/>
      <c r="E11" s="16"/>
      <c r="F11" s="29"/>
      <c r="G11" s="29"/>
      <c r="H11" s="18"/>
      <c r="I11" s="18"/>
      <c r="J11" s="17"/>
      <c r="K11" s="17"/>
      <c r="L11" s="16"/>
      <c r="M11" s="19"/>
      <c r="N11" s="16"/>
      <c r="O11" s="20"/>
      <c r="P11" s="20"/>
      <c r="Q11" s="16"/>
      <c r="R11" s="16"/>
      <c r="S11" s="21"/>
      <c r="T11" s="14"/>
      <c r="U11" s="22"/>
      <c r="V11" s="23"/>
      <c r="W11" s="14"/>
      <c r="X11" s="24"/>
      <c r="Y11" s="25"/>
      <c r="Z11" s="14"/>
      <c r="AA11" s="14"/>
      <c r="AB11" s="27"/>
      <c r="AC11" s="28"/>
      <c r="AD11" s="25"/>
      <c r="AE11" s="25"/>
      <c r="AF11" s="25"/>
      <c r="AG11" s="25"/>
    </row>
    <row r="12" spans="1:33" ht="15.75" hidden="1" customHeight="1">
      <c r="A12" s="14"/>
      <c r="B12" s="14"/>
      <c r="C12" s="15"/>
      <c r="D12" s="16"/>
      <c r="E12" s="16"/>
      <c r="F12" s="29"/>
      <c r="G12" s="29"/>
      <c r="H12" s="18"/>
      <c r="I12" s="18"/>
      <c r="J12" s="17"/>
      <c r="K12" s="17"/>
      <c r="L12" s="16"/>
      <c r="M12" s="19"/>
      <c r="N12" s="16"/>
      <c r="O12" s="20"/>
      <c r="P12" s="20"/>
      <c r="Q12" s="16"/>
      <c r="R12" s="16"/>
      <c r="S12" s="21"/>
      <c r="T12" s="14"/>
      <c r="U12" s="22"/>
      <c r="V12" s="23"/>
      <c r="W12" s="14"/>
      <c r="X12" s="24"/>
      <c r="Y12" s="25"/>
      <c r="Z12" s="14"/>
      <c r="AA12" s="14"/>
      <c r="AB12" s="27"/>
      <c r="AC12" s="28"/>
      <c r="AD12" s="25"/>
      <c r="AE12" s="25"/>
      <c r="AF12" s="25"/>
      <c r="AG12" s="25"/>
    </row>
    <row r="13" spans="1:33" ht="15.75" hidden="1" customHeight="1">
      <c r="A13" s="14"/>
      <c r="B13" s="14"/>
      <c r="C13" s="15"/>
      <c r="D13" s="16"/>
      <c r="E13" s="16"/>
      <c r="F13" s="17"/>
      <c r="G13" s="29"/>
      <c r="H13" s="18"/>
      <c r="I13" s="18"/>
      <c r="J13" s="17"/>
      <c r="K13" s="17"/>
      <c r="L13" s="16"/>
      <c r="M13" s="19"/>
      <c r="N13" s="16"/>
      <c r="O13" s="20"/>
      <c r="P13" s="20"/>
      <c r="Q13" s="16"/>
      <c r="R13" s="16"/>
      <c r="S13" s="21"/>
      <c r="T13" s="14"/>
      <c r="U13" s="22"/>
      <c r="V13" s="23"/>
      <c r="W13" s="14"/>
      <c r="X13" s="24"/>
      <c r="Y13" s="25"/>
      <c r="Z13" s="14"/>
      <c r="AA13" s="14"/>
      <c r="AB13" s="27"/>
      <c r="AC13" s="28"/>
      <c r="AD13" s="25"/>
      <c r="AE13" s="25"/>
      <c r="AF13" s="25"/>
      <c r="AG13" s="25"/>
    </row>
    <row r="14" spans="1:33" ht="15.75" hidden="1" customHeight="1">
      <c r="A14" s="14"/>
      <c r="B14" s="14"/>
      <c r="C14" s="15"/>
      <c r="D14" s="16"/>
      <c r="E14" s="16"/>
      <c r="F14" s="17"/>
      <c r="G14" s="29"/>
      <c r="H14" s="18"/>
      <c r="I14" s="18"/>
      <c r="J14" s="17"/>
      <c r="K14" s="17"/>
      <c r="L14" s="16"/>
      <c r="M14" s="19"/>
      <c r="N14" s="16"/>
      <c r="O14" s="20"/>
      <c r="P14" s="20"/>
      <c r="Q14" s="16"/>
      <c r="R14" s="16"/>
      <c r="S14" s="21"/>
      <c r="T14" s="14"/>
      <c r="U14" s="22"/>
      <c r="V14" s="23"/>
      <c r="W14" s="14"/>
      <c r="X14" s="24"/>
      <c r="Y14" s="25"/>
      <c r="Z14" s="14"/>
      <c r="AA14" s="14"/>
      <c r="AB14" s="27"/>
      <c r="AC14" s="28"/>
      <c r="AD14" s="25"/>
      <c r="AE14" s="25"/>
      <c r="AF14" s="25"/>
      <c r="AG14" s="25"/>
    </row>
    <row r="15" spans="1:33" ht="15.75" hidden="1" customHeight="1">
      <c r="A15" s="14"/>
      <c r="B15" s="14"/>
      <c r="C15" s="15"/>
      <c r="D15" s="16"/>
      <c r="E15" s="16"/>
      <c r="F15" s="17"/>
      <c r="G15" s="29"/>
      <c r="H15" s="18"/>
      <c r="I15" s="18"/>
      <c r="J15" s="17"/>
      <c r="K15" s="17"/>
      <c r="L15" s="16"/>
      <c r="M15" s="19"/>
      <c r="N15" s="16"/>
      <c r="O15" s="20"/>
      <c r="P15" s="20"/>
      <c r="Q15" s="16"/>
      <c r="R15" s="16"/>
      <c r="S15" s="21"/>
      <c r="T15" s="14"/>
      <c r="U15" s="22"/>
      <c r="V15" s="23"/>
      <c r="W15" s="14"/>
      <c r="X15" s="24"/>
      <c r="Y15" s="25"/>
      <c r="Z15" s="14"/>
      <c r="AA15" s="14"/>
      <c r="AB15" s="27"/>
      <c r="AC15" s="28"/>
      <c r="AD15" s="25"/>
      <c r="AE15" s="25"/>
      <c r="AF15" s="25"/>
      <c r="AG15" s="25"/>
    </row>
    <row r="16" spans="1:33" ht="15.75" hidden="1" customHeight="1">
      <c r="A16" s="14"/>
      <c r="B16" s="14"/>
      <c r="C16" s="15"/>
      <c r="D16" s="16"/>
      <c r="E16" s="16"/>
      <c r="F16" s="17"/>
      <c r="G16" s="29"/>
      <c r="H16" s="18"/>
      <c r="I16" s="18"/>
      <c r="J16" s="17"/>
      <c r="K16" s="17"/>
      <c r="L16" s="16"/>
      <c r="M16" s="19"/>
      <c r="N16" s="16"/>
      <c r="O16" s="20"/>
      <c r="P16" s="20"/>
      <c r="Q16" s="16"/>
      <c r="R16" s="16"/>
      <c r="S16" s="21"/>
      <c r="T16" s="14"/>
      <c r="U16" s="22"/>
      <c r="V16" s="23"/>
      <c r="W16" s="14"/>
      <c r="X16" s="24"/>
      <c r="Y16" s="25"/>
      <c r="Z16" s="14"/>
      <c r="AA16" s="14"/>
      <c r="AB16" s="27"/>
      <c r="AC16" s="28"/>
      <c r="AD16" s="25"/>
      <c r="AE16" s="25"/>
      <c r="AF16" s="25"/>
      <c r="AG16" s="25"/>
    </row>
    <row r="17" spans="1:33" ht="15.75" hidden="1" customHeight="1">
      <c r="A17" s="14"/>
      <c r="B17" s="14"/>
      <c r="C17" s="15"/>
      <c r="D17" s="16"/>
      <c r="E17" s="16"/>
      <c r="F17" s="17"/>
      <c r="G17" s="29"/>
      <c r="H17" s="18"/>
      <c r="I17" s="18"/>
      <c r="J17" s="17"/>
      <c r="K17" s="17"/>
      <c r="L17" s="16"/>
      <c r="M17" s="19"/>
      <c r="N17" s="16"/>
      <c r="O17" s="20"/>
      <c r="P17" s="20"/>
      <c r="Q17" s="16"/>
      <c r="R17" s="16"/>
      <c r="S17" s="21"/>
      <c r="T17" s="14"/>
      <c r="U17" s="22"/>
      <c r="V17" s="23"/>
      <c r="W17" s="14"/>
      <c r="X17" s="24"/>
      <c r="Y17" s="25"/>
      <c r="Z17" s="14"/>
      <c r="AA17" s="14"/>
      <c r="AB17" s="27"/>
      <c r="AC17" s="28"/>
      <c r="AD17" s="25"/>
      <c r="AE17" s="25"/>
      <c r="AF17" s="25"/>
      <c r="AG17" s="25"/>
    </row>
    <row r="18" spans="1:33" ht="15.75" customHeight="1">
      <c r="A18" s="14" t="s">
        <v>42</v>
      </c>
      <c r="B18" s="14" t="s">
        <v>156</v>
      </c>
      <c r="C18" s="15">
        <f t="shared" ref="C18:C32" si="1">IFERROR(F18/D18," - ")</f>
        <v>57.99</v>
      </c>
      <c r="D18" s="16">
        <v>7</v>
      </c>
      <c r="E18" s="16">
        <v>0</v>
      </c>
      <c r="F18" s="17">
        <v>405.93</v>
      </c>
      <c r="G18" s="29">
        <v>0</v>
      </c>
      <c r="H18" s="18">
        <f t="shared" ref="H18:H32" si="2">G18/F18*-1</f>
        <v>0</v>
      </c>
      <c r="I18" s="18">
        <f t="shared" ref="I18:I32" si="3">J18/F18</f>
        <v>0.11267459906880498</v>
      </c>
      <c r="J18" s="17">
        <f t="shared" ref="J18:J32" si="4">F18*0.85+G18+AF18*D18+D18*AE18+AG18+AD18</f>
        <v>45.738000000000007</v>
      </c>
      <c r="K18" s="17">
        <f t="shared" ref="K18:K32" si="5">J18/D18</f>
        <v>6.5340000000000007</v>
      </c>
      <c r="L18" s="16">
        <v>23</v>
      </c>
      <c r="M18" s="19">
        <f t="shared" ref="M18:M32" si="6">IFERROR(D18/L18,"-")</f>
        <v>0.30434782608695654</v>
      </c>
      <c r="N18" s="16">
        <v>40</v>
      </c>
      <c r="O18" s="20">
        <f t="shared" ref="O18:P18" si="7">D18/7</f>
        <v>1</v>
      </c>
      <c r="P18" s="20">
        <f t="shared" si="7"/>
        <v>0</v>
      </c>
      <c r="Q18" s="16">
        <f t="shared" ref="Q18:Q32" si="8">ROUNDDOWN(N18/(O18+P18),0)</f>
        <v>40</v>
      </c>
      <c r="R18" s="16"/>
      <c r="S18" s="21">
        <v>0.2</v>
      </c>
      <c r="T18" s="14">
        <v>0</v>
      </c>
      <c r="U18" s="22">
        <v>0</v>
      </c>
      <c r="V18" s="23" t="s">
        <v>34</v>
      </c>
      <c r="W18" s="14">
        <v>0</v>
      </c>
      <c r="X18" s="24">
        <f t="shared" ref="X18:X32" si="9">IFERROR(W18/D18,0)</f>
        <v>0</v>
      </c>
      <c r="Y18" s="25">
        <f t="shared" ref="Y18:Y32" si="10">IFERROR(G18/(W18+Z18)*-1,0)</f>
        <v>0</v>
      </c>
      <c r="Z18" s="14">
        <v>0</v>
      </c>
      <c r="AA18" s="14" t="s">
        <v>35</v>
      </c>
      <c r="AB18" s="27">
        <f t="shared" ref="AB18:AB32" si="11">IF(OR(AA18="UsLargeStandardSize",AA18="UsSmallStandardSize"),-0.69,-0.48)</f>
        <v>-0.69</v>
      </c>
      <c r="AC18" s="28">
        <v>0.20833333333333334</v>
      </c>
      <c r="AD18" s="25">
        <f t="shared" ref="AD18:AD32" si="12">IFERROR(AB18*AC18*D18*2,0)</f>
        <v>-2.0124999999999997</v>
      </c>
      <c r="AE18" s="25">
        <v>-8.4600000000000009</v>
      </c>
      <c r="AF18" s="25">
        <v>-34.01</v>
      </c>
      <c r="AG18" s="25">
        <v>0</v>
      </c>
    </row>
    <row r="19" spans="1:33" ht="15.75" customHeight="1">
      <c r="A19" s="14" t="s">
        <v>44</v>
      </c>
      <c r="B19" s="14" t="s">
        <v>147</v>
      </c>
      <c r="C19" s="15">
        <f t="shared" si="1"/>
        <v>60.96</v>
      </c>
      <c r="D19" s="16">
        <v>5</v>
      </c>
      <c r="E19" s="16">
        <v>0</v>
      </c>
      <c r="F19" s="17">
        <v>304.8</v>
      </c>
      <c r="G19" s="29">
        <v>0</v>
      </c>
      <c r="H19" s="18">
        <f t="shared" si="2"/>
        <v>0</v>
      </c>
      <c r="I19" s="18">
        <f t="shared" si="3"/>
        <v>0.12265419947506551</v>
      </c>
      <c r="J19" s="17">
        <f t="shared" si="4"/>
        <v>37.38499999999997</v>
      </c>
      <c r="K19" s="17">
        <f t="shared" si="5"/>
        <v>7.4769999999999941</v>
      </c>
      <c r="L19" s="16">
        <v>31</v>
      </c>
      <c r="M19" s="19">
        <f t="shared" si="6"/>
        <v>0.16129032258064516</v>
      </c>
      <c r="N19" s="16">
        <v>80</v>
      </c>
      <c r="O19" s="20">
        <f t="shared" ref="O19:P19" si="13">D19/7</f>
        <v>0.7142857142857143</v>
      </c>
      <c r="P19" s="20">
        <f t="shared" si="13"/>
        <v>0</v>
      </c>
      <c r="Q19" s="16">
        <f t="shared" si="8"/>
        <v>112</v>
      </c>
      <c r="R19" s="16"/>
      <c r="S19" s="21">
        <v>0.3</v>
      </c>
      <c r="T19" s="14">
        <v>0</v>
      </c>
      <c r="U19" s="22" t="s">
        <v>34</v>
      </c>
      <c r="V19" s="23" t="s">
        <v>34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14" t="s">
        <v>35</v>
      </c>
      <c r="AB19" s="27">
        <f t="shared" si="11"/>
        <v>-0.69</v>
      </c>
      <c r="AC19" s="28">
        <v>0.20833333333333334</v>
      </c>
      <c r="AD19" s="25">
        <f t="shared" si="12"/>
        <v>-1.4375</v>
      </c>
      <c r="AE19" s="25">
        <v>-8.4600000000000009</v>
      </c>
      <c r="AF19" s="25">
        <v>-35.591500000000003</v>
      </c>
      <c r="AG19" s="25">
        <v>0</v>
      </c>
    </row>
    <row r="20" spans="1:33" ht="15.75" customHeight="1">
      <c r="A20" s="14" t="s">
        <v>46</v>
      </c>
      <c r="B20" s="14" t="s">
        <v>68</v>
      </c>
      <c r="C20" s="15">
        <f t="shared" si="1"/>
        <v>62.94</v>
      </c>
      <c r="D20" s="16">
        <v>2</v>
      </c>
      <c r="E20" s="16">
        <v>0</v>
      </c>
      <c r="F20" s="17">
        <v>125.88</v>
      </c>
      <c r="G20" s="29">
        <v>0</v>
      </c>
      <c r="H20" s="18">
        <f t="shared" si="2"/>
        <v>0</v>
      </c>
      <c r="I20" s="18">
        <f t="shared" si="3"/>
        <v>0.13153915862991195</v>
      </c>
      <c r="J20" s="17">
        <f t="shared" si="4"/>
        <v>16.558149288333315</v>
      </c>
      <c r="K20" s="17">
        <f t="shared" si="5"/>
        <v>8.2790746441666574</v>
      </c>
      <c r="L20" s="16">
        <v>22</v>
      </c>
      <c r="M20" s="19">
        <f t="shared" si="6"/>
        <v>9.0909090909090912E-2</v>
      </c>
      <c r="N20" s="16">
        <v>78</v>
      </c>
      <c r="O20" s="20">
        <f t="shared" ref="O20:P20" si="14">D20/7</f>
        <v>0.2857142857142857</v>
      </c>
      <c r="P20" s="20">
        <f t="shared" si="14"/>
        <v>0</v>
      </c>
      <c r="Q20" s="16">
        <f t="shared" si="8"/>
        <v>273</v>
      </c>
      <c r="R20" s="16"/>
      <c r="S20" s="21">
        <v>0.506493506493506</v>
      </c>
      <c r="T20" s="14">
        <v>0</v>
      </c>
      <c r="U20" s="22" t="s">
        <v>34</v>
      </c>
      <c r="V20" s="23" t="s">
        <v>34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14" t="s">
        <v>35</v>
      </c>
      <c r="AB20" s="27">
        <f t="shared" si="11"/>
        <v>-0.69</v>
      </c>
      <c r="AC20" s="28">
        <v>0.29596040277777774</v>
      </c>
      <c r="AD20" s="25">
        <f t="shared" si="12"/>
        <v>-0.81685071166666645</v>
      </c>
      <c r="AE20" s="25">
        <v>-9.2200000000000006</v>
      </c>
      <c r="AF20" s="25">
        <v>-35.591500000000003</v>
      </c>
      <c r="AG20" s="25">
        <v>0</v>
      </c>
    </row>
    <row r="21" spans="1:33" ht="15.75" customHeight="1">
      <c r="A21" s="14" t="s">
        <v>47</v>
      </c>
      <c r="B21" s="14" t="s">
        <v>157</v>
      </c>
      <c r="C21" s="15">
        <f t="shared" si="1"/>
        <v>60.754000000000005</v>
      </c>
      <c r="D21" s="16">
        <v>10</v>
      </c>
      <c r="E21" s="16">
        <v>0</v>
      </c>
      <c r="F21" s="17">
        <v>607.54000000000008</v>
      </c>
      <c r="G21" s="29">
        <v>0</v>
      </c>
      <c r="H21" s="18">
        <f t="shared" si="2"/>
        <v>0</v>
      </c>
      <c r="I21" s="18">
        <f t="shared" si="3"/>
        <v>0.10568809698401216</v>
      </c>
      <c r="J21" s="17">
        <f t="shared" si="4"/>
        <v>64.209746441666752</v>
      </c>
      <c r="K21" s="17">
        <f t="shared" si="5"/>
        <v>6.4209746441666748</v>
      </c>
      <c r="L21" s="16">
        <v>13</v>
      </c>
      <c r="M21" s="19">
        <f t="shared" si="6"/>
        <v>0.76923076923076927</v>
      </c>
      <c r="N21" s="16">
        <v>65</v>
      </c>
      <c r="O21" s="20">
        <f t="shared" ref="O21:P21" si="15">D21/7</f>
        <v>1.4285714285714286</v>
      </c>
      <c r="P21" s="20">
        <f t="shared" si="15"/>
        <v>0</v>
      </c>
      <c r="Q21" s="16">
        <f t="shared" si="8"/>
        <v>45</v>
      </c>
      <c r="R21" s="16"/>
      <c r="S21" s="21">
        <v>1.03125</v>
      </c>
      <c r="T21" s="14">
        <v>0</v>
      </c>
      <c r="U21" s="22" t="s">
        <v>34</v>
      </c>
      <c r="V21" s="23" t="s">
        <v>34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14" t="s">
        <v>35</v>
      </c>
      <c r="AB21" s="27">
        <f t="shared" si="11"/>
        <v>-0.69</v>
      </c>
      <c r="AC21" s="28">
        <v>0.29596040277777774</v>
      </c>
      <c r="AD21" s="25">
        <f t="shared" si="12"/>
        <v>-4.0842535583333319</v>
      </c>
      <c r="AE21" s="25">
        <v>-9.2200000000000006</v>
      </c>
      <c r="AF21" s="25">
        <v>-35.591500000000003</v>
      </c>
      <c r="AG21" s="25">
        <v>0</v>
      </c>
    </row>
    <row r="22" spans="1:33" ht="15.75" customHeight="1">
      <c r="A22" s="14" t="s">
        <v>48</v>
      </c>
      <c r="B22" s="14" t="s">
        <v>158</v>
      </c>
      <c r="C22" s="15">
        <f t="shared" si="1"/>
        <v>65.59</v>
      </c>
      <c r="D22" s="16">
        <v>5</v>
      </c>
      <c r="E22" s="16">
        <v>4</v>
      </c>
      <c r="F22" s="29">
        <v>327.95</v>
      </c>
      <c r="G22" s="29">
        <v>0</v>
      </c>
      <c r="H22" s="18">
        <f t="shared" si="2"/>
        <v>0</v>
      </c>
      <c r="I22" s="18">
        <f t="shared" si="3"/>
        <v>0.16056677304721242</v>
      </c>
      <c r="J22" s="17">
        <f t="shared" si="4"/>
        <v>52.657873220833316</v>
      </c>
      <c r="K22" s="17">
        <f t="shared" si="5"/>
        <v>10.531574644166664</v>
      </c>
      <c r="L22" s="16">
        <v>21</v>
      </c>
      <c r="M22" s="19">
        <f t="shared" si="6"/>
        <v>0.23809523809523808</v>
      </c>
      <c r="N22" s="16">
        <v>57</v>
      </c>
      <c r="O22" s="20">
        <f t="shared" ref="O22:P22" si="16">D22/7</f>
        <v>0.7142857142857143</v>
      </c>
      <c r="P22" s="20">
        <f t="shared" si="16"/>
        <v>0.5714285714285714</v>
      </c>
      <c r="Q22" s="16">
        <f t="shared" si="8"/>
        <v>44</v>
      </c>
      <c r="R22" s="16"/>
      <c r="S22" s="21">
        <v>0.87378640776699001</v>
      </c>
      <c r="T22" s="14">
        <v>0</v>
      </c>
      <c r="U22" s="22" t="s">
        <v>34</v>
      </c>
      <c r="V22" s="23" t="s">
        <v>34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35</v>
      </c>
      <c r="AB22" s="27">
        <f t="shared" si="11"/>
        <v>-0.69</v>
      </c>
      <c r="AC22" s="28">
        <v>0.29596040277777774</v>
      </c>
      <c r="AD22" s="25">
        <f t="shared" si="12"/>
        <v>-2.042126779166666</v>
      </c>
      <c r="AE22" s="25">
        <v>-9.2200000000000006</v>
      </c>
      <c r="AF22" s="25">
        <v>-35.591500000000003</v>
      </c>
      <c r="AG22" s="25">
        <v>0</v>
      </c>
    </row>
    <row r="23" spans="1:33" ht="15.75" customHeight="1">
      <c r="A23" s="14" t="s">
        <v>49</v>
      </c>
      <c r="B23" s="14" t="s">
        <v>68</v>
      </c>
      <c r="C23" s="15">
        <f t="shared" si="1"/>
        <v>68.963333333333338</v>
      </c>
      <c r="D23" s="16">
        <v>6</v>
      </c>
      <c r="E23" s="16">
        <v>0</v>
      </c>
      <c r="F23" s="17">
        <v>413.78000000000003</v>
      </c>
      <c r="G23" s="29">
        <v>0</v>
      </c>
      <c r="H23" s="18">
        <f t="shared" si="2"/>
        <v>0</v>
      </c>
      <c r="I23" s="18">
        <f t="shared" si="3"/>
        <v>0.19429031820049297</v>
      </c>
      <c r="J23" s="17">
        <f t="shared" si="4"/>
        <v>80.393447864999985</v>
      </c>
      <c r="K23" s="17">
        <f t="shared" si="5"/>
        <v>13.398907977499997</v>
      </c>
      <c r="L23" s="16">
        <v>13</v>
      </c>
      <c r="M23" s="19">
        <f t="shared" si="6"/>
        <v>0.46153846153846156</v>
      </c>
      <c r="N23" s="16">
        <v>53</v>
      </c>
      <c r="O23" s="20">
        <f t="shared" ref="O23:P23" si="17">D23/7</f>
        <v>0.8571428571428571</v>
      </c>
      <c r="P23" s="20">
        <f t="shared" si="17"/>
        <v>0</v>
      </c>
      <c r="Q23" s="16">
        <f t="shared" si="8"/>
        <v>61</v>
      </c>
      <c r="R23" s="16"/>
      <c r="S23" s="21">
        <v>1.22727272727272</v>
      </c>
      <c r="T23" s="14">
        <v>0</v>
      </c>
      <c r="U23" s="22" t="s">
        <v>34</v>
      </c>
      <c r="V23" s="23" t="s">
        <v>34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35</v>
      </c>
      <c r="AB23" s="27">
        <f t="shared" si="11"/>
        <v>-0.69</v>
      </c>
      <c r="AC23" s="28">
        <v>0.29596040277777774</v>
      </c>
      <c r="AD23" s="25">
        <f t="shared" si="12"/>
        <v>-2.4505521349999992</v>
      </c>
      <c r="AE23" s="25">
        <v>-9.2200000000000006</v>
      </c>
      <c r="AF23" s="25">
        <v>-35.591500000000003</v>
      </c>
      <c r="AG23" s="25">
        <v>0</v>
      </c>
    </row>
    <row r="24" spans="1:33" ht="15.75" customHeight="1">
      <c r="A24" s="14" t="s">
        <v>50</v>
      </c>
      <c r="B24" s="14" t="s">
        <v>159</v>
      </c>
      <c r="C24" s="15">
        <f t="shared" si="1"/>
        <v>69.995555555555555</v>
      </c>
      <c r="D24" s="16">
        <v>9</v>
      </c>
      <c r="E24" s="16">
        <v>0</v>
      </c>
      <c r="F24" s="17">
        <v>629.96</v>
      </c>
      <c r="G24" s="17">
        <v>0</v>
      </c>
      <c r="H24" s="18">
        <f t="shared" si="2"/>
        <v>0</v>
      </c>
      <c r="I24" s="18">
        <f t="shared" si="3"/>
        <v>0.20396004793558317</v>
      </c>
      <c r="J24" s="17">
        <f t="shared" si="4"/>
        <v>128.48667179749998</v>
      </c>
      <c r="K24" s="17">
        <f t="shared" si="5"/>
        <v>14.276296866388886</v>
      </c>
      <c r="L24" s="16">
        <v>16</v>
      </c>
      <c r="M24" s="19">
        <f t="shared" si="6"/>
        <v>0.5625</v>
      </c>
      <c r="N24" s="16">
        <v>42</v>
      </c>
      <c r="O24" s="20">
        <f t="shared" ref="O24:P24" si="18">D24/7</f>
        <v>1.2857142857142858</v>
      </c>
      <c r="P24" s="20">
        <f t="shared" si="18"/>
        <v>0</v>
      </c>
      <c r="Q24" s="16">
        <f t="shared" si="8"/>
        <v>32</v>
      </c>
      <c r="R24" s="16"/>
      <c r="S24" s="21">
        <v>0.984375</v>
      </c>
      <c r="T24" s="14">
        <v>0</v>
      </c>
      <c r="U24" s="22" t="s">
        <v>34</v>
      </c>
      <c r="V24" s="23" t="s">
        <v>34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14" t="s">
        <v>35</v>
      </c>
      <c r="AB24" s="27">
        <f t="shared" si="11"/>
        <v>-0.69</v>
      </c>
      <c r="AC24" s="28">
        <v>0.29596040277777774</v>
      </c>
      <c r="AD24" s="25">
        <f t="shared" si="12"/>
        <v>-3.6758282024999991</v>
      </c>
      <c r="AE24" s="25">
        <v>-9.2200000000000006</v>
      </c>
      <c r="AF24" s="25">
        <v>-35.591500000000003</v>
      </c>
      <c r="AG24" s="25">
        <v>0</v>
      </c>
    </row>
    <row r="25" spans="1:33" ht="15.75" customHeight="1">
      <c r="A25" s="14" t="s">
        <v>51</v>
      </c>
      <c r="B25" s="14" t="s">
        <v>160</v>
      </c>
      <c r="C25" s="15">
        <f t="shared" si="1"/>
        <v>71.95</v>
      </c>
      <c r="D25" s="16">
        <v>6</v>
      </c>
      <c r="E25" s="16">
        <v>0</v>
      </c>
      <c r="F25" s="17">
        <v>431.7</v>
      </c>
      <c r="G25" s="17">
        <v>0</v>
      </c>
      <c r="H25" s="18">
        <f t="shared" si="2"/>
        <v>0</v>
      </c>
      <c r="I25" s="18">
        <f t="shared" si="3"/>
        <v>0.22152987691684034</v>
      </c>
      <c r="J25" s="17">
        <f t="shared" si="4"/>
        <v>95.63444786499997</v>
      </c>
      <c r="K25" s="17">
        <f t="shared" si="5"/>
        <v>15.939074644166661</v>
      </c>
      <c r="L25" s="16">
        <v>15</v>
      </c>
      <c r="M25" s="19">
        <f t="shared" si="6"/>
        <v>0.4</v>
      </c>
      <c r="N25" s="16">
        <v>37</v>
      </c>
      <c r="O25" s="20">
        <f t="shared" ref="O25:P25" si="19">D25/7</f>
        <v>0.8571428571428571</v>
      </c>
      <c r="P25" s="20">
        <f t="shared" si="19"/>
        <v>0</v>
      </c>
      <c r="Q25" s="16">
        <f t="shared" si="8"/>
        <v>43</v>
      </c>
      <c r="R25" s="16"/>
      <c r="S25" s="21">
        <v>2</v>
      </c>
      <c r="T25" s="14">
        <v>0</v>
      </c>
      <c r="U25" s="22" t="s">
        <v>34</v>
      </c>
      <c r="V25" s="23" t="s">
        <v>34</v>
      </c>
      <c r="W25" s="30">
        <v>0</v>
      </c>
      <c r="X25" s="24">
        <f t="shared" si="9"/>
        <v>0</v>
      </c>
      <c r="Y25" s="25">
        <f t="shared" si="10"/>
        <v>0</v>
      </c>
      <c r="Z25" s="30">
        <v>0</v>
      </c>
      <c r="AA25" s="14" t="s">
        <v>35</v>
      </c>
      <c r="AB25" s="27">
        <f t="shared" si="11"/>
        <v>-0.69</v>
      </c>
      <c r="AC25" s="28">
        <v>0.29596040277777774</v>
      </c>
      <c r="AD25" s="25">
        <f t="shared" si="12"/>
        <v>-2.4505521349999992</v>
      </c>
      <c r="AE25" s="25">
        <v>-9.2200000000000006</v>
      </c>
      <c r="AF25" s="25">
        <v>-35.590000000000003</v>
      </c>
      <c r="AG25" s="25">
        <v>0</v>
      </c>
    </row>
    <row r="26" spans="1:33" ht="15.75" customHeight="1">
      <c r="A26" s="14" t="s">
        <v>52</v>
      </c>
      <c r="B26" s="14" t="s">
        <v>161</v>
      </c>
      <c r="C26" s="15">
        <f t="shared" si="1"/>
        <v>71.95</v>
      </c>
      <c r="D26" s="16">
        <v>1</v>
      </c>
      <c r="E26" s="16">
        <v>0</v>
      </c>
      <c r="F26" s="17">
        <v>71.95</v>
      </c>
      <c r="G26" s="17">
        <v>0</v>
      </c>
      <c r="H26" s="18">
        <f t="shared" si="2"/>
        <v>0</v>
      </c>
      <c r="I26" s="18">
        <f t="shared" si="3"/>
        <v>0.22901424105860543</v>
      </c>
      <c r="J26" s="17">
        <f t="shared" si="4"/>
        <v>16.477574644166662</v>
      </c>
      <c r="K26" s="17">
        <f t="shared" si="5"/>
        <v>16.477574644166662</v>
      </c>
      <c r="L26" s="16">
        <v>11</v>
      </c>
      <c r="M26" s="19">
        <f t="shared" si="6"/>
        <v>9.0909090909090912E-2</v>
      </c>
      <c r="N26" s="16">
        <v>35</v>
      </c>
      <c r="O26" s="20">
        <f t="shared" ref="O26:P26" si="20">D26/7</f>
        <v>0.14285714285714285</v>
      </c>
      <c r="P26" s="20">
        <f t="shared" si="20"/>
        <v>0</v>
      </c>
      <c r="Q26" s="16">
        <f t="shared" si="8"/>
        <v>245</v>
      </c>
      <c r="R26" s="16"/>
      <c r="S26" s="21">
        <v>2.2448979591836729</v>
      </c>
      <c r="T26" s="14">
        <v>0</v>
      </c>
      <c r="U26" s="22" t="s">
        <v>34</v>
      </c>
      <c r="V26" s="23" t="s">
        <v>34</v>
      </c>
      <c r="W26" s="30">
        <v>0</v>
      </c>
      <c r="X26" s="24">
        <f t="shared" si="9"/>
        <v>0</v>
      </c>
      <c r="Y26" s="25">
        <f t="shared" si="10"/>
        <v>0</v>
      </c>
      <c r="Z26" s="30">
        <v>0</v>
      </c>
      <c r="AA26" s="14" t="s">
        <v>35</v>
      </c>
      <c r="AB26" s="27">
        <f t="shared" si="11"/>
        <v>-0.69</v>
      </c>
      <c r="AC26" s="28">
        <v>0.29596040277777774</v>
      </c>
      <c r="AD26" s="25">
        <f t="shared" si="12"/>
        <v>-0.40842535583333323</v>
      </c>
      <c r="AE26" s="25">
        <v>-8.68</v>
      </c>
      <c r="AF26" s="25">
        <v>-35.591500000000003</v>
      </c>
      <c r="AG26" s="25">
        <v>0</v>
      </c>
    </row>
    <row r="27" spans="1:33" ht="15.75" customHeight="1">
      <c r="A27" s="14" t="s">
        <v>53</v>
      </c>
      <c r="B27" s="14" t="s">
        <v>162</v>
      </c>
      <c r="C27" s="15">
        <f t="shared" si="1"/>
        <v>68.566000000000003</v>
      </c>
      <c r="D27" s="16">
        <v>5</v>
      </c>
      <c r="E27" s="16">
        <v>0</v>
      </c>
      <c r="F27" s="17">
        <v>342.83</v>
      </c>
      <c r="G27" s="17">
        <v>0</v>
      </c>
      <c r="H27" s="18">
        <f t="shared" si="2"/>
        <v>0</v>
      </c>
      <c r="I27" s="18">
        <f t="shared" si="3"/>
        <v>0.19663061348433275</v>
      </c>
      <c r="J27" s="17">
        <f t="shared" si="4"/>
        <v>67.410873220833793</v>
      </c>
      <c r="K27" s="17">
        <f t="shared" si="5"/>
        <v>13.482174644166758</v>
      </c>
      <c r="L27" s="16">
        <v>9</v>
      </c>
      <c r="M27" s="19">
        <f t="shared" si="6"/>
        <v>0.55555555555555558</v>
      </c>
      <c r="N27" s="16">
        <v>31</v>
      </c>
      <c r="O27" s="20">
        <f t="shared" ref="O27:P27" si="21">D27/7</f>
        <v>0.7142857142857143</v>
      </c>
      <c r="P27" s="20">
        <f t="shared" si="21"/>
        <v>0</v>
      </c>
      <c r="Q27" s="16">
        <f t="shared" si="8"/>
        <v>43</v>
      </c>
      <c r="R27" s="16"/>
      <c r="S27" s="21">
        <v>1.9333333333333329</v>
      </c>
      <c r="T27" s="14">
        <v>0</v>
      </c>
      <c r="U27" s="22" t="s">
        <v>34</v>
      </c>
      <c r="V27" s="23" t="s">
        <v>34</v>
      </c>
      <c r="W27" s="30">
        <v>0</v>
      </c>
      <c r="X27" s="24">
        <f t="shared" si="9"/>
        <v>0</v>
      </c>
      <c r="Y27" s="25">
        <f t="shared" si="10"/>
        <v>0</v>
      </c>
      <c r="Z27" s="30">
        <v>0</v>
      </c>
      <c r="AA27" s="14" t="s">
        <v>35</v>
      </c>
      <c r="AB27" s="27">
        <f t="shared" si="11"/>
        <v>-0.69</v>
      </c>
      <c r="AC27" s="28">
        <v>0.29596040277777774</v>
      </c>
      <c r="AD27" s="25">
        <f t="shared" si="12"/>
        <v>-2.042126779166666</v>
      </c>
      <c r="AE27" s="25">
        <v>-8.68</v>
      </c>
      <c r="AF27" s="25">
        <v>-35.710499999999897</v>
      </c>
      <c r="AG27" s="25">
        <v>0</v>
      </c>
    </row>
    <row r="28" spans="1:33" ht="15.75" customHeight="1">
      <c r="A28" s="14" t="s">
        <v>54</v>
      </c>
      <c r="B28" s="14" t="s">
        <v>68</v>
      </c>
      <c r="C28" s="15">
        <f t="shared" si="1"/>
        <v>60.857142857142854</v>
      </c>
      <c r="D28" s="16">
        <v>14</v>
      </c>
      <c r="E28" s="16">
        <v>1</v>
      </c>
      <c r="F28" s="17">
        <v>852</v>
      </c>
      <c r="G28" s="17">
        <v>0</v>
      </c>
      <c r="H28" s="18">
        <f t="shared" si="2"/>
        <v>0</v>
      </c>
      <c r="I28" s="18">
        <f t="shared" si="3"/>
        <v>0.11386742373043984</v>
      </c>
      <c r="J28" s="17">
        <f t="shared" si="4"/>
        <v>97.015045018334746</v>
      </c>
      <c r="K28" s="17">
        <f t="shared" si="5"/>
        <v>6.9296460727381959</v>
      </c>
      <c r="L28" s="16">
        <v>22</v>
      </c>
      <c r="M28" s="19">
        <f t="shared" si="6"/>
        <v>0.63636363636363635</v>
      </c>
      <c r="N28" s="16">
        <v>18</v>
      </c>
      <c r="O28" s="20">
        <f t="shared" ref="O28:P28" si="22">D28/7</f>
        <v>2</v>
      </c>
      <c r="P28" s="20">
        <f t="shared" si="22"/>
        <v>0.14285714285714285</v>
      </c>
      <c r="Q28" s="16">
        <f t="shared" si="8"/>
        <v>8</v>
      </c>
      <c r="R28" s="16"/>
      <c r="S28" s="21">
        <v>1.813333333333333</v>
      </c>
      <c r="T28" s="14">
        <v>0</v>
      </c>
      <c r="U28" s="22" t="s">
        <v>34</v>
      </c>
      <c r="V28" s="23" t="s">
        <v>34</v>
      </c>
      <c r="W28" s="30">
        <v>0</v>
      </c>
      <c r="X28" s="24">
        <f t="shared" si="9"/>
        <v>0</v>
      </c>
      <c r="Y28" s="25">
        <f t="shared" si="10"/>
        <v>0</v>
      </c>
      <c r="Z28" s="30">
        <v>0</v>
      </c>
      <c r="AA28" s="14" t="s">
        <v>35</v>
      </c>
      <c r="AB28" s="27">
        <f t="shared" si="11"/>
        <v>-0.69</v>
      </c>
      <c r="AC28" s="28">
        <v>0.29596040277777774</v>
      </c>
      <c r="AD28" s="25">
        <f t="shared" si="12"/>
        <v>-5.717954981666665</v>
      </c>
      <c r="AE28" s="25">
        <v>-8.68</v>
      </c>
      <c r="AF28" s="25">
        <v>-35.710499999999897</v>
      </c>
      <c r="AG28" s="25">
        <v>0</v>
      </c>
    </row>
    <row r="29" spans="1:33" ht="15.75" customHeight="1">
      <c r="A29" s="14" t="s">
        <v>55</v>
      </c>
      <c r="B29" s="14" t="s">
        <v>45</v>
      </c>
      <c r="C29" s="15">
        <f t="shared" si="1"/>
        <v>60.662666666666674</v>
      </c>
      <c r="D29" s="16">
        <v>15</v>
      </c>
      <c r="E29" s="16">
        <v>0</v>
      </c>
      <c r="F29" s="17">
        <v>909.94</v>
      </c>
      <c r="G29" s="17">
        <v>0</v>
      </c>
      <c r="H29" s="18">
        <f t="shared" si="2"/>
        <v>0</v>
      </c>
      <c r="I29" s="18">
        <f t="shared" si="3"/>
        <v>0.11150748363903296</v>
      </c>
      <c r="J29" s="17">
        <f t="shared" si="4"/>
        <v>101.46511966250165</v>
      </c>
      <c r="K29" s="17">
        <f t="shared" si="5"/>
        <v>6.7643413108334434</v>
      </c>
      <c r="L29" s="16">
        <v>31</v>
      </c>
      <c r="M29" s="19">
        <f t="shared" si="6"/>
        <v>0.4838709677419355</v>
      </c>
      <c r="N29" s="16">
        <v>5</v>
      </c>
      <c r="O29" s="20">
        <f t="shared" ref="O29:P29" si="23">D29/7</f>
        <v>2.1428571428571428</v>
      </c>
      <c r="P29" s="20">
        <f t="shared" si="23"/>
        <v>0</v>
      </c>
      <c r="Q29" s="16">
        <f t="shared" si="8"/>
        <v>2</v>
      </c>
      <c r="R29" s="16"/>
      <c r="S29" s="21">
        <v>2.6991869918699192</v>
      </c>
      <c r="T29" s="14">
        <v>0</v>
      </c>
      <c r="U29" s="22" t="s">
        <v>34</v>
      </c>
      <c r="V29" s="23" t="s">
        <v>34</v>
      </c>
      <c r="W29" s="30">
        <v>0</v>
      </c>
      <c r="X29" s="24">
        <f t="shared" si="9"/>
        <v>0</v>
      </c>
      <c r="Y29" s="25">
        <f t="shared" si="10"/>
        <v>0</v>
      </c>
      <c r="Z29" s="30">
        <v>0</v>
      </c>
      <c r="AA29" s="14" t="s">
        <v>35</v>
      </c>
      <c r="AB29" s="27">
        <f t="shared" si="11"/>
        <v>-0.69</v>
      </c>
      <c r="AC29" s="28">
        <v>0.29596040277777774</v>
      </c>
      <c r="AD29" s="25">
        <f t="shared" si="12"/>
        <v>-6.1263803374999988</v>
      </c>
      <c r="AE29" s="25">
        <v>-8.68</v>
      </c>
      <c r="AF29" s="25">
        <v>-35.710499999999897</v>
      </c>
      <c r="AG29" s="25">
        <v>0</v>
      </c>
    </row>
    <row r="30" spans="1:33" ht="15.75" customHeight="1">
      <c r="A30" s="14" t="s">
        <v>57</v>
      </c>
      <c r="B30" s="14"/>
      <c r="C30" s="15" t="str">
        <f t="shared" si="1"/>
        <v xml:space="preserve"> - </v>
      </c>
      <c r="D30" s="16">
        <v>0</v>
      </c>
      <c r="E30" s="16">
        <v>0</v>
      </c>
      <c r="F30" s="17">
        <v>0</v>
      </c>
      <c r="G30" s="17">
        <v>0</v>
      </c>
      <c r="H30" s="18" t="e">
        <f t="shared" si="2"/>
        <v>#DIV/0!</v>
      </c>
      <c r="I30" s="18" t="e">
        <f t="shared" si="3"/>
        <v>#DIV/0!</v>
      </c>
      <c r="J30" s="17">
        <f t="shared" si="4"/>
        <v>0</v>
      </c>
      <c r="K30" s="17" t="e">
        <f t="shared" si="5"/>
        <v>#DIV/0!</v>
      </c>
      <c r="L30" s="16">
        <v>0</v>
      </c>
      <c r="M30" s="19" t="str">
        <f t="shared" si="6"/>
        <v>-</v>
      </c>
      <c r="N30" s="16">
        <v>0</v>
      </c>
      <c r="O30" s="20">
        <f t="shared" ref="O30:P30" si="24">D30/7</f>
        <v>0</v>
      </c>
      <c r="P30" s="20">
        <f t="shared" si="24"/>
        <v>0</v>
      </c>
      <c r="Q30" s="16" t="e">
        <f t="shared" si="8"/>
        <v>#DIV/0!</v>
      </c>
      <c r="R30" s="16"/>
      <c r="S30" s="21">
        <v>0</v>
      </c>
      <c r="T30" s="14">
        <v>0</v>
      </c>
      <c r="U30" s="22" t="s">
        <v>34</v>
      </c>
      <c r="V30" s="23" t="s">
        <v>34</v>
      </c>
      <c r="W30" s="30">
        <v>0</v>
      </c>
      <c r="X30" s="24">
        <f t="shared" si="9"/>
        <v>0</v>
      </c>
      <c r="Y30" s="25">
        <f t="shared" si="10"/>
        <v>0</v>
      </c>
      <c r="Z30" s="30">
        <v>0</v>
      </c>
      <c r="AA30" s="14" t="s">
        <v>35</v>
      </c>
      <c r="AB30" s="27">
        <f t="shared" si="11"/>
        <v>-0.69</v>
      </c>
      <c r="AC30" s="28">
        <v>0.29596040277777774</v>
      </c>
      <c r="AD30" s="25">
        <f t="shared" si="12"/>
        <v>0</v>
      </c>
      <c r="AE30" s="25">
        <v>-8.68</v>
      </c>
      <c r="AF30" s="25">
        <v>-34.411306965000001</v>
      </c>
      <c r="AG30" s="25">
        <v>0</v>
      </c>
    </row>
    <row r="31" spans="1:33" ht="15.75" customHeight="1">
      <c r="A31" s="14" t="s">
        <v>58</v>
      </c>
      <c r="B31" s="14"/>
      <c r="C31" s="15" t="str">
        <f t="shared" si="1"/>
        <v xml:space="preserve"> - </v>
      </c>
      <c r="D31" s="16">
        <v>0</v>
      </c>
      <c r="E31" s="16">
        <v>0</v>
      </c>
      <c r="F31" s="17">
        <v>0</v>
      </c>
      <c r="G31" s="17">
        <v>0</v>
      </c>
      <c r="H31" s="18" t="e">
        <f t="shared" si="2"/>
        <v>#DIV/0!</v>
      </c>
      <c r="I31" s="18" t="e">
        <f t="shared" si="3"/>
        <v>#DIV/0!</v>
      </c>
      <c r="J31" s="17">
        <f t="shared" si="4"/>
        <v>0</v>
      </c>
      <c r="K31" s="17" t="e">
        <f t="shared" si="5"/>
        <v>#DIV/0!</v>
      </c>
      <c r="L31" s="16">
        <v>0</v>
      </c>
      <c r="M31" s="19" t="str">
        <f t="shared" si="6"/>
        <v>-</v>
      </c>
      <c r="N31" s="16">
        <v>0</v>
      </c>
      <c r="O31" s="20">
        <f t="shared" ref="O31:P31" si="25">D31/7</f>
        <v>0</v>
      </c>
      <c r="P31" s="20">
        <f t="shared" si="25"/>
        <v>0</v>
      </c>
      <c r="Q31" s="16" t="e">
        <f t="shared" si="8"/>
        <v>#DIV/0!</v>
      </c>
      <c r="R31" s="16"/>
      <c r="S31" s="21" t="e">
        <v>#N/A</v>
      </c>
      <c r="T31" s="14" t="s">
        <v>34</v>
      </c>
      <c r="U31" s="22" t="s">
        <v>34</v>
      </c>
      <c r="V31" s="23" t="s">
        <v>144</v>
      </c>
      <c r="W31" s="30">
        <v>0</v>
      </c>
      <c r="X31" s="24">
        <f t="shared" si="9"/>
        <v>0</v>
      </c>
      <c r="Y31" s="25">
        <f t="shared" si="10"/>
        <v>0</v>
      </c>
      <c r="Z31" s="30">
        <v>0</v>
      </c>
      <c r="AA31" s="14" t="s">
        <v>35</v>
      </c>
      <c r="AB31" s="27">
        <f t="shared" si="11"/>
        <v>-0.69</v>
      </c>
      <c r="AC31" s="28">
        <v>0.29596040277777774</v>
      </c>
      <c r="AD31" s="25">
        <f t="shared" si="12"/>
        <v>0</v>
      </c>
      <c r="AE31" s="25">
        <v>-8.68</v>
      </c>
      <c r="AF31" s="25">
        <v>-34.411306965000001</v>
      </c>
      <c r="AG31" s="25">
        <v>0</v>
      </c>
    </row>
    <row r="32" spans="1:33" ht="15.75" customHeight="1">
      <c r="A32" s="14" t="s">
        <v>60</v>
      </c>
      <c r="B32" s="14"/>
      <c r="C32" s="15" t="str">
        <f t="shared" si="1"/>
        <v xml:space="preserve"> - </v>
      </c>
      <c r="D32" s="16">
        <v>0</v>
      </c>
      <c r="E32" s="16">
        <v>0</v>
      </c>
      <c r="F32" s="17">
        <v>0</v>
      </c>
      <c r="G32" s="17">
        <v>0</v>
      </c>
      <c r="H32" s="18" t="e">
        <f t="shared" si="2"/>
        <v>#DIV/0!</v>
      </c>
      <c r="I32" s="18" t="e">
        <f t="shared" si="3"/>
        <v>#DIV/0!</v>
      </c>
      <c r="J32" s="17">
        <f t="shared" si="4"/>
        <v>0</v>
      </c>
      <c r="K32" s="17" t="e">
        <f t="shared" si="5"/>
        <v>#DIV/0!</v>
      </c>
      <c r="L32" s="16">
        <v>0</v>
      </c>
      <c r="M32" s="19" t="str">
        <f t="shared" si="6"/>
        <v>-</v>
      </c>
      <c r="N32" s="16">
        <v>0</v>
      </c>
      <c r="O32" s="20">
        <f t="shared" ref="O32:P32" si="26">D32/7</f>
        <v>0</v>
      </c>
      <c r="P32" s="20">
        <f t="shared" si="26"/>
        <v>0</v>
      </c>
      <c r="Q32" s="16" t="e">
        <f t="shared" si="8"/>
        <v>#DIV/0!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0</v>
      </c>
      <c r="T32" s="14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23" t="str">
        <f ca="1">IFERROR(__xludf.DUMMYFUNCTION("IFERROR(VLOOKUP($B$2,IMPORTRANGE(""https://docs.google.com/spreadsheets/d/1KiWZV1ko8G7lnRucBRBd29jj3Be6ltMfljMDqzOkQmI/edit#gid=1381463014"",""Lookup!A:D""),2,FALSE),"""")"),"No Transit or Factory Storage, 200 In Production 60-100 days from Earliest Arrival")</f>
        <v>No Transit or Factory Storage, 200 In Production 60-100 days from Earliest Arrival</v>
      </c>
      <c r="W32" s="30">
        <v>0</v>
      </c>
      <c r="X32" s="24">
        <f t="shared" si="9"/>
        <v>0</v>
      </c>
      <c r="Y32" s="25">
        <f t="shared" si="10"/>
        <v>0</v>
      </c>
      <c r="Z32" s="30">
        <v>0</v>
      </c>
      <c r="AA32" s="14" t="s">
        <v>35</v>
      </c>
      <c r="AB32" s="27">
        <f t="shared" si="11"/>
        <v>-0.69</v>
      </c>
      <c r="AC32" s="28">
        <v>0.29596040277777774</v>
      </c>
      <c r="AD32" s="25">
        <f t="shared" si="12"/>
        <v>0</v>
      </c>
      <c r="AE32" s="25">
        <v>-8.68</v>
      </c>
      <c r="AF32" s="25">
        <v>-34.411306965000001</v>
      </c>
      <c r="AG32" s="25">
        <v>0</v>
      </c>
    </row>
    <row r="33" spans="1:33" ht="15.75" customHeight="1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16"/>
      <c r="S33" s="21"/>
      <c r="T33" s="31"/>
      <c r="U33" s="36"/>
      <c r="V33" s="1"/>
      <c r="W33" s="31"/>
      <c r="X33" s="31"/>
      <c r="Y33" s="31"/>
      <c r="Z33" s="31"/>
      <c r="AA33" s="2"/>
      <c r="AB33" s="31"/>
      <c r="AC33" s="31"/>
      <c r="AD33" s="31"/>
      <c r="AE33" s="37"/>
      <c r="AF33" s="37"/>
      <c r="AG33" s="37"/>
    </row>
    <row r="34" spans="1:33" ht="15.75" customHeight="1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6"/>
      <c r="V34" s="1"/>
      <c r="W34" s="31"/>
      <c r="X34" s="31"/>
      <c r="Y34" s="31"/>
      <c r="Z34" s="31"/>
      <c r="AA34" s="2"/>
      <c r="AB34" s="31"/>
      <c r="AC34" s="31"/>
      <c r="AD34" s="31"/>
      <c r="AE34" s="37"/>
      <c r="AF34" s="37"/>
      <c r="AG34" s="37"/>
    </row>
    <row r="35" spans="1:33" ht="15.75" customHeight="1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6"/>
      <c r="V35" s="1"/>
      <c r="W35" s="31"/>
      <c r="X35" s="31"/>
      <c r="Y35" s="31"/>
      <c r="Z35" s="31"/>
      <c r="AA35" s="2"/>
      <c r="AB35" s="31"/>
      <c r="AC35" s="31"/>
      <c r="AD35" s="31"/>
      <c r="AE35" s="37"/>
      <c r="AF35" s="37"/>
      <c r="AG35" s="37"/>
    </row>
    <row r="36" spans="1:33" ht="15.75" customHeight="1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6"/>
      <c r="V36" s="1"/>
      <c r="W36" s="31"/>
      <c r="X36" s="31"/>
      <c r="Y36" s="31"/>
      <c r="Z36" s="31"/>
      <c r="AA36" s="2"/>
      <c r="AB36" s="31"/>
      <c r="AC36" s="31"/>
      <c r="AD36" s="31"/>
      <c r="AE36" s="37"/>
      <c r="AF36" s="37"/>
      <c r="AG36" s="37"/>
    </row>
    <row r="37" spans="1:33" ht="15.75" customHeight="1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6"/>
      <c r="V37" s="1"/>
      <c r="W37" s="31"/>
      <c r="X37" s="31"/>
      <c r="Y37" s="31"/>
      <c r="Z37" s="31"/>
      <c r="AA37" s="2"/>
      <c r="AB37" s="31"/>
      <c r="AC37" s="31"/>
      <c r="AD37" s="31"/>
      <c r="AE37" s="37"/>
      <c r="AF37" s="37"/>
      <c r="AG37" s="37"/>
    </row>
    <row r="38" spans="1:33" ht="15.75" customHeight="1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6"/>
      <c r="V38" s="1"/>
      <c r="W38" s="31"/>
      <c r="X38" s="31"/>
      <c r="Y38" s="31"/>
      <c r="Z38" s="31"/>
      <c r="AA38" s="2"/>
      <c r="AB38" s="31"/>
      <c r="AC38" s="31"/>
      <c r="AD38" s="31"/>
      <c r="AE38" s="37"/>
      <c r="AF38" s="37"/>
      <c r="AG38" s="37"/>
    </row>
    <row r="39" spans="1:33" ht="15.75" customHeight="1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6"/>
      <c r="V39" s="1"/>
      <c r="W39" s="31"/>
      <c r="X39" s="31"/>
      <c r="Y39" s="31"/>
      <c r="Z39" s="31"/>
      <c r="AA39" s="2"/>
      <c r="AB39" s="31"/>
      <c r="AC39" s="31"/>
      <c r="AD39" s="31"/>
      <c r="AE39" s="37"/>
      <c r="AF39" s="37"/>
      <c r="AG39" s="37"/>
    </row>
    <row r="40" spans="1:33" ht="15.75" customHeight="1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6"/>
      <c r="V40" s="1"/>
      <c r="W40" s="31"/>
      <c r="X40" s="31"/>
      <c r="Y40" s="31"/>
      <c r="Z40" s="31"/>
      <c r="AA40" s="2"/>
      <c r="AB40" s="31"/>
      <c r="AC40" s="31"/>
      <c r="AD40" s="31"/>
      <c r="AE40" s="37"/>
      <c r="AF40" s="37"/>
      <c r="AG40" s="37"/>
    </row>
    <row r="41" spans="1:33" ht="15.75" customHeight="1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6"/>
      <c r="V41" s="1"/>
      <c r="W41" s="31"/>
      <c r="X41" s="31"/>
      <c r="Y41" s="31"/>
      <c r="Z41" s="31"/>
      <c r="AA41" s="2"/>
      <c r="AB41" s="31"/>
      <c r="AC41" s="31"/>
      <c r="AD41" s="31"/>
      <c r="AE41" s="37"/>
      <c r="AF41" s="37"/>
      <c r="AG41" s="37"/>
    </row>
    <row r="42" spans="1:33" ht="15.75" customHeight="1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6"/>
      <c r="V42" s="1"/>
      <c r="W42" s="31"/>
      <c r="X42" s="31"/>
      <c r="Y42" s="31"/>
      <c r="Z42" s="31"/>
      <c r="AA42" s="2"/>
      <c r="AB42" s="31"/>
      <c r="AC42" s="31"/>
      <c r="AD42" s="31"/>
      <c r="AE42" s="37"/>
      <c r="AF42" s="37"/>
      <c r="AG42" s="37"/>
    </row>
    <row r="43" spans="1:33" ht="15.75" customHeight="1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6"/>
      <c r="V43" s="1"/>
      <c r="W43" s="31"/>
      <c r="X43" s="31"/>
      <c r="Y43" s="31"/>
      <c r="Z43" s="31"/>
      <c r="AA43" s="2"/>
      <c r="AB43" s="31"/>
      <c r="AC43" s="31"/>
      <c r="AD43" s="31"/>
      <c r="AE43" s="37"/>
      <c r="AF43" s="37"/>
      <c r="AG43" s="37"/>
    </row>
    <row r="44" spans="1:33" ht="15.75" customHeight="1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6"/>
      <c r="V44" s="1"/>
      <c r="W44" s="31"/>
      <c r="X44" s="31"/>
      <c r="Y44" s="31"/>
      <c r="Z44" s="31"/>
      <c r="AA44" s="2"/>
      <c r="AB44" s="31"/>
      <c r="AC44" s="31"/>
      <c r="AD44" s="31"/>
      <c r="AE44" s="37"/>
      <c r="AF44" s="37"/>
      <c r="AG44" s="37"/>
    </row>
    <row r="45" spans="1:33" ht="15.75" customHeight="1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6"/>
      <c r="V45" s="1"/>
      <c r="W45" s="31"/>
      <c r="X45" s="31"/>
      <c r="Y45" s="31"/>
      <c r="Z45" s="31"/>
      <c r="AA45" s="2"/>
      <c r="AB45" s="31"/>
      <c r="AC45" s="31"/>
      <c r="AD45" s="31"/>
      <c r="AE45" s="37"/>
      <c r="AF45" s="37"/>
      <c r="AG45" s="37"/>
    </row>
    <row r="46" spans="1:33" ht="15.75" customHeight="1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6"/>
      <c r="V46" s="1"/>
      <c r="W46" s="31"/>
      <c r="X46" s="31"/>
      <c r="Y46" s="31"/>
      <c r="Z46" s="31"/>
      <c r="AA46" s="2"/>
      <c r="AB46" s="31"/>
      <c r="AC46" s="31"/>
      <c r="AD46" s="31"/>
      <c r="AE46" s="37"/>
      <c r="AF46" s="37"/>
      <c r="AG46" s="37"/>
    </row>
    <row r="47" spans="1:33" ht="15.75" customHeight="1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6"/>
      <c r="V47" s="1"/>
      <c r="W47" s="31"/>
      <c r="X47" s="31"/>
      <c r="Y47" s="31"/>
      <c r="Z47" s="31"/>
      <c r="AA47" s="2"/>
      <c r="AB47" s="31"/>
      <c r="AC47" s="31"/>
      <c r="AD47" s="31"/>
      <c r="AE47" s="37"/>
      <c r="AF47" s="37"/>
      <c r="AG47" s="37"/>
    </row>
    <row r="48" spans="1:33" ht="15.75" customHeight="1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6"/>
      <c r="V48" s="1"/>
      <c r="W48" s="31"/>
      <c r="X48" s="31"/>
      <c r="Y48" s="31"/>
      <c r="Z48" s="31"/>
      <c r="AA48" s="2"/>
      <c r="AB48" s="31"/>
      <c r="AC48" s="31"/>
      <c r="AD48" s="31"/>
      <c r="AE48" s="37"/>
      <c r="AF48" s="37"/>
      <c r="AG48" s="37"/>
    </row>
    <row r="49" spans="1:33" ht="15.75" customHeight="1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6"/>
      <c r="V49" s="1"/>
      <c r="W49" s="31"/>
      <c r="X49" s="31"/>
      <c r="Y49" s="31"/>
      <c r="Z49" s="31"/>
      <c r="AA49" s="2"/>
      <c r="AB49" s="31"/>
      <c r="AC49" s="31"/>
      <c r="AD49" s="31"/>
      <c r="AE49" s="37"/>
      <c r="AF49" s="37"/>
      <c r="AG49" s="37"/>
    </row>
    <row r="50" spans="1:33" ht="15.75" customHeight="1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6"/>
      <c r="V50" s="1"/>
      <c r="W50" s="31"/>
      <c r="X50" s="31"/>
      <c r="Y50" s="31"/>
      <c r="Z50" s="31"/>
      <c r="AA50" s="2"/>
      <c r="AB50" s="31"/>
      <c r="AC50" s="31"/>
      <c r="AD50" s="31"/>
      <c r="AE50" s="37"/>
      <c r="AF50" s="37"/>
      <c r="AG50" s="37"/>
    </row>
    <row r="51" spans="1:33" ht="15.75" customHeight="1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6"/>
      <c r="V51" s="1"/>
      <c r="W51" s="31"/>
      <c r="X51" s="31"/>
      <c r="Y51" s="31"/>
      <c r="Z51" s="31"/>
      <c r="AA51" s="2"/>
      <c r="AB51" s="31"/>
      <c r="AC51" s="31"/>
      <c r="AD51" s="31"/>
      <c r="AE51" s="37"/>
      <c r="AF51" s="37"/>
      <c r="AG51" s="37"/>
    </row>
    <row r="52" spans="1:33" ht="15.75" customHeight="1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6"/>
      <c r="V52" s="1"/>
      <c r="W52" s="31"/>
      <c r="X52" s="31"/>
      <c r="Y52" s="31"/>
      <c r="Z52" s="31"/>
      <c r="AA52" s="2"/>
      <c r="AB52" s="31"/>
      <c r="AC52" s="31"/>
      <c r="AD52" s="31"/>
      <c r="AE52" s="37"/>
      <c r="AF52" s="37"/>
      <c r="AG52" s="37"/>
    </row>
    <row r="53" spans="1:33" ht="15.75" customHeight="1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6"/>
      <c r="V53" s="1"/>
      <c r="W53" s="31"/>
      <c r="X53" s="31"/>
      <c r="Y53" s="31"/>
      <c r="Z53" s="31"/>
      <c r="AA53" s="2"/>
      <c r="AB53" s="31"/>
      <c r="AC53" s="31"/>
      <c r="AD53" s="31"/>
      <c r="AE53" s="37"/>
      <c r="AF53" s="37"/>
      <c r="AG53" s="37"/>
    </row>
    <row r="54" spans="1:33" ht="15.75" customHeight="1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6"/>
      <c r="V54" s="1"/>
      <c r="W54" s="31"/>
      <c r="X54" s="31"/>
      <c r="Y54" s="31"/>
      <c r="Z54" s="31"/>
      <c r="AA54" s="2"/>
      <c r="AB54" s="31"/>
      <c r="AC54" s="31"/>
      <c r="AD54" s="31"/>
      <c r="AE54" s="37"/>
      <c r="AF54" s="37"/>
      <c r="AG54" s="37"/>
    </row>
    <row r="55" spans="1:33" ht="15.75" customHeight="1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6"/>
      <c r="V55" s="1"/>
      <c r="W55" s="31"/>
      <c r="X55" s="31"/>
      <c r="Y55" s="31"/>
      <c r="Z55" s="31"/>
      <c r="AA55" s="2"/>
      <c r="AB55" s="31"/>
      <c r="AC55" s="31"/>
      <c r="AD55" s="31"/>
      <c r="AE55" s="37"/>
      <c r="AF55" s="37"/>
      <c r="AG55" s="37"/>
    </row>
    <row r="56" spans="1:33" ht="15.75" customHeight="1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6"/>
      <c r="V56" s="1"/>
      <c r="W56" s="31"/>
      <c r="X56" s="31"/>
      <c r="Y56" s="31"/>
      <c r="Z56" s="31"/>
      <c r="AA56" s="2"/>
      <c r="AB56" s="31"/>
      <c r="AC56" s="31"/>
      <c r="AD56" s="31"/>
      <c r="AE56" s="37"/>
      <c r="AF56" s="37"/>
      <c r="AG56" s="37"/>
    </row>
    <row r="57" spans="1:33" ht="15.75" customHeight="1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6"/>
      <c r="V57" s="1"/>
      <c r="W57" s="31"/>
      <c r="X57" s="31"/>
      <c r="Y57" s="31"/>
      <c r="Z57" s="31"/>
      <c r="AA57" s="2"/>
      <c r="AB57" s="31"/>
      <c r="AC57" s="31"/>
      <c r="AD57" s="31"/>
      <c r="AE57" s="37"/>
      <c r="AF57" s="37"/>
      <c r="AG57" s="37"/>
    </row>
    <row r="58" spans="1:33" ht="15.75" customHeight="1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6"/>
      <c r="V58" s="1"/>
      <c r="W58" s="31"/>
      <c r="X58" s="31"/>
      <c r="Y58" s="31"/>
      <c r="Z58" s="31"/>
      <c r="AA58" s="2"/>
      <c r="AB58" s="31"/>
      <c r="AC58" s="31"/>
      <c r="AD58" s="31"/>
      <c r="AE58" s="37"/>
      <c r="AF58" s="37"/>
      <c r="AG58" s="37"/>
    </row>
    <row r="59" spans="1:33" ht="15.75" customHeight="1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6"/>
      <c r="V59" s="1"/>
      <c r="W59" s="31"/>
      <c r="X59" s="31"/>
      <c r="Y59" s="31"/>
      <c r="Z59" s="31"/>
      <c r="AA59" s="2"/>
      <c r="AB59" s="31"/>
      <c r="AC59" s="31"/>
      <c r="AD59" s="31"/>
      <c r="AE59" s="37"/>
      <c r="AF59" s="37"/>
      <c r="AG59" s="37"/>
    </row>
    <row r="60" spans="1:33" ht="15.75" customHeight="1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6"/>
      <c r="V60" s="1"/>
      <c r="W60" s="31"/>
      <c r="X60" s="31"/>
      <c r="Y60" s="31"/>
      <c r="Z60" s="31"/>
      <c r="AA60" s="2"/>
      <c r="AB60" s="31"/>
      <c r="AC60" s="31"/>
      <c r="AD60" s="31"/>
      <c r="AE60" s="37"/>
      <c r="AF60" s="37"/>
      <c r="AG60" s="37"/>
    </row>
    <row r="61" spans="1:33" ht="15.75" customHeight="1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6"/>
      <c r="V61" s="1"/>
      <c r="W61" s="31"/>
      <c r="X61" s="31"/>
      <c r="Y61" s="31"/>
      <c r="Z61" s="31"/>
      <c r="AA61" s="2"/>
      <c r="AB61" s="31"/>
      <c r="AC61" s="31"/>
      <c r="AD61" s="31"/>
      <c r="AE61" s="37"/>
      <c r="AF61" s="37"/>
      <c r="AG61" s="37"/>
    </row>
    <row r="62" spans="1:33" ht="15.75" customHeight="1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6"/>
      <c r="V62" s="1"/>
      <c r="W62" s="31"/>
      <c r="X62" s="31"/>
      <c r="Y62" s="31"/>
      <c r="Z62" s="31"/>
      <c r="AA62" s="2"/>
      <c r="AB62" s="31"/>
      <c r="AC62" s="31"/>
      <c r="AD62" s="31"/>
      <c r="AE62" s="37"/>
      <c r="AF62" s="37"/>
      <c r="AG62" s="37"/>
    </row>
    <row r="63" spans="1:33" ht="15.75" customHeight="1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6"/>
      <c r="V63" s="1"/>
      <c r="W63" s="31"/>
      <c r="X63" s="31"/>
      <c r="Y63" s="31"/>
      <c r="Z63" s="31"/>
      <c r="AA63" s="2"/>
      <c r="AB63" s="31"/>
      <c r="AC63" s="31"/>
      <c r="AD63" s="31"/>
      <c r="AE63" s="37"/>
      <c r="AF63" s="37"/>
      <c r="AG63" s="37"/>
    </row>
    <row r="64" spans="1:33" ht="15.75" customHeight="1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6"/>
      <c r="V64" s="1"/>
      <c r="W64" s="31"/>
      <c r="X64" s="31"/>
      <c r="Y64" s="31"/>
      <c r="Z64" s="31"/>
      <c r="AA64" s="2"/>
      <c r="AB64" s="31"/>
      <c r="AC64" s="31"/>
      <c r="AD64" s="31"/>
      <c r="AE64" s="37"/>
      <c r="AF64" s="37"/>
      <c r="AG64" s="37"/>
    </row>
    <row r="65" spans="1:33" ht="15.75" customHeight="1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6"/>
      <c r="V65" s="1"/>
      <c r="W65" s="31"/>
      <c r="X65" s="31"/>
      <c r="Y65" s="31"/>
      <c r="Z65" s="31"/>
      <c r="AA65" s="2"/>
      <c r="AB65" s="31"/>
      <c r="AC65" s="31"/>
      <c r="AD65" s="31"/>
      <c r="AE65" s="37"/>
      <c r="AF65" s="37"/>
      <c r="AG65" s="37"/>
    </row>
    <row r="66" spans="1:33" ht="15.75" customHeight="1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6"/>
      <c r="V66" s="1"/>
      <c r="W66" s="31"/>
      <c r="X66" s="31"/>
      <c r="Y66" s="31"/>
      <c r="Z66" s="31"/>
      <c r="AA66" s="2"/>
      <c r="AB66" s="31"/>
      <c r="AC66" s="31"/>
      <c r="AD66" s="31"/>
      <c r="AE66" s="37"/>
      <c r="AF66" s="37"/>
      <c r="AG66" s="37"/>
    </row>
    <row r="67" spans="1:33" ht="15.75" customHeight="1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6"/>
      <c r="V67" s="1"/>
      <c r="W67" s="31"/>
      <c r="X67" s="31"/>
      <c r="Y67" s="31"/>
      <c r="Z67" s="31"/>
      <c r="AA67" s="2"/>
      <c r="AB67" s="31"/>
      <c r="AC67" s="31"/>
      <c r="AD67" s="31"/>
      <c r="AE67" s="37"/>
      <c r="AF67" s="37"/>
      <c r="AG67" s="37"/>
    </row>
    <row r="68" spans="1:33" ht="15.75" customHeight="1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6"/>
      <c r="V68" s="1"/>
      <c r="W68" s="31"/>
      <c r="X68" s="31"/>
      <c r="Y68" s="31"/>
      <c r="Z68" s="31"/>
      <c r="AA68" s="2"/>
      <c r="AB68" s="31"/>
      <c r="AC68" s="31"/>
      <c r="AD68" s="31"/>
      <c r="AE68" s="37"/>
      <c r="AF68" s="37"/>
      <c r="AG68" s="37"/>
    </row>
    <row r="69" spans="1:33" ht="15.75" customHeight="1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6"/>
      <c r="V69" s="1"/>
      <c r="W69" s="31"/>
      <c r="X69" s="31"/>
      <c r="Y69" s="31"/>
      <c r="Z69" s="31"/>
      <c r="AA69" s="2"/>
      <c r="AB69" s="31"/>
      <c r="AC69" s="31"/>
      <c r="AD69" s="31"/>
      <c r="AE69" s="37"/>
      <c r="AF69" s="37"/>
      <c r="AG69" s="37"/>
    </row>
    <row r="70" spans="1:33" ht="15.75" customHeight="1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6"/>
      <c r="V70" s="1"/>
      <c r="W70" s="31"/>
      <c r="X70" s="31"/>
      <c r="Y70" s="31"/>
      <c r="Z70" s="31"/>
      <c r="AA70" s="2"/>
      <c r="AB70" s="31"/>
      <c r="AC70" s="31"/>
      <c r="AD70" s="31"/>
      <c r="AE70" s="37"/>
      <c r="AF70" s="37"/>
      <c r="AG70" s="37"/>
    </row>
    <row r="71" spans="1:33" ht="15.75" customHeight="1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6"/>
      <c r="V71" s="1"/>
      <c r="W71" s="31"/>
      <c r="X71" s="31"/>
      <c r="Y71" s="31"/>
      <c r="Z71" s="31"/>
      <c r="AA71" s="2"/>
      <c r="AB71" s="31"/>
      <c r="AC71" s="31"/>
      <c r="AD71" s="31"/>
      <c r="AE71" s="37"/>
      <c r="AF71" s="37"/>
      <c r="AG71" s="37"/>
    </row>
    <row r="72" spans="1:33" ht="15.75" customHeight="1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6"/>
      <c r="V72" s="1"/>
      <c r="W72" s="31"/>
      <c r="X72" s="31"/>
      <c r="Y72" s="31"/>
      <c r="Z72" s="31"/>
      <c r="AA72" s="2"/>
      <c r="AB72" s="31"/>
      <c r="AC72" s="31"/>
      <c r="AD72" s="31"/>
      <c r="AE72" s="37"/>
      <c r="AF72" s="37"/>
      <c r="AG72" s="37"/>
    </row>
    <row r="73" spans="1:33" ht="15.75" customHeight="1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6"/>
      <c r="V73" s="1"/>
      <c r="W73" s="31"/>
      <c r="X73" s="31"/>
      <c r="Y73" s="31"/>
      <c r="Z73" s="31"/>
      <c r="AA73" s="2"/>
      <c r="AB73" s="31"/>
      <c r="AC73" s="31"/>
      <c r="AD73" s="31"/>
      <c r="AE73" s="37"/>
      <c r="AF73" s="37"/>
      <c r="AG73" s="37"/>
    </row>
    <row r="74" spans="1:33" ht="15.75" customHeight="1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6"/>
      <c r="V74" s="1"/>
      <c r="W74" s="31"/>
      <c r="X74" s="31"/>
      <c r="Y74" s="31"/>
      <c r="Z74" s="31"/>
      <c r="AA74" s="2"/>
      <c r="AB74" s="31"/>
      <c r="AC74" s="31"/>
      <c r="AD74" s="31"/>
      <c r="AE74" s="37"/>
      <c r="AF74" s="37"/>
      <c r="AG74" s="37"/>
    </row>
    <row r="75" spans="1:33" ht="15.75" customHeight="1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6"/>
      <c r="V75" s="1"/>
      <c r="W75" s="31"/>
      <c r="X75" s="31"/>
      <c r="Y75" s="31"/>
      <c r="Z75" s="31"/>
      <c r="AA75" s="2"/>
      <c r="AB75" s="31"/>
      <c r="AC75" s="31"/>
      <c r="AD75" s="31"/>
      <c r="AE75" s="37"/>
      <c r="AF75" s="37"/>
      <c r="AG75" s="37"/>
    </row>
    <row r="76" spans="1:33" ht="15.75" customHeight="1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6"/>
      <c r="V76" s="1"/>
      <c r="W76" s="31"/>
      <c r="X76" s="31"/>
      <c r="Y76" s="31"/>
      <c r="Z76" s="31"/>
      <c r="AA76" s="2"/>
      <c r="AB76" s="31"/>
      <c r="AC76" s="31"/>
      <c r="AD76" s="31"/>
      <c r="AE76" s="37"/>
      <c r="AF76" s="37"/>
      <c r="AG76" s="37"/>
    </row>
    <row r="77" spans="1:33" ht="15.75" customHeight="1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6"/>
      <c r="V77" s="1"/>
      <c r="W77" s="31"/>
      <c r="X77" s="31"/>
      <c r="Y77" s="31"/>
      <c r="Z77" s="31"/>
      <c r="AA77" s="2"/>
      <c r="AB77" s="31"/>
      <c r="AC77" s="31"/>
      <c r="AD77" s="31"/>
      <c r="AE77" s="37"/>
      <c r="AF77" s="37"/>
      <c r="AG77" s="37"/>
    </row>
    <row r="78" spans="1:33" ht="15.75" customHeight="1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6"/>
      <c r="V78" s="1"/>
      <c r="W78" s="31"/>
      <c r="X78" s="31"/>
      <c r="Y78" s="31"/>
      <c r="Z78" s="31"/>
      <c r="AA78" s="2"/>
      <c r="AB78" s="31"/>
      <c r="AC78" s="31"/>
      <c r="AD78" s="31"/>
      <c r="AE78" s="37"/>
      <c r="AF78" s="37"/>
      <c r="AG78" s="37"/>
    </row>
    <row r="79" spans="1:33" ht="15.75" customHeight="1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6"/>
      <c r="V79" s="1"/>
      <c r="W79" s="31"/>
      <c r="X79" s="31"/>
      <c r="Y79" s="31"/>
      <c r="Z79" s="31"/>
      <c r="AA79" s="2"/>
      <c r="AB79" s="31"/>
      <c r="AC79" s="31"/>
      <c r="AD79" s="31"/>
      <c r="AE79" s="37"/>
      <c r="AF79" s="37"/>
      <c r="AG79" s="37"/>
    </row>
    <row r="80" spans="1:33" ht="15.75" customHeight="1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6"/>
      <c r="V80" s="1"/>
      <c r="W80" s="31"/>
      <c r="X80" s="31"/>
      <c r="Y80" s="31"/>
      <c r="Z80" s="31"/>
      <c r="AA80" s="2"/>
      <c r="AB80" s="31"/>
      <c r="AC80" s="31"/>
      <c r="AD80" s="31"/>
      <c r="AE80" s="37"/>
      <c r="AF80" s="37"/>
      <c r="AG80" s="37"/>
    </row>
    <row r="81" spans="1:33" ht="15.75" customHeight="1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6"/>
      <c r="V81" s="1"/>
      <c r="W81" s="31"/>
      <c r="X81" s="31"/>
      <c r="Y81" s="31"/>
      <c r="Z81" s="31"/>
      <c r="AA81" s="2"/>
      <c r="AB81" s="31"/>
      <c r="AC81" s="31"/>
      <c r="AD81" s="31"/>
      <c r="AE81" s="37"/>
      <c r="AF81" s="37"/>
      <c r="AG81" s="37"/>
    </row>
    <row r="82" spans="1:33" ht="15.75" customHeight="1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6"/>
      <c r="V82" s="1"/>
      <c r="W82" s="31"/>
      <c r="X82" s="31"/>
      <c r="Y82" s="31"/>
      <c r="Z82" s="31"/>
      <c r="AA82" s="2"/>
      <c r="AB82" s="31"/>
      <c r="AC82" s="31"/>
      <c r="AD82" s="31"/>
      <c r="AE82" s="37"/>
      <c r="AF82" s="37"/>
      <c r="AG82" s="37"/>
    </row>
    <row r="83" spans="1:33" ht="15.75" customHeight="1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6"/>
      <c r="V83" s="1"/>
      <c r="W83" s="31"/>
      <c r="X83" s="31"/>
      <c r="Y83" s="31"/>
      <c r="Z83" s="31"/>
      <c r="AA83" s="2"/>
      <c r="AB83" s="31"/>
      <c r="AC83" s="31"/>
      <c r="AD83" s="31"/>
      <c r="AE83" s="37"/>
      <c r="AF83" s="37"/>
      <c r="AG83" s="37"/>
    </row>
    <row r="84" spans="1:33" ht="15.75" customHeight="1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6"/>
      <c r="V84" s="1"/>
      <c r="W84" s="31"/>
      <c r="X84" s="31"/>
      <c r="Y84" s="31"/>
      <c r="Z84" s="31"/>
      <c r="AA84" s="2"/>
      <c r="AB84" s="31"/>
      <c r="AC84" s="31"/>
      <c r="AD84" s="31"/>
      <c r="AE84" s="37"/>
      <c r="AF84" s="37"/>
      <c r="AG84" s="37"/>
    </row>
    <row r="85" spans="1:33" ht="15.75" customHeight="1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6"/>
      <c r="V85" s="1"/>
      <c r="W85" s="31"/>
      <c r="X85" s="31"/>
      <c r="Y85" s="31"/>
      <c r="Z85" s="31"/>
      <c r="AA85" s="2"/>
      <c r="AB85" s="31"/>
      <c r="AC85" s="31"/>
      <c r="AD85" s="31"/>
      <c r="AE85" s="37"/>
      <c r="AF85" s="37"/>
      <c r="AG85" s="37"/>
    </row>
    <row r="86" spans="1:33" ht="15.75" customHeight="1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6"/>
      <c r="V86" s="1"/>
      <c r="W86" s="31"/>
      <c r="X86" s="31"/>
      <c r="Y86" s="31"/>
      <c r="Z86" s="31"/>
      <c r="AA86" s="2"/>
      <c r="AB86" s="31"/>
      <c r="AC86" s="31"/>
      <c r="AD86" s="31"/>
      <c r="AE86" s="37"/>
      <c r="AF86" s="37"/>
      <c r="AG86" s="37"/>
    </row>
    <row r="87" spans="1:33" ht="15.75" customHeight="1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6"/>
      <c r="V87" s="1"/>
      <c r="W87" s="31"/>
      <c r="X87" s="31"/>
      <c r="Y87" s="31"/>
      <c r="Z87" s="31"/>
      <c r="AA87" s="2"/>
      <c r="AB87" s="31"/>
      <c r="AC87" s="31"/>
      <c r="AD87" s="31"/>
      <c r="AE87" s="37"/>
      <c r="AF87" s="37"/>
      <c r="AG87" s="37"/>
    </row>
    <row r="88" spans="1:33" ht="15.75" customHeight="1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6"/>
      <c r="V88" s="1"/>
      <c r="W88" s="31"/>
      <c r="X88" s="31"/>
      <c r="Y88" s="31"/>
      <c r="Z88" s="31"/>
      <c r="AA88" s="2"/>
      <c r="AB88" s="31"/>
      <c r="AC88" s="31"/>
      <c r="AD88" s="31"/>
      <c r="AE88" s="37"/>
      <c r="AF88" s="37"/>
      <c r="AG88" s="37"/>
    </row>
    <row r="89" spans="1:33" ht="15.75" customHeight="1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6"/>
      <c r="V89" s="1"/>
      <c r="W89" s="31"/>
      <c r="X89" s="31"/>
      <c r="Y89" s="31"/>
      <c r="Z89" s="31"/>
      <c r="AA89" s="2"/>
      <c r="AB89" s="31"/>
      <c r="AC89" s="31"/>
      <c r="AD89" s="31"/>
      <c r="AE89" s="37"/>
      <c r="AF89" s="37"/>
      <c r="AG89" s="37"/>
    </row>
    <row r="90" spans="1:33" ht="15.75" customHeight="1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6"/>
      <c r="V90" s="1"/>
      <c r="W90" s="31"/>
      <c r="X90" s="31"/>
      <c r="Y90" s="31"/>
      <c r="Z90" s="31"/>
      <c r="AA90" s="2"/>
      <c r="AB90" s="31"/>
      <c r="AC90" s="31"/>
      <c r="AD90" s="31"/>
      <c r="AE90" s="37"/>
      <c r="AF90" s="37"/>
      <c r="AG90" s="37"/>
    </row>
    <row r="91" spans="1:33" ht="15.75" customHeight="1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6"/>
      <c r="V91" s="1"/>
      <c r="W91" s="31"/>
      <c r="X91" s="31"/>
      <c r="Y91" s="31"/>
      <c r="Z91" s="31"/>
      <c r="AA91" s="2"/>
      <c r="AB91" s="31"/>
      <c r="AC91" s="31"/>
      <c r="AD91" s="31"/>
      <c r="AE91" s="37"/>
      <c r="AF91" s="37"/>
      <c r="AG91" s="37"/>
    </row>
    <row r="92" spans="1:33" ht="15.75" customHeight="1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6"/>
      <c r="V92" s="1"/>
      <c r="W92" s="31"/>
      <c r="X92" s="31"/>
      <c r="Y92" s="31"/>
      <c r="Z92" s="31"/>
      <c r="AA92" s="2"/>
      <c r="AB92" s="31"/>
      <c r="AC92" s="31"/>
      <c r="AD92" s="31"/>
      <c r="AE92" s="37"/>
      <c r="AF92" s="37"/>
      <c r="AG92" s="37"/>
    </row>
    <row r="93" spans="1:33" ht="15.75" customHeight="1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6"/>
      <c r="V93" s="1"/>
      <c r="W93" s="31"/>
      <c r="X93" s="31"/>
      <c r="Y93" s="31"/>
      <c r="Z93" s="31"/>
      <c r="AA93" s="2"/>
      <c r="AB93" s="31"/>
      <c r="AC93" s="31"/>
      <c r="AD93" s="31"/>
      <c r="AE93" s="37"/>
      <c r="AF93" s="37"/>
      <c r="AG93" s="37"/>
    </row>
    <row r="94" spans="1:33" ht="15.75" customHeight="1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6"/>
      <c r="V94" s="1"/>
      <c r="W94" s="31"/>
      <c r="X94" s="31"/>
      <c r="Y94" s="31"/>
      <c r="Z94" s="31"/>
      <c r="AA94" s="2"/>
      <c r="AB94" s="31"/>
      <c r="AC94" s="31"/>
      <c r="AD94" s="31"/>
      <c r="AE94" s="37"/>
      <c r="AF94" s="37"/>
      <c r="AG94" s="37"/>
    </row>
    <row r="95" spans="1:33" ht="15.75" customHeight="1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6"/>
      <c r="V95" s="1"/>
      <c r="W95" s="31"/>
      <c r="X95" s="31"/>
      <c r="Y95" s="31"/>
      <c r="Z95" s="31"/>
      <c r="AA95" s="2"/>
      <c r="AB95" s="31"/>
      <c r="AC95" s="31"/>
      <c r="AD95" s="31"/>
      <c r="AE95" s="37"/>
      <c r="AF95" s="37"/>
      <c r="AG95" s="37"/>
    </row>
    <row r="96" spans="1:33" ht="15.75" customHeight="1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6"/>
      <c r="V96" s="1"/>
      <c r="W96" s="31"/>
      <c r="X96" s="31"/>
      <c r="Y96" s="31"/>
      <c r="Z96" s="31"/>
      <c r="AA96" s="2"/>
      <c r="AB96" s="31"/>
      <c r="AC96" s="31"/>
      <c r="AD96" s="31"/>
      <c r="AE96" s="37"/>
      <c r="AF96" s="37"/>
      <c r="AG96" s="37"/>
    </row>
    <row r="97" spans="1:33" ht="15.75" customHeight="1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8"/>
      <c r="R97" s="38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8"/>
      <c r="R98" s="38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8"/>
      <c r="R99" s="38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8"/>
      <c r="R100" s="38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8"/>
      <c r="R101" s="38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8"/>
      <c r="R102" s="38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8"/>
      <c r="R103" s="38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8"/>
      <c r="R104" s="38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8"/>
      <c r="R105" s="38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8"/>
      <c r="R106" s="38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8"/>
      <c r="R107" s="38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8"/>
      <c r="R108" s="38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8"/>
      <c r="R109" s="38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8"/>
      <c r="R110" s="38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8"/>
      <c r="R111" s="38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8"/>
      <c r="R112" s="38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8"/>
      <c r="R113" s="38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8"/>
      <c r="R114" s="38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>
      <c r="A115" s="31"/>
      <c r="B115" s="31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>
      <c r="A116" s="31"/>
      <c r="B116" s="31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>
      <c r="A117" s="31"/>
      <c r="B117" s="31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>
      <c r="A118" s="31"/>
      <c r="B118" s="31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>
      <c r="A119" s="31"/>
      <c r="B119" s="31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>
      <c r="A120" s="31"/>
      <c r="B120" s="31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>
      <c r="A121" s="31"/>
      <c r="B121" s="31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>
      <c r="A122" s="31"/>
      <c r="B122" s="31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>
      <c r="A123" s="31"/>
      <c r="B123" s="31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>
      <c r="A124" s="31"/>
      <c r="B124" s="31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>
      <c r="A125" s="31"/>
      <c r="B125" s="31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>
      <c r="A126" s="31"/>
      <c r="B126" s="31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>
      <c r="A127" s="31"/>
      <c r="B127" s="31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>
      <c r="A128" s="31"/>
      <c r="B128" s="31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>
      <c r="A129" s="31"/>
      <c r="B129" s="31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>
      <c r="A130" s="31"/>
      <c r="B130" s="31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>
      <c r="A131" s="31"/>
      <c r="B131" s="31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>
      <c r="A132" s="31"/>
      <c r="B132" s="31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>
      <c r="A133" s="31"/>
      <c r="B133" s="31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>
      <c r="A134" s="31"/>
      <c r="B134" s="31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>
      <c r="A135" s="31"/>
      <c r="B135" s="31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>
      <c r="A136" s="31"/>
      <c r="B136" s="31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>
      <c r="A137" s="31"/>
      <c r="B137" s="31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>
      <c r="A138" s="31"/>
      <c r="B138" s="31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>
      <c r="A139" s="31"/>
      <c r="B139" s="31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>
      <c r="A140" s="31"/>
      <c r="B140" s="31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>
      <c r="A141" s="31"/>
      <c r="B141" s="31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2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>
      <c r="A142" s="31"/>
      <c r="B142" s="31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2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>
      <c r="A143" s="31"/>
      <c r="B143" s="31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2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>
      <c r="A144" s="31"/>
      <c r="B144" s="31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2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>
      <c r="A145" s="31"/>
      <c r="B145" s="31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2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>
      <c r="A146" s="31"/>
      <c r="B146" s="31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2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>
      <c r="A147" s="31"/>
      <c r="B147" s="31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2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>
      <c r="A148" s="31"/>
      <c r="B148" s="31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2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</row>
    <row r="149" spans="1:33" ht="15.75" customHeight="1">
      <c r="A149" s="14"/>
      <c r="B149" s="14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>
      <c r="A150" s="14"/>
      <c r="B150" s="14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>
      <c r="A151" s="14"/>
      <c r="B151" s="14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>
      <c r="A152" s="14"/>
      <c r="B152" s="14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>
      <c r="A153" s="14"/>
      <c r="B153" s="14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>
      <c r="A154" s="14"/>
      <c r="B154" s="14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>
      <c r="A155" s="14"/>
      <c r="B155" s="14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>
      <c r="A156" s="14"/>
      <c r="B156" s="14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>
      <c r="A157" s="14"/>
      <c r="B157" s="14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>
      <c r="A158" s="14"/>
      <c r="B158" s="14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>
      <c r="A159" s="14"/>
      <c r="B159" s="14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>
      <c r="A160" s="14"/>
      <c r="B160" s="14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>
      <c r="A161" s="14"/>
      <c r="B161" s="14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>
      <c r="A162" s="14"/>
      <c r="B162" s="14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>
      <c r="A163" s="14"/>
      <c r="B163" s="14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>
      <c r="A164" s="14"/>
      <c r="B164" s="14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>
      <c r="A165" s="14"/>
      <c r="B165" s="14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>
      <c r="A166" s="14"/>
      <c r="B166" s="14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>
      <c r="A167" s="14"/>
      <c r="B167" s="14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>
      <c r="A168" s="14"/>
      <c r="B168" s="14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>
      <c r="A169" s="14"/>
      <c r="B169" s="14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>
      <c r="A170" s="14"/>
      <c r="B170" s="14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>
      <c r="A171" s="14"/>
      <c r="B171" s="14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>
      <c r="A172" s="14"/>
      <c r="B172" s="14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>
      <c r="A173" s="14"/>
      <c r="B173" s="14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>
      <c r="A174" s="14"/>
      <c r="B174" s="14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>
      <c r="A175" s="14"/>
      <c r="B175" s="14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>
      <c r="A176" s="14"/>
      <c r="B176" s="14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>
      <c r="A177" s="14"/>
      <c r="B177" s="14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>
      <c r="A178" s="14"/>
      <c r="B178" s="14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>
      <c r="A179" s="14"/>
      <c r="B179" s="14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>
      <c r="A180" s="14"/>
      <c r="B180" s="14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>
      <c r="A181" s="14"/>
      <c r="B181" s="14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>
      <c r="A182" s="14"/>
      <c r="B182" s="14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>
      <c r="A183" s="14"/>
      <c r="B183" s="14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>
      <c r="A184" s="14"/>
      <c r="B184" s="14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>
      <c r="A185" s="14"/>
      <c r="B185" s="14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>
      <c r="A186" s="14"/>
      <c r="B186" s="14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>
      <c r="A187" s="14"/>
      <c r="B187" s="14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>
      <c r="A188" s="14"/>
      <c r="B188" s="14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>
      <c r="A189" s="14"/>
      <c r="B189" s="14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>
      <c r="A190" s="14"/>
      <c r="B190" s="14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>
      <c r="A191" s="14"/>
      <c r="B191" s="14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>
      <c r="A192" s="14"/>
      <c r="B192" s="14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>
      <c r="A193" s="14"/>
      <c r="B193" s="14"/>
      <c r="C193" s="39"/>
      <c r="D193" s="39"/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>
      <c r="A194" s="14"/>
      <c r="B194" s="14"/>
      <c r="C194" s="39"/>
      <c r="D194" s="39"/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>
      <c r="A195" s="14"/>
      <c r="B195" s="14"/>
      <c r="C195" s="39"/>
      <c r="D195" s="39"/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>
      <c r="A196" s="14"/>
      <c r="B196" s="14"/>
      <c r="C196" s="39"/>
      <c r="D196" s="39"/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>
      <c r="A197" s="14"/>
      <c r="B197" s="14"/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>
      <c r="A198" s="14"/>
      <c r="B198" s="14"/>
      <c r="C198" s="39"/>
      <c r="D198" s="39"/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>
      <c r="A199" s="14"/>
      <c r="B199" s="14"/>
      <c r="C199" s="39"/>
      <c r="D199" s="39"/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>
      <c r="A200" s="14"/>
      <c r="B200" s="14"/>
      <c r="C200" s="39"/>
      <c r="D200" s="39"/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>
      <c r="A201" s="14"/>
      <c r="B201" s="14"/>
      <c r="C201" s="39"/>
      <c r="D201" s="39"/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>
      <c r="A202" s="14"/>
      <c r="B202" s="14"/>
      <c r="C202" s="39"/>
      <c r="D202" s="39"/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>
      <c r="A203" s="14"/>
      <c r="B203" s="14"/>
      <c r="C203" s="39"/>
      <c r="D203" s="39"/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>
      <c r="A204" s="14"/>
      <c r="B204" s="14"/>
      <c r="C204" s="39"/>
      <c r="D204" s="39"/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>
      <c r="A205" s="14"/>
      <c r="B205" s="14"/>
      <c r="C205" s="39"/>
      <c r="D205" s="39"/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>
      <c r="A206" s="14"/>
      <c r="B206" s="14"/>
      <c r="C206" s="39"/>
      <c r="D206" s="39"/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>
      <c r="A207" s="14"/>
      <c r="B207" s="14"/>
      <c r="C207" s="39"/>
      <c r="D207" s="39"/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>
      <c r="A208" s="14"/>
      <c r="B208" s="14"/>
      <c r="C208" s="39"/>
      <c r="D208" s="39"/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>
      <c r="A209" s="14"/>
      <c r="B209" s="14"/>
      <c r="C209" s="39"/>
      <c r="D209" s="39"/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>
      <c r="A210" s="14"/>
      <c r="B210" s="14"/>
      <c r="C210" s="39"/>
      <c r="D210" s="39"/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>
      <c r="A211" s="14"/>
      <c r="B211" s="14"/>
      <c r="C211" s="39"/>
      <c r="D211" s="39"/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>
      <c r="A212" s="14"/>
      <c r="B212" s="14"/>
      <c r="C212" s="39"/>
      <c r="D212" s="39"/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>
      <c r="A213" s="14"/>
      <c r="B213" s="14"/>
      <c r="C213" s="39"/>
      <c r="D213" s="39"/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>
      <c r="A214" s="14"/>
      <c r="B214" s="14"/>
      <c r="C214" s="39"/>
      <c r="D214" s="39"/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>
      <c r="A215" s="14"/>
      <c r="B215" s="14"/>
      <c r="C215" s="39"/>
      <c r="D215" s="39"/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>
      <c r="A216" s="14"/>
      <c r="B216" s="14"/>
      <c r="C216" s="39"/>
      <c r="D216" s="39"/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>
      <c r="A217" s="14"/>
      <c r="B217" s="14"/>
      <c r="C217" s="39"/>
      <c r="D217" s="39"/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>
      <c r="A218" s="14"/>
      <c r="B218" s="14"/>
      <c r="C218" s="39"/>
      <c r="D218" s="39"/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>
      <c r="A219" s="14"/>
      <c r="B219" s="14"/>
      <c r="C219" s="39"/>
      <c r="D219" s="39"/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>
      <c r="A220" s="14"/>
      <c r="B220" s="14"/>
      <c r="C220" s="39"/>
      <c r="D220" s="39"/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>
      <c r="R221" s="30"/>
      <c r="S221" s="40"/>
    </row>
    <row r="222" spans="1:33" ht="15.75" customHeight="1">
      <c r="R222" s="30"/>
      <c r="S222" s="40"/>
    </row>
    <row r="223" spans="1:33" ht="15.75" customHeight="1">
      <c r="R223" s="30"/>
      <c r="S223" s="40"/>
    </row>
    <row r="224" spans="1:33" ht="15.75" customHeight="1">
      <c r="R224" s="30"/>
      <c r="S224" s="40"/>
    </row>
    <row r="225" spans="18:18" ht="15.75" customHeight="1">
      <c r="R225" s="30"/>
    </row>
    <row r="226" spans="18:18" ht="15.75" customHeight="1">
      <c r="R226" s="30"/>
    </row>
    <row r="227" spans="18:18" ht="15.75" customHeight="1">
      <c r="R227" s="30"/>
    </row>
    <row r="228" spans="18:18" ht="15.75" customHeight="1">
      <c r="R228" s="30"/>
    </row>
    <row r="229" spans="18:18" ht="15.75" customHeight="1">
      <c r="R229" s="30"/>
    </row>
    <row r="230" spans="18:18" ht="15.75" customHeight="1">
      <c r="R230" s="30"/>
    </row>
    <row r="231" spans="18:18" ht="15.75" customHeight="1">
      <c r="R231" s="30"/>
    </row>
    <row r="232" spans="18:18" ht="15.75" customHeight="1">
      <c r="R232" s="30"/>
    </row>
    <row r="233" spans="18:18" ht="15.75" customHeight="1">
      <c r="R233" s="30"/>
    </row>
    <row r="234" spans="18:18" ht="15.75" customHeight="1">
      <c r="R234" s="30"/>
    </row>
    <row r="235" spans="18:18" ht="15.75" customHeight="1">
      <c r="R235" s="30"/>
    </row>
    <row r="236" spans="18:18" ht="15.75" customHeight="1">
      <c r="R236" s="30"/>
    </row>
    <row r="237" spans="18:18" ht="15.75" customHeight="1">
      <c r="R237" s="30"/>
    </row>
    <row r="238" spans="18:18" ht="15.75" customHeight="1">
      <c r="R238" s="30"/>
    </row>
    <row r="239" spans="18:18" ht="15.75" customHeight="1">
      <c r="R239" s="30"/>
    </row>
    <row r="240" spans="18:18" ht="15.75" customHeight="1">
      <c r="R240" s="30"/>
    </row>
    <row r="241" spans="18:18" ht="15.75" customHeight="1">
      <c r="R241" s="30"/>
    </row>
    <row r="242" spans="18:18" ht="15.75" customHeight="1">
      <c r="R242" s="30"/>
    </row>
    <row r="243" spans="18:18" ht="15.75" customHeight="1">
      <c r="R243" s="30"/>
    </row>
    <row r="244" spans="18:18" ht="15.75" customHeight="1">
      <c r="R244" s="30"/>
    </row>
    <row r="245" spans="18:18" ht="15.75" customHeight="1">
      <c r="R245" s="30"/>
    </row>
    <row r="246" spans="18:18" ht="15.75" customHeight="1">
      <c r="R246" s="30"/>
    </row>
    <row r="247" spans="18:18" ht="15.75" customHeight="1">
      <c r="R247" s="30"/>
    </row>
    <row r="248" spans="18:18" ht="15.75" customHeight="1">
      <c r="R248" s="30"/>
    </row>
    <row r="249" spans="18:18" ht="15.75" customHeight="1">
      <c r="R249" s="30"/>
    </row>
    <row r="250" spans="18:18" ht="15.75" customHeight="1">
      <c r="R250" s="30"/>
    </row>
    <row r="251" spans="18:18" ht="15.75" customHeight="1">
      <c r="R251" s="30"/>
    </row>
    <row r="252" spans="18:18" ht="15.75" customHeight="1">
      <c r="R252" s="30"/>
    </row>
    <row r="253" spans="18:18" ht="15.75" customHeight="1">
      <c r="R253" s="30"/>
    </row>
    <row r="254" spans="18:18" ht="15.75" customHeight="1">
      <c r="R254" s="30"/>
    </row>
    <row r="255" spans="18:18" ht="15.75" customHeight="1">
      <c r="R255" s="30"/>
    </row>
    <row r="256" spans="18:18" ht="15.75" customHeight="1">
      <c r="R256" s="30"/>
    </row>
    <row r="257" spans="18:18" ht="15.75" customHeight="1">
      <c r="R257" s="30"/>
    </row>
    <row r="258" spans="18:18" ht="15.75" customHeight="1">
      <c r="R258" s="30"/>
    </row>
    <row r="259" spans="18:18" ht="15.75" customHeight="1">
      <c r="R259" s="30"/>
    </row>
    <row r="260" spans="18:18" ht="15.75" customHeight="1">
      <c r="R260" s="30"/>
    </row>
    <row r="261" spans="18:18" ht="15.75" customHeight="1">
      <c r="R261" s="30"/>
    </row>
    <row r="262" spans="18:18" ht="15.75" customHeight="1">
      <c r="R262" s="30"/>
    </row>
    <row r="263" spans="18:18" ht="15.75" customHeight="1">
      <c r="R263" s="30"/>
    </row>
    <row r="264" spans="18:18" ht="15.75" customHeight="1">
      <c r="R264" s="30"/>
    </row>
    <row r="265" spans="18:18" ht="15.75" customHeight="1">
      <c r="R265" s="30"/>
    </row>
    <row r="266" spans="18:18" ht="15.75" customHeight="1">
      <c r="R266" s="30"/>
    </row>
    <row r="267" spans="18:18" ht="15.75" customHeight="1">
      <c r="R267" s="30"/>
    </row>
    <row r="268" spans="18:18" ht="15.75" customHeight="1">
      <c r="R268" s="30"/>
    </row>
    <row r="269" spans="18:18" ht="15.75" customHeight="1">
      <c r="R269" s="30"/>
    </row>
    <row r="270" spans="18:18" ht="15.75" customHeight="1">
      <c r="R270" s="30"/>
    </row>
    <row r="271" spans="18:18" ht="15.75" customHeight="1">
      <c r="R271" s="30"/>
    </row>
    <row r="272" spans="18:18" ht="15.75" customHeight="1">
      <c r="R272" s="30"/>
    </row>
    <row r="273" spans="18:18" ht="15.75" customHeight="1">
      <c r="R273" s="30"/>
    </row>
    <row r="274" spans="18:18" ht="15.75" customHeight="1">
      <c r="R274" s="30"/>
    </row>
    <row r="275" spans="18:18" ht="15.75" customHeight="1">
      <c r="R275" s="30"/>
    </row>
    <row r="276" spans="18:18" ht="15.75" customHeight="1">
      <c r="R276" s="30"/>
    </row>
    <row r="277" spans="18:18" ht="15.75" customHeight="1">
      <c r="R277" s="30"/>
    </row>
    <row r="278" spans="18:18" ht="15.75" customHeight="1">
      <c r="R278" s="30"/>
    </row>
    <row r="279" spans="18:18" ht="15.75" customHeight="1">
      <c r="R279" s="30"/>
    </row>
    <row r="280" spans="18:18" ht="15.75" customHeight="1">
      <c r="R280" s="30"/>
    </row>
    <row r="281" spans="18:18" ht="15.75" customHeight="1">
      <c r="R281" s="30"/>
    </row>
    <row r="282" spans="18:18" ht="15.75" customHeight="1">
      <c r="R282" s="30"/>
    </row>
    <row r="283" spans="18:18" ht="15.75" customHeight="1">
      <c r="R283" s="30"/>
    </row>
    <row r="284" spans="18:18" ht="15.75" customHeight="1">
      <c r="R284" s="30"/>
    </row>
    <row r="285" spans="18:18" ht="15.75" customHeight="1">
      <c r="R285" s="30"/>
    </row>
    <row r="286" spans="18:18" ht="15.75" customHeight="1">
      <c r="R286" s="30"/>
    </row>
    <row r="287" spans="18:18" ht="15.75" customHeight="1">
      <c r="R287" s="30"/>
    </row>
    <row r="288" spans="18:18" ht="15.75" customHeight="1">
      <c r="R288" s="30"/>
    </row>
    <row r="289" spans="18:18" ht="15.75" customHeight="1">
      <c r="R289" s="30"/>
    </row>
    <row r="290" spans="18:18" ht="15.75" customHeight="1">
      <c r="R290" s="30"/>
    </row>
    <row r="291" spans="18:18" ht="15.75" customHeight="1">
      <c r="R291" s="30"/>
    </row>
    <row r="292" spans="18:18" ht="15.75" customHeight="1">
      <c r="R292" s="30"/>
    </row>
    <row r="293" spans="18:18" ht="15.75" customHeight="1">
      <c r="R293" s="30"/>
    </row>
    <row r="294" spans="18:18" ht="15.75" customHeight="1">
      <c r="R294" s="30"/>
    </row>
    <row r="295" spans="18:18" ht="15.75" customHeight="1">
      <c r="R295" s="30"/>
    </row>
    <row r="296" spans="18:18" ht="15.75" customHeight="1">
      <c r="R296" s="30"/>
    </row>
    <row r="297" spans="18:18" ht="15.75" customHeight="1">
      <c r="R297" s="30"/>
    </row>
    <row r="298" spans="18:18" ht="15.75" customHeight="1">
      <c r="R298" s="30"/>
    </row>
    <row r="299" spans="18:18" ht="15.75" customHeight="1">
      <c r="R299" s="30"/>
    </row>
    <row r="300" spans="18:18" ht="15.75" customHeight="1">
      <c r="R300" s="30"/>
    </row>
    <row r="301" spans="18:18" ht="15.75" customHeight="1">
      <c r="R301" s="30"/>
    </row>
    <row r="302" spans="18:18" ht="15.75" customHeight="1">
      <c r="R302" s="30"/>
    </row>
    <row r="303" spans="18:18" ht="15.75" customHeight="1">
      <c r="R303" s="30"/>
    </row>
    <row r="304" spans="18:18" ht="15.75" customHeight="1">
      <c r="R304" s="30"/>
    </row>
    <row r="305" spans="18:18" ht="15.75" customHeight="1">
      <c r="R305" s="30"/>
    </row>
    <row r="306" spans="18:18" ht="15.75" customHeight="1">
      <c r="R306" s="30"/>
    </row>
    <row r="307" spans="18:18" ht="15.75" customHeight="1">
      <c r="R307" s="30"/>
    </row>
    <row r="308" spans="18:18" ht="15.75" customHeight="1">
      <c r="R308" s="30"/>
    </row>
    <row r="309" spans="18:18" ht="15.75" customHeight="1">
      <c r="R309" s="30"/>
    </row>
    <row r="310" spans="18:18" ht="15.75" customHeight="1">
      <c r="R310" s="30"/>
    </row>
    <row r="311" spans="18:18" ht="15.75" customHeight="1">
      <c r="R311" s="30"/>
    </row>
    <row r="312" spans="18:18" ht="15.75" customHeight="1">
      <c r="R312" s="30"/>
    </row>
    <row r="313" spans="18:18" ht="15.75" customHeight="1">
      <c r="R313" s="30"/>
    </row>
    <row r="314" spans="18:18" ht="15.75" customHeight="1">
      <c r="R314" s="30"/>
    </row>
    <row r="315" spans="18:18" ht="15.75" customHeight="1">
      <c r="R315" s="30"/>
    </row>
    <row r="316" spans="18:18" ht="15.75" customHeight="1">
      <c r="R316" s="30"/>
    </row>
    <row r="317" spans="18:18" ht="15.75" customHeight="1">
      <c r="R317" s="30"/>
    </row>
    <row r="318" spans="18:18" ht="15.75" customHeight="1">
      <c r="R318" s="30"/>
    </row>
    <row r="319" spans="18:18" ht="15.75" customHeight="1">
      <c r="R319" s="30"/>
    </row>
    <row r="320" spans="18:18" ht="15.75" customHeight="1">
      <c r="R320" s="30"/>
    </row>
    <row r="321" spans="18:18" ht="15.75" customHeight="1">
      <c r="R321" s="30"/>
    </row>
    <row r="322" spans="18:18" ht="15.75" customHeight="1">
      <c r="R322" s="30"/>
    </row>
    <row r="323" spans="18:18" ht="15.75" customHeight="1">
      <c r="R323" s="30"/>
    </row>
    <row r="324" spans="18:18" ht="15.75" customHeight="1">
      <c r="R324" s="30"/>
    </row>
    <row r="325" spans="18:18" ht="15.75" customHeight="1">
      <c r="R325" s="30"/>
    </row>
    <row r="326" spans="18:18" ht="15.75" customHeight="1">
      <c r="R326" s="30"/>
    </row>
    <row r="327" spans="18:18" ht="15.75" customHeight="1">
      <c r="R327" s="30"/>
    </row>
    <row r="328" spans="18:18" ht="15.75" customHeight="1">
      <c r="R328" s="30"/>
    </row>
    <row r="329" spans="18:18" ht="15.75" customHeight="1">
      <c r="R329" s="30"/>
    </row>
    <row r="330" spans="18:18" ht="15.75" customHeight="1">
      <c r="R330" s="30"/>
    </row>
    <row r="331" spans="18:18" ht="15.75" customHeight="1">
      <c r="R331" s="30"/>
    </row>
    <row r="332" spans="18:18" ht="15.75" customHeight="1">
      <c r="R332" s="30"/>
    </row>
    <row r="333" spans="18:18" ht="15.75" customHeight="1">
      <c r="R333" s="30"/>
    </row>
    <row r="334" spans="18:18" ht="15.75" customHeight="1">
      <c r="R334" s="30"/>
    </row>
    <row r="335" spans="18:18" ht="15.75" customHeight="1">
      <c r="R335" s="30"/>
    </row>
    <row r="336" spans="18:18" ht="15.75" customHeight="1">
      <c r="R336" s="30"/>
    </row>
    <row r="337" spans="18:18" ht="15.75" customHeight="1">
      <c r="R337" s="30"/>
    </row>
    <row r="338" spans="18:18" ht="15.75" customHeight="1">
      <c r="R338" s="30"/>
    </row>
    <row r="339" spans="18:18" ht="15.75" customHeight="1">
      <c r="R339" s="30"/>
    </row>
    <row r="340" spans="18:18" ht="15.75" customHeight="1">
      <c r="R340" s="30"/>
    </row>
    <row r="341" spans="18:18" ht="15.75" customHeight="1">
      <c r="R341" s="30"/>
    </row>
    <row r="342" spans="18:18" ht="15.75" customHeight="1">
      <c r="R342" s="30"/>
    </row>
    <row r="343" spans="18:18" ht="15.75" customHeight="1">
      <c r="R343" s="30"/>
    </row>
    <row r="344" spans="18:18" ht="15.75" customHeight="1">
      <c r="R344" s="30"/>
    </row>
    <row r="345" spans="18:18" ht="15.75" customHeight="1">
      <c r="R345" s="30"/>
    </row>
    <row r="346" spans="18:18" ht="15.75" customHeight="1">
      <c r="R346" s="30"/>
    </row>
    <row r="347" spans="18:18" ht="15.75" customHeight="1">
      <c r="R347" s="30"/>
    </row>
    <row r="348" spans="18:18" ht="15.75" customHeight="1">
      <c r="R348" s="30"/>
    </row>
    <row r="349" spans="18:18" ht="15.75" customHeight="1">
      <c r="R349" s="30"/>
    </row>
    <row r="350" spans="18:18" ht="15.75" customHeight="1">
      <c r="R350" s="30"/>
    </row>
    <row r="351" spans="18:18" ht="15.75" customHeight="1">
      <c r="R351" s="30"/>
    </row>
    <row r="352" spans="18:18" ht="15.75" customHeight="1">
      <c r="R352" s="30"/>
    </row>
    <row r="353" spans="18:18" ht="15.75" customHeight="1">
      <c r="R353" s="30"/>
    </row>
    <row r="354" spans="18:18" ht="15.75" customHeight="1">
      <c r="R354" s="30"/>
    </row>
    <row r="355" spans="18:18" ht="15.75" customHeight="1">
      <c r="R355" s="30"/>
    </row>
    <row r="356" spans="18:18" ht="15.75" customHeight="1">
      <c r="R356" s="30"/>
    </row>
    <row r="357" spans="18:18" ht="15.75" customHeight="1">
      <c r="R357" s="30"/>
    </row>
    <row r="358" spans="18:18" ht="15.75" customHeight="1">
      <c r="R358" s="30"/>
    </row>
    <row r="359" spans="18:18" ht="15.75" customHeight="1">
      <c r="R359" s="30"/>
    </row>
    <row r="360" spans="18:18" ht="15.75" customHeight="1">
      <c r="R360" s="30"/>
    </row>
    <row r="361" spans="18:18" ht="15.75" customHeight="1">
      <c r="R361" s="30"/>
    </row>
    <row r="362" spans="18:18" ht="15.75" customHeight="1">
      <c r="R362" s="30"/>
    </row>
    <row r="363" spans="18:18" ht="15.75" customHeight="1">
      <c r="R363" s="30"/>
    </row>
    <row r="364" spans="18:18" ht="15.75" customHeight="1">
      <c r="R364" s="30"/>
    </row>
    <row r="365" spans="18:18" ht="15.75" customHeight="1">
      <c r="R365" s="30"/>
    </row>
    <row r="366" spans="18:18" ht="15.75" customHeight="1">
      <c r="R366" s="30"/>
    </row>
    <row r="367" spans="18:18" ht="15.75" customHeight="1">
      <c r="R367" s="30"/>
    </row>
    <row r="368" spans="18:18" ht="15.75" customHeight="1">
      <c r="R368" s="30"/>
    </row>
    <row r="369" spans="18:18" ht="15.75" customHeight="1">
      <c r="R369" s="30"/>
    </row>
    <row r="370" spans="18:18" ht="15.75" customHeight="1">
      <c r="R370" s="30"/>
    </row>
    <row r="371" spans="18:18" ht="15.75" customHeight="1">
      <c r="R371" s="30"/>
    </row>
    <row r="372" spans="18:18" ht="15.75" customHeight="1">
      <c r="R372" s="30"/>
    </row>
    <row r="373" spans="18:18" ht="15.75" customHeight="1">
      <c r="R373" s="30"/>
    </row>
    <row r="374" spans="18:18" ht="15.75" customHeight="1">
      <c r="R374" s="30"/>
    </row>
    <row r="375" spans="18:18" ht="15.75" customHeight="1">
      <c r="R375" s="30"/>
    </row>
    <row r="376" spans="18:18" ht="15.75" customHeight="1">
      <c r="R376" s="30"/>
    </row>
    <row r="377" spans="18:18" ht="15.75" customHeight="1">
      <c r="R377" s="30"/>
    </row>
    <row r="378" spans="18:18" ht="15.75" customHeight="1">
      <c r="R378" s="30"/>
    </row>
    <row r="379" spans="18:18" ht="15.75" customHeight="1">
      <c r="R379" s="30"/>
    </row>
    <row r="380" spans="18:18" ht="15.75" customHeight="1">
      <c r="R380" s="30"/>
    </row>
    <row r="381" spans="18:18" ht="15.75" customHeight="1">
      <c r="R381" s="30"/>
    </row>
    <row r="382" spans="18:18" ht="15.75" customHeight="1">
      <c r="R382" s="30"/>
    </row>
    <row r="383" spans="18:18" ht="15.75" customHeight="1">
      <c r="R383" s="30"/>
    </row>
    <row r="384" spans="18:18" ht="15.75" customHeight="1">
      <c r="R384" s="30"/>
    </row>
    <row r="385" spans="18:18" ht="15.75" customHeight="1">
      <c r="R385" s="30"/>
    </row>
    <row r="386" spans="18:18" ht="15.75" customHeight="1">
      <c r="R386" s="30"/>
    </row>
    <row r="387" spans="18:18" ht="15.75" customHeight="1">
      <c r="R387" s="30"/>
    </row>
    <row r="388" spans="18:18" ht="15.75" customHeight="1">
      <c r="R388" s="30"/>
    </row>
    <row r="389" spans="18:18" ht="15.75" customHeight="1">
      <c r="R389" s="30"/>
    </row>
    <row r="390" spans="18:18" ht="15.75" customHeight="1">
      <c r="R390" s="30"/>
    </row>
    <row r="391" spans="18:18" ht="15.75" customHeight="1">
      <c r="R391" s="30"/>
    </row>
    <row r="392" spans="18:18" ht="15.75" customHeight="1">
      <c r="R392" s="30"/>
    </row>
    <row r="393" spans="18:18" ht="15.75" customHeight="1">
      <c r="R393" s="30"/>
    </row>
    <row r="394" spans="18:18" ht="15.75" customHeight="1">
      <c r="R394" s="30"/>
    </row>
    <row r="395" spans="18:18" ht="15.75" customHeight="1">
      <c r="R395" s="30"/>
    </row>
    <row r="396" spans="18:18" ht="15.75" customHeight="1">
      <c r="R396" s="30"/>
    </row>
    <row r="397" spans="18:18" ht="15.75" customHeight="1">
      <c r="R397" s="30"/>
    </row>
    <row r="398" spans="18:18" ht="15.75" customHeight="1">
      <c r="R398" s="30"/>
    </row>
    <row r="399" spans="18:18" ht="15.75" customHeight="1">
      <c r="R399" s="30"/>
    </row>
    <row r="400" spans="18:18" ht="15.75" customHeight="1">
      <c r="R400" s="30"/>
    </row>
    <row r="401" spans="18:18" ht="15.75" customHeight="1">
      <c r="R401" s="30"/>
    </row>
    <row r="402" spans="18:18" ht="15.75" customHeight="1">
      <c r="R402" s="30"/>
    </row>
    <row r="403" spans="18:18" ht="15.75" customHeight="1">
      <c r="R403" s="30"/>
    </row>
    <row r="404" spans="18:18" ht="15.75" customHeight="1">
      <c r="R404" s="30"/>
    </row>
    <row r="405" spans="18:18" ht="15.75" customHeight="1">
      <c r="R405" s="30"/>
    </row>
    <row r="406" spans="18:18" ht="15.75" customHeight="1">
      <c r="R406" s="30"/>
    </row>
    <row r="407" spans="18:18" ht="15.75" customHeight="1">
      <c r="R407" s="30"/>
    </row>
    <row r="408" spans="18:18" ht="15.75" customHeight="1">
      <c r="R408" s="30"/>
    </row>
    <row r="409" spans="18:18" ht="15.75" customHeight="1">
      <c r="R409" s="30"/>
    </row>
    <row r="410" spans="18:18" ht="15.75" customHeight="1">
      <c r="R410" s="30"/>
    </row>
    <row r="411" spans="18:18" ht="15.75" customHeight="1">
      <c r="R411" s="30"/>
    </row>
    <row r="412" spans="18:18" ht="15.75" customHeight="1">
      <c r="R412" s="30"/>
    </row>
    <row r="413" spans="18:18" ht="15.75" customHeight="1">
      <c r="R413" s="30"/>
    </row>
    <row r="414" spans="18:18" ht="15.75" customHeight="1">
      <c r="R414" s="30"/>
    </row>
    <row r="415" spans="18:18" ht="15.75" customHeight="1">
      <c r="R415" s="30"/>
    </row>
    <row r="416" spans="18:18" ht="15.75" customHeight="1">
      <c r="R416" s="30"/>
    </row>
    <row r="417" spans="18:18" ht="15.75" customHeight="1">
      <c r="R417" s="30"/>
    </row>
    <row r="418" spans="18:18" ht="15.75" customHeight="1">
      <c r="R418" s="30"/>
    </row>
    <row r="419" spans="18:18" ht="15.75" customHeight="1">
      <c r="R419" s="30"/>
    </row>
    <row r="420" spans="18:18" ht="15.75" customHeight="1">
      <c r="R420" s="30"/>
    </row>
    <row r="421" spans="18:18" ht="15.75" customHeight="1">
      <c r="R421" s="30"/>
    </row>
    <row r="422" spans="18:18" ht="15.75" customHeight="1">
      <c r="R422" s="30"/>
    </row>
    <row r="423" spans="18:18" ht="15.75" customHeight="1">
      <c r="R423" s="30"/>
    </row>
    <row r="424" spans="18:18" ht="15.75" customHeight="1">
      <c r="R424" s="30"/>
    </row>
    <row r="425" spans="18:18" ht="15.75" customHeight="1">
      <c r="R425" s="30"/>
    </row>
    <row r="426" spans="18:18" ht="15.75" customHeight="1">
      <c r="R426" s="30"/>
    </row>
    <row r="427" spans="18:18" ht="15.75" customHeight="1">
      <c r="R427" s="30"/>
    </row>
    <row r="428" spans="18:18" ht="15.75" customHeight="1">
      <c r="R428" s="30"/>
    </row>
    <row r="429" spans="18:18" ht="15.75" customHeight="1">
      <c r="R429" s="30"/>
    </row>
    <row r="430" spans="18:18" ht="15.75" customHeight="1">
      <c r="R430" s="30"/>
    </row>
    <row r="431" spans="18:18" ht="15.75" customHeight="1">
      <c r="R431" s="30"/>
    </row>
    <row r="432" spans="18:18" ht="15.75" customHeight="1">
      <c r="R432" s="30"/>
    </row>
    <row r="433" spans="18:18" ht="15.75" customHeight="1">
      <c r="R433" s="30"/>
    </row>
    <row r="434" spans="18:18" ht="15.75" customHeight="1">
      <c r="R434" s="30"/>
    </row>
    <row r="435" spans="18:18" ht="15.75" customHeight="1">
      <c r="R435" s="30"/>
    </row>
    <row r="436" spans="18:18" ht="15.75" customHeight="1">
      <c r="R436" s="30"/>
    </row>
    <row r="437" spans="18:18" ht="15.75" customHeight="1">
      <c r="R437" s="30"/>
    </row>
    <row r="438" spans="18:18" ht="15.75" customHeight="1">
      <c r="R438" s="30"/>
    </row>
    <row r="439" spans="18:18" ht="15.75" customHeight="1">
      <c r="R439" s="30"/>
    </row>
    <row r="440" spans="18:18" ht="15.75" customHeight="1">
      <c r="R440" s="30"/>
    </row>
    <row r="441" spans="18:18" ht="15.75" customHeight="1">
      <c r="R441" s="30"/>
    </row>
    <row r="442" spans="18:18" ht="15.75" customHeight="1">
      <c r="R442" s="30"/>
    </row>
    <row r="443" spans="18:18" ht="15.75" customHeight="1">
      <c r="R443" s="30"/>
    </row>
    <row r="444" spans="18:18" ht="15.75" customHeight="1">
      <c r="R444" s="30"/>
    </row>
    <row r="445" spans="18:18" ht="15.75" customHeight="1">
      <c r="R445" s="30"/>
    </row>
    <row r="446" spans="18:18" ht="15.75" customHeight="1">
      <c r="R446" s="30"/>
    </row>
    <row r="447" spans="18:18" ht="15.75" customHeight="1">
      <c r="R447" s="30"/>
    </row>
    <row r="448" spans="18:18" ht="15.75" customHeight="1">
      <c r="R448" s="30"/>
    </row>
    <row r="449" spans="18:18" ht="15.75" customHeight="1">
      <c r="R449" s="30"/>
    </row>
    <row r="450" spans="18:18" ht="15.75" customHeight="1">
      <c r="R450" s="30"/>
    </row>
    <row r="451" spans="18:18" ht="15.75" customHeight="1">
      <c r="R451" s="30"/>
    </row>
    <row r="452" spans="18:18" ht="15.75" customHeight="1">
      <c r="R452" s="30"/>
    </row>
    <row r="453" spans="18:18" ht="15.75" customHeight="1">
      <c r="R453" s="30"/>
    </row>
    <row r="454" spans="18:18" ht="15.75" customHeight="1">
      <c r="R454" s="30"/>
    </row>
    <row r="455" spans="18:18" ht="15.75" customHeight="1">
      <c r="R455" s="30"/>
    </row>
    <row r="456" spans="18:18" ht="15.75" customHeight="1">
      <c r="R456" s="30"/>
    </row>
    <row r="457" spans="18:18" ht="15.75" customHeight="1">
      <c r="R457" s="30"/>
    </row>
    <row r="458" spans="18:18" ht="15.75" customHeight="1">
      <c r="R458" s="30"/>
    </row>
    <row r="459" spans="18:18" ht="15.75" customHeight="1">
      <c r="R459" s="30"/>
    </row>
    <row r="460" spans="18:18" ht="15.75" customHeight="1">
      <c r="R460" s="30"/>
    </row>
    <row r="461" spans="18:18" ht="15.75" customHeight="1">
      <c r="R461" s="30"/>
    </row>
    <row r="462" spans="18:18" ht="15.75" customHeight="1">
      <c r="R462" s="30"/>
    </row>
    <row r="463" spans="18:18" ht="15.75" customHeight="1">
      <c r="R463" s="30"/>
    </row>
    <row r="464" spans="18:18" ht="15.75" customHeight="1">
      <c r="R464" s="30"/>
    </row>
    <row r="465" spans="18:18" ht="15.75" customHeight="1">
      <c r="R465" s="30"/>
    </row>
    <row r="466" spans="18:18" ht="15.75" customHeight="1">
      <c r="R466" s="30"/>
    </row>
    <row r="467" spans="18:18" ht="15.75" customHeight="1">
      <c r="R467" s="30"/>
    </row>
    <row r="468" spans="18:18" ht="15.75" customHeight="1">
      <c r="R468" s="30"/>
    </row>
    <row r="469" spans="18:18" ht="15.75" customHeight="1">
      <c r="R469" s="30"/>
    </row>
    <row r="470" spans="18:18" ht="15.75" customHeight="1">
      <c r="R470" s="30"/>
    </row>
    <row r="471" spans="18:18" ht="15.75" customHeight="1">
      <c r="R471" s="30"/>
    </row>
    <row r="472" spans="18:18" ht="15.75" customHeight="1">
      <c r="R472" s="30"/>
    </row>
    <row r="473" spans="18:18" ht="15.75" customHeight="1">
      <c r="R473" s="30"/>
    </row>
    <row r="474" spans="18:18" ht="15.75" customHeight="1">
      <c r="R474" s="30"/>
    </row>
    <row r="475" spans="18:18" ht="15.75" customHeight="1">
      <c r="R475" s="30"/>
    </row>
    <row r="476" spans="18:18" ht="15.75" customHeight="1">
      <c r="R476" s="30"/>
    </row>
    <row r="477" spans="18:18" ht="15.75" customHeight="1">
      <c r="R477" s="30"/>
    </row>
    <row r="478" spans="18:18" ht="15.75" customHeight="1">
      <c r="R478" s="30"/>
    </row>
    <row r="479" spans="18:18" ht="15.75" customHeight="1">
      <c r="R479" s="30"/>
    </row>
    <row r="480" spans="18:18" ht="15.75" customHeight="1">
      <c r="R480" s="30"/>
    </row>
    <row r="481" spans="18:18" ht="15.75" customHeight="1">
      <c r="R481" s="30"/>
    </row>
    <row r="482" spans="18:18" ht="15.75" customHeight="1">
      <c r="R482" s="30"/>
    </row>
    <row r="483" spans="18:18" ht="15.75" customHeight="1">
      <c r="R483" s="30"/>
    </row>
    <row r="484" spans="18:18" ht="15.75" customHeight="1">
      <c r="R484" s="30"/>
    </row>
    <row r="485" spans="18:18" ht="15.75" customHeight="1">
      <c r="R485" s="30"/>
    </row>
    <row r="486" spans="18:18" ht="15.75" customHeight="1">
      <c r="R486" s="30"/>
    </row>
    <row r="487" spans="18:18" ht="15.75" customHeight="1">
      <c r="R487" s="30"/>
    </row>
    <row r="488" spans="18:18" ht="15.75" customHeight="1">
      <c r="R488" s="30"/>
    </row>
    <row r="489" spans="18:18" ht="15.75" customHeight="1">
      <c r="R489" s="30"/>
    </row>
    <row r="490" spans="18:18" ht="15.75" customHeight="1">
      <c r="R490" s="30"/>
    </row>
    <row r="491" spans="18:18" ht="15.75" customHeight="1">
      <c r="R491" s="30"/>
    </row>
    <row r="492" spans="18:18" ht="15.75" customHeight="1">
      <c r="R492" s="30"/>
    </row>
    <row r="493" spans="18:18" ht="15.75" customHeight="1">
      <c r="R493" s="30"/>
    </row>
    <row r="494" spans="18:18" ht="15.75" customHeight="1">
      <c r="R494" s="30"/>
    </row>
    <row r="495" spans="18:18" ht="15.75" customHeight="1">
      <c r="R495" s="30"/>
    </row>
    <row r="496" spans="18:18" ht="15.75" customHeight="1">
      <c r="R496" s="30"/>
    </row>
    <row r="497" spans="18:18" ht="15.75" customHeight="1">
      <c r="R497" s="30"/>
    </row>
    <row r="498" spans="18:18" ht="15.75" customHeight="1">
      <c r="R498" s="30"/>
    </row>
    <row r="499" spans="18:18" ht="15.75" customHeight="1">
      <c r="R499" s="30"/>
    </row>
    <row r="500" spans="18:18" ht="15.75" customHeight="1">
      <c r="R500" s="30"/>
    </row>
    <row r="501" spans="18:18" ht="15.75" customHeight="1">
      <c r="R501" s="30"/>
    </row>
    <row r="502" spans="18:18" ht="15.75" customHeight="1">
      <c r="R502" s="30"/>
    </row>
    <row r="503" spans="18:18" ht="15.75" customHeight="1">
      <c r="R503" s="30"/>
    </row>
    <row r="504" spans="18:18" ht="15.75" customHeight="1">
      <c r="R504" s="30"/>
    </row>
    <row r="505" spans="18:18" ht="15.75" customHeight="1">
      <c r="R505" s="30"/>
    </row>
    <row r="506" spans="18:18" ht="15.75" customHeight="1">
      <c r="R506" s="30"/>
    </row>
    <row r="507" spans="18:18" ht="15.75" customHeight="1">
      <c r="R507" s="30"/>
    </row>
    <row r="508" spans="18:18" ht="15.75" customHeight="1">
      <c r="R508" s="30"/>
    </row>
    <row r="509" spans="18:18" ht="15.75" customHeight="1">
      <c r="R509" s="30"/>
    </row>
    <row r="510" spans="18:18" ht="15.75" customHeight="1">
      <c r="R510" s="30"/>
    </row>
    <row r="511" spans="18:18" ht="15.75" customHeight="1">
      <c r="R511" s="30"/>
    </row>
    <row r="512" spans="18:18" ht="15.75" customHeight="1">
      <c r="R512" s="30"/>
    </row>
    <row r="513" spans="18:18" ht="15.75" customHeight="1">
      <c r="R513" s="30"/>
    </row>
    <row r="514" spans="18:18" ht="15.75" customHeight="1">
      <c r="R514" s="30"/>
    </row>
    <row r="515" spans="18:18" ht="15.75" customHeight="1">
      <c r="R515" s="30"/>
    </row>
    <row r="516" spans="18:18" ht="15.75" customHeight="1">
      <c r="R516" s="30"/>
    </row>
    <row r="517" spans="18:18" ht="15.75" customHeight="1">
      <c r="R517" s="30"/>
    </row>
    <row r="518" spans="18:18" ht="15.75" customHeight="1">
      <c r="R518" s="30"/>
    </row>
    <row r="519" spans="18:18" ht="15.75" customHeight="1">
      <c r="R519" s="30"/>
    </row>
    <row r="520" spans="18:18" ht="15.75" customHeight="1">
      <c r="R520" s="30"/>
    </row>
    <row r="521" spans="18:18" ht="15.75" customHeight="1">
      <c r="R521" s="30"/>
    </row>
    <row r="522" spans="18:18" ht="15.75" customHeight="1">
      <c r="R522" s="30"/>
    </row>
    <row r="523" spans="18:18" ht="15.75" customHeight="1">
      <c r="R523" s="30"/>
    </row>
    <row r="524" spans="18:18" ht="15.75" customHeight="1">
      <c r="R524" s="30"/>
    </row>
    <row r="525" spans="18:18" ht="15.75" customHeight="1">
      <c r="R525" s="30"/>
    </row>
    <row r="526" spans="18:18" ht="15.75" customHeight="1">
      <c r="R526" s="30"/>
    </row>
    <row r="527" spans="18:18" ht="15.75" customHeight="1">
      <c r="R527" s="30"/>
    </row>
    <row r="528" spans="18:18" ht="15.75" customHeight="1">
      <c r="R528" s="30"/>
    </row>
    <row r="529" spans="18:18" ht="15.75" customHeight="1">
      <c r="R529" s="30"/>
    </row>
    <row r="530" spans="18:18" ht="15.75" customHeight="1">
      <c r="R530" s="30"/>
    </row>
    <row r="531" spans="18:18" ht="15.75" customHeight="1">
      <c r="R531" s="30"/>
    </row>
    <row r="532" spans="18:18" ht="15.75" customHeight="1">
      <c r="R532" s="30"/>
    </row>
    <row r="533" spans="18:18" ht="15.75" customHeight="1">
      <c r="R533" s="30"/>
    </row>
    <row r="534" spans="18:18" ht="15.75" customHeight="1">
      <c r="R534" s="30"/>
    </row>
    <row r="535" spans="18:18" ht="15.75" customHeight="1">
      <c r="R535" s="30"/>
    </row>
    <row r="536" spans="18:18" ht="15.75" customHeight="1">
      <c r="R536" s="30"/>
    </row>
    <row r="537" spans="18:18" ht="15.75" customHeight="1">
      <c r="R537" s="30"/>
    </row>
    <row r="538" spans="18:18" ht="15.75" customHeight="1">
      <c r="R538" s="30"/>
    </row>
    <row r="539" spans="18:18" ht="15.75" customHeight="1">
      <c r="R539" s="30"/>
    </row>
    <row r="540" spans="18:18" ht="15.75" customHeight="1">
      <c r="R540" s="30"/>
    </row>
    <row r="541" spans="18:18" ht="15.75" customHeight="1">
      <c r="R541" s="30"/>
    </row>
    <row r="542" spans="18:18" ht="15.75" customHeight="1">
      <c r="R542" s="30"/>
    </row>
    <row r="543" spans="18:18" ht="15.75" customHeight="1">
      <c r="R543" s="30"/>
    </row>
    <row r="544" spans="18:18" ht="15.75" customHeight="1">
      <c r="R544" s="30"/>
    </row>
    <row r="545" spans="18:18" ht="15.75" customHeight="1">
      <c r="R545" s="30"/>
    </row>
    <row r="546" spans="18:18" ht="15.75" customHeight="1">
      <c r="R546" s="30"/>
    </row>
    <row r="547" spans="18:18" ht="15.75" customHeight="1">
      <c r="R547" s="30"/>
    </row>
    <row r="548" spans="18:18" ht="15.75" customHeight="1">
      <c r="R548" s="30"/>
    </row>
    <row r="549" spans="18:18" ht="15.75" customHeight="1">
      <c r="R549" s="30"/>
    </row>
    <row r="550" spans="18:18" ht="15.75" customHeight="1">
      <c r="R550" s="30"/>
    </row>
    <row r="551" spans="18:18" ht="15.75" customHeight="1">
      <c r="R551" s="30"/>
    </row>
    <row r="552" spans="18:18" ht="15.75" customHeight="1">
      <c r="R552" s="30"/>
    </row>
    <row r="553" spans="18:18" ht="15.75" customHeight="1">
      <c r="R553" s="30"/>
    </row>
    <row r="554" spans="18:18" ht="15.75" customHeight="1">
      <c r="R554" s="30"/>
    </row>
    <row r="555" spans="18:18" ht="15.75" customHeight="1">
      <c r="R555" s="30"/>
    </row>
    <row r="556" spans="18:18" ht="15.75" customHeight="1">
      <c r="R556" s="30"/>
    </row>
    <row r="557" spans="18:18" ht="15.75" customHeight="1">
      <c r="R557" s="30"/>
    </row>
    <row r="558" spans="18:18" ht="15.75" customHeight="1">
      <c r="R558" s="30"/>
    </row>
    <row r="559" spans="18:18" ht="15.75" customHeight="1">
      <c r="R559" s="30"/>
    </row>
    <row r="560" spans="18:18" ht="15.75" customHeight="1">
      <c r="R560" s="30"/>
    </row>
    <row r="561" spans="18:18" ht="15.75" customHeight="1">
      <c r="R561" s="30"/>
    </row>
    <row r="562" spans="18:18" ht="15.75" customHeight="1">
      <c r="R562" s="30"/>
    </row>
    <row r="563" spans="18:18" ht="15.75" customHeight="1">
      <c r="R563" s="30"/>
    </row>
    <row r="564" spans="18:18" ht="15.75" customHeight="1">
      <c r="R564" s="30"/>
    </row>
    <row r="565" spans="18:18" ht="15.75" customHeight="1">
      <c r="R565" s="30"/>
    </row>
    <row r="566" spans="18:18" ht="15.75" customHeight="1">
      <c r="R566" s="30"/>
    </row>
    <row r="567" spans="18:18" ht="15.75" customHeight="1">
      <c r="R567" s="30"/>
    </row>
    <row r="568" spans="18:18" ht="15.75" customHeight="1">
      <c r="R568" s="30"/>
    </row>
    <row r="569" spans="18:18" ht="15.75" customHeight="1">
      <c r="R569" s="30"/>
    </row>
    <row r="570" spans="18:18" ht="15.75" customHeight="1">
      <c r="R570" s="30"/>
    </row>
    <row r="571" spans="18:18" ht="15.75" customHeight="1">
      <c r="R571" s="30"/>
    </row>
    <row r="572" spans="18:18" ht="15.75" customHeight="1">
      <c r="R572" s="30"/>
    </row>
    <row r="573" spans="18:18" ht="15.75" customHeight="1">
      <c r="R573" s="30"/>
    </row>
    <row r="574" spans="18:18" ht="15.75" customHeight="1">
      <c r="R574" s="30"/>
    </row>
    <row r="575" spans="18:18" ht="15.75" customHeight="1">
      <c r="R575" s="30"/>
    </row>
    <row r="576" spans="18:18" ht="15.75" customHeight="1">
      <c r="R576" s="30"/>
    </row>
    <row r="577" spans="18:18" ht="15.75" customHeight="1">
      <c r="R577" s="30"/>
    </row>
    <row r="578" spans="18:18" ht="15.75" customHeight="1">
      <c r="R578" s="30"/>
    </row>
    <row r="579" spans="18:18" ht="15.75" customHeight="1">
      <c r="R579" s="30"/>
    </row>
    <row r="580" spans="18:18" ht="15.75" customHeight="1">
      <c r="R580" s="30"/>
    </row>
    <row r="581" spans="18:18" ht="15.75" customHeight="1">
      <c r="R581" s="30"/>
    </row>
    <row r="582" spans="18:18" ht="15.75" customHeight="1">
      <c r="R582" s="30"/>
    </row>
    <row r="583" spans="18:18" ht="15.75" customHeight="1">
      <c r="R583" s="30"/>
    </row>
    <row r="584" spans="18:18" ht="15.75" customHeight="1">
      <c r="R584" s="30"/>
    </row>
    <row r="585" spans="18:18" ht="15.75" customHeight="1">
      <c r="R585" s="30"/>
    </row>
    <row r="586" spans="18:18" ht="15.75" customHeight="1">
      <c r="R586" s="30"/>
    </row>
    <row r="587" spans="18:18" ht="15.75" customHeight="1">
      <c r="R587" s="30"/>
    </row>
    <row r="588" spans="18:18" ht="15.75" customHeight="1">
      <c r="R588" s="30"/>
    </row>
    <row r="589" spans="18:18" ht="15.75" customHeight="1">
      <c r="R589" s="30"/>
    </row>
    <row r="590" spans="18:18" ht="15.75" customHeight="1">
      <c r="R590" s="30"/>
    </row>
    <row r="591" spans="18:18" ht="15.75" customHeight="1">
      <c r="R591" s="30"/>
    </row>
    <row r="592" spans="18:18" ht="15.75" customHeight="1">
      <c r="R592" s="30"/>
    </row>
    <row r="593" spans="18:18" ht="15.75" customHeight="1">
      <c r="R593" s="30"/>
    </row>
    <row r="594" spans="18:18" ht="15.75" customHeight="1">
      <c r="R594" s="30"/>
    </row>
    <row r="595" spans="18:18" ht="15.75" customHeight="1">
      <c r="R595" s="30"/>
    </row>
    <row r="596" spans="18:18" ht="15.75" customHeight="1">
      <c r="R596" s="30"/>
    </row>
    <row r="597" spans="18:18" ht="15.75" customHeight="1">
      <c r="R597" s="30"/>
    </row>
    <row r="598" spans="18:18" ht="15.75" customHeight="1">
      <c r="R598" s="30"/>
    </row>
    <row r="599" spans="18:18" ht="15.75" customHeight="1">
      <c r="R599" s="30"/>
    </row>
    <row r="600" spans="18:18" ht="15.75" customHeight="1">
      <c r="R600" s="30"/>
    </row>
    <row r="601" spans="18:18" ht="15.75" customHeight="1">
      <c r="R601" s="30"/>
    </row>
    <row r="602" spans="18:18" ht="15.75" customHeight="1">
      <c r="R602" s="30"/>
    </row>
    <row r="603" spans="18:18" ht="15.75" customHeight="1">
      <c r="R603" s="30"/>
    </row>
    <row r="604" spans="18:18" ht="15.75" customHeight="1">
      <c r="R604" s="30"/>
    </row>
    <row r="605" spans="18:18" ht="15.75" customHeight="1">
      <c r="R605" s="30"/>
    </row>
    <row r="606" spans="18:18" ht="15.75" customHeight="1">
      <c r="R606" s="30"/>
    </row>
    <row r="607" spans="18:18" ht="15.75" customHeight="1">
      <c r="R607" s="30"/>
    </row>
    <row r="608" spans="18:18" ht="15.75" customHeight="1">
      <c r="R608" s="30"/>
    </row>
    <row r="609" spans="18:18" ht="15.75" customHeight="1">
      <c r="R609" s="30"/>
    </row>
    <row r="610" spans="18:18" ht="15.75" customHeight="1">
      <c r="R610" s="30"/>
    </row>
    <row r="611" spans="18:18" ht="15.75" customHeight="1">
      <c r="R611" s="30"/>
    </row>
    <row r="612" spans="18:18" ht="15.75" customHeight="1">
      <c r="R612" s="30"/>
    </row>
    <row r="613" spans="18:18" ht="15.75" customHeight="1">
      <c r="R613" s="30"/>
    </row>
    <row r="614" spans="18:18" ht="15.75" customHeight="1">
      <c r="R614" s="30"/>
    </row>
    <row r="615" spans="18:18" ht="15.75" customHeight="1">
      <c r="R615" s="30"/>
    </row>
    <row r="616" spans="18:18" ht="15.75" customHeight="1">
      <c r="R616" s="30"/>
    </row>
    <row r="617" spans="18:18" ht="15.75" customHeight="1">
      <c r="R617" s="30"/>
    </row>
    <row r="618" spans="18:18" ht="15.75" customHeight="1">
      <c r="R618" s="30"/>
    </row>
    <row r="619" spans="18:18" ht="15.75" customHeight="1">
      <c r="R619" s="30"/>
    </row>
    <row r="620" spans="18:18" ht="15.75" customHeight="1">
      <c r="R620" s="30"/>
    </row>
    <row r="621" spans="18:18" ht="15.75" customHeight="1">
      <c r="R621" s="30"/>
    </row>
    <row r="622" spans="18:18" ht="15.75" customHeight="1">
      <c r="R622" s="30"/>
    </row>
    <row r="623" spans="18:18" ht="15.75" customHeight="1">
      <c r="R623" s="30"/>
    </row>
    <row r="624" spans="18:18" ht="15.75" customHeight="1">
      <c r="R624" s="30"/>
    </row>
    <row r="625" spans="18:18" ht="15.75" customHeight="1">
      <c r="R625" s="30"/>
    </row>
    <row r="626" spans="18:18" ht="15.75" customHeight="1">
      <c r="R626" s="30"/>
    </row>
    <row r="627" spans="18:18" ht="15.75" customHeight="1">
      <c r="R627" s="30"/>
    </row>
    <row r="628" spans="18:18" ht="15.75" customHeight="1">
      <c r="R628" s="30"/>
    </row>
    <row r="629" spans="18:18" ht="15.75" customHeight="1">
      <c r="R629" s="30"/>
    </row>
    <row r="630" spans="18:18" ht="15.75" customHeight="1">
      <c r="R630" s="30"/>
    </row>
    <row r="631" spans="18:18" ht="15.75" customHeight="1">
      <c r="R631" s="30"/>
    </row>
    <row r="632" spans="18:18" ht="15.75" customHeight="1">
      <c r="R632" s="30"/>
    </row>
    <row r="633" spans="18:18" ht="15.75" customHeight="1">
      <c r="R633" s="30"/>
    </row>
    <row r="634" spans="18:18" ht="15.75" customHeight="1">
      <c r="R634" s="30"/>
    </row>
    <row r="635" spans="18:18" ht="15.75" customHeight="1">
      <c r="R635" s="30"/>
    </row>
    <row r="636" spans="18:18" ht="15.75" customHeight="1">
      <c r="R636" s="30"/>
    </row>
    <row r="637" spans="18:18" ht="15.75" customHeight="1">
      <c r="R637" s="30"/>
    </row>
    <row r="638" spans="18:18" ht="15.75" customHeight="1">
      <c r="R638" s="30"/>
    </row>
    <row r="639" spans="18:18" ht="15.75" customHeight="1">
      <c r="R639" s="30"/>
    </row>
    <row r="640" spans="18:18" ht="15.75" customHeight="1">
      <c r="R640" s="30"/>
    </row>
    <row r="641" spans="18:18" ht="15.75" customHeight="1">
      <c r="R641" s="30"/>
    </row>
    <row r="642" spans="18:18" ht="15.75" customHeight="1">
      <c r="R642" s="30"/>
    </row>
    <row r="643" spans="18:18" ht="15.75" customHeight="1">
      <c r="R643" s="30"/>
    </row>
    <row r="644" spans="18:18" ht="15.75" customHeight="1">
      <c r="R644" s="30"/>
    </row>
    <row r="645" spans="18:18" ht="15.75" customHeight="1">
      <c r="R645" s="30"/>
    </row>
    <row r="646" spans="18:18" ht="15.75" customHeight="1">
      <c r="R646" s="30"/>
    </row>
    <row r="647" spans="18:18" ht="15.75" customHeight="1">
      <c r="R647" s="30"/>
    </row>
    <row r="648" spans="18:18" ht="15.75" customHeight="1">
      <c r="R648" s="30"/>
    </row>
    <row r="649" spans="18:18" ht="15.75" customHeight="1">
      <c r="R649" s="30"/>
    </row>
    <row r="650" spans="18:18" ht="15.75" customHeight="1">
      <c r="R650" s="30"/>
    </row>
    <row r="651" spans="18:18" ht="15.75" customHeight="1">
      <c r="R651" s="30"/>
    </row>
    <row r="652" spans="18:18" ht="15.75" customHeight="1">
      <c r="R652" s="30"/>
    </row>
    <row r="653" spans="18:18" ht="15.75" customHeight="1">
      <c r="R653" s="30"/>
    </row>
    <row r="654" spans="18:18" ht="15.75" customHeight="1">
      <c r="R654" s="30"/>
    </row>
    <row r="655" spans="18:18" ht="15.75" customHeight="1">
      <c r="R655" s="30"/>
    </row>
    <row r="656" spans="18:18" ht="15.75" customHeight="1">
      <c r="R656" s="30"/>
    </row>
    <row r="657" spans="18:18" ht="15.75" customHeight="1">
      <c r="R657" s="30"/>
    </row>
    <row r="658" spans="18:18" ht="15.75" customHeight="1">
      <c r="R658" s="30"/>
    </row>
    <row r="659" spans="18:18" ht="15.75" customHeight="1">
      <c r="R659" s="30"/>
    </row>
    <row r="660" spans="18:18" ht="15.75" customHeight="1">
      <c r="R660" s="30"/>
    </row>
    <row r="661" spans="18:18" ht="15.75" customHeight="1">
      <c r="R661" s="30"/>
    </row>
    <row r="662" spans="18:18" ht="15.75" customHeight="1">
      <c r="R662" s="30"/>
    </row>
    <row r="663" spans="18:18" ht="15.75" customHeight="1">
      <c r="R663" s="30"/>
    </row>
    <row r="664" spans="18:18" ht="15.75" customHeight="1">
      <c r="R664" s="30"/>
    </row>
    <row r="665" spans="18:18" ht="15.75" customHeight="1">
      <c r="R665" s="30"/>
    </row>
    <row r="666" spans="18:18" ht="15.75" customHeight="1">
      <c r="R666" s="30"/>
    </row>
    <row r="667" spans="18:18" ht="15.75" customHeight="1">
      <c r="R667" s="30"/>
    </row>
    <row r="668" spans="18:18" ht="15.75" customHeight="1">
      <c r="R668" s="30"/>
    </row>
    <row r="669" spans="18:18" ht="15.75" customHeight="1">
      <c r="R669" s="30"/>
    </row>
    <row r="670" spans="18:18" ht="15.75" customHeight="1">
      <c r="R670" s="30"/>
    </row>
    <row r="671" spans="18:18" ht="15.75" customHeight="1">
      <c r="R671" s="30"/>
    </row>
    <row r="672" spans="18:18" ht="15.75" customHeight="1">
      <c r="R672" s="30"/>
    </row>
    <row r="673" spans="18:18" ht="15.75" customHeight="1">
      <c r="R673" s="30"/>
    </row>
    <row r="674" spans="18:18" ht="15.75" customHeight="1">
      <c r="R674" s="30"/>
    </row>
    <row r="675" spans="18:18" ht="15.75" customHeight="1">
      <c r="R675" s="30"/>
    </row>
    <row r="676" spans="18:18" ht="15.75" customHeight="1">
      <c r="R676" s="30"/>
    </row>
    <row r="677" spans="18:18" ht="15.75" customHeight="1">
      <c r="R677" s="30"/>
    </row>
    <row r="678" spans="18:18" ht="15.75" customHeight="1">
      <c r="R678" s="30"/>
    </row>
    <row r="679" spans="18:18" ht="15.75" customHeight="1">
      <c r="R679" s="30"/>
    </row>
    <row r="680" spans="18:18" ht="15.75" customHeight="1">
      <c r="R680" s="30"/>
    </row>
    <row r="681" spans="18:18" ht="15.75" customHeight="1">
      <c r="R681" s="30"/>
    </row>
    <row r="682" spans="18:18" ht="15.75" customHeight="1">
      <c r="R682" s="30"/>
    </row>
    <row r="683" spans="18:18" ht="15.75" customHeight="1">
      <c r="R683" s="30"/>
    </row>
    <row r="684" spans="18:18" ht="15.75" customHeight="1">
      <c r="R684" s="30"/>
    </row>
    <row r="685" spans="18:18" ht="15.75" customHeight="1">
      <c r="R685" s="30"/>
    </row>
    <row r="686" spans="18:18" ht="15.75" customHeight="1">
      <c r="R686" s="30"/>
    </row>
    <row r="687" spans="18:18" ht="15.75" customHeight="1">
      <c r="R687" s="30"/>
    </row>
    <row r="688" spans="18:18" ht="15.75" customHeight="1">
      <c r="R688" s="30"/>
    </row>
    <row r="689" spans="18:18" ht="15.75" customHeight="1">
      <c r="R689" s="30"/>
    </row>
    <row r="690" spans="18:18" ht="15.75" customHeight="1">
      <c r="R690" s="30"/>
    </row>
    <row r="691" spans="18:18" ht="15.75" customHeight="1">
      <c r="R691" s="30"/>
    </row>
    <row r="692" spans="18:18" ht="15.75" customHeight="1">
      <c r="R692" s="30"/>
    </row>
    <row r="693" spans="18:18" ht="15.75" customHeight="1">
      <c r="R693" s="30"/>
    </row>
    <row r="694" spans="18:18" ht="15.75" customHeight="1">
      <c r="R694" s="30"/>
    </row>
    <row r="695" spans="18:18" ht="15.75" customHeight="1">
      <c r="R695" s="30"/>
    </row>
    <row r="696" spans="18:18" ht="15.75" customHeight="1">
      <c r="R696" s="30"/>
    </row>
    <row r="697" spans="18:18" ht="15.75" customHeight="1">
      <c r="R697" s="30"/>
    </row>
    <row r="698" spans="18:18" ht="15.75" customHeight="1">
      <c r="R698" s="30"/>
    </row>
    <row r="699" spans="18:18" ht="15.75" customHeight="1">
      <c r="R699" s="30"/>
    </row>
    <row r="700" spans="18:18" ht="15.75" customHeight="1">
      <c r="R700" s="30"/>
    </row>
    <row r="701" spans="18:18" ht="15.75" customHeight="1">
      <c r="R701" s="30"/>
    </row>
    <row r="702" spans="18:18" ht="15.75" customHeight="1">
      <c r="R702" s="30"/>
    </row>
    <row r="703" spans="18:18" ht="15.75" customHeight="1">
      <c r="R703" s="30"/>
    </row>
    <row r="704" spans="18:18" ht="15.75" customHeight="1">
      <c r="R704" s="30"/>
    </row>
    <row r="705" spans="18:18" ht="15.75" customHeight="1">
      <c r="R705" s="30"/>
    </row>
    <row r="706" spans="18:18" ht="15.75" customHeight="1">
      <c r="R706" s="30"/>
    </row>
    <row r="707" spans="18:18" ht="15.75" customHeight="1">
      <c r="R707" s="30"/>
    </row>
    <row r="708" spans="18:18" ht="15.75" customHeight="1">
      <c r="R708" s="30"/>
    </row>
    <row r="709" spans="18:18" ht="15.75" customHeight="1">
      <c r="R709" s="30"/>
    </row>
    <row r="710" spans="18:18" ht="15.75" customHeight="1">
      <c r="R710" s="30"/>
    </row>
    <row r="711" spans="18:18" ht="15.75" customHeight="1">
      <c r="R711" s="30"/>
    </row>
    <row r="712" spans="18:18" ht="15.75" customHeight="1">
      <c r="R712" s="30"/>
    </row>
    <row r="713" spans="18:18" ht="15.75" customHeight="1">
      <c r="R713" s="30"/>
    </row>
    <row r="714" spans="18:18" ht="15.75" customHeight="1">
      <c r="R714" s="30"/>
    </row>
    <row r="715" spans="18:18" ht="15.75" customHeight="1">
      <c r="R715" s="30"/>
    </row>
    <row r="716" spans="18:18" ht="15.75" customHeight="1">
      <c r="R716" s="30"/>
    </row>
    <row r="717" spans="18:18" ht="15.75" customHeight="1">
      <c r="R717" s="30"/>
    </row>
    <row r="718" spans="18:18" ht="15.75" customHeight="1">
      <c r="R718" s="30"/>
    </row>
    <row r="719" spans="18:18" ht="15.75" customHeight="1">
      <c r="R719" s="30"/>
    </row>
    <row r="720" spans="18:18" ht="15.75" customHeight="1">
      <c r="R720" s="30"/>
    </row>
    <row r="721" spans="18:18" ht="15.75" customHeight="1">
      <c r="R721" s="30"/>
    </row>
    <row r="722" spans="18:18" ht="15.75" customHeight="1">
      <c r="R722" s="30"/>
    </row>
    <row r="723" spans="18:18" ht="15.75" customHeight="1">
      <c r="R723" s="30"/>
    </row>
    <row r="724" spans="18:18" ht="15.75" customHeight="1">
      <c r="R724" s="30"/>
    </row>
    <row r="725" spans="18:18" ht="15.75" customHeight="1">
      <c r="R725" s="30"/>
    </row>
    <row r="726" spans="18:18" ht="15.75" customHeight="1">
      <c r="R726" s="30"/>
    </row>
    <row r="727" spans="18:18" ht="15.75" customHeight="1">
      <c r="R727" s="30"/>
    </row>
    <row r="728" spans="18:18" ht="15.75" customHeight="1">
      <c r="R728" s="30"/>
    </row>
    <row r="729" spans="18:18" ht="15.75" customHeight="1">
      <c r="R729" s="30"/>
    </row>
    <row r="730" spans="18:18" ht="15.75" customHeight="1">
      <c r="R730" s="30"/>
    </row>
    <row r="731" spans="18:18" ht="15.75" customHeight="1">
      <c r="R731" s="30"/>
    </row>
    <row r="732" spans="18:18" ht="15.75" customHeight="1">
      <c r="R732" s="30"/>
    </row>
    <row r="733" spans="18:18" ht="15.75" customHeight="1">
      <c r="R733" s="30"/>
    </row>
    <row r="734" spans="18:18" ht="15.75" customHeight="1">
      <c r="R734" s="30"/>
    </row>
    <row r="735" spans="18:18" ht="15.75" customHeight="1">
      <c r="R735" s="30"/>
    </row>
    <row r="736" spans="18:18" ht="15.75" customHeight="1">
      <c r="R736" s="30"/>
    </row>
    <row r="737" spans="18:18" ht="15.75" customHeight="1">
      <c r="R737" s="30"/>
    </row>
    <row r="738" spans="18:18" ht="15.75" customHeight="1">
      <c r="R738" s="30"/>
    </row>
    <row r="739" spans="18:18" ht="15.75" customHeight="1">
      <c r="R739" s="30"/>
    </row>
    <row r="740" spans="18:18" ht="15.75" customHeight="1">
      <c r="R740" s="30"/>
    </row>
    <row r="741" spans="18:18" ht="15.75" customHeight="1">
      <c r="R741" s="30"/>
    </row>
    <row r="742" spans="18:18" ht="15.75" customHeight="1">
      <c r="R742" s="30"/>
    </row>
    <row r="743" spans="18:18" ht="15.75" customHeight="1">
      <c r="R743" s="30"/>
    </row>
    <row r="744" spans="18:18" ht="15.75" customHeight="1">
      <c r="R744" s="30"/>
    </row>
    <row r="745" spans="18:18" ht="15.75" customHeight="1">
      <c r="R745" s="30"/>
    </row>
    <row r="746" spans="18:18" ht="15.75" customHeight="1">
      <c r="R746" s="30"/>
    </row>
    <row r="747" spans="18:18" ht="15.75" customHeight="1">
      <c r="R747" s="30"/>
    </row>
    <row r="748" spans="18:18" ht="15.75" customHeight="1">
      <c r="R748" s="30"/>
    </row>
    <row r="749" spans="18:18" ht="15.75" customHeight="1">
      <c r="R749" s="30"/>
    </row>
    <row r="750" spans="18:18" ht="15.75" customHeight="1">
      <c r="R750" s="30"/>
    </row>
    <row r="751" spans="18:18" ht="15.75" customHeight="1">
      <c r="R751" s="30"/>
    </row>
    <row r="752" spans="18:18" ht="15.75" customHeight="1">
      <c r="R752" s="30"/>
    </row>
    <row r="753" spans="18:18" ht="15.75" customHeight="1">
      <c r="R753" s="30"/>
    </row>
    <row r="754" spans="18:18" ht="15.75" customHeight="1">
      <c r="R754" s="30"/>
    </row>
    <row r="755" spans="18:18" ht="15.75" customHeight="1">
      <c r="R755" s="30"/>
    </row>
    <row r="756" spans="18:18" ht="15.75" customHeight="1">
      <c r="R756" s="30"/>
    </row>
    <row r="757" spans="18:18" ht="15.75" customHeight="1">
      <c r="R757" s="30"/>
    </row>
    <row r="758" spans="18:18" ht="15.75" customHeight="1">
      <c r="R758" s="30"/>
    </row>
    <row r="759" spans="18:18" ht="15.75" customHeight="1">
      <c r="R759" s="30"/>
    </row>
    <row r="760" spans="18:18" ht="15.75" customHeight="1">
      <c r="R760" s="30"/>
    </row>
    <row r="761" spans="18:18" ht="15.75" customHeight="1">
      <c r="R761" s="30"/>
    </row>
    <row r="762" spans="18:18" ht="15.75" customHeight="1">
      <c r="R762" s="30"/>
    </row>
    <row r="763" spans="18:18" ht="15.75" customHeight="1">
      <c r="R763" s="30"/>
    </row>
    <row r="764" spans="18:18" ht="15.75" customHeight="1">
      <c r="R764" s="30"/>
    </row>
    <row r="765" spans="18:18" ht="15.75" customHeight="1">
      <c r="R765" s="30"/>
    </row>
    <row r="766" spans="18:18" ht="15.75" customHeight="1">
      <c r="R766" s="30"/>
    </row>
    <row r="767" spans="18:18" ht="15.75" customHeight="1">
      <c r="R767" s="30"/>
    </row>
    <row r="768" spans="18:18" ht="15.75" customHeight="1">
      <c r="R768" s="30"/>
    </row>
    <row r="769" spans="18:18" ht="15.75" customHeight="1">
      <c r="R769" s="30"/>
    </row>
    <row r="770" spans="18:18" ht="15.75" customHeight="1">
      <c r="R770" s="30"/>
    </row>
    <row r="771" spans="18:18" ht="15.75" customHeight="1">
      <c r="R771" s="30"/>
    </row>
    <row r="772" spans="18:18" ht="15.75" customHeight="1">
      <c r="R772" s="30"/>
    </row>
    <row r="773" spans="18:18" ht="15.75" customHeight="1">
      <c r="R773" s="30"/>
    </row>
    <row r="774" spans="18:18" ht="15.75" customHeight="1">
      <c r="R774" s="30"/>
    </row>
    <row r="775" spans="18:18" ht="15.75" customHeight="1">
      <c r="R775" s="30"/>
    </row>
    <row r="776" spans="18:18" ht="15.75" customHeight="1">
      <c r="R776" s="30"/>
    </row>
    <row r="777" spans="18:18" ht="15.75" customHeight="1">
      <c r="R777" s="30"/>
    </row>
    <row r="778" spans="18:18" ht="15.75" customHeight="1">
      <c r="R778" s="30"/>
    </row>
    <row r="779" spans="18:18" ht="15.75" customHeight="1">
      <c r="R779" s="30"/>
    </row>
    <row r="780" spans="18:18" ht="15.75" customHeight="1">
      <c r="R780" s="30"/>
    </row>
    <row r="781" spans="18:18" ht="15.75" customHeight="1">
      <c r="R781" s="30"/>
    </row>
    <row r="782" spans="18:18" ht="15.75" customHeight="1">
      <c r="R782" s="30"/>
    </row>
    <row r="783" spans="18:18" ht="15.75" customHeight="1">
      <c r="R783" s="30"/>
    </row>
    <row r="784" spans="18:18" ht="15.75" customHeight="1">
      <c r="R784" s="30"/>
    </row>
    <row r="785" spans="18:18" ht="15.75" customHeight="1">
      <c r="R785" s="30"/>
    </row>
    <row r="786" spans="18:18" ht="15.75" customHeight="1">
      <c r="R786" s="30"/>
    </row>
    <row r="787" spans="18:18" ht="15.75" customHeight="1">
      <c r="R787" s="30"/>
    </row>
    <row r="788" spans="18:18" ht="15.75" customHeight="1">
      <c r="R788" s="30"/>
    </row>
    <row r="789" spans="18:18" ht="15.75" customHeight="1">
      <c r="R789" s="30"/>
    </row>
    <row r="790" spans="18:18" ht="15.75" customHeight="1">
      <c r="R790" s="30"/>
    </row>
    <row r="791" spans="18:18" ht="15.75" customHeight="1">
      <c r="R791" s="30"/>
    </row>
    <row r="792" spans="18:18" ht="15.75" customHeight="1">
      <c r="R792" s="30"/>
    </row>
    <row r="793" spans="18:18" ht="15.75" customHeight="1">
      <c r="R793" s="30"/>
    </row>
    <row r="794" spans="18:18" ht="15.75" customHeight="1">
      <c r="R794" s="30"/>
    </row>
    <row r="795" spans="18:18" ht="15.75" customHeight="1">
      <c r="R795" s="30"/>
    </row>
    <row r="796" spans="18:18" ht="15.75" customHeight="1">
      <c r="R796" s="30"/>
    </row>
    <row r="797" spans="18:18" ht="15.75" customHeight="1">
      <c r="R797" s="30"/>
    </row>
    <row r="798" spans="18:18" ht="15.75" customHeight="1">
      <c r="R798" s="30"/>
    </row>
    <row r="799" spans="18:18" ht="15.75" customHeight="1">
      <c r="R799" s="30"/>
    </row>
    <row r="800" spans="18:18" ht="15.75" customHeight="1">
      <c r="R800" s="30"/>
    </row>
    <row r="801" spans="18:18" ht="15.75" customHeight="1">
      <c r="R801" s="30"/>
    </row>
    <row r="802" spans="18:18" ht="15.75" customHeight="1">
      <c r="R802" s="30"/>
    </row>
    <row r="803" spans="18:18" ht="15.75" customHeight="1">
      <c r="R803" s="30"/>
    </row>
    <row r="804" spans="18:18" ht="15.75" customHeight="1">
      <c r="R804" s="30"/>
    </row>
    <row r="805" spans="18:18" ht="15.75" customHeight="1">
      <c r="R805" s="30"/>
    </row>
    <row r="806" spans="18:18" ht="15.75" customHeight="1">
      <c r="R806" s="30"/>
    </row>
    <row r="807" spans="18:18" ht="15.75" customHeight="1">
      <c r="R807" s="30"/>
    </row>
    <row r="808" spans="18:18" ht="15.75" customHeight="1">
      <c r="R808" s="30"/>
    </row>
    <row r="809" spans="18:18" ht="15.75" customHeight="1">
      <c r="R809" s="30"/>
    </row>
    <row r="810" spans="18:18" ht="15.75" customHeight="1">
      <c r="R810" s="30"/>
    </row>
    <row r="811" spans="18:18" ht="15.75" customHeight="1">
      <c r="R811" s="30"/>
    </row>
    <row r="812" spans="18:18" ht="15.75" customHeight="1">
      <c r="R812" s="30"/>
    </row>
    <row r="813" spans="18:18" ht="15.75" customHeight="1">
      <c r="R813" s="30"/>
    </row>
    <row r="814" spans="18:18" ht="15.75" customHeight="1">
      <c r="R814" s="30"/>
    </row>
    <row r="815" spans="18:18" ht="15.75" customHeight="1">
      <c r="R815" s="30"/>
    </row>
    <row r="816" spans="18:18" ht="15.75" customHeight="1">
      <c r="R816" s="30"/>
    </row>
    <row r="817" spans="18:18" ht="15.75" customHeight="1">
      <c r="R817" s="30"/>
    </row>
    <row r="818" spans="18:18" ht="15.75" customHeight="1">
      <c r="R818" s="30"/>
    </row>
    <row r="819" spans="18:18" ht="15.75" customHeight="1">
      <c r="R819" s="30"/>
    </row>
    <row r="820" spans="18:18" ht="15.75" customHeight="1">
      <c r="R820" s="30"/>
    </row>
    <row r="821" spans="18:18" ht="15.75" customHeight="1">
      <c r="R821" s="30"/>
    </row>
    <row r="822" spans="18:18" ht="15.75" customHeight="1">
      <c r="R822" s="30"/>
    </row>
    <row r="823" spans="18:18" ht="15.75" customHeight="1">
      <c r="R823" s="30"/>
    </row>
    <row r="824" spans="18:18" ht="15.75" customHeight="1">
      <c r="R824" s="30"/>
    </row>
    <row r="825" spans="18:18" ht="15.75" customHeight="1">
      <c r="R825" s="30"/>
    </row>
    <row r="826" spans="18:18" ht="15.75" customHeight="1">
      <c r="R826" s="30"/>
    </row>
    <row r="827" spans="18:18" ht="15.75" customHeight="1">
      <c r="R827" s="30"/>
    </row>
    <row r="828" spans="18:18" ht="15.75" customHeight="1">
      <c r="R828" s="30"/>
    </row>
    <row r="829" spans="18:18" ht="15.75" customHeight="1">
      <c r="R829" s="30"/>
    </row>
    <row r="830" spans="18:18" ht="15.75" customHeight="1">
      <c r="R830" s="30"/>
    </row>
    <row r="831" spans="18:18" ht="15.75" customHeight="1">
      <c r="R831" s="30"/>
    </row>
    <row r="832" spans="18:18" ht="15.75" customHeight="1">
      <c r="R832" s="30"/>
    </row>
    <row r="833" spans="18:18" ht="15.75" customHeight="1">
      <c r="R833" s="30"/>
    </row>
    <row r="834" spans="18:18" ht="15.75" customHeight="1">
      <c r="R834" s="30"/>
    </row>
    <row r="835" spans="18:18" ht="15.75" customHeight="1">
      <c r="R835" s="30"/>
    </row>
    <row r="836" spans="18:18" ht="15.75" customHeight="1">
      <c r="R836" s="30"/>
    </row>
    <row r="837" spans="18:18" ht="15.75" customHeight="1">
      <c r="R837" s="30"/>
    </row>
    <row r="838" spans="18:18" ht="15.75" customHeight="1">
      <c r="R838" s="30"/>
    </row>
    <row r="839" spans="18:18" ht="15.75" customHeight="1">
      <c r="R839" s="30"/>
    </row>
    <row r="840" spans="18:18" ht="15.75" customHeight="1">
      <c r="R840" s="30"/>
    </row>
    <row r="841" spans="18:18" ht="15.75" customHeight="1">
      <c r="R841" s="30"/>
    </row>
    <row r="842" spans="18:18" ht="15.75" customHeight="1">
      <c r="R842" s="30"/>
    </row>
    <row r="843" spans="18:18" ht="15.75" customHeight="1">
      <c r="R843" s="30"/>
    </row>
    <row r="844" spans="18:18" ht="15.75" customHeight="1">
      <c r="R844" s="30"/>
    </row>
    <row r="845" spans="18:18" ht="15.75" customHeight="1">
      <c r="R845" s="30"/>
    </row>
    <row r="846" spans="18:18" ht="15.75" customHeight="1">
      <c r="R846" s="30"/>
    </row>
    <row r="847" spans="18:18" ht="15.75" customHeight="1">
      <c r="R847" s="30"/>
    </row>
    <row r="848" spans="18:18" ht="15.75" customHeight="1">
      <c r="R848" s="30"/>
    </row>
    <row r="849" spans="18:18" ht="15.75" customHeight="1">
      <c r="R849" s="30"/>
    </row>
    <row r="850" spans="18:18" ht="15.75" customHeight="1">
      <c r="R850" s="30"/>
    </row>
    <row r="851" spans="18:18" ht="15.75" customHeight="1">
      <c r="R851" s="30"/>
    </row>
    <row r="852" spans="18:18" ht="15.75" customHeight="1">
      <c r="R852" s="30"/>
    </row>
    <row r="853" spans="18:18" ht="15.75" customHeight="1">
      <c r="R853" s="30"/>
    </row>
    <row r="854" spans="18:18" ht="15.75" customHeight="1">
      <c r="R854" s="30"/>
    </row>
    <row r="855" spans="18:18" ht="15.75" customHeight="1">
      <c r="R855" s="30"/>
    </row>
    <row r="856" spans="18:18" ht="15.75" customHeight="1">
      <c r="R856" s="30"/>
    </row>
    <row r="857" spans="18:18" ht="15.75" customHeight="1">
      <c r="R857" s="30"/>
    </row>
    <row r="858" spans="18:18" ht="15.75" customHeight="1">
      <c r="R858" s="30"/>
    </row>
    <row r="859" spans="18:18" ht="15.75" customHeight="1">
      <c r="R859" s="30"/>
    </row>
    <row r="860" spans="18:18" ht="15.75" customHeight="1">
      <c r="R860" s="30"/>
    </row>
    <row r="861" spans="18:18" ht="15.75" customHeight="1">
      <c r="R861" s="30"/>
    </row>
    <row r="862" spans="18:18" ht="15.75" customHeight="1">
      <c r="R862" s="30"/>
    </row>
    <row r="863" spans="18:18" ht="15.75" customHeight="1">
      <c r="R863" s="30"/>
    </row>
    <row r="864" spans="18:18" ht="15.75" customHeight="1">
      <c r="R864" s="30"/>
    </row>
    <row r="865" spans="18:18" ht="15.75" customHeight="1">
      <c r="R865" s="30"/>
    </row>
    <row r="866" spans="18:18" ht="15.75" customHeight="1">
      <c r="R866" s="30"/>
    </row>
    <row r="867" spans="18:18" ht="15.75" customHeight="1">
      <c r="R867" s="30"/>
    </row>
    <row r="868" spans="18:18" ht="15.75" customHeight="1">
      <c r="R868" s="30"/>
    </row>
    <row r="869" spans="18:18" ht="15.75" customHeight="1">
      <c r="R869" s="30"/>
    </row>
    <row r="870" spans="18:18" ht="15.75" customHeight="1">
      <c r="R870" s="30"/>
    </row>
    <row r="871" spans="18:18" ht="15.75" customHeight="1">
      <c r="R871" s="30"/>
    </row>
    <row r="872" spans="18:18" ht="15.75" customHeight="1">
      <c r="R872" s="30"/>
    </row>
    <row r="873" spans="18:18" ht="15.75" customHeight="1">
      <c r="R873" s="30"/>
    </row>
    <row r="874" spans="18:18" ht="15.75" customHeight="1">
      <c r="R874" s="30"/>
    </row>
    <row r="875" spans="18:18" ht="15.75" customHeight="1">
      <c r="R875" s="30"/>
    </row>
    <row r="876" spans="18:18" ht="15.75" customHeight="1">
      <c r="R876" s="30"/>
    </row>
    <row r="877" spans="18:18" ht="15.75" customHeight="1">
      <c r="R877" s="30"/>
    </row>
    <row r="878" spans="18:18" ht="15.75" customHeight="1">
      <c r="R878" s="30"/>
    </row>
    <row r="879" spans="18:18" ht="15.75" customHeight="1">
      <c r="R879" s="30"/>
    </row>
    <row r="880" spans="18:18" ht="15.75" customHeight="1">
      <c r="R880" s="30"/>
    </row>
    <row r="881" spans="18:18" ht="15.75" customHeight="1">
      <c r="R881" s="30"/>
    </row>
    <row r="882" spans="18:18" ht="15.75" customHeight="1">
      <c r="R882" s="30"/>
    </row>
    <row r="883" spans="18:18" ht="15.75" customHeight="1">
      <c r="R883" s="30"/>
    </row>
    <row r="884" spans="18:18" ht="15.75" customHeight="1">
      <c r="R884" s="30"/>
    </row>
    <row r="885" spans="18:18" ht="15.75" customHeight="1">
      <c r="R885" s="30"/>
    </row>
    <row r="886" spans="18:18" ht="15.75" customHeight="1">
      <c r="R886" s="30"/>
    </row>
    <row r="887" spans="18:18" ht="15.75" customHeight="1">
      <c r="R887" s="30"/>
    </row>
    <row r="888" spans="18:18" ht="15.75" customHeight="1">
      <c r="R888" s="30"/>
    </row>
    <row r="889" spans="18:18" ht="15.75" customHeight="1">
      <c r="R889" s="30"/>
    </row>
    <row r="890" spans="18:18" ht="15.75" customHeight="1">
      <c r="R890" s="30"/>
    </row>
    <row r="891" spans="18:18" ht="15.75" customHeight="1">
      <c r="R891" s="30"/>
    </row>
    <row r="892" spans="18:18" ht="15.75" customHeight="1">
      <c r="R892" s="30"/>
    </row>
    <row r="893" spans="18:18" ht="15.75" customHeight="1">
      <c r="R893" s="30"/>
    </row>
    <row r="894" spans="18:18" ht="15.75" customHeight="1">
      <c r="R894" s="30"/>
    </row>
    <row r="895" spans="18:18" ht="15.75" customHeight="1">
      <c r="R895" s="30"/>
    </row>
    <row r="896" spans="18:18" ht="15.75" customHeight="1">
      <c r="R896" s="30"/>
    </row>
    <row r="897" spans="18:18" ht="15.75" customHeight="1">
      <c r="R897" s="30"/>
    </row>
    <row r="898" spans="18:18" ht="15.75" customHeight="1">
      <c r="R898" s="30"/>
    </row>
    <row r="899" spans="18:18" ht="15.75" customHeight="1">
      <c r="R899" s="30"/>
    </row>
    <row r="900" spans="18:18" ht="15.75" customHeight="1">
      <c r="R900" s="30"/>
    </row>
    <row r="901" spans="18:18" ht="15.75" customHeight="1">
      <c r="R901" s="30"/>
    </row>
    <row r="902" spans="18:18" ht="15.75" customHeight="1">
      <c r="R902" s="30"/>
    </row>
    <row r="903" spans="18:18" ht="15.75" customHeight="1">
      <c r="R903" s="30"/>
    </row>
    <row r="904" spans="18:18" ht="15.75" customHeight="1">
      <c r="R904" s="30"/>
    </row>
    <row r="905" spans="18:18" ht="15.75" customHeight="1">
      <c r="R905" s="30"/>
    </row>
    <row r="906" spans="18:18" ht="15.75" customHeight="1">
      <c r="R906" s="30"/>
    </row>
    <row r="907" spans="18:18" ht="15.75" customHeight="1">
      <c r="R907" s="30"/>
    </row>
    <row r="908" spans="18:18" ht="15.75" customHeight="1">
      <c r="R908" s="30"/>
    </row>
    <row r="909" spans="18:18" ht="15.75" customHeight="1">
      <c r="R909" s="30"/>
    </row>
    <row r="910" spans="18:18" ht="15.75" customHeight="1">
      <c r="R910" s="30"/>
    </row>
    <row r="911" spans="18:18" ht="15.75" customHeight="1">
      <c r="R911" s="30"/>
    </row>
    <row r="912" spans="18:18" ht="15.75" customHeight="1">
      <c r="R912" s="30"/>
    </row>
    <row r="913" spans="18:18" ht="15.75" customHeight="1">
      <c r="R913" s="30"/>
    </row>
    <row r="914" spans="18:18" ht="15.75" customHeight="1">
      <c r="R914" s="30"/>
    </row>
    <row r="915" spans="18:18" ht="15.75" customHeight="1">
      <c r="R915" s="30"/>
    </row>
    <row r="916" spans="18:18" ht="15.75" customHeight="1">
      <c r="R916" s="30"/>
    </row>
    <row r="917" spans="18:18" ht="15.75" customHeight="1">
      <c r="R917" s="30"/>
    </row>
    <row r="918" spans="18:18" ht="15.75" customHeight="1">
      <c r="R918" s="30"/>
    </row>
    <row r="919" spans="18:18" ht="15.75" customHeight="1">
      <c r="R919" s="30"/>
    </row>
    <row r="920" spans="18:18" ht="15.75" customHeight="1">
      <c r="R920" s="30"/>
    </row>
    <row r="921" spans="18:18" ht="15.75" customHeight="1">
      <c r="R921" s="30"/>
    </row>
    <row r="922" spans="18:18" ht="15.75" customHeight="1">
      <c r="R922" s="30"/>
    </row>
    <row r="923" spans="18:18" ht="15.75" customHeight="1">
      <c r="R923" s="30"/>
    </row>
    <row r="924" spans="18:18" ht="15.75" customHeight="1">
      <c r="R924" s="30"/>
    </row>
    <row r="925" spans="18:18" ht="15.75" customHeight="1">
      <c r="R925" s="30"/>
    </row>
    <row r="926" spans="18:18" ht="15.75" customHeight="1">
      <c r="R926" s="30"/>
    </row>
    <row r="927" spans="18:18" ht="15.75" customHeight="1">
      <c r="R927" s="30"/>
    </row>
    <row r="928" spans="18:18" ht="15.75" customHeight="1">
      <c r="R928" s="30"/>
    </row>
    <row r="929" spans="18:18" ht="15.75" customHeight="1">
      <c r="R929" s="30"/>
    </row>
    <row r="930" spans="18:18" ht="15.75" customHeight="1">
      <c r="R930" s="30"/>
    </row>
    <row r="931" spans="18:18" ht="15.75" customHeight="1">
      <c r="R931" s="30"/>
    </row>
    <row r="932" spans="18:18" ht="15.75" customHeight="1">
      <c r="R932" s="30"/>
    </row>
    <row r="933" spans="18:18" ht="15.75" customHeight="1">
      <c r="R933" s="30"/>
    </row>
    <row r="934" spans="18:18" ht="15.75" customHeight="1">
      <c r="R934" s="30"/>
    </row>
    <row r="935" spans="18:18" ht="15.75" customHeight="1">
      <c r="R935" s="30"/>
    </row>
    <row r="936" spans="18:18" ht="15.75" customHeight="1">
      <c r="R936" s="30"/>
    </row>
    <row r="937" spans="18:18" ht="15.75" customHeight="1">
      <c r="R937" s="30"/>
    </row>
    <row r="938" spans="18:18" ht="15.75" customHeight="1">
      <c r="R938" s="30"/>
    </row>
    <row r="939" spans="18:18" ht="15.75" customHeight="1">
      <c r="R939" s="30"/>
    </row>
    <row r="940" spans="18:18" ht="15.75" customHeight="1">
      <c r="R940" s="30"/>
    </row>
    <row r="941" spans="18:18" ht="15.75" customHeight="1">
      <c r="R941" s="30"/>
    </row>
    <row r="942" spans="18:18" ht="15.75" customHeight="1">
      <c r="R942" s="30"/>
    </row>
    <row r="943" spans="18:18" ht="15.75" customHeight="1">
      <c r="R943" s="30"/>
    </row>
    <row r="944" spans="18:18" ht="15.75" customHeight="1">
      <c r="R944" s="30"/>
    </row>
    <row r="945" spans="18:18" ht="15.75" customHeight="1">
      <c r="R945" s="30"/>
    </row>
    <row r="946" spans="18:18" ht="15.75" customHeight="1">
      <c r="R946" s="30"/>
    </row>
    <row r="947" spans="18:18" ht="15.75" customHeight="1">
      <c r="R947" s="30"/>
    </row>
    <row r="948" spans="18:18" ht="15.75" customHeight="1">
      <c r="R948" s="30"/>
    </row>
    <row r="949" spans="18:18" ht="15.75" customHeight="1">
      <c r="R949" s="30"/>
    </row>
    <row r="950" spans="18:18" ht="15.75" customHeight="1">
      <c r="R950" s="30"/>
    </row>
    <row r="951" spans="18:18" ht="15.75" customHeight="1">
      <c r="R951" s="30"/>
    </row>
    <row r="952" spans="18:18" ht="15.75" customHeight="1">
      <c r="R952" s="30"/>
    </row>
    <row r="953" spans="18:18" ht="15.75" customHeight="1">
      <c r="R953" s="30"/>
    </row>
    <row r="954" spans="18:18" ht="15.75" customHeight="1">
      <c r="R954" s="30"/>
    </row>
    <row r="955" spans="18:18" ht="15.75" customHeight="1">
      <c r="R955" s="30"/>
    </row>
    <row r="956" spans="18:18" ht="15.75" customHeight="1">
      <c r="R956" s="30"/>
    </row>
    <row r="957" spans="18:18" ht="15.75" customHeight="1">
      <c r="R957" s="30"/>
    </row>
    <row r="958" spans="18:18" ht="15.75" customHeight="1">
      <c r="R958" s="30"/>
    </row>
    <row r="959" spans="18:18" ht="15.75" customHeight="1">
      <c r="R959" s="30"/>
    </row>
    <row r="960" spans="18:18" ht="15.75" customHeight="1">
      <c r="R960" s="30"/>
    </row>
    <row r="961" spans="18:18" ht="15.75" customHeight="1">
      <c r="R961" s="30"/>
    </row>
    <row r="962" spans="18:18" ht="15.75" customHeight="1">
      <c r="R962" s="30"/>
    </row>
    <row r="963" spans="18:18" ht="15.75" customHeight="1">
      <c r="R963" s="30"/>
    </row>
    <row r="964" spans="18:18" ht="15.75" customHeight="1">
      <c r="R964" s="30"/>
    </row>
    <row r="965" spans="18:18" ht="15.75" customHeight="1">
      <c r="R965" s="30"/>
    </row>
    <row r="966" spans="18:18" ht="15.75" customHeight="1">
      <c r="R966" s="30"/>
    </row>
    <row r="967" spans="18:18" ht="15.75" customHeight="1">
      <c r="R967" s="30"/>
    </row>
    <row r="968" spans="18:18" ht="15.75" customHeight="1">
      <c r="R968" s="30"/>
    </row>
    <row r="969" spans="18:18" ht="15.75" customHeight="1">
      <c r="R969" s="30"/>
    </row>
    <row r="970" spans="18:18" ht="15.75" customHeight="1">
      <c r="R970" s="30"/>
    </row>
    <row r="971" spans="18:18" ht="15.75" customHeight="1">
      <c r="R971" s="30"/>
    </row>
    <row r="972" spans="18:18" ht="15.75" customHeight="1">
      <c r="R972" s="30"/>
    </row>
    <row r="973" spans="18:18" ht="15.75" customHeight="1">
      <c r="R973" s="30"/>
    </row>
    <row r="974" spans="18:18" ht="15.75" customHeight="1">
      <c r="R974" s="30"/>
    </row>
    <row r="975" spans="18:18" ht="15.75" customHeight="1">
      <c r="R975" s="30"/>
    </row>
    <row r="976" spans="18:18" ht="15.75" customHeight="1">
      <c r="R976" s="30"/>
    </row>
    <row r="977" spans="18:18" ht="15.75" customHeight="1">
      <c r="R977" s="30"/>
    </row>
    <row r="978" spans="18:18" ht="15.75" customHeight="1">
      <c r="R978" s="30"/>
    </row>
    <row r="979" spans="18:18" ht="15.75" customHeight="1">
      <c r="R979" s="30"/>
    </row>
    <row r="980" spans="18:18" ht="15.75" customHeight="1">
      <c r="R980" s="30"/>
    </row>
    <row r="981" spans="18:18" ht="15.75" customHeight="1">
      <c r="R981" s="30"/>
    </row>
    <row r="982" spans="18:18" ht="15.75" customHeight="1">
      <c r="R982" s="30"/>
    </row>
    <row r="983" spans="18:18" ht="15.75" customHeight="1">
      <c r="R983" s="30"/>
    </row>
    <row r="984" spans="18:18" ht="15.75" customHeight="1">
      <c r="R984" s="30"/>
    </row>
    <row r="985" spans="18:18" ht="15.75" customHeight="1">
      <c r="R985" s="30"/>
    </row>
    <row r="986" spans="18:18" ht="15.75" customHeight="1">
      <c r="R986" s="30"/>
    </row>
    <row r="987" spans="18:18" ht="15.75" customHeight="1">
      <c r="R987" s="30"/>
    </row>
    <row r="988" spans="18:18" ht="15.75" customHeight="1">
      <c r="R988" s="30"/>
    </row>
    <row r="989" spans="18:18" ht="15.75" customHeight="1">
      <c r="R989" s="30"/>
    </row>
    <row r="990" spans="18:18" ht="15.75" customHeight="1">
      <c r="R990" s="30"/>
    </row>
    <row r="991" spans="18:18" ht="15.75" customHeight="1">
      <c r="R991" s="30"/>
    </row>
    <row r="992" spans="18:18" ht="15.75" customHeight="1">
      <c r="R992" s="30"/>
    </row>
    <row r="993" spans="18:18" ht="15.75" customHeight="1">
      <c r="R993" s="30"/>
    </row>
    <row r="994" spans="18:18" ht="15.75" customHeight="1">
      <c r="R994" s="30"/>
    </row>
    <row r="995" spans="18:18" ht="15.75" customHeight="1">
      <c r="R995" s="30"/>
    </row>
    <row r="996" spans="18:18" ht="15.75" customHeight="1">
      <c r="R996" s="30"/>
    </row>
    <row r="997" spans="18:18" ht="15.75" customHeight="1">
      <c r="R997" s="30"/>
    </row>
    <row r="998" spans="18:18" ht="15.75" customHeight="1">
      <c r="R998" s="30"/>
    </row>
    <row r="999" spans="18:18" ht="15.75" customHeight="1">
      <c r="R999" s="30"/>
    </row>
    <row r="1000" spans="18:18" ht="15.75" customHeight="1">
      <c r="R1000" s="3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2.6640625" defaultRowHeight="15" customHeight="1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8.6640625" customWidth="1"/>
    <col min="6" max="6" width="10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9.6640625" customWidth="1"/>
    <col min="16" max="16" width="8.1640625" customWidth="1"/>
    <col min="17" max="18" width="7.33203125" customWidth="1"/>
    <col min="19" max="19" width="7.1640625" customWidth="1"/>
    <col min="20" max="20" width="11.1640625" customWidth="1"/>
    <col min="21" max="21" width="13.5" customWidth="1"/>
    <col min="22" max="22" width="22" customWidth="1"/>
    <col min="23" max="24" width="7.6640625" customWidth="1"/>
    <col min="25" max="25" width="8.1640625" customWidth="1"/>
    <col min="26" max="26" width="11.1640625" customWidth="1"/>
    <col min="27" max="27" width="10.6640625" customWidth="1"/>
    <col min="28" max="28" width="9.6640625" customWidth="1"/>
    <col min="29" max="29" width="7.1640625" customWidth="1"/>
    <col min="30" max="30" width="10.83203125" customWidth="1"/>
    <col min="31" max="31" width="7.6640625" customWidth="1"/>
    <col min="32" max="32" width="10.1640625" customWidth="1"/>
    <col min="33" max="33" width="8.83203125" customWidth="1"/>
  </cols>
  <sheetData>
    <row r="1" spans="1:33" ht="18.75" customHeight="1">
      <c r="A1" s="46" t="str">
        <f ca="1">IFERROR(__xludf.DUMMYFUNCTION("IFERROR(VLOOKUP(B2,IMPORTRANGE(""https://docs.google.com/spreadsheets/d/1x0DhHglkXKoEBOD2MBsuK_EyIr1ouxD2ftIpqOYFa-k/edit?usp=sharing"",""Ubiquitty-SKU-Specific Info!B1:BJ5000""),3,FALSE),"""")"),"3 Foot Lighted Outdoor Extension Cord - 10/3 SJTW Yellow 10 Gauge Extension Cable with 3 Prong Grounded Plug for Safety - Great for Garden and Major Appliances")</f>
        <v>3 Foot Lighted Outdoor Extension Cord - 10/3 SJTW Yellow 10 Gauge Extension Cable with 3 Prong Grounded Plug for Safety - Great for Garden and Major Appliances</v>
      </c>
      <c r="B1" s="47"/>
      <c r="C1" s="48" t="s">
        <v>0</v>
      </c>
      <c r="D1" s="50" t="s">
        <v>1</v>
      </c>
      <c r="E1" s="50" t="s">
        <v>2</v>
      </c>
      <c r="F1" s="52" t="s">
        <v>3</v>
      </c>
      <c r="G1" s="52" t="s">
        <v>4</v>
      </c>
      <c r="H1" s="53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58" t="s">
        <v>10</v>
      </c>
      <c r="N1" s="59" t="s">
        <v>11</v>
      </c>
      <c r="O1" s="50" t="s">
        <v>12</v>
      </c>
      <c r="P1" s="50" t="s">
        <v>13</v>
      </c>
      <c r="Q1" s="57" t="s">
        <v>14</v>
      </c>
      <c r="R1" s="57" t="s">
        <v>15</v>
      </c>
      <c r="S1" s="60" t="s">
        <v>16</v>
      </c>
      <c r="T1" s="62" t="s">
        <v>2006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Info!B1:BJ5000""),2,FALSE),"""")"),"B08NFGPCK7")</f>
        <v>B08NFGPCK7</v>
      </c>
      <c r="B2" s="3" t="s">
        <v>163</v>
      </c>
      <c r="C2" s="49"/>
      <c r="D2" s="49"/>
      <c r="E2" s="51"/>
      <c r="F2" s="49"/>
      <c r="G2" s="49"/>
      <c r="H2" s="54"/>
      <c r="I2" s="49"/>
      <c r="J2" s="49"/>
      <c r="K2" s="54"/>
      <c r="L2" s="54"/>
      <c r="M2" s="54"/>
      <c r="N2" s="49"/>
      <c r="O2" s="49"/>
      <c r="P2" s="51"/>
      <c r="Q2" s="49"/>
      <c r="R2" s="49"/>
      <c r="S2" s="61"/>
      <c r="T2" s="47"/>
      <c r="U2" s="63"/>
      <c r="V2" s="63"/>
      <c r="W2" s="47"/>
      <c r="X2" s="47"/>
      <c r="Y2" s="47"/>
      <c r="Z2" s="47"/>
      <c r="AA2" s="63"/>
      <c r="AB2" s="63"/>
      <c r="AC2" s="63"/>
      <c r="AD2" s="63"/>
      <c r="AE2" s="47"/>
      <c r="AF2" s="47"/>
      <c r="AG2" s="47"/>
    </row>
    <row r="3" spans="1:33" ht="179.25" customHeight="1">
      <c r="A3" s="55" t="s">
        <v>31</v>
      </c>
      <c r="B3" s="56"/>
      <c r="C3" s="4">
        <f>((AE32+AF32)/0.85)*-1</f>
        <v>9.0770464564705886</v>
      </c>
      <c r="D3" s="5">
        <f>SUM(D4:D99765)</f>
        <v>103</v>
      </c>
      <c r="E3" s="5"/>
      <c r="F3" s="6">
        <f t="shared" ref="F3:G3" si="0">SUM(F4:F99765)</f>
        <v>1660.8000000000002</v>
      </c>
      <c r="G3" s="6">
        <f t="shared" si="0"/>
        <v>-84.059999999999974</v>
      </c>
      <c r="H3" s="7">
        <f>G3/F3*-1</f>
        <v>5.0614161849710959E-2</v>
      </c>
      <c r="I3" s="8">
        <f>J3/F3</f>
        <v>0.31721656048114394</v>
      </c>
      <c r="J3" s="6">
        <f>SUM(J4:J99765)</f>
        <v>526.83326364708387</v>
      </c>
      <c r="K3" s="6">
        <f>J3/D3</f>
        <v>5.1148860548260568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3.5 - April
3.5 - May
3.5 - June
3.5 - July
3.5 - Aug
3.5 - Sept
3.5 - Oct
3.5 - Nov
3.5 - Dec
 - Jan
 - Feb")</f>
        <v xml:space="preserve"> - March
3.5 - April
3.5 - May
3.5 - June
3.5 - July
3.5 - Aug
3.5 - Sept
3.5 - Oct
3.5 - Nov
3.5 -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19</v>
      </c>
      <c r="X3" s="7">
        <f>W3/D3</f>
        <v>0.18446601941747573</v>
      </c>
      <c r="Y3" s="6"/>
      <c r="Z3" s="5"/>
      <c r="AA3" s="5"/>
      <c r="AB3" s="5"/>
      <c r="AC3" s="5"/>
      <c r="AD3" s="6">
        <f>SUM(AD4:AD99765)</f>
        <v>-5.2667363529166664</v>
      </c>
      <c r="AE3" s="6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Info!B2:BZ3000""),37,FALSE)),"""")*-1"),-2.815489488)</f>
        <v>-2.8154894879999999</v>
      </c>
      <c r="AG3" s="6">
        <f>SUM(AG4:AG99765)</f>
        <v>0</v>
      </c>
    </row>
    <row r="4" spans="1:33" ht="15.75" hidden="1" customHeight="1">
      <c r="A4" s="14"/>
      <c r="B4" s="14"/>
      <c r="C4" s="15"/>
      <c r="D4" s="16"/>
      <c r="E4" s="16"/>
      <c r="F4" s="17"/>
      <c r="G4" s="17"/>
      <c r="H4" s="18"/>
      <c r="I4" s="18"/>
      <c r="J4" s="17"/>
      <c r="K4" s="17"/>
      <c r="L4" s="16"/>
      <c r="M4" s="19"/>
      <c r="N4" s="16"/>
      <c r="O4" s="20"/>
      <c r="P4" s="20"/>
      <c r="Q4" s="16"/>
      <c r="R4" s="16"/>
      <c r="S4" s="21"/>
      <c r="T4" s="14"/>
      <c r="U4" s="22"/>
      <c r="V4" s="23"/>
      <c r="W4" s="14"/>
      <c r="X4" s="24"/>
      <c r="Y4" s="25"/>
      <c r="Z4" s="14"/>
      <c r="AA4" s="26"/>
      <c r="AB4" s="27"/>
      <c r="AC4" s="28"/>
      <c r="AD4" s="25"/>
      <c r="AE4" s="25"/>
      <c r="AF4" s="25"/>
      <c r="AG4" s="25"/>
    </row>
    <row r="5" spans="1:33" ht="15.75" hidden="1" customHeight="1">
      <c r="A5" s="14"/>
      <c r="B5" s="14"/>
      <c r="C5" s="15"/>
      <c r="D5" s="16"/>
      <c r="E5" s="16"/>
      <c r="F5" s="29"/>
      <c r="G5" s="29"/>
      <c r="H5" s="18"/>
      <c r="I5" s="18"/>
      <c r="J5" s="17"/>
      <c r="K5" s="17"/>
      <c r="L5" s="16"/>
      <c r="M5" s="19"/>
      <c r="N5" s="16"/>
      <c r="O5" s="20"/>
      <c r="P5" s="20"/>
      <c r="Q5" s="16"/>
      <c r="R5" s="16"/>
      <c r="S5" s="21"/>
      <c r="T5" s="14"/>
      <c r="U5" s="22"/>
      <c r="V5" s="23"/>
      <c r="W5" s="14"/>
      <c r="X5" s="24"/>
      <c r="Y5" s="25"/>
      <c r="Z5" s="14"/>
      <c r="AA5" s="14"/>
      <c r="AB5" s="27"/>
      <c r="AC5" s="28"/>
      <c r="AD5" s="25"/>
      <c r="AE5" s="25"/>
      <c r="AF5" s="25"/>
      <c r="AG5" s="25"/>
    </row>
    <row r="6" spans="1:33" ht="15.75" hidden="1" customHeight="1">
      <c r="A6" s="14"/>
      <c r="B6" s="14"/>
      <c r="C6" s="15"/>
      <c r="D6" s="16"/>
      <c r="E6" s="16"/>
      <c r="F6" s="29"/>
      <c r="G6" s="29"/>
      <c r="H6" s="18"/>
      <c r="I6" s="18"/>
      <c r="J6" s="17"/>
      <c r="K6" s="17"/>
      <c r="L6" s="16"/>
      <c r="M6" s="19"/>
      <c r="N6" s="16"/>
      <c r="O6" s="20"/>
      <c r="P6" s="20"/>
      <c r="Q6" s="16"/>
      <c r="R6" s="16"/>
      <c r="S6" s="21"/>
      <c r="T6" s="14"/>
      <c r="U6" s="22"/>
      <c r="V6" s="23"/>
      <c r="W6" s="14"/>
      <c r="X6" s="24"/>
      <c r="Y6" s="25"/>
      <c r="Z6" s="14"/>
      <c r="AA6" s="14"/>
      <c r="AB6" s="27"/>
      <c r="AC6" s="28"/>
      <c r="AD6" s="25"/>
      <c r="AE6" s="25"/>
      <c r="AF6" s="25"/>
      <c r="AG6" s="25"/>
    </row>
    <row r="7" spans="1:33" ht="15.75" hidden="1" customHeight="1">
      <c r="A7" s="14"/>
      <c r="B7" s="14"/>
      <c r="C7" s="15"/>
      <c r="D7" s="16"/>
      <c r="E7" s="16"/>
      <c r="F7" s="29"/>
      <c r="G7" s="29"/>
      <c r="H7" s="18"/>
      <c r="I7" s="18"/>
      <c r="J7" s="17"/>
      <c r="K7" s="17"/>
      <c r="L7" s="16"/>
      <c r="M7" s="19"/>
      <c r="N7" s="16"/>
      <c r="O7" s="20"/>
      <c r="P7" s="20"/>
      <c r="Q7" s="16"/>
      <c r="R7" s="16"/>
      <c r="S7" s="21"/>
      <c r="T7" s="14"/>
      <c r="U7" s="22"/>
      <c r="V7" s="23"/>
      <c r="W7" s="14"/>
      <c r="X7" s="24"/>
      <c r="Y7" s="25"/>
      <c r="Z7" s="14"/>
      <c r="AA7" s="14"/>
      <c r="AB7" s="27"/>
      <c r="AC7" s="28"/>
      <c r="AD7" s="25"/>
      <c r="AE7" s="25"/>
      <c r="AF7" s="25"/>
      <c r="AG7" s="25"/>
    </row>
    <row r="8" spans="1:33" ht="15.75" hidden="1" customHeight="1">
      <c r="A8" s="14"/>
      <c r="B8" s="14"/>
      <c r="C8" s="15"/>
      <c r="D8" s="16"/>
      <c r="E8" s="16"/>
      <c r="F8" s="29"/>
      <c r="G8" s="29"/>
      <c r="H8" s="18"/>
      <c r="I8" s="18"/>
      <c r="J8" s="17"/>
      <c r="K8" s="17"/>
      <c r="L8" s="16"/>
      <c r="M8" s="19"/>
      <c r="N8" s="16"/>
      <c r="O8" s="20"/>
      <c r="P8" s="20"/>
      <c r="Q8" s="16"/>
      <c r="R8" s="16"/>
      <c r="S8" s="21"/>
      <c r="T8" s="14"/>
      <c r="U8" s="22"/>
      <c r="V8" s="23"/>
      <c r="W8" s="14"/>
      <c r="X8" s="24"/>
      <c r="Y8" s="25"/>
      <c r="Z8" s="14"/>
      <c r="AA8" s="14"/>
      <c r="AB8" s="27"/>
      <c r="AC8" s="28"/>
      <c r="AD8" s="25"/>
      <c r="AE8" s="25"/>
      <c r="AF8" s="25"/>
      <c r="AG8" s="25"/>
    </row>
    <row r="9" spans="1:33" ht="15.75" hidden="1" customHeight="1">
      <c r="A9" s="14"/>
      <c r="B9" s="14"/>
      <c r="C9" s="15"/>
      <c r="D9" s="16"/>
      <c r="E9" s="16"/>
      <c r="F9" s="29"/>
      <c r="G9" s="29"/>
      <c r="H9" s="18"/>
      <c r="I9" s="18"/>
      <c r="J9" s="17"/>
      <c r="K9" s="17"/>
      <c r="L9" s="16"/>
      <c r="M9" s="19"/>
      <c r="N9" s="16"/>
      <c r="O9" s="20"/>
      <c r="P9" s="20"/>
      <c r="Q9" s="16"/>
      <c r="R9" s="16"/>
      <c r="S9" s="21"/>
      <c r="T9" s="14"/>
      <c r="U9" s="22"/>
      <c r="V9" s="23"/>
      <c r="W9" s="14"/>
      <c r="X9" s="24"/>
      <c r="Y9" s="25"/>
      <c r="Z9" s="14"/>
      <c r="AA9" s="14"/>
      <c r="AB9" s="27"/>
      <c r="AC9" s="28"/>
      <c r="AD9" s="25"/>
      <c r="AE9" s="25"/>
      <c r="AF9" s="25"/>
      <c r="AG9" s="25"/>
    </row>
    <row r="10" spans="1:33" ht="15.75" hidden="1" customHeight="1">
      <c r="A10" s="14"/>
      <c r="B10" s="14"/>
      <c r="C10" s="15"/>
      <c r="D10" s="16"/>
      <c r="E10" s="16"/>
      <c r="F10" s="29"/>
      <c r="G10" s="29"/>
      <c r="H10" s="18"/>
      <c r="I10" s="18"/>
      <c r="J10" s="17"/>
      <c r="K10" s="17"/>
      <c r="L10" s="16"/>
      <c r="M10" s="19"/>
      <c r="N10" s="16"/>
      <c r="O10" s="20"/>
      <c r="P10" s="20"/>
      <c r="Q10" s="16"/>
      <c r="R10" s="16"/>
      <c r="S10" s="21"/>
      <c r="T10" s="14"/>
      <c r="U10" s="22"/>
      <c r="V10" s="23"/>
      <c r="W10" s="14"/>
      <c r="X10" s="24"/>
      <c r="Y10" s="25"/>
      <c r="Z10" s="14"/>
      <c r="AA10" s="14"/>
      <c r="AB10" s="27"/>
      <c r="AC10" s="28"/>
      <c r="AD10" s="25"/>
      <c r="AE10" s="25"/>
      <c r="AF10" s="25"/>
      <c r="AG10" s="25"/>
    </row>
    <row r="11" spans="1:33" ht="15.75" hidden="1" customHeight="1">
      <c r="A11" s="14"/>
      <c r="B11" s="14"/>
      <c r="C11" s="15"/>
      <c r="D11" s="16"/>
      <c r="E11" s="16"/>
      <c r="F11" s="29"/>
      <c r="G11" s="29"/>
      <c r="H11" s="18"/>
      <c r="I11" s="18"/>
      <c r="J11" s="17"/>
      <c r="K11" s="17"/>
      <c r="L11" s="16"/>
      <c r="M11" s="19"/>
      <c r="N11" s="16"/>
      <c r="O11" s="20"/>
      <c r="P11" s="20"/>
      <c r="Q11" s="16"/>
      <c r="R11" s="16"/>
      <c r="S11" s="21"/>
      <c r="T11" s="14"/>
      <c r="U11" s="22"/>
      <c r="V11" s="23"/>
      <c r="W11" s="14"/>
      <c r="X11" s="24"/>
      <c r="Y11" s="25"/>
      <c r="Z11" s="14"/>
      <c r="AA11" s="14"/>
      <c r="AB11" s="27"/>
      <c r="AC11" s="28"/>
      <c r="AD11" s="25"/>
      <c r="AE11" s="25"/>
      <c r="AF11" s="25"/>
      <c r="AG11" s="25"/>
    </row>
    <row r="12" spans="1:33" ht="15.75" hidden="1" customHeight="1">
      <c r="A12" s="14"/>
      <c r="B12" s="14"/>
      <c r="C12" s="15"/>
      <c r="D12" s="16"/>
      <c r="E12" s="16"/>
      <c r="F12" s="29"/>
      <c r="G12" s="29"/>
      <c r="H12" s="18"/>
      <c r="I12" s="18"/>
      <c r="J12" s="17"/>
      <c r="K12" s="17"/>
      <c r="L12" s="16"/>
      <c r="M12" s="19"/>
      <c r="N12" s="16"/>
      <c r="O12" s="20"/>
      <c r="P12" s="20"/>
      <c r="Q12" s="16"/>
      <c r="R12" s="16"/>
      <c r="S12" s="21"/>
      <c r="T12" s="14"/>
      <c r="U12" s="22"/>
      <c r="V12" s="23"/>
      <c r="W12" s="14"/>
      <c r="X12" s="24"/>
      <c r="Y12" s="25"/>
      <c r="Z12" s="14"/>
      <c r="AA12" s="14"/>
      <c r="AB12" s="27"/>
      <c r="AC12" s="28"/>
      <c r="AD12" s="25"/>
      <c r="AE12" s="25"/>
      <c r="AF12" s="25"/>
      <c r="AG12" s="25"/>
    </row>
    <row r="13" spans="1:33" ht="15.75" hidden="1" customHeight="1">
      <c r="A13" s="14"/>
      <c r="B13" s="14"/>
      <c r="C13" s="15"/>
      <c r="D13" s="16"/>
      <c r="E13" s="16"/>
      <c r="F13" s="17"/>
      <c r="G13" s="29"/>
      <c r="H13" s="18"/>
      <c r="I13" s="18"/>
      <c r="J13" s="17"/>
      <c r="K13" s="17"/>
      <c r="L13" s="16"/>
      <c r="M13" s="19"/>
      <c r="N13" s="16"/>
      <c r="O13" s="20"/>
      <c r="P13" s="20"/>
      <c r="Q13" s="16"/>
      <c r="R13" s="16"/>
      <c r="S13" s="21"/>
      <c r="T13" s="14"/>
      <c r="U13" s="22"/>
      <c r="V13" s="23"/>
      <c r="W13" s="14"/>
      <c r="X13" s="24"/>
      <c r="Y13" s="25"/>
      <c r="Z13" s="14"/>
      <c r="AA13" s="14"/>
      <c r="AB13" s="27"/>
      <c r="AC13" s="28"/>
      <c r="AD13" s="25"/>
      <c r="AE13" s="25"/>
      <c r="AF13" s="25"/>
      <c r="AG13" s="25"/>
    </row>
    <row r="14" spans="1:33" ht="15.75" hidden="1" customHeight="1">
      <c r="A14" s="14"/>
      <c r="B14" s="14"/>
      <c r="C14" s="15"/>
      <c r="D14" s="16"/>
      <c r="E14" s="16"/>
      <c r="F14" s="17"/>
      <c r="G14" s="29"/>
      <c r="H14" s="18"/>
      <c r="I14" s="18"/>
      <c r="J14" s="17"/>
      <c r="K14" s="17"/>
      <c r="L14" s="16"/>
      <c r="M14" s="19"/>
      <c r="N14" s="16"/>
      <c r="O14" s="20"/>
      <c r="P14" s="20"/>
      <c r="Q14" s="16"/>
      <c r="R14" s="16"/>
      <c r="S14" s="21"/>
      <c r="T14" s="14"/>
      <c r="U14" s="22"/>
      <c r="V14" s="23"/>
      <c r="W14" s="14"/>
      <c r="X14" s="24"/>
      <c r="Y14" s="25"/>
      <c r="Z14" s="14"/>
      <c r="AA14" s="14"/>
      <c r="AB14" s="27"/>
      <c r="AC14" s="28"/>
      <c r="AD14" s="25"/>
      <c r="AE14" s="25"/>
      <c r="AF14" s="25"/>
      <c r="AG14" s="25"/>
    </row>
    <row r="15" spans="1:33" ht="15.75" customHeight="1">
      <c r="A15" s="14" t="s">
        <v>36</v>
      </c>
      <c r="B15" s="14" t="s">
        <v>164</v>
      </c>
      <c r="C15" s="15">
        <f t="shared" ref="C15:C32" si="1">IFERROR(F15/D15," - ")</f>
        <v>15.99</v>
      </c>
      <c r="D15" s="16">
        <v>1</v>
      </c>
      <c r="E15" s="16">
        <v>0</v>
      </c>
      <c r="F15" s="17">
        <v>15.99</v>
      </c>
      <c r="G15" s="29">
        <v>0</v>
      </c>
      <c r="H15" s="18">
        <f t="shared" ref="H15:H32" si="2">G15/F15*-1</f>
        <v>0</v>
      </c>
      <c r="I15" s="18">
        <f t="shared" ref="I15:I32" si="3">J15/F15</f>
        <v>0.23810715030227289</v>
      </c>
      <c r="J15" s="17">
        <f t="shared" ref="J15:J32" si="4">F15*0.85+G15+AF15*D15+D15*AE15+AG15+AD15</f>
        <v>3.8073333333333435</v>
      </c>
      <c r="K15" s="17">
        <f t="shared" ref="K15:K32" si="5">J15/D15</f>
        <v>3.8073333333333435</v>
      </c>
      <c r="L15" s="16">
        <v>5</v>
      </c>
      <c r="M15" s="19">
        <f t="shared" ref="M15:M32" si="6">IFERROR(D15/L15,"-")</f>
        <v>0.2</v>
      </c>
      <c r="N15" s="16">
        <v>103</v>
      </c>
      <c r="O15" s="20">
        <f t="shared" ref="O15:P15" si="7">D15/7</f>
        <v>0.14285714285714285</v>
      </c>
      <c r="P15" s="20">
        <f t="shared" si="7"/>
        <v>0</v>
      </c>
      <c r="Q15" s="16">
        <f t="shared" ref="Q15:Q32" si="8">ROUNDDOWN(N15/(O15+P15),0)</f>
        <v>721</v>
      </c>
      <c r="R15" s="16"/>
      <c r="S15" s="21">
        <v>0</v>
      </c>
      <c r="T15" s="14">
        <v>0</v>
      </c>
      <c r="U15" s="22" t="s">
        <v>34</v>
      </c>
      <c r="V15" s="23" t="s">
        <v>34</v>
      </c>
      <c r="W15" s="14">
        <v>0</v>
      </c>
      <c r="X15" s="24">
        <f t="shared" ref="X15:X32" si="9">IFERROR(W15/D15,0)</f>
        <v>0</v>
      </c>
      <c r="Y15" s="25">
        <f t="shared" ref="Y15:Y32" si="10">IFERROR(G15/(W15+Z15)*-1,0)</f>
        <v>0</v>
      </c>
      <c r="Z15" s="14">
        <v>0</v>
      </c>
      <c r="AA15" s="14" t="s">
        <v>35</v>
      </c>
      <c r="AB15" s="27">
        <f t="shared" ref="AB15:AB32" si="11">IF(OR(AA15="UsLargeStandardSize",AA15="UsSmallStandardSize"),-0.69,-0.48)</f>
        <v>-0.69</v>
      </c>
      <c r="AC15" s="28">
        <v>0.34722222222222221</v>
      </c>
      <c r="AD15" s="25">
        <f t="shared" ref="AD15:AD32" si="12">IFERROR(AB15*AC15*D15*2,0)</f>
        <v>-0.47916666666666663</v>
      </c>
      <c r="AE15" s="25">
        <v>-6.56</v>
      </c>
      <c r="AF15" s="25">
        <v>-2.7449999999999899</v>
      </c>
      <c r="AG15" s="25">
        <v>0</v>
      </c>
    </row>
    <row r="16" spans="1:33" ht="15.75" customHeight="1">
      <c r="A16" s="14" t="s">
        <v>38</v>
      </c>
      <c r="B16" s="14" t="s">
        <v>165</v>
      </c>
      <c r="C16" s="15" t="str">
        <f t="shared" si="1"/>
        <v xml:space="preserve"> - </v>
      </c>
      <c r="D16" s="16">
        <v>0</v>
      </c>
      <c r="E16" s="16">
        <v>1</v>
      </c>
      <c r="F16" s="17">
        <v>0</v>
      </c>
      <c r="G16" s="29">
        <v>0</v>
      </c>
      <c r="H16" s="18" t="e">
        <f t="shared" si="2"/>
        <v>#DIV/0!</v>
      </c>
      <c r="I16" s="18" t="e">
        <f t="shared" si="3"/>
        <v>#DIV/0!</v>
      </c>
      <c r="J16" s="17">
        <f t="shared" si="4"/>
        <v>0</v>
      </c>
      <c r="K16" s="17" t="e">
        <f t="shared" si="5"/>
        <v>#DIV/0!</v>
      </c>
      <c r="L16" s="16">
        <v>0</v>
      </c>
      <c r="M16" s="19" t="str">
        <f t="shared" si="6"/>
        <v>-</v>
      </c>
      <c r="N16" s="16">
        <v>102</v>
      </c>
      <c r="O16" s="20">
        <f t="shared" ref="O16:P16" si="13">D16/7</f>
        <v>0</v>
      </c>
      <c r="P16" s="20">
        <f t="shared" si="13"/>
        <v>0.14285714285714285</v>
      </c>
      <c r="Q16" s="16">
        <f t="shared" si="8"/>
        <v>714</v>
      </c>
      <c r="R16" s="16"/>
      <c r="S16" s="21">
        <v>5.8823529411764698E-2</v>
      </c>
      <c r="T16" s="14">
        <v>0</v>
      </c>
      <c r="U16" s="22" t="s">
        <v>34</v>
      </c>
      <c r="V16" s="23" t="s">
        <v>34</v>
      </c>
      <c r="W16" s="14">
        <v>0</v>
      </c>
      <c r="X16" s="24">
        <f t="shared" si="9"/>
        <v>0</v>
      </c>
      <c r="Y16" s="25">
        <f t="shared" si="10"/>
        <v>0</v>
      </c>
      <c r="Z16" s="14">
        <v>0</v>
      </c>
      <c r="AA16" s="14" t="s">
        <v>35</v>
      </c>
      <c r="AB16" s="27">
        <f t="shared" si="11"/>
        <v>-0.69</v>
      </c>
      <c r="AC16" s="28">
        <v>0.34722222222222221</v>
      </c>
      <c r="AD16" s="25">
        <f t="shared" si="12"/>
        <v>0</v>
      </c>
      <c r="AE16" s="25">
        <v>-6.56</v>
      </c>
      <c r="AF16" s="25">
        <v>-2.7449999999999899</v>
      </c>
      <c r="AG16" s="25">
        <v>0</v>
      </c>
    </row>
    <row r="17" spans="1:33" ht="15.75" customHeight="1">
      <c r="A17" s="14" t="s">
        <v>40</v>
      </c>
      <c r="B17" s="14" t="s">
        <v>166</v>
      </c>
      <c r="C17" s="15">
        <f t="shared" si="1"/>
        <v>13.990000000000006</v>
      </c>
      <c r="D17" s="16">
        <v>28</v>
      </c>
      <c r="E17" s="16">
        <v>0</v>
      </c>
      <c r="F17" s="17">
        <v>391.72000000000014</v>
      </c>
      <c r="G17" s="29">
        <v>-72.629999999999981</v>
      </c>
      <c r="H17" s="18">
        <f t="shared" si="2"/>
        <v>0.18541305013785345</v>
      </c>
      <c r="I17" s="18">
        <f t="shared" si="3"/>
        <v>0.11477015517248804</v>
      </c>
      <c r="J17" s="17">
        <f t="shared" si="4"/>
        <v>44.95776518416703</v>
      </c>
      <c r="K17" s="17">
        <f t="shared" si="5"/>
        <v>1.6056344708631083</v>
      </c>
      <c r="L17" s="16">
        <v>85</v>
      </c>
      <c r="M17" s="19">
        <f t="shared" si="6"/>
        <v>0.32941176470588235</v>
      </c>
      <c r="N17" s="16">
        <v>80</v>
      </c>
      <c r="O17" s="20">
        <f t="shared" ref="O17:P17" si="14">D17/7</f>
        <v>4</v>
      </c>
      <c r="P17" s="20">
        <f t="shared" si="14"/>
        <v>0</v>
      </c>
      <c r="Q17" s="16">
        <f t="shared" si="8"/>
        <v>20</v>
      </c>
      <c r="R17" s="16"/>
      <c r="S17" s="21">
        <v>0.50561797752808901</v>
      </c>
      <c r="T17" s="14">
        <v>0</v>
      </c>
      <c r="U17" s="22" t="s">
        <v>34</v>
      </c>
      <c r="V17" s="23" t="s">
        <v>34</v>
      </c>
      <c r="W17" s="14">
        <v>15</v>
      </c>
      <c r="X17" s="24">
        <f t="shared" si="9"/>
        <v>0.5357142857142857</v>
      </c>
      <c r="Y17" s="25">
        <f t="shared" si="10"/>
        <v>2.9051999999999993</v>
      </c>
      <c r="Z17" s="14">
        <v>10</v>
      </c>
      <c r="AA17" s="14" t="s">
        <v>35</v>
      </c>
      <c r="AB17" s="27">
        <f t="shared" si="11"/>
        <v>-0.69</v>
      </c>
      <c r="AC17" s="28">
        <v>3.4012288194444448E-2</v>
      </c>
      <c r="AD17" s="25">
        <f t="shared" si="12"/>
        <v>-1.3142348158333335</v>
      </c>
      <c r="AE17" s="25">
        <v>-4.9000000000000004</v>
      </c>
      <c r="AF17" s="25">
        <v>-2.7449999999999899</v>
      </c>
      <c r="AG17" s="25">
        <v>0</v>
      </c>
    </row>
    <row r="18" spans="1:33" ht="15.75" customHeight="1">
      <c r="A18" s="14" t="s">
        <v>42</v>
      </c>
      <c r="B18" s="14" t="s">
        <v>167</v>
      </c>
      <c r="C18" s="15">
        <f t="shared" si="1"/>
        <v>14.55916666666667</v>
      </c>
      <c r="D18" s="16">
        <v>24</v>
      </c>
      <c r="E18" s="16">
        <v>0</v>
      </c>
      <c r="F18" s="17">
        <v>349.42000000000007</v>
      </c>
      <c r="G18" s="29">
        <v>-11.43</v>
      </c>
      <c r="H18" s="18">
        <f t="shared" si="2"/>
        <v>3.2711350237536484E-2</v>
      </c>
      <c r="I18" s="18">
        <f t="shared" si="3"/>
        <v>0.28896603804876725</v>
      </c>
      <c r="J18" s="17">
        <f t="shared" si="4"/>
        <v>100.97051301500028</v>
      </c>
      <c r="K18" s="17">
        <f t="shared" si="5"/>
        <v>4.2071047089583447</v>
      </c>
      <c r="L18" s="16">
        <v>64</v>
      </c>
      <c r="M18" s="19">
        <f t="shared" si="6"/>
        <v>0.375</v>
      </c>
      <c r="N18" s="16">
        <v>52</v>
      </c>
      <c r="O18" s="20">
        <f t="shared" ref="O18:P18" si="15">D18/7</f>
        <v>3.4285714285714284</v>
      </c>
      <c r="P18" s="20">
        <f t="shared" si="15"/>
        <v>0</v>
      </c>
      <c r="Q18" s="16">
        <f t="shared" si="8"/>
        <v>15</v>
      </c>
      <c r="R18" s="16"/>
      <c r="S18" s="21">
        <v>0.97350993377483397</v>
      </c>
      <c r="T18" s="14">
        <v>0</v>
      </c>
      <c r="U18" s="22">
        <v>0</v>
      </c>
      <c r="V18" s="23" t="s">
        <v>34</v>
      </c>
      <c r="W18" s="14">
        <v>4</v>
      </c>
      <c r="X18" s="24">
        <f t="shared" si="9"/>
        <v>0.16666666666666666</v>
      </c>
      <c r="Y18" s="25">
        <f t="shared" si="10"/>
        <v>2.286</v>
      </c>
      <c r="Z18" s="14">
        <v>1</v>
      </c>
      <c r="AA18" s="14" t="s">
        <v>35</v>
      </c>
      <c r="AB18" s="27">
        <f t="shared" si="11"/>
        <v>-0.69</v>
      </c>
      <c r="AC18" s="28">
        <v>3.4012288194444448E-2</v>
      </c>
      <c r="AD18" s="25">
        <f t="shared" si="12"/>
        <v>-1.1264869850000001</v>
      </c>
      <c r="AE18" s="25">
        <v>-4.9000000000000004</v>
      </c>
      <c r="AF18" s="25">
        <v>-2.7449999999999899</v>
      </c>
      <c r="AG18" s="25">
        <v>0</v>
      </c>
    </row>
    <row r="19" spans="1:33" ht="15.75" customHeight="1">
      <c r="A19" s="14" t="s">
        <v>44</v>
      </c>
      <c r="B19" s="14" t="s">
        <v>168</v>
      </c>
      <c r="C19" s="15">
        <f t="shared" si="1"/>
        <v>16.328749999999996</v>
      </c>
      <c r="D19" s="16">
        <v>16</v>
      </c>
      <c r="E19" s="16">
        <v>0</v>
      </c>
      <c r="F19" s="17">
        <v>261.25999999999993</v>
      </c>
      <c r="G19" s="29">
        <v>0</v>
      </c>
      <c r="H19" s="18">
        <f t="shared" si="2"/>
        <v>0</v>
      </c>
      <c r="I19" s="18">
        <f t="shared" si="3"/>
        <v>0.37106334179233952</v>
      </c>
      <c r="J19" s="17">
        <f t="shared" si="4"/>
        <v>96.944008676666598</v>
      </c>
      <c r="K19" s="17">
        <f t="shared" si="5"/>
        <v>6.0590005422916624</v>
      </c>
      <c r="L19" s="16">
        <v>46</v>
      </c>
      <c r="M19" s="19">
        <f t="shared" si="6"/>
        <v>0.34782608695652173</v>
      </c>
      <c r="N19" s="16">
        <v>37</v>
      </c>
      <c r="O19" s="20">
        <f t="shared" ref="O19:P19" si="16">D19/7</f>
        <v>2.2857142857142856</v>
      </c>
      <c r="P19" s="20">
        <f t="shared" si="16"/>
        <v>0</v>
      </c>
      <c r="Q19" s="16">
        <f t="shared" si="8"/>
        <v>16</v>
      </c>
      <c r="R19" s="16"/>
      <c r="S19" s="21">
        <v>1.3333333333333299</v>
      </c>
      <c r="T19" s="14">
        <v>0</v>
      </c>
      <c r="U19" s="22" t="s">
        <v>34</v>
      </c>
      <c r="V19" s="23" t="s">
        <v>34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14" t="s">
        <v>35</v>
      </c>
      <c r="AB19" s="27">
        <f t="shared" si="11"/>
        <v>-0.69</v>
      </c>
      <c r="AC19" s="28">
        <v>3.4012288194444448E-2</v>
      </c>
      <c r="AD19" s="25">
        <f t="shared" si="12"/>
        <v>-0.7509913233333334</v>
      </c>
      <c r="AE19" s="25">
        <v>-4.9000000000000004</v>
      </c>
      <c r="AF19" s="25">
        <v>-2.8734999999999999</v>
      </c>
      <c r="AG19" s="25">
        <v>0</v>
      </c>
    </row>
    <row r="20" spans="1:33" ht="15.75" customHeight="1">
      <c r="A20" s="14" t="s">
        <v>46</v>
      </c>
      <c r="B20" s="14" t="s">
        <v>169</v>
      </c>
      <c r="C20" s="15">
        <f t="shared" si="1"/>
        <v>17.836818181818185</v>
      </c>
      <c r="D20" s="16">
        <v>22</v>
      </c>
      <c r="E20" s="16">
        <v>0</v>
      </c>
      <c r="F20" s="17">
        <v>392.41</v>
      </c>
      <c r="G20" s="29">
        <v>0</v>
      </c>
      <c r="H20" s="18">
        <f t="shared" si="2"/>
        <v>0</v>
      </c>
      <c r="I20" s="18">
        <f t="shared" si="3"/>
        <v>0.41155650195055338</v>
      </c>
      <c r="J20" s="17">
        <f t="shared" si="4"/>
        <v>161.49888693041666</v>
      </c>
      <c r="K20" s="17">
        <f t="shared" si="5"/>
        <v>7.3408584968371207</v>
      </c>
      <c r="L20" s="16">
        <v>28</v>
      </c>
      <c r="M20" s="19">
        <f t="shared" si="6"/>
        <v>0.7857142857142857</v>
      </c>
      <c r="N20" s="16">
        <v>14</v>
      </c>
      <c r="O20" s="20">
        <f t="shared" ref="O20:P20" si="17">D20/7</f>
        <v>3.1428571428571428</v>
      </c>
      <c r="P20" s="20">
        <f t="shared" si="17"/>
        <v>0</v>
      </c>
      <c r="Q20" s="16">
        <f t="shared" si="8"/>
        <v>4</v>
      </c>
      <c r="R20" s="16"/>
      <c r="S20" s="21">
        <v>2.5920000000000001</v>
      </c>
      <c r="T20" s="14">
        <v>0</v>
      </c>
      <c r="U20" s="22" t="s">
        <v>34</v>
      </c>
      <c r="V20" s="23" t="s">
        <v>34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14" t="s">
        <v>35</v>
      </c>
      <c r="AB20" s="27">
        <f t="shared" si="11"/>
        <v>-0.69</v>
      </c>
      <c r="AC20" s="28">
        <v>3.4012288194444448E-2</v>
      </c>
      <c r="AD20" s="25">
        <f t="shared" si="12"/>
        <v>-1.0326130695833333</v>
      </c>
      <c r="AE20" s="25">
        <v>-4.9000000000000004</v>
      </c>
      <c r="AF20" s="25">
        <v>-2.8734999999999999</v>
      </c>
      <c r="AG20" s="25">
        <v>0</v>
      </c>
    </row>
    <row r="21" spans="1:33" ht="15.75" customHeight="1">
      <c r="A21" s="14" t="s">
        <v>47</v>
      </c>
      <c r="B21" s="14" t="s">
        <v>45</v>
      </c>
      <c r="C21" s="15">
        <f t="shared" si="1"/>
        <v>20.833333333333332</v>
      </c>
      <c r="D21" s="16">
        <v>12</v>
      </c>
      <c r="E21" s="16">
        <v>0</v>
      </c>
      <c r="F21" s="17">
        <v>250</v>
      </c>
      <c r="G21" s="29">
        <v>0</v>
      </c>
      <c r="H21" s="18">
        <f t="shared" si="2"/>
        <v>0</v>
      </c>
      <c r="I21" s="18">
        <f t="shared" si="3"/>
        <v>0.47461902602999995</v>
      </c>
      <c r="J21" s="17">
        <f t="shared" si="4"/>
        <v>118.65475650749998</v>
      </c>
      <c r="K21" s="17">
        <f t="shared" si="5"/>
        <v>9.8878963756249991</v>
      </c>
      <c r="L21" s="16">
        <v>21</v>
      </c>
      <c r="M21" s="19">
        <f t="shared" si="6"/>
        <v>0.5714285714285714</v>
      </c>
      <c r="N21" s="16">
        <v>0</v>
      </c>
      <c r="O21" s="20">
        <f t="shared" ref="O21:P21" si="18">D21/7</f>
        <v>1.7142857142857142</v>
      </c>
      <c r="P21" s="20">
        <f t="shared" si="18"/>
        <v>0</v>
      </c>
      <c r="Q21" s="16">
        <f t="shared" si="8"/>
        <v>0</v>
      </c>
      <c r="R21" s="16"/>
      <c r="S21" s="21">
        <v>4.2947368421052596</v>
      </c>
      <c r="T21" s="14">
        <v>200</v>
      </c>
      <c r="U21" s="22" t="s">
        <v>34</v>
      </c>
      <c r="V21" s="23" t="s">
        <v>34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14" t="s">
        <v>35</v>
      </c>
      <c r="AB21" s="27">
        <f t="shared" si="11"/>
        <v>-0.69</v>
      </c>
      <c r="AC21" s="28">
        <v>3.4012288194444448E-2</v>
      </c>
      <c r="AD21" s="25">
        <f t="shared" si="12"/>
        <v>-0.56324349250000005</v>
      </c>
      <c r="AE21" s="25">
        <v>-4.9000000000000004</v>
      </c>
      <c r="AF21" s="25">
        <v>-2.8734999999999999</v>
      </c>
      <c r="AG21" s="25">
        <v>0</v>
      </c>
    </row>
    <row r="22" spans="1:33" ht="15.75" customHeight="1">
      <c r="A22" s="14" t="s">
        <v>48</v>
      </c>
      <c r="B22" s="14"/>
      <c r="C22" s="15" t="str">
        <f t="shared" si="1"/>
        <v xml:space="preserve"> - </v>
      </c>
      <c r="D22" s="16">
        <v>0</v>
      </c>
      <c r="E22" s="16">
        <v>0</v>
      </c>
      <c r="F22" s="29">
        <v>0</v>
      </c>
      <c r="G22" s="29">
        <v>0</v>
      </c>
      <c r="H22" s="18" t="e">
        <f t="shared" si="2"/>
        <v>#DIV/0!</v>
      </c>
      <c r="I22" s="18" t="e">
        <f t="shared" si="3"/>
        <v>#DIV/0!</v>
      </c>
      <c r="J22" s="17">
        <f t="shared" si="4"/>
        <v>0</v>
      </c>
      <c r="K22" s="17" t="e">
        <f t="shared" si="5"/>
        <v>#DIV/0!</v>
      </c>
      <c r="L22" s="16">
        <v>0</v>
      </c>
      <c r="M22" s="19" t="str">
        <f t="shared" si="6"/>
        <v>-</v>
      </c>
      <c r="N22" s="16">
        <v>0</v>
      </c>
      <c r="O22" s="20">
        <f t="shared" ref="O22:P22" si="19">D22/7</f>
        <v>0</v>
      </c>
      <c r="P22" s="20">
        <f t="shared" si="19"/>
        <v>0</v>
      </c>
      <c r="Q22" s="16" t="e">
        <f t="shared" si="8"/>
        <v>#DIV/0!</v>
      </c>
      <c r="R22" s="16"/>
      <c r="S22" s="21">
        <v>6.4375</v>
      </c>
      <c r="T22" s="14">
        <v>400</v>
      </c>
      <c r="U22" s="22" t="s">
        <v>34</v>
      </c>
      <c r="V22" s="23" t="s">
        <v>34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35</v>
      </c>
      <c r="AB22" s="27">
        <f t="shared" si="11"/>
        <v>-0.69</v>
      </c>
      <c r="AC22" s="28">
        <v>3.4012288194444448E-2</v>
      </c>
      <c r="AD22" s="25">
        <f t="shared" si="12"/>
        <v>0</v>
      </c>
      <c r="AE22" s="25">
        <v>-4.9000000000000004</v>
      </c>
      <c r="AF22" s="25">
        <v>-2.8734999999999999</v>
      </c>
      <c r="AG22" s="25">
        <v>0</v>
      </c>
    </row>
    <row r="23" spans="1:33" ht="15.75" customHeight="1">
      <c r="A23" s="14" t="s">
        <v>49</v>
      </c>
      <c r="B23" s="14"/>
      <c r="C23" s="15" t="str">
        <f t="shared" si="1"/>
        <v xml:space="preserve"> - </v>
      </c>
      <c r="D23" s="16">
        <v>0</v>
      </c>
      <c r="E23" s="16">
        <v>0</v>
      </c>
      <c r="F23" s="17">
        <v>0</v>
      </c>
      <c r="G23" s="29">
        <v>0</v>
      </c>
      <c r="H23" s="18" t="e">
        <f t="shared" si="2"/>
        <v>#DIV/0!</v>
      </c>
      <c r="I23" s="18" t="e">
        <f t="shared" si="3"/>
        <v>#DIV/0!</v>
      </c>
      <c r="J23" s="17">
        <f t="shared" si="4"/>
        <v>0</v>
      </c>
      <c r="K23" s="17" t="e">
        <f t="shared" si="5"/>
        <v>#DIV/0!</v>
      </c>
      <c r="L23" s="16">
        <v>0</v>
      </c>
      <c r="M23" s="19" t="str">
        <f t="shared" si="6"/>
        <v>-</v>
      </c>
      <c r="N23" s="16">
        <v>0</v>
      </c>
      <c r="O23" s="20">
        <f t="shared" ref="O23:P23" si="20">D23/7</f>
        <v>0</v>
      </c>
      <c r="P23" s="20">
        <f t="shared" si="20"/>
        <v>0</v>
      </c>
      <c r="Q23" s="16" t="e">
        <f t="shared" si="8"/>
        <v>#DIV/0!</v>
      </c>
      <c r="R23" s="16"/>
      <c r="S23" s="21">
        <v>2.7651006711409298</v>
      </c>
      <c r="T23" s="14">
        <v>600</v>
      </c>
      <c r="U23" s="22" t="s">
        <v>34</v>
      </c>
      <c r="V23" s="23" t="s">
        <v>34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35</v>
      </c>
      <c r="AB23" s="27">
        <f t="shared" si="11"/>
        <v>-0.69</v>
      </c>
      <c r="AC23" s="28">
        <v>3.4012288194444448E-2</v>
      </c>
      <c r="AD23" s="25">
        <f t="shared" si="12"/>
        <v>0</v>
      </c>
      <c r="AE23" s="25">
        <v>-4.9000000000000004</v>
      </c>
      <c r="AF23" s="25">
        <v>-2.8734999999999999</v>
      </c>
      <c r="AG23" s="25">
        <v>0</v>
      </c>
    </row>
    <row r="24" spans="1:33" ht="15.75" customHeight="1">
      <c r="A24" s="14" t="s">
        <v>50</v>
      </c>
      <c r="B24" s="14"/>
      <c r="C24" s="15" t="str">
        <f t="shared" si="1"/>
        <v xml:space="preserve"> - </v>
      </c>
      <c r="D24" s="16">
        <v>0</v>
      </c>
      <c r="E24" s="16">
        <v>0</v>
      </c>
      <c r="F24" s="17">
        <v>0</v>
      </c>
      <c r="G24" s="17">
        <v>0</v>
      </c>
      <c r="H24" s="18" t="e">
        <f t="shared" si="2"/>
        <v>#DIV/0!</v>
      </c>
      <c r="I24" s="18" t="e">
        <f t="shared" si="3"/>
        <v>#DIV/0!</v>
      </c>
      <c r="J24" s="17">
        <f t="shared" si="4"/>
        <v>0</v>
      </c>
      <c r="K24" s="17" t="e">
        <f t="shared" si="5"/>
        <v>#DIV/0!</v>
      </c>
      <c r="L24" s="16">
        <v>0</v>
      </c>
      <c r="M24" s="19" t="str">
        <f t="shared" si="6"/>
        <v>-</v>
      </c>
      <c r="N24" s="16">
        <v>0</v>
      </c>
      <c r="O24" s="20">
        <f t="shared" ref="O24:P24" si="21">D24/7</f>
        <v>0</v>
      </c>
      <c r="P24" s="20">
        <f t="shared" si="21"/>
        <v>0</v>
      </c>
      <c r="Q24" s="16" t="e">
        <f t="shared" si="8"/>
        <v>#DIV/0!</v>
      </c>
      <c r="R24" s="16"/>
      <c r="S24" s="21">
        <v>3.0977443609022499</v>
      </c>
      <c r="T24" s="14">
        <v>600</v>
      </c>
      <c r="U24" s="22" t="s">
        <v>34</v>
      </c>
      <c r="V24" s="23" t="s">
        <v>34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14" t="s">
        <v>35</v>
      </c>
      <c r="AB24" s="27">
        <f t="shared" si="11"/>
        <v>-0.69</v>
      </c>
      <c r="AC24" s="28">
        <v>3.4012288194444448E-2</v>
      </c>
      <c r="AD24" s="25">
        <f t="shared" si="12"/>
        <v>0</v>
      </c>
      <c r="AE24" s="25">
        <v>-4.9000000000000004</v>
      </c>
      <c r="AF24" s="25">
        <v>-2.8734999999999999</v>
      </c>
      <c r="AG24" s="25">
        <v>0</v>
      </c>
    </row>
    <row r="25" spans="1:33" ht="15.75" customHeight="1">
      <c r="A25" s="14" t="s">
        <v>51</v>
      </c>
      <c r="B25" s="14"/>
      <c r="C25" s="15" t="str">
        <f t="shared" si="1"/>
        <v xml:space="preserve"> - </v>
      </c>
      <c r="D25" s="16">
        <v>0</v>
      </c>
      <c r="E25" s="16">
        <v>0</v>
      </c>
      <c r="F25" s="17">
        <v>0</v>
      </c>
      <c r="G25" s="17">
        <v>0</v>
      </c>
      <c r="H25" s="18" t="e">
        <f t="shared" si="2"/>
        <v>#DIV/0!</v>
      </c>
      <c r="I25" s="18" t="e">
        <f t="shared" si="3"/>
        <v>#DIV/0!</v>
      </c>
      <c r="J25" s="17">
        <f t="shared" si="4"/>
        <v>0</v>
      </c>
      <c r="K25" s="17" t="e">
        <f t="shared" si="5"/>
        <v>#DIV/0!</v>
      </c>
      <c r="L25" s="16">
        <v>0</v>
      </c>
      <c r="M25" s="19" t="str">
        <f t="shared" si="6"/>
        <v>-</v>
      </c>
      <c r="N25" s="16">
        <v>0</v>
      </c>
      <c r="O25" s="20">
        <f t="shared" ref="O25:P25" si="22">D25/7</f>
        <v>0</v>
      </c>
      <c r="P25" s="20">
        <f t="shared" si="22"/>
        <v>0</v>
      </c>
      <c r="Q25" s="16" t="e">
        <f t="shared" si="8"/>
        <v>#DIV/0!</v>
      </c>
      <c r="R25" s="16"/>
      <c r="S25" s="21">
        <v>0</v>
      </c>
      <c r="T25" s="14">
        <v>904</v>
      </c>
      <c r="U25" s="22" t="s">
        <v>34</v>
      </c>
      <c r="V25" s="23" t="s">
        <v>34</v>
      </c>
      <c r="W25" s="30">
        <v>0</v>
      </c>
      <c r="X25" s="24">
        <f t="shared" si="9"/>
        <v>0</v>
      </c>
      <c r="Y25" s="25">
        <f t="shared" si="10"/>
        <v>0</v>
      </c>
      <c r="Z25" s="30">
        <v>0</v>
      </c>
      <c r="AA25" s="14" t="s">
        <v>35</v>
      </c>
      <c r="AB25" s="27">
        <f t="shared" si="11"/>
        <v>-0.69</v>
      </c>
      <c r="AC25" s="28">
        <v>3.4012288194444448E-2</v>
      </c>
      <c r="AD25" s="25">
        <f t="shared" si="12"/>
        <v>0</v>
      </c>
      <c r="AE25" s="25">
        <v>-4.9000000000000004</v>
      </c>
      <c r="AF25" s="25">
        <v>-2.87</v>
      </c>
      <c r="AG25" s="25">
        <v>0</v>
      </c>
    </row>
    <row r="26" spans="1:33" ht="15.75" customHeight="1">
      <c r="A26" s="14" t="s">
        <v>52</v>
      </c>
      <c r="B26" s="14"/>
      <c r="C26" s="15" t="str">
        <f t="shared" si="1"/>
        <v xml:space="preserve"> - </v>
      </c>
      <c r="D26" s="16">
        <v>0</v>
      </c>
      <c r="E26" s="16">
        <v>0</v>
      </c>
      <c r="F26" s="17">
        <v>0</v>
      </c>
      <c r="G26" s="17">
        <v>0</v>
      </c>
      <c r="H26" s="18" t="e">
        <f t="shared" si="2"/>
        <v>#DIV/0!</v>
      </c>
      <c r="I26" s="18" t="e">
        <f t="shared" si="3"/>
        <v>#DIV/0!</v>
      </c>
      <c r="J26" s="17">
        <f t="shared" si="4"/>
        <v>0</v>
      </c>
      <c r="K26" s="17" t="e">
        <f t="shared" si="5"/>
        <v>#DIV/0!</v>
      </c>
      <c r="L26" s="16">
        <v>0</v>
      </c>
      <c r="M26" s="19" t="str">
        <f t="shared" si="6"/>
        <v>-</v>
      </c>
      <c r="N26" s="16">
        <v>0</v>
      </c>
      <c r="O26" s="20">
        <f t="shared" ref="O26:P26" si="23">D26/7</f>
        <v>0</v>
      </c>
      <c r="P26" s="20">
        <f t="shared" si="23"/>
        <v>0</v>
      </c>
      <c r="Q26" s="16" t="e">
        <f t="shared" si="8"/>
        <v>#DIV/0!</v>
      </c>
      <c r="R26" s="16"/>
      <c r="S26" s="21">
        <v>0</v>
      </c>
      <c r="T26" s="14">
        <v>904</v>
      </c>
      <c r="U26" s="22" t="s">
        <v>34</v>
      </c>
      <c r="V26" s="23" t="s">
        <v>34</v>
      </c>
      <c r="W26" s="30">
        <v>0</v>
      </c>
      <c r="X26" s="24">
        <f t="shared" si="9"/>
        <v>0</v>
      </c>
      <c r="Y26" s="25">
        <f t="shared" si="10"/>
        <v>0</v>
      </c>
      <c r="Z26" s="30">
        <v>0</v>
      </c>
      <c r="AA26" s="14" t="s">
        <v>35</v>
      </c>
      <c r="AB26" s="27">
        <f t="shared" si="11"/>
        <v>-0.69</v>
      </c>
      <c r="AC26" s="28">
        <v>3.4012288194444448E-2</v>
      </c>
      <c r="AD26" s="25">
        <f t="shared" si="12"/>
        <v>0</v>
      </c>
      <c r="AE26" s="25">
        <v>-4.9000000000000004</v>
      </c>
      <c r="AF26" s="25">
        <v>-2.8734999999999999</v>
      </c>
      <c r="AG26" s="25">
        <v>0</v>
      </c>
    </row>
    <row r="27" spans="1:33" ht="15.75" customHeight="1">
      <c r="A27" s="14" t="s">
        <v>53</v>
      </c>
      <c r="B27" s="14"/>
      <c r="C27" s="15" t="str">
        <f t="shared" si="1"/>
        <v xml:space="preserve"> - </v>
      </c>
      <c r="D27" s="16">
        <v>0</v>
      </c>
      <c r="E27" s="16">
        <v>0</v>
      </c>
      <c r="F27" s="17">
        <v>0</v>
      </c>
      <c r="G27" s="17">
        <v>0</v>
      </c>
      <c r="H27" s="18" t="e">
        <f t="shared" si="2"/>
        <v>#DIV/0!</v>
      </c>
      <c r="I27" s="18" t="e">
        <f t="shared" si="3"/>
        <v>#DIV/0!</v>
      </c>
      <c r="J27" s="17">
        <f t="shared" si="4"/>
        <v>0</v>
      </c>
      <c r="K27" s="17" t="e">
        <f t="shared" si="5"/>
        <v>#DIV/0!</v>
      </c>
      <c r="L27" s="16">
        <v>0</v>
      </c>
      <c r="M27" s="19" t="str">
        <f t="shared" si="6"/>
        <v>-</v>
      </c>
      <c r="N27" s="16">
        <v>0</v>
      </c>
      <c r="O27" s="20">
        <f t="shared" ref="O27:P27" si="24">D27/7</f>
        <v>0</v>
      </c>
      <c r="P27" s="20">
        <f t="shared" si="24"/>
        <v>0</v>
      </c>
      <c r="Q27" s="16" t="e">
        <f t="shared" si="8"/>
        <v>#DIV/0!</v>
      </c>
      <c r="R27" s="16"/>
      <c r="S27" s="21">
        <v>0</v>
      </c>
      <c r="T27" s="14">
        <v>904</v>
      </c>
      <c r="U27" s="22" t="s">
        <v>34</v>
      </c>
      <c r="V27" s="23" t="s">
        <v>34</v>
      </c>
      <c r="W27" s="30">
        <v>0</v>
      </c>
      <c r="X27" s="24">
        <f t="shared" si="9"/>
        <v>0</v>
      </c>
      <c r="Y27" s="25">
        <f t="shared" si="10"/>
        <v>0</v>
      </c>
      <c r="Z27" s="30">
        <v>0</v>
      </c>
      <c r="AA27" s="14" t="s">
        <v>35</v>
      </c>
      <c r="AB27" s="27">
        <f t="shared" si="11"/>
        <v>-0.69</v>
      </c>
      <c r="AC27" s="28">
        <v>3.4012288194444448E-2</v>
      </c>
      <c r="AD27" s="25">
        <f t="shared" si="12"/>
        <v>0</v>
      </c>
      <c r="AE27" s="25">
        <v>-4.9000000000000004</v>
      </c>
      <c r="AF27" s="25">
        <v>-2.88225</v>
      </c>
      <c r="AG27" s="25">
        <v>0</v>
      </c>
    </row>
    <row r="28" spans="1:33" ht="15.75" customHeight="1">
      <c r="A28" s="14" t="s">
        <v>54</v>
      </c>
      <c r="B28" s="14"/>
      <c r="C28" s="15" t="str">
        <f t="shared" si="1"/>
        <v xml:space="preserve"> - </v>
      </c>
      <c r="D28" s="16">
        <v>0</v>
      </c>
      <c r="E28" s="16">
        <v>0</v>
      </c>
      <c r="F28" s="17">
        <v>0</v>
      </c>
      <c r="G28" s="17">
        <v>0</v>
      </c>
      <c r="H28" s="18" t="e">
        <f t="shared" si="2"/>
        <v>#DIV/0!</v>
      </c>
      <c r="I28" s="18" t="e">
        <f t="shared" si="3"/>
        <v>#DIV/0!</v>
      </c>
      <c r="J28" s="17">
        <f t="shared" si="4"/>
        <v>0</v>
      </c>
      <c r="K28" s="17" t="e">
        <f t="shared" si="5"/>
        <v>#DIV/0!</v>
      </c>
      <c r="L28" s="16">
        <v>0</v>
      </c>
      <c r="M28" s="19" t="str">
        <f t="shared" si="6"/>
        <v>-</v>
      </c>
      <c r="N28" s="16">
        <v>0</v>
      </c>
      <c r="O28" s="20">
        <f t="shared" ref="O28:P28" si="25">D28/7</f>
        <v>0</v>
      </c>
      <c r="P28" s="20">
        <f t="shared" si="25"/>
        <v>0</v>
      </c>
      <c r="Q28" s="16" t="e">
        <f t="shared" si="8"/>
        <v>#DIV/0!</v>
      </c>
      <c r="R28" s="16"/>
      <c r="S28" s="21">
        <v>0</v>
      </c>
      <c r="T28" s="14">
        <v>504</v>
      </c>
      <c r="U28" s="22" t="s">
        <v>34</v>
      </c>
      <c r="V28" s="23" t="s">
        <v>34</v>
      </c>
      <c r="W28" s="30">
        <v>0</v>
      </c>
      <c r="X28" s="24">
        <f t="shared" si="9"/>
        <v>0</v>
      </c>
      <c r="Y28" s="25">
        <f t="shared" si="10"/>
        <v>0</v>
      </c>
      <c r="Z28" s="30">
        <v>0</v>
      </c>
      <c r="AA28" s="14" t="s">
        <v>35</v>
      </c>
      <c r="AB28" s="27">
        <f t="shared" si="11"/>
        <v>-0.69</v>
      </c>
      <c r="AC28" s="28">
        <v>3.4012288194444448E-2</v>
      </c>
      <c r="AD28" s="25">
        <f t="shared" si="12"/>
        <v>0</v>
      </c>
      <c r="AE28" s="25">
        <v>-4.9000000000000004</v>
      </c>
      <c r="AF28" s="25">
        <v>-2.88225</v>
      </c>
      <c r="AG28" s="25">
        <v>0</v>
      </c>
    </row>
    <row r="29" spans="1:33" ht="15.75" customHeight="1">
      <c r="A29" s="14" t="s">
        <v>55</v>
      </c>
      <c r="B29" s="14"/>
      <c r="C29" s="15" t="str">
        <f t="shared" si="1"/>
        <v xml:space="preserve"> - </v>
      </c>
      <c r="D29" s="16">
        <v>0</v>
      </c>
      <c r="E29" s="16">
        <v>0</v>
      </c>
      <c r="F29" s="17">
        <v>0</v>
      </c>
      <c r="G29" s="17">
        <v>0</v>
      </c>
      <c r="H29" s="18" t="e">
        <f t="shared" si="2"/>
        <v>#DIV/0!</v>
      </c>
      <c r="I29" s="18" t="e">
        <f t="shared" si="3"/>
        <v>#DIV/0!</v>
      </c>
      <c r="J29" s="17">
        <f t="shared" si="4"/>
        <v>0</v>
      </c>
      <c r="K29" s="17" t="e">
        <f t="shared" si="5"/>
        <v>#DIV/0!</v>
      </c>
      <c r="L29" s="16">
        <v>0</v>
      </c>
      <c r="M29" s="19" t="str">
        <f t="shared" si="6"/>
        <v>-</v>
      </c>
      <c r="N29" s="16">
        <v>0</v>
      </c>
      <c r="O29" s="20">
        <f t="shared" ref="O29:P29" si="26">D29/7</f>
        <v>0</v>
      </c>
      <c r="P29" s="20">
        <f t="shared" si="26"/>
        <v>0</v>
      </c>
      <c r="Q29" s="16" t="e">
        <f t="shared" si="8"/>
        <v>#DIV/0!</v>
      </c>
      <c r="R29" s="16"/>
      <c r="S29" s="21">
        <v>0</v>
      </c>
      <c r="T29" s="14">
        <v>648</v>
      </c>
      <c r="U29" s="22">
        <v>44428</v>
      </c>
      <c r="V29" s="23" t="s">
        <v>170</v>
      </c>
      <c r="W29" s="30">
        <v>0</v>
      </c>
      <c r="X29" s="24">
        <f t="shared" si="9"/>
        <v>0</v>
      </c>
      <c r="Y29" s="25">
        <f t="shared" si="10"/>
        <v>0</v>
      </c>
      <c r="Z29" s="30">
        <v>0</v>
      </c>
      <c r="AA29" s="14" t="s">
        <v>35</v>
      </c>
      <c r="AB29" s="27">
        <f t="shared" si="11"/>
        <v>-0.69</v>
      </c>
      <c r="AC29" s="28">
        <v>3.4012288194444448E-2</v>
      </c>
      <c r="AD29" s="25">
        <f t="shared" si="12"/>
        <v>0</v>
      </c>
      <c r="AE29" s="25">
        <v>-4.9000000000000004</v>
      </c>
      <c r="AF29" s="25">
        <v>-2.88225</v>
      </c>
      <c r="AG29" s="25">
        <v>0</v>
      </c>
    </row>
    <row r="30" spans="1:33" ht="15.75" customHeight="1">
      <c r="A30" s="14" t="s">
        <v>57</v>
      </c>
      <c r="B30" s="14"/>
      <c r="C30" s="15" t="str">
        <f t="shared" si="1"/>
        <v xml:space="preserve"> - </v>
      </c>
      <c r="D30" s="16">
        <v>0</v>
      </c>
      <c r="E30" s="16">
        <v>0</v>
      </c>
      <c r="F30" s="17">
        <v>0</v>
      </c>
      <c r="G30" s="17">
        <v>0</v>
      </c>
      <c r="H30" s="18" t="e">
        <f t="shared" si="2"/>
        <v>#DIV/0!</v>
      </c>
      <c r="I30" s="18" t="e">
        <f t="shared" si="3"/>
        <v>#DIV/0!</v>
      </c>
      <c r="J30" s="17">
        <f t="shared" si="4"/>
        <v>0</v>
      </c>
      <c r="K30" s="17" t="e">
        <f t="shared" si="5"/>
        <v>#DIV/0!</v>
      </c>
      <c r="L30" s="16">
        <v>0</v>
      </c>
      <c r="M30" s="19" t="str">
        <f t="shared" si="6"/>
        <v>-</v>
      </c>
      <c r="N30" s="16">
        <v>0</v>
      </c>
      <c r="O30" s="20">
        <f t="shared" ref="O30:P30" si="27">D30/7</f>
        <v>0</v>
      </c>
      <c r="P30" s="20">
        <f t="shared" si="27"/>
        <v>0</v>
      </c>
      <c r="Q30" s="16" t="e">
        <f t="shared" si="8"/>
        <v>#DIV/0!</v>
      </c>
      <c r="R30" s="16"/>
      <c r="S30" s="21">
        <v>0</v>
      </c>
      <c r="T30" s="14">
        <v>704</v>
      </c>
      <c r="U30" s="22">
        <v>144</v>
      </c>
      <c r="V30" s="23" t="s">
        <v>170</v>
      </c>
      <c r="W30" s="30">
        <v>0</v>
      </c>
      <c r="X30" s="24">
        <f t="shared" si="9"/>
        <v>0</v>
      </c>
      <c r="Y30" s="25">
        <f t="shared" si="10"/>
        <v>0</v>
      </c>
      <c r="Z30" s="30">
        <v>0</v>
      </c>
      <c r="AA30" s="14" t="s">
        <v>35</v>
      </c>
      <c r="AB30" s="27">
        <f t="shared" si="11"/>
        <v>-0.69</v>
      </c>
      <c r="AC30" s="28">
        <v>3.4012288194444448E-2</v>
      </c>
      <c r="AD30" s="25">
        <f t="shared" si="12"/>
        <v>0</v>
      </c>
      <c r="AE30" s="25">
        <v>-4.9000000000000004</v>
      </c>
      <c r="AF30" s="25">
        <v>-2.8154894879999999</v>
      </c>
      <c r="AG30" s="25">
        <v>0</v>
      </c>
    </row>
    <row r="31" spans="1:33" ht="15.75" customHeight="1">
      <c r="A31" s="14" t="s">
        <v>58</v>
      </c>
      <c r="B31" s="14"/>
      <c r="C31" s="15" t="str">
        <f t="shared" si="1"/>
        <v xml:space="preserve"> - </v>
      </c>
      <c r="D31" s="16">
        <v>0</v>
      </c>
      <c r="E31" s="16">
        <v>0</v>
      </c>
      <c r="F31" s="17">
        <v>0</v>
      </c>
      <c r="G31" s="17">
        <v>0</v>
      </c>
      <c r="H31" s="18" t="e">
        <f t="shared" si="2"/>
        <v>#DIV/0!</v>
      </c>
      <c r="I31" s="18" t="e">
        <f t="shared" si="3"/>
        <v>#DIV/0!</v>
      </c>
      <c r="J31" s="17">
        <f t="shared" si="4"/>
        <v>0</v>
      </c>
      <c r="K31" s="17" t="e">
        <f t="shared" si="5"/>
        <v>#DIV/0!</v>
      </c>
      <c r="L31" s="16">
        <v>0</v>
      </c>
      <c r="M31" s="19" t="str">
        <f t="shared" si="6"/>
        <v>-</v>
      </c>
      <c r="N31" s="16">
        <v>0</v>
      </c>
      <c r="O31" s="20">
        <f t="shared" ref="O31:P31" si="28">D31/7</f>
        <v>0</v>
      </c>
      <c r="P31" s="20">
        <f t="shared" si="28"/>
        <v>0</v>
      </c>
      <c r="Q31" s="16" t="e">
        <f t="shared" si="8"/>
        <v>#DIV/0!</v>
      </c>
      <c r="R31" s="16"/>
      <c r="S31" s="21" t="e">
        <v>#N/A</v>
      </c>
      <c r="T31" s="14">
        <v>256</v>
      </c>
      <c r="U31" s="22" t="s">
        <v>34</v>
      </c>
      <c r="V31" s="23" t="s">
        <v>171</v>
      </c>
      <c r="W31" s="30">
        <v>0</v>
      </c>
      <c r="X31" s="24">
        <f t="shared" si="9"/>
        <v>0</v>
      </c>
      <c r="Y31" s="25">
        <f t="shared" si="10"/>
        <v>0</v>
      </c>
      <c r="Z31" s="30">
        <v>0</v>
      </c>
      <c r="AA31" s="14" t="s">
        <v>35</v>
      </c>
      <c r="AB31" s="27">
        <f t="shared" si="11"/>
        <v>-0.69</v>
      </c>
      <c r="AC31" s="28">
        <v>3.4012288194444448E-2</v>
      </c>
      <c r="AD31" s="25">
        <f t="shared" si="12"/>
        <v>0</v>
      </c>
      <c r="AE31" s="25">
        <v>-4.9000000000000004</v>
      </c>
      <c r="AF31" s="25">
        <v>-2.8154894880000003</v>
      </c>
      <c r="AG31" s="25">
        <v>0</v>
      </c>
    </row>
    <row r="32" spans="1:33" ht="15.75" customHeight="1">
      <c r="A32" s="14" t="s">
        <v>60</v>
      </c>
      <c r="B32" s="14"/>
      <c r="C32" s="15" t="str">
        <f t="shared" si="1"/>
        <v xml:space="preserve"> - </v>
      </c>
      <c r="D32" s="16">
        <v>0</v>
      </c>
      <c r="E32" s="16">
        <v>0</v>
      </c>
      <c r="F32" s="17">
        <v>0</v>
      </c>
      <c r="G32" s="17">
        <v>0</v>
      </c>
      <c r="H32" s="18" t="e">
        <f t="shared" si="2"/>
        <v>#DIV/0!</v>
      </c>
      <c r="I32" s="18" t="e">
        <f t="shared" si="3"/>
        <v>#DIV/0!</v>
      </c>
      <c r="J32" s="17">
        <f t="shared" si="4"/>
        <v>0</v>
      </c>
      <c r="K32" s="17" t="e">
        <f t="shared" si="5"/>
        <v>#DIV/0!</v>
      </c>
      <c r="L32" s="16">
        <v>0</v>
      </c>
      <c r="M32" s="19" t="str">
        <f t="shared" si="6"/>
        <v>-</v>
      </c>
      <c r="N32" s="16">
        <v>0</v>
      </c>
      <c r="O32" s="20">
        <f t="shared" ref="O32:P32" si="29">D32/7</f>
        <v>0</v>
      </c>
      <c r="P32" s="20">
        <f t="shared" si="29"/>
        <v>0</v>
      </c>
      <c r="Q32" s="16" t="e">
        <f t="shared" si="8"/>
        <v>#DIV/0!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0</v>
      </c>
      <c r="T32" s="14">
        <f ca="1">IFERROR(__xludf.DUMMYFUNCTION("IFERROR(VLOOKUP($B$2,IMPORTRANGE(""https://docs.google.com/spreadsheets/d/1KiWZV1ko8G7lnRucBRBd29jj3Be6ltMfljMDqzOkQmI/edit#gid=1381463014"",""Lookup!A:D""),4,FALSE),"""")"),256)</f>
        <v>256</v>
      </c>
      <c r="U32" s="22">
        <f ca="1">IFERROR(__xludf.DUMMYFUNCTION("IFERROR(VLOOKUP($B$2,IMPORTRANGE(""https://docs.google.com/spreadsheets/d/1KiWZV1ko8G7lnRucBRBd29jj3Be6ltMfljMDqzOkQmI/edit#gid=1381463014"",""Lookup!A:D""),3,FALSE),"""")"),144)</f>
        <v>144</v>
      </c>
      <c r="V32" s="23" t="str">
        <f ca="1">IFERROR(__xludf.DUMMYFUNCTION("IFERROR(VLOOKUP($B$2,IMPORTRANGE(""https://docs.google.com/spreadsheets/d/1KiWZV1ko8G7lnRucBRBd29jj3Be6ltMfljMDqzOkQmI/edit#gid=1381463014"",""Lookup!A:D""),2,FALSE),"""")"),"| 415  - 144 units 08/21")</f>
        <v>| 415  - 144 units 08/21</v>
      </c>
      <c r="W32" s="30">
        <v>0</v>
      </c>
      <c r="X32" s="24">
        <f t="shared" si="9"/>
        <v>0</v>
      </c>
      <c r="Y32" s="25">
        <f t="shared" si="10"/>
        <v>0</v>
      </c>
      <c r="Z32" s="30">
        <v>0</v>
      </c>
      <c r="AA32" s="14" t="s">
        <v>35</v>
      </c>
      <c r="AB32" s="27">
        <f t="shared" si="11"/>
        <v>-0.69</v>
      </c>
      <c r="AC32" s="28">
        <v>3.4012288194444448E-2</v>
      </c>
      <c r="AD32" s="25">
        <f t="shared" si="12"/>
        <v>0</v>
      </c>
      <c r="AE32" s="25">
        <v>-4.9000000000000004</v>
      </c>
      <c r="AF32" s="25">
        <v>-2.8154894879999999</v>
      </c>
      <c r="AG32" s="25">
        <v>0</v>
      </c>
    </row>
    <row r="33" spans="1:33" ht="15.75" customHeight="1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16"/>
      <c r="S33" s="21"/>
      <c r="T33" s="31"/>
      <c r="U33" s="36"/>
      <c r="V33" s="1"/>
      <c r="W33" s="31"/>
      <c r="X33" s="31"/>
      <c r="Y33" s="31"/>
      <c r="Z33" s="31"/>
      <c r="AA33" s="2"/>
      <c r="AB33" s="31"/>
      <c r="AC33" s="31"/>
      <c r="AD33" s="31"/>
      <c r="AE33" s="37"/>
      <c r="AF33" s="37"/>
      <c r="AG33" s="37"/>
    </row>
    <row r="34" spans="1:33" ht="15.75" customHeight="1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6"/>
      <c r="V34" s="1"/>
      <c r="W34" s="31"/>
      <c r="X34" s="31"/>
      <c r="Y34" s="31"/>
      <c r="Z34" s="31"/>
      <c r="AA34" s="2"/>
      <c r="AB34" s="31"/>
      <c r="AC34" s="31"/>
      <c r="AD34" s="31"/>
      <c r="AE34" s="37"/>
      <c r="AF34" s="37"/>
      <c r="AG34" s="37"/>
    </row>
    <row r="35" spans="1:33" ht="15.75" customHeight="1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6"/>
      <c r="V35" s="1"/>
      <c r="W35" s="31"/>
      <c r="X35" s="31"/>
      <c r="Y35" s="31"/>
      <c r="Z35" s="31"/>
      <c r="AA35" s="2"/>
      <c r="AB35" s="31"/>
      <c r="AC35" s="31"/>
      <c r="AD35" s="31"/>
      <c r="AE35" s="37"/>
      <c r="AF35" s="37"/>
      <c r="AG35" s="37"/>
    </row>
    <row r="36" spans="1:33" ht="15.75" customHeight="1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6"/>
      <c r="V36" s="1"/>
      <c r="W36" s="31"/>
      <c r="X36" s="31"/>
      <c r="Y36" s="31"/>
      <c r="Z36" s="31"/>
      <c r="AA36" s="2"/>
      <c r="AB36" s="31"/>
      <c r="AC36" s="31"/>
      <c r="AD36" s="31"/>
      <c r="AE36" s="37"/>
      <c r="AF36" s="37"/>
      <c r="AG36" s="37"/>
    </row>
    <row r="37" spans="1:33" ht="15.75" customHeight="1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6"/>
      <c r="V37" s="1"/>
      <c r="W37" s="31"/>
      <c r="X37" s="31"/>
      <c r="Y37" s="31"/>
      <c r="Z37" s="31"/>
      <c r="AA37" s="2"/>
      <c r="AB37" s="31"/>
      <c r="AC37" s="31"/>
      <c r="AD37" s="31"/>
      <c r="AE37" s="37"/>
      <c r="AF37" s="37"/>
      <c r="AG37" s="37"/>
    </row>
    <row r="38" spans="1:33" ht="15.75" customHeight="1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6"/>
      <c r="V38" s="1"/>
      <c r="W38" s="31"/>
      <c r="X38" s="31"/>
      <c r="Y38" s="31"/>
      <c r="Z38" s="31"/>
      <c r="AA38" s="2"/>
      <c r="AB38" s="31"/>
      <c r="AC38" s="31"/>
      <c r="AD38" s="31"/>
      <c r="AE38" s="37"/>
      <c r="AF38" s="37"/>
      <c r="AG38" s="37"/>
    </row>
    <row r="39" spans="1:33" ht="15.75" customHeight="1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6"/>
      <c r="V39" s="1"/>
      <c r="W39" s="31"/>
      <c r="X39" s="31"/>
      <c r="Y39" s="31"/>
      <c r="Z39" s="31"/>
      <c r="AA39" s="2"/>
      <c r="AB39" s="31"/>
      <c r="AC39" s="31"/>
      <c r="AD39" s="31"/>
      <c r="AE39" s="37"/>
      <c r="AF39" s="37"/>
      <c r="AG39" s="37"/>
    </row>
    <row r="40" spans="1:33" ht="15.75" customHeight="1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6"/>
      <c r="V40" s="1"/>
      <c r="W40" s="31"/>
      <c r="X40" s="31"/>
      <c r="Y40" s="31"/>
      <c r="Z40" s="31"/>
      <c r="AA40" s="2"/>
      <c r="AB40" s="31"/>
      <c r="AC40" s="31"/>
      <c r="AD40" s="31"/>
      <c r="AE40" s="37"/>
      <c r="AF40" s="37"/>
      <c r="AG40" s="37"/>
    </row>
    <row r="41" spans="1:33" ht="15.75" customHeight="1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6"/>
      <c r="V41" s="1"/>
      <c r="W41" s="31"/>
      <c r="X41" s="31"/>
      <c r="Y41" s="31"/>
      <c r="Z41" s="31"/>
      <c r="AA41" s="2"/>
      <c r="AB41" s="31"/>
      <c r="AC41" s="31"/>
      <c r="AD41" s="31"/>
      <c r="AE41" s="37"/>
      <c r="AF41" s="37"/>
      <c r="AG41" s="37"/>
    </row>
    <row r="42" spans="1:33" ht="15.75" customHeight="1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6"/>
      <c r="V42" s="1"/>
      <c r="W42" s="31"/>
      <c r="X42" s="31"/>
      <c r="Y42" s="31"/>
      <c r="Z42" s="31"/>
      <c r="AA42" s="2"/>
      <c r="AB42" s="31"/>
      <c r="AC42" s="31"/>
      <c r="AD42" s="31"/>
      <c r="AE42" s="37"/>
      <c r="AF42" s="37"/>
      <c r="AG42" s="37"/>
    </row>
    <row r="43" spans="1:33" ht="15.75" customHeight="1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6"/>
      <c r="V43" s="1"/>
      <c r="W43" s="31"/>
      <c r="X43" s="31"/>
      <c r="Y43" s="31"/>
      <c r="Z43" s="31"/>
      <c r="AA43" s="2"/>
      <c r="AB43" s="31"/>
      <c r="AC43" s="31"/>
      <c r="AD43" s="31"/>
      <c r="AE43" s="37"/>
      <c r="AF43" s="37"/>
      <c r="AG43" s="37"/>
    </row>
    <row r="44" spans="1:33" ht="15.75" customHeight="1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6"/>
      <c r="V44" s="1"/>
      <c r="W44" s="31"/>
      <c r="X44" s="31"/>
      <c r="Y44" s="31"/>
      <c r="Z44" s="31"/>
      <c r="AA44" s="2"/>
      <c r="AB44" s="31"/>
      <c r="AC44" s="31"/>
      <c r="AD44" s="31"/>
      <c r="AE44" s="37"/>
      <c r="AF44" s="37"/>
      <c r="AG44" s="37"/>
    </row>
    <row r="45" spans="1:33" ht="15.75" customHeight="1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6"/>
      <c r="V45" s="1"/>
      <c r="W45" s="31"/>
      <c r="X45" s="31"/>
      <c r="Y45" s="31"/>
      <c r="Z45" s="31"/>
      <c r="AA45" s="2"/>
      <c r="AB45" s="31"/>
      <c r="AC45" s="31"/>
      <c r="AD45" s="31"/>
      <c r="AE45" s="37"/>
      <c r="AF45" s="37"/>
      <c r="AG45" s="37"/>
    </row>
    <row r="46" spans="1:33" ht="15.75" customHeight="1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6"/>
      <c r="V46" s="1"/>
      <c r="W46" s="31"/>
      <c r="X46" s="31"/>
      <c r="Y46" s="31"/>
      <c r="Z46" s="31"/>
      <c r="AA46" s="2"/>
      <c r="AB46" s="31"/>
      <c r="AC46" s="31"/>
      <c r="AD46" s="31"/>
      <c r="AE46" s="37"/>
      <c r="AF46" s="37"/>
      <c r="AG46" s="37"/>
    </row>
    <row r="47" spans="1:33" ht="15.75" customHeight="1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6"/>
      <c r="V47" s="1"/>
      <c r="W47" s="31"/>
      <c r="X47" s="31"/>
      <c r="Y47" s="31"/>
      <c r="Z47" s="31"/>
      <c r="AA47" s="2"/>
      <c r="AB47" s="31"/>
      <c r="AC47" s="31"/>
      <c r="AD47" s="31"/>
      <c r="AE47" s="37"/>
      <c r="AF47" s="37"/>
      <c r="AG47" s="37"/>
    </row>
    <row r="48" spans="1:33" ht="15.75" customHeight="1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6"/>
      <c r="V48" s="1"/>
      <c r="W48" s="31"/>
      <c r="X48" s="31"/>
      <c r="Y48" s="31"/>
      <c r="Z48" s="31"/>
      <c r="AA48" s="2"/>
      <c r="AB48" s="31"/>
      <c r="AC48" s="31"/>
      <c r="AD48" s="31"/>
      <c r="AE48" s="37"/>
      <c r="AF48" s="37"/>
      <c r="AG48" s="37"/>
    </row>
    <row r="49" spans="1:33" ht="15.75" customHeight="1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6"/>
      <c r="V49" s="1"/>
      <c r="W49" s="31"/>
      <c r="X49" s="31"/>
      <c r="Y49" s="31"/>
      <c r="Z49" s="31"/>
      <c r="AA49" s="2"/>
      <c r="AB49" s="31"/>
      <c r="AC49" s="31"/>
      <c r="AD49" s="31"/>
      <c r="AE49" s="37"/>
      <c r="AF49" s="37"/>
      <c r="AG49" s="37"/>
    </row>
    <row r="50" spans="1:33" ht="15.75" customHeight="1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6"/>
      <c r="V50" s="1"/>
      <c r="W50" s="31"/>
      <c r="X50" s="31"/>
      <c r="Y50" s="31"/>
      <c r="Z50" s="31"/>
      <c r="AA50" s="2"/>
      <c r="AB50" s="31"/>
      <c r="AC50" s="31"/>
      <c r="AD50" s="31"/>
      <c r="AE50" s="37"/>
      <c r="AF50" s="37"/>
      <c r="AG50" s="37"/>
    </row>
    <row r="51" spans="1:33" ht="15.75" customHeight="1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6"/>
      <c r="V51" s="1"/>
      <c r="W51" s="31"/>
      <c r="X51" s="31"/>
      <c r="Y51" s="31"/>
      <c r="Z51" s="31"/>
      <c r="AA51" s="2"/>
      <c r="AB51" s="31"/>
      <c r="AC51" s="31"/>
      <c r="AD51" s="31"/>
      <c r="AE51" s="37"/>
      <c r="AF51" s="37"/>
      <c r="AG51" s="37"/>
    </row>
    <row r="52" spans="1:33" ht="15.75" customHeight="1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6"/>
      <c r="V52" s="1"/>
      <c r="W52" s="31"/>
      <c r="X52" s="31"/>
      <c r="Y52" s="31"/>
      <c r="Z52" s="31"/>
      <c r="AA52" s="2"/>
      <c r="AB52" s="31"/>
      <c r="AC52" s="31"/>
      <c r="AD52" s="31"/>
      <c r="AE52" s="37"/>
      <c r="AF52" s="37"/>
      <c r="AG52" s="37"/>
    </row>
    <row r="53" spans="1:33" ht="15.75" customHeight="1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6"/>
      <c r="V53" s="1"/>
      <c r="W53" s="31"/>
      <c r="X53" s="31"/>
      <c r="Y53" s="31"/>
      <c r="Z53" s="31"/>
      <c r="AA53" s="2"/>
      <c r="AB53" s="31"/>
      <c r="AC53" s="31"/>
      <c r="AD53" s="31"/>
      <c r="AE53" s="37"/>
      <c r="AF53" s="37"/>
      <c r="AG53" s="37"/>
    </row>
    <row r="54" spans="1:33" ht="15.75" customHeight="1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6"/>
      <c r="V54" s="1"/>
      <c r="W54" s="31"/>
      <c r="X54" s="31"/>
      <c r="Y54" s="31"/>
      <c r="Z54" s="31"/>
      <c r="AA54" s="2"/>
      <c r="AB54" s="31"/>
      <c r="AC54" s="31"/>
      <c r="AD54" s="31"/>
      <c r="AE54" s="37"/>
      <c r="AF54" s="37"/>
      <c r="AG54" s="37"/>
    </row>
    <row r="55" spans="1:33" ht="15.75" customHeight="1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6"/>
      <c r="V55" s="1"/>
      <c r="W55" s="31"/>
      <c r="X55" s="31"/>
      <c r="Y55" s="31"/>
      <c r="Z55" s="31"/>
      <c r="AA55" s="2"/>
      <c r="AB55" s="31"/>
      <c r="AC55" s="31"/>
      <c r="AD55" s="31"/>
      <c r="AE55" s="37"/>
      <c r="AF55" s="37"/>
      <c r="AG55" s="37"/>
    </row>
    <row r="56" spans="1:33" ht="15.75" customHeight="1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6"/>
      <c r="V56" s="1"/>
      <c r="W56" s="31"/>
      <c r="X56" s="31"/>
      <c r="Y56" s="31"/>
      <c r="Z56" s="31"/>
      <c r="AA56" s="2"/>
      <c r="AB56" s="31"/>
      <c r="AC56" s="31"/>
      <c r="AD56" s="31"/>
      <c r="AE56" s="37"/>
      <c r="AF56" s="37"/>
      <c r="AG56" s="37"/>
    </row>
    <row r="57" spans="1:33" ht="15.75" customHeight="1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6"/>
      <c r="V57" s="1"/>
      <c r="W57" s="31"/>
      <c r="X57" s="31"/>
      <c r="Y57" s="31"/>
      <c r="Z57" s="31"/>
      <c r="AA57" s="2"/>
      <c r="AB57" s="31"/>
      <c r="AC57" s="31"/>
      <c r="AD57" s="31"/>
      <c r="AE57" s="37"/>
      <c r="AF57" s="37"/>
      <c r="AG57" s="37"/>
    </row>
    <row r="58" spans="1:33" ht="15.75" customHeight="1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6"/>
      <c r="V58" s="1"/>
      <c r="W58" s="31"/>
      <c r="X58" s="31"/>
      <c r="Y58" s="31"/>
      <c r="Z58" s="31"/>
      <c r="AA58" s="2"/>
      <c r="AB58" s="31"/>
      <c r="AC58" s="31"/>
      <c r="AD58" s="31"/>
      <c r="AE58" s="37"/>
      <c r="AF58" s="37"/>
      <c r="AG58" s="37"/>
    </row>
    <row r="59" spans="1:33" ht="15.75" customHeight="1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6"/>
      <c r="V59" s="1"/>
      <c r="W59" s="31"/>
      <c r="X59" s="31"/>
      <c r="Y59" s="31"/>
      <c r="Z59" s="31"/>
      <c r="AA59" s="2"/>
      <c r="AB59" s="31"/>
      <c r="AC59" s="31"/>
      <c r="AD59" s="31"/>
      <c r="AE59" s="37"/>
      <c r="AF59" s="37"/>
      <c r="AG59" s="37"/>
    </row>
    <row r="60" spans="1:33" ht="15.75" customHeight="1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6"/>
      <c r="V60" s="1"/>
      <c r="W60" s="31"/>
      <c r="X60" s="31"/>
      <c r="Y60" s="31"/>
      <c r="Z60" s="31"/>
      <c r="AA60" s="2"/>
      <c r="AB60" s="31"/>
      <c r="AC60" s="31"/>
      <c r="AD60" s="31"/>
      <c r="AE60" s="37"/>
      <c r="AF60" s="37"/>
      <c r="AG60" s="37"/>
    </row>
    <row r="61" spans="1:33" ht="15.75" customHeight="1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6"/>
      <c r="V61" s="1"/>
      <c r="W61" s="31"/>
      <c r="X61" s="31"/>
      <c r="Y61" s="31"/>
      <c r="Z61" s="31"/>
      <c r="AA61" s="2"/>
      <c r="AB61" s="31"/>
      <c r="AC61" s="31"/>
      <c r="AD61" s="31"/>
      <c r="AE61" s="37"/>
      <c r="AF61" s="37"/>
      <c r="AG61" s="37"/>
    </row>
    <row r="62" spans="1:33" ht="15.75" customHeight="1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6"/>
      <c r="V62" s="1"/>
      <c r="W62" s="31"/>
      <c r="X62" s="31"/>
      <c r="Y62" s="31"/>
      <c r="Z62" s="31"/>
      <c r="AA62" s="2"/>
      <c r="AB62" s="31"/>
      <c r="AC62" s="31"/>
      <c r="AD62" s="31"/>
      <c r="AE62" s="37"/>
      <c r="AF62" s="37"/>
      <c r="AG62" s="37"/>
    </row>
    <row r="63" spans="1:33" ht="15.75" customHeight="1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6"/>
      <c r="V63" s="1"/>
      <c r="W63" s="31"/>
      <c r="X63" s="31"/>
      <c r="Y63" s="31"/>
      <c r="Z63" s="31"/>
      <c r="AA63" s="2"/>
      <c r="AB63" s="31"/>
      <c r="AC63" s="31"/>
      <c r="AD63" s="31"/>
      <c r="AE63" s="37"/>
      <c r="AF63" s="37"/>
      <c r="AG63" s="37"/>
    </row>
    <row r="64" spans="1:33" ht="15.75" customHeight="1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6"/>
      <c r="V64" s="1"/>
      <c r="W64" s="31"/>
      <c r="X64" s="31"/>
      <c r="Y64" s="31"/>
      <c r="Z64" s="31"/>
      <c r="AA64" s="2"/>
      <c r="AB64" s="31"/>
      <c r="AC64" s="31"/>
      <c r="AD64" s="31"/>
      <c r="AE64" s="37"/>
      <c r="AF64" s="37"/>
      <c r="AG64" s="37"/>
    </row>
    <row r="65" spans="1:33" ht="15.75" customHeight="1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6"/>
      <c r="V65" s="1"/>
      <c r="W65" s="31"/>
      <c r="X65" s="31"/>
      <c r="Y65" s="31"/>
      <c r="Z65" s="31"/>
      <c r="AA65" s="2"/>
      <c r="AB65" s="31"/>
      <c r="AC65" s="31"/>
      <c r="AD65" s="31"/>
      <c r="AE65" s="37"/>
      <c r="AF65" s="37"/>
      <c r="AG65" s="37"/>
    </row>
    <row r="66" spans="1:33" ht="15.75" customHeight="1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6"/>
      <c r="V66" s="1"/>
      <c r="W66" s="31"/>
      <c r="X66" s="31"/>
      <c r="Y66" s="31"/>
      <c r="Z66" s="31"/>
      <c r="AA66" s="2"/>
      <c r="AB66" s="31"/>
      <c r="AC66" s="31"/>
      <c r="AD66" s="31"/>
      <c r="AE66" s="37"/>
      <c r="AF66" s="37"/>
      <c r="AG66" s="37"/>
    </row>
    <row r="67" spans="1:33" ht="15.75" customHeight="1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6"/>
      <c r="V67" s="1"/>
      <c r="W67" s="31"/>
      <c r="X67" s="31"/>
      <c r="Y67" s="31"/>
      <c r="Z67" s="31"/>
      <c r="AA67" s="2"/>
      <c r="AB67" s="31"/>
      <c r="AC67" s="31"/>
      <c r="AD67" s="31"/>
      <c r="AE67" s="37"/>
      <c r="AF67" s="37"/>
      <c r="AG67" s="37"/>
    </row>
    <row r="68" spans="1:33" ht="15.75" customHeight="1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6"/>
      <c r="V68" s="1"/>
      <c r="W68" s="31"/>
      <c r="X68" s="31"/>
      <c r="Y68" s="31"/>
      <c r="Z68" s="31"/>
      <c r="AA68" s="2"/>
      <c r="AB68" s="31"/>
      <c r="AC68" s="31"/>
      <c r="AD68" s="31"/>
      <c r="AE68" s="37"/>
      <c r="AF68" s="37"/>
      <c r="AG68" s="37"/>
    </row>
    <row r="69" spans="1:33" ht="15.75" customHeight="1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6"/>
      <c r="V69" s="1"/>
      <c r="W69" s="31"/>
      <c r="X69" s="31"/>
      <c r="Y69" s="31"/>
      <c r="Z69" s="31"/>
      <c r="AA69" s="2"/>
      <c r="AB69" s="31"/>
      <c r="AC69" s="31"/>
      <c r="AD69" s="31"/>
      <c r="AE69" s="37"/>
      <c r="AF69" s="37"/>
      <c r="AG69" s="37"/>
    </row>
    <row r="70" spans="1:33" ht="15.75" customHeight="1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6"/>
      <c r="V70" s="1"/>
      <c r="W70" s="31"/>
      <c r="X70" s="31"/>
      <c r="Y70" s="31"/>
      <c r="Z70" s="31"/>
      <c r="AA70" s="2"/>
      <c r="AB70" s="31"/>
      <c r="AC70" s="31"/>
      <c r="AD70" s="31"/>
      <c r="AE70" s="37"/>
      <c r="AF70" s="37"/>
      <c r="AG70" s="37"/>
    </row>
    <row r="71" spans="1:33" ht="15.75" customHeight="1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6"/>
      <c r="V71" s="1"/>
      <c r="W71" s="31"/>
      <c r="X71" s="31"/>
      <c r="Y71" s="31"/>
      <c r="Z71" s="31"/>
      <c r="AA71" s="2"/>
      <c r="AB71" s="31"/>
      <c r="AC71" s="31"/>
      <c r="AD71" s="31"/>
      <c r="AE71" s="37"/>
      <c r="AF71" s="37"/>
      <c r="AG71" s="37"/>
    </row>
    <row r="72" spans="1:33" ht="15.75" customHeight="1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6"/>
      <c r="V72" s="1"/>
      <c r="W72" s="31"/>
      <c r="X72" s="31"/>
      <c r="Y72" s="31"/>
      <c r="Z72" s="31"/>
      <c r="AA72" s="2"/>
      <c r="AB72" s="31"/>
      <c r="AC72" s="31"/>
      <c r="AD72" s="31"/>
      <c r="AE72" s="37"/>
      <c r="AF72" s="37"/>
      <c r="AG72" s="37"/>
    </row>
    <row r="73" spans="1:33" ht="15.75" customHeight="1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6"/>
      <c r="V73" s="1"/>
      <c r="W73" s="31"/>
      <c r="X73" s="31"/>
      <c r="Y73" s="31"/>
      <c r="Z73" s="31"/>
      <c r="AA73" s="2"/>
      <c r="AB73" s="31"/>
      <c r="AC73" s="31"/>
      <c r="AD73" s="31"/>
      <c r="AE73" s="37"/>
      <c r="AF73" s="37"/>
      <c r="AG73" s="37"/>
    </row>
    <row r="74" spans="1:33" ht="15.75" customHeight="1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6"/>
      <c r="V74" s="1"/>
      <c r="W74" s="31"/>
      <c r="X74" s="31"/>
      <c r="Y74" s="31"/>
      <c r="Z74" s="31"/>
      <c r="AA74" s="2"/>
      <c r="AB74" s="31"/>
      <c r="AC74" s="31"/>
      <c r="AD74" s="31"/>
      <c r="AE74" s="37"/>
      <c r="AF74" s="37"/>
      <c r="AG74" s="37"/>
    </row>
    <row r="75" spans="1:33" ht="15.75" customHeight="1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6"/>
      <c r="V75" s="1"/>
      <c r="W75" s="31"/>
      <c r="X75" s="31"/>
      <c r="Y75" s="31"/>
      <c r="Z75" s="31"/>
      <c r="AA75" s="2"/>
      <c r="AB75" s="31"/>
      <c r="AC75" s="31"/>
      <c r="AD75" s="31"/>
      <c r="AE75" s="37"/>
      <c r="AF75" s="37"/>
      <c r="AG75" s="37"/>
    </row>
    <row r="76" spans="1:33" ht="15.75" customHeight="1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6"/>
      <c r="V76" s="1"/>
      <c r="W76" s="31"/>
      <c r="X76" s="31"/>
      <c r="Y76" s="31"/>
      <c r="Z76" s="31"/>
      <c r="AA76" s="2"/>
      <c r="AB76" s="31"/>
      <c r="AC76" s="31"/>
      <c r="AD76" s="31"/>
      <c r="AE76" s="37"/>
      <c r="AF76" s="37"/>
      <c r="AG76" s="37"/>
    </row>
    <row r="77" spans="1:33" ht="15.75" customHeight="1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6"/>
      <c r="V77" s="1"/>
      <c r="W77" s="31"/>
      <c r="X77" s="31"/>
      <c r="Y77" s="31"/>
      <c r="Z77" s="31"/>
      <c r="AA77" s="2"/>
      <c r="AB77" s="31"/>
      <c r="AC77" s="31"/>
      <c r="AD77" s="31"/>
      <c r="AE77" s="37"/>
      <c r="AF77" s="37"/>
      <c r="AG77" s="37"/>
    </row>
    <row r="78" spans="1:33" ht="15.75" customHeight="1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6"/>
      <c r="V78" s="1"/>
      <c r="W78" s="31"/>
      <c r="X78" s="31"/>
      <c r="Y78" s="31"/>
      <c r="Z78" s="31"/>
      <c r="AA78" s="2"/>
      <c r="AB78" s="31"/>
      <c r="AC78" s="31"/>
      <c r="AD78" s="31"/>
      <c r="AE78" s="37"/>
      <c r="AF78" s="37"/>
      <c r="AG78" s="37"/>
    </row>
    <row r="79" spans="1:33" ht="15.75" customHeight="1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6"/>
      <c r="V79" s="1"/>
      <c r="W79" s="31"/>
      <c r="X79" s="31"/>
      <c r="Y79" s="31"/>
      <c r="Z79" s="31"/>
      <c r="AA79" s="2"/>
      <c r="AB79" s="31"/>
      <c r="AC79" s="31"/>
      <c r="AD79" s="31"/>
      <c r="AE79" s="37"/>
      <c r="AF79" s="37"/>
      <c r="AG79" s="37"/>
    </row>
    <row r="80" spans="1:33" ht="15.75" customHeight="1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6"/>
      <c r="V80" s="1"/>
      <c r="W80" s="31"/>
      <c r="X80" s="31"/>
      <c r="Y80" s="31"/>
      <c r="Z80" s="31"/>
      <c r="AA80" s="2"/>
      <c r="AB80" s="31"/>
      <c r="AC80" s="31"/>
      <c r="AD80" s="31"/>
      <c r="AE80" s="37"/>
      <c r="AF80" s="37"/>
      <c r="AG80" s="37"/>
    </row>
    <row r="81" spans="1:33" ht="15.75" customHeight="1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6"/>
      <c r="V81" s="1"/>
      <c r="W81" s="31"/>
      <c r="X81" s="31"/>
      <c r="Y81" s="31"/>
      <c r="Z81" s="31"/>
      <c r="AA81" s="2"/>
      <c r="AB81" s="31"/>
      <c r="AC81" s="31"/>
      <c r="AD81" s="31"/>
      <c r="AE81" s="37"/>
      <c r="AF81" s="37"/>
      <c r="AG81" s="37"/>
    </row>
    <row r="82" spans="1:33" ht="15.75" customHeight="1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6"/>
      <c r="V82" s="1"/>
      <c r="W82" s="31"/>
      <c r="X82" s="31"/>
      <c r="Y82" s="31"/>
      <c r="Z82" s="31"/>
      <c r="AA82" s="2"/>
      <c r="AB82" s="31"/>
      <c r="AC82" s="31"/>
      <c r="AD82" s="31"/>
      <c r="AE82" s="37"/>
      <c r="AF82" s="37"/>
      <c r="AG82" s="37"/>
    </row>
    <row r="83" spans="1:33" ht="15.75" customHeight="1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6"/>
      <c r="V83" s="1"/>
      <c r="W83" s="31"/>
      <c r="X83" s="31"/>
      <c r="Y83" s="31"/>
      <c r="Z83" s="31"/>
      <c r="AA83" s="2"/>
      <c r="AB83" s="31"/>
      <c r="AC83" s="31"/>
      <c r="AD83" s="31"/>
      <c r="AE83" s="37"/>
      <c r="AF83" s="37"/>
      <c r="AG83" s="37"/>
    </row>
    <row r="84" spans="1:33" ht="15.75" customHeight="1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6"/>
      <c r="V84" s="1"/>
      <c r="W84" s="31"/>
      <c r="X84" s="31"/>
      <c r="Y84" s="31"/>
      <c r="Z84" s="31"/>
      <c r="AA84" s="2"/>
      <c r="AB84" s="31"/>
      <c r="AC84" s="31"/>
      <c r="AD84" s="31"/>
      <c r="AE84" s="37"/>
      <c r="AF84" s="37"/>
      <c r="AG84" s="37"/>
    </row>
    <row r="85" spans="1:33" ht="15.75" customHeight="1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6"/>
      <c r="V85" s="1"/>
      <c r="W85" s="31"/>
      <c r="X85" s="31"/>
      <c r="Y85" s="31"/>
      <c r="Z85" s="31"/>
      <c r="AA85" s="2"/>
      <c r="AB85" s="31"/>
      <c r="AC85" s="31"/>
      <c r="AD85" s="31"/>
      <c r="AE85" s="37"/>
      <c r="AF85" s="37"/>
      <c r="AG85" s="37"/>
    </row>
    <row r="86" spans="1:33" ht="15.75" customHeight="1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6"/>
      <c r="V86" s="1"/>
      <c r="W86" s="31"/>
      <c r="X86" s="31"/>
      <c r="Y86" s="31"/>
      <c r="Z86" s="31"/>
      <c r="AA86" s="2"/>
      <c r="AB86" s="31"/>
      <c r="AC86" s="31"/>
      <c r="AD86" s="31"/>
      <c r="AE86" s="37"/>
      <c r="AF86" s="37"/>
      <c r="AG86" s="37"/>
    </row>
    <row r="87" spans="1:33" ht="15.75" customHeight="1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6"/>
      <c r="V87" s="1"/>
      <c r="W87" s="31"/>
      <c r="X87" s="31"/>
      <c r="Y87" s="31"/>
      <c r="Z87" s="31"/>
      <c r="AA87" s="2"/>
      <c r="AB87" s="31"/>
      <c r="AC87" s="31"/>
      <c r="AD87" s="31"/>
      <c r="AE87" s="37"/>
      <c r="AF87" s="37"/>
      <c r="AG87" s="37"/>
    </row>
    <row r="88" spans="1:33" ht="15.75" customHeight="1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6"/>
      <c r="V88" s="1"/>
      <c r="W88" s="31"/>
      <c r="X88" s="31"/>
      <c r="Y88" s="31"/>
      <c r="Z88" s="31"/>
      <c r="AA88" s="2"/>
      <c r="AB88" s="31"/>
      <c r="AC88" s="31"/>
      <c r="AD88" s="31"/>
      <c r="AE88" s="37"/>
      <c r="AF88" s="37"/>
      <c r="AG88" s="37"/>
    </row>
    <row r="89" spans="1:33" ht="15.75" customHeight="1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6"/>
      <c r="V89" s="1"/>
      <c r="W89" s="31"/>
      <c r="X89" s="31"/>
      <c r="Y89" s="31"/>
      <c r="Z89" s="31"/>
      <c r="AA89" s="2"/>
      <c r="AB89" s="31"/>
      <c r="AC89" s="31"/>
      <c r="AD89" s="31"/>
      <c r="AE89" s="37"/>
      <c r="AF89" s="37"/>
      <c r="AG89" s="37"/>
    </row>
    <row r="90" spans="1:33" ht="15.75" customHeight="1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6"/>
      <c r="V90" s="1"/>
      <c r="W90" s="31"/>
      <c r="X90" s="31"/>
      <c r="Y90" s="31"/>
      <c r="Z90" s="31"/>
      <c r="AA90" s="2"/>
      <c r="AB90" s="31"/>
      <c r="AC90" s="31"/>
      <c r="AD90" s="31"/>
      <c r="AE90" s="37"/>
      <c r="AF90" s="37"/>
      <c r="AG90" s="37"/>
    </row>
    <row r="91" spans="1:33" ht="15.75" customHeight="1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6"/>
      <c r="V91" s="1"/>
      <c r="W91" s="31"/>
      <c r="X91" s="31"/>
      <c r="Y91" s="31"/>
      <c r="Z91" s="31"/>
      <c r="AA91" s="2"/>
      <c r="AB91" s="31"/>
      <c r="AC91" s="31"/>
      <c r="AD91" s="31"/>
      <c r="AE91" s="37"/>
      <c r="AF91" s="37"/>
      <c r="AG91" s="37"/>
    </row>
    <row r="92" spans="1:33" ht="15.75" customHeight="1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6"/>
      <c r="V92" s="1"/>
      <c r="W92" s="31"/>
      <c r="X92" s="31"/>
      <c r="Y92" s="31"/>
      <c r="Z92" s="31"/>
      <c r="AA92" s="2"/>
      <c r="AB92" s="31"/>
      <c r="AC92" s="31"/>
      <c r="AD92" s="31"/>
      <c r="AE92" s="37"/>
      <c r="AF92" s="37"/>
      <c r="AG92" s="37"/>
    </row>
    <row r="93" spans="1:33" ht="15.75" customHeight="1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6"/>
      <c r="V93" s="1"/>
      <c r="W93" s="31"/>
      <c r="X93" s="31"/>
      <c r="Y93" s="31"/>
      <c r="Z93" s="31"/>
      <c r="AA93" s="2"/>
      <c r="AB93" s="31"/>
      <c r="AC93" s="31"/>
      <c r="AD93" s="31"/>
      <c r="AE93" s="37"/>
      <c r="AF93" s="37"/>
      <c r="AG93" s="37"/>
    </row>
    <row r="94" spans="1:33" ht="15.75" customHeight="1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6"/>
      <c r="V94" s="1"/>
      <c r="W94" s="31"/>
      <c r="X94" s="31"/>
      <c r="Y94" s="31"/>
      <c r="Z94" s="31"/>
      <c r="AA94" s="2"/>
      <c r="AB94" s="31"/>
      <c r="AC94" s="31"/>
      <c r="AD94" s="31"/>
      <c r="AE94" s="37"/>
      <c r="AF94" s="37"/>
      <c r="AG94" s="37"/>
    </row>
    <row r="95" spans="1:33" ht="15.75" customHeight="1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6"/>
      <c r="V95" s="1"/>
      <c r="W95" s="31"/>
      <c r="X95" s="31"/>
      <c r="Y95" s="31"/>
      <c r="Z95" s="31"/>
      <c r="AA95" s="2"/>
      <c r="AB95" s="31"/>
      <c r="AC95" s="31"/>
      <c r="AD95" s="31"/>
      <c r="AE95" s="37"/>
      <c r="AF95" s="37"/>
      <c r="AG95" s="37"/>
    </row>
    <row r="96" spans="1:33" ht="15.75" customHeight="1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6"/>
      <c r="V96" s="1"/>
      <c r="W96" s="31"/>
      <c r="X96" s="31"/>
      <c r="Y96" s="31"/>
      <c r="Z96" s="31"/>
      <c r="AA96" s="2"/>
      <c r="AB96" s="31"/>
      <c r="AC96" s="31"/>
      <c r="AD96" s="31"/>
      <c r="AE96" s="37"/>
      <c r="AF96" s="37"/>
      <c r="AG96" s="37"/>
    </row>
    <row r="97" spans="1:33" ht="15.75" customHeight="1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8"/>
      <c r="R97" s="38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8"/>
      <c r="R98" s="38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8"/>
      <c r="R99" s="38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8"/>
      <c r="R100" s="38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8"/>
      <c r="R101" s="38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8"/>
      <c r="R102" s="38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8"/>
      <c r="R103" s="38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8"/>
      <c r="R104" s="38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8"/>
      <c r="R105" s="38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8"/>
      <c r="R106" s="38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8"/>
      <c r="R107" s="38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8"/>
      <c r="R108" s="38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8"/>
      <c r="R109" s="38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8"/>
      <c r="R110" s="38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8"/>
      <c r="R111" s="38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8"/>
      <c r="R112" s="38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8"/>
      <c r="R113" s="38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8"/>
      <c r="R114" s="38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>
      <c r="A115" s="31"/>
      <c r="B115" s="31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>
      <c r="A116" s="31"/>
      <c r="B116" s="31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>
      <c r="A117" s="31"/>
      <c r="B117" s="31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>
      <c r="A118" s="31"/>
      <c r="B118" s="31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>
      <c r="A119" s="31"/>
      <c r="B119" s="31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>
      <c r="A120" s="31"/>
      <c r="B120" s="31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>
      <c r="A121" s="31"/>
      <c r="B121" s="31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>
      <c r="A122" s="31"/>
      <c r="B122" s="31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>
      <c r="A123" s="31"/>
      <c r="B123" s="31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>
      <c r="A124" s="31"/>
      <c r="B124" s="31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>
      <c r="A125" s="31"/>
      <c r="B125" s="31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>
      <c r="A126" s="31"/>
      <c r="B126" s="31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>
      <c r="A127" s="31"/>
      <c r="B127" s="31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>
      <c r="A128" s="31"/>
      <c r="B128" s="31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>
      <c r="A129" s="31"/>
      <c r="B129" s="31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>
      <c r="A130" s="31"/>
      <c r="B130" s="31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>
      <c r="A131" s="31"/>
      <c r="B131" s="31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>
      <c r="A132" s="31"/>
      <c r="B132" s="31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>
      <c r="A133" s="31"/>
      <c r="B133" s="31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>
      <c r="A134" s="31"/>
      <c r="B134" s="31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>
      <c r="A135" s="31"/>
      <c r="B135" s="31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>
      <c r="A136" s="31"/>
      <c r="B136" s="31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>
      <c r="A137" s="31"/>
      <c r="B137" s="31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>
      <c r="A138" s="31"/>
      <c r="B138" s="31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>
      <c r="A139" s="31"/>
      <c r="B139" s="31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>
      <c r="A140" s="31"/>
      <c r="B140" s="31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>
      <c r="A141" s="31"/>
      <c r="B141" s="31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2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>
      <c r="A142" s="31"/>
      <c r="B142" s="31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2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>
      <c r="A143" s="31"/>
      <c r="B143" s="31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2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>
      <c r="A144" s="31"/>
      <c r="B144" s="31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2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>
      <c r="A145" s="31"/>
      <c r="B145" s="31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2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>
      <c r="A146" s="31"/>
      <c r="B146" s="31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2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>
      <c r="A147" s="31"/>
      <c r="B147" s="31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2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>
      <c r="A148" s="31"/>
      <c r="B148" s="31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2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</row>
    <row r="149" spans="1:33" ht="15.75" customHeight="1">
      <c r="A149" s="14"/>
      <c r="B149" s="14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>
      <c r="A150" s="14"/>
      <c r="B150" s="14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>
      <c r="A151" s="14"/>
      <c r="B151" s="14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>
      <c r="A152" s="14"/>
      <c r="B152" s="14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>
      <c r="A153" s="14"/>
      <c r="B153" s="14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>
      <c r="A154" s="14"/>
      <c r="B154" s="14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>
      <c r="A155" s="14"/>
      <c r="B155" s="14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>
      <c r="A156" s="14"/>
      <c r="B156" s="14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>
      <c r="A157" s="14"/>
      <c r="B157" s="14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>
      <c r="A158" s="14"/>
      <c r="B158" s="14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>
      <c r="A159" s="14"/>
      <c r="B159" s="14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>
      <c r="A160" s="14"/>
      <c r="B160" s="14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>
      <c r="A161" s="14"/>
      <c r="B161" s="14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>
      <c r="A162" s="14"/>
      <c r="B162" s="14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>
      <c r="A163" s="14"/>
      <c r="B163" s="14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>
      <c r="A164" s="14"/>
      <c r="B164" s="14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>
      <c r="A165" s="14"/>
      <c r="B165" s="14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>
      <c r="A166" s="14"/>
      <c r="B166" s="14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>
      <c r="A167" s="14"/>
      <c r="B167" s="14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>
      <c r="A168" s="14"/>
      <c r="B168" s="14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>
      <c r="A169" s="14"/>
      <c r="B169" s="14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>
      <c r="A170" s="14"/>
      <c r="B170" s="14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>
      <c r="A171" s="14"/>
      <c r="B171" s="14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>
      <c r="A172" s="14"/>
      <c r="B172" s="14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>
      <c r="A173" s="14"/>
      <c r="B173" s="14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>
      <c r="A174" s="14"/>
      <c r="B174" s="14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>
      <c r="A175" s="14"/>
      <c r="B175" s="14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>
      <c r="A176" s="14"/>
      <c r="B176" s="14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>
      <c r="A177" s="14"/>
      <c r="B177" s="14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>
      <c r="A178" s="14"/>
      <c r="B178" s="14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>
      <c r="A179" s="14"/>
      <c r="B179" s="14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>
      <c r="A180" s="14"/>
      <c r="B180" s="14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>
      <c r="A181" s="14"/>
      <c r="B181" s="14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>
      <c r="A182" s="14"/>
      <c r="B182" s="14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>
      <c r="A183" s="14"/>
      <c r="B183" s="14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>
      <c r="A184" s="14"/>
      <c r="B184" s="14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>
      <c r="A185" s="14"/>
      <c r="B185" s="14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>
      <c r="A186" s="14"/>
      <c r="B186" s="14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>
      <c r="A187" s="14"/>
      <c r="B187" s="14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>
      <c r="A188" s="14"/>
      <c r="B188" s="14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>
      <c r="A189" s="14"/>
      <c r="B189" s="14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>
      <c r="A190" s="14"/>
      <c r="B190" s="14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>
      <c r="A191" s="14"/>
      <c r="B191" s="14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>
      <c r="A192" s="14"/>
      <c r="B192" s="14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>
      <c r="A193" s="14"/>
      <c r="B193" s="14"/>
      <c r="C193" s="39"/>
      <c r="D193" s="39"/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>
      <c r="A194" s="14"/>
      <c r="B194" s="14"/>
      <c r="C194" s="39"/>
      <c r="D194" s="39"/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>
      <c r="A195" s="14"/>
      <c r="B195" s="14"/>
      <c r="C195" s="39"/>
      <c r="D195" s="39"/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>
      <c r="A196" s="14"/>
      <c r="B196" s="14"/>
      <c r="C196" s="39"/>
      <c r="D196" s="39"/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>
      <c r="A197" s="14"/>
      <c r="B197" s="14"/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>
      <c r="A198" s="14"/>
      <c r="B198" s="14"/>
      <c r="C198" s="39"/>
      <c r="D198" s="39"/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>
      <c r="A199" s="14"/>
      <c r="B199" s="14"/>
      <c r="C199" s="39"/>
      <c r="D199" s="39"/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>
      <c r="A200" s="14"/>
      <c r="B200" s="14"/>
      <c r="C200" s="39"/>
      <c r="D200" s="39"/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>
      <c r="A201" s="14"/>
      <c r="B201" s="14"/>
      <c r="C201" s="39"/>
      <c r="D201" s="39"/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>
      <c r="A202" s="14"/>
      <c r="B202" s="14"/>
      <c r="C202" s="39"/>
      <c r="D202" s="39"/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>
      <c r="A203" s="14"/>
      <c r="B203" s="14"/>
      <c r="C203" s="39"/>
      <c r="D203" s="39"/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>
      <c r="A204" s="14"/>
      <c r="B204" s="14"/>
      <c r="C204" s="39"/>
      <c r="D204" s="39"/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>
      <c r="A205" s="14"/>
      <c r="B205" s="14"/>
      <c r="C205" s="39"/>
      <c r="D205" s="39"/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>
      <c r="A206" s="14"/>
      <c r="B206" s="14"/>
      <c r="C206" s="39"/>
      <c r="D206" s="39"/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>
      <c r="A207" s="14"/>
      <c r="B207" s="14"/>
      <c r="C207" s="39"/>
      <c r="D207" s="39"/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>
      <c r="A208" s="14"/>
      <c r="B208" s="14"/>
      <c r="C208" s="39"/>
      <c r="D208" s="39"/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>
      <c r="A209" s="14"/>
      <c r="B209" s="14"/>
      <c r="C209" s="39"/>
      <c r="D209" s="39"/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>
      <c r="A210" s="14"/>
      <c r="B210" s="14"/>
      <c r="C210" s="39"/>
      <c r="D210" s="39"/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>
      <c r="A211" s="14"/>
      <c r="B211" s="14"/>
      <c r="C211" s="39"/>
      <c r="D211" s="39"/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>
      <c r="A212" s="14"/>
      <c r="B212" s="14"/>
      <c r="C212" s="39"/>
      <c r="D212" s="39"/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>
      <c r="A213" s="14"/>
      <c r="B213" s="14"/>
      <c r="C213" s="39"/>
      <c r="D213" s="39"/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>
      <c r="A214" s="14"/>
      <c r="B214" s="14"/>
      <c r="C214" s="39"/>
      <c r="D214" s="39"/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>
      <c r="A215" s="14"/>
      <c r="B215" s="14"/>
      <c r="C215" s="39"/>
      <c r="D215" s="39"/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>
      <c r="A216" s="14"/>
      <c r="B216" s="14"/>
      <c r="C216" s="39"/>
      <c r="D216" s="39"/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>
      <c r="A217" s="14"/>
      <c r="B217" s="14"/>
      <c r="C217" s="39"/>
      <c r="D217" s="39"/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>
      <c r="A218" s="14"/>
      <c r="B218" s="14"/>
      <c r="C218" s="39"/>
      <c r="D218" s="39"/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>
      <c r="A219" s="14"/>
      <c r="B219" s="14"/>
      <c r="C219" s="39"/>
      <c r="D219" s="39"/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>
      <c r="A220" s="14"/>
      <c r="B220" s="14"/>
      <c r="C220" s="39"/>
      <c r="D220" s="39"/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>
      <c r="R221" s="30"/>
      <c r="S221" s="40"/>
    </row>
    <row r="222" spans="1:33" ht="15.75" customHeight="1">
      <c r="R222" s="30"/>
      <c r="S222" s="40"/>
    </row>
    <row r="223" spans="1:33" ht="15.75" customHeight="1">
      <c r="R223" s="30"/>
      <c r="S223" s="40"/>
    </row>
    <row r="224" spans="1:33" ht="15.75" customHeight="1">
      <c r="R224" s="30"/>
      <c r="S224" s="40"/>
    </row>
    <row r="225" spans="18:18" ht="15.75" customHeight="1">
      <c r="R225" s="30"/>
    </row>
    <row r="226" spans="18:18" ht="15.75" customHeight="1">
      <c r="R226" s="30"/>
    </row>
    <row r="227" spans="18:18" ht="15.75" customHeight="1">
      <c r="R227" s="30"/>
    </row>
    <row r="228" spans="18:18" ht="15.75" customHeight="1">
      <c r="R228" s="30"/>
    </row>
    <row r="229" spans="18:18" ht="15.75" customHeight="1">
      <c r="R229" s="30"/>
    </row>
    <row r="230" spans="18:18" ht="15.75" customHeight="1">
      <c r="R230" s="30"/>
    </row>
    <row r="231" spans="18:18" ht="15.75" customHeight="1">
      <c r="R231" s="30"/>
    </row>
    <row r="232" spans="18:18" ht="15.75" customHeight="1">
      <c r="R232" s="30"/>
    </row>
    <row r="233" spans="18:18" ht="15.75" customHeight="1">
      <c r="R233" s="30"/>
    </row>
    <row r="234" spans="18:18" ht="15.75" customHeight="1">
      <c r="R234" s="30"/>
    </row>
    <row r="235" spans="18:18" ht="15.75" customHeight="1">
      <c r="R235" s="30"/>
    </row>
    <row r="236" spans="18:18" ht="15.75" customHeight="1">
      <c r="R236" s="30"/>
    </row>
    <row r="237" spans="18:18" ht="15.75" customHeight="1">
      <c r="R237" s="30"/>
    </row>
    <row r="238" spans="18:18" ht="15.75" customHeight="1">
      <c r="R238" s="30"/>
    </row>
    <row r="239" spans="18:18" ht="15.75" customHeight="1">
      <c r="R239" s="30"/>
    </row>
    <row r="240" spans="18:18" ht="15.75" customHeight="1">
      <c r="R240" s="30"/>
    </row>
    <row r="241" spans="18:18" ht="15.75" customHeight="1">
      <c r="R241" s="30"/>
    </row>
    <row r="242" spans="18:18" ht="15.75" customHeight="1">
      <c r="R242" s="30"/>
    </row>
    <row r="243" spans="18:18" ht="15.75" customHeight="1">
      <c r="R243" s="30"/>
    </row>
    <row r="244" spans="18:18" ht="15.75" customHeight="1">
      <c r="R244" s="30"/>
    </row>
    <row r="245" spans="18:18" ht="15.75" customHeight="1">
      <c r="R245" s="30"/>
    </row>
    <row r="246" spans="18:18" ht="15.75" customHeight="1">
      <c r="R246" s="30"/>
    </row>
    <row r="247" spans="18:18" ht="15.75" customHeight="1">
      <c r="R247" s="30"/>
    </row>
    <row r="248" spans="18:18" ht="15.75" customHeight="1">
      <c r="R248" s="30"/>
    </row>
    <row r="249" spans="18:18" ht="15.75" customHeight="1">
      <c r="R249" s="30"/>
    </row>
    <row r="250" spans="18:18" ht="15.75" customHeight="1">
      <c r="R250" s="30"/>
    </row>
    <row r="251" spans="18:18" ht="15.75" customHeight="1">
      <c r="R251" s="30"/>
    </row>
    <row r="252" spans="18:18" ht="15.75" customHeight="1">
      <c r="R252" s="30"/>
    </row>
    <row r="253" spans="18:18" ht="15.75" customHeight="1">
      <c r="R253" s="30"/>
    </row>
    <row r="254" spans="18:18" ht="15.75" customHeight="1">
      <c r="R254" s="30"/>
    </row>
    <row r="255" spans="18:18" ht="15.75" customHeight="1">
      <c r="R255" s="30"/>
    </row>
    <row r="256" spans="18:18" ht="15.75" customHeight="1">
      <c r="R256" s="30"/>
    </row>
    <row r="257" spans="18:18" ht="15.75" customHeight="1">
      <c r="R257" s="30"/>
    </row>
    <row r="258" spans="18:18" ht="15.75" customHeight="1">
      <c r="R258" s="30"/>
    </row>
    <row r="259" spans="18:18" ht="15.75" customHeight="1">
      <c r="R259" s="30"/>
    </row>
    <row r="260" spans="18:18" ht="15.75" customHeight="1">
      <c r="R260" s="30"/>
    </row>
    <row r="261" spans="18:18" ht="15.75" customHeight="1">
      <c r="R261" s="30"/>
    </row>
    <row r="262" spans="18:18" ht="15.75" customHeight="1">
      <c r="R262" s="30"/>
    </row>
    <row r="263" spans="18:18" ht="15.75" customHeight="1">
      <c r="R263" s="30"/>
    </row>
    <row r="264" spans="18:18" ht="15.75" customHeight="1">
      <c r="R264" s="30"/>
    </row>
    <row r="265" spans="18:18" ht="15.75" customHeight="1">
      <c r="R265" s="30"/>
    </row>
    <row r="266" spans="18:18" ht="15.75" customHeight="1">
      <c r="R266" s="30"/>
    </row>
    <row r="267" spans="18:18" ht="15.75" customHeight="1">
      <c r="R267" s="30"/>
    </row>
    <row r="268" spans="18:18" ht="15.75" customHeight="1">
      <c r="R268" s="30"/>
    </row>
    <row r="269" spans="18:18" ht="15.75" customHeight="1">
      <c r="R269" s="30"/>
    </row>
    <row r="270" spans="18:18" ht="15.75" customHeight="1">
      <c r="R270" s="30"/>
    </row>
    <row r="271" spans="18:18" ht="15.75" customHeight="1">
      <c r="R271" s="30"/>
    </row>
    <row r="272" spans="18:18" ht="15.75" customHeight="1">
      <c r="R272" s="30"/>
    </row>
    <row r="273" spans="18:18" ht="15.75" customHeight="1">
      <c r="R273" s="30"/>
    </row>
    <row r="274" spans="18:18" ht="15.75" customHeight="1">
      <c r="R274" s="30"/>
    </row>
    <row r="275" spans="18:18" ht="15.75" customHeight="1">
      <c r="R275" s="30"/>
    </row>
    <row r="276" spans="18:18" ht="15.75" customHeight="1">
      <c r="R276" s="30"/>
    </row>
    <row r="277" spans="18:18" ht="15.75" customHeight="1">
      <c r="R277" s="30"/>
    </row>
    <row r="278" spans="18:18" ht="15.75" customHeight="1">
      <c r="R278" s="30"/>
    </row>
    <row r="279" spans="18:18" ht="15.75" customHeight="1">
      <c r="R279" s="30"/>
    </row>
    <row r="280" spans="18:18" ht="15.75" customHeight="1">
      <c r="R280" s="30"/>
    </row>
    <row r="281" spans="18:18" ht="15.75" customHeight="1">
      <c r="R281" s="30"/>
    </row>
    <row r="282" spans="18:18" ht="15.75" customHeight="1">
      <c r="R282" s="30"/>
    </row>
    <row r="283" spans="18:18" ht="15.75" customHeight="1">
      <c r="R283" s="30"/>
    </row>
    <row r="284" spans="18:18" ht="15.75" customHeight="1">
      <c r="R284" s="30"/>
    </row>
    <row r="285" spans="18:18" ht="15.75" customHeight="1">
      <c r="R285" s="30"/>
    </row>
    <row r="286" spans="18:18" ht="15.75" customHeight="1">
      <c r="R286" s="30"/>
    </row>
    <row r="287" spans="18:18" ht="15.75" customHeight="1">
      <c r="R287" s="30"/>
    </row>
    <row r="288" spans="18:18" ht="15.75" customHeight="1">
      <c r="R288" s="30"/>
    </row>
    <row r="289" spans="18:18" ht="15.75" customHeight="1">
      <c r="R289" s="30"/>
    </row>
    <row r="290" spans="18:18" ht="15.75" customHeight="1">
      <c r="R290" s="30"/>
    </row>
    <row r="291" spans="18:18" ht="15.75" customHeight="1">
      <c r="R291" s="30"/>
    </row>
    <row r="292" spans="18:18" ht="15.75" customHeight="1">
      <c r="R292" s="30"/>
    </row>
    <row r="293" spans="18:18" ht="15.75" customHeight="1">
      <c r="R293" s="30"/>
    </row>
    <row r="294" spans="18:18" ht="15.75" customHeight="1">
      <c r="R294" s="30"/>
    </row>
    <row r="295" spans="18:18" ht="15.75" customHeight="1">
      <c r="R295" s="30"/>
    </row>
    <row r="296" spans="18:18" ht="15.75" customHeight="1">
      <c r="R296" s="30"/>
    </row>
    <row r="297" spans="18:18" ht="15.75" customHeight="1">
      <c r="R297" s="30"/>
    </row>
    <row r="298" spans="18:18" ht="15.75" customHeight="1">
      <c r="R298" s="30"/>
    </row>
    <row r="299" spans="18:18" ht="15.75" customHeight="1">
      <c r="R299" s="30"/>
    </row>
    <row r="300" spans="18:18" ht="15.75" customHeight="1">
      <c r="R300" s="30"/>
    </row>
    <row r="301" spans="18:18" ht="15.75" customHeight="1">
      <c r="R301" s="30"/>
    </row>
    <row r="302" spans="18:18" ht="15.75" customHeight="1">
      <c r="R302" s="30"/>
    </row>
    <row r="303" spans="18:18" ht="15.75" customHeight="1">
      <c r="R303" s="30"/>
    </row>
    <row r="304" spans="18:18" ht="15.75" customHeight="1">
      <c r="R304" s="30"/>
    </row>
    <row r="305" spans="18:18" ht="15.75" customHeight="1">
      <c r="R305" s="30"/>
    </row>
    <row r="306" spans="18:18" ht="15.75" customHeight="1">
      <c r="R306" s="30"/>
    </row>
    <row r="307" spans="18:18" ht="15.75" customHeight="1">
      <c r="R307" s="30"/>
    </row>
    <row r="308" spans="18:18" ht="15.75" customHeight="1">
      <c r="R308" s="30"/>
    </row>
    <row r="309" spans="18:18" ht="15.75" customHeight="1">
      <c r="R309" s="30"/>
    </row>
    <row r="310" spans="18:18" ht="15.75" customHeight="1">
      <c r="R310" s="30"/>
    </row>
    <row r="311" spans="18:18" ht="15.75" customHeight="1">
      <c r="R311" s="30"/>
    </row>
    <row r="312" spans="18:18" ht="15.75" customHeight="1">
      <c r="R312" s="30"/>
    </row>
    <row r="313" spans="18:18" ht="15.75" customHeight="1">
      <c r="R313" s="30"/>
    </row>
    <row r="314" spans="18:18" ht="15.75" customHeight="1">
      <c r="R314" s="30"/>
    </row>
    <row r="315" spans="18:18" ht="15.75" customHeight="1">
      <c r="R315" s="30"/>
    </row>
    <row r="316" spans="18:18" ht="15.75" customHeight="1">
      <c r="R316" s="30"/>
    </row>
    <row r="317" spans="18:18" ht="15.75" customHeight="1">
      <c r="R317" s="30"/>
    </row>
    <row r="318" spans="18:18" ht="15.75" customHeight="1">
      <c r="R318" s="30"/>
    </row>
    <row r="319" spans="18:18" ht="15.75" customHeight="1">
      <c r="R319" s="30"/>
    </row>
    <row r="320" spans="18:18" ht="15.75" customHeight="1">
      <c r="R320" s="30"/>
    </row>
    <row r="321" spans="18:18" ht="15.75" customHeight="1">
      <c r="R321" s="30"/>
    </row>
    <row r="322" spans="18:18" ht="15.75" customHeight="1">
      <c r="R322" s="30"/>
    </row>
    <row r="323" spans="18:18" ht="15.75" customHeight="1">
      <c r="R323" s="30"/>
    </row>
    <row r="324" spans="18:18" ht="15.75" customHeight="1">
      <c r="R324" s="30"/>
    </row>
    <row r="325" spans="18:18" ht="15.75" customHeight="1">
      <c r="R325" s="30"/>
    </row>
    <row r="326" spans="18:18" ht="15.75" customHeight="1">
      <c r="R326" s="30"/>
    </row>
    <row r="327" spans="18:18" ht="15.75" customHeight="1">
      <c r="R327" s="30"/>
    </row>
    <row r="328" spans="18:18" ht="15.75" customHeight="1">
      <c r="R328" s="30"/>
    </row>
    <row r="329" spans="18:18" ht="15.75" customHeight="1">
      <c r="R329" s="30"/>
    </row>
    <row r="330" spans="18:18" ht="15.75" customHeight="1">
      <c r="R330" s="30"/>
    </row>
    <row r="331" spans="18:18" ht="15.75" customHeight="1">
      <c r="R331" s="30"/>
    </row>
    <row r="332" spans="18:18" ht="15.75" customHeight="1">
      <c r="R332" s="30"/>
    </row>
    <row r="333" spans="18:18" ht="15.75" customHeight="1">
      <c r="R333" s="30"/>
    </row>
    <row r="334" spans="18:18" ht="15.75" customHeight="1">
      <c r="R334" s="30"/>
    </row>
    <row r="335" spans="18:18" ht="15.75" customHeight="1">
      <c r="R335" s="30"/>
    </row>
    <row r="336" spans="18:18" ht="15.75" customHeight="1">
      <c r="R336" s="30"/>
    </row>
    <row r="337" spans="18:18" ht="15.75" customHeight="1">
      <c r="R337" s="30"/>
    </row>
    <row r="338" spans="18:18" ht="15.75" customHeight="1">
      <c r="R338" s="30"/>
    </row>
    <row r="339" spans="18:18" ht="15.75" customHeight="1">
      <c r="R339" s="30"/>
    </row>
    <row r="340" spans="18:18" ht="15.75" customHeight="1">
      <c r="R340" s="30"/>
    </row>
    <row r="341" spans="18:18" ht="15.75" customHeight="1">
      <c r="R341" s="30"/>
    </row>
    <row r="342" spans="18:18" ht="15.75" customHeight="1">
      <c r="R342" s="30"/>
    </row>
    <row r="343" spans="18:18" ht="15.75" customHeight="1">
      <c r="R343" s="30"/>
    </row>
    <row r="344" spans="18:18" ht="15.75" customHeight="1">
      <c r="R344" s="30"/>
    </row>
    <row r="345" spans="18:18" ht="15.75" customHeight="1">
      <c r="R345" s="30"/>
    </row>
    <row r="346" spans="18:18" ht="15.75" customHeight="1">
      <c r="R346" s="30"/>
    </row>
    <row r="347" spans="18:18" ht="15.75" customHeight="1">
      <c r="R347" s="30"/>
    </row>
    <row r="348" spans="18:18" ht="15.75" customHeight="1">
      <c r="R348" s="30"/>
    </row>
    <row r="349" spans="18:18" ht="15.75" customHeight="1">
      <c r="R349" s="30"/>
    </row>
    <row r="350" spans="18:18" ht="15.75" customHeight="1">
      <c r="R350" s="30"/>
    </row>
    <row r="351" spans="18:18" ht="15.75" customHeight="1">
      <c r="R351" s="30"/>
    </row>
    <row r="352" spans="18:18" ht="15.75" customHeight="1">
      <c r="R352" s="30"/>
    </row>
    <row r="353" spans="18:18" ht="15.75" customHeight="1">
      <c r="R353" s="30"/>
    </row>
    <row r="354" spans="18:18" ht="15.75" customHeight="1">
      <c r="R354" s="30"/>
    </row>
    <row r="355" spans="18:18" ht="15.75" customHeight="1">
      <c r="R355" s="30"/>
    </row>
    <row r="356" spans="18:18" ht="15.75" customHeight="1">
      <c r="R356" s="30"/>
    </row>
    <row r="357" spans="18:18" ht="15.75" customHeight="1">
      <c r="R357" s="30"/>
    </row>
    <row r="358" spans="18:18" ht="15.75" customHeight="1">
      <c r="R358" s="30"/>
    </row>
    <row r="359" spans="18:18" ht="15.75" customHeight="1">
      <c r="R359" s="30"/>
    </row>
    <row r="360" spans="18:18" ht="15.75" customHeight="1">
      <c r="R360" s="30"/>
    </row>
    <row r="361" spans="18:18" ht="15.75" customHeight="1">
      <c r="R361" s="30"/>
    </row>
    <row r="362" spans="18:18" ht="15.75" customHeight="1">
      <c r="R362" s="30"/>
    </row>
    <row r="363" spans="18:18" ht="15.75" customHeight="1">
      <c r="R363" s="30"/>
    </row>
    <row r="364" spans="18:18" ht="15.75" customHeight="1">
      <c r="R364" s="30"/>
    </row>
    <row r="365" spans="18:18" ht="15.75" customHeight="1">
      <c r="R365" s="30"/>
    </row>
    <row r="366" spans="18:18" ht="15.75" customHeight="1">
      <c r="R366" s="30"/>
    </row>
    <row r="367" spans="18:18" ht="15.75" customHeight="1">
      <c r="R367" s="30"/>
    </row>
    <row r="368" spans="18:18" ht="15.75" customHeight="1">
      <c r="R368" s="30"/>
    </row>
    <row r="369" spans="18:18" ht="15.75" customHeight="1">
      <c r="R369" s="30"/>
    </row>
    <row r="370" spans="18:18" ht="15.75" customHeight="1">
      <c r="R370" s="30"/>
    </row>
    <row r="371" spans="18:18" ht="15.75" customHeight="1">
      <c r="R371" s="30"/>
    </row>
    <row r="372" spans="18:18" ht="15.75" customHeight="1">
      <c r="R372" s="30"/>
    </row>
    <row r="373" spans="18:18" ht="15.75" customHeight="1">
      <c r="R373" s="30"/>
    </row>
    <row r="374" spans="18:18" ht="15.75" customHeight="1">
      <c r="R374" s="30"/>
    </row>
    <row r="375" spans="18:18" ht="15.75" customHeight="1">
      <c r="R375" s="30"/>
    </row>
    <row r="376" spans="18:18" ht="15.75" customHeight="1">
      <c r="R376" s="30"/>
    </row>
    <row r="377" spans="18:18" ht="15.75" customHeight="1">
      <c r="R377" s="30"/>
    </row>
    <row r="378" spans="18:18" ht="15.75" customHeight="1">
      <c r="R378" s="30"/>
    </row>
    <row r="379" spans="18:18" ht="15.75" customHeight="1">
      <c r="R379" s="30"/>
    </row>
    <row r="380" spans="18:18" ht="15.75" customHeight="1">
      <c r="R380" s="30"/>
    </row>
    <row r="381" spans="18:18" ht="15.75" customHeight="1">
      <c r="R381" s="30"/>
    </row>
    <row r="382" spans="18:18" ht="15.75" customHeight="1">
      <c r="R382" s="30"/>
    </row>
    <row r="383" spans="18:18" ht="15.75" customHeight="1">
      <c r="R383" s="30"/>
    </row>
    <row r="384" spans="18:18" ht="15.75" customHeight="1">
      <c r="R384" s="30"/>
    </row>
    <row r="385" spans="18:18" ht="15.75" customHeight="1">
      <c r="R385" s="30"/>
    </row>
    <row r="386" spans="18:18" ht="15.75" customHeight="1">
      <c r="R386" s="30"/>
    </row>
    <row r="387" spans="18:18" ht="15.75" customHeight="1">
      <c r="R387" s="30"/>
    </row>
    <row r="388" spans="18:18" ht="15.75" customHeight="1">
      <c r="R388" s="30"/>
    </row>
    <row r="389" spans="18:18" ht="15.75" customHeight="1">
      <c r="R389" s="30"/>
    </row>
    <row r="390" spans="18:18" ht="15.75" customHeight="1">
      <c r="R390" s="30"/>
    </row>
    <row r="391" spans="18:18" ht="15.75" customHeight="1">
      <c r="R391" s="30"/>
    </row>
    <row r="392" spans="18:18" ht="15.75" customHeight="1">
      <c r="R392" s="30"/>
    </row>
    <row r="393" spans="18:18" ht="15.75" customHeight="1">
      <c r="R393" s="30"/>
    </row>
    <row r="394" spans="18:18" ht="15.75" customHeight="1">
      <c r="R394" s="30"/>
    </row>
    <row r="395" spans="18:18" ht="15.75" customHeight="1">
      <c r="R395" s="30"/>
    </row>
    <row r="396" spans="18:18" ht="15.75" customHeight="1">
      <c r="R396" s="30"/>
    </row>
    <row r="397" spans="18:18" ht="15.75" customHeight="1">
      <c r="R397" s="30"/>
    </row>
    <row r="398" spans="18:18" ht="15.75" customHeight="1">
      <c r="R398" s="30"/>
    </row>
    <row r="399" spans="18:18" ht="15.75" customHeight="1">
      <c r="R399" s="30"/>
    </row>
    <row r="400" spans="18:18" ht="15.75" customHeight="1">
      <c r="R400" s="30"/>
    </row>
    <row r="401" spans="18:18" ht="15.75" customHeight="1">
      <c r="R401" s="30"/>
    </row>
    <row r="402" spans="18:18" ht="15.75" customHeight="1">
      <c r="R402" s="30"/>
    </row>
    <row r="403" spans="18:18" ht="15.75" customHeight="1">
      <c r="R403" s="30"/>
    </row>
    <row r="404" spans="18:18" ht="15.75" customHeight="1">
      <c r="R404" s="30"/>
    </row>
    <row r="405" spans="18:18" ht="15.75" customHeight="1">
      <c r="R405" s="30"/>
    </row>
    <row r="406" spans="18:18" ht="15.75" customHeight="1">
      <c r="R406" s="30"/>
    </row>
    <row r="407" spans="18:18" ht="15.75" customHeight="1">
      <c r="R407" s="30"/>
    </row>
    <row r="408" spans="18:18" ht="15.75" customHeight="1">
      <c r="R408" s="30"/>
    </row>
    <row r="409" spans="18:18" ht="15.75" customHeight="1">
      <c r="R409" s="30"/>
    </row>
    <row r="410" spans="18:18" ht="15.75" customHeight="1">
      <c r="R410" s="30"/>
    </row>
    <row r="411" spans="18:18" ht="15.75" customHeight="1">
      <c r="R411" s="30"/>
    </row>
    <row r="412" spans="18:18" ht="15.75" customHeight="1">
      <c r="R412" s="30"/>
    </row>
    <row r="413" spans="18:18" ht="15.75" customHeight="1">
      <c r="R413" s="30"/>
    </row>
    <row r="414" spans="18:18" ht="15.75" customHeight="1">
      <c r="R414" s="30"/>
    </row>
    <row r="415" spans="18:18" ht="15.75" customHeight="1">
      <c r="R415" s="30"/>
    </row>
    <row r="416" spans="18:18" ht="15.75" customHeight="1">
      <c r="R416" s="30"/>
    </row>
    <row r="417" spans="18:18" ht="15.75" customHeight="1">
      <c r="R417" s="30"/>
    </row>
    <row r="418" spans="18:18" ht="15.75" customHeight="1">
      <c r="R418" s="30"/>
    </row>
    <row r="419" spans="18:18" ht="15.75" customHeight="1">
      <c r="R419" s="30"/>
    </row>
    <row r="420" spans="18:18" ht="15.75" customHeight="1">
      <c r="R420" s="30"/>
    </row>
    <row r="421" spans="18:18" ht="15.75" customHeight="1">
      <c r="R421" s="30"/>
    </row>
    <row r="422" spans="18:18" ht="15.75" customHeight="1">
      <c r="R422" s="30"/>
    </row>
    <row r="423" spans="18:18" ht="15.75" customHeight="1">
      <c r="R423" s="30"/>
    </row>
    <row r="424" spans="18:18" ht="15.75" customHeight="1">
      <c r="R424" s="30"/>
    </row>
    <row r="425" spans="18:18" ht="15.75" customHeight="1">
      <c r="R425" s="30"/>
    </row>
    <row r="426" spans="18:18" ht="15.75" customHeight="1">
      <c r="R426" s="30"/>
    </row>
    <row r="427" spans="18:18" ht="15.75" customHeight="1">
      <c r="R427" s="30"/>
    </row>
    <row r="428" spans="18:18" ht="15.75" customHeight="1">
      <c r="R428" s="30"/>
    </row>
    <row r="429" spans="18:18" ht="15.75" customHeight="1">
      <c r="R429" s="30"/>
    </row>
    <row r="430" spans="18:18" ht="15.75" customHeight="1">
      <c r="R430" s="30"/>
    </row>
    <row r="431" spans="18:18" ht="15.75" customHeight="1">
      <c r="R431" s="30"/>
    </row>
    <row r="432" spans="18:18" ht="15.75" customHeight="1">
      <c r="R432" s="30"/>
    </row>
    <row r="433" spans="18:18" ht="15.75" customHeight="1">
      <c r="R433" s="30"/>
    </row>
    <row r="434" spans="18:18" ht="15.75" customHeight="1">
      <c r="R434" s="30"/>
    </row>
    <row r="435" spans="18:18" ht="15.75" customHeight="1">
      <c r="R435" s="30"/>
    </row>
    <row r="436" spans="18:18" ht="15.75" customHeight="1">
      <c r="R436" s="30"/>
    </row>
    <row r="437" spans="18:18" ht="15.75" customHeight="1">
      <c r="R437" s="30"/>
    </row>
    <row r="438" spans="18:18" ht="15.75" customHeight="1">
      <c r="R438" s="30"/>
    </row>
    <row r="439" spans="18:18" ht="15.75" customHeight="1">
      <c r="R439" s="30"/>
    </row>
    <row r="440" spans="18:18" ht="15.75" customHeight="1">
      <c r="R440" s="30"/>
    </row>
    <row r="441" spans="18:18" ht="15.75" customHeight="1">
      <c r="R441" s="30"/>
    </row>
    <row r="442" spans="18:18" ht="15.75" customHeight="1">
      <c r="R442" s="30"/>
    </row>
    <row r="443" spans="18:18" ht="15.75" customHeight="1">
      <c r="R443" s="30"/>
    </row>
    <row r="444" spans="18:18" ht="15.75" customHeight="1">
      <c r="R444" s="30"/>
    </row>
    <row r="445" spans="18:18" ht="15.75" customHeight="1">
      <c r="R445" s="30"/>
    </row>
    <row r="446" spans="18:18" ht="15.75" customHeight="1">
      <c r="R446" s="30"/>
    </row>
    <row r="447" spans="18:18" ht="15.75" customHeight="1">
      <c r="R447" s="30"/>
    </row>
    <row r="448" spans="18:18" ht="15.75" customHeight="1">
      <c r="R448" s="30"/>
    </row>
    <row r="449" spans="18:18" ht="15.75" customHeight="1">
      <c r="R449" s="30"/>
    </row>
    <row r="450" spans="18:18" ht="15.75" customHeight="1">
      <c r="R450" s="30"/>
    </row>
    <row r="451" spans="18:18" ht="15.75" customHeight="1">
      <c r="R451" s="30"/>
    </row>
    <row r="452" spans="18:18" ht="15.75" customHeight="1">
      <c r="R452" s="30"/>
    </row>
    <row r="453" spans="18:18" ht="15.75" customHeight="1">
      <c r="R453" s="30"/>
    </row>
    <row r="454" spans="18:18" ht="15.75" customHeight="1">
      <c r="R454" s="30"/>
    </row>
    <row r="455" spans="18:18" ht="15.75" customHeight="1">
      <c r="R455" s="30"/>
    </row>
    <row r="456" spans="18:18" ht="15.75" customHeight="1">
      <c r="R456" s="30"/>
    </row>
    <row r="457" spans="18:18" ht="15.75" customHeight="1">
      <c r="R457" s="30"/>
    </row>
    <row r="458" spans="18:18" ht="15.75" customHeight="1">
      <c r="R458" s="30"/>
    </row>
    <row r="459" spans="18:18" ht="15.75" customHeight="1">
      <c r="R459" s="30"/>
    </row>
    <row r="460" spans="18:18" ht="15.75" customHeight="1">
      <c r="R460" s="30"/>
    </row>
    <row r="461" spans="18:18" ht="15.75" customHeight="1">
      <c r="R461" s="30"/>
    </row>
    <row r="462" spans="18:18" ht="15.75" customHeight="1">
      <c r="R462" s="30"/>
    </row>
    <row r="463" spans="18:18" ht="15.75" customHeight="1">
      <c r="R463" s="30"/>
    </row>
    <row r="464" spans="18:18" ht="15.75" customHeight="1">
      <c r="R464" s="30"/>
    </row>
    <row r="465" spans="18:18" ht="15.75" customHeight="1">
      <c r="R465" s="30"/>
    </row>
    <row r="466" spans="18:18" ht="15.75" customHeight="1">
      <c r="R466" s="30"/>
    </row>
    <row r="467" spans="18:18" ht="15.75" customHeight="1">
      <c r="R467" s="30"/>
    </row>
    <row r="468" spans="18:18" ht="15.75" customHeight="1">
      <c r="R468" s="30"/>
    </row>
    <row r="469" spans="18:18" ht="15.75" customHeight="1">
      <c r="R469" s="30"/>
    </row>
    <row r="470" spans="18:18" ht="15.75" customHeight="1">
      <c r="R470" s="30"/>
    </row>
    <row r="471" spans="18:18" ht="15.75" customHeight="1">
      <c r="R471" s="30"/>
    </row>
    <row r="472" spans="18:18" ht="15.75" customHeight="1">
      <c r="R472" s="30"/>
    </row>
    <row r="473" spans="18:18" ht="15.75" customHeight="1">
      <c r="R473" s="30"/>
    </row>
    <row r="474" spans="18:18" ht="15.75" customHeight="1">
      <c r="R474" s="30"/>
    </row>
    <row r="475" spans="18:18" ht="15.75" customHeight="1">
      <c r="R475" s="30"/>
    </row>
    <row r="476" spans="18:18" ht="15.75" customHeight="1">
      <c r="R476" s="30"/>
    </row>
    <row r="477" spans="18:18" ht="15.75" customHeight="1">
      <c r="R477" s="30"/>
    </row>
    <row r="478" spans="18:18" ht="15.75" customHeight="1">
      <c r="R478" s="30"/>
    </row>
    <row r="479" spans="18:18" ht="15.75" customHeight="1">
      <c r="R479" s="30"/>
    </row>
    <row r="480" spans="18:18" ht="15.75" customHeight="1">
      <c r="R480" s="30"/>
    </row>
    <row r="481" spans="18:18" ht="15.75" customHeight="1">
      <c r="R481" s="30"/>
    </row>
    <row r="482" spans="18:18" ht="15.75" customHeight="1">
      <c r="R482" s="30"/>
    </row>
    <row r="483" spans="18:18" ht="15.75" customHeight="1">
      <c r="R483" s="30"/>
    </row>
    <row r="484" spans="18:18" ht="15.75" customHeight="1">
      <c r="R484" s="30"/>
    </row>
    <row r="485" spans="18:18" ht="15.75" customHeight="1">
      <c r="R485" s="30"/>
    </row>
    <row r="486" spans="18:18" ht="15.75" customHeight="1">
      <c r="R486" s="30"/>
    </row>
    <row r="487" spans="18:18" ht="15.75" customHeight="1">
      <c r="R487" s="30"/>
    </row>
    <row r="488" spans="18:18" ht="15.75" customHeight="1">
      <c r="R488" s="30"/>
    </row>
    <row r="489" spans="18:18" ht="15.75" customHeight="1">
      <c r="R489" s="30"/>
    </row>
    <row r="490" spans="18:18" ht="15.75" customHeight="1">
      <c r="R490" s="30"/>
    </row>
    <row r="491" spans="18:18" ht="15.75" customHeight="1">
      <c r="R491" s="30"/>
    </row>
    <row r="492" spans="18:18" ht="15.75" customHeight="1">
      <c r="R492" s="30"/>
    </row>
    <row r="493" spans="18:18" ht="15.75" customHeight="1">
      <c r="R493" s="30"/>
    </row>
    <row r="494" spans="18:18" ht="15.75" customHeight="1">
      <c r="R494" s="30"/>
    </row>
    <row r="495" spans="18:18" ht="15.75" customHeight="1">
      <c r="R495" s="30"/>
    </row>
    <row r="496" spans="18:18" ht="15.75" customHeight="1">
      <c r="R496" s="30"/>
    </row>
    <row r="497" spans="18:18" ht="15.75" customHeight="1">
      <c r="R497" s="30"/>
    </row>
    <row r="498" spans="18:18" ht="15.75" customHeight="1">
      <c r="R498" s="30"/>
    </row>
    <row r="499" spans="18:18" ht="15.75" customHeight="1">
      <c r="R499" s="30"/>
    </row>
    <row r="500" spans="18:18" ht="15.75" customHeight="1">
      <c r="R500" s="30"/>
    </row>
    <row r="501" spans="18:18" ht="15.75" customHeight="1">
      <c r="R501" s="30"/>
    </row>
    <row r="502" spans="18:18" ht="15.75" customHeight="1">
      <c r="R502" s="30"/>
    </row>
    <row r="503" spans="18:18" ht="15.75" customHeight="1">
      <c r="R503" s="30"/>
    </row>
    <row r="504" spans="18:18" ht="15.75" customHeight="1">
      <c r="R504" s="30"/>
    </row>
    <row r="505" spans="18:18" ht="15.75" customHeight="1">
      <c r="R505" s="30"/>
    </row>
    <row r="506" spans="18:18" ht="15.75" customHeight="1">
      <c r="R506" s="30"/>
    </row>
    <row r="507" spans="18:18" ht="15.75" customHeight="1">
      <c r="R507" s="30"/>
    </row>
    <row r="508" spans="18:18" ht="15.75" customHeight="1">
      <c r="R508" s="30"/>
    </row>
    <row r="509" spans="18:18" ht="15.75" customHeight="1">
      <c r="R509" s="30"/>
    </row>
    <row r="510" spans="18:18" ht="15.75" customHeight="1">
      <c r="R510" s="30"/>
    </row>
    <row r="511" spans="18:18" ht="15.75" customHeight="1">
      <c r="R511" s="30"/>
    </row>
    <row r="512" spans="18:18" ht="15.75" customHeight="1">
      <c r="R512" s="30"/>
    </row>
    <row r="513" spans="18:18" ht="15.75" customHeight="1">
      <c r="R513" s="30"/>
    </row>
    <row r="514" spans="18:18" ht="15.75" customHeight="1">
      <c r="R514" s="30"/>
    </row>
    <row r="515" spans="18:18" ht="15.75" customHeight="1">
      <c r="R515" s="30"/>
    </row>
    <row r="516" spans="18:18" ht="15.75" customHeight="1">
      <c r="R516" s="30"/>
    </row>
    <row r="517" spans="18:18" ht="15.75" customHeight="1">
      <c r="R517" s="30"/>
    </row>
    <row r="518" spans="18:18" ht="15.75" customHeight="1">
      <c r="R518" s="30"/>
    </row>
    <row r="519" spans="18:18" ht="15.75" customHeight="1">
      <c r="R519" s="30"/>
    </row>
    <row r="520" spans="18:18" ht="15.75" customHeight="1">
      <c r="R520" s="30"/>
    </row>
    <row r="521" spans="18:18" ht="15.75" customHeight="1">
      <c r="R521" s="30"/>
    </row>
    <row r="522" spans="18:18" ht="15.75" customHeight="1">
      <c r="R522" s="30"/>
    </row>
    <row r="523" spans="18:18" ht="15.75" customHeight="1">
      <c r="R523" s="30"/>
    </row>
    <row r="524" spans="18:18" ht="15.75" customHeight="1">
      <c r="R524" s="30"/>
    </row>
    <row r="525" spans="18:18" ht="15.75" customHeight="1">
      <c r="R525" s="30"/>
    </row>
    <row r="526" spans="18:18" ht="15.75" customHeight="1">
      <c r="R526" s="30"/>
    </row>
    <row r="527" spans="18:18" ht="15.75" customHeight="1">
      <c r="R527" s="30"/>
    </row>
    <row r="528" spans="18:18" ht="15.75" customHeight="1">
      <c r="R528" s="30"/>
    </row>
    <row r="529" spans="18:18" ht="15.75" customHeight="1">
      <c r="R529" s="30"/>
    </row>
    <row r="530" spans="18:18" ht="15.75" customHeight="1">
      <c r="R530" s="30"/>
    </row>
    <row r="531" spans="18:18" ht="15.75" customHeight="1">
      <c r="R531" s="30"/>
    </row>
    <row r="532" spans="18:18" ht="15.75" customHeight="1">
      <c r="R532" s="30"/>
    </row>
    <row r="533" spans="18:18" ht="15.75" customHeight="1">
      <c r="R533" s="30"/>
    </row>
    <row r="534" spans="18:18" ht="15.75" customHeight="1">
      <c r="R534" s="30"/>
    </row>
    <row r="535" spans="18:18" ht="15.75" customHeight="1">
      <c r="R535" s="30"/>
    </row>
    <row r="536" spans="18:18" ht="15.75" customHeight="1">
      <c r="R536" s="30"/>
    </row>
    <row r="537" spans="18:18" ht="15.75" customHeight="1">
      <c r="R537" s="30"/>
    </row>
    <row r="538" spans="18:18" ht="15.75" customHeight="1">
      <c r="R538" s="30"/>
    </row>
    <row r="539" spans="18:18" ht="15.75" customHeight="1">
      <c r="R539" s="30"/>
    </row>
    <row r="540" spans="18:18" ht="15.75" customHeight="1">
      <c r="R540" s="30"/>
    </row>
    <row r="541" spans="18:18" ht="15.75" customHeight="1">
      <c r="R541" s="30"/>
    </row>
    <row r="542" spans="18:18" ht="15.75" customHeight="1">
      <c r="R542" s="30"/>
    </row>
    <row r="543" spans="18:18" ht="15.75" customHeight="1">
      <c r="R543" s="30"/>
    </row>
    <row r="544" spans="18:18" ht="15.75" customHeight="1">
      <c r="R544" s="30"/>
    </row>
    <row r="545" spans="18:18" ht="15.75" customHeight="1">
      <c r="R545" s="30"/>
    </row>
    <row r="546" spans="18:18" ht="15.75" customHeight="1">
      <c r="R546" s="30"/>
    </row>
    <row r="547" spans="18:18" ht="15.75" customHeight="1">
      <c r="R547" s="30"/>
    </row>
    <row r="548" spans="18:18" ht="15.75" customHeight="1">
      <c r="R548" s="30"/>
    </row>
    <row r="549" spans="18:18" ht="15.75" customHeight="1">
      <c r="R549" s="30"/>
    </row>
    <row r="550" spans="18:18" ht="15.75" customHeight="1">
      <c r="R550" s="30"/>
    </row>
    <row r="551" spans="18:18" ht="15.75" customHeight="1">
      <c r="R551" s="30"/>
    </row>
    <row r="552" spans="18:18" ht="15.75" customHeight="1">
      <c r="R552" s="30"/>
    </row>
    <row r="553" spans="18:18" ht="15.75" customHeight="1">
      <c r="R553" s="30"/>
    </row>
    <row r="554" spans="18:18" ht="15.75" customHeight="1">
      <c r="R554" s="30"/>
    </row>
    <row r="555" spans="18:18" ht="15.75" customHeight="1">
      <c r="R555" s="30"/>
    </row>
    <row r="556" spans="18:18" ht="15.75" customHeight="1">
      <c r="R556" s="30"/>
    </row>
    <row r="557" spans="18:18" ht="15.75" customHeight="1">
      <c r="R557" s="30"/>
    </row>
    <row r="558" spans="18:18" ht="15.75" customHeight="1">
      <c r="R558" s="30"/>
    </row>
    <row r="559" spans="18:18" ht="15.75" customHeight="1">
      <c r="R559" s="30"/>
    </row>
    <row r="560" spans="18:18" ht="15.75" customHeight="1">
      <c r="R560" s="30"/>
    </row>
    <row r="561" spans="18:18" ht="15.75" customHeight="1">
      <c r="R561" s="30"/>
    </row>
    <row r="562" spans="18:18" ht="15.75" customHeight="1">
      <c r="R562" s="30"/>
    </row>
    <row r="563" spans="18:18" ht="15.75" customHeight="1">
      <c r="R563" s="30"/>
    </row>
    <row r="564" spans="18:18" ht="15.75" customHeight="1">
      <c r="R564" s="30"/>
    </row>
    <row r="565" spans="18:18" ht="15.75" customHeight="1">
      <c r="R565" s="30"/>
    </row>
    <row r="566" spans="18:18" ht="15.75" customHeight="1">
      <c r="R566" s="30"/>
    </row>
    <row r="567" spans="18:18" ht="15.75" customHeight="1">
      <c r="R567" s="30"/>
    </row>
    <row r="568" spans="18:18" ht="15.75" customHeight="1">
      <c r="R568" s="30"/>
    </row>
    <row r="569" spans="18:18" ht="15.75" customHeight="1">
      <c r="R569" s="30"/>
    </row>
    <row r="570" spans="18:18" ht="15.75" customHeight="1">
      <c r="R570" s="30"/>
    </row>
    <row r="571" spans="18:18" ht="15.75" customHeight="1">
      <c r="R571" s="30"/>
    </row>
    <row r="572" spans="18:18" ht="15.75" customHeight="1">
      <c r="R572" s="30"/>
    </row>
    <row r="573" spans="18:18" ht="15.75" customHeight="1">
      <c r="R573" s="30"/>
    </row>
    <row r="574" spans="18:18" ht="15.75" customHeight="1">
      <c r="R574" s="30"/>
    </row>
    <row r="575" spans="18:18" ht="15.75" customHeight="1">
      <c r="R575" s="30"/>
    </row>
    <row r="576" spans="18:18" ht="15.75" customHeight="1">
      <c r="R576" s="30"/>
    </row>
    <row r="577" spans="18:18" ht="15.75" customHeight="1">
      <c r="R577" s="30"/>
    </row>
    <row r="578" spans="18:18" ht="15.75" customHeight="1">
      <c r="R578" s="30"/>
    </row>
    <row r="579" spans="18:18" ht="15.75" customHeight="1">
      <c r="R579" s="30"/>
    </row>
    <row r="580" spans="18:18" ht="15.75" customHeight="1">
      <c r="R580" s="30"/>
    </row>
    <row r="581" spans="18:18" ht="15.75" customHeight="1">
      <c r="R581" s="30"/>
    </row>
    <row r="582" spans="18:18" ht="15.75" customHeight="1">
      <c r="R582" s="30"/>
    </row>
    <row r="583" spans="18:18" ht="15.75" customHeight="1">
      <c r="R583" s="30"/>
    </row>
    <row r="584" spans="18:18" ht="15.75" customHeight="1">
      <c r="R584" s="30"/>
    </row>
    <row r="585" spans="18:18" ht="15.75" customHeight="1">
      <c r="R585" s="30"/>
    </row>
    <row r="586" spans="18:18" ht="15.75" customHeight="1">
      <c r="R586" s="30"/>
    </row>
    <row r="587" spans="18:18" ht="15.75" customHeight="1">
      <c r="R587" s="30"/>
    </row>
    <row r="588" spans="18:18" ht="15.75" customHeight="1">
      <c r="R588" s="30"/>
    </row>
    <row r="589" spans="18:18" ht="15.75" customHeight="1">
      <c r="R589" s="30"/>
    </row>
    <row r="590" spans="18:18" ht="15.75" customHeight="1">
      <c r="R590" s="30"/>
    </row>
    <row r="591" spans="18:18" ht="15.75" customHeight="1">
      <c r="R591" s="30"/>
    </row>
    <row r="592" spans="18:18" ht="15.75" customHeight="1">
      <c r="R592" s="30"/>
    </row>
    <row r="593" spans="18:18" ht="15.75" customHeight="1">
      <c r="R593" s="30"/>
    </row>
    <row r="594" spans="18:18" ht="15.75" customHeight="1">
      <c r="R594" s="30"/>
    </row>
    <row r="595" spans="18:18" ht="15.75" customHeight="1">
      <c r="R595" s="30"/>
    </row>
    <row r="596" spans="18:18" ht="15.75" customHeight="1">
      <c r="R596" s="30"/>
    </row>
    <row r="597" spans="18:18" ht="15.75" customHeight="1">
      <c r="R597" s="30"/>
    </row>
    <row r="598" spans="18:18" ht="15.75" customHeight="1">
      <c r="R598" s="30"/>
    </row>
    <row r="599" spans="18:18" ht="15.75" customHeight="1">
      <c r="R599" s="30"/>
    </row>
    <row r="600" spans="18:18" ht="15.75" customHeight="1">
      <c r="R600" s="30"/>
    </row>
    <row r="601" spans="18:18" ht="15.75" customHeight="1">
      <c r="R601" s="30"/>
    </row>
    <row r="602" spans="18:18" ht="15.75" customHeight="1">
      <c r="R602" s="30"/>
    </row>
    <row r="603" spans="18:18" ht="15.75" customHeight="1">
      <c r="R603" s="30"/>
    </row>
    <row r="604" spans="18:18" ht="15.75" customHeight="1">
      <c r="R604" s="30"/>
    </row>
    <row r="605" spans="18:18" ht="15.75" customHeight="1">
      <c r="R605" s="30"/>
    </row>
    <row r="606" spans="18:18" ht="15.75" customHeight="1">
      <c r="R606" s="30"/>
    </row>
    <row r="607" spans="18:18" ht="15.75" customHeight="1">
      <c r="R607" s="30"/>
    </row>
    <row r="608" spans="18:18" ht="15.75" customHeight="1">
      <c r="R608" s="30"/>
    </row>
    <row r="609" spans="18:18" ht="15.75" customHeight="1">
      <c r="R609" s="30"/>
    </row>
    <row r="610" spans="18:18" ht="15.75" customHeight="1">
      <c r="R610" s="30"/>
    </row>
    <row r="611" spans="18:18" ht="15.75" customHeight="1">
      <c r="R611" s="30"/>
    </row>
    <row r="612" spans="18:18" ht="15.75" customHeight="1">
      <c r="R612" s="30"/>
    </row>
    <row r="613" spans="18:18" ht="15.75" customHeight="1">
      <c r="R613" s="30"/>
    </row>
    <row r="614" spans="18:18" ht="15.75" customHeight="1">
      <c r="R614" s="30"/>
    </row>
    <row r="615" spans="18:18" ht="15.75" customHeight="1">
      <c r="R615" s="30"/>
    </row>
    <row r="616" spans="18:18" ht="15.75" customHeight="1">
      <c r="R616" s="30"/>
    </row>
    <row r="617" spans="18:18" ht="15.75" customHeight="1">
      <c r="R617" s="30"/>
    </row>
    <row r="618" spans="18:18" ht="15.75" customHeight="1">
      <c r="R618" s="30"/>
    </row>
    <row r="619" spans="18:18" ht="15.75" customHeight="1">
      <c r="R619" s="30"/>
    </row>
    <row r="620" spans="18:18" ht="15.75" customHeight="1">
      <c r="R620" s="30"/>
    </row>
    <row r="621" spans="18:18" ht="15.75" customHeight="1">
      <c r="R621" s="30"/>
    </row>
    <row r="622" spans="18:18" ht="15.75" customHeight="1">
      <c r="R622" s="30"/>
    </row>
    <row r="623" spans="18:18" ht="15.75" customHeight="1">
      <c r="R623" s="30"/>
    </row>
    <row r="624" spans="18:18" ht="15.75" customHeight="1">
      <c r="R624" s="30"/>
    </row>
    <row r="625" spans="18:18" ht="15.75" customHeight="1">
      <c r="R625" s="30"/>
    </row>
    <row r="626" spans="18:18" ht="15.75" customHeight="1">
      <c r="R626" s="30"/>
    </row>
    <row r="627" spans="18:18" ht="15.75" customHeight="1">
      <c r="R627" s="30"/>
    </row>
    <row r="628" spans="18:18" ht="15.75" customHeight="1">
      <c r="R628" s="30"/>
    </row>
    <row r="629" spans="18:18" ht="15.75" customHeight="1">
      <c r="R629" s="30"/>
    </row>
    <row r="630" spans="18:18" ht="15.75" customHeight="1">
      <c r="R630" s="30"/>
    </row>
    <row r="631" spans="18:18" ht="15.75" customHeight="1">
      <c r="R631" s="30"/>
    </row>
    <row r="632" spans="18:18" ht="15.75" customHeight="1">
      <c r="R632" s="30"/>
    </row>
    <row r="633" spans="18:18" ht="15.75" customHeight="1">
      <c r="R633" s="30"/>
    </row>
    <row r="634" spans="18:18" ht="15.75" customHeight="1">
      <c r="R634" s="30"/>
    </row>
    <row r="635" spans="18:18" ht="15.75" customHeight="1">
      <c r="R635" s="30"/>
    </row>
    <row r="636" spans="18:18" ht="15.75" customHeight="1">
      <c r="R636" s="30"/>
    </row>
    <row r="637" spans="18:18" ht="15.75" customHeight="1">
      <c r="R637" s="30"/>
    </row>
    <row r="638" spans="18:18" ht="15.75" customHeight="1">
      <c r="R638" s="30"/>
    </row>
    <row r="639" spans="18:18" ht="15.75" customHeight="1">
      <c r="R639" s="30"/>
    </row>
    <row r="640" spans="18:18" ht="15.75" customHeight="1">
      <c r="R640" s="30"/>
    </row>
    <row r="641" spans="18:18" ht="15.75" customHeight="1">
      <c r="R641" s="30"/>
    </row>
    <row r="642" spans="18:18" ht="15.75" customHeight="1">
      <c r="R642" s="30"/>
    </row>
    <row r="643" spans="18:18" ht="15.75" customHeight="1">
      <c r="R643" s="30"/>
    </row>
    <row r="644" spans="18:18" ht="15.75" customHeight="1">
      <c r="R644" s="30"/>
    </row>
    <row r="645" spans="18:18" ht="15.75" customHeight="1">
      <c r="R645" s="30"/>
    </row>
    <row r="646" spans="18:18" ht="15.75" customHeight="1">
      <c r="R646" s="30"/>
    </row>
    <row r="647" spans="18:18" ht="15.75" customHeight="1">
      <c r="R647" s="30"/>
    </row>
    <row r="648" spans="18:18" ht="15.75" customHeight="1">
      <c r="R648" s="30"/>
    </row>
    <row r="649" spans="18:18" ht="15.75" customHeight="1">
      <c r="R649" s="30"/>
    </row>
    <row r="650" spans="18:18" ht="15.75" customHeight="1">
      <c r="R650" s="30"/>
    </row>
    <row r="651" spans="18:18" ht="15.75" customHeight="1">
      <c r="R651" s="30"/>
    </row>
    <row r="652" spans="18:18" ht="15.75" customHeight="1">
      <c r="R652" s="30"/>
    </row>
    <row r="653" spans="18:18" ht="15.75" customHeight="1">
      <c r="R653" s="30"/>
    </row>
    <row r="654" spans="18:18" ht="15.75" customHeight="1">
      <c r="R654" s="30"/>
    </row>
    <row r="655" spans="18:18" ht="15.75" customHeight="1">
      <c r="R655" s="30"/>
    </row>
    <row r="656" spans="18:18" ht="15.75" customHeight="1">
      <c r="R656" s="30"/>
    </row>
    <row r="657" spans="18:18" ht="15.75" customHeight="1">
      <c r="R657" s="30"/>
    </row>
    <row r="658" spans="18:18" ht="15.75" customHeight="1">
      <c r="R658" s="30"/>
    </row>
    <row r="659" spans="18:18" ht="15.75" customHeight="1">
      <c r="R659" s="30"/>
    </row>
    <row r="660" spans="18:18" ht="15.75" customHeight="1">
      <c r="R660" s="30"/>
    </row>
    <row r="661" spans="18:18" ht="15.75" customHeight="1">
      <c r="R661" s="30"/>
    </row>
    <row r="662" spans="18:18" ht="15.75" customHeight="1">
      <c r="R662" s="30"/>
    </row>
    <row r="663" spans="18:18" ht="15.75" customHeight="1">
      <c r="R663" s="30"/>
    </row>
    <row r="664" spans="18:18" ht="15.75" customHeight="1">
      <c r="R664" s="30"/>
    </row>
    <row r="665" spans="18:18" ht="15.75" customHeight="1">
      <c r="R665" s="30"/>
    </row>
    <row r="666" spans="18:18" ht="15.75" customHeight="1">
      <c r="R666" s="30"/>
    </row>
    <row r="667" spans="18:18" ht="15.75" customHeight="1">
      <c r="R667" s="30"/>
    </row>
    <row r="668" spans="18:18" ht="15.75" customHeight="1">
      <c r="R668" s="30"/>
    </row>
    <row r="669" spans="18:18" ht="15.75" customHeight="1">
      <c r="R669" s="30"/>
    </row>
    <row r="670" spans="18:18" ht="15.75" customHeight="1">
      <c r="R670" s="30"/>
    </row>
    <row r="671" spans="18:18" ht="15.75" customHeight="1">
      <c r="R671" s="30"/>
    </row>
    <row r="672" spans="18:18" ht="15.75" customHeight="1">
      <c r="R672" s="30"/>
    </row>
    <row r="673" spans="18:18" ht="15.75" customHeight="1">
      <c r="R673" s="30"/>
    </row>
    <row r="674" spans="18:18" ht="15.75" customHeight="1">
      <c r="R674" s="30"/>
    </row>
    <row r="675" spans="18:18" ht="15.75" customHeight="1">
      <c r="R675" s="30"/>
    </row>
    <row r="676" spans="18:18" ht="15.75" customHeight="1">
      <c r="R676" s="30"/>
    </row>
    <row r="677" spans="18:18" ht="15.75" customHeight="1">
      <c r="R677" s="30"/>
    </row>
    <row r="678" spans="18:18" ht="15.75" customHeight="1">
      <c r="R678" s="30"/>
    </row>
    <row r="679" spans="18:18" ht="15.75" customHeight="1">
      <c r="R679" s="30"/>
    </row>
    <row r="680" spans="18:18" ht="15.75" customHeight="1">
      <c r="R680" s="30"/>
    </row>
    <row r="681" spans="18:18" ht="15.75" customHeight="1">
      <c r="R681" s="30"/>
    </row>
    <row r="682" spans="18:18" ht="15.75" customHeight="1">
      <c r="R682" s="30"/>
    </row>
    <row r="683" spans="18:18" ht="15.75" customHeight="1">
      <c r="R683" s="30"/>
    </row>
    <row r="684" spans="18:18" ht="15.75" customHeight="1">
      <c r="R684" s="30"/>
    </row>
    <row r="685" spans="18:18" ht="15.75" customHeight="1">
      <c r="R685" s="30"/>
    </row>
    <row r="686" spans="18:18" ht="15.75" customHeight="1">
      <c r="R686" s="30"/>
    </row>
    <row r="687" spans="18:18" ht="15.75" customHeight="1">
      <c r="R687" s="30"/>
    </row>
    <row r="688" spans="18:18" ht="15.75" customHeight="1">
      <c r="R688" s="30"/>
    </row>
    <row r="689" spans="18:18" ht="15.75" customHeight="1">
      <c r="R689" s="30"/>
    </row>
    <row r="690" spans="18:18" ht="15.75" customHeight="1">
      <c r="R690" s="30"/>
    </row>
    <row r="691" spans="18:18" ht="15.75" customHeight="1">
      <c r="R691" s="30"/>
    </row>
    <row r="692" spans="18:18" ht="15.75" customHeight="1">
      <c r="R692" s="30"/>
    </row>
    <row r="693" spans="18:18" ht="15.75" customHeight="1">
      <c r="R693" s="30"/>
    </row>
    <row r="694" spans="18:18" ht="15.75" customHeight="1">
      <c r="R694" s="30"/>
    </row>
    <row r="695" spans="18:18" ht="15.75" customHeight="1">
      <c r="R695" s="30"/>
    </row>
    <row r="696" spans="18:18" ht="15.75" customHeight="1">
      <c r="R696" s="30"/>
    </row>
    <row r="697" spans="18:18" ht="15.75" customHeight="1">
      <c r="R697" s="30"/>
    </row>
    <row r="698" spans="18:18" ht="15.75" customHeight="1">
      <c r="R698" s="30"/>
    </row>
    <row r="699" spans="18:18" ht="15.75" customHeight="1">
      <c r="R699" s="30"/>
    </row>
    <row r="700" spans="18:18" ht="15.75" customHeight="1">
      <c r="R700" s="30"/>
    </row>
    <row r="701" spans="18:18" ht="15.75" customHeight="1">
      <c r="R701" s="30"/>
    </row>
    <row r="702" spans="18:18" ht="15.75" customHeight="1">
      <c r="R702" s="30"/>
    </row>
    <row r="703" spans="18:18" ht="15.75" customHeight="1">
      <c r="R703" s="30"/>
    </row>
    <row r="704" spans="18:18" ht="15.75" customHeight="1">
      <c r="R704" s="30"/>
    </row>
    <row r="705" spans="18:18" ht="15.75" customHeight="1">
      <c r="R705" s="30"/>
    </row>
    <row r="706" spans="18:18" ht="15.75" customHeight="1">
      <c r="R706" s="30"/>
    </row>
    <row r="707" spans="18:18" ht="15.75" customHeight="1">
      <c r="R707" s="30"/>
    </row>
    <row r="708" spans="18:18" ht="15.75" customHeight="1">
      <c r="R708" s="30"/>
    </row>
    <row r="709" spans="18:18" ht="15.75" customHeight="1">
      <c r="R709" s="30"/>
    </row>
    <row r="710" spans="18:18" ht="15.75" customHeight="1">
      <c r="R710" s="30"/>
    </row>
    <row r="711" spans="18:18" ht="15.75" customHeight="1">
      <c r="R711" s="30"/>
    </row>
    <row r="712" spans="18:18" ht="15.75" customHeight="1">
      <c r="R712" s="30"/>
    </row>
    <row r="713" spans="18:18" ht="15.75" customHeight="1">
      <c r="R713" s="30"/>
    </row>
    <row r="714" spans="18:18" ht="15.75" customHeight="1">
      <c r="R714" s="30"/>
    </row>
    <row r="715" spans="18:18" ht="15.75" customHeight="1">
      <c r="R715" s="30"/>
    </row>
    <row r="716" spans="18:18" ht="15.75" customHeight="1">
      <c r="R716" s="30"/>
    </row>
    <row r="717" spans="18:18" ht="15.75" customHeight="1">
      <c r="R717" s="30"/>
    </row>
    <row r="718" spans="18:18" ht="15.75" customHeight="1">
      <c r="R718" s="30"/>
    </row>
    <row r="719" spans="18:18" ht="15.75" customHeight="1">
      <c r="R719" s="30"/>
    </row>
    <row r="720" spans="18:18" ht="15.75" customHeight="1">
      <c r="R720" s="30"/>
    </row>
    <row r="721" spans="18:18" ht="15.75" customHeight="1">
      <c r="R721" s="30"/>
    </row>
    <row r="722" spans="18:18" ht="15.75" customHeight="1">
      <c r="R722" s="30"/>
    </row>
    <row r="723" spans="18:18" ht="15.75" customHeight="1">
      <c r="R723" s="30"/>
    </row>
    <row r="724" spans="18:18" ht="15.75" customHeight="1">
      <c r="R724" s="30"/>
    </row>
    <row r="725" spans="18:18" ht="15.75" customHeight="1">
      <c r="R725" s="30"/>
    </row>
    <row r="726" spans="18:18" ht="15.75" customHeight="1">
      <c r="R726" s="30"/>
    </row>
    <row r="727" spans="18:18" ht="15.75" customHeight="1">
      <c r="R727" s="30"/>
    </row>
    <row r="728" spans="18:18" ht="15.75" customHeight="1">
      <c r="R728" s="30"/>
    </row>
    <row r="729" spans="18:18" ht="15.75" customHeight="1">
      <c r="R729" s="30"/>
    </row>
    <row r="730" spans="18:18" ht="15.75" customHeight="1">
      <c r="R730" s="30"/>
    </row>
    <row r="731" spans="18:18" ht="15.75" customHeight="1">
      <c r="R731" s="30"/>
    </row>
    <row r="732" spans="18:18" ht="15.75" customHeight="1">
      <c r="R732" s="30"/>
    </row>
    <row r="733" spans="18:18" ht="15.75" customHeight="1">
      <c r="R733" s="30"/>
    </row>
    <row r="734" spans="18:18" ht="15.75" customHeight="1">
      <c r="R734" s="30"/>
    </row>
    <row r="735" spans="18:18" ht="15.75" customHeight="1">
      <c r="R735" s="30"/>
    </row>
    <row r="736" spans="18:18" ht="15.75" customHeight="1">
      <c r="R736" s="30"/>
    </row>
    <row r="737" spans="18:18" ht="15.75" customHeight="1">
      <c r="R737" s="30"/>
    </row>
    <row r="738" spans="18:18" ht="15.75" customHeight="1">
      <c r="R738" s="30"/>
    </row>
    <row r="739" spans="18:18" ht="15.75" customHeight="1">
      <c r="R739" s="30"/>
    </row>
    <row r="740" spans="18:18" ht="15.75" customHeight="1">
      <c r="R740" s="30"/>
    </row>
    <row r="741" spans="18:18" ht="15.75" customHeight="1">
      <c r="R741" s="30"/>
    </row>
    <row r="742" spans="18:18" ht="15.75" customHeight="1">
      <c r="R742" s="30"/>
    </row>
    <row r="743" spans="18:18" ht="15.75" customHeight="1">
      <c r="R743" s="30"/>
    </row>
    <row r="744" spans="18:18" ht="15.75" customHeight="1">
      <c r="R744" s="30"/>
    </row>
    <row r="745" spans="18:18" ht="15.75" customHeight="1">
      <c r="R745" s="30"/>
    </row>
    <row r="746" spans="18:18" ht="15.75" customHeight="1">
      <c r="R746" s="30"/>
    </row>
    <row r="747" spans="18:18" ht="15.75" customHeight="1">
      <c r="R747" s="30"/>
    </row>
    <row r="748" spans="18:18" ht="15.75" customHeight="1">
      <c r="R748" s="30"/>
    </row>
    <row r="749" spans="18:18" ht="15.75" customHeight="1">
      <c r="R749" s="30"/>
    </row>
    <row r="750" spans="18:18" ht="15.75" customHeight="1">
      <c r="R750" s="30"/>
    </row>
    <row r="751" spans="18:18" ht="15.75" customHeight="1">
      <c r="R751" s="30"/>
    </row>
    <row r="752" spans="18:18" ht="15.75" customHeight="1">
      <c r="R752" s="30"/>
    </row>
    <row r="753" spans="18:18" ht="15.75" customHeight="1">
      <c r="R753" s="30"/>
    </row>
    <row r="754" spans="18:18" ht="15.75" customHeight="1">
      <c r="R754" s="30"/>
    </row>
    <row r="755" spans="18:18" ht="15.75" customHeight="1">
      <c r="R755" s="30"/>
    </row>
    <row r="756" spans="18:18" ht="15.75" customHeight="1">
      <c r="R756" s="30"/>
    </row>
    <row r="757" spans="18:18" ht="15.75" customHeight="1">
      <c r="R757" s="30"/>
    </row>
    <row r="758" spans="18:18" ht="15.75" customHeight="1">
      <c r="R758" s="30"/>
    </row>
    <row r="759" spans="18:18" ht="15.75" customHeight="1">
      <c r="R759" s="30"/>
    </row>
    <row r="760" spans="18:18" ht="15.75" customHeight="1">
      <c r="R760" s="30"/>
    </row>
    <row r="761" spans="18:18" ht="15.75" customHeight="1">
      <c r="R761" s="30"/>
    </row>
    <row r="762" spans="18:18" ht="15.75" customHeight="1">
      <c r="R762" s="30"/>
    </row>
    <row r="763" spans="18:18" ht="15.75" customHeight="1">
      <c r="R763" s="30"/>
    </row>
    <row r="764" spans="18:18" ht="15.75" customHeight="1">
      <c r="R764" s="30"/>
    </row>
    <row r="765" spans="18:18" ht="15.75" customHeight="1">
      <c r="R765" s="30"/>
    </row>
    <row r="766" spans="18:18" ht="15.75" customHeight="1">
      <c r="R766" s="30"/>
    </row>
    <row r="767" spans="18:18" ht="15.75" customHeight="1">
      <c r="R767" s="30"/>
    </row>
    <row r="768" spans="18:18" ht="15.75" customHeight="1">
      <c r="R768" s="30"/>
    </row>
    <row r="769" spans="18:18" ht="15.75" customHeight="1">
      <c r="R769" s="30"/>
    </row>
    <row r="770" spans="18:18" ht="15.75" customHeight="1">
      <c r="R770" s="30"/>
    </row>
    <row r="771" spans="18:18" ht="15.75" customHeight="1">
      <c r="R771" s="30"/>
    </row>
    <row r="772" spans="18:18" ht="15.75" customHeight="1">
      <c r="R772" s="30"/>
    </row>
    <row r="773" spans="18:18" ht="15.75" customHeight="1">
      <c r="R773" s="30"/>
    </row>
    <row r="774" spans="18:18" ht="15.75" customHeight="1">
      <c r="R774" s="30"/>
    </row>
    <row r="775" spans="18:18" ht="15.75" customHeight="1">
      <c r="R775" s="30"/>
    </row>
    <row r="776" spans="18:18" ht="15.75" customHeight="1">
      <c r="R776" s="30"/>
    </row>
    <row r="777" spans="18:18" ht="15.75" customHeight="1">
      <c r="R777" s="30"/>
    </row>
    <row r="778" spans="18:18" ht="15.75" customHeight="1">
      <c r="R778" s="30"/>
    </row>
    <row r="779" spans="18:18" ht="15.75" customHeight="1">
      <c r="R779" s="30"/>
    </row>
    <row r="780" spans="18:18" ht="15.75" customHeight="1">
      <c r="R780" s="30"/>
    </row>
    <row r="781" spans="18:18" ht="15.75" customHeight="1">
      <c r="R781" s="30"/>
    </row>
    <row r="782" spans="18:18" ht="15.75" customHeight="1">
      <c r="R782" s="30"/>
    </row>
    <row r="783" spans="18:18" ht="15.75" customHeight="1">
      <c r="R783" s="30"/>
    </row>
    <row r="784" spans="18:18" ht="15.75" customHeight="1">
      <c r="R784" s="30"/>
    </row>
    <row r="785" spans="18:18" ht="15.75" customHeight="1">
      <c r="R785" s="30"/>
    </row>
    <row r="786" spans="18:18" ht="15.75" customHeight="1">
      <c r="R786" s="30"/>
    </row>
    <row r="787" spans="18:18" ht="15.75" customHeight="1">
      <c r="R787" s="30"/>
    </row>
    <row r="788" spans="18:18" ht="15.75" customHeight="1">
      <c r="R788" s="30"/>
    </row>
    <row r="789" spans="18:18" ht="15.75" customHeight="1">
      <c r="R789" s="30"/>
    </row>
    <row r="790" spans="18:18" ht="15.75" customHeight="1">
      <c r="R790" s="30"/>
    </row>
    <row r="791" spans="18:18" ht="15.75" customHeight="1">
      <c r="R791" s="30"/>
    </row>
    <row r="792" spans="18:18" ht="15.75" customHeight="1">
      <c r="R792" s="30"/>
    </row>
    <row r="793" spans="18:18" ht="15.75" customHeight="1">
      <c r="R793" s="30"/>
    </row>
    <row r="794" spans="18:18" ht="15.75" customHeight="1">
      <c r="R794" s="30"/>
    </row>
    <row r="795" spans="18:18" ht="15.75" customHeight="1">
      <c r="R795" s="30"/>
    </row>
    <row r="796" spans="18:18" ht="15.75" customHeight="1">
      <c r="R796" s="30"/>
    </row>
    <row r="797" spans="18:18" ht="15.75" customHeight="1">
      <c r="R797" s="30"/>
    </row>
    <row r="798" spans="18:18" ht="15.75" customHeight="1">
      <c r="R798" s="30"/>
    </row>
    <row r="799" spans="18:18" ht="15.75" customHeight="1">
      <c r="R799" s="30"/>
    </row>
    <row r="800" spans="18:18" ht="15.75" customHeight="1">
      <c r="R800" s="30"/>
    </row>
    <row r="801" spans="18:18" ht="15.75" customHeight="1">
      <c r="R801" s="30"/>
    </row>
    <row r="802" spans="18:18" ht="15.75" customHeight="1">
      <c r="R802" s="30"/>
    </row>
    <row r="803" spans="18:18" ht="15.75" customHeight="1">
      <c r="R803" s="30"/>
    </row>
    <row r="804" spans="18:18" ht="15.75" customHeight="1">
      <c r="R804" s="30"/>
    </row>
    <row r="805" spans="18:18" ht="15.75" customHeight="1">
      <c r="R805" s="30"/>
    </row>
    <row r="806" spans="18:18" ht="15.75" customHeight="1">
      <c r="R806" s="30"/>
    </row>
    <row r="807" spans="18:18" ht="15.75" customHeight="1">
      <c r="R807" s="30"/>
    </row>
    <row r="808" spans="18:18" ht="15.75" customHeight="1">
      <c r="R808" s="30"/>
    </row>
    <row r="809" spans="18:18" ht="15.75" customHeight="1">
      <c r="R809" s="30"/>
    </row>
    <row r="810" spans="18:18" ht="15.75" customHeight="1">
      <c r="R810" s="30"/>
    </row>
    <row r="811" spans="18:18" ht="15.75" customHeight="1">
      <c r="R811" s="30"/>
    </row>
    <row r="812" spans="18:18" ht="15.75" customHeight="1">
      <c r="R812" s="30"/>
    </row>
    <row r="813" spans="18:18" ht="15.75" customHeight="1">
      <c r="R813" s="30"/>
    </row>
    <row r="814" spans="18:18" ht="15.75" customHeight="1">
      <c r="R814" s="30"/>
    </row>
    <row r="815" spans="18:18" ht="15.75" customHeight="1">
      <c r="R815" s="30"/>
    </row>
    <row r="816" spans="18:18" ht="15.75" customHeight="1">
      <c r="R816" s="30"/>
    </row>
    <row r="817" spans="18:18" ht="15.75" customHeight="1">
      <c r="R817" s="30"/>
    </row>
    <row r="818" spans="18:18" ht="15.75" customHeight="1">
      <c r="R818" s="30"/>
    </row>
    <row r="819" spans="18:18" ht="15.75" customHeight="1">
      <c r="R819" s="30"/>
    </row>
    <row r="820" spans="18:18" ht="15.75" customHeight="1">
      <c r="R820" s="30"/>
    </row>
    <row r="821" spans="18:18" ht="15.75" customHeight="1">
      <c r="R821" s="30"/>
    </row>
    <row r="822" spans="18:18" ht="15.75" customHeight="1">
      <c r="R822" s="30"/>
    </row>
    <row r="823" spans="18:18" ht="15.75" customHeight="1">
      <c r="R823" s="30"/>
    </row>
    <row r="824" spans="18:18" ht="15.75" customHeight="1">
      <c r="R824" s="30"/>
    </row>
    <row r="825" spans="18:18" ht="15.75" customHeight="1">
      <c r="R825" s="30"/>
    </row>
    <row r="826" spans="18:18" ht="15.75" customHeight="1">
      <c r="R826" s="30"/>
    </row>
    <row r="827" spans="18:18" ht="15.75" customHeight="1">
      <c r="R827" s="30"/>
    </row>
    <row r="828" spans="18:18" ht="15.75" customHeight="1">
      <c r="R828" s="30"/>
    </row>
    <row r="829" spans="18:18" ht="15.75" customHeight="1">
      <c r="R829" s="30"/>
    </row>
    <row r="830" spans="18:18" ht="15.75" customHeight="1">
      <c r="R830" s="30"/>
    </row>
    <row r="831" spans="18:18" ht="15.75" customHeight="1">
      <c r="R831" s="30"/>
    </row>
    <row r="832" spans="18:18" ht="15.75" customHeight="1">
      <c r="R832" s="30"/>
    </row>
    <row r="833" spans="18:18" ht="15.75" customHeight="1">
      <c r="R833" s="30"/>
    </row>
    <row r="834" spans="18:18" ht="15.75" customHeight="1">
      <c r="R834" s="30"/>
    </row>
    <row r="835" spans="18:18" ht="15.75" customHeight="1">
      <c r="R835" s="30"/>
    </row>
    <row r="836" spans="18:18" ht="15.75" customHeight="1">
      <c r="R836" s="30"/>
    </row>
    <row r="837" spans="18:18" ht="15.75" customHeight="1">
      <c r="R837" s="30"/>
    </row>
    <row r="838" spans="18:18" ht="15.75" customHeight="1">
      <c r="R838" s="30"/>
    </row>
    <row r="839" spans="18:18" ht="15.75" customHeight="1">
      <c r="R839" s="30"/>
    </row>
    <row r="840" spans="18:18" ht="15.75" customHeight="1">
      <c r="R840" s="30"/>
    </row>
    <row r="841" spans="18:18" ht="15.75" customHeight="1">
      <c r="R841" s="30"/>
    </row>
    <row r="842" spans="18:18" ht="15.75" customHeight="1">
      <c r="R842" s="30"/>
    </row>
    <row r="843" spans="18:18" ht="15.75" customHeight="1">
      <c r="R843" s="30"/>
    </row>
    <row r="844" spans="18:18" ht="15.75" customHeight="1">
      <c r="R844" s="30"/>
    </row>
    <row r="845" spans="18:18" ht="15.75" customHeight="1">
      <c r="R845" s="30"/>
    </row>
    <row r="846" spans="18:18" ht="15.75" customHeight="1">
      <c r="R846" s="30"/>
    </row>
    <row r="847" spans="18:18" ht="15.75" customHeight="1">
      <c r="R847" s="30"/>
    </row>
    <row r="848" spans="18:18" ht="15.75" customHeight="1">
      <c r="R848" s="30"/>
    </row>
    <row r="849" spans="18:18" ht="15.75" customHeight="1">
      <c r="R849" s="30"/>
    </row>
    <row r="850" spans="18:18" ht="15.75" customHeight="1">
      <c r="R850" s="30"/>
    </row>
    <row r="851" spans="18:18" ht="15.75" customHeight="1">
      <c r="R851" s="30"/>
    </row>
    <row r="852" spans="18:18" ht="15.75" customHeight="1">
      <c r="R852" s="30"/>
    </row>
    <row r="853" spans="18:18" ht="15.75" customHeight="1">
      <c r="R853" s="30"/>
    </row>
    <row r="854" spans="18:18" ht="15.75" customHeight="1">
      <c r="R854" s="30"/>
    </row>
    <row r="855" spans="18:18" ht="15.75" customHeight="1">
      <c r="R855" s="30"/>
    </row>
    <row r="856" spans="18:18" ht="15.75" customHeight="1">
      <c r="R856" s="30"/>
    </row>
    <row r="857" spans="18:18" ht="15.75" customHeight="1">
      <c r="R857" s="30"/>
    </row>
    <row r="858" spans="18:18" ht="15.75" customHeight="1">
      <c r="R858" s="30"/>
    </row>
    <row r="859" spans="18:18" ht="15.75" customHeight="1">
      <c r="R859" s="30"/>
    </row>
    <row r="860" spans="18:18" ht="15.75" customHeight="1">
      <c r="R860" s="30"/>
    </row>
    <row r="861" spans="18:18" ht="15.75" customHeight="1">
      <c r="R861" s="30"/>
    </row>
    <row r="862" spans="18:18" ht="15.75" customHeight="1">
      <c r="R862" s="30"/>
    </row>
    <row r="863" spans="18:18" ht="15.75" customHeight="1">
      <c r="R863" s="30"/>
    </row>
    <row r="864" spans="18:18" ht="15.75" customHeight="1">
      <c r="R864" s="30"/>
    </row>
    <row r="865" spans="18:18" ht="15.75" customHeight="1">
      <c r="R865" s="30"/>
    </row>
    <row r="866" spans="18:18" ht="15.75" customHeight="1">
      <c r="R866" s="30"/>
    </row>
    <row r="867" spans="18:18" ht="15.75" customHeight="1">
      <c r="R867" s="30"/>
    </row>
    <row r="868" spans="18:18" ht="15.75" customHeight="1">
      <c r="R868" s="30"/>
    </row>
    <row r="869" spans="18:18" ht="15.75" customHeight="1">
      <c r="R869" s="30"/>
    </row>
    <row r="870" spans="18:18" ht="15.75" customHeight="1">
      <c r="R870" s="30"/>
    </row>
    <row r="871" spans="18:18" ht="15.75" customHeight="1">
      <c r="R871" s="30"/>
    </row>
    <row r="872" spans="18:18" ht="15.75" customHeight="1">
      <c r="R872" s="30"/>
    </row>
    <row r="873" spans="18:18" ht="15.75" customHeight="1">
      <c r="R873" s="30"/>
    </row>
    <row r="874" spans="18:18" ht="15.75" customHeight="1">
      <c r="R874" s="30"/>
    </row>
    <row r="875" spans="18:18" ht="15.75" customHeight="1">
      <c r="R875" s="30"/>
    </row>
    <row r="876" spans="18:18" ht="15.75" customHeight="1">
      <c r="R876" s="30"/>
    </row>
    <row r="877" spans="18:18" ht="15.75" customHeight="1">
      <c r="R877" s="30"/>
    </row>
    <row r="878" spans="18:18" ht="15.75" customHeight="1">
      <c r="R878" s="30"/>
    </row>
    <row r="879" spans="18:18" ht="15.75" customHeight="1">
      <c r="R879" s="30"/>
    </row>
    <row r="880" spans="18:18" ht="15.75" customHeight="1">
      <c r="R880" s="30"/>
    </row>
    <row r="881" spans="18:18" ht="15.75" customHeight="1">
      <c r="R881" s="30"/>
    </row>
    <row r="882" spans="18:18" ht="15.75" customHeight="1">
      <c r="R882" s="30"/>
    </row>
    <row r="883" spans="18:18" ht="15.75" customHeight="1">
      <c r="R883" s="30"/>
    </row>
    <row r="884" spans="18:18" ht="15.75" customHeight="1">
      <c r="R884" s="30"/>
    </row>
    <row r="885" spans="18:18" ht="15.75" customHeight="1">
      <c r="R885" s="30"/>
    </row>
    <row r="886" spans="18:18" ht="15.75" customHeight="1">
      <c r="R886" s="30"/>
    </row>
    <row r="887" spans="18:18" ht="15.75" customHeight="1">
      <c r="R887" s="30"/>
    </row>
    <row r="888" spans="18:18" ht="15.75" customHeight="1">
      <c r="R888" s="30"/>
    </row>
    <row r="889" spans="18:18" ht="15.75" customHeight="1">
      <c r="R889" s="30"/>
    </row>
    <row r="890" spans="18:18" ht="15.75" customHeight="1">
      <c r="R890" s="30"/>
    </row>
    <row r="891" spans="18:18" ht="15.75" customHeight="1">
      <c r="R891" s="30"/>
    </row>
    <row r="892" spans="18:18" ht="15.75" customHeight="1">
      <c r="R892" s="30"/>
    </row>
    <row r="893" spans="18:18" ht="15.75" customHeight="1">
      <c r="R893" s="30"/>
    </row>
    <row r="894" spans="18:18" ht="15.75" customHeight="1">
      <c r="R894" s="30"/>
    </row>
    <row r="895" spans="18:18" ht="15.75" customHeight="1">
      <c r="R895" s="30"/>
    </row>
    <row r="896" spans="18:18" ht="15.75" customHeight="1">
      <c r="R896" s="30"/>
    </row>
    <row r="897" spans="18:18" ht="15.75" customHeight="1">
      <c r="R897" s="30"/>
    </row>
    <row r="898" spans="18:18" ht="15.75" customHeight="1">
      <c r="R898" s="30"/>
    </row>
    <row r="899" spans="18:18" ht="15.75" customHeight="1">
      <c r="R899" s="30"/>
    </row>
    <row r="900" spans="18:18" ht="15.75" customHeight="1">
      <c r="R900" s="30"/>
    </row>
    <row r="901" spans="18:18" ht="15.75" customHeight="1">
      <c r="R901" s="30"/>
    </row>
    <row r="902" spans="18:18" ht="15.75" customHeight="1">
      <c r="R902" s="30"/>
    </row>
    <row r="903" spans="18:18" ht="15.75" customHeight="1">
      <c r="R903" s="30"/>
    </row>
    <row r="904" spans="18:18" ht="15.75" customHeight="1">
      <c r="R904" s="30"/>
    </row>
    <row r="905" spans="18:18" ht="15.75" customHeight="1">
      <c r="R905" s="30"/>
    </row>
    <row r="906" spans="18:18" ht="15.75" customHeight="1">
      <c r="R906" s="30"/>
    </row>
    <row r="907" spans="18:18" ht="15.75" customHeight="1">
      <c r="R907" s="30"/>
    </row>
    <row r="908" spans="18:18" ht="15.75" customHeight="1">
      <c r="R908" s="30"/>
    </row>
    <row r="909" spans="18:18" ht="15.75" customHeight="1">
      <c r="R909" s="30"/>
    </row>
    <row r="910" spans="18:18" ht="15.75" customHeight="1">
      <c r="R910" s="30"/>
    </row>
    <row r="911" spans="18:18" ht="15.75" customHeight="1">
      <c r="R911" s="30"/>
    </row>
    <row r="912" spans="18:18" ht="15.75" customHeight="1">
      <c r="R912" s="30"/>
    </row>
    <row r="913" spans="18:18" ht="15.75" customHeight="1">
      <c r="R913" s="30"/>
    </row>
    <row r="914" spans="18:18" ht="15.75" customHeight="1">
      <c r="R914" s="30"/>
    </row>
    <row r="915" spans="18:18" ht="15.75" customHeight="1">
      <c r="R915" s="30"/>
    </row>
    <row r="916" spans="18:18" ht="15.75" customHeight="1">
      <c r="R916" s="30"/>
    </row>
    <row r="917" spans="18:18" ht="15.75" customHeight="1">
      <c r="R917" s="30"/>
    </row>
    <row r="918" spans="18:18" ht="15.75" customHeight="1">
      <c r="R918" s="30"/>
    </row>
    <row r="919" spans="18:18" ht="15.75" customHeight="1">
      <c r="R919" s="30"/>
    </row>
    <row r="920" spans="18:18" ht="15.75" customHeight="1">
      <c r="R920" s="30"/>
    </row>
    <row r="921" spans="18:18" ht="15.75" customHeight="1">
      <c r="R921" s="30"/>
    </row>
    <row r="922" spans="18:18" ht="15.75" customHeight="1">
      <c r="R922" s="30"/>
    </row>
    <row r="923" spans="18:18" ht="15.75" customHeight="1">
      <c r="R923" s="30"/>
    </row>
    <row r="924" spans="18:18" ht="15.75" customHeight="1">
      <c r="R924" s="30"/>
    </row>
    <row r="925" spans="18:18" ht="15.75" customHeight="1">
      <c r="R925" s="30"/>
    </row>
    <row r="926" spans="18:18" ht="15.75" customHeight="1">
      <c r="R926" s="30"/>
    </row>
    <row r="927" spans="18:18" ht="15.75" customHeight="1">
      <c r="R927" s="30"/>
    </row>
    <row r="928" spans="18:18" ht="15.75" customHeight="1">
      <c r="R928" s="30"/>
    </row>
    <row r="929" spans="18:18" ht="15.75" customHeight="1">
      <c r="R929" s="30"/>
    </row>
    <row r="930" spans="18:18" ht="15.75" customHeight="1">
      <c r="R930" s="30"/>
    </row>
    <row r="931" spans="18:18" ht="15.75" customHeight="1">
      <c r="R931" s="30"/>
    </row>
    <row r="932" spans="18:18" ht="15.75" customHeight="1">
      <c r="R932" s="30"/>
    </row>
    <row r="933" spans="18:18" ht="15.75" customHeight="1">
      <c r="R933" s="30"/>
    </row>
    <row r="934" spans="18:18" ht="15.75" customHeight="1">
      <c r="R934" s="30"/>
    </row>
    <row r="935" spans="18:18" ht="15.75" customHeight="1">
      <c r="R935" s="30"/>
    </row>
    <row r="936" spans="18:18" ht="15.75" customHeight="1">
      <c r="R936" s="30"/>
    </row>
    <row r="937" spans="18:18" ht="15.75" customHeight="1">
      <c r="R937" s="30"/>
    </row>
    <row r="938" spans="18:18" ht="15.75" customHeight="1">
      <c r="R938" s="30"/>
    </row>
    <row r="939" spans="18:18" ht="15.75" customHeight="1">
      <c r="R939" s="30"/>
    </row>
    <row r="940" spans="18:18" ht="15.75" customHeight="1">
      <c r="R940" s="30"/>
    </row>
    <row r="941" spans="18:18" ht="15.75" customHeight="1">
      <c r="R941" s="30"/>
    </row>
    <row r="942" spans="18:18" ht="15.75" customHeight="1">
      <c r="R942" s="30"/>
    </row>
    <row r="943" spans="18:18" ht="15.75" customHeight="1">
      <c r="R943" s="30"/>
    </row>
    <row r="944" spans="18:18" ht="15.75" customHeight="1">
      <c r="R944" s="30"/>
    </row>
    <row r="945" spans="18:18" ht="15.75" customHeight="1">
      <c r="R945" s="30"/>
    </row>
    <row r="946" spans="18:18" ht="15.75" customHeight="1">
      <c r="R946" s="30"/>
    </row>
    <row r="947" spans="18:18" ht="15.75" customHeight="1">
      <c r="R947" s="30"/>
    </row>
    <row r="948" spans="18:18" ht="15.75" customHeight="1">
      <c r="R948" s="30"/>
    </row>
    <row r="949" spans="18:18" ht="15.75" customHeight="1">
      <c r="R949" s="30"/>
    </row>
    <row r="950" spans="18:18" ht="15.75" customHeight="1">
      <c r="R950" s="30"/>
    </row>
    <row r="951" spans="18:18" ht="15.75" customHeight="1">
      <c r="R951" s="30"/>
    </row>
    <row r="952" spans="18:18" ht="15.75" customHeight="1">
      <c r="R952" s="30"/>
    </row>
    <row r="953" spans="18:18" ht="15.75" customHeight="1">
      <c r="R953" s="30"/>
    </row>
    <row r="954" spans="18:18" ht="15.75" customHeight="1">
      <c r="R954" s="30"/>
    </row>
    <row r="955" spans="18:18" ht="15.75" customHeight="1">
      <c r="R955" s="30"/>
    </row>
    <row r="956" spans="18:18" ht="15.75" customHeight="1">
      <c r="R956" s="30"/>
    </row>
    <row r="957" spans="18:18" ht="15.75" customHeight="1">
      <c r="R957" s="30"/>
    </row>
    <row r="958" spans="18:18" ht="15.75" customHeight="1">
      <c r="R958" s="30"/>
    </row>
    <row r="959" spans="18:18" ht="15.75" customHeight="1">
      <c r="R959" s="30"/>
    </row>
    <row r="960" spans="18:18" ht="15.75" customHeight="1">
      <c r="R960" s="30"/>
    </row>
    <row r="961" spans="18:18" ht="15.75" customHeight="1">
      <c r="R961" s="30"/>
    </row>
    <row r="962" spans="18:18" ht="15.75" customHeight="1">
      <c r="R962" s="30"/>
    </row>
    <row r="963" spans="18:18" ht="15.75" customHeight="1">
      <c r="R963" s="30"/>
    </row>
    <row r="964" spans="18:18" ht="15.75" customHeight="1">
      <c r="R964" s="30"/>
    </row>
    <row r="965" spans="18:18" ht="15.75" customHeight="1">
      <c r="R965" s="30"/>
    </row>
    <row r="966" spans="18:18" ht="15.75" customHeight="1">
      <c r="R966" s="30"/>
    </row>
    <row r="967" spans="18:18" ht="15.75" customHeight="1">
      <c r="R967" s="30"/>
    </row>
    <row r="968" spans="18:18" ht="15.75" customHeight="1">
      <c r="R968" s="30"/>
    </row>
    <row r="969" spans="18:18" ht="15.75" customHeight="1">
      <c r="R969" s="30"/>
    </row>
    <row r="970" spans="18:18" ht="15.75" customHeight="1">
      <c r="R970" s="30"/>
    </row>
    <row r="971" spans="18:18" ht="15.75" customHeight="1">
      <c r="R971" s="30"/>
    </row>
    <row r="972" spans="18:18" ht="15.75" customHeight="1">
      <c r="R972" s="30"/>
    </row>
    <row r="973" spans="18:18" ht="15.75" customHeight="1">
      <c r="R973" s="30"/>
    </row>
    <row r="974" spans="18:18" ht="15.75" customHeight="1">
      <c r="R974" s="30"/>
    </row>
    <row r="975" spans="18:18" ht="15.75" customHeight="1">
      <c r="R975" s="30"/>
    </row>
    <row r="976" spans="18:18" ht="15.75" customHeight="1">
      <c r="R976" s="30"/>
    </row>
    <row r="977" spans="18:18" ht="15.75" customHeight="1">
      <c r="R977" s="30"/>
    </row>
    <row r="978" spans="18:18" ht="15.75" customHeight="1">
      <c r="R978" s="30"/>
    </row>
    <row r="979" spans="18:18" ht="15.75" customHeight="1">
      <c r="R979" s="30"/>
    </row>
    <row r="980" spans="18:18" ht="15.75" customHeight="1">
      <c r="R980" s="30"/>
    </row>
    <row r="981" spans="18:18" ht="15.75" customHeight="1">
      <c r="R981" s="30"/>
    </row>
    <row r="982" spans="18:18" ht="15.75" customHeight="1">
      <c r="R982" s="30"/>
    </row>
    <row r="983" spans="18:18" ht="15.75" customHeight="1">
      <c r="R983" s="30"/>
    </row>
    <row r="984" spans="18:18" ht="15.75" customHeight="1">
      <c r="R984" s="30"/>
    </row>
    <row r="985" spans="18:18" ht="15.75" customHeight="1">
      <c r="R985" s="30"/>
    </row>
    <row r="986" spans="18:18" ht="15.75" customHeight="1">
      <c r="R986" s="30"/>
    </row>
    <row r="987" spans="18:18" ht="15.75" customHeight="1">
      <c r="R987" s="30"/>
    </row>
    <row r="988" spans="18:18" ht="15.75" customHeight="1">
      <c r="R988" s="30"/>
    </row>
    <row r="989" spans="18:18" ht="15.75" customHeight="1">
      <c r="R989" s="30"/>
    </row>
    <row r="990" spans="18:18" ht="15.75" customHeight="1">
      <c r="R990" s="30"/>
    </row>
    <row r="991" spans="18:18" ht="15.75" customHeight="1">
      <c r="R991" s="30"/>
    </row>
    <row r="992" spans="18:18" ht="15.75" customHeight="1">
      <c r="R992" s="30"/>
    </row>
    <row r="993" spans="18:18" ht="15.75" customHeight="1">
      <c r="R993" s="30"/>
    </row>
    <row r="994" spans="18:18" ht="15.75" customHeight="1">
      <c r="R994" s="30"/>
    </row>
    <row r="995" spans="18:18" ht="15.75" customHeight="1">
      <c r="R995" s="30"/>
    </row>
    <row r="996" spans="18:18" ht="15.75" customHeight="1">
      <c r="R996" s="30"/>
    </row>
    <row r="997" spans="18:18" ht="15.75" customHeight="1">
      <c r="R997" s="30"/>
    </row>
    <row r="998" spans="18:18" ht="15.75" customHeight="1">
      <c r="R998" s="30"/>
    </row>
    <row r="999" spans="18:18" ht="15.75" customHeight="1">
      <c r="R999" s="30"/>
    </row>
    <row r="1000" spans="18:18" ht="15.75" customHeight="1">
      <c r="R1000" s="3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2.6640625" defaultRowHeight="15" customHeight="1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8.6640625" customWidth="1"/>
    <col min="6" max="6" width="10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9.6640625" customWidth="1"/>
    <col min="16" max="16" width="8.1640625" customWidth="1"/>
    <col min="17" max="18" width="7.33203125" customWidth="1"/>
    <col min="19" max="19" width="7.1640625" customWidth="1"/>
    <col min="20" max="20" width="11.1640625" customWidth="1"/>
    <col min="21" max="21" width="13.5" customWidth="1"/>
    <col min="22" max="22" width="22" customWidth="1"/>
    <col min="23" max="24" width="7.6640625" customWidth="1"/>
    <col min="25" max="25" width="8.1640625" customWidth="1"/>
    <col min="26" max="26" width="11.1640625" customWidth="1"/>
    <col min="27" max="27" width="10.6640625" customWidth="1"/>
    <col min="28" max="28" width="9.6640625" customWidth="1"/>
    <col min="29" max="29" width="7.1640625" customWidth="1"/>
    <col min="30" max="30" width="10.83203125" customWidth="1"/>
    <col min="31" max="31" width="7.6640625" customWidth="1"/>
    <col min="32" max="32" width="10.1640625" customWidth="1"/>
    <col min="33" max="33" width="8.83203125" customWidth="1"/>
  </cols>
  <sheetData>
    <row r="1" spans="1:33" ht="18.75" customHeight="1">
      <c r="A1" s="46" t="str">
        <f ca="1">IFERROR(__xludf.DUMMYFUNCTION("IFERROR(VLOOKUP(B2,IMPORTRANGE(""https://docs.google.com/spreadsheets/d/1x0DhHglkXKoEBOD2MBsuK_EyIr1ouxD2ftIpqOYFa-k/edit?usp=sharing"",""Ubiquitty-SKU-Specific Info!B1:BJ5000""),3,FALSE),"""")"),"3 Foot Lighted Outdoor Extension Cord with 3 Electrical Power Outlets - 10/3 SJTW Yellow 10 Gauge Extension Cable with 3 Prong Grounded Plug for Safety")</f>
        <v>3 Foot Lighted Outdoor Extension Cord with 3 Electrical Power Outlets - 10/3 SJTW Yellow 10 Gauge Extension Cable with 3 Prong Grounded Plug for Safety</v>
      </c>
      <c r="B1" s="47"/>
      <c r="C1" s="48" t="s">
        <v>0</v>
      </c>
      <c r="D1" s="50" t="s">
        <v>1</v>
      </c>
      <c r="E1" s="50" t="s">
        <v>2</v>
      </c>
      <c r="F1" s="52" t="s">
        <v>3</v>
      </c>
      <c r="G1" s="52" t="s">
        <v>4</v>
      </c>
      <c r="H1" s="53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58" t="s">
        <v>10</v>
      </c>
      <c r="N1" s="59" t="s">
        <v>11</v>
      </c>
      <c r="O1" s="50" t="s">
        <v>12</v>
      </c>
      <c r="P1" s="50" t="s">
        <v>13</v>
      </c>
      <c r="Q1" s="57" t="s">
        <v>14</v>
      </c>
      <c r="R1" s="57" t="s">
        <v>15</v>
      </c>
      <c r="S1" s="60" t="s">
        <v>16</v>
      </c>
      <c r="T1" s="62" t="s">
        <v>2006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Info!B1:BJ5000""),2,FALSE),"""")"),"B08NFD87WF")</f>
        <v>B08NFD87WF</v>
      </c>
      <c r="B2" s="3" t="s">
        <v>172</v>
      </c>
      <c r="C2" s="49"/>
      <c r="D2" s="49"/>
      <c r="E2" s="51"/>
      <c r="F2" s="49"/>
      <c r="G2" s="49"/>
      <c r="H2" s="54"/>
      <c r="I2" s="49"/>
      <c r="J2" s="49"/>
      <c r="K2" s="54"/>
      <c r="L2" s="54"/>
      <c r="M2" s="54"/>
      <c r="N2" s="49"/>
      <c r="O2" s="49"/>
      <c r="P2" s="51"/>
      <c r="Q2" s="49"/>
      <c r="R2" s="49"/>
      <c r="S2" s="61"/>
      <c r="T2" s="47"/>
      <c r="U2" s="63"/>
      <c r="V2" s="63"/>
      <c r="W2" s="47"/>
      <c r="X2" s="47"/>
      <c r="Y2" s="47"/>
      <c r="Z2" s="47"/>
      <c r="AA2" s="63"/>
      <c r="AB2" s="63"/>
      <c r="AC2" s="63"/>
      <c r="AD2" s="63"/>
      <c r="AE2" s="47"/>
      <c r="AF2" s="47"/>
      <c r="AG2" s="47"/>
    </row>
    <row r="3" spans="1:33" ht="179.25" customHeight="1">
      <c r="A3" s="55" t="s">
        <v>31</v>
      </c>
      <c r="B3" s="56"/>
      <c r="C3" s="4">
        <f>((AE32+AF32)/0.85)*-1</f>
        <v>10.112389552941178</v>
      </c>
      <c r="D3" s="5">
        <f>SUM(D4:D99765)</f>
        <v>164</v>
      </c>
      <c r="E3" s="5"/>
      <c r="F3" s="6">
        <f t="shared" ref="F3:G3" si="0">SUM(F4:F99765)</f>
        <v>2363.2099999999996</v>
      </c>
      <c r="G3" s="6">
        <f t="shared" si="0"/>
        <v>-69.190000000000012</v>
      </c>
      <c r="H3" s="7">
        <f>G3/F3*-1</f>
        <v>2.9277973603700061E-2</v>
      </c>
      <c r="I3" s="8">
        <f>J3/F3</f>
        <v>0.21878901252992047</v>
      </c>
      <c r="J3" s="6">
        <f>SUM(J4:J99765)</f>
        <v>517.04438230083326</v>
      </c>
      <c r="K3" s="6">
        <f>J3/D3</f>
        <v>3.1527096481758128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Sheet!a1:g5000""),2,FALSE),"""")"),"2 - March
2 - April
2 - May
2 - June
2 - July
2 - Aug
2 - Sept
2 - Oct
2 - Nov
2 - Dec
 - Jan
 - Feb")</f>
        <v>2 - March
2 - April
2 - May
2 - June
2 - July
2 - Aug
2 - Sept
2 - Oct
2 - Nov
2 -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8</v>
      </c>
      <c r="X3" s="7">
        <f>W3/D3</f>
        <v>4.878048780487805E-2</v>
      </c>
      <c r="Y3" s="6"/>
      <c r="Z3" s="5"/>
      <c r="AA3" s="5"/>
      <c r="AB3" s="5"/>
      <c r="AC3" s="5"/>
      <c r="AD3" s="6">
        <f>SUM(AD4:AD99765)</f>
        <v>-10.748836579166667</v>
      </c>
      <c r="AE3" s="6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Info!B2:BZ3000""),37,FALSE)),"""")*-1"),-3.64553112)</f>
        <v>-3.6455311199999998</v>
      </c>
      <c r="AG3" s="6">
        <f>SUM(AG4:AG99765)</f>
        <v>0</v>
      </c>
    </row>
    <row r="4" spans="1:33" ht="15.75" hidden="1" customHeight="1">
      <c r="A4" s="14"/>
      <c r="B4" s="14"/>
      <c r="C4" s="15"/>
      <c r="D4" s="16"/>
      <c r="E4" s="16"/>
      <c r="F4" s="17"/>
      <c r="G4" s="17"/>
      <c r="H4" s="18"/>
      <c r="I4" s="18"/>
      <c r="J4" s="17"/>
      <c r="K4" s="17"/>
      <c r="L4" s="16"/>
      <c r="M4" s="19"/>
      <c r="N4" s="16"/>
      <c r="O4" s="20"/>
      <c r="P4" s="20"/>
      <c r="Q4" s="16"/>
      <c r="R4" s="16"/>
      <c r="S4" s="21"/>
      <c r="T4" s="14"/>
      <c r="U4" s="22"/>
      <c r="V4" s="23"/>
      <c r="W4" s="14"/>
      <c r="X4" s="24"/>
      <c r="Y4" s="25"/>
      <c r="Z4" s="14"/>
      <c r="AA4" s="26"/>
      <c r="AB4" s="27"/>
      <c r="AC4" s="28"/>
      <c r="AD4" s="25"/>
      <c r="AE4" s="25"/>
      <c r="AF4" s="25"/>
      <c r="AG4" s="25"/>
    </row>
    <row r="5" spans="1:33" ht="15.75" hidden="1" customHeight="1">
      <c r="A5" s="14"/>
      <c r="B5" s="14"/>
      <c r="C5" s="15"/>
      <c r="D5" s="16"/>
      <c r="E5" s="16"/>
      <c r="F5" s="29"/>
      <c r="G5" s="29"/>
      <c r="H5" s="18"/>
      <c r="I5" s="18"/>
      <c r="J5" s="17"/>
      <c r="K5" s="17"/>
      <c r="L5" s="16"/>
      <c r="M5" s="19"/>
      <c r="N5" s="16"/>
      <c r="O5" s="20"/>
      <c r="P5" s="20"/>
      <c r="Q5" s="16"/>
      <c r="R5" s="16"/>
      <c r="S5" s="21"/>
      <c r="T5" s="14"/>
      <c r="U5" s="22"/>
      <c r="V5" s="23"/>
      <c r="W5" s="14"/>
      <c r="X5" s="24"/>
      <c r="Y5" s="25"/>
      <c r="Z5" s="14"/>
      <c r="AA5" s="14"/>
      <c r="AB5" s="27"/>
      <c r="AC5" s="28"/>
      <c r="AD5" s="25"/>
      <c r="AE5" s="25"/>
      <c r="AF5" s="25"/>
      <c r="AG5" s="25"/>
    </row>
    <row r="6" spans="1:33" ht="15.75" hidden="1" customHeight="1">
      <c r="A6" s="14"/>
      <c r="B6" s="14"/>
      <c r="C6" s="15"/>
      <c r="D6" s="16"/>
      <c r="E6" s="16"/>
      <c r="F6" s="29"/>
      <c r="G6" s="29"/>
      <c r="H6" s="18"/>
      <c r="I6" s="18"/>
      <c r="J6" s="17"/>
      <c r="K6" s="17"/>
      <c r="L6" s="16"/>
      <c r="M6" s="19"/>
      <c r="N6" s="16"/>
      <c r="O6" s="20"/>
      <c r="P6" s="20"/>
      <c r="Q6" s="16"/>
      <c r="R6" s="16"/>
      <c r="S6" s="21"/>
      <c r="T6" s="14"/>
      <c r="U6" s="22"/>
      <c r="V6" s="23"/>
      <c r="W6" s="14"/>
      <c r="X6" s="24"/>
      <c r="Y6" s="25"/>
      <c r="Z6" s="14"/>
      <c r="AA6" s="14"/>
      <c r="AB6" s="27"/>
      <c r="AC6" s="28"/>
      <c r="AD6" s="25"/>
      <c r="AE6" s="25"/>
      <c r="AF6" s="25"/>
      <c r="AG6" s="25"/>
    </row>
    <row r="7" spans="1:33" ht="15.75" hidden="1" customHeight="1">
      <c r="A7" s="14"/>
      <c r="B7" s="14"/>
      <c r="C7" s="15"/>
      <c r="D7" s="16"/>
      <c r="E7" s="16"/>
      <c r="F7" s="29"/>
      <c r="G7" s="29"/>
      <c r="H7" s="18"/>
      <c r="I7" s="18"/>
      <c r="J7" s="17"/>
      <c r="K7" s="17"/>
      <c r="L7" s="16"/>
      <c r="M7" s="19"/>
      <c r="N7" s="16"/>
      <c r="O7" s="20"/>
      <c r="P7" s="20"/>
      <c r="Q7" s="16"/>
      <c r="R7" s="16"/>
      <c r="S7" s="21"/>
      <c r="T7" s="14"/>
      <c r="U7" s="22"/>
      <c r="V7" s="23"/>
      <c r="W7" s="14"/>
      <c r="X7" s="24"/>
      <c r="Y7" s="25"/>
      <c r="Z7" s="14"/>
      <c r="AA7" s="14"/>
      <c r="AB7" s="27"/>
      <c r="AC7" s="28"/>
      <c r="AD7" s="25"/>
      <c r="AE7" s="25"/>
      <c r="AF7" s="25"/>
      <c r="AG7" s="25"/>
    </row>
    <row r="8" spans="1:33" ht="15.75" hidden="1" customHeight="1">
      <c r="A8" s="14"/>
      <c r="B8" s="14"/>
      <c r="C8" s="15"/>
      <c r="D8" s="16"/>
      <c r="E8" s="16"/>
      <c r="F8" s="29"/>
      <c r="G8" s="29"/>
      <c r="H8" s="18"/>
      <c r="I8" s="18"/>
      <c r="J8" s="17"/>
      <c r="K8" s="17"/>
      <c r="L8" s="16"/>
      <c r="M8" s="19"/>
      <c r="N8" s="16"/>
      <c r="O8" s="20"/>
      <c r="P8" s="20"/>
      <c r="Q8" s="16"/>
      <c r="R8" s="16"/>
      <c r="S8" s="21"/>
      <c r="T8" s="14"/>
      <c r="U8" s="22"/>
      <c r="V8" s="23"/>
      <c r="W8" s="14"/>
      <c r="X8" s="24"/>
      <c r="Y8" s="25"/>
      <c r="Z8" s="14"/>
      <c r="AA8" s="14"/>
      <c r="AB8" s="27"/>
      <c r="AC8" s="28"/>
      <c r="AD8" s="25"/>
      <c r="AE8" s="25"/>
      <c r="AF8" s="25"/>
      <c r="AG8" s="25"/>
    </row>
    <row r="9" spans="1:33" ht="15.75" hidden="1" customHeight="1">
      <c r="A9" s="14"/>
      <c r="B9" s="14"/>
      <c r="C9" s="15"/>
      <c r="D9" s="16"/>
      <c r="E9" s="16"/>
      <c r="F9" s="29"/>
      <c r="G9" s="29"/>
      <c r="H9" s="18"/>
      <c r="I9" s="18"/>
      <c r="J9" s="17"/>
      <c r="K9" s="17"/>
      <c r="L9" s="16"/>
      <c r="M9" s="19"/>
      <c r="N9" s="16"/>
      <c r="O9" s="20"/>
      <c r="P9" s="20"/>
      <c r="Q9" s="16"/>
      <c r="R9" s="16"/>
      <c r="S9" s="21"/>
      <c r="T9" s="14"/>
      <c r="U9" s="22"/>
      <c r="V9" s="23"/>
      <c r="W9" s="14"/>
      <c r="X9" s="24"/>
      <c r="Y9" s="25"/>
      <c r="Z9" s="14"/>
      <c r="AA9" s="14"/>
      <c r="AB9" s="27"/>
      <c r="AC9" s="28"/>
      <c r="AD9" s="25"/>
      <c r="AE9" s="25"/>
      <c r="AF9" s="25"/>
      <c r="AG9" s="25"/>
    </row>
    <row r="10" spans="1:33" ht="15.75" hidden="1" customHeight="1">
      <c r="A10" s="14"/>
      <c r="B10" s="14"/>
      <c r="C10" s="15"/>
      <c r="D10" s="16"/>
      <c r="E10" s="16"/>
      <c r="F10" s="29"/>
      <c r="G10" s="29"/>
      <c r="H10" s="18"/>
      <c r="I10" s="18"/>
      <c r="J10" s="17"/>
      <c r="K10" s="17"/>
      <c r="L10" s="16"/>
      <c r="M10" s="19"/>
      <c r="N10" s="16"/>
      <c r="O10" s="20"/>
      <c r="P10" s="20"/>
      <c r="Q10" s="16"/>
      <c r="R10" s="16"/>
      <c r="S10" s="21"/>
      <c r="T10" s="14"/>
      <c r="U10" s="22"/>
      <c r="V10" s="23"/>
      <c r="W10" s="14"/>
      <c r="X10" s="24"/>
      <c r="Y10" s="25"/>
      <c r="Z10" s="14"/>
      <c r="AA10" s="14"/>
      <c r="AB10" s="27"/>
      <c r="AC10" s="28"/>
      <c r="AD10" s="25"/>
      <c r="AE10" s="25"/>
      <c r="AF10" s="25"/>
      <c r="AG10" s="25"/>
    </row>
    <row r="11" spans="1:33" ht="15.75" hidden="1" customHeight="1">
      <c r="A11" s="14"/>
      <c r="B11" s="14"/>
      <c r="C11" s="15"/>
      <c r="D11" s="16"/>
      <c r="E11" s="16"/>
      <c r="F11" s="29"/>
      <c r="G11" s="29"/>
      <c r="H11" s="18"/>
      <c r="I11" s="18"/>
      <c r="J11" s="17"/>
      <c r="K11" s="17"/>
      <c r="L11" s="16"/>
      <c r="M11" s="19"/>
      <c r="N11" s="16"/>
      <c r="O11" s="20"/>
      <c r="P11" s="20"/>
      <c r="Q11" s="16"/>
      <c r="R11" s="16"/>
      <c r="S11" s="21"/>
      <c r="T11" s="14"/>
      <c r="U11" s="22"/>
      <c r="V11" s="23"/>
      <c r="W11" s="14"/>
      <c r="X11" s="24"/>
      <c r="Y11" s="25"/>
      <c r="Z11" s="14"/>
      <c r="AA11" s="14"/>
      <c r="AB11" s="27"/>
      <c r="AC11" s="28"/>
      <c r="AD11" s="25"/>
      <c r="AE11" s="25"/>
      <c r="AF11" s="25"/>
      <c r="AG11" s="25"/>
    </row>
    <row r="12" spans="1:33" ht="15.75" hidden="1" customHeight="1">
      <c r="A12" s="14"/>
      <c r="B12" s="14"/>
      <c r="C12" s="15"/>
      <c r="D12" s="16"/>
      <c r="E12" s="16"/>
      <c r="F12" s="29"/>
      <c r="G12" s="29"/>
      <c r="H12" s="18"/>
      <c r="I12" s="18"/>
      <c r="J12" s="17"/>
      <c r="K12" s="17"/>
      <c r="L12" s="16"/>
      <c r="M12" s="19"/>
      <c r="N12" s="16"/>
      <c r="O12" s="20"/>
      <c r="P12" s="20"/>
      <c r="Q12" s="16"/>
      <c r="R12" s="16"/>
      <c r="S12" s="21"/>
      <c r="T12" s="14"/>
      <c r="U12" s="22"/>
      <c r="V12" s="23"/>
      <c r="W12" s="14"/>
      <c r="X12" s="24"/>
      <c r="Y12" s="25"/>
      <c r="Z12" s="14"/>
      <c r="AA12" s="14"/>
      <c r="AB12" s="27"/>
      <c r="AC12" s="28"/>
      <c r="AD12" s="25"/>
      <c r="AE12" s="25"/>
      <c r="AF12" s="25"/>
      <c r="AG12" s="25"/>
    </row>
    <row r="13" spans="1:33" ht="15.75" hidden="1" customHeight="1">
      <c r="A13" s="14"/>
      <c r="B13" s="14"/>
      <c r="C13" s="15"/>
      <c r="D13" s="16"/>
      <c r="E13" s="16"/>
      <c r="F13" s="17"/>
      <c r="G13" s="29"/>
      <c r="H13" s="18"/>
      <c r="I13" s="18"/>
      <c r="J13" s="17"/>
      <c r="K13" s="17"/>
      <c r="L13" s="16"/>
      <c r="M13" s="19"/>
      <c r="N13" s="16"/>
      <c r="O13" s="20"/>
      <c r="P13" s="20"/>
      <c r="Q13" s="16"/>
      <c r="R13" s="16"/>
      <c r="S13" s="21"/>
      <c r="T13" s="14"/>
      <c r="U13" s="22"/>
      <c r="V13" s="23"/>
      <c r="W13" s="14"/>
      <c r="X13" s="24"/>
      <c r="Y13" s="25"/>
      <c r="Z13" s="14"/>
      <c r="AA13" s="14"/>
      <c r="AB13" s="27"/>
      <c r="AC13" s="28"/>
      <c r="AD13" s="25"/>
      <c r="AE13" s="25"/>
      <c r="AF13" s="25"/>
      <c r="AG13" s="25"/>
    </row>
    <row r="14" spans="1:33" ht="15.75" hidden="1" customHeight="1">
      <c r="A14" s="14"/>
      <c r="B14" s="14"/>
      <c r="C14" s="15"/>
      <c r="D14" s="16"/>
      <c r="E14" s="16"/>
      <c r="F14" s="17"/>
      <c r="G14" s="29"/>
      <c r="H14" s="18"/>
      <c r="I14" s="18"/>
      <c r="J14" s="17"/>
      <c r="K14" s="17"/>
      <c r="L14" s="16"/>
      <c r="M14" s="19"/>
      <c r="N14" s="16"/>
      <c r="O14" s="20"/>
      <c r="P14" s="20"/>
      <c r="Q14" s="16"/>
      <c r="R14" s="16"/>
      <c r="S14" s="21"/>
      <c r="T14" s="14"/>
      <c r="U14" s="22"/>
      <c r="V14" s="23"/>
      <c r="W14" s="14"/>
      <c r="X14" s="24"/>
      <c r="Y14" s="25"/>
      <c r="Z14" s="14"/>
      <c r="AA14" s="14"/>
      <c r="AB14" s="27"/>
      <c r="AC14" s="28"/>
      <c r="AD14" s="25"/>
      <c r="AE14" s="25"/>
      <c r="AF14" s="25"/>
      <c r="AG14" s="25"/>
    </row>
    <row r="15" spans="1:33" ht="15.75" hidden="1" customHeight="1">
      <c r="A15" s="14"/>
      <c r="B15" s="14"/>
      <c r="C15" s="15"/>
      <c r="D15" s="16"/>
      <c r="E15" s="16"/>
      <c r="F15" s="17"/>
      <c r="G15" s="29"/>
      <c r="H15" s="18"/>
      <c r="I15" s="18"/>
      <c r="J15" s="17"/>
      <c r="K15" s="17"/>
      <c r="L15" s="16"/>
      <c r="M15" s="19"/>
      <c r="N15" s="16"/>
      <c r="O15" s="20"/>
      <c r="P15" s="20"/>
      <c r="Q15" s="16"/>
      <c r="R15" s="16"/>
      <c r="S15" s="21"/>
      <c r="T15" s="14"/>
      <c r="U15" s="22"/>
      <c r="V15" s="23"/>
      <c r="W15" s="14"/>
      <c r="X15" s="24"/>
      <c r="Y15" s="25"/>
      <c r="Z15" s="14"/>
      <c r="AA15" s="14"/>
      <c r="AB15" s="27"/>
      <c r="AC15" s="28"/>
      <c r="AD15" s="25"/>
      <c r="AE15" s="25"/>
      <c r="AF15" s="25"/>
      <c r="AG15" s="25"/>
    </row>
    <row r="16" spans="1:33" ht="15.75" customHeight="1">
      <c r="A16" s="14" t="s">
        <v>38</v>
      </c>
      <c r="B16" s="14" t="s">
        <v>173</v>
      </c>
      <c r="C16" s="15">
        <f t="shared" ref="C16:C32" si="1">IFERROR(F16/D16," - ")</f>
        <v>19.990000000000002</v>
      </c>
      <c r="D16" s="16">
        <v>14</v>
      </c>
      <c r="E16" s="16">
        <v>0</v>
      </c>
      <c r="F16" s="17">
        <v>279.86</v>
      </c>
      <c r="G16" s="29">
        <v>-63.38000000000001</v>
      </c>
      <c r="H16" s="18">
        <f t="shared" ref="H16:H32" si="2">G16/F16*-1</f>
        <v>0.22647037804616596</v>
      </c>
      <c r="I16" s="18">
        <f t="shared" ref="I16:I32" si="3">J16/F16</f>
        <v>0.19778966765376726</v>
      </c>
      <c r="J16" s="17">
        <f t="shared" ref="J16:J32" si="4">F16*0.85+G16+AF16*D16+D16*AE16+AG16+AD16</f>
        <v>55.353416389583309</v>
      </c>
      <c r="K16" s="17">
        <f t="shared" ref="K16:K32" si="5">J16/D16</f>
        <v>3.9538154563988077</v>
      </c>
      <c r="L16" s="16">
        <v>48</v>
      </c>
      <c r="M16" s="19">
        <f t="shared" ref="M16:M32" si="6">IFERROR(D16/L16,"-")</f>
        <v>0.29166666666666669</v>
      </c>
      <c r="N16" s="16">
        <v>159</v>
      </c>
      <c r="O16" s="20">
        <f t="shared" ref="O16:P16" si="7">D16/7</f>
        <v>2</v>
      </c>
      <c r="P16" s="20">
        <f t="shared" si="7"/>
        <v>0</v>
      </c>
      <c r="Q16" s="16">
        <f t="shared" ref="Q16:Q32" si="8">ROUNDDOWN(N16/(O16+P16),0)</f>
        <v>79</v>
      </c>
      <c r="R16" s="16"/>
      <c r="S16" s="21">
        <v>0.11042944785276</v>
      </c>
      <c r="T16" s="14">
        <v>0</v>
      </c>
      <c r="U16" s="22" t="s">
        <v>34</v>
      </c>
      <c r="V16" s="23" t="s">
        <v>34</v>
      </c>
      <c r="W16" s="14">
        <v>7</v>
      </c>
      <c r="X16" s="24">
        <f t="shared" ref="X16:X32" si="9">IFERROR(W16/D16,0)</f>
        <v>0.5</v>
      </c>
      <c r="Y16" s="25">
        <f t="shared" ref="Y16:Y32" si="10">IFERROR(G16/(W16+Z16)*-1,0)</f>
        <v>7.0422222222222235</v>
      </c>
      <c r="Z16" s="14">
        <v>2</v>
      </c>
      <c r="AA16" s="14" t="s">
        <v>35</v>
      </c>
      <c r="AB16" s="27">
        <f t="shared" ref="AB16:AB32" si="11">IF(OR(AA16="UsLargeStandardSize",AA16="UsSmallStandardSize"),-0.69,-0.48)</f>
        <v>-0.69</v>
      </c>
      <c r="AC16" s="28">
        <v>4.7493975694444447E-2</v>
      </c>
      <c r="AD16" s="25">
        <f t="shared" ref="AD16:AD32" si="12">IFERROR(AB16*AC16*D16*2,0)</f>
        <v>-0.91758361041666658</v>
      </c>
      <c r="AE16" s="25">
        <v>-4.9000000000000004</v>
      </c>
      <c r="AF16" s="25">
        <v>-3.5449999999999999</v>
      </c>
      <c r="AG16" s="25">
        <v>0</v>
      </c>
    </row>
    <row r="17" spans="1:33" ht="15.75" customHeight="1">
      <c r="A17" s="14" t="s">
        <v>40</v>
      </c>
      <c r="B17" s="14" t="s">
        <v>174</v>
      </c>
      <c r="C17" s="15">
        <f t="shared" si="1"/>
        <v>20.094285714285714</v>
      </c>
      <c r="D17" s="16">
        <v>7</v>
      </c>
      <c r="E17" s="16">
        <v>0</v>
      </c>
      <c r="F17" s="17">
        <v>140.66</v>
      </c>
      <c r="G17" s="29">
        <v>-5.73</v>
      </c>
      <c r="H17" s="18">
        <f t="shared" si="2"/>
        <v>4.0736527797525957E-2</v>
      </c>
      <c r="I17" s="18">
        <f t="shared" si="3"/>
        <v>0.3857330313862623</v>
      </c>
      <c r="J17" s="17">
        <f t="shared" si="4"/>
        <v>54.257208194791652</v>
      </c>
      <c r="K17" s="17">
        <f t="shared" si="5"/>
        <v>7.7510297421130927</v>
      </c>
      <c r="L17" s="16">
        <v>49</v>
      </c>
      <c r="M17" s="19">
        <f t="shared" si="6"/>
        <v>0.14285714285714285</v>
      </c>
      <c r="N17" s="16">
        <v>156</v>
      </c>
      <c r="O17" s="20">
        <f t="shared" ref="O17:P17" si="13">D17/7</f>
        <v>1</v>
      </c>
      <c r="P17" s="20">
        <f t="shared" si="13"/>
        <v>0</v>
      </c>
      <c r="Q17" s="16">
        <f t="shared" si="8"/>
        <v>156</v>
      </c>
      <c r="R17" s="16"/>
      <c r="S17" s="21">
        <v>0.360759493670886</v>
      </c>
      <c r="T17" s="14">
        <v>0</v>
      </c>
      <c r="U17" s="22" t="s">
        <v>34</v>
      </c>
      <c r="V17" s="23" t="s">
        <v>34</v>
      </c>
      <c r="W17" s="14">
        <v>1</v>
      </c>
      <c r="X17" s="24">
        <f t="shared" si="9"/>
        <v>0.14285714285714285</v>
      </c>
      <c r="Y17" s="25">
        <f t="shared" si="10"/>
        <v>2.8650000000000002</v>
      </c>
      <c r="Z17" s="14">
        <v>1</v>
      </c>
      <c r="AA17" s="14" t="s">
        <v>35</v>
      </c>
      <c r="AB17" s="27">
        <f t="shared" si="11"/>
        <v>-0.69</v>
      </c>
      <c r="AC17" s="28">
        <v>4.7493975694444447E-2</v>
      </c>
      <c r="AD17" s="25">
        <f t="shared" si="12"/>
        <v>-0.45879180520833329</v>
      </c>
      <c r="AE17" s="25">
        <v>-4.9000000000000004</v>
      </c>
      <c r="AF17" s="25">
        <v>-3.5449999999999999</v>
      </c>
      <c r="AG17" s="25">
        <v>0</v>
      </c>
    </row>
    <row r="18" spans="1:33" ht="15.75" customHeight="1">
      <c r="A18" s="14" t="s">
        <v>42</v>
      </c>
      <c r="B18" s="14" t="s">
        <v>175</v>
      </c>
      <c r="C18" s="15">
        <f t="shared" si="1"/>
        <v>18.684999999999999</v>
      </c>
      <c r="D18" s="16">
        <v>4</v>
      </c>
      <c r="E18" s="16">
        <v>1</v>
      </c>
      <c r="F18" s="17">
        <v>74.739999999999995</v>
      </c>
      <c r="G18" s="29">
        <v>0</v>
      </c>
      <c r="H18" s="18">
        <f t="shared" si="2"/>
        <v>0</v>
      </c>
      <c r="I18" s="18">
        <f t="shared" si="3"/>
        <v>0.39452546500089192</v>
      </c>
      <c r="J18" s="17">
        <f t="shared" si="4"/>
        <v>29.486833254166662</v>
      </c>
      <c r="K18" s="17">
        <f t="shared" si="5"/>
        <v>7.3717083135416654</v>
      </c>
      <c r="L18" s="16">
        <v>13</v>
      </c>
      <c r="M18" s="19">
        <f t="shared" si="6"/>
        <v>0.30769230769230771</v>
      </c>
      <c r="N18" s="16">
        <v>153</v>
      </c>
      <c r="O18" s="20">
        <f t="shared" ref="O18:P18" si="14">D18/7</f>
        <v>0.5714285714285714</v>
      </c>
      <c r="P18" s="20">
        <f t="shared" si="14"/>
        <v>0.14285714285714285</v>
      </c>
      <c r="Q18" s="16">
        <f t="shared" si="8"/>
        <v>214</v>
      </c>
      <c r="R18" s="16"/>
      <c r="S18" s="21">
        <v>0.199421965317919</v>
      </c>
      <c r="T18" s="14">
        <v>0</v>
      </c>
      <c r="U18" s="22">
        <v>0</v>
      </c>
      <c r="V18" s="23" t="s">
        <v>34</v>
      </c>
      <c r="W18" s="14">
        <v>0</v>
      </c>
      <c r="X18" s="24">
        <f t="shared" si="9"/>
        <v>0</v>
      </c>
      <c r="Y18" s="25">
        <f t="shared" si="10"/>
        <v>0</v>
      </c>
      <c r="Z18" s="14">
        <v>0</v>
      </c>
      <c r="AA18" s="14" t="s">
        <v>35</v>
      </c>
      <c r="AB18" s="27">
        <f t="shared" si="11"/>
        <v>-0.69</v>
      </c>
      <c r="AC18" s="28">
        <v>4.7493975694444447E-2</v>
      </c>
      <c r="AD18" s="25">
        <f t="shared" si="12"/>
        <v>-0.26216674583333333</v>
      </c>
      <c r="AE18" s="25">
        <v>-4.9000000000000004</v>
      </c>
      <c r="AF18" s="25">
        <v>-3.5449999999999999</v>
      </c>
      <c r="AG18" s="25">
        <v>0</v>
      </c>
    </row>
    <row r="19" spans="1:33" ht="15.75" customHeight="1">
      <c r="A19" s="14" t="s">
        <v>44</v>
      </c>
      <c r="B19" s="14" t="s">
        <v>68</v>
      </c>
      <c r="C19" s="15">
        <f t="shared" si="1"/>
        <v>17.45888888888889</v>
      </c>
      <c r="D19" s="16">
        <v>9</v>
      </c>
      <c r="E19" s="16">
        <v>1</v>
      </c>
      <c r="F19" s="17">
        <v>157.13</v>
      </c>
      <c r="G19" s="29">
        <v>0</v>
      </c>
      <c r="H19" s="18">
        <f t="shared" si="2"/>
        <v>0</v>
      </c>
      <c r="I19" s="18">
        <f t="shared" si="3"/>
        <v>0.35303013315009857</v>
      </c>
      <c r="J19" s="17">
        <f t="shared" si="4"/>
        <v>55.47162482187499</v>
      </c>
      <c r="K19" s="17">
        <f t="shared" si="5"/>
        <v>6.1635138690972209</v>
      </c>
      <c r="L19" s="16">
        <v>28</v>
      </c>
      <c r="M19" s="19">
        <f t="shared" si="6"/>
        <v>0.32142857142857145</v>
      </c>
      <c r="N19" s="16">
        <v>143</v>
      </c>
      <c r="O19" s="20">
        <f t="shared" ref="O19:P19" si="15">D19/7</f>
        <v>1.2857142857142858</v>
      </c>
      <c r="P19" s="20">
        <f t="shared" si="15"/>
        <v>0.14285714285714285</v>
      </c>
      <c r="Q19" s="16">
        <f t="shared" si="8"/>
        <v>100</v>
      </c>
      <c r="R19" s="16"/>
      <c r="S19" s="21">
        <v>0.26204819277108399</v>
      </c>
      <c r="T19" s="14">
        <v>0</v>
      </c>
      <c r="U19" s="22" t="s">
        <v>34</v>
      </c>
      <c r="V19" s="23" t="s">
        <v>34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14" t="s">
        <v>35</v>
      </c>
      <c r="AB19" s="27">
        <f t="shared" si="11"/>
        <v>-0.69</v>
      </c>
      <c r="AC19" s="28">
        <v>4.7493975694444447E-2</v>
      </c>
      <c r="AD19" s="25">
        <f t="shared" si="12"/>
        <v>-0.58987517812500001</v>
      </c>
      <c r="AE19" s="25">
        <v>-4.9000000000000004</v>
      </c>
      <c r="AF19" s="25">
        <v>-3.7109999999999999</v>
      </c>
      <c r="AG19" s="25">
        <v>0</v>
      </c>
    </row>
    <row r="20" spans="1:33" ht="15.75" customHeight="1">
      <c r="A20" s="14" t="s">
        <v>46</v>
      </c>
      <c r="B20" s="14" t="s">
        <v>68</v>
      </c>
      <c r="C20" s="15">
        <f t="shared" si="1"/>
        <v>17.058888888888887</v>
      </c>
      <c r="D20" s="16">
        <v>9</v>
      </c>
      <c r="E20" s="16">
        <v>0</v>
      </c>
      <c r="F20" s="17">
        <v>153.53</v>
      </c>
      <c r="G20" s="29">
        <v>0</v>
      </c>
      <c r="H20" s="18">
        <f t="shared" si="2"/>
        <v>0</v>
      </c>
      <c r="I20" s="18">
        <f t="shared" si="3"/>
        <v>0.34137709126473648</v>
      </c>
      <c r="J20" s="17">
        <f t="shared" si="4"/>
        <v>52.411624821874987</v>
      </c>
      <c r="K20" s="17">
        <f t="shared" si="5"/>
        <v>5.823513869097221</v>
      </c>
      <c r="L20" s="16">
        <v>21</v>
      </c>
      <c r="M20" s="19">
        <f t="shared" si="6"/>
        <v>0.42857142857142855</v>
      </c>
      <c r="N20" s="16">
        <v>132</v>
      </c>
      <c r="O20" s="20">
        <f t="shared" ref="O20:P20" si="16">D20/7</f>
        <v>1.2857142857142858</v>
      </c>
      <c r="P20" s="20">
        <f t="shared" si="16"/>
        <v>0</v>
      </c>
      <c r="Q20" s="16">
        <f t="shared" si="8"/>
        <v>102</v>
      </c>
      <c r="R20" s="16"/>
      <c r="S20" s="21">
        <v>0.58823529411764697</v>
      </c>
      <c r="T20" s="14">
        <v>0</v>
      </c>
      <c r="U20" s="22" t="s">
        <v>34</v>
      </c>
      <c r="V20" s="23" t="s">
        <v>34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14" t="s">
        <v>35</v>
      </c>
      <c r="AB20" s="27">
        <f t="shared" si="11"/>
        <v>-0.69</v>
      </c>
      <c r="AC20" s="28">
        <v>4.7493975694444447E-2</v>
      </c>
      <c r="AD20" s="25">
        <f t="shared" si="12"/>
        <v>-0.58987517812500001</v>
      </c>
      <c r="AE20" s="25">
        <v>-4.9000000000000004</v>
      </c>
      <c r="AF20" s="25">
        <v>-3.7109999999999999</v>
      </c>
      <c r="AG20" s="25">
        <v>0</v>
      </c>
    </row>
    <row r="21" spans="1:33" ht="15.75" customHeight="1">
      <c r="A21" s="14" t="s">
        <v>47</v>
      </c>
      <c r="B21" s="14" t="s">
        <v>176</v>
      </c>
      <c r="C21" s="15">
        <f t="shared" si="1"/>
        <v>15.693846153846154</v>
      </c>
      <c r="D21" s="16">
        <v>13</v>
      </c>
      <c r="E21" s="16">
        <v>0</v>
      </c>
      <c r="F21" s="17">
        <v>204.02</v>
      </c>
      <c r="G21" s="29">
        <v>0</v>
      </c>
      <c r="H21" s="18">
        <f t="shared" si="2"/>
        <v>0</v>
      </c>
      <c r="I21" s="18">
        <f t="shared" si="3"/>
        <v>0.29713733004627818</v>
      </c>
      <c r="J21" s="17">
        <f t="shared" si="4"/>
        <v>60.621958076041672</v>
      </c>
      <c r="K21" s="17">
        <f t="shared" si="5"/>
        <v>4.6632275443108977</v>
      </c>
      <c r="L21" s="16">
        <v>14</v>
      </c>
      <c r="M21" s="19">
        <f t="shared" si="6"/>
        <v>0.9285714285714286</v>
      </c>
      <c r="N21" s="16">
        <v>119</v>
      </c>
      <c r="O21" s="20">
        <f t="shared" ref="O21:P21" si="17">D21/7</f>
        <v>1.8571428571428572</v>
      </c>
      <c r="P21" s="20">
        <f t="shared" si="17"/>
        <v>0</v>
      </c>
      <c r="Q21" s="16">
        <f t="shared" si="8"/>
        <v>64</v>
      </c>
      <c r="R21" s="16"/>
      <c r="S21" s="21">
        <v>0.73498233215547704</v>
      </c>
      <c r="T21" s="14">
        <v>200</v>
      </c>
      <c r="U21" s="22" t="s">
        <v>34</v>
      </c>
      <c r="V21" s="23" t="s">
        <v>34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14" t="s">
        <v>35</v>
      </c>
      <c r="AB21" s="27">
        <f t="shared" si="11"/>
        <v>-0.69</v>
      </c>
      <c r="AC21" s="28">
        <v>4.7493975694444447E-2</v>
      </c>
      <c r="AD21" s="25">
        <f t="shared" si="12"/>
        <v>-0.85204192395833334</v>
      </c>
      <c r="AE21" s="25">
        <v>-4.9000000000000004</v>
      </c>
      <c r="AF21" s="25">
        <v>-3.7109999999999999</v>
      </c>
      <c r="AG21" s="25">
        <v>0</v>
      </c>
    </row>
    <row r="22" spans="1:33" ht="15.75" customHeight="1">
      <c r="A22" s="14" t="s">
        <v>48</v>
      </c>
      <c r="B22" s="14" t="s">
        <v>68</v>
      </c>
      <c r="C22" s="15">
        <f t="shared" si="1"/>
        <v>18.156249999999996</v>
      </c>
      <c r="D22" s="16">
        <v>8</v>
      </c>
      <c r="E22" s="16">
        <v>0</v>
      </c>
      <c r="F22" s="29">
        <v>145.24999999999997</v>
      </c>
      <c r="G22" s="29">
        <v>0</v>
      </c>
      <c r="H22" s="18">
        <f t="shared" si="2"/>
        <v>0</v>
      </c>
      <c r="I22" s="18">
        <f t="shared" si="3"/>
        <v>0.37211818594377499</v>
      </c>
      <c r="J22" s="17">
        <f t="shared" si="4"/>
        <v>54.050166508333305</v>
      </c>
      <c r="K22" s="17">
        <f t="shared" si="5"/>
        <v>6.7562708135416631</v>
      </c>
      <c r="L22" s="16">
        <v>23</v>
      </c>
      <c r="M22" s="19">
        <f t="shared" si="6"/>
        <v>0.34782608695652173</v>
      </c>
      <c r="N22" s="16">
        <v>112</v>
      </c>
      <c r="O22" s="20">
        <f t="shared" ref="O22:P22" si="18">D22/7</f>
        <v>1.1428571428571428</v>
      </c>
      <c r="P22" s="20">
        <f t="shared" si="18"/>
        <v>0</v>
      </c>
      <c r="Q22" s="16">
        <f t="shared" si="8"/>
        <v>98</v>
      </c>
      <c r="R22" s="16"/>
      <c r="S22" s="21">
        <v>0.95880149812733995</v>
      </c>
      <c r="T22" s="14">
        <v>304</v>
      </c>
      <c r="U22" s="22" t="s">
        <v>34</v>
      </c>
      <c r="V22" s="23" t="s">
        <v>34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35</v>
      </c>
      <c r="AB22" s="27">
        <f t="shared" si="11"/>
        <v>-0.69</v>
      </c>
      <c r="AC22" s="28">
        <v>4.7493975694444447E-2</v>
      </c>
      <c r="AD22" s="25">
        <f t="shared" si="12"/>
        <v>-0.52433349166666665</v>
      </c>
      <c r="AE22" s="25">
        <v>-4.9000000000000004</v>
      </c>
      <c r="AF22" s="25">
        <v>-3.7109999999999999</v>
      </c>
      <c r="AG22" s="25">
        <v>0</v>
      </c>
    </row>
    <row r="23" spans="1:33" ht="15.75" customHeight="1">
      <c r="A23" s="14" t="s">
        <v>49</v>
      </c>
      <c r="B23" s="14" t="s">
        <v>177</v>
      </c>
      <c r="C23" s="15">
        <f t="shared" si="1"/>
        <v>18.113333333333333</v>
      </c>
      <c r="D23" s="16">
        <v>3</v>
      </c>
      <c r="E23" s="16">
        <v>0</v>
      </c>
      <c r="F23" s="17">
        <v>54.34</v>
      </c>
      <c r="G23" s="29">
        <v>0</v>
      </c>
      <c r="H23" s="18">
        <f t="shared" si="2"/>
        <v>0</v>
      </c>
      <c r="I23" s="18">
        <f t="shared" si="3"/>
        <v>0.37098592088010662</v>
      </c>
      <c r="J23" s="17">
        <f t="shared" si="4"/>
        <v>20.159374940624996</v>
      </c>
      <c r="K23" s="17">
        <f t="shared" si="5"/>
        <v>6.7197916468749987</v>
      </c>
      <c r="L23" s="16">
        <v>23</v>
      </c>
      <c r="M23" s="19">
        <f t="shared" si="6"/>
        <v>0.13043478260869565</v>
      </c>
      <c r="N23" s="16">
        <v>108</v>
      </c>
      <c r="O23" s="20">
        <f t="shared" ref="O23:P23" si="19">D23/7</f>
        <v>0.42857142857142855</v>
      </c>
      <c r="P23" s="20">
        <f t="shared" si="19"/>
        <v>0</v>
      </c>
      <c r="Q23" s="16">
        <f t="shared" si="8"/>
        <v>252</v>
      </c>
      <c r="R23" s="16"/>
      <c r="S23" s="21">
        <v>0.62443438914027105</v>
      </c>
      <c r="T23" s="14">
        <v>504</v>
      </c>
      <c r="U23" s="22" t="s">
        <v>34</v>
      </c>
      <c r="V23" s="23" t="s">
        <v>34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35</v>
      </c>
      <c r="AB23" s="27">
        <f t="shared" si="11"/>
        <v>-0.69</v>
      </c>
      <c r="AC23" s="28">
        <v>4.7493975694444447E-2</v>
      </c>
      <c r="AD23" s="25">
        <f t="shared" si="12"/>
        <v>-0.19662505937499999</v>
      </c>
      <c r="AE23" s="25">
        <v>-4.9000000000000004</v>
      </c>
      <c r="AF23" s="25">
        <v>-3.7109999999999999</v>
      </c>
      <c r="AG23" s="25">
        <v>0</v>
      </c>
    </row>
    <row r="24" spans="1:33" ht="15.75" customHeight="1">
      <c r="A24" s="14" t="s">
        <v>50</v>
      </c>
      <c r="B24" s="14" t="s">
        <v>178</v>
      </c>
      <c r="C24" s="15">
        <f t="shared" si="1"/>
        <v>13.999000000000001</v>
      </c>
      <c r="D24" s="16">
        <v>10</v>
      </c>
      <c r="E24" s="16">
        <v>2</v>
      </c>
      <c r="F24" s="17">
        <v>139.99</v>
      </c>
      <c r="G24" s="17">
        <v>0</v>
      </c>
      <c r="H24" s="18">
        <f t="shared" si="2"/>
        <v>0</v>
      </c>
      <c r="I24" s="18">
        <f t="shared" si="3"/>
        <v>0.23020275116377362</v>
      </c>
      <c r="J24" s="17">
        <f t="shared" si="4"/>
        <v>32.226083135416673</v>
      </c>
      <c r="K24" s="17">
        <f t="shared" si="5"/>
        <v>3.2226083135416674</v>
      </c>
      <c r="L24" s="16">
        <v>29</v>
      </c>
      <c r="M24" s="19">
        <f t="shared" si="6"/>
        <v>0.34482758620689657</v>
      </c>
      <c r="N24" s="16">
        <v>103</v>
      </c>
      <c r="O24" s="20">
        <f t="shared" ref="O24:P24" si="20">D24/7</f>
        <v>1.4285714285714286</v>
      </c>
      <c r="P24" s="20">
        <f t="shared" si="20"/>
        <v>0.2857142857142857</v>
      </c>
      <c r="Q24" s="16">
        <f t="shared" si="8"/>
        <v>60</v>
      </c>
      <c r="R24" s="16"/>
      <c r="S24" s="21">
        <v>0.66981132075471606</v>
      </c>
      <c r="T24" s="14">
        <v>504</v>
      </c>
      <c r="U24" s="22" t="s">
        <v>34</v>
      </c>
      <c r="V24" s="23" t="s">
        <v>34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14" t="s">
        <v>35</v>
      </c>
      <c r="AB24" s="27">
        <f t="shared" si="11"/>
        <v>-0.69</v>
      </c>
      <c r="AC24" s="28">
        <v>4.7493975694444447E-2</v>
      </c>
      <c r="AD24" s="25">
        <f t="shared" si="12"/>
        <v>-0.65541686458333337</v>
      </c>
      <c r="AE24" s="25">
        <v>-4.9000000000000004</v>
      </c>
      <c r="AF24" s="25">
        <v>-3.7109999999999999</v>
      </c>
      <c r="AG24" s="25">
        <v>0</v>
      </c>
    </row>
    <row r="25" spans="1:33" ht="15.75" customHeight="1">
      <c r="A25" s="14" t="s">
        <v>51</v>
      </c>
      <c r="B25" s="14"/>
      <c r="C25" s="15">
        <f t="shared" si="1"/>
        <v>12.63</v>
      </c>
      <c r="D25" s="16">
        <v>22</v>
      </c>
      <c r="E25" s="16">
        <v>5</v>
      </c>
      <c r="F25" s="17">
        <v>277.86</v>
      </c>
      <c r="G25" s="17">
        <v>0</v>
      </c>
      <c r="H25" s="18">
        <f t="shared" si="2"/>
        <v>0</v>
      </c>
      <c r="I25" s="18">
        <f t="shared" si="3"/>
        <v>0.16310042070797043</v>
      </c>
      <c r="J25" s="17">
        <f t="shared" si="4"/>
        <v>45.319082897916665</v>
      </c>
      <c r="K25" s="17">
        <f t="shared" si="5"/>
        <v>2.0599583135416668</v>
      </c>
      <c r="L25" s="16">
        <v>43</v>
      </c>
      <c r="M25" s="19">
        <f t="shared" si="6"/>
        <v>0.51162790697674421</v>
      </c>
      <c r="N25" s="16">
        <v>72</v>
      </c>
      <c r="O25" s="20">
        <f t="shared" ref="O25:P25" si="21">D25/7</f>
        <v>3.1428571428571428</v>
      </c>
      <c r="P25" s="20">
        <f t="shared" si="21"/>
        <v>0.7142857142857143</v>
      </c>
      <c r="Q25" s="16">
        <f t="shared" si="8"/>
        <v>18</v>
      </c>
      <c r="R25" s="16"/>
      <c r="S25" s="21">
        <v>1.0402144772117961</v>
      </c>
      <c r="T25" s="14">
        <v>608</v>
      </c>
      <c r="U25" s="22" t="s">
        <v>34</v>
      </c>
      <c r="V25" s="23" t="s">
        <v>34</v>
      </c>
      <c r="W25" s="30">
        <v>0</v>
      </c>
      <c r="X25" s="24">
        <f t="shared" si="9"/>
        <v>0</v>
      </c>
      <c r="Y25" s="25">
        <f t="shared" si="10"/>
        <v>0</v>
      </c>
      <c r="Z25" s="30">
        <v>0</v>
      </c>
      <c r="AA25" s="14" t="s">
        <v>35</v>
      </c>
      <c r="AB25" s="27">
        <f t="shared" si="11"/>
        <v>-0.69</v>
      </c>
      <c r="AC25" s="28">
        <v>4.7493975694444447E-2</v>
      </c>
      <c r="AD25" s="25">
        <f t="shared" si="12"/>
        <v>-1.4419171020833332</v>
      </c>
      <c r="AE25" s="25">
        <v>-4.9000000000000004</v>
      </c>
      <c r="AF25" s="25">
        <v>-3.71</v>
      </c>
      <c r="AG25" s="25">
        <v>0</v>
      </c>
    </row>
    <row r="26" spans="1:33" ht="15.75" customHeight="1">
      <c r="A26" s="14" t="s">
        <v>52</v>
      </c>
      <c r="B26" s="14" t="s">
        <v>68</v>
      </c>
      <c r="C26" s="15">
        <f t="shared" si="1"/>
        <v>11.947647058823531</v>
      </c>
      <c r="D26" s="16">
        <v>17</v>
      </c>
      <c r="E26" s="16">
        <v>4</v>
      </c>
      <c r="F26" s="17">
        <v>203.11</v>
      </c>
      <c r="G26" s="17">
        <v>-0.08</v>
      </c>
      <c r="H26" s="18">
        <f t="shared" si="2"/>
        <v>3.9387524001772436E-4</v>
      </c>
      <c r="I26" s="18">
        <f t="shared" si="3"/>
        <v>0.11920777573831098</v>
      </c>
      <c r="J26" s="17">
        <f t="shared" si="4"/>
        <v>24.212291330208345</v>
      </c>
      <c r="K26" s="17">
        <f t="shared" si="5"/>
        <v>1.4242524311887261</v>
      </c>
      <c r="L26" s="16">
        <v>50</v>
      </c>
      <c r="M26" s="19">
        <f t="shared" si="6"/>
        <v>0.34</v>
      </c>
      <c r="N26" s="16">
        <v>58</v>
      </c>
      <c r="O26" s="20">
        <f t="shared" ref="O26:P26" si="22">D26/7</f>
        <v>2.4285714285714284</v>
      </c>
      <c r="P26" s="20">
        <f t="shared" si="22"/>
        <v>0.5714285714285714</v>
      </c>
      <c r="Q26" s="16">
        <f t="shared" si="8"/>
        <v>19</v>
      </c>
      <c r="R26" s="16"/>
      <c r="S26" s="21">
        <v>1.420118343195266</v>
      </c>
      <c r="T26" s="14">
        <v>608</v>
      </c>
      <c r="U26" s="22" t="s">
        <v>34</v>
      </c>
      <c r="V26" s="23" t="s">
        <v>34</v>
      </c>
      <c r="W26" s="30">
        <v>0</v>
      </c>
      <c r="X26" s="24">
        <f t="shared" si="9"/>
        <v>0</v>
      </c>
      <c r="Y26" s="25">
        <f t="shared" si="10"/>
        <v>0</v>
      </c>
      <c r="Z26" s="30">
        <v>0</v>
      </c>
      <c r="AA26" s="14" t="s">
        <v>35</v>
      </c>
      <c r="AB26" s="27">
        <f t="shared" si="11"/>
        <v>-0.69</v>
      </c>
      <c r="AC26" s="28">
        <v>4.7493975694444447E-2</v>
      </c>
      <c r="AD26" s="25">
        <f t="shared" si="12"/>
        <v>-1.1142086697916667</v>
      </c>
      <c r="AE26" s="25">
        <v>-4.95</v>
      </c>
      <c r="AF26" s="25">
        <v>-3.7109999999999999</v>
      </c>
      <c r="AG26" s="25">
        <v>0</v>
      </c>
    </row>
    <row r="27" spans="1:33" ht="15.75" customHeight="1">
      <c r="A27" s="14" t="s">
        <v>53</v>
      </c>
      <c r="B27" s="14" t="s">
        <v>179</v>
      </c>
      <c r="C27" s="15">
        <f t="shared" si="1"/>
        <v>11.231428571428571</v>
      </c>
      <c r="D27" s="16">
        <v>21</v>
      </c>
      <c r="E27" s="16">
        <v>4</v>
      </c>
      <c r="F27" s="17">
        <v>235.86</v>
      </c>
      <c r="G27" s="17">
        <v>0</v>
      </c>
      <c r="H27" s="18">
        <f t="shared" si="2"/>
        <v>0</v>
      </c>
      <c r="I27" s="18">
        <f t="shared" si="3"/>
        <v>7.2023126364686663E-2</v>
      </c>
      <c r="J27" s="17">
        <f t="shared" si="4"/>
        <v>16.987374584374997</v>
      </c>
      <c r="K27" s="17">
        <f t="shared" si="5"/>
        <v>0.80892259925595222</v>
      </c>
      <c r="L27" s="16">
        <v>47</v>
      </c>
      <c r="M27" s="19">
        <f t="shared" si="6"/>
        <v>0.44680851063829785</v>
      </c>
      <c r="N27" s="16">
        <v>34</v>
      </c>
      <c r="O27" s="20">
        <f t="shared" ref="O27:P27" si="23">D27/7</f>
        <v>3</v>
      </c>
      <c r="P27" s="20">
        <f t="shared" si="23"/>
        <v>0.5714285714285714</v>
      </c>
      <c r="Q27" s="16">
        <f t="shared" si="8"/>
        <v>9</v>
      </c>
      <c r="R27" s="16"/>
      <c r="S27" s="21">
        <v>1.2</v>
      </c>
      <c r="T27" s="14">
        <v>608</v>
      </c>
      <c r="U27" s="22" t="s">
        <v>34</v>
      </c>
      <c r="V27" s="23" t="s">
        <v>34</v>
      </c>
      <c r="W27" s="30">
        <v>0</v>
      </c>
      <c r="X27" s="24">
        <f t="shared" si="9"/>
        <v>0</v>
      </c>
      <c r="Y27" s="25">
        <f t="shared" si="10"/>
        <v>0</v>
      </c>
      <c r="Z27" s="30">
        <v>0</v>
      </c>
      <c r="AA27" s="14" t="s">
        <v>35</v>
      </c>
      <c r="AB27" s="27">
        <f t="shared" si="11"/>
        <v>-0.69</v>
      </c>
      <c r="AC27" s="28">
        <v>4.7493975694444447E-2</v>
      </c>
      <c r="AD27" s="25">
        <f t="shared" si="12"/>
        <v>-1.3763754156249999</v>
      </c>
      <c r="AE27" s="25">
        <v>-4.95</v>
      </c>
      <c r="AF27" s="25">
        <v>-3.7222499999999998</v>
      </c>
      <c r="AG27" s="25">
        <v>0</v>
      </c>
    </row>
    <row r="28" spans="1:33" ht="15.75" customHeight="1">
      <c r="A28" s="14" t="s">
        <v>54</v>
      </c>
      <c r="B28" s="14" t="s">
        <v>45</v>
      </c>
      <c r="C28" s="15">
        <f t="shared" si="1"/>
        <v>10.996538461538462</v>
      </c>
      <c r="D28" s="16">
        <v>26</v>
      </c>
      <c r="E28" s="16">
        <v>3</v>
      </c>
      <c r="F28" s="17">
        <v>285.91000000000003</v>
      </c>
      <c r="G28" s="17">
        <v>0</v>
      </c>
      <c r="H28" s="18">
        <f t="shared" si="2"/>
        <v>0</v>
      </c>
      <c r="I28" s="18">
        <f t="shared" si="3"/>
        <v>5.5405253933347276E-2</v>
      </c>
      <c r="J28" s="17">
        <f t="shared" si="4"/>
        <v>15.84091615208332</v>
      </c>
      <c r="K28" s="17">
        <f t="shared" si="5"/>
        <v>0.60926600584935842</v>
      </c>
      <c r="L28" s="16">
        <v>56</v>
      </c>
      <c r="M28" s="19">
        <f t="shared" si="6"/>
        <v>0.4642857142857143</v>
      </c>
      <c r="N28" s="16">
        <v>3</v>
      </c>
      <c r="O28" s="20">
        <f t="shared" ref="O28:P28" si="24">D28/7</f>
        <v>3.7142857142857144</v>
      </c>
      <c r="P28" s="20">
        <f t="shared" si="24"/>
        <v>0.42857142857142855</v>
      </c>
      <c r="Q28" s="16">
        <f t="shared" si="8"/>
        <v>0</v>
      </c>
      <c r="R28" s="16"/>
      <c r="S28" s="21">
        <v>1.545454545454545</v>
      </c>
      <c r="T28" s="14">
        <v>304</v>
      </c>
      <c r="U28" s="22" t="s">
        <v>34</v>
      </c>
      <c r="V28" s="23" t="s">
        <v>34</v>
      </c>
      <c r="W28" s="30">
        <v>0</v>
      </c>
      <c r="X28" s="24">
        <f t="shared" si="9"/>
        <v>0</v>
      </c>
      <c r="Y28" s="25">
        <f t="shared" si="10"/>
        <v>0</v>
      </c>
      <c r="Z28" s="30">
        <v>0</v>
      </c>
      <c r="AA28" s="14" t="s">
        <v>35</v>
      </c>
      <c r="AB28" s="27">
        <f t="shared" si="11"/>
        <v>-0.69</v>
      </c>
      <c r="AC28" s="28">
        <v>4.7493975694444447E-2</v>
      </c>
      <c r="AD28" s="25">
        <f t="shared" si="12"/>
        <v>-1.7040838479166667</v>
      </c>
      <c r="AE28" s="25">
        <v>-4.95</v>
      </c>
      <c r="AF28" s="25">
        <v>-3.7222499999999998</v>
      </c>
      <c r="AG28" s="25">
        <v>0</v>
      </c>
    </row>
    <row r="29" spans="1:33" ht="15.75" customHeight="1">
      <c r="A29" s="14" t="s">
        <v>55</v>
      </c>
      <c r="B29" s="14"/>
      <c r="C29" s="15" t="str">
        <f t="shared" si="1"/>
        <v xml:space="preserve"> - </v>
      </c>
      <c r="D29" s="16">
        <v>0</v>
      </c>
      <c r="E29" s="16">
        <v>0</v>
      </c>
      <c r="F29" s="17">
        <v>0</v>
      </c>
      <c r="G29" s="17">
        <v>0</v>
      </c>
      <c r="H29" s="18" t="e">
        <f t="shared" si="2"/>
        <v>#DIV/0!</v>
      </c>
      <c r="I29" s="18" t="e">
        <f t="shared" si="3"/>
        <v>#DIV/0!</v>
      </c>
      <c r="J29" s="17">
        <f t="shared" si="4"/>
        <v>0</v>
      </c>
      <c r="K29" s="17" t="e">
        <f t="shared" si="5"/>
        <v>#DIV/0!</v>
      </c>
      <c r="L29" s="16">
        <v>0</v>
      </c>
      <c r="M29" s="19" t="str">
        <f t="shared" si="6"/>
        <v>-</v>
      </c>
      <c r="N29" s="16">
        <v>0</v>
      </c>
      <c r="O29" s="20">
        <f t="shared" ref="O29:P29" si="25">D29/7</f>
        <v>0</v>
      </c>
      <c r="P29" s="20">
        <f t="shared" si="25"/>
        <v>0</v>
      </c>
      <c r="Q29" s="16" t="e">
        <f t="shared" si="8"/>
        <v>#DIV/0!</v>
      </c>
      <c r="R29" s="16"/>
      <c r="S29" s="21">
        <v>0</v>
      </c>
      <c r="T29" s="14">
        <v>304</v>
      </c>
      <c r="U29" s="22" t="s">
        <v>34</v>
      </c>
      <c r="V29" s="23" t="s">
        <v>34</v>
      </c>
      <c r="W29" s="30">
        <v>0</v>
      </c>
      <c r="X29" s="24">
        <f t="shared" si="9"/>
        <v>0</v>
      </c>
      <c r="Y29" s="25">
        <f t="shared" si="10"/>
        <v>0</v>
      </c>
      <c r="Z29" s="30">
        <v>0</v>
      </c>
      <c r="AA29" s="14" t="s">
        <v>35</v>
      </c>
      <c r="AB29" s="27">
        <f t="shared" si="11"/>
        <v>-0.69</v>
      </c>
      <c r="AC29" s="28">
        <v>4.7493975694444447E-2</v>
      </c>
      <c r="AD29" s="25">
        <f t="shared" si="12"/>
        <v>0</v>
      </c>
      <c r="AE29" s="25">
        <v>-4.95</v>
      </c>
      <c r="AF29" s="25">
        <v>-3.7222499999999998</v>
      </c>
      <c r="AG29" s="25">
        <v>0</v>
      </c>
    </row>
    <row r="30" spans="1:33" ht="15.75" customHeight="1">
      <c r="A30" s="14" t="s">
        <v>57</v>
      </c>
      <c r="B30" s="14" t="s">
        <v>45</v>
      </c>
      <c r="C30" s="15">
        <f t="shared" si="1"/>
        <v>10.95</v>
      </c>
      <c r="D30" s="16">
        <v>1</v>
      </c>
      <c r="E30" s="16">
        <v>0</v>
      </c>
      <c r="F30" s="17">
        <v>10.95</v>
      </c>
      <c r="G30" s="17">
        <v>0</v>
      </c>
      <c r="H30" s="18">
        <f t="shared" si="2"/>
        <v>0</v>
      </c>
      <c r="I30" s="18">
        <f t="shared" si="3"/>
        <v>5.9034446898782317E-2</v>
      </c>
      <c r="J30" s="17">
        <f t="shared" si="4"/>
        <v>0.64642719354166633</v>
      </c>
      <c r="K30" s="17">
        <f t="shared" si="5"/>
        <v>0.64642719354166633</v>
      </c>
      <c r="L30" s="16">
        <v>3</v>
      </c>
      <c r="M30" s="19">
        <f t="shared" si="6"/>
        <v>0.33333333333333331</v>
      </c>
      <c r="N30" s="16">
        <v>0</v>
      </c>
      <c r="O30" s="20">
        <f t="shared" ref="O30:P30" si="26">D30/7</f>
        <v>0.14285714285714285</v>
      </c>
      <c r="P30" s="20">
        <f t="shared" si="26"/>
        <v>0</v>
      </c>
      <c r="Q30" s="16">
        <f t="shared" si="8"/>
        <v>0</v>
      </c>
      <c r="R30" s="16"/>
      <c r="S30" s="21">
        <v>0</v>
      </c>
      <c r="T30" s="14">
        <v>408</v>
      </c>
      <c r="U30" s="22" t="s">
        <v>34</v>
      </c>
      <c r="V30" s="23" t="s">
        <v>34</v>
      </c>
      <c r="W30" s="30">
        <v>0</v>
      </c>
      <c r="X30" s="24">
        <f t="shared" si="9"/>
        <v>0</v>
      </c>
      <c r="Y30" s="25">
        <f t="shared" si="10"/>
        <v>0</v>
      </c>
      <c r="Z30" s="30">
        <v>0</v>
      </c>
      <c r="AA30" s="14" t="s">
        <v>35</v>
      </c>
      <c r="AB30" s="27">
        <f t="shared" si="11"/>
        <v>-0.69</v>
      </c>
      <c r="AC30" s="28">
        <v>4.7493975694444447E-2</v>
      </c>
      <c r="AD30" s="25">
        <f t="shared" si="12"/>
        <v>-6.5541686458333331E-2</v>
      </c>
      <c r="AE30" s="25">
        <v>-4.95</v>
      </c>
      <c r="AF30" s="25">
        <v>-3.6455311199999998</v>
      </c>
      <c r="AG30" s="25">
        <v>0</v>
      </c>
    </row>
    <row r="31" spans="1:33" ht="15.75" customHeight="1">
      <c r="A31" s="14" t="s">
        <v>58</v>
      </c>
      <c r="B31" s="14"/>
      <c r="C31" s="15" t="str">
        <f t="shared" si="1"/>
        <v xml:space="preserve"> - </v>
      </c>
      <c r="D31" s="16">
        <v>0</v>
      </c>
      <c r="E31" s="16">
        <v>0</v>
      </c>
      <c r="F31" s="17">
        <v>0</v>
      </c>
      <c r="G31" s="17">
        <v>0</v>
      </c>
      <c r="H31" s="18" t="e">
        <f t="shared" si="2"/>
        <v>#DIV/0!</v>
      </c>
      <c r="I31" s="18" t="e">
        <f t="shared" si="3"/>
        <v>#DIV/0!</v>
      </c>
      <c r="J31" s="17">
        <f t="shared" si="4"/>
        <v>0</v>
      </c>
      <c r="K31" s="17" t="e">
        <f t="shared" si="5"/>
        <v>#DIV/0!</v>
      </c>
      <c r="L31" s="16">
        <v>0</v>
      </c>
      <c r="M31" s="19" t="str">
        <f t="shared" si="6"/>
        <v>-</v>
      </c>
      <c r="N31" s="16">
        <v>0</v>
      </c>
      <c r="O31" s="20">
        <f t="shared" ref="O31:P31" si="27">D31/7</f>
        <v>0</v>
      </c>
      <c r="P31" s="20">
        <f t="shared" si="27"/>
        <v>0</v>
      </c>
      <c r="Q31" s="16" t="e">
        <f t="shared" si="8"/>
        <v>#DIV/0!</v>
      </c>
      <c r="R31" s="16"/>
      <c r="S31" s="21" t="e">
        <v>#N/A</v>
      </c>
      <c r="T31" s="14">
        <v>304</v>
      </c>
      <c r="U31" s="22" t="s">
        <v>34</v>
      </c>
      <c r="V31" s="23" t="s">
        <v>59</v>
      </c>
      <c r="W31" s="30">
        <v>0</v>
      </c>
      <c r="X31" s="24">
        <f t="shared" si="9"/>
        <v>0</v>
      </c>
      <c r="Y31" s="25">
        <f t="shared" si="10"/>
        <v>0</v>
      </c>
      <c r="Z31" s="30">
        <v>0</v>
      </c>
      <c r="AA31" s="14" t="s">
        <v>35</v>
      </c>
      <c r="AB31" s="27">
        <f t="shared" si="11"/>
        <v>-0.69</v>
      </c>
      <c r="AC31" s="28">
        <v>4.7493975694444447E-2</v>
      </c>
      <c r="AD31" s="25">
        <f t="shared" si="12"/>
        <v>0</v>
      </c>
      <c r="AE31" s="25">
        <v>-4.95</v>
      </c>
      <c r="AF31" s="25">
        <v>-3.6455311199999998</v>
      </c>
      <c r="AG31" s="25">
        <v>0</v>
      </c>
    </row>
    <row r="32" spans="1:33" ht="15.75" customHeight="1">
      <c r="A32" s="14" t="s">
        <v>60</v>
      </c>
      <c r="B32" s="14"/>
      <c r="C32" s="15" t="str">
        <f t="shared" si="1"/>
        <v xml:space="preserve"> - </v>
      </c>
      <c r="D32" s="16">
        <v>0</v>
      </c>
      <c r="E32" s="16">
        <v>0</v>
      </c>
      <c r="F32" s="17">
        <v>0</v>
      </c>
      <c r="G32" s="17">
        <v>0</v>
      </c>
      <c r="H32" s="18" t="e">
        <f t="shared" si="2"/>
        <v>#DIV/0!</v>
      </c>
      <c r="I32" s="18" t="e">
        <f t="shared" si="3"/>
        <v>#DIV/0!</v>
      </c>
      <c r="J32" s="17">
        <f t="shared" si="4"/>
        <v>0</v>
      </c>
      <c r="K32" s="17" t="e">
        <f t="shared" si="5"/>
        <v>#DIV/0!</v>
      </c>
      <c r="L32" s="16">
        <v>0</v>
      </c>
      <c r="M32" s="19" t="str">
        <f t="shared" si="6"/>
        <v>-</v>
      </c>
      <c r="N32" s="16">
        <v>0</v>
      </c>
      <c r="O32" s="20">
        <f t="shared" ref="O32:P32" si="28">D32/7</f>
        <v>0</v>
      </c>
      <c r="P32" s="20">
        <f t="shared" si="28"/>
        <v>0</v>
      </c>
      <c r="Q32" s="16" t="e">
        <f t="shared" si="8"/>
        <v>#DIV/0!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0</v>
      </c>
      <c r="T32" s="14">
        <f ca="1">IFERROR(__xludf.DUMMYFUNCTION("IFERROR(VLOOKUP($B$2,IMPORTRANGE(""https://docs.google.com/spreadsheets/d/1KiWZV1ko8G7lnRucBRBd29jj3Be6ltMfljMDqzOkQmI/edit#gid=1381463014"",""Lookup!A:D""),4,FALSE),"""")"),304)</f>
        <v>304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23" t="str">
        <f ca="1">IFERROR(__xludf.DUMMYFUNCTION("IFERROR(VLOOKUP($B$2,IMPORTRANGE(""https://docs.google.com/spreadsheets/d/1KiWZV1ko8G7lnRucBRBd29jj3Be6ltMfljMDqzOkQmI/edit#gid=1381463014"",""Lookup!A:D""),2,FALSE),"""")"),"No Transit, But 304 At Factory 50-75 days from Earliest Arrival")</f>
        <v>No Transit, But 304 At Factory 50-75 days from Earliest Arrival</v>
      </c>
      <c r="W32" s="30">
        <v>0</v>
      </c>
      <c r="X32" s="24">
        <f t="shared" si="9"/>
        <v>0</v>
      </c>
      <c r="Y32" s="25">
        <f t="shared" si="10"/>
        <v>0</v>
      </c>
      <c r="Z32" s="30">
        <v>0</v>
      </c>
      <c r="AA32" s="14" t="s">
        <v>35</v>
      </c>
      <c r="AB32" s="27">
        <f t="shared" si="11"/>
        <v>-0.69</v>
      </c>
      <c r="AC32" s="28">
        <v>4.7493975694444447E-2</v>
      </c>
      <c r="AD32" s="25">
        <f t="shared" si="12"/>
        <v>0</v>
      </c>
      <c r="AE32" s="25">
        <v>-4.95</v>
      </c>
      <c r="AF32" s="25">
        <v>-3.6455311199999998</v>
      </c>
      <c r="AG32" s="25">
        <v>0</v>
      </c>
    </row>
    <row r="33" spans="1:33" ht="15.75" customHeight="1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16"/>
      <c r="S33" s="21"/>
      <c r="T33" s="31"/>
      <c r="U33" s="36"/>
      <c r="V33" s="1"/>
      <c r="W33" s="31"/>
      <c r="X33" s="31"/>
      <c r="Y33" s="31"/>
      <c r="Z33" s="31"/>
      <c r="AA33" s="2"/>
      <c r="AB33" s="31"/>
      <c r="AC33" s="31"/>
      <c r="AD33" s="31"/>
      <c r="AE33" s="37"/>
      <c r="AF33" s="37"/>
      <c r="AG33" s="37"/>
    </row>
    <row r="34" spans="1:33" ht="15.75" customHeight="1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6"/>
      <c r="V34" s="1"/>
      <c r="W34" s="31"/>
      <c r="X34" s="31"/>
      <c r="Y34" s="31"/>
      <c r="Z34" s="31"/>
      <c r="AA34" s="2"/>
      <c r="AB34" s="31"/>
      <c r="AC34" s="31"/>
      <c r="AD34" s="31"/>
      <c r="AE34" s="37"/>
      <c r="AF34" s="37"/>
      <c r="AG34" s="37"/>
    </row>
    <row r="35" spans="1:33" ht="15.75" customHeight="1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6"/>
      <c r="V35" s="1"/>
      <c r="W35" s="31"/>
      <c r="X35" s="31"/>
      <c r="Y35" s="31"/>
      <c r="Z35" s="31"/>
      <c r="AA35" s="2"/>
      <c r="AB35" s="31"/>
      <c r="AC35" s="31"/>
      <c r="AD35" s="31"/>
      <c r="AE35" s="37"/>
      <c r="AF35" s="37"/>
      <c r="AG35" s="37"/>
    </row>
    <row r="36" spans="1:33" ht="15.75" customHeight="1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6"/>
      <c r="V36" s="1"/>
      <c r="W36" s="31"/>
      <c r="X36" s="31"/>
      <c r="Y36" s="31"/>
      <c r="Z36" s="31"/>
      <c r="AA36" s="2"/>
      <c r="AB36" s="31"/>
      <c r="AC36" s="31"/>
      <c r="AD36" s="31"/>
      <c r="AE36" s="37"/>
      <c r="AF36" s="37"/>
      <c r="AG36" s="37"/>
    </row>
    <row r="37" spans="1:33" ht="15.75" customHeight="1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6"/>
      <c r="V37" s="1"/>
      <c r="W37" s="31"/>
      <c r="X37" s="31"/>
      <c r="Y37" s="31"/>
      <c r="Z37" s="31"/>
      <c r="AA37" s="2"/>
      <c r="AB37" s="31"/>
      <c r="AC37" s="31"/>
      <c r="AD37" s="31"/>
      <c r="AE37" s="37"/>
      <c r="AF37" s="37"/>
      <c r="AG37" s="37"/>
    </row>
    <row r="38" spans="1:33" ht="15.75" customHeight="1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6"/>
      <c r="V38" s="1"/>
      <c r="W38" s="31"/>
      <c r="X38" s="31"/>
      <c r="Y38" s="31"/>
      <c r="Z38" s="31"/>
      <c r="AA38" s="2"/>
      <c r="AB38" s="31"/>
      <c r="AC38" s="31"/>
      <c r="AD38" s="31"/>
      <c r="AE38" s="37"/>
      <c r="AF38" s="37"/>
      <c r="AG38" s="37"/>
    </row>
    <row r="39" spans="1:33" ht="15.75" customHeight="1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6"/>
      <c r="V39" s="1"/>
      <c r="W39" s="31"/>
      <c r="X39" s="31"/>
      <c r="Y39" s="31"/>
      <c r="Z39" s="31"/>
      <c r="AA39" s="2"/>
      <c r="AB39" s="31"/>
      <c r="AC39" s="31"/>
      <c r="AD39" s="31"/>
      <c r="AE39" s="37"/>
      <c r="AF39" s="37"/>
      <c r="AG39" s="37"/>
    </row>
    <row r="40" spans="1:33" ht="15.75" customHeight="1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6"/>
      <c r="V40" s="1"/>
      <c r="W40" s="31"/>
      <c r="X40" s="31"/>
      <c r="Y40" s="31"/>
      <c r="Z40" s="31"/>
      <c r="AA40" s="2"/>
      <c r="AB40" s="31"/>
      <c r="AC40" s="31"/>
      <c r="AD40" s="31"/>
      <c r="AE40" s="37"/>
      <c r="AF40" s="37"/>
      <c r="AG40" s="37"/>
    </row>
    <row r="41" spans="1:33" ht="15.75" customHeight="1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6"/>
      <c r="V41" s="1"/>
      <c r="W41" s="31"/>
      <c r="X41" s="31"/>
      <c r="Y41" s="31"/>
      <c r="Z41" s="31"/>
      <c r="AA41" s="2"/>
      <c r="AB41" s="31"/>
      <c r="AC41" s="31"/>
      <c r="AD41" s="31"/>
      <c r="AE41" s="37"/>
      <c r="AF41" s="37"/>
      <c r="AG41" s="37"/>
    </row>
    <row r="42" spans="1:33" ht="15.75" customHeight="1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6"/>
      <c r="V42" s="1"/>
      <c r="W42" s="31"/>
      <c r="X42" s="31"/>
      <c r="Y42" s="31"/>
      <c r="Z42" s="31"/>
      <c r="AA42" s="2"/>
      <c r="AB42" s="31"/>
      <c r="AC42" s="31"/>
      <c r="AD42" s="31"/>
      <c r="AE42" s="37"/>
      <c r="AF42" s="37"/>
      <c r="AG42" s="37"/>
    </row>
    <row r="43" spans="1:33" ht="15.75" customHeight="1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6"/>
      <c r="V43" s="1"/>
      <c r="W43" s="31"/>
      <c r="X43" s="31"/>
      <c r="Y43" s="31"/>
      <c r="Z43" s="31"/>
      <c r="AA43" s="2"/>
      <c r="AB43" s="31"/>
      <c r="AC43" s="31"/>
      <c r="AD43" s="31"/>
      <c r="AE43" s="37"/>
      <c r="AF43" s="37"/>
      <c r="AG43" s="37"/>
    </row>
    <row r="44" spans="1:33" ht="15.75" customHeight="1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6"/>
      <c r="V44" s="1"/>
      <c r="W44" s="31"/>
      <c r="X44" s="31"/>
      <c r="Y44" s="31"/>
      <c r="Z44" s="31"/>
      <c r="AA44" s="2"/>
      <c r="AB44" s="31"/>
      <c r="AC44" s="31"/>
      <c r="AD44" s="31"/>
      <c r="AE44" s="37"/>
      <c r="AF44" s="37"/>
      <c r="AG44" s="37"/>
    </row>
    <row r="45" spans="1:33" ht="15.75" customHeight="1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6"/>
      <c r="V45" s="1"/>
      <c r="W45" s="31"/>
      <c r="X45" s="31"/>
      <c r="Y45" s="31"/>
      <c r="Z45" s="31"/>
      <c r="AA45" s="2"/>
      <c r="AB45" s="31"/>
      <c r="AC45" s="31"/>
      <c r="AD45" s="31"/>
      <c r="AE45" s="37"/>
      <c r="AF45" s="37"/>
      <c r="AG45" s="37"/>
    </row>
    <row r="46" spans="1:33" ht="15.75" customHeight="1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6"/>
      <c r="V46" s="1"/>
      <c r="W46" s="31"/>
      <c r="X46" s="31"/>
      <c r="Y46" s="31"/>
      <c r="Z46" s="31"/>
      <c r="AA46" s="2"/>
      <c r="AB46" s="31"/>
      <c r="AC46" s="31"/>
      <c r="AD46" s="31"/>
      <c r="AE46" s="37"/>
      <c r="AF46" s="37"/>
      <c r="AG46" s="37"/>
    </row>
    <row r="47" spans="1:33" ht="15.75" customHeight="1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6"/>
      <c r="V47" s="1"/>
      <c r="W47" s="31"/>
      <c r="X47" s="31"/>
      <c r="Y47" s="31"/>
      <c r="Z47" s="31"/>
      <c r="AA47" s="2"/>
      <c r="AB47" s="31"/>
      <c r="AC47" s="31"/>
      <c r="AD47" s="31"/>
      <c r="AE47" s="37"/>
      <c r="AF47" s="37"/>
      <c r="AG47" s="37"/>
    </row>
    <row r="48" spans="1:33" ht="15.75" customHeight="1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6"/>
      <c r="V48" s="1"/>
      <c r="W48" s="31"/>
      <c r="X48" s="31"/>
      <c r="Y48" s="31"/>
      <c r="Z48" s="31"/>
      <c r="AA48" s="2"/>
      <c r="AB48" s="31"/>
      <c r="AC48" s="31"/>
      <c r="AD48" s="31"/>
      <c r="AE48" s="37"/>
      <c r="AF48" s="37"/>
      <c r="AG48" s="37"/>
    </row>
    <row r="49" spans="1:33" ht="15.75" customHeight="1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6"/>
      <c r="V49" s="1"/>
      <c r="W49" s="31"/>
      <c r="X49" s="31"/>
      <c r="Y49" s="31"/>
      <c r="Z49" s="31"/>
      <c r="AA49" s="2"/>
      <c r="AB49" s="31"/>
      <c r="AC49" s="31"/>
      <c r="AD49" s="31"/>
      <c r="AE49" s="37"/>
      <c r="AF49" s="37"/>
      <c r="AG49" s="37"/>
    </row>
    <row r="50" spans="1:33" ht="15.75" customHeight="1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6"/>
      <c r="V50" s="1"/>
      <c r="W50" s="31"/>
      <c r="X50" s="31"/>
      <c r="Y50" s="31"/>
      <c r="Z50" s="31"/>
      <c r="AA50" s="2"/>
      <c r="AB50" s="31"/>
      <c r="AC50" s="31"/>
      <c r="AD50" s="31"/>
      <c r="AE50" s="37"/>
      <c r="AF50" s="37"/>
      <c r="AG50" s="37"/>
    </row>
    <row r="51" spans="1:33" ht="15.75" customHeight="1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6"/>
      <c r="V51" s="1"/>
      <c r="W51" s="31"/>
      <c r="X51" s="31"/>
      <c r="Y51" s="31"/>
      <c r="Z51" s="31"/>
      <c r="AA51" s="2"/>
      <c r="AB51" s="31"/>
      <c r="AC51" s="31"/>
      <c r="AD51" s="31"/>
      <c r="AE51" s="37"/>
      <c r="AF51" s="37"/>
      <c r="AG51" s="37"/>
    </row>
    <row r="52" spans="1:33" ht="15.75" customHeight="1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6"/>
      <c r="V52" s="1"/>
      <c r="W52" s="31"/>
      <c r="X52" s="31"/>
      <c r="Y52" s="31"/>
      <c r="Z52" s="31"/>
      <c r="AA52" s="2"/>
      <c r="AB52" s="31"/>
      <c r="AC52" s="31"/>
      <c r="AD52" s="31"/>
      <c r="AE52" s="37"/>
      <c r="AF52" s="37"/>
      <c r="AG52" s="37"/>
    </row>
    <row r="53" spans="1:33" ht="15.75" customHeight="1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6"/>
      <c r="V53" s="1"/>
      <c r="W53" s="31"/>
      <c r="X53" s="31"/>
      <c r="Y53" s="31"/>
      <c r="Z53" s="31"/>
      <c r="AA53" s="2"/>
      <c r="AB53" s="31"/>
      <c r="AC53" s="31"/>
      <c r="AD53" s="31"/>
      <c r="AE53" s="37"/>
      <c r="AF53" s="37"/>
      <c r="AG53" s="37"/>
    </row>
    <row r="54" spans="1:33" ht="15.75" customHeight="1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6"/>
      <c r="V54" s="1"/>
      <c r="W54" s="31"/>
      <c r="X54" s="31"/>
      <c r="Y54" s="31"/>
      <c r="Z54" s="31"/>
      <c r="AA54" s="2"/>
      <c r="AB54" s="31"/>
      <c r="AC54" s="31"/>
      <c r="AD54" s="31"/>
      <c r="AE54" s="37"/>
      <c r="AF54" s="37"/>
      <c r="AG54" s="37"/>
    </row>
    <row r="55" spans="1:33" ht="15.75" customHeight="1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6"/>
      <c r="V55" s="1"/>
      <c r="W55" s="31"/>
      <c r="X55" s="31"/>
      <c r="Y55" s="31"/>
      <c r="Z55" s="31"/>
      <c r="AA55" s="2"/>
      <c r="AB55" s="31"/>
      <c r="AC55" s="31"/>
      <c r="AD55" s="31"/>
      <c r="AE55" s="37"/>
      <c r="AF55" s="37"/>
      <c r="AG55" s="37"/>
    </row>
    <row r="56" spans="1:33" ht="15.75" customHeight="1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6"/>
      <c r="V56" s="1"/>
      <c r="W56" s="31"/>
      <c r="X56" s="31"/>
      <c r="Y56" s="31"/>
      <c r="Z56" s="31"/>
      <c r="AA56" s="2"/>
      <c r="AB56" s="31"/>
      <c r="AC56" s="31"/>
      <c r="AD56" s="31"/>
      <c r="AE56" s="37"/>
      <c r="AF56" s="37"/>
      <c r="AG56" s="37"/>
    </row>
    <row r="57" spans="1:33" ht="15.75" customHeight="1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6"/>
      <c r="V57" s="1"/>
      <c r="W57" s="31"/>
      <c r="X57" s="31"/>
      <c r="Y57" s="31"/>
      <c r="Z57" s="31"/>
      <c r="AA57" s="2"/>
      <c r="AB57" s="31"/>
      <c r="AC57" s="31"/>
      <c r="AD57" s="31"/>
      <c r="AE57" s="37"/>
      <c r="AF57" s="37"/>
      <c r="AG57" s="37"/>
    </row>
    <row r="58" spans="1:33" ht="15.75" customHeight="1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6"/>
      <c r="V58" s="1"/>
      <c r="W58" s="31"/>
      <c r="X58" s="31"/>
      <c r="Y58" s="31"/>
      <c r="Z58" s="31"/>
      <c r="AA58" s="2"/>
      <c r="AB58" s="31"/>
      <c r="AC58" s="31"/>
      <c r="AD58" s="31"/>
      <c r="AE58" s="37"/>
      <c r="AF58" s="37"/>
      <c r="AG58" s="37"/>
    </row>
    <row r="59" spans="1:33" ht="15.75" customHeight="1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6"/>
      <c r="V59" s="1"/>
      <c r="W59" s="31"/>
      <c r="X59" s="31"/>
      <c r="Y59" s="31"/>
      <c r="Z59" s="31"/>
      <c r="AA59" s="2"/>
      <c r="AB59" s="31"/>
      <c r="AC59" s="31"/>
      <c r="AD59" s="31"/>
      <c r="AE59" s="37"/>
      <c r="AF59" s="37"/>
      <c r="AG59" s="37"/>
    </row>
    <row r="60" spans="1:33" ht="15.75" customHeight="1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6"/>
      <c r="V60" s="1"/>
      <c r="W60" s="31"/>
      <c r="X60" s="31"/>
      <c r="Y60" s="31"/>
      <c r="Z60" s="31"/>
      <c r="AA60" s="2"/>
      <c r="AB60" s="31"/>
      <c r="AC60" s="31"/>
      <c r="AD60" s="31"/>
      <c r="AE60" s="37"/>
      <c r="AF60" s="37"/>
      <c r="AG60" s="37"/>
    </row>
    <row r="61" spans="1:33" ht="15.75" customHeight="1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6"/>
      <c r="V61" s="1"/>
      <c r="W61" s="31"/>
      <c r="X61" s="31"/>
      <c r="Y61" s="31"/>
      <c r="Z61" s="31"/>
      <c r="AA61" s="2"/>
      <c r="AB61" s="31"/>
      <c r="AC61" s="31"/>
      <c r="AD61" s="31"/>
      <c r="AE61" s="37"/>
      <c r="AF61" s="37"/>
      <c r="AG61" s="37"/>
    </row>
    <row r="62" spans="1:33" ht="15.75" customHeight="1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6"/>
      <c r="V62" s="1"/>
      <c r="W62" s="31"/>
      <c r="X62" s="31"/>
      <c r="Y62" s="31"/>
      <c r="Z62" s="31"/>
      <c r="AA62" s="2"/>
      <c r="AB62" s="31"/>
      <c r="AC62" s="31"/>
      <c r="AD62" s="31"/>
      <c r="AE62" s="37"/>
      <c r="AF62" s="37"/>
      <c r="AG62" s="37"/>
    </row>
    <row r="63" spans="1:33" ht="15.75" customHeight="1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6"/>
      <c r="V63" s="1"/>
      <c r="W63" s="31"/>
      <c r="X63" s="31"/>
      <c r="Y63" s="31"/>
      <c r="Z63" s="31"/>
      <c r="AA63" s="2"/>
      <c r="AB63" s="31"/>
      <c r="AC63" s="31"/>
      <c r="AD63" s="31"/>
      <c r="AE63" s="37"/>
      <c r="AF63" s="37"/>
      <c r="AG63" s="37"/>
    </row>
    <row r="64" spans="1:33" ht="15.75" customHeight="1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6"/>
      <c r="V64" s="1"/>
      <c r="W64" s="31"/>
      <c r="X64" s="31"/>
      <c r="Y64" s="31"/>
      <c r="Z64" s="31"/>
      <c r="AA64" s="2"/>
      <c r="AB64" s="31"/>
      <c r="AC64" s="31"/>
      <c r="AD64" s="31"/>
      <c r="AE64" s="37"/>
      <c r="AF64" s="37"/>
      <c r="AG64" s="37"/>
    </row>
    <row r="65" spans="1:33" ht="15.75" customHeight="1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6"/>
      <c r="V65" s="1"/>
      <c r="W65" s="31"/>
      <c r="X65" s="31"/>
      <c r="Y65" s="31"/>
      <c r="Z65" s="31"/>
      <c r="AA65" s="2"/>
      <c r="AB65" s="31"/>
      <c r="AC65" s="31"/>
      <c r="AD65" s="31"/>
      <c r="AE65" s="37"/>
      <c r="AF65" s="37"/>
      <c r="AG65" s="37"/>
    </row>
    <row r="66" spans="1:33" ht="15.75" customHeight="1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6"/>
      <c r="V66" s="1"/>
      <c r="W66" s="31"/>
      <c r="X66" s="31"/>
      <c r="Y66" s="31"/>
      <c r="Z66" s="31"/>
      <c r="AA66" s="2"/>
      <c r="AB66" s="31"/>
      <c r="AC66" s="31"/>
      <c r="AD66" s="31"/>
      <c r="AE66" s="37"/>
      <c r="AF66" s="37"/>
      <c r="AG66" s="37"/>
    </row>
    <row r="67" spans="1:33" ht="15.75" customHeight="1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6"/>
      <c r="V67" s="1"/>
      <c r="W67" s="31"/>
      <c r="X67" s="31"/>
      <c r="Y67" s="31"/>
      <c r="Z67" s="31"/>
      <c r="AA67" s="2"/>
      <c r="AB67" s="31"/>
      <c r="AC67" s="31"/>
      <c r="AD67" s="31"/>
      <c r="AE67" s="37"/>
      <c r="AF67" s="37"/>
      <c r="AG67" s="37"/>
    </row>
    <row r="68" spans="1:33" ht="15.75" customHeight="1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6"/>
      <c r="V68" s="1"/>
      <c r="W68" s="31"/>
      <c r="X68" s="31"/>
      <c r="Y68" s="31"/>
      <c r="Z68" s="31"/>
      <c r="AA68" s="2"/>
      <c r="AB68" s="31"/>
      <c r="AC68" s="31"/>
      <c r="AD68" s="31"/>
      <c r="AE68" s="37"/>
      <c r="AF68" s="37"/>
      <c r="AG68" s="37"/>
    </row>
    <row r="69" spans="1:33" ht="15.75" customHeight="1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6"/>
      <c r="V69" s="1"/>
      <c r="W69" s="31"/>
      <c r="X69" s="31"/>
      <c r="Y69" s="31"/>
      <c r="Z69" s="31"/>
      <c r="AA69" s="2"/>
      <c r="AB69" s="31"/>
      <c r="AC69" s="31"/>
      <c r="AD69" s="31"/>
      <c r="AE69" s="37"/>
      <c r="AF69" s="37"/>
      <c r="AG69" s="37"/>
    </row>
    <row r="70" spans="1:33" ht="15.75" customHeight="1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6"/>
      <c r="V70" s="1"/>
      <c r="W70" s="31"/>
      <c r="X70" s="31"/>
      <c r="Y70" s="31"/>
      <c r="Z70" s="31"/>
      <c r="AA70" s="2"/>
      <c r="AB70" s="31"/>
      <c r="AC70" s="31"/>
      <c r="AD70" s="31"/>
      <c r="AE70" s="37"/>
      <c r="AF70" s="37"/>
      <c r="AG70" s="37"/>
    </row>
    <row r="71" spans="1:33" ht="15.75" customHeight="1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6"/>
      <c r="V71" s="1"/>
      <c r="W71" s="31"/>
      <c r="X71" s="31"/>
      <c r="Y71" s="31"/>
      <c r="Z71" s="31"/>
      <c r="AA71" s="2"/>
      <c r="AB71" s="31"/>
      <c r="AC71" s="31"/>
      <c r="AD71" s="31"/>
      <c r="AE71" s="37"/>
      <c r="AF71" s="37"/>
      <c r="AG71" s="37"/>
    </row>
    <row r="72" spans="1:33" ht="15.75" customHeight="1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6"/>
      <c r="V72" s="1"/>
      <c r="W72" s="31"/>
      <c r="X72" s="31"/>
      <c r="Y72" s="31"/>
      <c r="Z72" s="31"/>
      <c r="AA72" s="2"/>
      <c r="AB72" s="31"/>
      <c r="AC72" s="31"/>
      <c r="AD72" s="31"/>
      <c r="AE72" s="37"/>
      <c r="AF72" s="37"/>
      <c r="AG72" s="37"/>
    </row>
    <row r="73" spans="1:33" ht="15.75" customHeight="1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6"/>
      <c r="V73" s="1"/>
      <c r="W73" s="31"/>
      <c r="X73" s="31"/>
      <c r="Y73" s="31"/>
      <c r="Z73" s="31"/>
      <c r="AA73" s="2"/>
      <c r="AB73" s="31"/>
      <c r="AC73" s="31"/>
      <c r="AD73" s="31"/>
      <c r="AE73" s="37"/>
      <c r="AF73" s="37"/>
      <c r="AG73" s="37"/>
    </row>
    <row r="74" spans="1:33" ht="15.75" customHeight="1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6"/>
      <c r="V74" s="1"/>
      <c r="W74" s="31"/>
      <c r="X74" s="31"/>
      <c r="Y74" s="31"/>
      <c r="Z74" s="31"/>
      <c r="AA74" s="2"/>
      <c r="AB74" s="31"/>
      <c r="AC74" s="31"/>
      <c r="AD74" s="31"/>
      <c r="AE74" s="37"/>
      <c r="AF74" s="37"/>
      <c r="AG74" s="37"/>
    </row>
    <row r="75" spans="1:33" ht="15.75" customHeight="1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6"/>
      <c r="V75" s="1"/>
      <c r="W75" s="31"/>
      <c r="X75" s="31"/>
      <c r="Y75" s="31"/>
      <c r="Z75" s="31"/>
      <c r="AA75" s="2"/>
      <c r="AB75" s="31"/>
      <c r="AC75" s="31"/>
      <c r="AD75" s="31"/>
      <c r="AE75" s="37"/>
      <c r="AF75" s="37"/>
      <c r="AG75" s="37"/>
    </row>
    <row r="76" spans="1:33" ht="15.75" customHeight="1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6"/>
      <c r="V76" s="1"/>
      <c r="W76" s="31"/>
      <c r="X76" s="31"/>
      <c r="Y76" s="31"/>
      <c r="Z76" s="31"/>
      <c r="AA76" s="2"/>
      <c r="AB76" s="31"/>
      <c r="AC76" s="31"/>
      <c r="AD76" s="31"/>
      <c r="AE76" s="37"/>
      <c r="AF76" s="37"/>
      <c r="AG76" s="37"/>
    </row>
    <row r="77" spans="1:33" ht="15.75" customHeight="1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6"/>
      <c r="V77" s="1"/>
      <c r="W77" s="31"/>
      <c r="X77" s="31"/>
      <c r="Y77" s="31"/>
      <c r="Z77" s="31"/>
      <c r="AA77" s="2"/>
      <c r="AB77" s="31"/>
      <c r="AC77" s="31"/>
      <c r="AD77" s="31"/>
      <c r="AE77" s="37"/>
      <c r="AF77" s="37"/>
      <c r="AG77" s="37"/>
    </row>
    <row r="78" spans="1:33" ht="15.75" customHeight="1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6"/>
      <c r="V78" s="1"/>
      <c r="W78" s="31"/>
      <c r="X78" s="31"/>
      <c r="Y78" s="31"/>
      <c r="Z78" s="31"/>
      <c r="AA78" s="2"/>
      <c r="AB78" s="31"/>
      <c r="AC78" s="31"/>
      <c r="AD78" s="31"/>
      <c r="AE78" s="37"/>
      <c r="AF78" s="37"/>
      <c r="AG78" s="37"/>
    </row>
    <row r="79" spans="1:33" ht="15.75" customHeight="1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6"/>
      <c r="V79" s="1"/>
      <c r="W79" s="31"/>
      <c r="X79" s="31"/>
      <c r="Y79" s="31"/>
      <c r="Z79" s="31"/>
      <c r="AA79" s="2"/>
      <c r="AB79" s="31"/>
      <c r="AC79" s="31"/>
      <c r="AD79" s="31"/>
      <c r="AE79" s="37"/>
      <c r="AF79" s="37"/>
      <c r="AG79" s="37"/>
    </row>
    <row r="80" spans="1:33" ht="15.75" customHeight="1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6"/>
      <c r="V80" s="1"/>
      <c r="W80" s="31"/>
      <c r="X80" s="31"/>
      <c r="Y80" s="31"/>
      <c r="Z80" s="31"/>
      <c r="AA80" s="2"/>
      <c r="AB80" s="31"/>
      <c r="AC80" s="31"/>
      <c r="AD80" s="31"/>
      <c r="AE80" s="37"/>
      <c r="AF80" s="37"/>
      <c r="AG80" s="37"/>
    </row>
    <row r="81" spans="1:33" ht="15.75" customHeight="1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6"/>
      <c r="V81" s="1"/>
      <c r="W81" s="31"/>
      <c r="X81" s="31"/>
      <c r="Y81" s="31"/>
      <c r="Z81" s="31"/>
      <c r="AA81" s="2"/>
      <c r="AB81" s="31"/>
      <c r="AC81" s="31"/>
      <c r="AD81" s="31"/>
      <c r="AE81" s="37"/>
      <c r="AF81" s="37"/>
      <c r="AG81" s="37"/>
    </row>
    <row r="82" spans="1:33" ht="15.75" customHeight="1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6"/>
      <c r="V82" s="1"/>
      <c r="W82" s="31"/>
      <c r="X82" s="31"/>
      <c r="Y82" s="31"/>
      <c r="Z82" s="31"/>
      <c r="AA82" s="2"/>
      <c r="AB82" s="31"/>
      <c r="AC82" s="31"/>
      <c r="AD82" s="31"/>
      <c r="AE82" s="37"/>
      <c r="AF82" s="37"/>
      <c r="AG82" s="37"/>
    </row>
    <row r="83" spans="1:33" ht="15.75" customHeight="1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6"/>
      <c r="V83" s="1"/>
      <c r="W83" s="31"/>
      <c r="X83" s="31"/>
      <c r="Y83" s="31"/>
      <c r="Z83" s="31"/>
      <c r="AA83" s="2"/>
      <c r="AB83" s="31"/>
      <c r="AC83" s="31"/>
      <c r="AD83" s="31"/>
      <c r="AE83" s="37"/>
      <c r="AF83" s="37"/>
      <c r="AG83" s="37"/>
    </row>
    <row r="84" spans="1:33" ht="15.75" customHeight="1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6"/>
      <c r="V84" s="1"/>
      <c r="W84" s="31"/>
      <c r="X84" s="31"/>
      <c r="Y84" s="31"/>
      <c r="Z84" s="31"/>
      <c r="AA84" s="2"/>
      <c r="AB84" s="31"/>
      <c r="AC84" s="31"/>
      <c r="AD84" s="31"/>
      <c r="AE84" s="37"/>
      <c r="AF84" s="37"/>
      <c r="AG84" s="37"/>
    </row>
    <row r="85" spans="1:33" ht="15.75" customHeight="1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6"/>
      <c r="V85" s="1"/>
      <c r="W85" s="31"/>
      <c r="X85" s="31"/>
      <c r="Y85" s="31"/>
      <c r="Z85" s="31"/>
      <c r="AA85" s="2"/>
      <c r="AB85" s="31"/>
      <c r="AC85" s="31"/>
      <c r="AD85" s="31"/>
      <c r="AE85" s="37"/>
      <c r="AF85" s="37"/>
      <c r="AG85" s="37"/>
    </row>
    <row r="86" spans="1:33" ht="15.75" customHeight="1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6"/>
      <c r="V86" s="1"/>
      <c r="W86" s="31"/>
      <c r="X86" s="31"/>
      <c r="Y86" s="31"/>
      <c r="Z86" s="31"/>
      <c r="AA86" s="2"/>
      <c r="AB86" s="31"/>
      <c r="AC86" s="31"/>
      <c r="AD86" s="31"/>
      <c r="AE86" s="37"/>
      <c r="AF86" s="37"/>
      <c r="AG86" s="37"/>
    </row>
    <row r="87" spans="1:33" ht="15.75" customHeight="1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6"/>
      <c r="V87" s="1"/>
      <c r="W87" s="31"/>
      <c r="X87" s="31"/>
      <c r="Y87" s="31"/>
      <c r="Z87" s="31"/>
      <c r="AA87" s="2"/>
      <c r="AB87" s="31"/>
      <c r="AC87" s="31"/>
      <c r="AD87" s="31"/>
      <c r="AE87" s="37"/>
      <c r="AF87" s="37"/>
      <c r="AG87" s="37"/>
    </row>
    <row r="88" spans="1:33" ht="15.75" customHeight="1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6"/>
      <c r="V88" s="1"/>
      <c r="W88" s="31"/>
      <c r="X88" s="31"/>
      <c r="Y88" s="31"/>
      <c r="Z88" s="31"/>
      <c r="AA88" s="2"/>
      <c r="AB88" s="31"/>
      <c r="AC88" s="31"/>
      <c r="AD88" s="31"/>
      <c r="AE88" s="37"/>
      <c r="AF88" s="37"/>
      <c r="AG88" s="37"/>
    </row>
    <row r="89" spans="1:33" ht="15.75" customHeight="1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6"/>
      <c r="V89" s="1"/>
      <c r="W89" s="31"/>
      <c r="X89" s="31"/>
      <c r="Y89" s="31"/>
      <c r="Z89" s="31"/>
      <c r="AA89" s="2"/>
      <c r="AB89" s="31"/>
      <c r="AC89" s="31"/>
      <c r="AD89" s="31"/>
      <c r="AE89" s="37"/>
      <c r="AF89" s="37"/>
      <c r="AG89" s="37"/>
    </row>
    <row r="90" spans="1:33" ht="15.75" customHeight="1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6"/>
      <c r="V90" s="1"/>
      <c r="W90" s="31"/>
      <c r="X90" s="31"/>
      <c r="Y90" s="31"/>
      <c r="Z90" s="31"/>
      <c r="AA90" s="2"/>
      <c r="AB90" s="31"/>
      <c r="AC90" s="31"/>
      <c r="AD90" s="31"/>
      <c r="AE90" s="37"/>
      <c r="AF90" s="37"/>
      <c r="AG90" s="37"/>
    </row>
    <row r="91" spans="1:33" ht="15.75" customHeight="1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6"/>
      <c r="V91" s="1"/>
      <c r="W91" s="31"/>
      <c r="X91" s="31"/>
      <c r="Y91" s="31"/>
      <c r="Z91" s="31"/>
      <c r="AA91" s="2"/>
      <c r="AB91" s="31"/>
      <c r="AC91" s="31"/>
      <c r="AD91" s="31"/>
      <c r="AE91" s="37"/>
      <c r="AF91" s="37"/>
      <c r="AG91" s="37"/>
    </row>
    <row r="92" spans="1:33" ht="15.75" customHeight="1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6"/>
      <c r="V92" s="1"/>
      <c r="W92" s="31"/>
      <c r="X92" s="31"/>
      <c r="Y92" s="31"/>
      <c r="Z92" s="31"/>
      <c r="AA92" s="2"/>
      <c r="AB92" s="31"/>
      <c r="AC92" s="31"/>
      <c r="AD92" s="31"/>
      <c r="AE92" s="37"/>
      <c r="AF92" s="37"/>
      <c r="AG92" s="37"/>
    </row>
    <row r="93" spans="1:33" ht="15.75" customHeight="1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6"/>
      <c r="V93" s="1"/>
      <c r="W93" s="31"/>
      <c r="X93" s="31"/>
      <c r="Y93" s="31"/>
      <c r="Z93" s="31"/>
      <c r="AA93" s="2"/>
      <c r="AB93" s="31"/>
      <c r="AC93" s="31"/>
      <c r="AD93" s="31"/>
      <c r="AE93" s="37"/>
      <c r="AF93" s="37"/>
      <c r="AG93" s="37"/>
    </row>
    <row r="94" spans="1:33" ht="15.75" customHeight="1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6"/>
      <c r="V94" s="1"/>
      <c r="W94" s="31"/>
      <c r="X94" s="31"/>
      <c r="Y94" s="31"/>
      <c r="Z94" s="31"/>
      <c r="AA94" s="2"/>
      <c r="AB94" s="31"/>
      <c r="AC94" s="31"/>
      <c r="AD94" s="31"/>
      <c r="AE94" s="37"/>
      <c r="AF94" s="37"/>
      <c r="AG94" s="37"/>
    </row>
    <row r="95" spans="1:33" ht="15.75" customHeight="1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6"/>
      <c r="V95" s="1"/>
      <c r="W95" s="31"/>
      <c r="X95" s="31"/>
      <c r="Y95" s="31"/>
      <c r="Z95" s="31"/>
      <c r="AA95" s="2"/>
      <c r="AB95" s="31"/>
      <c r="AC95" s="31"/>
      <c r="AD95" s="31"/>
      <c r="AE95" s="37"/>
      <c r="AF95" s="37"/>
      <c r="AG95" s="37"/>
    </row>
    <row r="96" spans="1:33" ht="15.75" customHeight="1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6"/>
      <c r="V96" s="1"/>
      <c r="W96" s="31"/>
      <c r="X96" s="31"/>
      <c r="Y96" s="31"/>
      <c r="Z96" s="31"/>
      <c r="AA96" s="2"/>
      <c r="AB96" s="31"/>
      <c r="AC96" s="31"/>
      <c r="AD96" s="31"/>
      <c r="AE96" s="37"/>
      <c r="AF96" s="37"/>
      <c r="AG96" s="37"/>
    </row>
    <row r="97" spans="1:33" ht="15.75" customHeight="1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8"/>
      <c r="R97" s="38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8"/>
      <c r="R98" s="38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8"/>
      <c r="R99" s="38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8"/>
      <c r="R100" s="38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8"/>
      <c r="R101" s="38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8"/>
      <c r="R102" s="38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8"/>
      <c r="R103" s="38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8"/>
      <c r="R104" s="38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8"/>
      <c r="R105" s="38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8"/>
      <c r="R106" s="38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8"/>
      <c r="R107" s="38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8"/>
      <c r="R108" s="38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8"/>
      <c r="R109" s="38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8"/>
      <c r="R110" s="38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8"/>
      <c r="R111" s="38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8"/>
      <c r="R112" s="38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8"/>
      <c r="R113" s="38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8"/>
      <c r="R114" s="38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>
      <c r="A115" s="31"/>
      <c r="B115" s="31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>
      <c r="A116" s="31"/>
      <c r="B116" s="31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>
      <c r="A117" s="31"/>
      <c r="B117" s="31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>
      <c r="A118" s="31"/>
      <c r="B118" s="31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>
      <c r="A119" s="31"/>
      <c r="B119" s="31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>
      <c r="A120" s="31"/>
      <c r="B120" s="31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>
      <c r="A121" s="31"/>
      <c r="B121" s="31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>
      <c r="A122" s="31"/>
      <c r="B122" s="31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>
      <c r="A123" s="31"/>
      <c r="B123" s="31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>
      <c r="A124" s="31"/>
      <c r="B124" s="31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>
      <c r="A125" s="31"/>
      <c r="B125" s="31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>
      <c r="A126" s="31"/>
      <c r="B126" s="31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>
      <c r="A127" s="31"/>
      <c r="B127" s="31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>
      <c r="A128" s="31"/>
      <c r="B128" s="31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>
      <c r="A129" s="31"/>
      <c r="B129" s="31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>
      <c r="A130" s="31"/>
      <c r="B130" s="31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>
      <c r="A131" s="31"/>
      <c r="B131" s="31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>
      <c r="A132" s="31"/>
      <c r="B132" s="31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>
      <c r="A133" s="31"/>
      <c r="B133" s="31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>
      <c r="A134" s="31"/>
      <c r="B134" s="31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>
      <c r="A135" s="31"/>
      <c r="B135" s="31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>
      <c r="A136" s="31"/>
      <c r="B136" s="31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>
      <c r="A137" s="31"/>
      <c r="B137" s="31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>
      <c r="A138" s="31"/>
      <c r="B138" s="31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>
      <c r="A139" s="31"/>
      <c r="B139" s="31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>
      <c r="A140" s="31"/>
      <c r="B140" s="31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>
      <c r="A141" s="31"/>
      <c r="B141" s="31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2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>
      <c r="A142" s="31"/>
      <c r="B142" s="31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2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>
      <c r="A143" s="31"/>
      <c r="B143" s="31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2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>
      <c r="A144" s="31"/>
      <c r="B144" s="31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2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>
      <c r="A145" s="31"/>
      <c r="B145" s="31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2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>
      <c r="A146" s="31"/>
      <c r="B146" s="31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2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>
      <c r="A147" s="31"/>
      <c r="B147" s="31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2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>
      <c r="A148" s="31"/>
      <c r="B148" s="31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2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</row>
    <row r="149" spans="1:33" ht="15.75" customHeight="1">
      <c r="A149" s="14"/>
      <c r="B149" s="14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>
      <c r="A150" s="14"/>
      <c r="B150" s="14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>
      <c r="A151" s="14"/>
      <c r="B151" s="14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>
      <c r="A152" s="14"/>
      <c r="B152" s="14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>
      <c r="A153" s="14"/>
      <c r="B153" s="14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>
      <c r="A154" s="14"/>
      <c r="B154" s="14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>
      <c r="A155" s="14"/>
      <c r="B155" s="14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>
      <c r="A156" s="14"/>
      <c r="B156" s="14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>
      <c r="A157" s="14"/>
      <c r="B157" s="14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>
      <c r="A158" s="14"/>
      <c r="B158" s="14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>
      <c r="A159" s="14"/>
      <c r="B159" s="14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>
      <c r="A160" s="14"/>
      <c r="B160" s="14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>
      <c r="A161" s="14"/>
      <c r="B161" s="14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>
      <c r="A162" s="14"/>
      <c r="B162" s="14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>
      <c r="A163" s="14"/>
      <c r="B163" s="14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>
      <c r="A164" s="14"/>
      <c r="B164" s="14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>
      <c r="A165" s="14"/>
      <c r="B165" s="14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>
      <c r="A166" s="14"/>
      <c r="B166" s="14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>
      <c r="A167" s="14"/>
      <c r="B167" s="14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>
      <c r="A168" s="14"/>
      <c r="B168" s="14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>
      <c r="A169" s="14"/>
      <c r="B169" s="14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>
      <c r="A170" s="14"/>
      <c r="B170" s="14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>
      <c r="A171" s="14"/>
      <c r="B171" s="14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>
      <c r="A172" s="14"/>
      <c r="B172" s="14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>
      <c r="A173" s="14"/>
      <c r="B173" s="14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>
      <c r="A174" s="14"/>
      <c r="B174" s="14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>
      <c r="A175" s="14"/>
      <c r="B175" s="14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>
      <c r="A176" s="14"/>
      <c r="B176" s="14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>
      <c r="A177" s="14"/>
      <c r="B177" s="14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>
      <c r="A178" s="14"/>
      <c r="B178" s="14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>
      <c r="A179" s="14"/>
      <c r="B179" s="14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>
      <c r="A180" s="14"/>
      <c r="B180" s="14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>
      <c r="A181" s="14"/>
      <c r="B181" s="14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>
      <c r="A182" s="14"/>
      <c r="B182" s="14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>
      <c r="A183" s="14"/>
      <c r="B183" s="14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>
      <c r="A184" s="14"/>
      <c r="B184" s="14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>
      <c r="A185" s="14"/>
      <c r="B185" s="14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>
      <c r="A186" s="14"/>
      <c r="B186" s="14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>
      <c r="A187" s="14"/>
      <c r="B187" s="14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>
      <c r="A188" s="14"/>
      <c r="B188" s="14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>
      <c r="A189" s="14"/>
      <c r="B189" s="14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>
      <c r="A190" s="14"/>
      <c r="B190" s="14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>
      <c r="A191" s="14"/>
      <c r="B191" s="14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>
      <c r="A192" s="14"/>
      <c r="B192" s="14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>
      <c r="A193" s="14"/>
      <c r="B193" s="14"/>
      <c r="C193" s="39"/>
      <c r="D193" s="39"/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>
      <c r="A194" s="14"/>
      <c r="B194" s="14"/>
      <c r="C194" s="39"/>
      <c r="D194" s="39"/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>
      <c r="A195" s="14"/>
      <c r="B195" s="14"/>
      <c r="C195" s="39"/>
      <c r="D195" s="39"/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>
      <c r="A196" s="14"/>
      <c r="B196" s="14"/>
      <c r="C196" s="39"/>
      <c r="D196" s="39"/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>
      <c r="A197" s="14"/>
      <c r="B197" s="14"/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>
      <c r="A198" s="14"/>
      <c r="B198" s="14"/>
      <c r="C198" s="39"/>
      <c r="D198" s="39"/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>
      <c r="A199" s="14"/>
      <c r="B199" s="14"/>
      <c r="C199" s="39"/>
      <c r="D199" s="39"/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>
      <c r="A200" s="14"/>
      <c r="B200" s="14"/>
      <c r="C200" s="39"/>
      <c r="D200" s="39"/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>
      <c r="A201" s="14"/>
      <c r="B201" s="14"/>
      <c r="C201" s="39"/>
      <c r="D201" s="39"/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>
      <c r="A202" s="14"/>
      <c r="B202" s="14"/>
      <c r="C202" s="39"/>
      <c r="D202" s="39"/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>
      <c r="A203" s="14"/>
      <c r="B203" s="14"/>
      <c r="C203" s="39"/>
      <c r="D203" s="39"/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>
      <c r="A204" s="14"/>
      <c r="B204" s="14"/>
      <c r="C204" s="39"/>
      <c r="D204" s="39"/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>
      <c r="A205" s="14"/>
      <c r="B205" s="14"/>
      <c r="C205" s="39"/>
      <c r="D205" s="39"/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>
      <c r="A206" s="14"/>
      <c r="B206" s="14"/>
      <c r="C206" s="39"/>
      <c r="D206" s="39"/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>
      <c r="A207" s="14"/>
      <c r="B207" s="14"/>
      <c r="C207" s="39"/>
      <c r="D207" s="39"/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>
      <c r="A208" s="14"/>
      <c r="B208" s="14"/>
      <c r="C208" s="39"/>
      <c r="D208" s="39"/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>
      <c r="A209" s="14"/>
      <c r="B209" s="14"/>
      <c r="C209" s="39"/>
      <c r="D209" s="39"/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>
      <c r="A210" s="14"/>
      <c r="B210" s="14"/>
      <c r="C210" s="39"/>
      <c r="D210" s="39"/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>
      <c r="A211" s="14"/>
      <c r="B211" s="14"/>
      <c r="C211" s="39"/>
      <c r="D211" s="39"/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>
      <c r="A212" s="14"/>
      <c r="B212" s="14"/>
      <c r="C212" s="39"/>
      <c r="D212" s="39"/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>
      <c r="A213" s="14"/>
      <c r="B213" s="14"/>
      <c r="C213" s="39"/>
      <c r="D213" s="39"/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>
      <c r="A214" s="14"/>
      <c r="B214" s="14"/>
      <c r="C214" s="39"/>
      <c r="D214" s="39"/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>
      <c r="A215" s="14"/>
      <c r="B215" s="14"/>
      <c r="C215" s="39"/>
      <c r="D215" s="39"/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>
      <c r="A216" s="14"/>
      <c r="B216" s="14"/>
      <c r="C216" s="39"/>
      <c r="D216" s="39"/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>
      <c r="A217" s="14"/>
      <c r="B217" s="14"/>
      <c r="C217" s="39"/>
      <c r="D217" s="39"/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>
      <c r="A218" s="14"/>
      <c r="B218" s="14"/>
      <c r="C218" s="39"/>
      <c r="D218" s="39"/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>
      <c r="A219" s="14"/>
      <c r="B219" s="14"/>
      <c r="C219" s="39"/>
      <c r="D219" s="39"/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>
      <c r="A220" s="14"/>
      <c r="B220" s="14"/>
      <c r="C220" s="39"/>
      <c r="D220" s="39"/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>
      <c r="R221" s="30"/>
      <c r="S221" s="40"/>
    </row>
    <row r="222" spans="1:33" ht="15.75" customHeight="1">
      <c r="R222" s="30"/>
      <c r="S222" s="40"/>
    </row>
    <row r="223" spans="1:33" ht="15.75" customHeight="1">
      <c r="R223" s="30"/>
      <c r="S223" s="40"/>
    </row>
    <row r="224" spans="1:33" ht="15.75" customHeight="1">
      <c r="R224" s="30"/>
      <c r="S224" s="40"/>
    </row>
    <row r="225" spans="18:18" ht="15.75" customHeight="1">
      <c r="R225" s="30"/>
    </row>
    <row r="226" spans="18:18" ht="15.75" customHeight="1">
      <c r="R226" s="30"/>
    </row>
    <row r="227" spans="18:18" ht="15.75" customHeight="1">
      <c r="R227" s="30"/>
    </row>
    <row r="228" spans="18:18" ht="15.75" customHeight="1">
      <c r="R228" s="30"/>
    </row>
    <row r="229" spans="18:18" ht="15.75" customHeight="1">
      <c r="R229" s="30"/>
    </row>
    <row r="230" spans="18:18" ht="15.75" customHeight="1">
      <c r="R230" s="30"/>
    </row>
    <row r="231" spans="18:18" ht="15.75" customHeight="1">
      <c r="R231" s="30"/>
    </row>
    <row r="232" spans="18:18" ht="15.75" customHeight="1">
      <c r="R232" s="30"/>
    </row>
    <row r="233" spans="18:18" ht="15.75" customHeight="1">
      <c r="R233" s="30"/>
    </row>
    <row r="234" spans="18:18" ht="15.75" customHeight="1">
      <c r="R234" s="30"/>
    </row>
    <row r="235" spans="18:18" ht="15.75" customHeight="1">
      <c r="R235" s="30"/>
    </row>
    <row r="236" spans="18:18" ht="15.75" customHeight="1">
      <c r="R236" s="30"/>
    </row>
    <row r="237" spans="18:18" ht="15.75" customHeight="1">
      <c r="R237" s="30"/>
    </row>
    <row r="238" spans="18:18" ht="15.75" customHeight="1">
      <c r="R238" s="30"/>
    </row>
    <row r="239" spans="18:18" ht="15.75" customHeight="1">
      <c r="R239" s="30"/>
    </row>
    <row r="240" spans="18:18" ht="15.75" customHeight="1">
      <c r="R240" s="30"/>
    </row>
    <row r="241" spans="18:18" ht="15.75" customHeight="1">
      <c r="R241" s="30"/>
    </row>
    <row r="242" spans="18:18" ht="15.75" customHeight="1">
      <c r="R242" s="30"/>
    </row>
    <row r="243" spans="18:18" ht="15.75" customHeight="1">
      <c r="R243" s="30"/>
    </row>
    <row r="244" spans="18:18" ht="15.75" customHeight="1">
      <c r="R244" s="30"/>
    </row>
    <row r="245" spans="18:18" ht="15.75" customHeight="1">
      <c r="R245" s="30"/>
    </row>
    <row r="246" spans="18:18" ht="15.75" customHeight="1">
      <c r="R246" s="30"/>
    </row>
    <row r="247" spans="18:18" ht="15.75" customHeight="1">
      <c r="R247" s="30"/>
    </row>
    <row r="248" spans="18:18" ht="15.75" customHeight="1">
      <c r="R248" s="30"/>
    </row>
    <row r="249" spans="18:18" ht="15.75" customHeight="1">
      <c r="R249" s="30"/>
    </row>
    <row r="250" spans="18:18" ht="15.75" customHeight="1">
      <c r="R250" s="30"/>
    </row>
    <row r="251" spans="18:18" ht="15.75" customHeight="1">
      <c r="R251" s="30"/>
    </row>
    <row r="252" spans="18:18" ht="15.75" customHeight="1">
      <c r="R252" s="30"/>
    </row>
    <row r="253" spans="18:18" ht="15.75" customHeight="1">
      <c r="R253" s="30"/>
    </row>
    <row r="254" spans="18:18" ht="15.75" customHeight="1">
      <c r="R254" s="30"/>
    </row>
    <row r="255" spans="18:18" ht="15.75" customHeight="1">
      <c r="R255" s="30"/>
    </row>
    <row r="256" spans="18:18" ht="15.75" customHeight="1">
      <c r="R256" s="30"/>
    </row>
    <row r="257" spans="18:18" ht="15.75" customHeight="1">
      <c r="R257" s="30"/>
    </row>
    <row r="258" spans="18:18" ht="15.75" customHeight="1">
      <c r="R258" s="30"/>
    </row>
    <row r="259" spans="18:18" ht="15.75" customHeight="1">
      <c r="R259" s="30"/>
    </row>
    <row r="260" spans="18:18" ht="15.75" customHeight="1">
      <c r="R260" s="30"/>
    </row>
    <row r="261" spans="18:18" ht="15.75" customHeight="1">
      <c r="R261" s="30"/>
    </row>
    <row r="262" spans="18:18" ht="15.75" customHeight="1">
      <c r="R262" s="30"/>
    </row>
    <row r="263" spans="18:18" ht="15.75" customHeight="1">
      <c r="R263" s="30"/>
    </row>
    <row r="264" spans="18:18" ht="15.75" customHeight="1">
      <c r="R264" s="30"/>
    </row>
    <row r="265" spans="18:18" ht="15.75" customHeight="1">
      <c r="R265" s="30"/>
    </row>
    <row r="266" spans="18:18" ht="15.75" customHeight="1">
      <c r="R266" s="30"/>
    </row>
    <row r="267" spans="18:18" ht="15.75" customHeight="1">
      <c r="R267" s="30"/>
    </row>
    <row r="268" spans="18:18" ht="15.75" customHeight="1">
      <c r="R268" s="30"/>
    </row>
    <row r="269" spans="18:18" ht="15.75" customHeight="1">
      <c r="R269" s="30"/>
    </row>
    <row r="270" spans="18:18" ht="15.75" customHeight="1">
      <c r="R270" s="30"/>
    </row>
    <row r="271" spans="18:18" ht="15.75" customHeight="1">
      <c r="R271" s="30"/>
    </row>
    <row r="272" spans="18:18" ht="15.75" customHeight="1">
      <c r="R272" s="30"/>
    </row>
    <row r="273" spans="18:18" ht="15.75" customHeight="1">
      <c r="R273" s="30"/>
    </row>
    <row r="274" spans="18:18" ht="15.75" customHeight="1">
      <c r="R274" s="30"/>
    </row>
    <row r="275" spans="18:18" ht="15.75" customHeight="1">
      <c r="R275" s="30"/>
    </row>
    <row r="276" spans="18:18" ht="15.75" customHeight="1">
      <c r="R276" s="30"/>
    </row>
    <row r="277" spans="18:18" ht="15.75" customHeight="1">
      <c r="R277" s="30"/>
    </row>
    <row r="278" spans="18:18" ht="15.75" customHeight="1">
      <c r="R278" s="30"/>
    </row>
    <row r="279" spans="18:18" ht="15.75" customHeight="1">
      <c r="R279" s="30"/>
    </row>
    <row r="280" spans="18:18" ht="15.75" customHeight="1">
      <c r="R280" s="30"/>
    </row>
    <row r="281" spans="18:18" ht="15.75" customHeight="1">
      <c r="R281" s="30"/>
    </row>
    <row r="282" spans="18:18" ht="15.75" customHeight="1">
      <c r="R282" s="30"/>
    </row>
    <row r="283" spans="18:18" ht="15.75" customHeight="1">
      <c r="R283" s="30"/>
    </row>
    <row r="284" spans="18:18" ht="15.75" customHeight="1">
      <c r="R284" s="30"/>
    </row>
    <row r="285" spans="18:18" ht="15.75" customHeight="1">
      <c r="R285" s="30"/>
    </row>
    <row r="286" spans="18:18" ht="15.75" customHeight="1">
      <c r="R286" s="30"/>
    </row>
    <row r="287" spans="18:18" ht="15.75" customHeight="1">
      <c r="R287" s="30"/>
    </row>
    <row r="288" spans="18:18" ht="15.75" customHeight="1">
      <c r="R288" s="30"/>
    </row>
    <row r="289" spans="18:18" ht="15.75" customHeight="1">
      <c r="R289" s="30"/>
    </row>
    <row r="290" spans="18:18" ht="15.75" customHeight="1">
      <c r="R290" s="30"/>
    </row>
    <row r="291" spans="18:18" ht="15.75" customHeight="1">
      <c r="R291" s="30"/>
    </row>
    <row r="292" spans="18:18" ht="15.75" customHeight="1">
      <c r="R292" s="30"/>
    </row>
    <row r="293" spans="18:18" ht="15.75" customHeight="1">
      <c r="R293" s="30"/>
    </row>
    <row r="294" spans="18:18" ht="15.75" customHeight="1">
      <c r="R294" s="30"/>
    </row>
    <row r="295" spans="18:18" ht="15.75" customHeight="1">
      <c r="R295" s="30"/>
    </row>
    <row r="296" spans="18:18" ht="15.75" customHeight="1">
      <c r="R296" s="30"/>
    </row>
    <row r="297" spans="18:18" ht="15.75" customHeight="1">
      <c r="R297" s="30"/>
    </row>
    <row r="298" spans="18:18" ht="15.75" customHeight="1">
      <c r="R298" s="30"/>
    </row>
    <row r="299" spans="18:18" ht="15.75" customHeight="1">
      <c r="R299" s="30"/>
    </row>
    <row r="300" spans="18:18" ht="15.75" customHeight="1">
      <c r="R300" s="30"/>
    </row>
    <row r="301" spans="18:18" ht="15.75" customHeight="1">
      <c r="R301" s="30"/>
    </row>
    <row r="302" spans="18:18" ht="15.75" customHeight="1">
      <c r="R302" s="30"/>
    </row>
    <row r="303" spans="18:18" ht="15.75" customHeight="1">
      <c r="R303" s="30"/>
    </row>
    <row r="304" spans="18:18" ht="15.75" customHeight="1">
      <c r="R304" s="30"/>
    </row>
    <row r="305" spans="18:18" ht="15.75" customHeight="1">
      <c r="R305" s="30"/>
    </row>
    <row r="306" spans="18:18" ht="15.75" customHeight="1">
      <c r="R306" s="30"/>
    </row>
    <row r="307" spans="18:18" ht="15.75" customHeight="1">
      <c r="R307" s="30"/>
    </row>
    <row r="308" spans="18:18" ht="15.75" customHeight="1">
      <c r="R308" s="30"/>
    </row>
    <row r="309" spans="18:18" ht="15.75" customHeight="1">
      <c r="R309" s="30"/>
    </row>
    <row r="310" spans="18:18" ht="15.75" customHeight="1">
      <c r="R310" s="30"/>
    </row>
    <row r="311" spans="18:18" ht="15.75" customHeight="1">
      <c r="R311" s="30"/>
    </row>
    <row r="312" spans="18:18" ht="15.75" customHeight="1">
      <c r="R312" s="30"/>
    </row>
    <row r="313" spans="18:18" ht="15.75" customHeight="1">
      <c r="R313" s="30"/>
    </row>
    <row r="314" spans="18:18" ht="15.75" customHeight="1">
      <c r="R314" s="30"/>
    </row>
    <row r="315" spans="18:18" ht="15.75" customHeight="1">
      <c r="R315" s="30"/>
    </row>
    <row r="316" spans="18:18" ht="15.75" customHeight="1">
      <c r="R316" s="30"/>
    </row>
    <row r="317" spans="18:18" ht="15.75" customHeight="1">
      <c r="R317" s="30"/>
    </row>
    <row r="318" spans="18:18" ht="15.75" customHeight="1">
      <c r="R318" s="30"/>
    </row>
    <row r="319" spans="18:18" ht="15.75" customHeight="1">
      <c r="R319" s="30"/>
    </row>
    <row r="320" spans="18:18" ht="15.75" customHeight="1">
      <c r="R320" s="30"/>
    </row>
    <row r="321" spans="18:18" ht="15.75" customHeight="1">
      <c r="R321" s="30"/>
    </row>
    <row r="322" spans="18:18" ht="15.75" customHeight="1">
      <c r="R322" s="30"/>
    </row>
    <row r="323" spans="18:18" ht="15.75" customHeight="1">
      <c r="R323" s="30"/>
    </row>
    <row r="324" spans="18:18" ht="15.75" customHeight="1">
      <c r="R324" s="30"/>
    </row>
    <row r="325" spans="18:18" ht="15.75" customHeight="1">
      <c r="R325" s="30"/>
    </row>
    <row r="326" spans="18:18" ht="15.75" customHeight="1">
      <c r="R326" s="30"/>
    </row>
    <row r="327" spans="18:18" ht="15.75" customHeight="1">
      <c r="R327" s="30"/>
    </row>
    <row r="328" spans="18:18" ht="15.75" customHeight="1">
      <c r="R328" s="30"/>
    </row>
    <row r="329" spans="18:18" ht="15.75" customHeight="1">
      <c r="R329" s="30"/>
    </row>
    <row r="330" spans="18:18" ht="15.75" customHeight="1">
      <c r="R330" s="30"/>
    </row>
    <row r="331" spans="18:18" ht="15.75" customHeight="1">
      <c r="R331" s="30"/>
    </row>
    <row r="332" spans="18:18" ht="15.75" customHeight="1">
      <c r="R332" s="30"/>
    </row>
    <row r="333" spans="18:18" ht="15.75" customHeight="1">
      <c r="R333" s="30"/>
    </row>
    <row r="334" spans="18:18" ht="15.75" customHeight="1">
      <c r="R334" s="30"/>
    </row>
    <row r="335" spans="18:18" ht="15.75" customHeight="1">
      <c r="R335" s="30"/>
    </row>
    <row r="336" spans="18:18" ht="15.75" customHeight="1">
      <c r="R336" s="30"/>
    </row>
    <row r="337" spans="18:18" ht="15.75" customHeight="1">
      <c r="R337" s="30"/>
    </row>
    <row r="338" spans="18:18" ht="15.75" customHeight="1">
      <c r="R338" s="30"/>
    </row>
    <row r="339" spans="18:18" ht="15.75" customHeight="1">
      <c r="R339" s="30"/>
    </row>
    <row r="340" spans="18:18" ht="15.75" customHeight="1">
      <c r="R340" s="30"/>
    </row>
    <row r="341" spans="18:18" ht="15.75" customHeight="1">
      <c r="R341" s="30"/>
    </row>
    <row r="342" spans="18:18" ht="15.75" customHeight="1">
      <c r="R342" s="30"/>
    </row>
    <row r="343" spans="18:18" ht="15.75" customHeight="1">
      <c r="R343" s="30"/>
    </row>
    <row r="344" spans="18:18" ht="15.75" customHeight="1">
      <c r="R344" s="30"/>
    </row>
    <row r="345" spans="18:18" ht="15.75" customHeight="1">
      <c r="R345" s="30"/>
    </row>
    <row r="346" spans="18:18" ht="15.75" customHeight="1">
      <c r="R346" s="30"/>
    </row>
    <row r="347" spans="18:18" ht="15.75" customHeight="1">
      <c r="R347" s="30"/>
    </row>
    <row r="348" spans="18:18" ht="15.75" customHeight="1">
      <c r="R348" s="30"/>
    </row>
    <row r="349" spans="18:18" ht="15.75" customHeight="1">
      <c r="R349" s="30"/>
    </row>
    <row r="350" spans="18:18" ht="15.75" customHeight="1">
      <c r="R350" s="30"/>
    </row>
    <row r="351" spans="18:18" ht="15.75" customHeight="1">
      <c r="R351" s="30"/>
    </row>
    <row r="352" spans="18:18" ht="15.75" customHeight="1">
      <c r="R352" s="30"/>
    </row>
    <row r="353" spans="18:18" ht="15.75" customHeight="1">
      <c r="R353" s="30"/>
    </row>
    <row r="354" spans="18:18" ht="15.75" customHeight="1">
      <c r="R354" s="30"/>
    </row>
    <row r="355" spans="18:18" ht="15.75" customHeight="1">
      <c r="R355" s="30"/>
    </row>
    <row r="356" spans="18:18" ht="15.75" customHeight="1">
      <c r="R356" s="30"/>
    </row>
    <row r="357" spans="18:18" ht="15.75" customHeight="1">
      <c r="R357" s="30"/>
    </row>
    <row r="358" spans="18:18" ht="15.75" customHeight="1">
      <c r="R358" s="30"/>
    </row>
    <row r="359" spans="18:18" ht="15.75" customHeight="1">
      <c r="R359" s="30"/>
    </row>
    <row r="360" spans="18:18" ht="15.75" customHeight="1">
      <c r="R360" s="30"/>
    </row>
    <row r="361" spans="18:18" ht="15.75" customHeight="1">
      <c r="R361" s="30"/>
    </row>
    <row r="362" spans="18:18" ht="15.75" customHeight="1">
      <c r="R362" s="30"/>
    </row>
    <row r="363" spans="18:18" ht="15.75" customHeight="1">
      <c r="R363" s="30"/>
    </row>
    <row r="364" spans="18:18" ht="15.75" customHeight="1">
      <c r="R364" s="30"/>
    </row>
    <row r="365" spans="18:18" ht="15.75" customHeight="1">
      <c r="R365" s="30"/>
    </row>
    <row r="366" spans="18:18" ht="15.75" customHeight="1">
      <c r="R366" s="30"/>
    </row>
    <row r="367" spans="18:18" ht="15.75" customHeight="1">
      <c r="R367" s="30"/>
    </row>
    <row r="368" spans="18:18" ht="15.75" customHeight="1">
      <c r="R368" s="30"/>
    </row>
    <row r="369" spans="18:18" ht="15.75" customHeight="1">
      <c r="R369" s="30"/>
    </row>
    <row r="370" spans="18:18" ht="15.75" customHeight="1">
      <c r="R370" s="30"/>
    </row>
    <row r="371" spans="18:18" ht="15.75" customHeight="1">
      <c r="R371" s="30"/>
    </row>
    <row r="372" spans="18:18" ht="15.75" customHeight="1">
      <c r="R372" s="30"/>
    </row>
    <row r="373" spans="18:18" ht="15.75" customHeight="1">
      <c r="R373" s="30"/>
    </row>
    <row r="374" spans="18:18" ht="15.75" customHeight="1">
      <c r="R374" s="30"/>
    </row>
    <row r="375" spans="18:18" ht="15.75" customHeight="1">
      <c r="R375" s="30"/>
    </row>
    <row r="376" spans="18:18" ht="15.75" customHeight="1">
      <c r="R376" s="30"/>
    </row>
    <row r="377" spans="18:18" ht="15.75" customHeight="1">
      <c r="R377" s="30"/>
    </row>
    <row r="378" spans="18:18" ht="15.75" customHeight="1">
      <c r="R378" s="30"/>
    </row>
    <row r="379" spans="18:18" ht="15.75" customHeight="1">
      <c r="R379" s="30"/>
    </row>
    <row r="380" spans="18:18" ht="15.75" customHeight="1">
      <c r="R380" s="30"/>
    </row>
    <row r="381" spans="18:18" ht="15.75" customHeight="1">
      <c r="R381" s="30"/>
    </row>
    <row r="382" spans="18:18" ht="15.75" customHeight="1">
      <c r="R382" s="30"/>
    </row>
    <row r="383" spans="18:18" ht="15.75" customHeight="1">
      <c r="R383" s="30"/>
    </row>
    <row r="384" spans="18:18" ht="15.75" customHeight="1">
      <c r="R384" s="30"/>
    </row>
    <row r="385" spans="18:18" ht="15.75" customHeight="1">
      <c r="R385" s="30"/>
    </row>
    <row r="386" spans="18:18" ht="15.75" customHeight="1">
      <c r="R386" s="30"/>
    </row>
    <row r="387" spans="18:18" ht="15.75" customHeight="1">
      <c r="R387" s="30"/>
    </row>
    <row r="388" spans="18:18" ht="15.75" customHeight="1">
      <c r="R388" s="30"/>
    </row>
    <row r="389" spans="18:18" ht="15.75" customHeight="1">
      <c r="R389" s="30"/>
    </row>
    <row r="390" spans="18:18" ht="15.75" customHeight="1">
      <c r="R390" s="30"/>
    </row>
    <row r="391" spans="18:18" ht="15.75" customHeight="1">
      <c r="R391" s="30"/>
    </row>
    <row r="392" spans="18:18" ht="15.75" customHeight="1">
      <c r="R392" s="30"/>
    </row>
    <row r="393" spans="18:18" ht="15.75" customHeight="1">
      <c r="R393" s="30"/>
    </row>
    <row r="394" spans="18:18" ht="15.75" customHeight="1">
      <c r="R394" s="30"/>
    </row>
    <row r="395" spans="18:18" ht="15.75" customHeight="1">
      <c r="R395" s="30"/>
    </row>
    <row r="396" spans="18:18" ht="15.75" customHeight="1">
      <c r="R396" s="30"/>
    </row>
    <row r="397" spans="18:18" ht="15.75" customHeight="1">
      <c r="R397" s="30"/>
    </row>
    <row r="398" spans="18:18" ht="15.75" customHeight="1">
      <c r="R398" s="30"/>
    </row>
    <row r="399" spans="18:18" ht="15.75" customHeight="1">
      <c r="R399" s="30"/>
    </row>
    <row r="400" spans="18:18" ht="15.75" customHeight="1">
      <c r="R400" s="30"/>
    </row>
    <row r="401" spans="18:18" ht="15.75" customHeight="1">
      <c r="R401" s="30"/>
    </row>
    <row r="402" spans="18:18" ht="15.75" customHeight="1">
      <c r="R402" s="30"/>
    </row>
    <row r="403" spans="18:18" ht="15.75" customHeight="1">
      <c r="R403" s="30"/>
    </row>
    <row r="404" spans="18:18" ht="15.75" customHeight="1">
      <c r="R404" s="30"/>
    </row>
    <row r="405" spans="18:18" ht="15.75" customHeight="1">
      <c r="R405" s="30"/>
    </row>
    <row r="406" spans="18:18" ht="15.75" customHeight="1">
      <c r="R406" s="30"/>
    </row>
    <row r="407" spans="18:18" ht="15.75" customHeight="1">
      <c r="R407" s="30"/>
    </row>
    <row r="408" spans="18:18" ht="15.75" customHeight="1">
      <c r="R408" s="30"/>
    </row>
    <row r="409" spans="18:18" ht="15.75" customHeight="1">
      <c r="R409" s="30"/>
    </row>
    <row r="410" spans="18:18" ht="15.75" customHeight="1">
      <c r="R410" s="30"/>
    </row>
    <row r="411" spans="18:18" ht="15.75" customHeight="1">
      <c r="R411" s="30"/>
    </row>
    <row r="412" spans="18:18" ht="15.75" customHeight="1">
      <c r="R412" s="30"/>
    </row>
    <row r="413" spans="18:18" ht="15.75" customHeight="1">
      <c r="R413" s="30"/>
    </row>
    <row r="414" spans="18:18" ht="15.75" customHeight="1">
      <c r="R414" s="30"/>
    </row>
    <row r="415" spans="18:18" ht="15.75" customHeight="1">
      <c r="R415" s="30"/>
    </row>
    <row r="416" spans="18:18" ht="15.75" customHeight="1">
      <c r="R416" s="30"/>
    </row>
    <row r="417" spans="18:18" ht="15.75" customHeight="1">
      <c r="R417" s="30"/>
    </row>
    <row r="418" spans="18:18" ht="15.75" customHeight="1">
      <c r="R418" s="30"/>
    </row>
    <row r="419" spans="18:18" ht="15.75" customHeight="1">
      <c r="R419" s="30"/>
    </row>
    <row r="420" spans="18:18" ht="15.75" customHeight="1">
      <c r="R420" s="30"/>
    </row>
    <row r="421" spans="18:18" ht="15.75" customHeight="1">
      <c r="R421" s="30"/>
    </row>
    <row r="422" spans="18:18" ht="15.75" customHeight="1">
      <c r="R422" s="30"/>
    </row>
    <row r="423" spans="18:18" ht="15.75" customHeight="1">
      <c r="R423" s="30"/>
    </row>
    <row r="424" spans="18:18" ht="15.75" customHeight="1">
      <c r="R424" s="30"/>
    </row>
    <row r="425" spans="18:18" ht="15.75" customHeight="1">
      <c r="R425" s="30"/>
    </row>
    <row r="426" spans="18:18" ht="15.75" customHeight="1">
      <c r="R426" s="30"/>
    </row>
    <row r="427" spans="18:18" ht="15.75" customHeight="1">
      <c r="R427" s="30"/>
    </row>
    <row r="428" spans="18:18" ht="15.75" customHeight="1">
      <c r="R428" s="30"/>
    </row>
    <row r="429" spans="18:18" ht="15.75" customHeight="1">
      <c r="R429" s="30"/>
    </row>
    <row r="430" spans="18:18" ht="15.75" customHeight="1">
      <c r="R430" s="30"/>
    </row>
    <row r="431" spans="18:18" ht="15.75" customHeight="1">
      <c r="R431" s="30"/>
    </row>
    <row r="432" spans="18:18" ht="15.75" customHeight="1">
      <c r="R432" s="30"/>
    </row>
    <row r="433" spans="18:18" ht="15.75" customHeight="1">
      <c r="R433" s="30"/>
    </row>
    <row r="434" spans="18:18" ht="15.75" customHeight="1">
      <c r="R434" s="30"/>
    </row>
    <row r="435" spans="18:18" ht="15.75" customHeight="1">
      <c r="R435" s="30"/>
    </row>
    <row r="436" spans="18:18" ht="15.75" customHeight="1">
      <c r="R436" s="30"/>
    </row>
    <row r="437" spans="18:18" ht="15.75" customHeight="1">
      <c r="R437" s="30"/>
    </row>
    <row r="438" spans="18:18" ht="15.75" customHeight="1">
      <c r="R438" s="30"/>
    </row>
    <row r="439" spans="18:18" ht="15.75" customHeight="1">
      <c r="R439" s="30"/>
    </row>
    <row r="440" spans="18:18" ht="15.75" customHeight="1">
      <c r="R440" s="30"/>
    </row>
    <row r="441" spans="18:18" ht="15.75" customHeight="1">
      <c r="R441" s="30"/>
    </row>
    <row r="442" spans="18:18" ht="15.75" customHeight="1">
      <c r="R442" s="30"/>
    </row>
    <row r="443" spans="18:18" ht="15.75" customHeight="1">
      <c r="R443" s="30"/>
    </row>
    <row r="444" spans="18:18" ht="15.75" customHeight="1">
      <c r="R444" s="30"/>
    </row>
    <row r="445" spans="18:18" ht="15.75" customHeight="1">
      <c r="R445" s="30"/>
    </row>
    <row r="446" spans="18:18" ht="15.75" customHeight="1">
      <c r="R446" s="30"/>
    </row>
    <row r="447" spans="18:18" ht="15.75" customHeight="1">
      <c r="R447" s="30"/>
    </row>
    <row r="448" spans="18:18" ht="15.75" customHeight="1">
      <c r="R448" s="30"/>
    </row>
    <row r="449" spans="18:18" ht="15.75" customHeight="1">
      <c r="R449" s="30"/>
    </row>
    <row r="450" spans="18:18" ht="15.75" customHeight="1">
      <c r="R450" s="30"/>
    </row>
    <row r="451" spans="18:18" ht="15.75" customHeight="1">
      <c r="R451" s="30"/>
    </row>
    <row r="452" spans="18:18" ht="15.75" customHeight="1">
      <c r="R452" s="30"/>
    </row>
    <row r="453" spans="18:18" ht="15.75" customHeight="1">
      <c r="R453" s="30"/>
    </row>
    <row r="454" spans="18:18" ht="15.75" customHeight="1">
      <c r="R454" s="30"/>
    </row>
    <row r="455" spans="18:18" ht="15.75" customHeight="1">
      <c r="R455" s="30"/>
    </row>
    <row r="456" spans="18:18" ht="15.75" customHeight="1">
      <c r="R456" s="30"/>
    </row>
    <row r="457" spans="18:18" ht="15.75" customHeight="1">
      <c r="R457" s="30"/>
    </row>
    <row r="458" spans="18:18" ht="15.75" customHeight="1">
      <c r="R458" s="30"/>
    </row>
    <row r="459" spans="18:18" ht="15.75" customHeight="1">
      <c r="R459" s="30"/>
    </row>
    <row r="460" spans="18:18" ht="15.75" customHeight="1">
      <c r="R460" s="30"/>
    </row>
    <row r="461" spans="18:18" ht="15.75" customHeight="1">
      <c r="R461" s="30"/>
    </row>
    <row r="462" spans="18:18" ht="15.75" customHeight="1">
      <c r="R462" s="30"/>
    </row>
    <row r="463" spans="18:18" ht="15.75" customHeight="1">
      <c r="R463" s="30"/>
    </row>
    <row r="464" spans="18:18" ht="15.75" customHeight="1">
      <c r="R464" s="30"/>
    </row>
    <row r="465" spans="18:18" ht="15.75" customHeight="1">
      <c r="R465" s="30"/>
    </row>
    <row r="466" spans="18:18" ht="15.75" customHeight="1">
      <c r="R466" s="30"/>
    </row>
    <row r="467" spans="18:18" ht="15.75" customHeight="1">
      <c r="R467" s="30"/>
    </row>
    <row r="468" spans="18:18" ht="15.75" customHeight="1">
      <c r="R468" s="30"/>
    </row>
    <row r="469" spans="18:18" ht="15.75" customHeight="1">
      <c r="R469" s="30"/>
    </row>
    <row r="470" spans="18:18" ht="15.75" customHeight="1">
      <c r="R470" s="30"/>
    </row>
    <row r="471" spans="18:18" ht="15.75" customHeight="1">
      <c r="R471" s="30"/>
    </row>
    <row r="472" spans="18:18" ht="15.75" customHeight="1">
      <c r="R472" s="30"/>
    </row>
    <row r="473" spans="18:18" ht="15.75" customHeight="1">
      <c r="R473" s="30"/>
    </row>
    <row r="474" spans="18:18" ht="15.75" customHeight="1">
      <c r="R474" s="30"/>
    </row>
    <row r="475" spans="18:18" ht="15.75" customHeight="1">
      <c r="R475" s="30"/>
    </row>
    <row r="476" spans="18:18" ht="15.75" customHeight="1">
      <c r="R476" s="30"/>
    </row>
    <row r="477" spans="18:18" ht="15.75" customHeight="1">
      <c r="R477" s="30"/>
    </row>
    <row r="478" spans="18:18" ht="15.75" customHeight="1">
      <c r="R478" s="30"/>
    </row>
    <row r="479" spans="18:18" ht="15.75" customHeight="1">
      <c r="R479" s="30"/>
    </row>
    <row r="480" spans="18:18" ht="15.75" customHeight="1">
      <c r="R480" s="30"/>
    </row>
    <row r="481" spans="18:18" ht="15.75" customHeight="1">
      <c r="R481" s="30"/>
    </row>
    <row r="482" spans="18:18" ht="15.75" customHeight="1">
      <c r="R482" s="30"/>
    </row>
    <row r="483" spans="18:18" ht="15.75" customHeight="1">
      <c r="R483" s="30"/>
    </row>
    <row r="484" spans="18:18" ht="15.75" customHeight="1">
      <c r="R484" s="30"/>
    </row>
    <row r="485" spans="18:18" ht="15.75" customHeight="1">
      <c r="R485" s="30"/>
    </row>
    <row r="486" spans="18:18" ht="15.75" customHeight="1">
      <c r="R486" s="30"/>
    </row>
    <row r="487" spans="18:18" ht="15.75" customHeight="1">
      <c r="R487" s="30"/>
    </row>
    <row r="488" spans="18:18" ht="15.75" customHeight="1">
      <c r="R488" s="30"/>
    </row>
    <row r="489" spans="18:18" ht="15.75" customHeight="1">
      <c r="R489" s="30"/>
    </row>
    <row r="490" spans="18:18" ht="15.75" customHeight="1">
      <c r="R490" s="30"/>
    </row>
    <row r="491" spans="18:18" ht="15.75" customHeight="1">
      <c r="R491" s="30"/>
    </row>
    <row r="492" spans="18:18" ht="15.75" customHeight="1">
      <c r="R492" s="30"/>
    </row>
    <row r="493" spans="18:18" ht="15.75" customHeight="1">
      <c r="R493" s="30"/>
    </row>
    <row r="494" spans="18:18" ht="15.75" customHeight="1">
      <c r="R494" s="30"/>
    </row>
    <row r="495" spans="18:18" ht="15.75" customHeight="1">
      <c r="R495" s="30"/>
    </row>
    <row r="496" spans="18:18" ht="15.75" customHeight="1">
      <c r="R496" s="30"/>
    </row>
    <row r="497" spans="18:18" ht="15.75" customHeight="1">
      <c r="R497" s="30"/>
    </row>
    <row r="498" spans="18:18" ht="15.75" customHeight="1">
      <c r="R498" s="30"/>
    </row>
    <row r="499" spans="18:18" ht="15.75" customHeight="1">
      <c r="R499" s="30"/>
    </row>
    <row r="500" spans="18:18" ht="15.75" customHeight="1">
      <c r="R500" s="30"/>
    </row>
    <row r="501" spans="18:18" ht="15.75" customHeight="1">
      <c r="R501" s="30"/>
    </row>
    <row r="502" spans="18:18" ht="15.75" customHeight="1">
      <c r="R502" s="30"/>
    </row>
    <row r="503" spans="18:18" ht="15.75" customHeight="1">
      <c r="R503" s="30"/>
    </row>
    <row r="504" spans="18:18" ht="15.75" customHeight="1">
      <c r="R504" s="30"/>
    </row>
    <row r="505" spans="18:18" ht="15.75" customHeight="1">
      <c r="R505" s="30"/>
    </row>
    <row r="506" spans="18:18" ht="15.75" customHeight="1">
      <c r="R506" s="30"/>
    </row>
    <row r="507" spans="18:18" ht="15.75" customHeight="1">
      <c r="R507" s="30"/>
    </row>
    <row r="508" spans="18:18" ht="15.75" customHeight="1">
      <c r="R508" s="30"/>
    </row>
    <row r="509" spans="18:18" ht="15.75" customHeight="1">
      <c r="R509" s="30"/>
    </row>
    <row r="510" spans="18:18" ht="15.75" customHeight="1">
      <c r="R510" s="30"/>
    </row>
    <row r="511" spans="18:18" ht="15.75" customHeight="1">
      <c r="R511" s="30"/>
    </row>
    <row r="512" spans="18:18" ht="15.75" customHeight="1">
      <c r="R512" s="30"/>
    </row>
    <row r="513" spans="18:18" ht="15.75" customHeight="1">
      <c r="R513" s="30"/>
    </row>
    <row r="514" spans="18:18" ht="15.75" customHeight="1">
      <c r="R514" s="30"/>
    </row>
    <row r="515" spans="18:18" ht="15.75" customHeight="1">
      <c r="R515" s="30"/>
    </row>
    <row r="516" spans="18:18" ht="15.75" customHeight="1">
      <c r="R516" s="30"/>
    </row>
    <row r="517" spans="18:18" ht="15.75" customHeight="1">
      <c r="R517" s="30"/>
    </row>
    <row r="518" spans="18:18" ht="15.75" customHeight="1">
      <c r="R518" s="30"/>
    </row>
    <row r="519" spans="18:18" ht="15.75" customHeight="1">
      <c r="R519" s="30"/>
    </row>
    <row r="520" spans="18:18" ht="15.75" customHeight="1">
      <c r="R520" s="30"/>
    </row>
    <row r="521" spans="18:18" ht="15.75" customHeight="1">
      <c r="R521" s="30"/>
    </row>
    <row r="522" spans="18:18" ht="15.75" customHeight="1">
      <c r="R522" s="30"/>
    </row>
    <row r="523" spans="18:18" ht="15.75" customHeight="1">
      <c r="R523" s="30"/>
    </row>
    <row r="524" spans="18:18" ht="15.75" customHeight="1">
      <c r="R524" s="30"/>
    </row>
    <row r="525" spans="18:18" ht="15.75" customHeight="1">
      <c r="R525" s="30"/>
    </row>
    <row r="526" spans="18:18" ht="15.75" customHeight="1">
      <c r="R526" s="30"/>
    </row>
    <row r="527" spans="18:18" ht="15.75" customHeight="1">
      <c r="R527" s="30"/>
    </row>
    <row r="528" spans="18:18" ht="15.75" customHeight="1">
      <c r="R528" s="30"/>
    </row>
    <row r="529" spans="18:18" ht="15.75" customHeight="1">
      <c r="R529" s="30"/>
    </row>
    <row r="530" spans="18:18" ht="15.75" customHeight="1">
      <c r="R530" s="30"/>
    </row>
    <row r="531" spans="18:18" ht="15.75" customHeight="1">
      <c r="R531" s="30"/>
    </row>
    <row r="532" spans="18:18" ht="15.75" customHeight="1">
      <c r="R532" s="30"/>
    </row>
    <row r="533" spans="18:18" ht="15.75" customHeight="1">
      <c r="R533" s="30"/>
    </row>
    <row r="534" spans="18:18" ht="15.75" customHeight="1">
      <c r="R534" s="30"/>
    </row>
    <row r="535" spans="18:18" ht="15.75" customHeight="1">
      <c r="R535" s="30"/>
    </row>
    <row r="536" spans="18:18" ht="15.75" customHeight="1">
      <c r="R536" s="30"/>
    </row>
    <row r="537" spans="18:18" ht="15.75" customHeight="1">
      <c r="R537" s="30"/>
    </row>
    <row r="538" spans="18:18" ht="15.75" customHeight="1">
      <c r="R538" s="30"/>
    </row>
    <row r="539" spans="18:18" ht="15.75" customHeight="1">
      <c r="R539" s="30"/>
    </row>
    <row r="540" spans="18:18" ht="15.75" customHeight="1">
      <c r="R540" s="30"/>
    </row>
    <row r="541" spans="18:18" ht="15.75" customHeight="1">
      <c r="R541" s="30"/>
    </row>
    <row r="542" spans="18:18" ht="15.75" customHeight="1">
      <c r="R542" s="30"/>
    </row>
    <row r="543" spans="18:18" ht="15.75" customHeight="1">
      <c r="R543" s="30"/>
    </row>
    <row r="544" spans="18:18" ht="15.75" customHeight="1">
      <c r="R544" s="30"/>
    </row>
    <row r="545" spans="18:18" ht="15.75" customHeight="1">
      <c r="R545" s="30"/>
    </row>
    <row r="546" spans="18:18" ht="15.75" customHeight="1">
      <c r="R546" s="30"/>
    </row>
    <row r="547" spans="18:18" ht="15.75" customHeight="1">
      <c r="R547" s="30"/>
    </row>
    <row r="548" spans="18:18" ht="15.75" customHeight="1">
      <c r="R548" s="30"/>
    </row>
    <row r="549" spans="18:18" ht="15.75" customHeight="1">
      <c r="R549" s="30"/>
    </row>
    <row r="550" spans="18:18" ht="15.75" customHeight="1">
      <c r="R550" s="30"/>
    </row>
    <row r="551" spans="18:18" ht="15.75" customHeight="1">
      <c r="R551" s="30"/>
    </row>
    <row r="552" spans="18:18" ht="15.75" customHeight="1">
      <c r="R552" s="30"/>
    </row>
    <row r="553" spans="18:18" ht="15.75" customHeight="1">
      <c r="R553" s="30"/>
    </row>
    <row r="554" spans="18:18" ht="15.75" customHeight="1">
      <c r="R554" s="30"/>
    </row>
    <row r="555" spans="18:18" ht="15.75" customHeight="1">
      <c r="R555" s="30"/>
    </row>
    <row r="556" spans="18:18" ht="15.75" customHeight="1">
      <c r="R556" s="30"/>
    </row>
    <row r="557" spans="18:18" ht="15.75" customHeight="1">
      <c r="R557" s="30"/>
    </row>
    <row r="558" spans="18:18" ht="15.75" customHeight="1">
      <c r="R558" s="30"/>
    </row>
    <row r="559" spans="18:18" ht="15.75" customHeight="1">
      <c r="R559" s="30"/>
    </row>
    <row r="560" spans="18:18" ht="15.75" customHeight="1">
      <c r="R560" s="30"/>
    </row>
    <row r="561" spans="18:18" ht="15.75" customHeight="1">
      <c r="R561" s="30"/>
    </row>
    <row r="562" spans="18:18" ht="15.75" customHeight="1">
      <c r="R562" s="30"/>
    </row>
    <row r="563" spans="18:18" ht="15.75" customHeight="1">
      <c r="R563" s="30"/>
    </row>
    <row r="564" spans="18:18" ht="15.75" customHeight="1">
      <c r="R564" s="30"/>
    </row>
    <row r="565" spans="18:18" ht="15.75" customHeight="1">
      <c r="R565" s="30"/>
    </row>
    <row r="566" spans="18:18" ht="15.75" customHeight="1">
      <c r="R566" s="30"/>
    </row>
    <row r="567" spans="18:18" ht="15.75" customHeight="1">
      <c r="R567" s="30"/>
    </row>
    <row r="568" spans="18:18" ht="15.75" customHeight="1">
      <c r="R568" s="30"/>
    </row>
    <row r="569" spans="18:18" ht="15.75" customHeight="1">
      <c r="R569" s="30"/>
    </row>
    <row r="570" spans="18:18" ht="15.75" customHeight="1">
      <c r="R570" s="30"/>
    </row>
    <row r="571" spans="18:18" ht="15.75" customHeight="1">
      <c r="R571" s="30"/>
    </row>
    <row r="572" spans="18:18" ht="15.75" customHeight="1">
      <c r="R572" s="30"/>
    </row>
    <row r="573" spans="18:18" ht="15.75" customHeight="1">
      <c r="R573" s="30"/>
    </row>
    <row r="574" spans="18:18" ht="15.75" customHeight="1">
      <c r="R574" s="30"/>
    </row>
    <row r="575" spans="18:18" ht="15.75" customHeight="1">
      <c r="R575" s="30"/>
    </row>
    <row r="576" spans="18:18" ht="15.75" customHeight="1">
      <c r="R576" s="30"/>
    </row>
    <row r="577" spans="18:18" ht="15.75" customHeight="1">
      <c r="R577" s="30"/>
    </row>
    <row r="578" spans="18:18" ht="15.75" customHeight="1">
      <c r="R578" s="30"/>
    </row>
    <row r="579" spans="18:18" ht="15.75" customHeight="1">
      <c r="R579" s="30"/>
    </row>
    <row r="580" spans="18:18" ht="15.75" customHeight="1">
      <c r="R580" s="30"/>
    </row>
    <row r="581" spans="18:18" ht="15.75" customHeight="1">
      <c r="R581" s="30"/>
    </row>
    <row r="582" spans="18:18" ht="15.75" customHeight="1">
      <c r="R582" s="30"/>
    </row>
    <row r="583" spans="18:18" ht="15.75" customHeight="1">
      <c r="R583" s="30"/>
    </row>
    <row r="584" spans="18:18" ht="15.75" customHeight="1">
      <c r="R584" s="30"/>
    </row>
    <row r="585" spans="18:18" ht="15.75" customHeight="1">
      <c r="R585" s="30"/>
    </row>
    <row r="586" spans="18:18" ht="15.75" customHeight="1">
      <c r="R586" s="30"/>
    </row>
    <row r="587" spans="18:18" ht="15.75" customHeight="1">
      <c r="R587" s="30"/>
    </row>
    <row r="588" spans="18:18" ht="15.75" customHeight="1">
      <c r="R588" s="30"/>
    </row>
    <row r="589" spans="18:18" ht="15.75" customHeight="1">
      <c r="R589" s="30"/>
    </row>
    <row r="590" spans="18:18" ht="15.75" customHeight="1">
      <c r="R590" s="30"/>
    </row>
    <row r="591" spans="18:18" ht="15.75" customHeight="1">
      <c r="R591" s="30"/>
    </row>
    <row r="592" spans="18:18" ht="15.75" customHeight="1">
      <c r="R592" s="30"/>
    </row>
    <row r="593" spans="18:18" ht="15.75" customHeight="1">
      <c r="R593" s="30"/>
    </row>
    <row r="594" spans="18:18" ht="15.75" customHeight="1">
      <c r="R594" s="30"/>
    </row>
    <row r="595" spans="18:18" ht="15.75" customHeight="1">
      <c r="R595" s="30"/>
    </row>
    <row r="596" spans="18:18" ht="15.75" customHeight="1">
      <c r="R596" s="30"/>
    </row>
    <row r="597" spans="18:18" ht="15.75" customHeight="1">
      <c r="R597" s="30"/>
    </row>
    <row r="598" spans="18:18" ht="15.75" customHeight="1">
      <c r="R598" s="30"/>
    </row>
    <row r="599" spans="18:18" ht="15.75" customHeight="1">
      <c r="R599" s="30"/>
    </row>
    <row r="600" spans="18:18" ht="15.75" customHeight="1">
      <c r="R600" s="30"/>
    </row>
    <row r="601" spans="18:18" ht="15.75" customHeight="1">
      <c r="R601" s="30"/>
    </row>
    <row r="602" spans="18:18" ht="15.75" customHeight="1">
      <c r="R602" s="30"/>
    </row>
    <row r="603" spans="18:18" ht="15.75" customHeight="1">
      <c r="R603" s="30"/>
    </row>
    <row r="604" spans="18:18" ht="15.75" customHeight="1">
      <c r="R604" s="30"/>
    </row>
    <row r="605" spans="18:18" ht="15.75" customHeight="1">
      <c r="R605" s="30"/>
    </row>
    <row r="606" spans="18:18" ht="15.75" customHeight="1">
      <c r="R606" s="30"/>
    </row>
    <row r="607" spans="18:18" ht="15.75" customHeight="1">
      <c r="R607" s="30"/>
    </row>
    <row r="608" spans="18:18" ht="15.75" customHeight="1">
      <c r="R608" s="30"/>
    </row>
    <row r="609" spans="18:18" ht="15.75" customHeight="1">
      <c r="R609" s="30"/>
    </row>
    <row r="610" spans="18:18" ht="15.75" customHeight="1">
      <c r="R610" s="30"/>
    </row>
    <row r="611" spans="18:18" ht="15.75" customHeight="1">
      <c r="R611" s="30"/>
    </row>
    <row r="612" spans="18:18" ht="15.75" customHeight="1">
      <c r="R612" s="30"/>
    </row>
    <row r="613" spans="18:18" ht="15.75" customHeight="1">
      <c r="R613" s="30"/>
    </row>
    <row r="614" spans="18:18" ht="15.75" customHeight="1">
      <c r="R614" s="30"/>
    </row>
    <row r="615" spans="18:18" ht="15.75" customHeight="1">
      <c r="R615" s="30"/>
    </row>
    <row r="616" spans="18:18" ht="15.75" customHeight="1">
      <c r="R616" s="30"/>
    </row>
    <row r="617" spans="18:18" ht="15.75" customHeight="1">
      <c r="R617" s="30"/>
    </row>
    <row r="618" spans="18:18" ht="15.75" customHeight="1">
      <c r="R618" s="30"/>
    </row>
    <row r="619" spans="18:18" ht="15.75" customHeight="1">
      <c r="R619" s="30"/>
    </row>
    <row r="620" spans="18:18" ht="15.75" customHeight="1">
      <c r="R620" s="30"/>
    </row>
    <row r="621" spans="18:18" ht="15.75" customHeight="1">
      <c r="R621" s="30"/>
    </row>
    <row r="622" spans="18:18" ht="15.75" customHeight="1">
      <c r="R622" s="30"/>
    </row>
    <row r="623" spans="18:18" ht="15.75" customHeight="1">
      <c r="R623" s="30"/>
    </row>
    <row r="624" spans="18:18" ht="15.75" customHeight="1">
      <c r="R624" s="30"/>
    </row>
    <row r="625" spans="18:18" ht="15.75" customHeight="1">
      <c r="R625" s="30"/>
    </row>
    <row r="626" spans="18:18" ht="15.75" customHeight="1">
      <c r="R626" s="30"/>
    </row>
    <row r="627" spans="18:18" ht="15.75" customHeight="1">
      <c r="R627" s="30"/>
    </row>
    <row r="628" spans="18:18" ht="15.75" customHeight="1">
      <c r="R628" s="30"/>
    </row>
    <row r="629" spans="18:18" ht="15.75" customHeight="1">
      <c r="R629" s="30"/>
    </row>
    <row r="630" spans="18:18" ht="15.75" customHeight="1">
      <c r="R630" s="30"/>
    </row>
    <row r="631" spans="18:18" ht="15.75" customHeight="1">
      <c r="R631" s="30"/>
    </row>
    <row r="632" spans="18:18" ht="15.75" customHeight="1">
      <c r="R632" s="30"/>
    </row>
    <row r="633" spans="18:18" ht="15.75" customHeight="1">
      <c r="R633" s="30"/>
    </row>
    <row r="634" spans="18:18" ht="15.75" customHeight="1">
      <c r="R634" s="30"/>
    </row>
    <row r="635" spans="18:18" ht="15.75" customHeight="1">
      <c r="R635" s="30"/>
    </row>
    <row r="636" spans="18:18" ht="15.75" customHeight="1">
      <c r="R636" s="30"/>
    </row>
    <row r="637" spans="18:18" ht="15.75" customHeight="1">
      <c r="R637" s="30"/>
    </row>
    <row r="638" spans="18:18" ht="15.75" customHeight="1">
      <c r="R638" s="30"/>
    </row>
    <row r="639" spans="18:18" ht="15.75" customHeight="1">
      <c r="R639" s="30"/>
    </row>
    <row r="640" spans="18:18" ht="15.75" customHeight="1">
      <c r="R640" s="30"/>
    </row>
    <row r="641" spans="18:18" ht="15.75" customHeight="1">
      <c r="R641" s="30"/>
    </row>
    <row r="642" spans="18:18" ht="15.75" customHeight="1">
      <c r="R642" s="30"/>
    </row>
    <row r="643" spans="18:18" ht="15.75" customHeight="1">
      <c r="R643" s="30"/>
    </row>
    <row r="644" spans="18:18" ht="15.75" customHeight="1">
      <c r="R644" s="30"/>
    </row>
    <row r="645" spans="18:18" ht="15.75" customHeight="1">
      <c r="R645" s="30"/>
    </row>
    <row r="646" spans="18:18" ht="15.75" customHeight="1">
      <c r="R646" s="30"/>
    </row>
    <row r="647" spans="18:18" ht="15.75" customHeight="1">
      <c r="R647" s="30"/>
    </row>
    <row r="648" spans="18:18" ht="15.75" customHeight="1">
      <c r="R648" s="30"/>
    </row>
    <row r="649" spans="18:18" ht="15.75" customHeight="1">
      <c r="R649" s="30"/>
    </row>
    <row r="650" spans="18:18" ht="15.75" customHeight="1">
      <c r="R650" s="30"/>
    </row>
    <row r="651" spans="18:18" ht="15.75" customHeight="1">
      <c r="R651" s="30"/>
    </row>
    <row r="652" spans="18:18" ht="15.75" customHeight="1">
      <c r="R652" s="30"/>
    </row>
    <row r="653" spans="18:18" ht="15.75" customHeight="1">
      <c r="R653" s="30"/>
    </row>
    <row r="654" spans="18:18" ht="15.75" customHeight="1">
      <c r="R654" s="30"/>
    </row>
    <row r="655" spans="18:18" ht="15.75" customHeight="1">
      <c r="R655" s="30"/>
    </row>
    <row r="656" spans="18:18" ht="15.75" customHeight="1">
      <c r="R656" s="30"/>
    </row>
    <row r="657" spans="18:18" ht="15.75" customHeight="1">
      <c r="R657" s="30"/>
    </row>
    <row r="658" spans="18:18" ht="15.75" customHeight="1">
      <c r="R658" s="30"/>
    </row>
    <row r="659" spans="18:18" ht="15.75" customHeight="1">
      <c r="R659" s="30"/>
    </row>
    <row r="660" spans="18:18" ht="15.75" customHeight="1">
      <c r="R660" s="30"/>
    </row>
    <row r="661" spans="18:18" ht="15.75" customHeight="1">
      <c r="R661" s="30"/>
    </row>
    <row r="662" spans="18:18" ht="15.75" customHeight="1">
      <c r="R662" s="30"/>
    </row>
    <row r="663" spans="18:18" ht="15.75" customHeight="1">
      <c r="R663" s="30"/>
    </row>
    <row r="664" spans="18:18" ht="15.75" customHeight="1">
      <c r="R664" s="30"/>
    </row>
    <row r="665" spans="18:18" ht="15.75" customHeight="1">
      <c r="R665" s="30"/>
    </row>
    <row r="666" spans="18:18" ht="15.75" customHeight="1">
      <c r="R666" s="30"/>
    </row>
    <row r="667" spans="18:18" ht="15.75" customHeight="1">
      <c r="R667" s="30"/>
    </row>
    <row r="668" spans="18:18" ht="15.75" customHeight="1">
      <c r="R668" s="30"/>
    </row>
    <row r="669" spans="18:18" ht="15.75" customHeight="1">
      <c r="R669" s="30"/>
    </row>
    <row r="670" spans="18:18" ht="15.75" customHeight="1">
      <c r="R670" s="30"/>
    </row>
    <row r="671" spans="18:18" ht="15.75" customHeight="1">
      <c r="R671" s="30"/>
    </row>
    <row r="672" spans="18:18" ht="15.75" customHeight="1">
      <c r="R672" s="30"/>
    </row>
    <row r="673" spans="18:18" ht="15.75" customHeight="1">
      <c r="R673" s="30"/>
    </row>
    <row r="674" spans="18:18" ht="15.75" customHeight="1">
      <c r="R674" s="30"/>
    </row>
    <row r="675" spans="18:18" ht="15.75" customHeight="1">
      <c r="R675" s="30"/>
    </row>
    <row r="676" spans="18:18" ht="15.75" customHeight="1">
      <c r="R676" s="30"/>
    </row>
    <row r="677" spans="18:18" ht="15.75" customHeight="1">
      <c r="R677" s="30"/>
    </row>
    <row r="678" spans="18:18" ht="15.75" customHeight="1">
      <c r="R678" s="30"/>
    </row>
    <row r="679" spans="18:18" ht="15.75" customHeight="1">
      <c r="R679" s="30"/>
    </row>
    <row r="680" spans="18:18" ht="15.75" customHeight="1">
      <c r="R680" s="30"/>
    </row>
    <row r="681" spans="18:18" ht="15.75" customHeight="1">
      <c r="R681" s="30"/>
    </row>
    <row r="682" spans="18:18" ht="15.75" customHeight="1">
      <c r="R682" s="30"/>
    </row>
    <row r="683" spans="18:18" ht="15.75" customHeight="1">
      <c r="R683" s="30"/>
    </row>
    <row r="684" spans="18:18" ht="15.75" customHeight="1">
      <c r="R684" s="30"/>
    </row>
    <row r="685" spans="18:18" ht="15.75" customHeight="1">
      <c r="R685" s="30"/>
    </row>
    <row r="686" spans="18:18" ht="15.75" customHeight="1">
      <c r="R686" s="30"/>
    </row>
    <row r="687" spans="18:18" ht="15.75" customHeight="1">
      <c r="R687" s="30"/>
    </row>
    <row r="688" spans="18:18" ht="15.75" customHeight="1">
      <c r="R688" s="30"/>
    </row>
    <row r="689" spans="18:18" ht="15.75" customHeight="1">
      <c r="R689" s="30"/>
    </row>
    <row r="690" spans="18:18" ht="15.75" customHeight="1">
      <c r="R690" s="30"/>
    </row>
    <row r="691" spans="18:18" ht="15.75" customHeight="1">
      <c r="R691" s="30"/>
    </row>
    <row r="692" spans="18:18" ht="15.75" customHeight="1">
      <c r="R692" s="30"/>
    </row>
    <row r="693" spans="18:18" ht="15.75" customHeight="1">
      <c r="R693" s="30"/>
    </row>
    <row r="694" spans="18:18" ht="15.75" customHeight="1">
      <c r="R694" s="30"/>
    </row>
    <row r="695" spans="18:18" ht="15.75" customHeight="1">
      <c r="R695" s="30"/>
    </row>
    <row r="696" spans="18:18" ht="15.75" customHeight="1">
      <c r="R696" s="30"/>
    </row>
    <row r="697" spans="18:18" ht="15.75" customHeight="1">
      <c r="R697" s="30"/>
    </row>
    <row r="698" spans="18:18" ht="15.75" customHeight="1">
      <c r="R698" s="30"/>
    </row>
    <row r="699" spans="18:18" ht="15.75" customHeight="1">
      <c r="R699" s="30"/>
    </row>
    <row r="700" spans="18:18" ht="15.75" customHeight="1">
      <c r="R700" s="30"/>
    </row>
    <row r="701" spans="18:18" ht="15.75" customHeight="1">
      <c r="R701" s="30"/>
    </row>
    <row r="702" spans="18:18" ht="15.75" customHeight="1">
      <c r="R702" s="30"/>
    </row>
    <row r="703" spans="18:18" ht="15.75" customHeight="1">
      <c r="R703" s="30"/>
    </row>
    <row r="704" spans="18:18" ht="15.75" customHeight="1">
      <c r="R704" s="30"/>
    </row>
    <row r="705" spans="18:18" ht="15.75" customHeight="1">
      <c r="R705" s="30"/>
    </row>
    <row r="706" spans="18:18" ht="15.75" customHeight="1">
      <c r="R706" s="30"/>
    </row>
    <row r="707" spans="18:18" ht="15.75" customHeight="1">
      <c r="R707" s="30"/>
    </row>
    <row r="708" spans="18:18" ht="15.75" customHeight="1">
      <c r="R708" s="30"/>
    </row>
    <row r="709" spans="18:18" ht="15.75" customHeight="1">
      <c r="R709" s="30"/>
    </row>
    <row r="710" spans="18:18" ht="15.75" customHeight="1">
      <c r="R710" s="30"/>
    </row>
    <row r="711" spans="18:18" ht="15.75" customHeight="1">
      <c r="R711" s="30"/>
    </row>
    <row r="712" spans="18:18" ht="15.75" customHeight="1">
      <c r="R712" s="30"/>
    </row>
    <row r="713" spans="18:18" ht="15.75" customHeight="1">
      <c r="R713" s="30"/>
    </row>
    <row r="714" spans="18:18" ht="15.75" customHeight="1">
      <c r="R714" s="30"/>
    </row>
    <row r="715" spans="18:18" ht="15.75" customHeight="1">
      <c r="R715" s="30"/>
    </row>
    <row r="716" spans="18:18" ht="15.75" customHeight="1">
      <c r="R716" s="30"/>
    </row>
    <row r="717" spans="18:18" ht="15.75" customHeight="1">
      <c r="R717" s="30"/>
    </row>
    <row r="718" spans="18:18" ht="15.75" customHeight="1">
      <c r="R718" s="30"/>
    </row>
    <row r="719" spans="18:18" ht="15.75" customHeight="1">
      <c r="R719" s="30"/>
    </row>
    <row r="720" spans="18:18" ht="15.75" customHeight="1">
      <c r="R720" s="30"/>
    </row>
    <row r="721" spans="18:18" ht="15.75" customHeight="1">
      <c r="R721" s="30"/>
    </row>
    <row r="722" spans="18:18" ht="15.75" customHeight="1">
      <c r="R722" s="30"/>
    </row>
    <row r="723" spans="18:18" ht="15.75" customHeight="1">
      <c r="R723" s="30"/>
    </row>
    <row r="724" spans="18:18" ht="15.75" customHeight="1">
      <c r="R724" s="30"/>
    </row>
    <row r="725" spans="18:18" ht="15.75" customHeight="1">
      <c r="R725" s="30"/>
    </row>
    <row r="726" spans="18:18" ht="15.75" customHeight="1">
      <c r="R726" s="30"/>
    </row>
    <row r="727" spans="18:18" ht="15.75" customHeight="1">
      <c r="R727" s="30"/>
    </row>
    <row r="728" spans="18:18" ht="15.75" customHeight="1">
      <c r="R728" s="30"/>
    </row>
    <row r="729" spans="18:18" ht="15.75" customHeight="1">
      <c r="R729" s="30"/>
    </row>
    <row r="730" spans="18:18" ht="15.75" customHeight="1">
      <c r="R730" s="30"/>
    </row>
    <row r="731" spans="18:18" ht="15.75" customHeight="1">
      <c r="R731" s="30"/>
    </row>
    <row r="732" spans="18:18" ht="15.75" customHeight="1">
      <c r="R732" s="30"/>
    </row>
    <row r="733" spans="18:18" ht="15.75" customHeight="1">
      <c r="R733" s="30"/>
    </row>
    <row r="734" spans="18:18" ht="15.75" customHeight="1">
      <c r="R734" s="30"/>
    </row>
    <row r="735" spans="18:18" ht="15.75" customHeight="1">
      <c r="R735" s="30"/>
    </row>
    <row r="736" spans="18:18" ht="15.75" customHeight="1">
      <c r="R736" s="30"/>
    </row>
    <row r="737" spans="18:18" ht="15.75" customHeight="1">
      <c r="R737" s="30"/>
    </row>
    <row r="738" spans="18:18" ht="15.75" customHeight="1">
      <c r="R738" s="30"/>
    </row>
    <row r="739" spans="18:18" ht="15.75" customHeight="1">
      <c r="R739" s="30"/>
    </row>
    <row r="740" spans="18:18" ht="15.75" customHeight="1">
      <c r="R740" s="30"/>
    </row>
    <row r="741" spans="18:18" ht="15.75" customHeight="1">
      <c r="R741" s="30"/>
    </row>
    <row r="742" spans="18:18" ht="15.75" customHeight="1">
      <c r="R742" s="30"/>
    </row>
    <row r="743" spans="18:18" ht="15.75" customHeight="1">
      <c r="R743" s="30"/>
    </row>
    <row r="744" spans="18:18" ht="15.75" customHeight="1">
      <c r="R744" s="30"/>
    </row>
    <row r="745" spans="18:18" ht="15.75" customHeight="1">
      <c r="R745" s="30"/>
    </row>
    <row r="746" spans="18:18" ht="15.75" customHeight="1">
      <c r="R746" s="30"/>
    </row>
    <row r="747" spans="18:18" ht="15.75" customHeight="1">
      <c r="R747" s="30"/>
    </row>
    <row r="748" spans="18:18" ht="15.75" customHeight="1">
      <c r="R748" s="30"/>
    </row>
    <row r="749" spans="18:18" ht="15.75" customHeight="1">
      <c r="R749" s="30"/>
    </row>
    <row r="750" spans="18:18" ht="15.75" customHeight="1">
      <c r="R750" s="30"/>
    </row>
    <row r="751" spans="18:18" ht="15.75" customHeight="1">
      <c r="R751" s="30"/>
    </row>
    <row r="752" spans="18:18" ht="15.75" customHeight="1">
      <c r="R752" s="30"/>
    </row>
    <row r="753" spans="18:18" ht="15.75" customHeight="1">
      <c r="R753" s="30"/>
    </row>
    <row r="754" spans="18:18" ht="15.75" customHeight="1">
      <c r="R754" s="30"/>
    </row>
    <row r="755" spans="18:18" ht="15.75" customHeight="1">
      <c r="R755" s="30"/>
    </row>
    <row r="756" spans="18:18" ht="15.75" customHeight="1">
      <c r="R756" s="30"/>
    </row>
    <row r="757" spans="18:18" ht="15.75" customHeight="1">
      <c r="R757" s="30"/>
    </row>
    <row r="758" spans="18:18" ht="15.75" customHeight="1">
      <c r="R758" s="30"/>
    </row>
    <row r="759" spans="18:18" ht="15.75" customHeight="1">
      <c r="R759" s="30"/>
    </row>
    <row r="760" spans="18:18" ht="15.75" customHeight="1">
      <c r="R760" s="30"/>
    </row>
    <row r="761" spans="18:18" ht="15.75" customHeight="1">
      <c r="R761" s="30"/>
    </row>
    <row r="762" spans="18:18" ht="15.75" customHeight="1">
      <c r="R762" s="30"/>
    </row>
    <row r="763" spans="18:18" ht="15.75" customHeight="1">
      <c r="R763" s="30"/>
    </row>
    <row r="764" spans="18:18" ht="15.75" customHeight="1">
      <c r="R764" s="30"/>
    </row>
    <row r="765" spans="18:18" ht="15.75" customHeight="1">
      <c r="R765" s="30"/>
    </row>
    <row r="766" spans="18:18" ht="15.75" customHeight="1">
      <c r="R766" s="30"/>
    </row>
    <row r="767" spans="18:18" ht="15.75" customHeight="1">
      <c r="R767" s="30"/>
    </row>
    <row r="768" spans="18:18" ht="15.75" customHeight="1">
      <c r="R768" s="30"/>
    </row>
    <row r="769" spans="18:18" ht="15.75" customHeight="1">
      <c r="R769" s="30"/>
    </row>
    <row r="770" spans="18:18" ht="15.75" customHeight="1">
      <c r="R770" s="30"/>
    </row>
    <row r="771" spans="18:18" ht="15.75" customHeight="1">
      <c r="R771" s="30"/>
    </row>
    <row r="772" spans="18:18" ht="15.75" customHeight="1">
      <c r="R772" s="30"/>
    </row>
    <row r="773" spans="18:18" ht="15.75" customHeight="1">
      <c r="R773" s="30"/>
    </row>
    <row r="774" spans="18:18" ht="15.75" customHeight="1">
      <c r="R774" s="30"/>
    </row>
    <row r="775" spans="18:18" ht="15.75" customHeight="1">
      <c r="R775" s="30"/>
    </row>
    <row r="776" spans="18:18" ht="15.75" customHeight="1">
      <c r="R776" s="30"/>
    </row>
    <row r="777" spans="18:18" ht="15.75" customHeight="1">
      <c r="R777" s="30"/>
    </row>
    <row r="778" spans="18:18" ht="15.75" customHeight="1">
      <c r="R778" s="30"/>
    </row>
    <row r="779" spans="18:18" ht="15.75" customHeight="1">
      <c r="R779" s="30"/>
    </row>
    <row r="780" spans="18:18" ht="15.75" customHeight="1">
      <c r="R780" s="30"/>
    </row>
    <row r="781" spans="18:18" ht="15.75" customHeight="1">
      <c r="R781" s="30"/>
    </row>
    <row r="782" spans="18:18" ht="15.75" customHeight="1">
      <c r="R782" s="30"/>
    </row>
    <row r="783" spans="18:18" ht="15.75" customHeight="1">
      <c r="R783" s="30"/>
    </row>
    <row r="784" spans="18:18" ht="15.75" customHeight="1">
      <c r="R784" s="30"/>
    </row>
    <row r="785" spans="18:18" ht="15.75" customHeight="1">
      <c r="R785" s="30"/>
    </row>
    <row r="786" spans="18:18" ht="15.75" customHeight="1">
      <c r="R786" s="30"/>
    </row>
    <row r="787" spans="18:18" ht="15.75" customHeight="1">
      <c r="R787" s="30"/>
    </row>
    <row r="788" spans="18:18" ht="15.75" customHeight="1">
      <c r="R788" s="30"/>
    </row>
    <row r="789" spans="18:18" ht="15.75" customHeight="1">
      <c r="R789" s="30"/>
    </row>
    <row r="790" spans="18:18" ht="15.75" customHeight="1">
      <c r="R790" s="30"/>
    </row>
    <row r="791" spans="18:18" ht="15.75" customHeight="1">
      <c r="R791" s="30"/>
    </row>
    <row r="792" spans="18:18" ht="15.75" customHeight="1">
      <c r="R792" s="30"/>
    </row>
    <row r="793" spans="18:18" ht="15.75" customHeight="1">
      <c r="R793" s="30"/>
    </row>
    <row r="794" spans="18:18" ht="15.75" customHeight="1">
      <c r="R794" s="30"/>
    </row>
    <row r="795" spans="18:18" ht="15.75" customHeight="1">
      <c r="R795" s="30"/>
    </row>
    <row r="796" spans="18:18" ht="15.75" customHeight="1">
      <c r="R796" s="30"/>
    </row>
    <row r="797" spans="18:18" ht="15.75" customHeight="1">
      <c r="R797" s="30"/>
    </row>
    <row r="798" spans="18:18" ht="15.75" customHeight="1">
      <c r="R798" s="30"/>
    </row>
    <row r="799" spans="18:18" ht="15.75" customHeight="1">
      <c r="R799" s="30"/>
    </row>
    <row r="800" spans="18:18" ht="15.75" customHeight="1">
      <c r="R800" s="30"/>
    </row>
    <row r="801" spans="18:18" ht="15.75" customHeight="1">
      <c r="R801" s="30"/>
    </row>
    <row r="802" spans="18:18" ht="15.75" customHeight="1">
      <c r="R802" s="30"/>
    </row>
    <row r="803" spans="18:18" ht="15.75" customHeight="1">
      <c r="R803" s="30"/>
    </row>
    <row r="804" spans="18:18" ht="15.75" customHeight="1">
      <c r="R804" s="30"/>
    </row>
    <row r="805" spans="18:18" ht="15.75" customHeight="1">
      <c r="R805" s="30"/>
    </row>
    <row r="806" spans="18:18" ht="15.75" customHeight="1">
      <c r="R806" s="30"/>
    </row>
    <row r="807" spans="18:18" ht="15.75" customHeight="1">
      <c r="R807" s="30"/>
    </row>
    <row r="808" spans="18:18" ht="15.75" customHeight="1">
      <c r="R808" s="30"/>
    </row>
    <row r="809" spans="18:18" ht="15.75" customHeight="1">
      <c r="R809" s="30"/>
    </row>
    <row r="810" spans="18:18" ht="15.75" customHeight="1">
      <c r="R810" s="30"/>
    </row>
    <row r="811" spans="18:18" ht="15.75" customHeight="1">
      <c r="R811" s="30"/>
    </row>
    <row r="812" spans="18:18" ht="15.75" customHeight="1">
      <c r="R812" s="30"/>
    </row>
    <row r="813" spans="18:18" ht="15.75" customHeight="1">
      <c r="R813" s="30"/>
    </row>
    <row r="814" spans="18:18" ht="15.75" customHeight="1">
      <c r="R814" s="30"/>
    </row>
    <row r="815" spans="18:18" ht="15.75" customHeight="1">
      <c r="R815" s="30"/>
    </row>
    <row r="816" spans="18:18" ht="15.75" customHeight="1">
      <c r="R816" s="30"/>
    </row>
    <row r="817" spans="18:18" ht="15.75" customHeight="1">
      <c r="R817" s="30"/>
    </row>
    <row r="818" spans="18:18" ht="15.75" customHeight="1">
      <c r="R818" s="30"/>
    </row>
    <row r="819" spans="18:18" ht="15.75" customHeight="1">
      <c r="R819" s="30"/>
    </row>
    <row r="820" spans="18:18" ht="15.75" customHeight="1">
      <c r="R820" s="30"/>
    </row>
    <row r="821" spans="18:18" ht="15.75" customHeight="1">
      <c r="R821" s="30"/>
    </row>
    <row r="822" spans="18:18" ht="15.75" customHeight="1">
      <c r="R822" s="30"/>
    </row>
    <row r="823" spans="18:18" ht="15.75" customHeight="1">
      <c r="R823" s="30"/>
    </row>
    <row r="824" spans="18:18" ht="15.75" customHeight="1">
      <c r="R824" s="30"/>
    </row>
    <row r="825" spans="18:18" ht="15.75" customHeight="1">
      <c r="R825" s="30"/>
    </row>
    <row r="826" spans="18:18" ht="15.75" customHeight="1">
      <c r="R826" s="30"/>
    </row>
    <row r="827" spans="18:18" ht="15.75" customHeight="1">
      <c r="R827" s="30"/>
    </row>
    <row r="828" spans="18:18" ht="15.75" customHeight="1">
      <c r="R828" s="30"/>
    </row>
    <row r="829" spans="18:18" ht="15.75" customHeight="1">
      <c r="R829" s="30"/>
    </row>
    <row r="830" spans="18:18" ht="15.75" customHeight="1">
      <c r="R830" s="30"/>
    </row>
    <row r="831" spans="18:18" ht="15.75" customHeight="1">
      <c r="R831" s="30"/>
    </row>
    <row r="832" spans="18:18" ht="15.75" customHeight="1">
      <c r="R832" s="30"/>
    </row>
    <row r="833" spans="18:18" ht="15.75" customHeight="1">
      <c r="R833" s="30"/>
    </row>
    <row r="834" spans="18:18" ht="15.75" customHeight="1">
      <c r="R834" s="30"/>
    </row>
    <row r="835" spans="18:18" ht="15.75" customHeight="1">
      <c r="R835" s="30"/>
    </row>
    <row r="836" spans="18:18" ht="15.75" customHeight="1">
      <c r="R836" s="30"/>
    </row>
    <row r="837" spans="18:18" ht="15.75" customHeight="1">
      <c r="R837" s="30"/>
    </row>
    <row r="838" spans="18:18" ht="15.75" customHeight="1">
      <c r="R838" s="30"/>
    </row>
    <row r="839" spans="18:18" ht="15.75" customHeight="1">
      <c r="R839" s="30"/>
    </row>
    <row r="840" spans="18:18" ht="15.75" customHeight="1">
      <c r="R840" s="30"/>
    </row>
    <row r="841" spans="18:18" ht="15.75" customHeight="1">
      <c r="R841" s="30"/>
    </row>
    <row r="842" spans="18:18" ht="15.75" customHeight="1">
      <c r="R842" s="30"/>
    </row>
    <row r="843" spans="18:18" ht="15.75" customHeight="1">
      <c r="R843" s="30"/>
    </row>
    <row r="844" spans="18:18" ht="15.75" customHeight="1">
      <c r="R844" s="30"/>
    </row>
    <row r="845" spans="18:18" ht="15.75" customHeight="1">
      <c r="R845" s="30"/>
    </row>
    <row r="846" spans="18:18" ht="15.75" customHeight="1">
      <c r="R846" s="30"/>
    </row>
    <row r="847" spans="18:18" ht="15.75" customHeight="1">
      <c r="R847" s="30"/>
    </row>
    <row r="848" spans="18:18" ht="15.75" customHeight="1">
      <c r="R848" s="30"/>
    </row>
    <row r="849" spans="18:18" ht="15.75" customHeight="1">
      <c r="R849" s="30"/>
    </row>
    <row r="850" spans="18:18" ht="15.75" customHeight="1">
      <c r="R850" s="30"/>
    </row>
    <row r="851" spans="18:18" ht="15.75" customHeight="1">
      <c r="R851" s="30"/>
    </row>
    <row r="852" spans="18:18" ht="15.75" customHeight="1">
      <c r="R852" s="30"/>
    </row>
    <row r="853" spans="18:18" ht="15.75" customHeight="1">
      <c r="R853" s="30"/>
    </row>
    <row r="854" spans="18:18" ht="15.75" customHeight="1">
      <c r="R854" s="30"/>
    </row>
    <row r="855" spans="18:18" ht="15.75" customHeight="1">
      <c r="R855" s="30"/>
    </row>
    <row r="856" spans="18:18" ht="15.75" customHeight="1">
      <c r="R856" s="30"/>
    </row>
    <row r="857" spans="18:18" ht="15.75" customHeight="1">
      <c r="R857" s="30"/>
    </row>
    <row r="858" spans="18:18" ht="15.75" customHeight="1">
      <c r="R858" s="30"/>
    </row>
    <row r="859" spans="18:18" ht="15.75" customHeight="1">
      <c r="R859" s="30"/>
    </row>
    <row r="860" spans="18:18" ht="15.75" customHeight="1">
      <c r="R860" s="30"/>
    </row>
    <row r="861" spans="18:18" ht="15.75" customHeight="1">
      <c r="R861" s="30"/>
    </row>
    <row r="862" spans="18:18" ht="15.75" customHeight="1">
      <c r="R862" s="30"/>
    </row>
    <row r="863" spans="18:18" ht="15.75" customHeight="1">
      <c r="R863" s="30"/>
    </row>
    <row r="864" spans="18:18" ht="15.75" customHeight="1">
      <c r="R864" s="30"/>
    </row>
    <row r="865" spans="18:18" ht="15.75" customHeight="1">
      <c r="R865" s="30"/>
    </row>
    <row r="866" spans="18:18" ht="15.75" customHeight="1">
      <c r="R866" s="30"/>
    </row>
    <row r="867" spans="18:18" ht="15.75" customHeight="1">
      <c r="R867" s="30"/>
    </row>
    <row r="868" spans="18:18" ht="15.75" customHeight="1">
      <c r="R868" s="30"/>
    </row>
    <row r="869" spans="18:18" ht="15.75" customHeight="1">
      <c r="R869" s="30"/>
    </row>
    <row r="870" spans="18:18" ht="15.75" customHeight="1">
      <c r="R870" s="30"/>
    </row>
    <row r="871" spans="18:18" ht="15.75" customHeight="1">
      <c r="R871" s="30"/>
    </row>
    <row r="872" spans="18:18" ht="15.75" customHeight="1">
      <c r="R872" s="30"/>
    </row>
    <row r="873" spans="18:18" ht="15.75" customHeight="1">
      <c r="R873" s="30"/>
    </row>
    <row r="874" spans="18:18" ht="15.75" customHeight="1">
      <c r="R874" s="30"/>
    </row>
    <row r="875" spans="18:18" ht="15.75" customHeight="1">
      <c r="R875" s="30"/>
    </row>
    <row r="876" spans="18:18" ht="15.75" customHeight="1">
      <c r="R876" s="30"/>
    </row>
    <row r="877" spans="18:18" ht="15.75" customHeight="1">
      <c r="R877" s="30"/>
    </row>
    <row r="878" spans="18:18" ht="15.75" customHeight="1">
      <c r="R878" s="30"/>
    </row>
    <row r="879" spans="18:18" ht="15.75" customHeight="1">
      <c r="R879" s="30"/>
    </row>
    <row r="880" spans="18:18" ht="15.75" customHeight="1">
      <c r="R880" s="30"/>
    </row>
    <row r="881" spans="18:18" ht="15.75" customHeight="1">
      <c r="R881" s="30"/>
    </row>
    <row r="882" spans="18:18" ht="15.75" customHeight="1">
      <c r="R882" s="30"/>
    </row>
    <row r="883" spans="18:18" ht="15.75" customHeight="1">
      <c r="R883" s="30"/>
    </row>
    <row r="884" spans="18:18" ht="15.75" customHeight="1">
      <c r="R884" s="30"/>
    </row>
    <row r="885" spans="18:18" ht="15.75" customHeight="1">
      <c r="R885" s="30"/>
    </row>
    <row r="886" spans="18:18" ht="15.75" customHeight="1">
      <c r="R886" s="30"/>
    </row>
    <row r="887" spans="18:18" ht="15.75" customHeight="1">
      <c r="R887" s="30"/>
    </row>
    <row r="888" spans="18:18" ht="15.75" customHeight="1">
      <c r="R888" s="30"/>
    </row>
    <row r="889" spans="18:18" ht="15.75" customHeight="1">
      <c r="R889" s="30"/>
    </row>
    <row r="890" spans="18:18" ht="15.75" customHeight="1">
      <c r="R890" s="30"/>
    </row>
    <row r="891" spans="18:18" ht="15.75" customHeight="1">
      <c r="R891" s="30"/>
    </row>
    <row r="892" spans="18:18" ht="15.75" customHeight="1">
      <c r="R892" s="30"/>
    </row>
    <row r="893" spans="18:18" ht="15.75" customHeight="1">
      <c r="R893" s="30"/>
    </row>
    <row r="894" spans="18:18" ht="15.75" customHeight="1">
      <c r="R894" s="30"/>
    </row>
    <row r="895" spans="18:18" ht="15.75" customHeight="1">
      <c r="R895" s="30"/>
    </row>
    <row r="896" spans="18:18" ht="15.75" customHeight="1">
      <c r="R896" s="30"/>
    </row>
    <row r="897" spans="18:18" ht="15.75" customHeight="1">
      <c r="R897" s="30"/>
    </row>
    <row r="898" spans="18:18" ht="15.75" customHeight="1">
      <c r="R898" s="30"/>
    </row>
    <row r="899" spans="18:18" ht="15.75" customHeight="1">
      <c r="R899" s="30"/>
    </row>
    <row r="900" spans="18:18" ht="15.75" customHeight="1">
      <c r="R900" s="30"/>
    </row>
    <row r="901" spans="18:18" ht="15.75" customHeight="1">
      <c r="R901" s="30"/>
    </row>
    <row r="902" spans="18:18" ht="15.75" customHeight="1">
      <c r="R902" s="30"/>
    </row>
    <row r="903" spans="18:18" ht="15.75" customHeight="1">
      <c r="R903" s="30"/>
    </row>
    <row r="904" spans="18:18" ht="15.75" customHeight="1">
      <c r="R904" s="30"/>
    </row>
    <row r="905" spans="18:18" ht="15.75" customHeight="1">
      <c r="R905" s="30"/>
    </row>
    <row r="906" spans="18:18" ht="15.75" customHeight="1">
      <c r="R906" s="30"/>
    </row>
    <row r="907" spans="18:18" ht="15.75" customHeight="1">
      <c r="R907" s="30"/>
    </row>
    <row r="908" spans="18:18" ht="15.75" customHeight="1">
      <c r="R908" s="30"/>
    </row>
    <row r="909" spans="18:18" ht="15.75" customHeight="1">
      <c r="R909" s="30"/>
    </row>
    <row r="910" spans="18:18" ht="15.75" customHeight="1">
      <c r="R910" s="30"/>
    </row>
    <row r="911" spans="18:18" ht="15.75" customHeight="1">
      <c r="R911" s="30"/>
    </row>
    <row r="912" spans="18:18" ht="15.75" customHeight="1">
      <c r="R912" s="30"/>
    </row>
    <row r="913" spans="18:18" ht="15.75" customHeight="1">
      <c r="R913" s="30"/>
    </row>
    <row r="914" spans="18:18" ht="15.75" customHeight="1">
      <c r="R914" s="30"/>
    </row>
    <row r="915" spans="18:18" ht="15.75" customHeight="1">
      <c r="R915" s="30"/>
    </row>
    <row r="916" spans="18:18" ht="15.75" customHeight="1">
      <c r="R916" s="30"/>
    </row>
    <row r="917" spans="18:18" ht="15.75" customHeight="1">
      <c r="R917" s="30"/>
    </row>
    <row r="918" spans="18:18" ht="15.75" customHeight="1">
      <c r="R918" s="30"/>
    </row>
    <row r="919" spans="18:18" ht="15.75" customHeight="1">
      <c r="R919" s="30"/>
    </row>
    <row r="920" spans="18:18" ht="15.75" customHeight="1">
      <c r="R920" s="30"/>
    </row>
    <row r="921" spans="18:18" ht="15.75" customHeight="1">
      <c r="R921" s="30"/>
    </row>
    <row r="922" spans="18:18" ht="15.75" customHeight="1">
      <c r="R922" s="30"/>
    </row>
    <row r="923" spans="18:18" ht="15.75" customHeight="1">
      <c r="R923" s="30"/>
    </row>
    <row r="924" spans="18:18" ht="15.75" customHeight="1">
      <c r="R924" s="30"/>
    </row>
    <row r="925" spans="18:18" ht="15.75" customHeight="1">
      <c r="R925" s="30"/>
    </row>
    <row r="926" spans="18:18" ht="15.75" customHeight="1">
      <c r="R926" s="30"/>
    </row>
    <row r="927" spans="18:18" ht="15.75" customHeight="1">
      <c r="R927" s="30"/>
    </row>
    <row r="928" spans="18:18" ht="15.75" customHeight="1">
      <c r="R928" s="30"/>
    </row>
    <row r="929" spans="18:18" ht="15.75" customHeight="1">
      <c r="R929" s="30"/>
    </row>
    <row r="930" spans="18:18" ht="15.75" customHeight="1">
      <c r="R930" s="30"/>
    </row>
    <row r="931" spans="18:18" ht="15.75" customHeight="1">
      <c r="R931" s="30"/>
    </row>
    <row r="932" spans="18:18" ht="15.75" customHeight="1">
      <c r="R932" s="30"/>
    </row>
    <row r="933" spans="18:18" ht="15.75" customHeight="1">
      <c r="R933" s="30"/>
    </row>
    <row r="934" spans="18:18" ht="15.75" customHeight="1">
      <c r="R934" s="30"/>
    </row>
    <row r="935" spans="18:18" ht="15.75" customHeight="1">
      <c r="R935" s="30"/>
    </row>
    <row r="936" spans="18:18" ht="15.75" customHeight="1">
      <c r="R936" s="30"/>
    </row>
    <row r="937" spans="18:18" ht="15.75" customHeight="1">
      <c r="R937" s="30"/>
    </row>
    <row r="938" spans="18:18" ht="15.75" customHeight="1">
      <c r="R938" s="30"/>
    </row>
    <row r="939" spans="18:18" ht="15.75" customHeight="1">
      <c r="R939" s="30"/>
    </row>
    <row r="940" spans="18:18" ht="15.75" customHeight="1">
      <c r="R940" s="30"/>
    </row>
    <row r="941" spans="18:18" ht="15.75" customHeight="1">
      <c r="R941" s="30"/>
    </row>
    <row r="942" spans="18:18" ht="15.75" customHeight="1">
      <c r="R942" s="30"/>
    </row>
    <row r="943" spans="18:18" ht="15.75" customHeight="1">
      <c r="R943" s="30"/>
    </row>
    <row r="944" spans="18:18" ht="15.75" customHeight="1">
      <c r="R944" s="30"/>
    </row>
    <row r="945" spans="18:18" ht="15.75" customHeight="1">
      <c r="R945" s="30"/>
    </row>
    <row r="946" spans="18:18" ht="15.75" customHeight="1">
      <c r="R946" s="30"/>
    </row>
    <row r="947" spans="18:18" ht="15.75" customHeight="1">
      <c r="R947" s="30"/>
    </row>
    <row r="948" spans="18:18" ht="15.75" customHeight="1">
      <c r="R948" s="30"/>
    </row>
    <row r="949" spans="18:18" ht="15.75" customHeight="1">
      <c r="R949" s="30"/>
    </row>
    <row r="950" spans="18:18" ht="15.75" customHeight="1">
      <c r="R950" s="30"/>
    </row>
    <row r="951" spans="18:18" ht="15.75" customHeight="1">
      <c r="R951" s="30"/>
    </row>
    <row r="952" spans="18:18" ht="15.75" customHeight="1">
      <c r="R952" s="30"/>
    </row>
    <row r="953" spans="18:18" ht="15.75" customHeight="1">
      <c r="R953" s="30"/>
    </row>
    <row r="954" spans="18:18" ht="15.75" customHeight="1">
      <c r="R954" s="30"/>
    </row>
    <row r="955" spans="18:18" ht="15.75" customHeight="1">
      <c r="R955" s="30"/>
    </row>
    <row r="956" spans="18:18" ht="15.75" customHeight="1">
      <c r="R956" s="30"/>
    </row>
    <row r="957" spans="18:18" ht="15.75" customHeight="1">
      <c r="R957" s="30"/>
    </row>
    <row r="958" spans="18:18" ht="15.75" customHeight="1">
      <c r="R958" s="30"/>
    </row>
    <row r="959" spans="18:18" ht="15.75" customHeight="1">
      <c r="R959" s="30"/>
    </row>
    <row r="960" spans="18:18" ht="15.75" customHeight="1">
      <c r="R960" s="30"/>
    </row>
    <row r="961" spans="18:18" ht="15.75" customHeight="1">
      <c r="R961" s="30"/>
    </row>
    <row r="962" spans="18:18" ht="15.75" customHeight="1">
      <c r="R962" s="30"/>
    </row>
    <row r="963" spans="18:18" ht="15.75" customHeight="1">
      <c r="R963" s="30"/>
    </row>
    <row r="964" spans="18:18" ht="15.75" customHeight="1">
      <c r="R964" s="30"/>
    </row>
    <row r="965" spans="18:18" ht="15.75" customHeight="1">
      <c r="R965" s="30"/>
    </row>
    <row r="966" spans="18:18" ht="15.75" customHeight="1">
      <c r="R966" s="30"/>
    </row>
    <row r="967" spans="18:18" ht="15.75" customHeight="1">
      <c r="R967" s="30"/>
    </row>
    <row r="968" spans="18:18" ht="15.75" customHeight="1">
      <c r="R968" s="30"/>
    </row>
    <row r="969" spans="18:18" ht="15.75" customHeight="1">
      <c r="R969" s="30"/>
    </row>
    <row r="970" spans="18:18" ht="15.75" customHeight="1">
      <c r="R970" s="30"/>
    </row>
    <row r="971" spans="18:18" ht="15.75" customHeight="1">
      <c r="R971" s="30"/>
    </row>
    <row r="972" spans="18:18" ht="15.75" customHeight="1">
      <c r="R972" s="30"/>
    </row>
    <row r="973" spans="18:18" ht="15.75" customHeight="1">
      <c r="R973" s="30"/>
    </row>
    <row r="974" spans="18:18" ht="15.75" customHeight="1">
      <c r="R974" s="30"/>
    </row>
    <row r="975" spans="18:18" ht="15.75" customHeight="1">
      <c r="R975" s="30"/>
    </row>
    <row r="976" spans="18:18" ht="15.75" customHeight="1">
      <c r="R976" s="30"/>
    </row>
    <row r="977" spans="18:18" ht="15.75" customHeight="1">
      <c r="R977" s="30"/>
    </row>
    <row r="978" spans="18:18" ht="15.75" customHeight="1">
      <c r="R978" s="30"/>
    </row>
    <row r="979" spans="18:18" ht="15.75" customHeight="1">
      <c r="R979" s="30"/>
    </row>
    <row r="980" spans="18:18" ht="15.75" customHeight="1">
      <c r="R980" s="30"/>
    </row>
    <row r="981" spans="18:18" ht="15.75" customHeight="1">
      <c r="R981" s="30"/>
    </row>
    <row r="982" spans="18:18" ht="15.75" customHeight="1">
      <c r="R982" s="30"/>
    </row>
    <row r="983" spans="18:18" ht="15.75" customHeight="1">
      <c r="R983" s="30"/>
    </row>
    <row r="984" spans="18:18" ht="15.75" customHeight="1">
      <c r="R984" s="30"/>
    </row>
    <row r="985" spans="18:18" ht="15.75" customHeight="1">
      <c r="R985" s="30"/>
    </row>
    <row r="986" spans="18:18" ht="15.75" customHeight="1">
      <c r="R986" s="30"/>
    </row>
    <row r="987" spans="18:18" ht="15.75" customHeight="1">
      <c r="R987" s="30"/>
    </row>
    <row r="988" spans="18:18" ht="15.75" customHeight="1">
      <c r="R988" s="30"/>
    </row>
    <row r="989" spans="18:18" ht="15.75" customHeight="1">
      <c r="R989" s="30"/>
    </row>
    <row r="990" spans="18:18" ht="15.75" customHeight="1">
      <c r="R990" s="30"/>
    </row>
    <row r="991" spans="18:18" ht="15.75" customHeight="1">
      <c r="R991" s="30"/>
    </row>
    <row r="992" spans="18:18" ht="15.75" customHeight="1">
      <c r="R992" s="30"/>
    </row>
    <row r="993" spans="18:18" ht="15.75" customHeight="1">
      <c r="R993" s="30"/>
    </row>
    <row r="994" spans="18:18" ht="15.75" customHeight="1">
      <c r="R994" s="30"/>
    </row>
    <row r="995" spans="18:18" ht="15.75" customHeight="1">
      <c r="R995" s="30"/>
    </row>
    <row r="996" spans="18:18" ht="15.75" customHeight="1">
      <c r="R996" s="30"/>
    </row>
    <row r="997" spans="18:18" ht="15.75" customHeight="1">
      <c r="R997" s="30"/>
    </row>
    <row r="998" spans="18:18" ht="15.75" customHeight="1">
      <c r="R998" s="30"/>
    </row>
    <row r="999" spans="18:18" ht="15.75" customHeight="1">
      <c r="R999" s="30"/>
    </row>
    <row r="1000" spans="18:18" ht="15.75" customHeight="1">
      <c r="R1000" s="3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2.6640625" defaultRowHeight="15" customHeight="1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8.6640625" customWidth="1"/>
    <col min="6" max="6" width="10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9.6640625" customWidth="1"/>
    <col min="16" max="16" width="8.1640625" customWidth="1"/>
    <col min="17" max="18" width="7.33203125" customWidth="1"/>
    <col min="19" max="19" width="7.1640625" customWidth="1"/>
    <col min="20" max="20" width="11.1640625" customWidth="1"/>
    <col min="21" max="21" width="13.5" customWidth="1"/>
    <col min="22" max="22" width="45.1640625" customWidth="1"/>
    <col min="23" max="24" width="7.6640625" customWidth="1"/>
    <col min="25" max="25" width="8.1640625" customWidth="1"/>
    <col min="26" max="26" width="11.1640625" customWidth="1"/>
    <col min="27" max="27" width="10.6640625" customWidth="1"/>
    <col min="28" max="28" width="9.6640625" customWidth="1"/>
    <col min="29" max="29" width="7.1640625" customWidth="1"/>
    <col min="30" max="30" width="10.83203125" customWidth="1"/>
    <col min="31" max="31" width="7.6640625" customWidth="1"/>
    <col min="32" max="32" width="10.1640625" customWidth="1"/>
    <col min="33" max="33" width="8.83203125" customWidth="1"/>
  </cols>
  <sheetData>
    <row r="1" spans="1:33" ht="18.75" customHeight="1">
      <c r="A1" s="67" t="str">
        <f ca="1">IFERROR(__xludf.DUMMYFUNCTION("IFERROR(VLOOKUP(B2,IMPORTRANGE(""https://docs.google.com/spreadsheets/d/1x0DhHglkXKoEBOD2MBsuK_EyIr1ouxD2ftIpqOYFa-k/edit?usp=sharing"",""Ubiquitty-SKU-Specific Info!B1:BJ5000""),3,FALSE),"""")"),"10 Foot Lighted Outdoor Extension Cord - 10/3 SJTW Yellow 10 Gauge Extension Cable with 3 Prong Grounded Plug for Safety - Great for Garden and Major Appliances")</f>
        <v>10 Foot Lighted Outdoor Extension Cord - 10/3 SJTW Yellow 10 Gauge Extension Cable with 3 Prong Grounded Plug for Safety - Great for Garden and Major Appliances</v>
      </c>
      <c r="B1" s="47"/>
      <c r="C1" s="48" t="s">
        <v>0</v>
      </c>
      <c r="D1" s="50" t="s">
        <v>1</v>
      </c>
      <c r="E1" s="50" t="s">
        <v>2</v>
      </c>
      <c r="F1" s="52" t="s">
        <v>3</v>
      </c>
      <c r="G1" s="52" t="s">
        <v>4</v>
      </c>
      <c r="H1" s="53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58" t="s">
        <v>10</v>
      </c>
      <c r="N1" s="59" t="s">
        <v>11</v>
      </c>
      <c r="O1" s="50" t="s">
        <v>12</v>
      </c>
      <c r="P1" s="50" t="s">
        <v>13</v>
      </c>
      <c r="Q1" s="57" t="s">
        <v>14</v>
      </c>
      <c r="R1" s="57" t="s">
        <v>15</v>
      </c>
      <c r="S1" s="60" t="s">
        <v>16</v>
      </c>
      <c r="T1" s="62" t="s">
        <v>2006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Info!B1:BJ5000""),2,FALSE),"""")"),"B081HCRCGZ")</f>
        <v>B081HCRCGZ</v>
      </c>
      <c r="B2" s="3" t="s">
        <v>180</v>
      </c>
      <c r="C2" s="49"/>
      <c r="D2" s="49"/>
      <c r="E2" s="51"/>
      <c r="F2" s="49"/>
      <c r="G2" s="49"/>
      <c r="H2" s="54"/>
      <c r="I2" s="49"/>
      <c r="J2" s="49"/>
      <c r="K2" s="54"/>
      <c r="L2" s="54"/>
      <c r="M2" s="54"/>
      <c r="N2" s="49"/>
      <c r="O2" s="49"/>
      <c r="P2" s="51"/>
      <c r="Q2" s="49"/>
      <c r="R2" s="49"/>
      <c r="S2" s="61"/>
      <c r="T2" s="47"/>
      <c r="U2" s="63"/>
      <c r="V2" s="63"/>
      <c r="W2" s="47"/>
      <c r="X2" s="47"/>
      <c r="Y2" s="47"/>
      <c r="Z2" s="47"/>
      <c r="AA2" s="63"/>
      <c r="AB2" s="63"/>
      <c r="AC2" s="63"/>
      <c r="AD2" s="63"/>
      <c r="AE2" s="47"/>
      <c r="AF2" s="47"/>
      <c r="AG2" s="47"/>
    </row>
    <row r="3" spans="1:33" ht="179.25" customHeight="1">
      <c r="A3" s="55" t="s">
        <v>31</v>
      </c>
      <c r="B3" s="56"/>
      <c r="C3" s="4">
        <f>((AE32+AF32)/0.85)*-1</f>
        <v>14.317462683823528</v>
      </c>
      <c r="D3" s="5">
        <f>SUM(D4:D99765)</f>
        <v>780</v>
      </c>
      <c r="E3" s="5"/>
      <c r="F3" s="6">
        <f t="shared" ref="F3:G3" si="0">SUM(F4:F99765)</f>
        <v>25819.259999999995</v>
      </c>
      <c r="G3" s="6">
        <f t="shared" si="0"/>
        <v>-0.27</v>
      </c>
      <c r="H3" s="7">
        <f t="shared" ref="H3:H32" si="1">G3/F3*-1</f>
        <v>1.0457309775725565E-5</v>
      </c>
      <c r="I3" s="8">
        <f t="shared" ref="I3:I32" si="2">J3/F3</f>
        <v>0.47240171919777191</v>
      </c>
      <c r="J3" s="6">
        <f>SUM(J4:J99765)</f>
        <v>12197.062812414262</v>
      </c>
      <c r="K3" s="6">
        <f t="shared" ref="K3:K32" si="3">J3/D3</f>
        <v>15.637260015915722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Sheet!a1:g5000""),2,FALSE),"""")"),"8 - March
8 - April
8 - May
8 - June
8 - July
8 - Aug
8 - Sept
3.5 - Oct
4 - Nov
4 - Dec
8 - Jan
10 - Feb")</f>
        <v>8 - March
8 - April
8 - May
8 - June
8 - July
8 - Aug
8 - Sept
3.5 - Oct
4 - Nov
4 - Dec
8 - Jan
10 -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QTY-0")</f>
        <v>Del QTY-0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QTY-6")</f>
        <v>US QTY-6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1</v>
      </c>
      <c r="X3" s="7">
        <f>W3/D3</f>
        <v>1.2820512820512821E-3</v>
      </c>
      <c r="Y3" s="6"/>
      <c r="Z3" s="5"/>
      <c r="AA3" s="5"/>
      <c r="AB3" s="5"/>
      <c r="AC3" s="5"/>
      <c r="AD3" s="6">
        <f>SUM(AD4:AD99765)</f>
        <v>-83.387453887821579</v>
      </c>
      <c r="AE3" s="6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Info!B2:BZ3000""),37,FALSE)),"""")*-1"),-6.48984328125)</f>
        <v>-6.4898432812499998</v>
      </c>
      <c r="AG3" s="6">
        <f>SUM(AG4:AG99765)</f>
        <v>0</v>
      </c>
    </row>
    <row r="4" spans="1:33" ht="15.75" customHeight="1">
      <c r="A4" s="14" t="s">
        <v>181</v>
      </c>
      <c r="B4" s="14" t="s">
        <v>68</v>
      </c>
      <c r="C4" s="15">
        <f t="shared" ref="C4:C32" si="4">IFERROR(F4/D4," - ")</f>
        <v>40.4925</v>
      </c>
      <c r="D4" s="16">
        <v>8</v>
      </c>
      <c r="E4" s="16">
        <v>4</v>
      </c>
      <c r="F4" s="17">
        <v>323.94</v>
      </c>
      <c r="G4" s="17">
        <v>-7.0000000000000007E-2</v>
      </c>
      <c r="H4" s="18">
        <f t="shared" si="1"/>
        <v>2.1608939927147004E-4</v>
      </c>
      <c r="I4" s="18">
        <f t="shared" si="2"/>
        <v>0.54733646282391646</v>
      </c>
      <c r="J4" s="17">
        <f t="shared" ref="J4:J32" si="5">F4*0.85+G4+AF4*D4+D4*AE4+AG4+AD4</f>
        <v>177.30417376717949</v>
      </c>
      <c r="K4" s="17">
        <f t="shared" si="3"/>
        <v>22.163021720897436</v>
      </c>
      <c r="L4" s="16">
        <v>63</v>
      </c>
      <c r="M4" s="19">
        <f t="shared" ref="M4:M32" si="6">IFERROR(D4/L4,"-")</f>
        <v>0.12698412698412698</v>
      </c>
      <c r="N4" s="16">
        <v>11</v>
      </c>
      <c r="O4" s="20">
        <f t="shared" ref="O4:P4" si="7">D4/7</f>
        <v>1.1428571428571428</v>
      </c>
      <c r="P4" s="20">
        <f t="shared" si="7"/>
        <v>0.5714285714285714</v>
      </c>
      <c r="Q4" s="16">
        <f t="shared" ref="Q4:Q32" si="8">ROUNDDOWN(N4/(O4+P4),0)</f>
        <v>6</v>
      </c>
      <c r="R4" s="16"/>
      <c r="S4" s="21">
        <v>2.8158844765342899</v>
      </c>
      <c r="T4" s="14">
        <v>600</v>
      </c>
      <c r="U4" s="22">
        <v>576</v>
      </c>
      <c r="V4" s="23" t="s">
        <v>182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26" t="s">
        <v>35</v>
      </c>
      <c r="AB4" s="27">
        <f t="shared" ref="AB4:AB32" si="11">IF(OR(AA4="UsLargeStandardSize",AA4="UsSmallStandardSize"),-0.69,-0.48)</f>
        <v>-0.69</v>
      </c>
      <c r="AC4" s="28">
        <v>8.1703416666666667E-2</v>
      </c>
      <c r="AD4" s="25">
        <f t="shared" ref="AD4:AD32" si="12">IFERROR(AB4*AC4*D4*2,0)</f>
        <v>-0.9020057199999999</v>
      </c>
      <c r="AE4" s="25">
        <v>-5.42</v>
      </c>
      <c r="AF4" s="25">
        <v>-6.7141025641025642</v>
      </c>
      <c r="AG4" s="25">
        <v>0</v>
      </c>
    </row>
    <row r="5" spans="1:33" ht="15.75" customHeight="1">
      <c r="A5" s="14" t="s">
        <v>183</v>
      </c>
      <c r="B5" s="14" t="s">
        <v>45</v>
      </c>
      <c r="C5" s="15">
        <f t="shared" si="4"/>
        <v>53.99</v>
      </c>
      <c r="D5" s="16">
        <v>7</v>
      </c>
      <c r="E5" s="16">
        <v>0</v>
      </c>
      <c r="F5" s="29">
        <v>377.93</v>
      </c>
      <c r="G5" s="29">
        <v>0</v>
      </c>
      <c r="H5" s="18">
        <f t="shared" si="1"/>
        <v>0</v>
      </c>
      <c r="I5" s="18">
        <f t="shared" si="2"/>
        <v>0.62316199427986185</v>
      </c>
      <c r="J5" s="17">
        <f t="shared" si="5"/>
        <v>235.51161249818819</v>
      </c>
      <c r="K5" s="17">
        <f t="shared" si="3"/>
        <v>33.64451607116974</v>
      </c>
      <c r="L5" s="16">
        <v>95</v>
      </c>
      <c r="M5" s="19">
        <f t="shared" si="6"/>
        <v>7.3684210526315783E-2</v>
      </c>
      <c r="N5" s="16">
        <v>1</v>
      </c>
      <c r="O5" s="20">
        <f t="shared" ref="O5:P5" si="13">D5/7</f>
        <v>1</v>
      </c>
      <c r="P5" s="20">
        <f t="shared" si="13"/>
        <v>0</v>
      </c>
      <c r="Q5" s="16">
        <f t="shared" si="8"/>
        <v>1</v>
      </c>
      <c r="R5" s="16"/>
      <c r="S5" s="21">
        <v>3.94392523364486</v>
      </c>
      <c r="T5" s="14">
        <v>600</v>
      </c>
      <c r="U5" s="22">
        <v>576</v>
      </c>
      <c r="V5" s="23" t="s">
        <v>184</v>
      </c>
      <c r="W5" s="14">
        <v>0</v>
      </c>
      <c r="X5" s="24">
        <f t="shared" si="9"/>
        <v>0</v>
      </c>
      <c r="Y5" s="25">
        <f t="shared" si="10"/>
        <v>0</v>
      </c>
      <c r="Z5" s="14">
        <v>0</v>
      </c>
      <c r="AA5" s="14" t="s">
        <v>35</v>
      </c>
      <c r="AB5" s="27">
        <f t="shared" si="11"/>
        <v>-0.69</v>
      </c>
      <c r="AC5" s="28">
        <v>8.1798090382387015E-2</v>
      </c>
      <c r="AD5" s="25">
        <f t="shared" si="12"/>
        <v>-0.7901695530938585</v>
      </c>
      <c r="AE5" s="25">
        <v>-5.42</v>
      </c>
      <c r="AF5" s="25">
        <v>-6.7141025641025642</v>
      </c>
      <c r="AG5" s="25">
        <v>0</v>
      </c>
    </row>
    <row r="6" spans="1:33" ht="15.75" customHeight="1">
      <c r="A6" s="14" t="s">
        <v>185</v>
      </c>
      <c r="B6" s="14"/>
      <c r="C6" s="15">
        <f t="shared" si="4"/>
        <v>53.99</v>
      </c>
      <c r="D6" s="16">
        <v>1</v>
      </c>
      <c r="E6" s="16">
        <v>0</v>
      </c>
      <c r="F6" s="29">
        <v>53.99</v>
      </c>
      <c r="G6" s="29">
        <v>0</v>
      </c>
      <c r="H6" s="18">
        <f t="shared" si="1"/>
        <v>0</v>
      </c>
      <c r="I6" s="18">
        <f t="shared" si="2"/>
        <v>0.62316199427986185</v>
      </c>
      <c r="J6" s="17">
        <f t="shared" si="5"/>
        <v>33.64451607116974</v>
      </c>
      <c r="K6" s="17">
        <f t="shared" si="3"/>
        <v>33.64451607116974</v>
      </c>
      <c r="L6" s="16">
        <v>0</v>
      </c>
      <c r="M6" s="19" t="str">
        <f t="shared" si="6"/>
        <v>-</v>
      </c>
      <c r="N6" s="16">
        <v>0</v>
      </c>
      <c r="O6" s="20">
        <f t="shared" ref="O6:P6" si="14">D6/7</f>
        <v>0.14285714285714285</v>
      </c>
      <c r="P6" s="20">
        <f t="shared" si="14"/>
        <v>0</v>
      </c>
      <c r="Q6" s="16">
        <f t="shared" si="8"/>
        <v>0</v>
      </c>
      <c r="R6" s="16"/>
      <c r="S6" s="21">
        <v>5.3670886075949298</v>
      </c>
      <c r="T6" s="14">
        <v>0</v>
      </c>
      <c r="U6" s="22" t="s">
        <v>34</v>
      </c>
      <c r="V6" s="23" t="s">
        <v>186</v>
      </c>
      <c r="W6" s="14">
        <v>0</v>
      </c>
      <c r="X6" s="24">
        <f t="shared" si="9"/>
        <v>0</v>
      </c>
      <c r="Y6" s="25">
        <f t="shared" si="10"/>
        <v>0</v>
      </c>
      <c r="Z6" s="14">
        <v>0</v>
      </c>
      <c r="AA6" s="14" t="s">
        <v>35</v>
      </c>
      <c r="AB6" s="27">
        <f t="shared" si="11"/>
        <v>-0.69</v>
      </c>
      <c r="AC6" s="28">
        <v>8.1798090382387015E-2</v>
      </c>
      <c r="AD6" s="25">
        <f t="shared" si="12"/>
        <v>-0.11288136472769407</v>
      </c>
      <c r="AE6" s="25">
        <v>-5.42</v>
      </c>
      <c r="AF6" s="25">
        <v>-6.7141025641025642</v>
      </c>
      <c r="AG6" s="25">
        <v>0</v>
      </c>
    </row>
    <row r="7" spans="1:33" ht="15.75" customHeight="1">
      <c r="A7" s="14" t="s">
        <v>187</v>
      </c>
      <c r="B7" s="14" t="s">
        <v>188</v>
      </c>
      <c r="C7" s="15">
        <f t="shared" si="4"/>
        <v>53.989999999999995</v>
      </c>
      <c r="D7" s="16">
        <v>5</v>
      </c>
      <c r="E7" s="16">
        <v>0</v>
      </c>
      <c r="F7" s="29">
        <v>269.95</v>
      </c>
      <c r="G7" s="29">
        <v>0</v>
      </c>
      <c r="H7" s="18">
        <f t="shared" si="1"/>
        <v>0</v>
      </c>
      <c r="I7" s="18">
        <f t="shared" si="2"/>
        <v>0.62316441416739099</v>
      </c>
      <c r="J7" s="17">
        <f t="shared" si="5"/>
        <v>168.22323360448718</v>
      </c>
      <c r="K7" s="17">
        <f t="shared" si="3"/>
        <v>33.644646720897434</v>
      </c>
      <c r="L7" s="16">
        <v>63</v>
      </c>
      <c r="M7" s="19">
        <f t="shared" si="6"/>
        <v>7.9365079365079361E-2</v>
      </c>
      <c r="N7" s="16">
        <v>116</v>
      </c>
      <c r="O7" s="20">
        <f t="shared" ref="O7:P7" si="15">D7/7</f>
        <v>0.7142857142857143</v>
      </c>
      <c r="P7" s="20">
        <f t="shared" si="15"/>
        <v>0</v>
      </c>
      <c r="Q7" s="16">
        <f t="shared" si="8"/>
        <v>162</v>
      </c>
      <c r="R7" s="16"/>
      <c r="S7" s="21">
        <v>1.86899563318777</v>
      </c>
      <c r="T7" s="14">
        <v>0</v>
      </c>
      <c r="U7" s="22" t="s">
        <v>34</v>
      </c>
      <c r="V7" s="23" t="s">
        <v>186</v>
      </c>
      <c r="W7" s="14">
        <v>0</v>
      </c>
      <c r="X7" s="24">
        <f t="shared" si="9"/>
        <v>0</v>
      </c>
      <c r="Y7" s="25">
        <f t="shared" si="10"/>
        <v>0</v>
      </c>
      <c r="Z7" s="14">
        <v>0</v>
      </c>
      <c r="AA7" s="14" t="s">
        <v>35</v>
      </c>
      <c r="AB7" s="27">
        <f t="shared" si="11"/>
        <v>-0.69</v>
      </c>
      <c r="AC7" s="28">
        <v>8.1703416666666667E-2</v>
      </c>
      <c r="AD7" s="25">
        <f t="shared" si="12"/>
        <v>-0.5637535749999999</v>
      </c>
      <c r="AE7" s="25">
        <v>-5.42</v>
      </c>
      <c r="AF7" s="25">
        <v>-6.7141025641025642</v>
      </c>
      <c r="AG7" s="25">
        <v>0</v>
      </c>
    </row>
    <row r="8" spans="1:33" ht="15.75" customHeight="1">
      <c r="A8" s="14" t="s">
        <v>189</v>
      </c>
      <c r="B8" s="14" t="s">
        <v>190</v>
      </c>
      <c r="C8" s="15">
        <f t="shared" si="4"/>
        <v>26.74666666666667</v>
      </c>
      <c r="D8" s="16">
        <v>72</v>
      </c>
      <c r="E8" s="16">
        <v>2</v>
      </c>
      <c r="F8" s="29">
        <v>1925.7600000000002</v>
      </c>
      <c r="G8" s="29">
        <v>0</v>
      </c>
      <c r="H8" s="18">
        <f t="shared" si="1"/>
        <v>0</v>
      </c>
      <c r="I8" s="18">
        <f t="shared" si="2"/>
        <v>0.39227003807328026</v>
      </c>
      <c r="J8" s="17">
        <f t="shared" si="5"/>
        <v>755.41794852000032</v>
      </c>
      <c r="K8" s="17">
        <f t="shared" si="3"/>
        <v>10.491915951666671</v>
      </c>
      <c r="L8" s="16">
        <v>100</v>
      </c>
      <c r="M8" s="19">
        <f t="shared" si="6"/>
        <v>0.72</v>
      </c>
      <c r="N8" s="16">
        <v>57</v>
      </c>
      <c r="O8" s="20">
        <f t="shared" ref="O8:P8" si="16">D8/7</f>
        <v>10.285714285714286</v>
      </c>
      <c r="P8" s="20">
        <f t="shared" si="16"/>
        <v>0.2857142857142857</v>
      </c>
      <c r="Q8" s="16">
        <f t="shared" si="8"/>
        <v>5</v>
      </c>
      <c r="R8" s="16"/>
      <c r="S8" s="21">
        <v>2.7514450867051998</v>
      </c>
      <c r="T8" s="14">
        <v>0</v>
      </c>
      <c r="U8" s="22" t="s">
        <v>34</v>
      </c>
      <c r="V8" s="23" t="s">
        <v>34</v>
      </c>
      <c r="W8" s="14">
        <v>0</v>
      </c>
      <c r="X8" s="24">
        <f t="shared" si="9"/>
        <v>0</v>
      </c>
      <c r="Y8" s="25">
        <f t="shared" si="10"/>
        <v>0</v>
      </c>
      <c r="Z8" s="14">
        <v>0</v>
      </c>
      <c r="AA8" s="14" t="s">
        <v>35</v>
      </c>
      <c r="AB8" s="27">
        <f t="shared" si="11"/>
        <v>-0.69</v>
      </c>
      <c r="AC8" s="28">
        <v>8.1703416666666667E-2</v>
      </c>
      <c r="AD8" s="25">
        <f t="shared" si="12"/>
        <v>-8.1180514799999983</v>
      </c>
      <c r="AE8" s="25">
        <v>-5.42</v>
      </c>
      <c r="AF8" s="25">
        <v>-6.71</v>
      </c>
      <c r="AG8" s="25">
        <v>0</v>
      </c>
    </row>
    <row r="9" spans="1:33" ht="15.75" customHeight="1">
      <c r="A9" s="14" t="s">
        <v>191</v>
      </c>
      <c r="B9" s="14" t="s">
        <v>45</v>
      </c>
      <c r="C9" s="15">
        <f t="shared" si="4"/>
        <v>32.104249999999993</v>
      </c>
      <c r="D9" s="16">
        <v>40</v>
      </c>
      <c r="E9" s="16">
        <v>2</v>
      </c>
      <c r="F9" s="29">
        <v>1284.1699999999998</v>
      </c>
      <c r="G9" s="29">
        <v>0</v>
      </c>
      <c r="H9" s="18">
        <f t="shared" si="1"/>
        <v>0</v>
      </c>
      <c r="I9" s="18">
        <f t="shared" si="2"/>
        <v>0.46473486685104198</v>
      </c>
      <c r="J9" s="17">
        <f t="shared" si="5"/>
        <v>596.7985739641025</v>
      </c>
      <c r="K9" s="17">
        <f t="shared" si="3"/>
        <v>14.919964349102562</v>
      </c>
      <c r="L9" s="16">
        <v>131</v>
      </c>
      <c r="M9" s="19">
        <f t="shared" si="6"/>
        <v>0.30534351145038169</v>
      </c>
      <c r="N9" s="16">
        <v>18</v>
      </c>
      <c r="O9" s="20">
        <f t="shared" ref="O9:P9" si="17">D9/7</f>
        <v>5.7142857142857144</v>
      </c>
      <c r="P9" s="20">
        <f t="shared" si="17"/>
        <v>0.2857142857142857</v>
      </c>
      <c r="Q9" s="16">
        <f t="shared" si="8"/>
        <v>3</v>
      </c>
      <c r="R9" s="16"/>
      <c r="S9" s="21">
        <v>4.4518828451882797</v>
      </c>
      <c r="T9" s="14">
        <v>0</v>
      </c>
      <c r="U9" s="22" t="s">
        <v>34</v>
      </c>
      <c r="V9" s="23" t="s">
        <v>34</v>
      </c>
      <c r="W9" s="14">
        <v>0</v>
      </c>
      <c r="X9" s="24">
        <f t="shared" si="9"/>
        <v>0</v>
      </c>
      <c r="Y9" s="25">
        <f t="shared" si="10"/>
        <v>0</v>
      </c>
      <c r="Z9" s="14">
        <v>0</v>
      </c>
      <c r="AA9" s="14" t="s">
        <v>35</v>
      </c>
      <c r="AB9" s="27">
        <f t="shared" si="11"/>
        <v>-0.69</v>
      </c>
      <c r="AC9" s="28">
        <v>8.1703416666666667E-2</v>
      </c>
      <c r="AD9" s="25">
        <f t="shared" si="12"/>
        <v>-4.5100285999999992</v>
      </c>
      <c r="AE9" s="25">
        <v>-5.42</v>
      </c>
      <c r="AF9" s="25">
        <v>-6.8358974358974303</v>
      </c>
      <c r="AG9" s="25">
        <v>0</v>
      </c>
    </row>
    <row r="10" spans="1:33" ht="15.75" customHeight="1">
      <c r="A10" s="14" t="s">
        <v>192</v>
      </c>
      <c r="B10" s="14" t="s">
        <v>68</v>
      </c>
      <c r="C10" s="15">
        <f t="shared" si="4"/>
        <v>30.915652173913053</v>
      </c>
      <c r="D10" s="16">
        <v>23</v>
      </c>
      <c r="E10" s="16">
        <v>0</v>
      </c>
      <c r="F10" s="29">
        <v>711.06000000000017</v>
      </c>
      <c r="G10" s="29">
        <v>0</v>
      </c>
      <c r="H10" s="18">
        <f t="shared" si="1"/>
        <v>0</v>
      </c>
      <c r="I10" s="18">
        <f t="shared" si="2"/>
        <v>0.44992278081928277</v>
      </c>
      <c r="J10" s="17">
        <f t="shared" si="5"/>
        <v>319.9220925293593</v>
      </c>
      <c r="K10" s="17">
        <f t="shared" si="3"/>
        <v>13.909656196928665</v>
      </c>
      <c r="L10" s="16">
        <v>152</v>
      </c>
      <c r="M10" s="19">
        <f t="shared" si="6"/>
        <v>0.15131578947368421</v>
      </c>
      <c r="N10" s="16">
        <v>103</v>
      </c>
      <c r="O10" s="20">
        <f t="shared" ref="O10:P10" si="18">D10/7</f>
        <v>3.2857142857142856</v>
      </c>
      <c r="P10" s="20">
        <f t="shared" si="18"/>
        <v>0</v>
      </c>
      <c r="Q10" s="16">
        <f t="shared" si="8"/>
        <v>31</v>
      </c>
      <c r="R10" s="16"/>
      <c r="S10" s="21">
        <v>4.1969696969696901</v>
      </c>
      <c r="T10" s="14">
        <v>200</v>
      </c>
      <c r="U10" s="22" t="s">
        <v>34</v>
      </c>
      <c r="V10" s="23" t="s">
        <v>34</v>
      </c>
      <c r="W10" s="14">
        <v>0</v>
      </c>
      <c r="X10" s="24">
        <f t="shared" si="9"/>
        <v>0</v>
      </c>
      <c r="Y10" s="25">
        <f t="shared" si="10"/>
        <v>0</v>
      </c>
      <c r="Z10" s="14">
        <v>0</v>
      </c>
      <c r="AA10" s="14" t="s">
        <v>35</v>
      </c>
      <c r="AB10" s="27">
        <f t="shared" si="11"/>
        <v>-0.69</v>
      </c>
      <c r="AC10" s="28">
        <v>8.1703416666666667E-2</v>
      </c>
      <c r="AD10" s="25">
        <f t="shared" si="12"/>
        <v>-2.5932664449999998</v>
      </c>
      <c r="AE10" s="25">
        <v>-5.42</v>
      </c>
      <c r="AF10" s="25">
        <v>-6.8358974358974303</v>
      </c>
      <c r="AG10" s="25">
        <v>0</v>
      </c>
    </row>
    <row r="11" spans="1:33" ht="15.75" customHeight="1">
      <c r="A11" s="14" t="s">
        <v>193</v>
      </c>
      <c r="B11" s="14" t="s">
        <v>194</v>
      </c>
      <c r="C11" s="15">
        <f t="shared" si="4"/>
        <v>34.76685714285712</v>
      </c>
      <c r="D11" s="16">
        <v>35</v>
      </c>
      <c r="E11" s="16">
        <v>0</v>
      </c>
      <c r="F11" s="29">
        <v>1216.8399999999992</v>
      </c>
      <c r="G11" s="29">
        <v>0</v>
      </c>
      <c r="H11" s="18">
        <f t="shared" si="1"/>
        <v>0</v>
      </c>
      <c r="I11" s="18">
        <f t="shared" si="2"/>
        <v>0.4944002233190804</v>
      </c>
      <c r="J11" s="17">
        <f t="shared" si="5"/>
        <v>601.60596774358942</v>
      </c>
      <c r="K11" s="17">
        <f t="shared" si="3"/>
        <v>17.188741935531127</v>
      </c>
      <c r="L11" s="16">
        <v>116</v>
      </c>
      <c r="M11" s="19">
        <f t="shared" si="6"/>
        <v>0.30172413793103448</v>
      </c>
      <c r="N11" s="16">
        <v>225</v>
      </c>
      <c r="O11" s="20">
        <f t="shared" ref="O11:P11" si="19">D11/7</f>
        <v>5</v>
      </c>
      <c r="P11" s="20">
        <f t="shared" si="19"/>
        <v>0</v>
      </c>
      <c r="Q11" s="16">
        <f t="shared" si="8"/>
        <v>45</v>
      </c>
      <c r="R11" s="16"/>
      <c r="S11" s="21">
        <v>2.31663326653306</v>
      </c>
      <c r="T11" s="14">
        <v>400</v>
      </c>
      <c r="U11" s="22" t="s">
        <v>34</v>
      </c>
      <c r="V11" s="23" t="s">
        <v>34</v>
      </c>
      <c r="W11" s="14">
        <v>0</v>
      </c>
      <c r="X11" s="24">
        <f t="shared" si="9"/>
        <v>0</v>
      </c>
      <c r="Y11" s="25">
        <f t="shared" si="10"/>
        <v>0</v>
      </c>
      <c r="Z11" s="14">
        <v>0</v>
      </c>
      <c r="AA11" s="14" t="s">
        <v>35</v>
      </c>
      <c r="AB11" s="27">
        <f t="shared" si="11"/>
        <v>-0.69</v>
      </c>
      <c r="AC11" s="28">
        <v>7.7673333333333344E-2</v>
      </c>
      <c r="AD11" s="25">
        <f t="shared" si="12"/>
        <v>-3.7516220000000002</v>
      </c>
      <c r="AE11" s="25">
        <v>-5.42</v>
      </c>
      <c r="AF11" s="25">
        <v>-6.8358974358974303</v>
      </c>
      <c r="AG11" s="25">
        <v>0</v>
      </c>
    </row>
    <row r="12" spans="1:33" ht="15.75" customHeight="1">
      <c r="A12" s="14" t="s">
        <v>195</v>
      </c>
      <c r="B12" s="14" t="s">
        <v>196</v>
      </c>
      <c r="C12" s="15">
        <f t="shared" si="4"/>
        <v>34.521698113207542</v>
      </c>
      <c r="D12" s="16">
        <v>53</v>
      </c>
      <c r="E12" s="16">
        <v>1</v>
      </c>
      <c r="F12" s="29">
        <v>1829.6499999999999</v>
      </c>
      <c r="G12" s="29">
        <v>0</v>
      </c>
      <c r="H12" s="18">
        <f t="shared" si="1"/>
        <v>0</v>
      </c>
      <c r="I12" s="18">
        <f t="shared" si="2"/>
        <v>0.49187489864041545</v>
      </c>
      <c r="J12" s="17">
        <f t="shared" si="5"/>
        <v>899.9589082974361</v>
      </c>
      <c r="K12" s="17">
        <f t="shared" si="3"/>
        <v>16.980356760328984</v>
      </c>
      <c r="L12" s="16">
        <v>125</v>
      </c>
      <c r="M12" s="19">
        <f t="shared" si="6"/>
        <v>0.42399999999999999</v>
      </c>
      <c r="N12" s="16">
        <v>182</v>
      </c>
      <c r="O12" s="20">
        <f t="shared" ref="O12:P12" si="20">D12/7</f>
        <v>7.5714285714285712</v>
      </c>
      <c r="P12" s="20">
        <f t="shared" si="20"/>
        <v>0.14285714285714285</v>
      </c>
      <c r="Q12" s="16">
        <f t="shared" si="8"/>
        <v>23</v>
      </c>
      <c r="R12" s="16"/>
      <c r="S12" s="21">
        <v>2.88833746898263</v>
      </c>
      <c r="T12" s="14">
        <v>400</v>
      </c>
      <c r="U12" s="22" t="s">
        <v>34</v>
      </c>
      <c r="V12" s="23" t="s">
        <v>34</v>
      </c>
      <c r="W12" s="14">
        <v>0</v>
      </c>
      <c r="X12" s="24">
        <f t="shared" si="9"/>
        <v>0</v>
      </c>
      <c r="Y12" s="25">
        <f t="shared" si="10"/>
        <v>0</v>
      </c>
      <c r="Z12" s="14">
        <v>0</v>
      </c>
      <c r="AA12" s="14" t="s">
        <v>35</v>
      </c>
      <c r="AB12" s="27">
        <f t="shared" si="11"/>
        <v>-0.69</v>
      </c>
      <c r="AC12" s="28">
        <v>7.7673333333333344E-2</v>
      </c>
      <c r="AD12" s="25">
        <f t="shared" si="12"/>
        <v>-5.6810276000000011</v>
      </c>
      <c r="AE12" s="25">
        <v>-5.42</v>
      </c>
      <c r="AF12" s="25">
        <v>-6.8358974358974303</v>
      </c>
      <c r="AG12" s="25">
        <v>0</v>
      </c>
    </row>
    <row r="13" spans="1:33" ht="15.75" customHeight="1">
      <c r="A13" s="14" t="s">
        <v>197</v>
      </c>
      <c r="B13" s="14" t="s">
        <v>129</v>
      </c>
      <c r="C13" s="15">
        <f t="shared" si="4"/>
        <v>37.614615384615369</v>
      </c>
      <c r="D13" s="16">
        <v>26</v>
      </c>
      <c r="E13" s="16">
        <v>0</v>
      </c>
      <c r="F13" s="17">
        <v>977.97999999999956</v>
      </c>
      <c r="G13" s="29">
        <v>0</v>
      </c>
      <c r="H13" s="18">
        <f t="shared" si="1"/>
        <v>0</v>
      </c>
      <c r="I13" s="18">
        <f t="shared" si="2"/>
        <v>0.51961807071719246</v>
      </c>
      <c r="J13" s="17">
        <f t="shared" si="5"/>
        <v>508.17608079999962</v>
      </c>
      <c r="K13" s="17">
        <f t="shared" si="3"/>
        <v>19.545233876923064</v>
      </c>
      <c r="L13" s="16">
        <v>70</v>
      </c>
      <c r="M13" s="19">
        <f t="shared" si="6"/>
        <v>0.37142857142857144</v>
      </c>
      <c r="N13" s="16">
        <v>170</v>
      </c>
      <c r="O13" s="20">
        <f t="shared" ref="O13:P13" si="21">D13/7</f>
        <v>3.7142857142857144</v>
      </c>
      <c r="P13" s="20">
        <f t="shared" si="21"/>
        <v>0</v>
      </c>
      <c r="Q13" s="16">
        <f t="shared" si="8"/>
        <v>45</v>
      </c>
      <c r="R13" s="16"/>
      <c r="S13" s="21">
        <v>3.6011396011396002</v>
      </c>
      <c r="T13" s="14">
        <v>400</v>
      </c>
      <c r="U13" s="22" t="s">
        <v>34</v>
      </c>
      <c r="V13" s="23" t="s">
        <v>34</v>
      </c>
      <c r="W13" s="14">
        <v>0</v>
      </c>
      <c r="X13" s="24">
        <f t="shared" si="9"/>
        <v>0</v>
      </c>
      <c r="Y13" s="25">
        <f t="shared" si="10"/>
        <v>0</v>
      </c>
      <c r="Z13" s="14">
        <v>0</v>
      </c>
      <c r="AA13" s="14" t="s">
        <v>35</v>
      </c>
      <c r="AB13" s="27">
        <f t="shared" si="11"/>
        <v>-0.69</v>
      </c>
      <c r="AC13" s="28">
        <v>7.7673333333333344E-2</v>
      </c>
      <c r="AD13" s="25">
        <f t="shared" si="12"/>
        <v>-2.7869192000000003</v>
      </c>
      <c r="AE13" s="25">
        <v>-5.42</v>
      </c>
      <c r="AF13" s="25">
        <v>-6.9</v>
      </c>
      <c r="AG13" s="25">
        <v>0</v>
      </c>
    </row>
    <row r="14" spans="1:33" ht="15.75" customHeight="1">
      <c r="A14" s="14" t="s">
        <v>32</v>
      </c>
      <c r="B14" s="14" t="s">
        <v>198</v>
      </c>
      <c r="C14" s="15">
        <f t="shared" si="4"/>
        <v>34.115833333333335</v>
      </c>
      <c r="D14" s="16">
        <v>24</v>
      </c>
      <c r="E14" s="16">
        <v>1</v>
      </c>
      <c r="F14" s="17">
        <v>818.78000000000009</v>
      </c>
      <c r="G14" s="29">
        <v>0</v>
      </c>
      <c r="H14" s="18">
        <f t="shared" si="1"/>
        <v>0</v>
      </c>
      <c r="I14" s="18">
        <f t="shared" si="2"/>
        <v>0.48573543467109603</v>
      </c>
      <c r="J14" s="17">
        <f t="shared" si="5"/>
        <v>397.71045920000006</v>
      </c>
      <c r="K14" s="17">
        <f t="shared" si="3"/>
        <v>16.571269133333335</v>
      </c>
      <c r="L14" s="16">
        <v>98</v>
      </c>
      <c r="M14" s="19">
        <f t="shared" si="6"/>
        <v>0.24489795918367346</v>
      </c>
      <c r="N14" s="16">
        <v>159</v>
      </c>
      <c r="O14" s="20">
        <f t="shared" ref="O14:P14" si="22">D14/7</f>
        <v>3.4285714285714284</v>
      </c>
      <c r="P14" s="20">
        <f t="shared" si="22"/>
        <v>0.14285714285714285</v>
      </c>
      <c r="Q14" s="16">
        <f t="shared" si="8"/>
        <v>44</v>
      </c>
      <c r="R14" s="16"/>
      <c r="S14" s="21">
        <v>3.84</v>
      </c>
      <c r="T14" s="14">
        <v>200</v>
      </c>
      <c r="U14" s="22" t="s">
        <v>34</v>
      </c>
      <c r="V14" s="23" t="s">
        <v>34</v>
      </c>
      <c r="W14" s="14">
        <v>0</v>
      </c>
      <c r="X14" s="24">
        <f t="shared" si="9"/>
        <v>0</v>
      </c>
      <c r="Y14" s="25">
        <f t="shared" si="10"/>
        <v>0</v>
      </c>
      <c r="Z14" s="14">
        <v>0</v>
      </c>
      <c r="AA14" s="14" t="s">
        <v>35</v>
      </c>
      <c r="AB14" s="27">
        <f t="shared" si="11"/>
        <v>-0.69</v>
      </c>
      <c r="AC14" s="28">
        <v>7.7673333333333344E-2</v>
      </c>
      <c r="AD14" s="25">
        <f t="shared" si="12"/>
        <v>-2.5725408000000005</v>
      </c>
      <c r="AE14" s="25">
        <v>-5.42</v>
      </c>
      <c r="AF14" s="25">
        <v>-6.9</v>
      </c>
      <c r="AG14" s="25">
        <v>0</v>
      </c>
    </row>
    <row r="15" spans="1:33" ht="15.75" customHeight="1">
      <c r="A15" s="14" t="s">
        <v>36</v>
      </c>
      <c r="B15" s="14" t="s">
        <v>199</v>
      </c>
      <c r="C15" s="15">
        <f t="shared" si="4"/>
        <v>36.18636363636363</v>
      </c>
      <c r="D15" s="16">
        <v>11</v>
      </c>
      <c r="E15" s="16">
        <v>1</v>
      </c>
      <c r="F15" s="17">
        <v>398.04999999999995</v>
      </c>
      <c r="G15" s="29">
        <v>0</v>
      </c>
      <c r="H15" s="18">
        <f t="shared" si="1"/>
        <v>0</v>
      </c>
      <c r="I15" s="18">
        <f t="shared" si="2"/>
        <v>0.50574907373445532</v>
      </c>
      <c r="J15" s="17">
        <f t="shared" si="5"/>
        <v>201.31341879999994</v>
      </c>
      <c r="K15" s="17">
        <f t="shared" si="3"/>
        <v>18.301219890909085</v>
      </c>
      <c r="L15" s="16">
        <v>63</v>
      </c>
      <c r="M15" s="19">
        <f t="shared" si="6"/>
        <v>0.17460317460317459</v>
      </c>
      <c r="N15" s="16">
        <v>0</v>
      </c>
      <c r="O15" s="20">
        <f t="shared" ref="O15:P15" si="23">D15/7</f>
        <v>1.5714285714285714</v>
      </c>
      <c r="P15" s="20">
        <f t="shared" si="23"/>
        <v>0.14285714285714285</v>
      </c>
      <c r="Q15" s="16">
        <f t="shared" si="8"/>
        <v>0</v>
      </c>
      <c r="R15" s="16"/>
      <c r="S15" s="21">
        <v>4.8396946564885397</v>
      </c>
      <c r="T15" s="14">
        <v>200</v>
      </c>
      <c r="U15" s="22" t="s">
        <v>34</v>
      </c>
      <c r="V15" s="23" t="s">
        <v>34</v>
      </c>
      <c r="W15" s="14">
        <v>0</v>
      </c>
      <c r="X15" s="24">
        <f t="shared" si="9"/>
        <v>0</v>
      </c>
      <c r="Y15" s="25">
        <f t="shared" si="10"/>
        <v>0</v>
      </c>
      <c r="Z15" s="14">
        <v>0</v>
      </c>
      <c r="AA15" s="14" t="s">
        <v>35</v>
      </c>
      <c r="AB15" s="27">
        <f t="shared" si="11"/>
        <v>-0.69</v>
      </c>
      <c r="AC15" s="28">
        <v>7.7673333333333344E-2</v>
      </c>
      <c r="AD15" s="25">
        <f t="shared" si="12"/>
        <v>-1.1790812000000002</v>
      </c>
      <c r="AE15" s="25">
        <v>-5.42</v>
      </c>
      <c r="AF15" s="25">
        <v>-6.93</v>
      </c>
      <c r="AG15" s="25">
        <v>0</v>
      </c>
    </row>
    <row r="16" spans="1:33" ht="15.75" customHeight="1">
      <c r="A16" s="14" t="s">
        <v>38</v>
      </c>
      <c r="B16" s="14" t="s">
        <v>200</v>
      </c>
      <c r="C16" s="15">
        <f t="shared" si="4"/>
        <v>37.519999999999996</v>
      </c>
      <c r="D16" s="16">
        <v>16</v>
      </c>
      <c r="E16" s="16">
        <v>0</v>
      </c>
      <c r="F16" s="17">
        <v>600.31999999999994</v>
      </c>
      <c r="G16" s="29">
        <v>0</v>
      </c>
      <c r="H16" s="18">
        <f t="shared" si="1"/>
        <v>0</v>
      </c>
      <c r="I16" s="18">
        <f t="shared" si="2"/>
        <v>0.51798536247334748</v>
      </c>
      <c r="J16" s="17">
        <f t="shared" si="5"/>
        <v>310.9569727999999</v>
      </c>
      <c r="K16" s="17">
        <f t="shared" si="3"/>
        <v>19.434810799999994</v>
      </c>
      <c r="L16" s="16">
        <v>82</v>
      </c>
      <c r="M16" s="19">
        <f t="shared" si="6"/>
        <v>0.1951219512195122</v>
      </c>
      <c r="N16" s="16">
        <v>130</v>
      </c>
      <c r="O16" s="20">
        <f t="shared" ref="O16:P16" si="24">D16/7</f>
        <v>2.2857142857142856</v>
      </c>
      <c r="P16" s="20">
        <f t="shared" si="24"/>
        <v>0</v>
      </c>
      <c r="Q16" s="16">
        <f t="shared" si="8"/>
        <v>56</v>
      </c>
      <c r="R16" s="16"/>
      <c r="S16" s="21">
        <v>2.8271334792122498</v>
      </c>
      <c r="T16" s="14">
        <v>200</v>
      </c>
      <c r="U16" s="22" t="s">
        <v>34</v>
      </c>
      <c r="V16" s="23" t="s">
        <v>34</v>
      </c>
      <c r="W16" s="14">
        <v>0</v>
      </c>
      <c r="X16" s="24">
        <f t="shared" si="9"/>
        <v>0</v>
      </c>
      <c r="Y16" s="25">
        <f t="shared" si="10"/>
        <v>0</v>
      </c>
      <c r="Z16" s="14">
        <v>0</v>
      </c>
      <c r="AA16" s="14" t="s">
        <v>35</v>
      </c>
      <c r="AB16" s="27">
        <f t="shared" si="11"/>
        <v>-0.69</v>
      </c>
      <c r="AC16" s="28">
        <v>7.7673333333333344E-2</v>
      </c>
      <c r="AD16" s="25">
        <f t="shared" si="12"/>
        <v>-1.7150272000000002</v>
      </c>
      <c r="AE16" s="25">
        <v>-5.42</v>
      </c>
      <c r="AF16" s="25">
        <v>-6.93</v>
      </c>
      <c r="AG16" s="25">
        <v>0</v>
      </c>
    </row>
    <row r="17" spans="1:33" ht="15.75" customHeight="1">
      <c r="A17" s="14" t="s">
        <v>40</v>
      </c>
      <c r="B17" s="14" t="s">
        <v>120</v>
      </c>
      <c r="C17" s="15">
        <f t="shared" si="4"/>
        <v>33.99</v>
      </c>
      <c r="D17" s="16">
        <v>26</v>
      </c>
      <c r="E17" s="16">
        <v>3</v>
      </c>
      <c r="F17" s="17">
        <v>883.74000000000012</v>
      </c>
      <c r="G17" s="29">
        <v>-0.05</v>
      </c>
      <c r="H17" s="18">
        <f t="shared" si="1"/>
        <v>5.6577726480639098E-5</v>
      </c>
      <c r="I17" s="18">
        <f t="shared" si="2"/>
        <v>0.48344771177043028</v>
      </c>
      <c r="J17" s="17">
        <f t="shared" si="5"/>
        <v>427.24208080000011</v>
      </c>
      <c r="K17" s="17">
        <f t="shared" si="3"/>
        <v>16.432387723076928</v>
      </c>
      <c r="L17" s="16">
        <v>131</v>
      </c>
      <c r="M17" s="19">
        <f t="shared" si="6"/>
        <v>0.19847328244274809</v>
      </c>
      <c r="N17" s="16">
        <v>107</v>
      </c>
      <c r="O17" s="20">
        <f t="shared" ref="O17:P17" si="25">D17/7</f>
        <v>3.7142857142857144</v>
      </c>
      <c r="P17" s="20">
        <f t="shared" si="25"/>
        <v>0.42857142857142855</v>
      </c>
      <c r="Q17" s="16">
        <f t="shared" si="8"/>
        <v>25</v>
      </c>
      <c r="R17" s="16"/>
      <c r="S17" s="21">
        <v>3.5778364116094901</v>
      </c>
      <c r="T17" s="14">
        <v>200</v>
      </c>
      <c r="U17" s="22" t="s">
        <v>34</v>
      </c>
      <c r="V17" s="23" t="s">
        <v>34</v>
      </c>
      <c r="W17" s="14">
        <v>0</v>
      </c>
      <c r="X17" s="24">
        <f t="shared" si="9"/>
        <v>0</v>
      </c>
      <c r="Y17" s="25">
        <f t="shared" si="10"/>
        <v>0</v>
      </c>
      <c r="Z17" s="14">
        <v>0</v>
      </c>
      <c r="AA17" s="14" t="s">
        <v>35</v>
      </c>
      <c r="AB17" s="27">
        <f t="shared" si="11"/>
        <v>-0.69</v>
      </c>
      <c r="AC17" s="28">
        <v>7.7673333333333344E-2</v>
      </c>
      <c r="AD17" s="25">
        <f t="shared" si="12"/>
        <v>-2.7869192000000003</v>
      </c>
      <c r="AE17" s="25">
        <v>-5.42</v>
      </c>
      <c r="AF17" s="25">
        <v>-6.93</v>
      </c>
      <c r="AG17" s="25">
        <v>0</v>
      </c>
    </row>
    <row r="18" spans="1:33" ht="15.75" customHeight="1">
      <c r="A18" s="14" t="s">
        <v>42</v>
      </c>
      <c r="B18" s="14" t="s">
        <v>68</v>
      </c>
      <c r="C18" s="15">
        <f t="shared" si="4"/>
        <v>32.211470588235287</v>
      </c>
      <c r="D18" s="16">
        <v>34</v>
      </c>
      <c r="E18" s="16">
        <v>0</v>
      </c>
      <c r="F18" s="17">
        <v>1095.1899999999998</v>
      </c>
      <c r="G18" s="29">
        <v>0</v>
      </c>
      <c r="H18" s="18">
        <f t="shared" si="1"/>
        <v>0</v>
      </c>
      <c r="I18" s="18">
        <f t="shared" si="2"/>
        <v>0.46326853532263801</v>
      </c>
      <c r="J18" s="17">
        <f t="shared" si="5"/>
        <v>507.36706719999984</v>
      </c>
      <c r="K18" s="17">
        <f t="shared" si="3"/>
        <v>14.922560799999996</v>
      </c>
      <c r="L18" s="16">
        <v>149</v>
      </c>
      <c r="M18" s="19">
        <f t="shared" si="6"/>
        <v>0.22818791946308725</v>
      </c>
      <c r="N18" s="16">
        <v>83</v>
      </c>
      <c r="O18" s="20">
        <f t="shared" ref="O18:P18" si="26">D18/7</f>
        <v>4.8571428571428568</v>
      </c>
      <c r="P18" s="20">
        <f t="shared" si="26"/>
        <v>0</v>
      </c>
      <c r="Q18" s="16">
        <f t="shared" si="8"/>
        <v>17</v>
      </c>
      <c r="R18" s="16"/>
      <c r="S18" s="21">
        <v>5.2747252747252702</v>
      </c>
      <c r="T18" s="14">
        <v>400</v>
      </c>
      <c r="U18" s="22">
        <v>0</v>
      </c>
      <c r="V18" s="23" t="s">
        <v>201</v>
      </c>
      <c r="W18" s="14">
        <v>0</v>
      </c>
      <c r="X18" s="24">
        <f t="shared" si="9"/>
        <v>0</v>
      </c>
      <c r="Y18" s="25">
        <f t="shared" si="10"/>
        <v>0</v>
      </c>
      <c r="Z18" s="14">
        <v>0</v>
      </c>
      <c r="AA18" s="14" t="s">
        <v>35</v>
      </c>
      <c r="AB18" s="27">
        <f t="shared" si="11"/>
        <v>-0.69</v>
      </c>
      <c r="AC18" s="28">
        <v>7.7673333333333344E-2</v>
      </c>
      <c r="AD18" s="25">
        <f t="shared" si="12"/>
        <v>-3.6444328000000006</v>
      </c>
      <c r="AE18" s="25">
        <v>-5.42</v>
      </c>
      <c r="AF18" s="25">
        <v>-6.93</v>
      </c>
      <c r="AG18" s="25">
        <v>0</v>
      </c>
    </row>
    <row r="19" spans="1:33" ht="15.75" customHeight="1">
      <c r="A19" s="14" t="s">
        <v>44</v>
      </c>
      <c r="B19" s="14" t="s">
        <v>202</v>
      </c>
      <c r="C19" s="15">
        <f t="shared" si="4"/>
        <v>30.42761904761905</v>
      </c>
      <c r="D19" s="16">
        <v>21</v>
      </c>
      <c r="E19" s="16">
        <v>0</v>
      </c>
      <c r="F19" s="17">
        <v>638.98</v>
      </c>
      <c r="G19" s="29">
        <v>0</v>
      </c>
      <c r="H19" s="18">
        <f t="shared" si="1"/>
        <v>0</v>
      </c>
      <c r="I19" s="18">
        <f t="shared" si="2"/>
        <v>0.43002993333124678</v>
      </c>
      <c r="J19" s="17">
        <f t="shared" si="5"/>
        <v>274.78052680000008</v>
      </c>
      <c r="K19" s="17">
        <f t="shared" si="3"/>
        <v>13.084786990476195</v>
      </c>
      <c r="L19" s="16">
        <v>101</v>
      </c>
      <c r="M19" s="19">
        <f t="shared" si="6"/>
        <v>0.20792079207920791</v>
      </c>
      <c r="N19" s="16">
        <v>54</v>
      </c>
      <c r="O19" s="20">
        <f t="shared" ref="O19:P19" si="27">D19/7</f>
        <v>3</v>
      </c>
      <c r="P19" s="20">
        <f t="shared" si="27"/>
        <v>0</v>
      </c>
      <c r="Q19" s="16">
        <f t="shared" si="8"/>
        <v>18</v>
      </c>
      <c r="R19" s="16"/>
      <c r="S19" s="21">
        <v>4.51917404129793</v>
      </c>
      <c r="T19" s="14">
        <v>400</v>
      </c>
      <c r="U19" s="22">
        <v>200</v>
      </c>
      <c r="V19" s="23" t="s">
        <v>203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14" t="s">
        <v>35</v>
      </c>
      <c r="AB19" s="27">
        <f t="shared" si="11"/>
        <v>-0.69</v>
      </c>
      <c r="AC19" s="28">
        <v>7.7673333333333344E-2</v>
      </c>
      <c r="AD19" s="25">
        <f t="shared" si="12"/>
        <v>-2.2509732000000002</v>
      </c>
      <c r="AE19" s="25">
        <v>-5.42</v>
      </c>
      <c r="AF19" s="25">
        <v>-7.2515000000000001</v>
      </c>
      <c r="AG19" s="25">
        <v>0</v>
      </c>
    </row>
    <row r="20" spans="1:33" ht="15.75" customHeight="1">
      <c r="A20" s="14" t="s">
        <v>46</v>
      </c>
      <c r="B20" s="14" t="s">
        <v>204</v>
      </c>
      <c r="C20" s="15">
        <f t="shared" si="4"/>
        <v>31.75142857142859</v>
      </c>
      <c r="D20" s="16">
        <v>35</v>
      </c>
      <c r="E20" s="16">
        <v>0</v>
      </c>
      <c r="F20" s="17">
        <v>1111.3000000000006</v>
      </c>
      <c r="G20" s="29">
        <v>0</v>
      </c>
      <c r="H20" s="18">
        <f t="shared" si="1"/>
        <v>0</v>
      </c>
      <c r="I20" s="18">
        <f t="shared" si="2"/>
        <v>0.44753970844956376</v>
      </c>
      <c r="J20" s="17">
        <f t="shared" si="5"/>
        <v>497.35087800000048</v>
      </c>
      <c r="K20" s="17">
        <f t="shared" si="3"/>
        <v>14.2100250857143</v>
      </c>
      <c r="L20" s="16">
        <v>93</v>
      </c>
      <c r="M20" s="19">
        <f t="shared" si="6"/>
        <v>0.37634408602150538</v>
      </c>
      <c r="N20" s="16">
        <v>24</v>
      </c>
      <c r="O20" s="20">
        <f t="shared" ref="O20:P20" si="28">D20/7</f>
        <v>5</v>
      </c>
      <c r="P20" s="20">
        <f t="shared" si="28"/>
        <v>0</v>
      </c>
      <c r="Q20" s="16">
        <f t="shared" si="8"/>
        <v>4</v>
      </c>
      <c r="R20" s="16"/>
      <c r="S20" s="21">
        <v>3.06890130353817</v>
      </c>
      <c r="T20" s="14">
        <v>400</v>
      </c>
      <c r="U20" s="22">
        <v>200</v>
      </c>
      <c r="V20" s="23" t="s">
        <v>205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14" t="s">
        <v>35</v>
      </c>
      <c r="AB20" s="27">
        <f t="shared" si="11"/>
        <v>-0.69</v>
      </c>
      <c r="AC20" s="28">
        <v>7.7673333333333344E-2</v>
      </c>
      <c r="AD20" s="25">
        <f t="shared" si="12"/>
        <v>-3.7516220000000002</v>
      </c>
      <c r="AE20" s="25">
        <v>-5.42</v>
      </c>
      <c r="AF20" s="25">
        <v>-7.2515000000000001</v>
      </c>
      <c r="AG20" s="25">
        <v>0</v>
      </c>
    </row>
    <row r="21" spans="1:33" ht="15.75" customHeight="1">
      <c r="A21" s="14" t="s">
        <v>47</v>
      </c>
      <c r="B21" s="14" t="s">
        <v>68</v>
      </c>
      <c r="C21" s="15">
        <f t="shared" si="4"/>
        <v>36.240909090909106</v>
      </c>
      <c r="D21" s="16">
        <v>22</v>
      </c>
      <c r="E21" s="16">
        <v>0</v>
      </c>
      <c r="F21" s="17">
        <v>797.3000000000003</v>
      </c>
      <c r="G21" s="29">
        <v>0</v>
      </c>
      <c r="H21" s="18">
        <f t="shared" si="1"/>
        <v>0</v>
      </c>
      <c r="I21" s="18">
        <f t="shared" si="2"/>
        <v>0.49739600852878474</v>
      </c>
      <c r="J21" s="17">
        <f t="shared" si="5"/>
        <v>396.57383760000022</v>
      </c>
      <c r="K21" s="17">
        <f t="shared" si="3"/>
        <v>18.026083527272736</v>
      </c>
      <c r="L21" s="16">
        <v>44</v>
      </c>
      <c r="M21" s="19">
        <f t="shared" si="6"/>
        <v>0.5</v>
      </c>
      <c r="N21" s="16">
        <v>118</v>
      </c>
      <c r="O21" s="20">
        <f t="shared" ref="O21:P21" si="29">D21/7</f>
        <v>3.1428571428571428</v>
      </c>
      <c r="P21" s="20">
        <f t="shared" si="29"/>
        <v>0</v>
      </c>
      <c r="Q21" s="16">
        <f t="shared" si="8"/>
        <v>37</v>
      </c>
      <c r="R21" s="16"/>
      <c r="S21" s="21">
        <v>2.9343629343629298</v>
      </c>
      <c r="T21" s="14">
        <v>400</v>
      </c>
      <c r="U21" s="22">
        <v>200</v>
      </c>
      <c r="V21" s="23" t="s">
        <v>206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14" t="s">
        <v>35</v>
      </c>
      <c r="AB21" s="27">
        <f t="shared" si="11"/>
        <v>-0.69</v>
      </c>
      <c r="AC21" s="28">
        <v>7.7673333333333344E-2</v>
      </c>
      <c r="AD21" s="25">
        <f t="shared" si="12"/>
        <v>-2.3581624000000003</v>
      </c>
      <c r="AE21" s="25">
        <v>-5.42</v>
      </c>
      <c r="AF21" s="25">
        <v>-7.2515000000000001</v>
      </c>
      <c r="AG21" s="25">
        <v>0</v>
      </c>
    </row>
    <row r="22" spans="1:33" ht="15.75" customHeight="1">
      <c r="A22" s="14" t="s">
        <v>48</v>
      </c>
      <c r="B22" s="14" t="s">
        <v>207</v>
      </c>
      <c r="C22" s="15">
        <f t="shared" si="4"/>
        <v>37.324545454545465</v>
      </c>
      <c r="D22" s="16">
        <v>11</v>
      </c>
      <c r="E22" s="16">
        <v>2</v>
      </c>
      <c r="F22" s="29">
        <v>410.57000000000011</v>
      </c>
      <c r="G22" s="29">
        <v>0</v>
      </c>
      <c r="H22" s="18">
        <f t="shared" si="1"/>
        <v>0</v>
      </c>
      <c r="I22" s="18">
        <f t="shared" si="2"/>
        <v>0.50763309252989741</v>
      </c>
      <c r="J22" s="17">
        <f t="shared" si="5"/>
        <v>208.41891880000006</v>
      </c>
      <c r="K22" s="17">
        <f t="shared" si="3"/>
        <v>18.947174436363643</v>
      </c>
      <c r="L22" s="16">
        <v>82</v>
      </c>
      <c r="M22" s="19">
        <f t="shared" si="6"/>
        <v>0.13414634146341464</v>
      </c>
      <c r="N22" s="16">
        <v>103</v>
      </c>
      <c r="O22" s="20">
        <f t="shared" ref="O22:P22" si="30">D22/7</f>
        <v>1.5714285714285714</v>
      </c>
      <c r="P22" s="20">
        <f t="shared" si="30"/>
        <v>0.2857142857142857</v>
      </c>
      <c r="Q22" s="16">
        <f t="shared" si="8"/>
        <v>55</v>
      </c>
      <c r="R22" s="16"/>
      <c r="S22" s="21">
        <v>3.5311720698254301</v>
      </c>
      <c r="T22" s="14">
        <v>400</v>
      </c>
      <c r="U22" s="22">
        <v>200</v>
      </c>
      <c r="V22" s="23" t="s">
        <v>206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35</v>
      </c>
      <c r="AB22" s="27">
        <f t="shared" si="11"/>
        <v>-0.69</v>
      </c>
      <c r="AC22" s="28">
        <v>7.7673333333333344E-2</v>
      </c>
      <c r="AD22" s="25">
        <f t="shared" si="12"/>
        <v>-1.1790812000000002</v>
      </c>
      <c r="AE22" s="25">
        <v>-5.42</v>
      </c>
      <c r="AF22" s="25">
        <v>-7.2515000000000001</v>
      </c>
      <c r="AG22" s="25">
        <v>0</v>
      </c>
    </row>
    <row r="23" spans="1:33" ht="15.75" customHeight="1">
      <c r="A23" s="14" t="s">
        <v>49</v>
      </c>
      <c r="B23" s="14" t="s">
        <v>68</v>
      </c>
      <c r="C23" s="15">
        <f t="shared" si="4"/>
        <v>36.513500000000008</v>
      </c>
      <c r="D23" s="16">
        <v>20</v>
      </c>
      <c r="E23" s="16">
        <v>0</v>
      </c>
      <c r="F23" s="17">
        <v>730.2700000000001</v>
      </c>
      <c r="G23" s="29">
        <v>-0.08</v>
      </c>
      <c r="H23" s="18">
        <f t="shared" si="1"/>
        <v>1.0954852314897229E-4</v>
      </c>
      <c r="I23" s="18">
        <f t="shared" si="2"/>
        <v>0.49991881906692048</v>
      </c>
      <c r="J23" s="17">
        <f t="shared" si="5"/>
        <v>365.07571600000006</v>
      </c>
      <c r="K23" s="17">
        <f t="shared" si="3"/>
        <v>18.253785800000003</v>
      </c>
      <c r="L23" s="16">
        <v>78</v>
      </c>
      <c r="M23" s="19">
        <f t="shared" si="6"/>
        <v>0.25641025641025639</v>
      </c>
      <c r="N23" s="16">
        <v>74</v>
      </c>
      <c r="O23" s="20">
        <f t="shared" ref="O23:P23" si="31">D23/7</f>
        <v>2.8571428571428572</v>
      </c>
      <c r="P23" s="20">
        <f t="shared" si="31"/>
        <v>0</v>
      </c>
      <c r="Q23" s="16">
        <f t="shared" si="8"/>
        <v>25</v>
      </c>
      <c r="R23" s="16"/>
      <c r="S23" s="21">
        <v>3.19058823529411</v>
      </c>
      <c r="T23" s="14">
        <v>800</v>
      </c>
      <c r="U23" s="22">
        <v>200</v>
      </c>
      <c r="V23" s="23" t="s">
        <v>206</v>
      </c>
      <c r="W23" s="14">
        <v>0</v>
      </c>
      <c r="X23" s="24">
        <f t="shared" si="9"/>
        <v>0</v>
      </c>
      <c r="Y23" s="25">
        <f t="shared" si="10"/>
        <v>0.08</v>
      </c>
      <c r="Z23" s="14">
        <v>1</v>
      </c>
      <c r="AA23" s="14" t="s">
        <v>35</v>
      </c>
      <c r="AB23" s="27">
        <f t="shared" si="11"/>
        <v>-0.69</v>
      </c>
      <c r="AC23" s="28">
        <v>7.7673333333333344E-2</v>
      </c>
      <c r="AD23" s="25">
        <f t="shared" si="12"/>
        <v>-2.1437840000000001</v>
      </c>
      <c r="AE23" s="25">
        <v>-5.42</v>
      </c>
      <c r="AF23" s="25">
        <v>-7.2515000000000001</v>
      </c>
      <c r="AG23" s="25">
        <v>0</v>
      </c>
    </row>
    <row r="24" spans="1:33" ht="15.75" customHeight="1">
      <c r="A24" s="14" t="s">
        <v>50</v>
      </c>
      <c r="B24" s="14" t="s">
        <v>208</v>
      </c>
      <c r="C24" s="15">
        <f t="shared" si="4"/>
        <v>33.452558139534887</v>
      </c>
      <c r="D24" s="16">
        <v>43</v>
      </c>
      <c r="E24" s="16">
        <v>1</v>
      </c>
      <c r="F24" s="17">
        <v>1438.46</v>
      </c>
      <c r="G24" s="17">
        <v>0</v>
      </c>
      <c r="H24" s="18">
        <f t="shared" si="1"/>
        <v>0</v>
      </c>
      <c r="I24" s="18">
        <f t="shared" si="2"/>
        <v>0.46800562017713399</v>
      </c>
      <c r="J24" s="17">
        <f t="shared" si="5"/>
        <v>673.20736440000019</v>
      </c>
      <c r="K24" s="17">
        <f t="shared" si="3"/>
        <v>15.655985218604656</v>
      </c>
      <c r="L24" s="16">
        <v>106</v>
      </c>
      <c r="M24" s="19">
        <f t="shared" si="6"/>
        <v>0.40566037735849059</v>
      </c>
      <c r="N24" s="16">
        <v>47</v>
      </c>
      <c r="O24" s="20">
        <f t="shared" ref="O24:P24" si="32">D24/7</f>
        <v>6.1428571428571432</v>
      </c>
      <c r="P24" s="20">
        <f t="shared" si="32"/>
        <v>0.14285714285714285</v>
      </c>
      <c r="Q24" s="16">
        <f t="shared" si="8"/>
        <v>7</v>
      </c>
      <c r="R24" s="16"/>
      <c r="S24" s="21">
        <v>2.5676190476190399</v>
      </c>
      <c r="T24" s="14">
        <v>800</v>
      </c>
      <c r="U24" s="22">
        <v>200</v>
      </c>
      <c r="V24" s="23" t="s">
        <v>209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14" t="s">
        <v>35</v>
      </c>
      <c r="AB24" s="27">
        <f t="shared" si="11"/>
        <v>-0.69</v>
      </c>
      <c r="AC24" s="28">
        <v>7.7673333333333344E-2</v>
      </c>
      <c r="AD24" s="25">
        <f t="shared" si="12"/>
        <v>-4.6091356000000001</v>
      </c>
      <c r="AE24" s="25">
        <v>-5.42</v>
      </c>
      <c r="AF24" s="25">
        <v>-7.2515000000000001</v>
      </c>
      <c r="AG24" s="25">
        <v>0</v>
      </c>
    </row>
    <row r="25" spans="1:33" ht="15.75" customHeight="1">
      <c r="A25" s="14" t="s">
        <v>51</v>
      </c>
      <c r="B25" s="14" t="s">
        <v>45</v>
      </c>
      <c r="C25" s="15">
        <f t="shared" si="4"/>
        <v>33.54447368421053</v>
      </c>
      <c r="D25" s="16">
        <v>38</v>
      </c>
      <c r="E25" s="16">
        <v>1</v>
      </c>
      <c r="F25" s="17">
        <v>1274.69</v>
      </c>
      <c r="G25" s="17">
        <v>-7.0000000000000007E-2</v>
      </c>
      <c r="H25" s="18">
        <f t="shared" si="1"/>
        <v>5.4915312742706073E-5</v>
      </c>
      <c r="I25" s="18">
        <f t="shared" si="2"/>
        <v>0.46917353434952813</v>
      </c>
      <c r="J25" s="17">
        <f t="shared" si="5"/>
        <v>598.05081250000001</v>
      </c>
      <c r="K25" s="17">
        <f t="shared" si="3"/>
        <v>15.73817927631579</v>
      </c>
      <c r="L25" s="16">
        <v>147</v>
      </c>
      <c r="M25" s="19">
        <f t="shared" si="6"/>
        <v>0.25850340136054423</v>
      </c>
      <c r="N25" s="16">
        <v>4</v>
      </c>
      <c r="O25" s="20">
        <f t="shared" ref="O25:P25" si="33">D25/7</f>
        <v>5.4285714285714288</v>
      </c>
      <c r="P25" s="20">
        <f t="shared" si="33"/>
        <v>0.14285714285714285</v>
      </c>
      <c r="Q25" s="16">
        <f t="shared" si="8"/>
        <v>0</v>
      </c>
      <c r="R25" s="16"/>
      <c r="S25" s="21">
        <v>2.8191268191268191</v>
      </c>
      <c r="T25" s="14">
        <v>800</v>
      </c>
      <c r="U25" s="22">
        <v>200</v>
      </c>
      <c r="V25" s="23" t="s">
        <v>210</v>
      </c>
      <c r="W25" s="30">
        <v>1</v>
      </c>
      <c r="X25" s="24">
        <f t="shared" si="9"/>
        <v>2.6315789473684209E-2</v>
      </c>
      <c r="Y25" s="25">
        <f t="shared" si="10"/>
        <v>7.0000000000000007E-2</v>
      </c>
      <c r="Z25" s="30">
        <v>0</v>
      </c>
      <c r="AA25" s="14" t="s">
        <v>35</v>
      </c>
      <c r="AB25" s="27">
        <f t="shared" si="11"/>
        <v>-0.69</v>
      </c>
      <c r="AC25" s="28">
        <v>7.447916666666668E-2</v>
      </c>
      <c r="AD25" s="25">
        <f t="shared" si="12"/>
        <v>-3.9056875</v>
      </c>
      <c r="AE25" s="25">
        <v>-5.42</v>
      </c>
      <c r="AF25" s="25">
        <v>-7.25</v>
      </c>
      <c r="AG25" s="25">
        <v>0</v>
      </c>
    </row>
    <row r="26" spans="1:33" ht="15.75" customHeight="1">
      <c r="A26" s="14" t="s">
        <v>52</v>
      </c>
      <c r="B26" s="14" t="s">
        <v>45</v>
      </c>
      <c r="C26" s="15">
        <f t="shared" si="4"/>
        <v>35.356000000000002</v>
      </c>
      <c r="D26" s="16">
        <v>5</v>
      </c>
      <c r="E26" s="16">
        <v>0</v>
      </c>
      <c r="F26" s="17">
        <v>176.78</v>
      </c>
      <c r="G26" s="17">
        <v>0</v>
      </c>
      <c r="H26" s="18">
        <f t="shared" si="1"/>
        <v>0</v>
      </c>
      <c r="I26" s="18">
        <f t="shared" si="2"/>
        <v>0.48134174538975</v>
      </c>
      <c r="J26" s="17">
        <f t="shared" si="5"/>
        <v>85.091593750000001</v>
      </c>
      <c r="K26" s="17">
        <f t="shared" si="3"/>
        <v>17.018318749999999</v>
      </c>
      <c r="L26" s="16">
        <v>119</v>
      </c>
      <c r="M26" s="19">
        <f t="shared" si="6"/>
        <v>4.2016806722689079E-2</v>
      </c>
      <c r="N26" s="16">
        <v>0</v>
      </c>
      <c r="O26" s="20">
        <f t="shared" ref="O26:P26" si="34">D26/7</f>
        <v>0.7142857142857143</v>
      </c>
      <c r="P26" s="20">
        <f t="shared" si="34"/>
        <v>0</v>
      </c>
      <c r="Q26" s="16">
        <f t="shared" si="8"/>
        <v>0</v>
      </c>
      <c r="R26" s="16"/>
      <c r="S26" s="21">
        <v>3.1351351351351351</v>
      </c>
      <c r="T26" s="14">
        <v>800</v>
      </c>
      <c r="U26" s="22">
        <v>200</v>
      </c>
      <c r="V26" s="23" t="s">
        <v>211</v>
      </c>
      <c r="W26" s="30">
        <v>0</v>
      </c>
      <c r="X26" s="24">
        <f t="shared" si="9"/>
        <v>0</v>
      </c>
      <c r="Y26" s="25">
        <f t="shared" si="10"/>
        <v>0</v>
      </c>
      <c r="Z26" s="30">
        <v>0</v>
      </c>
      <c r="AA26" s="14" t="s">
        <v>35</v>
      </c>
      <c r="AB26" s="27">
        <f t="shared" si="11"/>
        <v>-0.69</v>
      </c>
      <c r="AC26" s="28">
        <v>7.447916666666668E-2</v>
      </c>
      <c r="AD26" s="25">
        <f t="shared" si="12"/>
        <v>-0.51390625000000001</v>
      </c>
      <c r="AE26" s="25">
        <v>-5.68</v>
      </c>
      <c r="AF26" s="25">
        <v>-7.2515000000000001</v>
      </c>
      <c r="AG26" s="25">
        <v>0</v>
      </c>
    </row>
    <row r="27" spans="1:33" ht="15.75" customHeight="1">
      <c r="A27" s="14" t="s">
        <v>53</v>
      </c>
      <c r="B27" s="14" t="s">
        <v>212</v>
      </c>
      <c r="C27" s="15">
        <f t="shared" si="4"/>
        <v>35.094210526315784</v>
      </c>
      <c r="D27" s="16">
        <v>19</v>
      </c>
      <c r="E27" s="16">
        <v>1</v>
      </c>
      <c r="F27" s="17">
        <v>666.79</v>
      </c>
      <c r="G27" s="17">
        <v>0</v>
      </c>
      <c r="H27" s="18">
        <f t="shared" si="1"/>
        <v>0</v>
      </c>
      <c r="I27" s="18">
        <f t="shared" si="2"/>
        <v>0.49224066985107756</v>
      </c>
      <c r="J27" s="17">
        <f t="shared" si="5"/>
        <v>328.22115624999998</v>
      </c>
      <c r="K27" s="17">
        <f t="shared" si="3"/>
        <v>17.27479769736842</v>
      </c>
      <c r="L27" s="16">
        <v>85</v>
      </c>
      <c r="M27" s="19">
        <f t="shared" si="6"/>
        <v>0.22352941176470589</v>
      </c>
      <c r="N27" s="16">
        <v>196</v>
      </c>
      <c r="O27" s="20">
        <f t="shared" ref="O27:P27" si="35">D27/7</f>
        <v>2.7142857142857144</v>
      </c>
      <c r="P27" s="20">
        <f t="shared" si="35"/>
        <v>0.14285714285714285</v>
      </c>
      <c r="Q27" s="16">
        <f t="shared" si="8"/>
        <v>68</v>
      </c>
      <c r="R27" s="16"/>
      <c r="S27" s="21">
        <v>2.246679316888045</v>
      </c>
      <c r="T27" s="14">
        <v>600</v>
      </c>
      <c r="U27" s="22">
        <v>200</v>
      </c>
      <c r="V27" s="23" t="s">
        <v>213</v>
      </c>
      <c r="W27" s="30">
        <v>0</v>
      </c>
      <c r="X27" s="24">
        <f t="shared" si="9"/>
        <v>0</v>
      </c>
      <c r="Y27" s="25">
        <f t="shared" si="10"/>
        <v>0</v>
      </c>
      <c r="Z27" s="30">
        <v>0</v>
      </c>
      <c r="AA27" s="14" t="s">
        <v>35</v>
      </c>
      <c r="AB27" s="27">
        <f t="shared" si="11"/>
        <v>-0.69</v>
      </c>
      <c r="AC27" s="28">
        <v>7.447916666666668E-2</v>
      </c>
      <c r="AD27" s="25">
        <f t="shared" si="12"/>
        <v>-1.95284375</v>
      </c>
      <c r="AE27" s="25">
        <v>-5.68</v>
      </c>
      <c r="AF27" s="25">
        <v>-6.7725</v>
      </c>
      <c r="AG27" s="25">
        <v>0</v>
      </c>
    </row>
    <row r="28" spans="1:33" ht="15.75" customHeight="1">
      <c r="A28" s="14" t="s">
        <v>54</v>
      </c>
      <c r="B28" s="14" t="s">
        <v>214</v>
      </c>
      <c r="C28" s="15">
        <f t="shared" si="4"/>
        <v>30.489795918367346</v>
      </c>
      <c r="D28" s="16">
        <v>49</v>
      </c>
      <c r="E28" s="16">
        <v>1</v>
      </c>
      <c r="F28" s="17">
        <v>1494</v>
      </c>
      <c r="G28" s="17">
        <v>0</v>
      </c>
      <c r="H28" s="18">
        <f t="shared" si="1"/>
        <v>0</v>
      </c>
      <c r="I28" s="18">
        <f t="shared" si="2"/>
        <v>0.43821366716867466</v>
      </c>
      <c r="J28" s="17">
        <f t="shared" si="5"/>
        <v>654.69121874999996</v>
      </c>
      <c r="K28" s="17">
        <f t="shared" si="3"/>
        <v>13.361045280612244</v>
      </c>
      <c r="L28" s="16">
        <v>151</v>
      </c>
      <c r="M28" s="19">
        <f t="shared" si="6"/>
        <v>0.32450331125827814</v>
      </c>
      <c r="N28" s="16">
        <v>142</v>
      </c>
      <c r="O28" s="20">
        <f t="shared" ref="O28:P28" si="36">D28/7</f>
        <v>7</v>
      </c>
      <c r="P28" s="20">
        <f t="shared" si="36"/>
        <v>0.14285714285714285</v>
      </c>
      <c r="Q28" s="16">
        <f t="shared" si="8"/>
        <v>19</v>
      </c>
      <c r="R28" s="16"/>
      <c r="S28" s="21">
        <v>2.9049773755656112</v>
      </c>
      <c r="T28" s="14">
        <v>1200</v>
      </c>
      <c r="U28" s="22">
        <v>44392</v>
      </c>
      <c r="V28" s="23" t="s">
        <v>215</v>
      </c>
      <c r="W28" s="30">
        <v>0</v>
      </c>
      <c r="X28" s="24">
        <f t="shared" si="9"/>
        <v>0</v>
      </c>
      <c r="Y28" s="25">
        <f t="shared" si="10"/>
        <v>0</v>
      </c>
      <c r="Z28" s="30">
        <v>0</v>
      </c>
      <c r="AA28" s="14" t="s">
        <v>35</v>
      </c>
      <c r="AB28" s="27">
        <f t="shared" si="11"/>
        <v>-0.69</v>
      </c>
      <c r="AC28" s="28">
        <v>7.447916666666668E-2</v>
      </c>
      <c r="AD28" s="25">
        <f t="shared" si="12"/>
        <v>-5.03628125</v>
      </c>
      <c r="AE28" s="25">
        <v>-5.68</v>
      </c>
      <c r="AF28" s="25">
        <v>-6.7725</v>
      </c>
      <c r="AG28" s="25">
        <v>0</v>
      </c>
    </row>
    <row r="29" spans="1:33" ht="15.75" customHeight="1">
      <c r="A29" s="14" t="s">
        <v>55</v>
      </c>
      <c r="B29" s="14" t="s">
        <v>216</v>
      </c>
      <c r="C29" s="15">
        <f t="shared" si="4"/>
        <v>30.322025316455697</v>
      </c>
      <c r="D29" s="16">
        <v>79</v>
      </c>
      <c r="E29" s="16">
        <v>0</v>
      </c>
      <c r="F29" s="17">
        <v>2395.44</v>
      </c>
      <c r="G29" s="17">
        <v>0</v>
      </c>
      <c r="H29" s="18">
        <f t="shared" si="1"/>
        <v>0</v>
      </c>
      <c r="I29" s="18">
        <f t="shared" si="2"/>
        <v>0.43593526919897813</v>
      </c>
      <c r="J29" s="17">
        <f t="shared" si="5"/>
        <v>1044.2567812500001</v>
      </c>
      <c r="K29" s="17">
        <f t="shared" si="3"/>
        <v>13.218440268987344</v>
      </c>
      <c r="L29" s="16">
        <v>188</v>
      </c>
      <c r="M29" s="19">
        <f t="shared" si="6"/>
        <v>0.42021276595744683</v>
      </c>
      <c r="N29" s="16">
        <v>54</v>
      </c>
      <c r="O29" s="20">
        <f t="shared" ref="O29:P29" si="37">D29/7</f>
        <v>11.285714285714286</v>
      </c>
      <c r="P29" s="20">
        <f t="shared" si="37"/>
        <v>0</v>
      </c>
      <c r="Q29" s="16">
        <f t="shared" si="8"/>
        <v>4</v>
      </c>
      <c r="R29" s="16"/>
      <c r="S29" s="21">
        <v>3.9283887468030692</v>
      </c>
      <c r="T29" s="14">
        <v>1520</v>
      </c>
      <c r="U29" s="22">
        <v>44392</v>
      </c>
      <c r="V29" s="23" t="s">
        <v>217</v>
      </c>
      <c r="W29" s="30">
        <v>0</v>
      </c>
      <c r="X29" s="24">
        <f t="shared" si="9"/>
        <v>0</v>
      </c>
      <c r="Y29" s="25">
        <f t="shared" si="10"/>
        <v>0</v>
      </c>
      <c r="Z29" s="30">
        <v>0</v>
      </c>
      <c r="AA29" s="14" t="s">
        <v>35</v>
      </c>
      <c r="AB29" s="27">
        <f t="shared" si="11"/>
        <v>-0.69</v>
      </c>
      <c r="AC29" s="28">
        <v>7.447916666666668E-2</v>
      </c>
      <c r="AD29" s="25">
        <f t="shared" si="12"/>
        <v>-8.1197187500000005</v>
      </c>
      <c r="AE29" s="25">
        <v>-5.68</v>
      </c>
      <c r="AF29" s="25">
        <v>-6.7725</v>
      </c>
      <c r="AG29" s="25">
        <v>0</v>
      </c>
    </row>
    <row r="30" spans="1:33" ht="15.75" customHeight="1">
      <c r="A30" s="14" t="s">
        <v>57</v>
      </c>
      <c r="B30" s="14" t="s">
        <v>45</v>
      </c>
      <c r="C30" s="15">
        <f t="shared" si="4"/>
        <v>33.609821428571415</v>
      </c>
      <c r="D30" s="16">
        <v>56</v>
      </c>
      <c r="E30" s="16">
        <v>2</v>
      </c>
      <c r="F30" s="17">
        <v>1882.1499999999992</v>
      </c>
      <c r="G30" s="17">
        <v>0</v>
      </c>
      <c r="H30" s="18">
        <f t="shared" si="1"/>
        <v>0</v>
      </c>
      <c r="I30" s="18">
        <f t="shared" si="2"/>
        <v>0.48485005246659379</v>
      </c>
      <c r="J30" s="17">
        <f t="shared" si="5"/>
        <v>912.56052624999916</v>
      </c>
      <c r="K30" s="17">
        <f t="shared" si="3"/>
        <v>16.2957236830357</v>
      </c>
      <c r="L30" s="16">
        <v>200</v>
      </c>
      <c r="M30" s="19">
        <f t="shared" si="6"/>
        <v>0.28000000000000003</v>
      </c>
      <c r="N30" s="16">
        <v>7</v>
      </c>
      <c r="O30" s="20">
        <f t="shared" ref="O30:P30" si="38">D30/7</f>
        <v>8</v>
      </c>
      <c r="P30" s="20">
        <f t="shared" si="38"/>
        <v>0.2857142857142857</v>
      </c>
      <c r="Q30" s="16">
        <f t="shared" si="8"/>
        <v>0</v>
      </c>
      <c r="R30" s="16"/>
      <c r="S30" s="21">
        <v>5.4487179487179489</v>
      </c>
      <c r="T30" s="14">
        <v>600</v>
      </c>
      <c r="U30" s="22">
        <v>200</v>
      </c>
      <c r="V30" s="23" t="s">
        <v>217</v>
      </c>
      <c r="W30" s="30">
        <v>0</v>
      </c>
      <c r="X30" s="24">
        <f t="shared" si="9"/>
        <v>0</v>
      </c>
      <c r="Y30" s="25">
        <f t="shared" si="10"/>
        <v>0</v>
      </c>
      <c r="Z30" s="30">
        <v>0</v>
      </c>
      <c r="AA30" s="14" t="s">
        <v>35</v>
      </c>
      <c r="AB30" s="27">
        <f t="shared" si="11"/>
        <v>-0.69</v>
      </c>
      <c r="AC30" s="28">
        <v>7.447916666666668E-2</v>
      </c>
      <c r="AD30" s="25">
        <f t="shared" si="12"/>
        <v>-5.7557499999999999</v>
      </c>
      <c r="AE30" s="25">
        <v>-5.68</v>
      </c>
      <c r="AF30" s="25">
        <v>-6.4898432812499998</v>
      </c>
      <c r="AG30" s="25">
        <v>0</v>
      </c>
    </row>
    <row r="31" spans="1:33" ht="15.75" customHeight="1">
      <c r="A31" s="14" t="s">
        <v>58</v>
      </c>
      <c r="B31" s="14" t="s">
        <v>45</v>
      </c>
      <c r="C31" s="15" t="str">
        <f t="shared" si="4"/>
        <v xml:space="preserve"> - </v>
      </c>
      <c r="D31" s="16">
        <v>0</v>
      </c>
      <c r="E31" s="16">
        <v>0</v>
      </c>
      <c r="F31" s="17">
        <v>0</v>
      </c>
      <c r="G31" s="17">
        <v>0</v>
      </c>
      <c r="H31" s="18" t="e">
        <f t="shared" si="1"/>
        <v>#DIV/0!</v>
      </c>
      <c r="I31" s="18" t="e">
        <f t="shared" si="2"/>
        <v>#DIV/0!</v>
      </c>
      <c r="J31" s="17">
        <f t="shared" si="5"/>
        <v>0</v>
      </c>
      <c r="K31" s="17" t="e">
        <f t="shared" si="3"/>
        <v>#DIV/0!</v>
      </c>
      <c r="L31" s="16">
        <v>0</v>
      </c>
      <c r="M31" s="19" t="str">
        <f t="shared" si="6"/>
        <v>-</v>
      </c>
      <c r="N31" s="16">
        <v>0</v>
      </c>
      <c r="O31" s="20">
        <f t="shared" ref="O31:P31" si="39">D31/7</f>
        <v>0</v>
      </c>
      <c r="P31" s="20">
        <f t="shared" si="39"/>
        <v>0</v>
      </c>
      <c r="Q31" s="16" t="e">
        <f t="shared" si="8"/>
        <v>#DIV/0!</v>
      </c>
      <c r="R31" s="16"/>
      <c r="S31" s="21" t="e">
        <v>#N/A</v>
      </c>
      <c r="T31" s="14">
        <v>80</v>
      </c>
      <c r="U31" s="22" t="s">
        <v>34</v>
      </c>
      <c r="V31" s="23" t="s">
        <v>218</v>
      </c>
      <c r="W31" s="30">
        <v>0</v>
      </c>
      <c r="X31" s="24">
        <f t="shared" si="9"/>
        <v>0</v>
      </c>
      <c r="Y31" s="25">
        <f t="shared" si="10"/>
        <v>0</v>
      </c>
      <c r="Z31" s="30">
        <v>0</v>
      </c>
      <c r="AA31" s="14" t="s">
        <v>35</v>
      </c>
      <c r="AB31" s="27">
        <f t="shared" si="11"/>
        <v>-0.69</v>
      </c>
      <c r="AC31" s="28">
        <v>7.447916666666668E-2</v>
      </c>
      <c r="AD31" s="25">
        <f t="shared" si="12"/>
        <v>0</v>
      </c>
      <c r="AE31" s="25">
        <v>-5.68</v>
      </c>
      <c r="AF31" s="25">
        <v>-6.4898432812500007</v>
      </c>
      <c r="AG31" s="25">
        <v>0</v>
      </c>
    </row>
    <row r="32" spans="1:33" ht="15.75" customHeight="1">
      <c r="A32" s="14" t="s">
        <v>60</v>
      </c>
      <c r="B32" s="14"/>
      <c r="C32" s="15">
        <f t="shared" si="4"/>
        <v>35.18</v>
      </c>
      <c r="D32" s="16">
        <v>1</v>
      </c>
      <c r="E32" s="16">
        <v>0</v>
      </c>
      <c r="F32" s="17">
        <v>35.18</v>
      </c>
      <c r="G32" s="17">
        <v>0</v>
      </c>
      <c r="H32" s="18">
        <f t="shared" si="1"/>
        <v>0</v>
      </c>
      <c r="I32" s="18">
        <f t="shared" si="2"/>
        <v>0.50114768245451957</v>
      </c>
      <c r="J32" s="17">
        <f t="shared" si="5"/>
        <v>17.63037546875</v>
      </c>
      <c r="K32" s="17">
        <f t="shared" si="3"/>
        <v>17.63037546875</v>
      </c>
      <c r="L32" s="16">
        <v>17</v>
      </c>
      <c r="M32" s="19">
        <f t="shared" si="6"/>
        <v>5.8823529411764705E-2</v>
      </c>
      <c r="N32" s="16">
        <v>0</v>
      </c>
      <c r="O32" s="20">
        <f t="shared" ref="O32:P32" si="40">D32/7</f>
        <v>0.14285714285714285</v>
      </c>
      <c r="P32" s="20">
        <f t="shared" si="40"/>
        <v>0</v>
      </c>
      <c r="Q32" s="16">
        <f t="shared" si="8"/>
        <v>0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0</v>
      </c>
      <c r="T32" s="14">
        <f ca="1">IFERROR(__xludf.DUMMYFUNCTION("IFERROR(VLOOKUP($B$2,IMPORTRANGE(""https://docs.google.com/spreadsheets/d/1KiWZV1ko8G7lnRucBRBd29jj3Be6ltMfljMDqzOkQmI/edit#gid=1381463014"",""Lookup!A:D""),4,FALSE),"""")"),80)</f>
        <v>80</v>
      </c>
      <c r="U32" s="22">
        <f ca="1">IFERROR(__xludf.DUMMYFUNCTION("IFERROR(VLOOKUP($B$2,IMPORTRANGE(""https://docs.google.com/spreadsheets/d/1KiWZV1ko8G7lnRucBRBd29jj3Be6ltMfljMDqzOkQmI/edit#gid=1381463014"",""Lookup!A:D""),3,FALSE),"""")"),520)</f>
        <v>520</v>
      </c>
      <c r="V32" s="23" t="str">
        <f ca="1">IFERROR(__xludf.DUMMYFUNCTION("IFERROR(VLOOKUP($B$2,IMPORTRANGE(""https://docs.google.com/spreadsheets/d/1KiWZV1ko8G7lnRucBRBd29jj3Be6ltMfljMDqzOkQmI/edit#gid=1381463014"",""Lookup!A:D""),2,FALSE),"""")"),"| 408  - 200 units 07/19| 418  - 320 units 09/03")</f>
        <v>| 408  - 200 units 07/19| 418  - 320 units 09/03</v>
      </c>
      <c r="W32" s="30">
        <v>0</v>
      </c>
      <c r="X32" s="24">
        <f t="shared" si="9"/>
        <v>0</v>
      </c>
      <c r="Y32" s="25">
        <f t="shared" si="10"/>
        <v>0</v>
      </c>
      <c r="Z32" s="30">
        <v>0</v>
      </c>
      <c r="AA32" s="14" t="s">
        <v>35</v>
      </c>
      <c r="AB32" s="27">
        <f t="shared" si="11"/>
        <v>-0.69</v>
      </c>
      <c r="AC32" s="28">
        <v>7.447916666666668E-2</v>
      </c>
      <c r="AD32" s="25">
        <f t="shared" si="12"/>
        <v>-0.10278125</v>
      </c>
      <c r="AE32" s="25">
        <v>-5.68</v>
      </c>
      <c r="AF32" s="25">
        <v>-6.4898432812499998</v>
      </c>
      <c r="AG32" s="25">
        <v>0</v>
      </c>
    </row>
    <row r="33" spans="1:33" ht="15.75" customHeight="1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16"/>
      <c r="S33" s="21"/>
      <c r="T33" s="31"/>
      <c r="U33" s="36"/>
      <c r="V33" s="1"/>
      <c r="W33" s="31"/>
      <c r="X33" s="31"/>
      <c r="Y33" s="31"/>
      <c r="Z33" s="31"/>
      <c r="AA33" s="2"/>
      <c r="AB33" s="31"/>
      <c r="AC33" s="31"/>
      <c r="AD33" s="31"/>
      <c r="AE33" s="37"/>
      <c r="AF33" s="37"/>
      <c r="AG33" s="37"/>
    </row>
    <row r="34" spans="1:33" ht="15.75" customHeight="1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6"/>
      <c r="V34" s="1"/>
      <c r="W34" s="31"/>
      <c r="X34" s="31"/>
      <c r="Y34" s="31"/>
      <c r="Z34" s="31"/>
      <c r="AA34" s="2"/>
      <c r="AB34" s="31"/>
      <c r="AC34" s="31"/>
      <c r="AD34" s="31"/>
      <c r="AE34" s="37"/>
      <c r="AF34" s="37"/>
      <c r="AG34" s="37"/>
    </row>
    <row r="35" spans="1:33" ht="15.75" customHeight="1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6"/>
      <c r="V35" s="1"/>
      <c r="W35" s="31"/>
      <c r="X35" s="31"/>
      <c r="Y35" s="31"/>
      <c r="Z35" s="31"/>
      <c r="AA35" s="2"/>
      <c r="AB35" s="31"/>
      <c r="AC35" s="31"/>
      <c r="AD35" s="31"/>
      <c r="AE35" s="37"/>
      <c r="AF35" s="37"/>
      <c r="AG35" s="37"/>
    </row>
    <row r="36" spans="1:33" ht="15.75" customHeight="1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6"/>
      <c r="V36" s="1"/>
      <c r="W36" s="31"/>
      <c r="X36" s="31"/>
      <c r="Y36" s="31"/>
      <c r="Z36" s="31"/>
      <c r="AA36" s="2"/>
      <c r="AB36" s="31"/>
      <c r="AC36" s="31"/>
      <c r="AD36" s="31"/>
      <c r="AE36" s="37"/>
      <c r="AF36" s="37"/>
      <c r="AG36" s="37"/>
    </row>
    <row r="37" spans="1:33" ht="15.75" customHeight="1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6"/>
      <c r="V37" s="1"/>
      <c r="W37" s="31"/>
      <c r="X37" s="31"/>
      <c r="Y37" s="31"/>
      <c r="Z37" s="31"/>
      <c r="AA37" s="2"/>
      <c r="AB37" s="31"/>
      <c r="AC37" s="31"/>
      <c r="AD37" s="31"/>
      <c r="AE37" s="37"/>
      <c r="AF37" s="37"/>
      <c r="AG37" s="37"/>
    </row>
    <row r="38" spans="1:33" ht="15.75" customHeight="1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6"/>
      <c r="V38" s="1"/>
      <c r="W38" s="31"/>
      <c r="X38" s="31"/>
      <c r="Y38" s="31"/>
      <c r="Z38" s="31"/>
      <c r="AA38" s="2"/>
      <c r="AB38" s="31"/>
      <c r="AC38" s="31"/>
      <c r="AD38" s="31"/>
      <c r="AE38" s="37"/>
      <c r="AF38" s="37"/>
      <c r="AG38" s="37"/>
    </row>
    <row r="39" spans="1:33" ht="15.75" customHeight="1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6"/>
      <c r="V39" s="1"/>
      <c r="W39" s="31"/>
      <c r="X39" s="31"/>
      <c r="Y39" s="31"/>
      <c r="Z39" s="31"/>
      <c r="AA39" s="2"/>
      <c r="AB39" s="31"/>
      <c r="AC39" s="31"/>
      <c r="AD39" s="31"/>
      <c r="AE39" s="37"/>
      <c r="AF39" s="37"/>
      <c r="AG39" s="37"/>
    </row>
    <row r="40" spans="1:33" ht="15.75" customHeight="1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6"/>
      <c r="V40" s="1"/>
      <c r="W40" s="31"/>
      <c r="X40" s="31"/>
      <c r="Y40" s="31"/>
      <c r="Z40" s="31"/>
      <c r="AA40" s="2"/>
      <c r="AB40" s="31"/>
      <c r="AC40" s="31"/>
      <c r="AD40" s="31"/>
      <c r="AE40" s="37"/>
      <c r="AF40" s="37"/>
      <c r="AG40" s="37"/>
    </row>
    <row r="41" spans="1:33" ht="15.75" customHeight="1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6"/>
      <c r="V41" s="1"/>
      <c r="W41" s="31"/>
      <c r="X41" s="31"/>
      <c r="Y41" s="31"/>
      <c r="Z41" s="31"/>
      <c r="AA41" s="2"/>
      <c r="AB41" s="31"/>
      <c r="AC41" s="31"/>
      <c r="AD41" s="31"/>
      <c r="AE41" s="37"/>
      <c r="AF41" s="37"/>
      <c r="AG41" s="37"/>
    </row>
    <row r="42" spans="1:33" ht="15.75" customHeight="1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6"/>
      <c r="V42" s="1"/>
      <c r="W42" s="31"/>
      <c r="X42" s="31"/>
      <c r="Y42" s="31"/>
      <c r="Z42" s="31"/>
      <c r="AA42" s="2"/>
      <c r="AB42" s="31"/>
      <c r="AC42" s="31"/>
      <c r="AD42" s="31"/>
      <c r="AE42" s="37"/>
      <c r="AF42" s="37"/>
      <c r="AG42" s="37"/>
    </row>
    <row r="43" spans="1:33" ht="15.75" customHeight="1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6"/>
      <c r="V43" s="1"/>
      <c r="W43" s="31"/>
      <c r="X43" s="31"/>
      <c r="Y43" s="31"/>
      <c r="Z43" s="31"/>
      <c r="AA43" s="2"/>
      <c r="AB43" s="31"/>
      <c r="AC43" s="31"/>
      <c r="AD43" s="31"/>
      <c r="AE43" s="37"/>
      <c r="AF43" s="37"/>
      <c r="AG43" s="37"/>
    </row>
    <row r="44" spans="1:33" ht="15.75" customHeight="1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6"/>
      <c r="V44" s="1"/>
      <c r="W44" s="31"/>
      <c r="X44" s="31"/>
      <c r="Y44" s="31"/>
      <c r="Z44" s="31"/>
      <c r="AA44" s="2"/>
      <c r="AB44" s="31"/>
      <c r="AC44" s="31"/>
      <c r="AD44" s="31"/>
      <c r="AE44" s="37"/>
      <c r="AF44" s="37"/>
      <c r="AG44" s="37"/>
    </row>
    <row r="45" spans="1:33" ht="15.75" customHeight="1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6"/>
      <c r="V45" s="1"/>
      <c r="W45" s="31"/>
      <c r="X45" s="31"/>
      <c r="Y45" s="31"/>
      <c r="Z45" s="31"/>
      <c r="AA45" s="2"/>
      <c r="AB45" s="31"/>
      <c r="AC45" s="31"/>
      <c r="AD45" s="31"/>
      <c r="AE45" s="37"/>
      <c r="AF45" s="37"/>
      <c r="AG45" s="37"/>
    </row>
    <row r="46" spans="1:33" ht="15.75" customHeight="1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6"/>
      <c r="V46" s="1"/>
      <c r="W46" s="31"/>
      <c r="X46" s="31"/>
      <c r="Y46" s="31"/>
      <c r="Z46" s="31"/>
      <c r="AA46" s="2"/>
      <c r="AB46" s="31"/>
      <c r="AC46" s="31"/>
      <c r="AD46" s="31"/>
      <c r="AE46" s="37"/>
      <c r="AF46" s="37"/>
      <c r="AG46" s="37"/>
    </row>
    <row r="47" spans="1:33" ht="15.75" customHeight="1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6"/>
      <c r="V47" s="1"/>
      <c r="W47" s="31"/>
      <c r="X47" s="31"/>
      <c r="Y47" s="31"/>
      <c r="Z47" s="31"/>
      <c r="AA47" s="2"/>
      <c r="AB47" s="31"/>
      <c r="AC47" s="31"/>
      <c r="AD47" s="31"/>
      <c r="AE47" s="37"/>
      <c r="AF47" s="37"/>
      <c r="AG47" s="37"/>
    </row>
    <row r="48" spans="1:33" ht="15.75" customHeight="1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6"/>
      <c r="V48" s="1"/>
      <c r="W48" s="31"/>
      <c r="X48" s="31"/>
      <c r="Y48" s="31"/>
      <c r="Z48" s="31"/>
      <c r="AA48" s="2"/>
      <c r="AB48" s="31"/>
      <c r="AC48" s="31"/>
      <c r="AD48" s="31"/>
      <c r="AE48" s="37"/>
      <c r="AF48" s="37"/>
      <c r="AG48" s="37"/>
    </row>
    <row r="49" spans="1:33" ht="15.75" customHeight="1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6"/>
      <c r="V49" s="1"/>
      <c r="W49" s="31"/>
      <c r="X49" s="31"/>
      <c r="Y49" s="31"/>
      <c r="Z49" s="31"/>
      <c r="AA49" s="2"/>
      <c r="AB49" s="31"/>
      <c r="AC49" s="31"/>
      <c r="AD49" s="31"/>
      <c r="AE49" s="37"/>
      <c r="AF49" s="37"/>
      <c r="AG49" s="37"/>
    </row>
    <row r="50" spans="1:33" ht="15.75" customHeight="1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6"/>
      <c r="V50" s="1"/>
      <c r="W50" s="31"/>
      <c r="X50" s="31"/>
      <c r="Y50" s="31"/>
      <c r="Z50" s="31"/>
      <c r="AA50" s="2"/>
      <c r="AB50" s="31"/>
      <c r="AC50" s="31"/>
      <c r="AD50" s="31"/>
      <c r="AE50" s="37"/>
      <c r="AF50" s="37"/>
      <c r="AG50" s="37"/>
    </row>
    <row r="51" spans="1:33" ht="15.75" customHeight="1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6"/>
      <c r="V51" s="1"/>
      <c r="W51" s="31"/>
      <c r="X51" s="31"/>
      <c r="Y51" s="31"/>
      <c r="Z51" s="31"/>
      <c r="AA51" s="2"/>
      <c r="AB51" s="31"/>
      <c r="AC51" s="31"/>
      <c r="AD51" s="31"/>
      <c r="AE51" s="37"/>
      <c r="AF51" s="37"/>
      <c r="AG51" s="37"/>
    </row>
    <row r="52" spans="1:33" ht="15.75" customHeight="1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6"/>
      <c r="V52" s="1"/>
      <c r="W52" s="31"/>
      <c r="X52" s="31"/>
      <c r="Y52" s="31"/>
      <c r="Z52" s="31"/>
      <c r="AA52" s="2"/>
      <c r="AB52" s="31"/>
      <c r="AC52" s="31"/>
      <c r="AD52" s="31"/>
      <c r="AE52" s="37"/>
      <c r="AF52" s="37"/>
      <c r="AG52" s="37"/>
    </row>
    <row r="53" spans="1:33" ht="15.75" customHeight="1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6"/>
      <c r="V53" s="1"/>
      <c r="W53" s="31"/>
      <c r="X53" s="31"/>
      <c r="Y53" s="31"/>
      <c r="Z53" s="31"/>
      <c r="AA53" s="2"/>
      <c r="AB53" s="31"/>
      <c r="AC53" s="31"/>
      <c r="AD53" s="31"/>
      <c r="AE53" s="37"/>
      <c r="AF53" s="37"/>
      <c r="AG53" s="37"/>
    </row>
    <row r="54" spans="1:33" ht="15.75" customHeight="1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6"/>
      <c r="V54" s="1"/>
      <c r="W54" s="31"/>
      <c r="X54" s="31"/>
      <c r="Y54" s="31"/>
      <c r="Z54" s="31"/>
      <c r="AA54" s="2"/>
      <c r="AB54" s="31"/>
      <c r="AC54" s="31"/>
      <c r="AD54" s="31"/>
      <c r="AE54" s="37"/>
      <c r="AF54" s="37"/>
      <c r="AG54" s="37"/>
    </row>
    <row r="55" spans="1:33" ht="15.75" customHeight="1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6"/>
      <c r="V55" s="1"/>
      <c r="W55" s="31"/>
      <c r="X55" s="31"/>
      <c r="Y55" s="31"/>
      <c r="Z55" s="31"/>
      <c r="AA55" s="2"/>
      <c r="AB55" s="31"/>
      <c r="AC55" s="31"/>
      <c r="AD55" s="31"/>
      <c r="AE55" s="37"/>
      <c r="AF55" s="37"/>
      <c r="AG55" s="37"/>
    </row>
    <row r="56" spans="1:33" ht="15.75" customHeight="1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6"/>
      <c r="V56" s="1"/>
      <c r="W56" s="31"/>
      <c r="X56" s="31"/>
      <c r="Y56" s="31"/>
      <c r="Z56" s="31"/>
      <c r="AA56" s="2"/>
      <c r="AB56" s="31"/>
      <c r="AC56" s="31"/>
      <c r="AD56" s="31"/>
      <c r="AE56" s="37"/>
      <c r="AF56" s="37"/>
      <c r="AG56" s="37"/>
    </row>
    <row r="57" spans="1:33" ht="15.75" customHeight="1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6"/>
      <c r="V57" s="1"/>
      <c r="W57" s="31"/>
      <c r="X57" s="31"/>
      <c r="Y57" s="31"/>
      <c r="Z57" s="31"/>
      <c r="AA57" s="2"/>
      <c r="AB57" s="31"/>
      <c r="AC57" s="31"/>
      <c r="AD57" s="31"/>
      <c r="AE57" s="37"/>
      <c r="AF57" s="37"/>
      <c r="AG57" s="37"/>
    </row>
    <row r="58" spans="1:33" ht="15.75" customHeight="1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6"/>
      <c r="V58" s="1"/>
      <c r="W58" s="31"/>
      <c r="X58" s="31"/>
      <c r="Y58" s="31"/>
      <c r="Z58" s="31"/>
      <c r="AA58" s="2"/>
      <c r="AB58" s="31"/>
      <c r="AC58" s="31"/>
      <c r="AD58" s="31"/>
      <c r="AE58" s="37"/>
      <c r="AF58" s="37"/>
      <c r="AG58" s="37"/>
    </row>
    <row r="59" spans="1:33" ht="15.75" customHeight="1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6"/>
      <c r="V59" s="1"/>
      <c r="W59" s="31"/>
      <c r="X59" s="31"/>
      <c r="Y59" s="31"/>
      <c r="Z59" s="31"/>
      <c r="AA59" s="2"/>
      <c r="AB59" s="31"/>
      <c r="AC59" s="31"/>
      <c r="AD59" s="31"/>
      <c r="AE59" s="37"/>
      <c r="AF59" s="37"/>
      <c r="AG59" s="37"/>
    </row>
    <row r="60" spans="1:33" ht="15.75" customHeight="1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6"/>
      <c r="V60" s="1"/>
      <c r="W60" s="31"/>
      <c r="X60" s="31"/>
      <c r="Y60" s="31"/>
      <c r="Z60" s="31"/>
      <c r="AA60" s="2"/>
      <c r="AB60" s="31"/>
      <c r="AC60" s="31"/>
      <c r="AD60" s="31"/>
      <c r="AE60" s="37"/>
      <c r="AF60" s="37"/>
      <c r="AG60" s="37"/>
    </row>
    <row r="61" spans="1:33" ht="15.75" customHeight="1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6"/>
      <c r="V61" s="1"/>
      <c r="W61" s="31"/>
      <c r="X61" s="31"/>
      <c r="Y61" s="31"/>
      <c r="Z61" s="31"/>
      <c r="AA61" s="2"/>
      <c r="AB61" s="31"/>
      <c r="AC61" s="31"/>
      <c r="AD61" s="31"/>
      <c r="AE61" s="37"/>
      <c r="AF61" s="37"/>
      <c r="AG61" s="37"/>
    </row>
    <row r="62" spans="1:33" ht="15.75" customHeight="1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6"/>
      <c r="V62" s="1"/>
      <c r="W62" s="31"/>
      <c r="X62" s="31"/>
      <c r="Y62" s="31"/>
      <c r="Z62" s="31"/>
      <c r="AA62" s="2"/>
      <c r="AB62" s="31"/>
      <c r="AC62" s="31"/>
      <c r="AD62" s="31"/>
      <c r="AE62" s="37"/>
      <c r="AF62" s="37"/>
      <c r="AG62" s="37"/>
    </row>
    <row r="63" spans="1:33" ht="15.75" customHeight="1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6"/>
      <c r="V63" s="1"/>
      <c r="W63" s="31"/>
      <c r="X63" s="31"/>
      <c r="Y63" s="31"/>
      <c r="Z63" s="31"/>
      <c r="AA63" s="2"/>
      <c r="AB63" s="31"/>
      <c r="AC63" s="31"/>
      <c r="AD63" s="31"/>
      <c r="AE63" s="37"/>
      <c r="AF63" s="37"/>
      <c r="AG63" s="37"/>
    </row>
    <row r="64" spans="1:33" ht="15.75" customHeight="1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6"/>
      <c r="V64" s="1"/>
      <c r="W64" s="31"/>
      <c r="X64" s="31"/>
      <c r="Y64" s="31"/>
      <c r="Z64" s="31"/>
      <c r="AA64" s="2"/>
      <c r="AB64" s="31"/>
      <c r="AC64" s="31"/>
      <c r="AD64" s="31"/>
      <c r="AE64" s="37"/>
      <c r="AF64" s="37"/>
      <c r="AG64" s="37"/>
    </row>
    <row r="65" spans="1:33" ht="15.75" customHeight="1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6"/>
      <c r="V65" s="1"/>
      <c r="W65" s="31"/>
      <c r="X65" s="31"/>
      <c r="Y65" s="31"/>
      <c r="Z65" s="31"/>
      <c r="AA65" s="2"/>
      <c r="AB65" s="31"/>
      <c r="AC65" s="31"/>
      <c r="AD65" s="31"/>
      <c r="AE65" s="37"/>
      <c r="AF65" s="37"/>
      <c r="AG65" s="37"/>
    </row>
    <row r="66" spans="1:33" ht="15.75" customHeight="1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6"/>
      <c r="V66" s="1"/>
      <c r="W66" s="31"/>
      <c r="X66" s="31"/>
      <c r="Y66" s="31"/>
      <c r="Z66" s="31"/>
      <c r="AA66" s="2"/>
      <c r="AB66" s="31"/>
      <c r="AC66" s="31"/>
      <c r="AD66" s="31"/>
      <c r="AE66" s="37"/>
      <c r="AF66" s="37"/>
      <c r="AG66" s="37"/>
    </row>
    <row r="67" spans="1:33" ht="15.75" customHeight="1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6"/>
      <c r="V67" s="1"/>
      <c r="W67" s="31"/>
      <c r="X67" s="31"/>
      <c r="Y67" s="31"/>
      <c r="Z67" s="31"/>
      <c r="AA67" s="2"/>
      <c r="AB67" s="31"/>
      <c r="AC67" s="31"/>
      <c r="AD67" s="31"/>
      <c r="AE67" s="37"/>
      <c r="AF67" s="37"/>
      <c r="AG67" s="37"/>
    </row>
    <row r="68" spans="1:33" ht="15.75" customHeight="1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6"/>
      <c r="V68" s="1"/>
      <c r="W68" s="31"/>
      <c r="X68" s="31"/>
      <c r="Y68" s="31"/>
      <c r="Z68" s="31"/>
      <c r="AA68" s="2"/>
      <c r="AB68" s="31"/>
      <c r="AC68" s="31"/>
      <c r="AD68" s="31"/>
      <c r="AE68" s="37"/>
      <c r="AF68" s="37"/>
      <c r="AG68" s="37"/>
    </row>
    <row r="69" spans="1:33" ht="15.75" customHeight="1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6"/>
      <c r="V69" s="1"/>
      <c r="W69" s="31"/>
      <c r="X69" s="31"/>
      <c r="Y69" s="31"/>
      <c r="Z69" s="31"/>
      <c r="AA69" s="2"/>
      <c r="AB69" s="31"/>
      <c r="AC69" s="31"/>
      <c r="AD69" s="31"/>
      <c r="AE69" s="37"/>
      <c r="AF69" s="37"/>
      <c r="AG69" s="37"/>
    </row>
    <row r="70" spans="1:33" ht="15.75" customHeight="1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6"/>
      <c r="V70" s="1"/>
      <c r="W70" s="31"/>
      <c r="X70" s="31"/>
      <c r="Y70" s="31"/>
      <c r="Z70" s="31"/>
      <c r="AA70" s="2"/>
      <c r="AB70" s="31"/>
      <c r="AC70" s="31"/>
      <c r="AD70" s="31"/>
      <c r="AE70" s="37"/>
      <c r="AF70" s="37"/>
      <c r="AG70" s="37"/>
    </row>
    <row r="71" spans="1:33" ht="15.75" customHeight="1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6"/>
      <c r="V71" s="1"/>
      <c r="W71" s="31"/>
      <c r="X71" s="31"/>
      <c r="Y71" s="31"/>
      <c r="Z71" s="31"/>
      <c r="AA71" s="2"/>
      <c r="AB71" s="31"/>
      <c r="AC71" s="31"/>
      <c r="AD71" s="31"/>
      <c r="AE71" s="37"/>
      <c r="AF71" s="37"/>
      <c r="AG71" s="37"/>
    </row>
    <row r="72" spans="1:33" ht="15.75" customHeight="1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6"/>
      <c r="V72" s="1"/>
      <c r="W72" s="31"/>
      <c r="X72" s="31"/>
      <c r="Y72" s="31"/>
      <c r="Z72" s="31"/>
      <c r="AA72" s="2"/>
      <c r="AB72" s="31"/>
      <c r="AC72" s="31"/>
      <c r="AD72" s="31"/>
      <c r="AE72" s="37"/>
      <c r="AF72" s="37"/>
      <c r="AG72" s="37"/>
    </row>
    <row r="73" spans="1:33" ht="15.75" customHeight="1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6"/>
      <c r="V73" s="1"/>
      <c r="W73" s="31"/>
      <c r="X73" s="31"/>
      <c r="Y73" s="31"/>
      <c r="Z73" s="31"/>
      <c r="AA73" s="2"/>
      <c r="AB73" s="31"/>
      <c r="AC73" s="31"/>
      <c r="AD73" s="31"/>
      <c r="AE73" s="37"/>
      <c r="AF73" s="37"/>
      <c r="AG73" s="37"/>
    </row>
    <row r="74" spans="1:33" ht="15.75" customHeight="1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6"/>
      <c r="V74" s="1"/>
      <c r="W74" s="31"/>
      <c r="X74" s="31"/>
      <c r="Y74" s="31"/>
      <c r="Z74" s="31"/>
      <c r="AA74" s="2"/>
      <c r="AB74" s="31"/>
      <c r="AC74" s="31"/>
      <c r="AD74" s="31"/>
      <c r="AE74" s="37"/>
      <c r="AF74" s="37"/>
      <c r="AG74" s="37"/>
    </row>
    <row r="75" spans="1:33" ht="15.75" customHeight="1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6"/>
      <c r="V75" s="1"/>
      <c r="W75" s="31"/>
      <c r="X75" s="31"/>
      <c r="Y75" s="31"/>
      <c r="Z75" s="31"/>
      <c r="AA75" s="2"/>
      <c r="AB75" s="31"/>
      <c r="AC75" s="31"/>
      <c r="AD75" s="31"/>
      <c r="AE75" s="37"/>
      <c r="AF75" s="37"/>
      <c r="AG75" s="37"/>
    </row>
    <row r="76" spans="1:33" ht="15.75" customHeight="1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6"/>
      <c r="V76" s="1"/>
      <c r="W76" s="31"/>
      <c r="X76" s="31"/>
      <c r="Y76" s="31"/>
      <c r="Z76" s="31"/>
      <c r="AA76" s="2"/>
      <c r="AB76" s="31"/>
      <c r="AC76" s="31"/>
      <c r="AD76" s="31"/>
      <c r="AE76" s="37"/>
      <c r="AF76" s="37"/>
      <c r="AG76" s="37"/>
    </row>
    <row r="77" spans="1:33" ht="15.75" customHeight="1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6"/>
      <c r="V77" s="1"/>
      <c r="W77" s="31"/>
      <c r="X77" s="31"/>
      <c r="Y77" s="31"/>
      <c r="Z77" s="31"/>
      <c r="AA77" s="2"/>
      <c r="AB77" s="31"/>
      <c r="AC77" s="31"/>
      <c r="AD77" s="31"/>
      <c r="AE77" s="37"/>
      <c r="AF77" s="37"/>
      <c r="AG77" s="37"/>
    </row>
    <row r="78" spans="1:33" ht="15.75" customHeight="1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6"/>
      <c r="V78" s="1"/>
      <c r="W78" s="31"/>
      <c r="X78" s="31"/>
      <c r="Y78" s="31"/>
      <c r="Z78" s="31"/>
      <c r="AA78" s="2"/>
      <c r="AB78" s="31"/>
      <c r="AC78" s="31"/>
      <c r="AD78" s="31"/>
      <c r="AE78" s="37"/>
      <c r="AF78" s="37"/>
      <c r="AG78" s="37"/>
    </row>
    <row r="79" spans="1:33" ht="15.75" customHeight="1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6"/>
      <c r="V79" s="1"/>
      <c r="W79" s="31"/>
      <c r="X79" s="31"/>
      <c r="Y79" s="31"/>
      <c r="Z79" s="31"/>
      <c r="AA79" s="2"/>
      <c r="AB79" s="31"/>
      <c r="AC79" s="31"/>
      <c r="AD79" s="31"/>
      <c r="AE79" s="37"/>
      <c r="AF79" s="37"/>
      <c r="AG79" s="37"/>
    </row>
    <row r="80" spans="1:33" ht="15.75" customHeight="1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6"/>
      <c r="V80" s="1"/>
      <c r="W80" s="31"/>
      <c r="X80" s="31"/>
      <c r="Y80" s="31"/>
      <c r="Z80" s="31"/>
      <c r="AA80" s="2"/>
      <c r="AB80" s="31"/>
      <c r="AC80" s="31"/>
      <c r="AD80" s="31"/>
      <c r="AE80" s="37"/>
      <c r="AF80" s="37"/>
      <c r="AG80" s="37"/>
    </row>
    <row r="81" spans="1:33" ht="15.75" customHeight="1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6"/>
      <c r="V81" s="1"/>
      <c r="W81" s="31"/>
      <c r="X81" s="31"/>
      <c r="Y81" s="31"/>
      <c r="Z81" s="31"/>
      <c r="AA81" s="2"/>
      <c r="AB81" s="31"/>
      <c r="AC81" s="31"/>
      <c r="AD81" s="31"/>
      <c r="AE81" s="37"/>
      <c r="AF81" s="37"/>
      <c r="AG81" s="37"/>
    </row>
    <row r="82" spans="1:33" ht="15.75" customHeight="1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6"/>
      <c r="V82" s="1"/>
      <c r="W82" s="31"/>
      <c r="X82" s="31"/>
      <c r="Y82" s="31"/>
      <c r="Z82" s="31"/>
      <c r="AA82" s="2"/>
      <c r="AB82" s="31"/>
      <c r="AC82" s="31"/>
      <c r="AD82" s="31"/>
      <c r="AE82" s="37"/>
      <c r="AF82" s="37"/>
      <c r="AG82" s="37"/>
    </row>
    <row r="83" spans="1:33" ht="15.75" customHeight="1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6"/>
      <c r="V83" s="1"/>
      <c r="W83" s="31"/>
      <c r="X83" s="31"/>
      <c r="Y83" s="31"/>
      <c r="Z83" s="31"/>
      <c r="AA83" s="2"/>
      <c r="AB83" s="31"/>
      <c r="AC83" s="31"/>
      <c r="AD83" s="31"/>
      <c r="AE83" s="37"/>
      <c r="AF83" s="37"/>
      <c r="AG83" s="37"/>
    </row>
    <row r="84" spans="1:33" ht="15.75" customHeight="1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6"/>
      <c r="V84" s="1"/>
      <c r="W84" s="31"/>
      <c r="X84" s="31"/>
      <c r="Y84" s="31"/>
      <c r="Z84" s="31"/>
      <c r="AA84" s="2"/>
      <c r="AB84" s="31"/>
      <c r="AC84" s="31"/>
      <c r="AD84" s="31"/>
      <c r="AE84" s="37"/>
      <c r="AF84" s="37"/>
      <c r="AG84" s="37"/>
    </row>
    <row r="85" spans="1:33" ht="15.75" customHeight="1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6"/>
      <c r="V85" s="1"/>
      <c r="W85" s="31"/>
      <c r="X85" s="31"/>
      <c r="Y85" s="31"/>
      <c r="Z85" s="31"/>
      <c r="AA85" s="2"/>
      <c r="AB85" s="31"/>
      <c r="AC85" s="31"/>
      <c r="AD85" s="31"/>
      <c r="AE85" s="37"/>
      <c r="AF85" s="37"/>
      <c r="AG85" s="37"/>
    </row>
    <row r="86" spans="1:33" ht="15.75" customHeight="1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6"/>
      <c r="V86" s="1"/>
      <c r="W86" s="31"/>
      <c r="X86" s="31"/>
      <c r="Y86" s="31"/>
      <c r="Z86" s="31"/>
      <c r="AA86" s="2"/>
      <c r="AB86" s="31"/>
      <c r="AC86" s="31"/>
      <c r="AD86" s="31"/>
      <c r="AE86" s="37"/>
      <c r="AF86" s="37"/>
      <c r="AG86" s="37"/>
    </row>
    <row r="87" spans="1:33" ht="15.75" customHeight="1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6"/>
      <c r="V87" s="1"/>
      <c r="W87" s="31"/>
      <c r="X87" s="31"/>
      <c r="Y87" s="31"/>
      <c r="Z87" s="31"/>
      <c r="AA87" s="2"/>
      <c r="AB87" s="31"/>
      <c r="AC87" s="31"/>
      <c r="AD87" s="31"/>
      <c r="AE87" s="37"/>
      <c r="AF87" s="37"/>
      <c r="AG87" s="37"/>
    </row>
    <row r="88" spans="1:33" ht="15.75" customHeight="1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6"/>
      <c r="V88" s="1"/>
      <c r="W88" s="31"/>
      <c r="X88" s="31"/>
      <c r="Y88" s="31"/>
      <c r="Z88" s="31"/>
      <c r="AA88" s="2"/>
      <c r="AB88" s="31"/>
      <c r="AC88" s="31"/>
      <c r="AD88" s="31"/>
      <c r="AE88" s="37"/>
      <c r="AF88" s="37"/>
      <c r="AG88" s="37"/>
    </row>
    <row r="89" spans="1:33" ht="15.75" customHeight="1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6"/>
      <c r="V89" s="1"/>
      <c r="W89" s="31"/>
      <c r="X89" s="31"/>
      <c r="Y89" s="31"/>
      <c r="Z89" s="31"/>
      <c r="AA89" s="2"/>
      <c r="AB89" s="31"/>
      <c r="AC89" s="31"/>
      <c r="AD89" s="31"/>
      <c r="AE89" s="37"/>
      <c r="AF89" s="37"/>
      <c r="AG89" s="37"/>
    </row>
    <row r="90" spans="1:33" ht="15.75" customHeight="1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6"/>
      <c r="V90" s="1"/>
      <c r="W90" s="31"/>
      <c r="X90" s="31"/>
      <c r="Y90" s="31"/>
      <c r="Z90" s="31"/>
      <c r="AA90" s="2"/>
      <c r="AB90" s="31"/>
      <c r="AC90" s="31"/>
      <c r="AD90" s="31"/>
      <c r="AE90" s="37"/>
      <c r="AF90" s="37"/>
      <c r="AG90" s="37"/>
    </row>
    <row r="91" spans="1:33" ht="15.75" customHeight="1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6"/>
      <c r="V91" s="1"/>
      <c r="W91" s="31"/>
      <c r="X91" s="31"/>
      <c r="Y91" s="31"/>
      <c r="Z91" s="31"/>
      <c r="AA91" s="2"/>
      <c r="AB91" s="31"/>
      <c r="AC91" s="31"/>
      <c r="AD91" s="31"/>
      <c r="AE91" s="37"/>
      <c r="AF91" s="37"/>
      <c r="AG91" s="37"/>
    </row>
    <row r="92" spans="1:33" ht="15.75" customHeight="1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6"/>
      <c r="V92" s="1"/>
      <c r="W92" s="31"/>
      <c r="X92" s="31"/>
      <c r="Y92" s="31"/>
      <c r="Z92" s="31"/>
      <c r="AA92" s="2"/>
      <c r="AB92" s="31"/>
      <c r="AC92" s="31"/>
      <c r="AD92" s="31"/>
      <c r="AE92" s="37"/>
      <c r="AF92" s="37"/>
      <c r="AG92" s="37"/>
    </row>
    <row r="93" spans="1:33" ht="15.75" customHeight="1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6"/>
      <c r="V93" s="1"/>
      <c r="W93" s="31"/>
      <c r="X93" s="31"/>
      <c r="Y93" s="31"/>
      <c r="Z93" s="31"/>
      <c r="AA93" s="2"/>
      <c r="AB93" s="31"/>
      <c r="AC93" s="31"/>
      <c r="AD93" s="31"/>
      <c r="AE93" s="37"/>
      <c r="AF93" s="37"/>
      <c r="AG93" s="37"/>
    </row>
    <row r="94" spans="1:33" ht="15.75" customHeight="1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6"/>
      <c r="V94" s="1"/>
      <c r="W94" s="31"/>
      <c r="X94" s="31"/>
      <c r="Y94" s="31"/>
      <c r="Z94" s="31"/>
      <c r="AA94" s="2"/>
      <c r="AB94" s="31"/>
      <c r="AC94" s="31"/>
      <c r="AD94" s="31"/>
      <c r="AE94" s="37"/>
      <c r="AF94" s="37"/>
      <c r="AG94" s="37"/>
    </row>
    <row r="95" spans="1:33" ht="15.75" customHeight="1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6"/>
      <c r="V95" s="1"/>
      <c r="W95" s="31"/>
      <c r="X95" s="31"/>
      <c r="Y95" s="31"/>
      <c r="Z95" s="31"/>
      <c r="AA95" s="2"/>
      <c r="AB95" s="31"/>
      <c r="AC95" s="31"/>
      <c r="AD95" s="31"/>
      <c r="AE95" s="37"/>
      <c r="AF95" s="37"/>
      <c r="AG95" s="37"/>
    </row>
    <row r="96" spans="1:33" ht="15.75" customHeight="1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6"/>
      <c r="V96" s="1"/>
      <c r="W96" s="31"/>
      <c r="X96" s="31"/>
      <c r="Y96" s="31"/>
      <c r="Z96" s="31"/>
      <c r="AA96" s="2"/>
      <c r="AB96" s="31"/>
      <c r="AC96" s="31"/>
      <c r="AD96" s="31"/>
      <c r="AE96" s="37"/>
      <c r="AF96" s="37"/>
      <c r="AG96" s="37"/>
    </row>
    <row r="97" spans="1:33" ht="15.75" customHeight="1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8"/>
      <c r="R97" s="38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8"/>
      <c r="R98" s="38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8"/>
      <c r="R99" s="38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8"/>
      <c r="R100" s="38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8"/>
      <c r="R101" s="38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8"/>
      <c r="R102" s="38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8"/>
      <c r="R103" s="38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8"/>
      <c r="R104" s="38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8"/>
      <c r="R105" s="38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8"/>
      <c r="R106" s="38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8"/>
      <c r="R107" s="38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8"/>
      <c r="R108" s="38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8"/>
      <c r="R109" s="38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8"/>
      <c r="R110" s="38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8"/>
      <c r="R111" s="38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8"/>
      <c r="R112" s="38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8"/>
      <c r="R113" s="38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8"/>
      <c r="R114" s="38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>
      <c r="A115" s="31"/>
      <c r="B115" s="31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>
      <c r="A116" s="31"/>
      <c r="B116" s="31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>
      <c r="A117" s="31"/>
      <c r="B117" s="31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>
      <c r="A118" s="31"/>
      <c r="B118" s="31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>
      <c r="A119" s="31"/>
      <c r="B119" s="31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>
      <c r="A120" s="31"/>
      <c r="B120" s="31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>
      <c r="A121" s="31"/>
      <c r="B121" s="31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>
      <c r="A122" s="31"/>
      <c r="B122" s="31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>
      <c r="A123" s="31"/>
      <c r="B123" s="31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>
      <c r="A124" s="31"/>
      <c r="B124" s="31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>
      <c r="A125" s="31"/>
      <c r="B125" s="31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>
      <c r="A126" s="31"/>
      <c r="B126" s="31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>
      <c r="A127" s="31"/>
      <c r="B127" s="31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>
      <c r="A128" s="31"/>
      <c r="B128" s="31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>
      <c r="A129" s="31"/>
      <c r="B129" s="31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>
      <c r="A130" s="31"/>
      <c r="B130" s="31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>
      <c r="A131" s="31"/>
      <c r="B131" s="31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>
      <c r="A132" s="31"/>
      <c r="B132" s="31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>
      <c r="A133" s="31"/>
      <c r="B133" s="31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>
      <c r="A134" s="31"/>
      <c r="B134" s="31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>
      <c r="A135" s="31"/>
      <c r="B135" s="31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>
      <c r="A136" s="31"/>
      <c r="B136" s="31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>
      <c r="A137" s="31"/>
      <c r="B137" s="31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>
      <c r="A138" s="31"/>
      <c r="B138" s="31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>
      <c r="A139" s="31"/>
      <c r="B139" s="31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>
      <c r="A140" s="31"/>
      <c r="B140" s="31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>
      <c r="A141" s="31"/>
      <c r="B141" s="31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2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>
      <c r="A142" s="31"/>
      <c r="B142" s="31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2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>
      <c r="A143" s="31"/>
      <c r="B143" s="31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2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>
      <c r="A144" s="31"/>
      <c r="B144" s="31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2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>
      <c r="A145" s="31"/>
      <c r="B145" s="31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2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>
      <c r="A146" s="31"/>
      <c r="B146" s="31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2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>
      <c r="A147" s="31"/>
      <c r="B147" s="31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2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>
      <c r="A148" s="31"/>
      <c r="B148" s="31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2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</row>
    <row r="149" spans="1:33" ht="15.75" customHeight="1">
      <c r="A149" s="14"/>
      <c r="B149" s="14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>
      <c r="A150" s="14"/>
      <c r="B150" s="14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>
      <c r="A151" s="14"/>
      <c r="B151" s="14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>
      <c r="A152" s="14"/>
      <c r="B152" s="14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>
      <c r="A153" s="14"/>
      <c r="B153" s="14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>
      <c r="A154" s="14"/>
      <c r="B154" s="14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>
      <c r="A155" s="14"/>
      <c r="B155" s="14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>
      <c r="A156" s="14"/>
      <c r="B156" s="14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>
      <c r="A157" s="14"/>
      <c r="B157" s="14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>
      <c r="A158" s="14"/>
      <c r="B158" s="14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>
      <c r="A159" s="14"/>
      <c r="B159" s="14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>
      <c r="A160" s="14"/>
      <c r="B160" s="14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>
      <c r="A161" s="14"/>
      <c r="B161" s="14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>
      <c r="A162" s="14"/>
      <c r="B162" s="14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>
      <c r="A163" s="14"/>
      <c r="B163" s="14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>
      <c r="A164" s="14"/>
      <c r="B164" s="14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>
      <c r="A165" s="14"/>
      <c r="B165" s="14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>
      <c r="A166" s="14"/>
      <c r="B166" s="14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>
      <c r="A167" s="14"/>
      <c r="B167" s="14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>
      <c r="A168" s="14"/>
      <c r="B168" s="14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>
      <c r="A169" s="14"/>
      <c r="B169" s="14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>
      <c r="A170" s="14"/>
      <c r="B170" s="14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>
      <c r="A171" s="14"/>
      <c r="B171" s="14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>
      <c r="A172" s="14"/>
      <c r="B172" s="14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>
      <c r="A173" s="14"/>
      <c r="B173" s="14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>
      <c r="A174" s="14"/>
      <c r="B174" s="14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>
      <c r="A175" s="14"/>
      <c r="B175" s="14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>
      <c r="A176" s="14"/>
      <c r="B176" s="14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>
      <c r="A177" s="14"/>
      <c r="B177" s="14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>
      <c r="A178" s="14"/>
      <c r="B178" s="14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>
      <c r="A179" s="14"/>
      <c r="B179" s="14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>
      <c r="A180" s="14"/>
      <c r="B180" s="14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>
      <c r="A181" s="14"/>
      <c r="B181" s="14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>
      <c r="A182" s="14"/>
      <c r="B182" s="14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>
      <c r="A183" s="14"/>
      <c r="B183" s="14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>
      <c r="A184" s="14"/>
      <c r="B184" s="14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>
      <c r="A185" s="14"/>
      <c r="B185" s="14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>
      <c r="A186" s="14"/>
      <c r="B186" s="14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>
      <c r="A187" s="14"/>
      <c r="B187" s="14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>
      <c r="A188" s="14"/>
      <c r="B188" s="14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>
      <c r="A189" s="14"/>
      <c r="B189" s="14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>
      <c r="A190" s="14"/>
      <c r="B190" s="14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>
      <c r="A191" s="14"/>
      <c r="B191" s="14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>
      <c r="A192" s="14"/>
      <c r="B192" s="14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>
      <c r="A193" s="14"/>
      <c r="B193" s="14"/>
      <c r="C193" s="39"/>
      <c r="D193" s="39"/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>
      <c r="A194" s="14"/>
      <c r="B194" s="14"/>
      <c r="C194" s="39"/>
      <c r="D194" s="39"/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>
      <c r="A195" s="14"/>
      <c r="B195" s="14"/>
      <c r="C195" s="39"/>
      <c r="D195" s="39"/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>
      <c r="A196" s="14"/>
      <c r="B196" s="14"/>
      <c r="C196" s="39"/>
      <c r="D196" s="39"/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>
      <c r="A197" s="14"/>
      <c r="B197" s="14"/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>
      <c r="A198" s="14"/>
      <c r="B198" s="14"/>
      <c r="C198" s="39"/>
      <c r="D198" s="39"/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>
      <c r="A199" s="14"/>
      <c r="B199" s="14"/>
      <c r="C199" s="39"/>
      <c r="D199" s="39"/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>
      <c r="A200" s="14"/>
      <c r="B200" s="14"/>
      <c r="C200" s="39"/>
      <c r="D200" s="39"/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>
      <c r="A201" s="14"/>
      <c r="B201" s="14"/>
      <c r="C201" s="39"/>
      <c r="D201" s="39"/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>
      <c r="A202" s="14"/>
      <c r="B202" s="14"/>
      <c r="C202" s="39"/>
      <c r="D202" s="39"/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>
      <c r="A203" s="14"/>
      <c r="B203" s="14"/>
      <c r="C203" s="39"/>
      <c r="D203" s="39"/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>
      <c r="A204" s="14"/>
      <c r="B204" s="14"/>
      <c r="C204" s="39"/>
      <c r="D204" s="39"/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>
      <c r="A205" s="14"/>
      <c r="B205" s="14"/>
      <c r="C205" s="39"/>
      <c r="D205" s="39"/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>
      <c r="A206" s="14"/>
      <c r="B206" s="14"/>
      <c r="C206" s="39"/>
      <c r="D206" s="39"/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>
      <c r="A207" s="14"/>
      <c r="B207" s="14"/>
      <c r="C207" s="39"/>
      <c r="D207" s="39"/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>
      <c r="A208" s="14"/>
      <c r="B208" s="14"/>
      <c r="C208" s="39"/>
      <c r="D208" s="39"/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>
      <c r="A209" s="14"/>
      <c r="B209" s="14"/>
      <c r="C209" s="39"/>
      <c r="D209" s="39"/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>
      <c r="A210" s="14"/>
      <c r="B210" s="14"/>
      <c r="C210" s="39"/>
      <c r="D210" s="39"/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>
      <c r="A211" s="14"/>
      <c r="B211" s="14"/>
      <c r="C211" s="39"/>
      <c r="D211" s="39"/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>
      <c r="A212" s="14"/>
      <c r="B212" s="14"/>
      <c r="C212" s="39"/>
      <c r="D212" s="39"/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>
      <c r="A213" s="14"/>
      <c r="B213" s="14"/>
      <c r="C213" s="39"/>
      <c r="D213" s="39"/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>
      <c r="A214" s="14"/>
      <c r="B214" s="14"/>
      <c r="C214" s="39"/>
      <c r="D214" s="39"/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>
      <c r="A215" s="14"/>
      <c r="B215" s="14"/>
      <c r="C215" s="39"/>
      <c r="D215" s="39"/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>
      <c r="A216" s="14"/>
      <c r="B216" s="14"/>
      <c r="C216" s="39"/>
      <c r="D216" s="39"/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>
      <c r="A217" s="14"/>
      <c r="B217" s="14"/>
      <c r="C217" s="39"/>
      <c r="D217" s="39"/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>
      <c r="A218" s="14"/>
      <c r="B218" s="14"/>
      <c r="C218" s="39"/>
      <c r="D218" s="39"/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>
      <c r="A219" s="14"/>
      <c r="B219" s="14"/>
      <c r="C219" s="39"/>
      <c r="D219" s="39"/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>
      <c r="A220" s="14"/>
      <c r="B220" s="14"/>
      <c r="C220" s="39"/>
      <c r="D220" s="39"/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>
      <c r="R221" s="30"/>
      <c r="S221" s="40"/>
    </row>
    <row r="222" spans="1:33" ht="15.75" customHeight="1">
      <c r="R222" s="30"/>
      <c r="S222" s="40"/>
    </row>
    <row r="223" spans="1:33" ht="15.75" customHeight="1">
      <c r="R223" s="30"/>
      <c r="S223" s="40"/>
    </row>
    <row r="224" spans="1:33" ht="15.75" customHeight="1">
      <c r="R224" s="30"/>
      <c r="S224" s="40"/>
    </row>
    <row r="225" spans="18:18" ht="15.75" customHeight="1">
      <c r="R225" s="30"/>
    </row>
    <row r="226" spans="18:18" ht="15.75" customHeight="1">
      <c r="R226" s="30"/>
    </row>
    <row r="227" spans="18:18" ht="15.75" customHeight="1">
      <c r="R227" s="30"/>
    </row>
    <row r="228" spans="18:18" ht="15.75" customHeight="1">
      <c r="R228" s="30"/>
    </row>
    <row r="229" spans="18:18" ht="15.75" customHeight="1">
      <c r="R229" s="30"/>
    </row>
    <row r="230" spans="18:18" ht="15.75" customHeight="1">
      <c r="R230" s="30"/>
    </row>
    <row r="231" spans="18:18" ht="15.75" customHeight="1">
      <c r="R231" s="30"/>
    </row>
    <row r="232" spans="18:18" ht="15.75" customHeight="1">
      <c r="R232" s="30"/>
    </row>
    <row r="233" spans="18:18" ht="15.75" customHeight="1">
      <c r="R233" s="30"/>
    </row>
    <row r="234" spans="18:18" ht="15.75" customHeight="1">
      <c r="R234" s="30"/>
    </row>
    <row r="235" spans="18:18" ht="15.75" customHeight="1">
      <c r="R235" s="30"/>
    </row>
    <row r="236" spans="18:18" ht="15.75" customHeight="1">
      <c r="R236" s="30"/>
    </row>
    <row r="237" spans="18:18" ht="15.75" customHeight="1">
      <c r="R237" s="30"/>
    </row>
    <row r="238" spans="18:18" ht="15.75" customHeight="1">
      <c r="R238" s="30"/>
    </row>
    <row r="239" spans="18:18" ht="15.75" customHeight="1">
      <c r="R239" s="30"/>
    </row>
    <row r="240" spans="18:18" ht="15.75" customHeight="1">
      <c r="R240" s="30"/>
    </row>
    <row r="241" spans="18:18" ht="15.75" customHeight="1">
      <c r="R241" s="30"/>
    </row>
    <row r="242" spans="18:18" ht="15.75" customHeight="1">
      <c r="R242" s="30"/>
    </row>
    <row r="243" spans="18:18" ht="15.75" customHeight="1">
      <c r="R243" s="30"/>
    </row>
    <row r="244" spans="18:18" ht="15.75" customHeight="1">
      <c r="R244" s="30"/>
    </row>
    <row r="245" spans="18:18" ht="15.75" customHeight="1">
      <c r="R245" s="30"/>
    </row>
    <row r="246" spans="18:18" ht="15.75" customHeight="1">
      <c r="R246" s="30"/>
    </row>
    <row r="247" spans="18:18" ht="15.75" customHeight="1">
      <c r="R247" s="30"/>
    </row>
    <row r="248" spans="18:18" ht="15.75" customHeight="1">
      <c r="R248" s="30"/>
    </row>
    <row r="249" spans="18:18" ht="15.75" customHeight="1">
      <c r="R249" s="30"/>
    </row>
    <row r="250" spans="18:18" ht="15.75" customHeight="1">
      <c r="R250" s="30"/>
    </row>
    <row r="251" spans="18:18" ht="15.75" customHeight="1">
      <c r="R251" s="30"/>
    </row>
    <row r="252" spans="18:18" ht="15.75" customHeight="1">
      <c r="R252" s="30"/>
    </row>
    <row r="253" spans="18:18" ht="15.75" customHeight="1">
      <c r="R253" s="30"/>
    </row>
    <row r="254" spans="18:18" ht="15.75" customHeight="1">
      <c r="R254" s="30"/>
    </row>
    <row r="255" spans="18:18" ht="15.75" customHeight="1">
      <c r="R255" s="30"/>
    </row>
    <row r="256" spans="18:18" ht="15.75" customHeight="1">
      <c r="R256" s="30"/>
    </row>
    <row r="257" spans="18:18" ht="15.75" customHeight="1">
      <c r="R257" s="30"/>
    </row>
    <row r="258" spans="18:18" ht="15.75" customHeight="1">
      <c r="R258" s="30"/>
    </row>
    <row r="259" spans="18:18" ht="15.75" customHeight="1">
      <c r="R259" s="30"/>
    </row>
    <row r="260" spans="18:18" ht="15.75" customHeight="1">
      <c r="R260" s="30"/>
    </row>
    <row r="261" spans="18:18" ht="15.75" customHeight="1">
      <c r="R261" s="30"/>
    </row>
    <row r="262" spans="18:18" ht="15.75" customHeight="1">
      <c r="R262" s="30"/>
    </row>
    <row r="263" spans="18:18" ht="15.75" customHeight="1">
      <c r="R263" s="30"/>
    </row>
    <row r="264" spans="18:18" ht="15.75" customHeight="1">
      <c r="R264" s="30"/>
    </row>
    <row r="265" spans="18:18" ht="15.75" customHeight="1">
      <c r="R265" s="30"/>
    </row>
    <row r="266" spans="18:18" ht="15.75" customHeight="1">
      <c r="R266" s="30"/>
    </row>
    <row r="267" spans="18:18" ht="15.75" customHeight="1">
      <c r="R267" s="30"/>
    </row>
    <row r="268" spans="18:18" ht="15.75" customHeight="1">
      <c r="R268" s="30"/>
    </row>
    <row r="269" spans="18:18" ht="15.75" customHeight="1">
      <c r="R269" s="30"/>
    </row>
    <row r="270" spans="18:18" ht="15.75" customHeight="1">
      <c r="R270" s="30"/>
    </row>
    <row r="271" spans="18:18" ht="15.75" customHeight="1">
      <c r="R271" s="30"/>
    </row>
    <row r="272" spans="18:18" ht="15.75" customHeight="1">
      <c r="R272" s="30"/>
    </row>
    <row r="273" spans="18:18" ht="15.75" customHeight="1">
      <c r="R273" s="30"/>
    </row>
    <row r="274" spans="18:18" ht="15.75" customHeight="1">
      <c r="R274" s="30"/>
    </row>
    <row r="275" spans="18:18" ht="15.75" customHeight="1">
      <c r="R275" s="30"/>
    </row>
    <row r="276" spans="18:18" ht="15.75" customHeight="1">
      <c r="R276" s="30"/>
    </row>
    <row r="277" spans="18:18" ht="15.75" customHeight="1">
      <c r="R277" s="30"/>
    </row>
    <row r="278" spans="18:18" ht="15.75" customHeight="1">
      <c r="R278" s="30"/>
    </row>
    <row r="279" spans="18:18" ht="15.75" customHeight="1">
      <c r="R279" s="30"/>
    </row>
    <row r="280" spans="18:18" ht="15.75" customHeight="1">
      <c r="R280" s="30"/>
    </row>
    <row r="281" spans="18:18" ht="15.75" customHeight="1">
      <c r="R281" s="30"/>
    </row>
    <row r="282" spans="18:18" ht="15.75" customHeight="1">
      <c r="R282" s="30"/>
    </row>
    <row r="283" spans="18:18" ht="15.75" customHeight="1">
      <c r="R283" s="30"/>
    </row>
    <row r="284" spans="18:18" ht="15.75" customHeight="1">
      <c r="R284" s="30"/>
    </row>
    <row r="285" spans="18:18" ht="15.75" customHeight="1">
      <c r="R285" s="30"/>
    </row>
    <row r="286" spans="18:18" ht="15.75" customHeight="1">
      <c r="R286" s="30"/>
    </row>
    <row r="287" spans="18:18" ht="15.75" customHeight="1">
      <c r="R287" s="30"/>
    </row>
    <row r="288" spans="18:18" ht="15.75" customHeight="1">
      <c r="R288" s="30"/>
    </row>
    <row r="289" spans="18:18" ht="15.75" customHeight="1">
      <c r="R289" s="30"/>
    </row>
    <row r="290" spans="18:18" ht="15.75" customHeight="1">
      <c r="R290" s="30"/>
    </row>
    <row r="291" spans="18:18" ht="15.75" customHeight="1">
      <c r="R291" s="30"/>
    </row>
    <row r="292" spans="18:18" ht="15.75" customHeight="1">
      <c r="R292" s="30"/>
    </row>
    <row r="293" spans="18:18" ht="15.75" customHeight="1">
      <c r="R293" s="30"/>
    </row>
    <row r="294" spans="18:18" ht="15.75" customHeight="1">
      <c r="R294" s="30"/>
    </row>
    <row r="295" spans="18:18" ht="15.75" customHeight="1">
      <c r="R295" s="30"/>
    </row>
    <row r="296" spans="18:18" ht="15.75" customHeight="1">
      <c r="R296" s="30"/>
    </row>
    <row r="297" spans="18:18" ht="15.75" customHeight="1">
      <c r="R297" s="30"/>
    </row>
    <row r="298" spans="18:18" ht="15.75" customHeight="1">
      <c r="R298" s="30"/>
    </row>
    <row r="299" spans="18:18" ht="15.75" customHeight="1">
      <c r="R299" s="30"/>
    </row>
    <row r="300" spans="18:18" ht="15.75" customHeight="1">
      <c r="R300" s="30"/>
    </row>
    <row r="301" spans="18:18" ht="15.75" customHeight="1">
      <c r="R301" s="30"/>
    </row>
    <row r="302" spans="18:18" ht="15.75" customHeight="1">
      <c r="R302" s="30"/>
    </row>
    <row r="303" spans="18:18" ht="15.75" customHeight="1">
      <c r="R303" s="30"/>
    </row>
    <row r="304" spans="18:18" ht="15.75" customHeight="1">
      <c r="R304" s="30"/>
    </row>
    <row r="305" spans="18:18" ht="15.75" customHeight="1">
      <c r="R305" s="30"/>
    </row>
    <row r="306" spans="18:18" ht="15.75" customHeight="1">
      <c r="R306" s="30"/>
    </row>
    <row r="307" spans="18:18" ht="15.75" customHeight="1">
      <c r="R307" s="30"/>
    </row>
    <row r="308" spans="18:18" ht="15.75" customHeight="1">
      <c r="R308" s="30"/>
    </row>
    <row r="309" spans="18:18" ht="15.75" customHeight="1">
      <c r="R309" s="30"/>
    </row>
    <row r="310" spans="18:18" ht="15.75" customHeight="1">
      <c r="R310" s="30"/>
    </row>
    <row r="311" spans="18:18" ht="15.75" customHeight="1">
      <c r="R311" s="30"/>
    </row>
    <row r="312" spans="18:18" ht="15.75" customHeight="1">
      <c r="R312" s="30"/>
    </row>
    <row r="313" spans="18:18" ht="15.75" customHeight="1">
      <c r="R313" s="30"/>
    </row>
    <row r="314" spans="18:18" ht="15.75" customHeight="1">
      <c r="R314" s="30"/>
    </row>
    <row r="315" spans="18:18" ht="15.75" customHeight="1">
      <c r="R315" s="30"/>
    </row>
    <row r="316" spans="18:18" ht="15.75" customHeight="1">
      <c r="R316" s="30"/>
    </row>
    <row r="317" spans="18:18" ht="15.75" customHeight="1">
      <c r="R317" s="30"/>
    </row>
    <row r="318" spans="18:18" ht="15.75" customHeight="1">
      <c r="R318" s="30"/>
    </row>
    <row r="319" spans="18:18" ht="15.75" customHeight="1">
      <c r="R319" s="30"/>
    </row>
    <row r="320" spans="18:18" ht="15.75" customHeight="1">
      <c r="R320" s="30"/>
    </row>
    <row r="321" spans="18:18" ht="15.75" customHeight="1">
      <c r="R321" s="30"/>
    </row>
    <row r="322" spans="18:18" ht="15.75" customHeight="1">
      <c r="R322" s="30"/>
    </row>
    <row r="323" spans="18:18" ht="15.75" customHeight="1">
      <c r="R323" s="30"/>
    </row>
    <row r="324" spans="18:18" ht="15.75" customHeight="1">
      <c r="R324" s="30"/>
    </row>
    <row r="325" spans="18:18" ht="15.75" customHeight="1">
      <c r="R325" s="30"/>
    </row>
    <row r="326" spans="18:18" ht="15.75" customHeight="1">
      <c r="R326" s="30"/>
    </row>
    <row r="327" spans="18:18" ht="15.75" customHeight="1">
      <c r="R327" s="30"/>
    </row>
    <row r="328" spans="18:18" ht="15.75" customHeight="1">
      <c r="R328" s="30"/>
    </row>
    <row r="329" spans="18:18" ht="15.75" customHeight="1">
      <c r="R329" s="30"/>
    </row>
    <row r="330" spans="18:18" ht="15.75" customHeight="1">
      <c r="R330" s="30"/>
    </row>
    <row r="331" spans="18:18" ht="15.75" customHeight="1">
      <c r="R331" s="30"/>
    </row>
    <row r="332" spans="18:18" ht="15.75" customHeight="1">
      <c r="R332" s="30"/>
    </row>
    <row r="333" spans="18:18" ht="15.75" customHeight="1">
      <c r="R333" s="30"/>
    </row>
    <row r="334" spans="18:18" ht="15.75" customHeight="1">
      <c r="R334" s="30"/>
    </row>
    <row r="335" spans="18:18" ht="15.75" customHeight="1">
      <c r="R335" s="30"/>
    </row>
    <row r="336" spans="18:18" ht="15.75" customHeight="1">
      <c r="R336" s="30"/>
    </row>
    <row r="337" spans="18:18" ht="15.75" customHeight="1">
      <c r="R337" s="30"/>
    </row>
    <row r="338" spans="18:18" ht="15.75" customHeight="1">
      <c r="R338" s="30"/>
    </row>
    <row r="339" spans="18:18" ht="15.75" customHeight="1">
      <c r="R339" s="30"/>
    </row>
    <row r="340" spans="18:18" ht="15.75" customHeight="1">
      <c r="R340" s="30"/>
    </row>
    <row r="341" spans="18:18" ht="15.75" customHeight="1">
      <c r="R341" s="30"/>
    </row>
    <row r="342" spans="18:18" ht="15.75" customHeight="1">
      <c r="R342" s="30"/>
    </row>
    <row r="343" spans="18:18" ht="15.75" customHeight="1">
      <c r="R343" s="30"/>
    </row>
    <row r="344" spans="18:18" ht="15.75" customHeight="1">
      <c r="R344" s="30"/>
    </row>
    <row r="345" spans="18:18" ht="15.75" customHeight="1">
      <c r="R345" s="30"/>
    </row>
    <row r="346" spans="18:18" ht="15.75" customHeight="1">
      <c r="R346" s="30"/>
    </row>
    <row r="347" spans="18:18" ht="15.75" customHeight="1">
      <c r="R347" s="30"/>
    </row>
    <row r="348" spans="18:18" ht="15.75" customHeight="1">
      <c r="R348" s="30"/>
    </row>
    <row r="349" spans="18:18" ht="15.75" customHeight="1">
      <c r="R349" s="30"/>
    </row>
    <row r="350" spans="18:18" ht="15.75" customHeight="1">
      <c r="R350" s="30"/>
    </row>
    <row r="351" spans="18:18" ht="15.75" customHeight="1">
      <c r="R351" s="30"/>
    </row>
    <row r="352" spans="18:18" ht="15.75" customHeight="1">
      <c r="R352" s="30"/>
    </row>
    <row r="353" spans="18:18" ht="15.75" customHeight="1">
      <c r="R353" s="30"/>
    </row>
    <row r="354" spans="18:18" ht="15.75" customHeight="1">
      <c r="R354" s="30"/>
    </row>
    <row r="355" spans="18:18" ht="15.75" customHeight="1">
      <c r="R355" s="30"/>
    </row>
    <row r="356" spans="18:18" ht="15.75" customHeight="1">
      <c r="R356" s="30"/>
    </row>
    <row r="357" spans="18:18" ht="15.75" customHeight="1">
      <c r="R357" s="30"/>
    </row>
    <row r="358" spans="18:18" ht="15.75" customHeight="1">
      <c r="R358" s="30"/>
    </row>
    <row r="359" spans="18:18" ht="15.75" customHeight="1">
      <c r="R359" s="30"/>
    </row>
    <row r="360" spans="18:18" ht="15.75" customHeight="1">
      <c r="R360" s="30"/>
    </row>
    <row r="361" spans="18:18" ht="15.75" customHeight="1">
      <c r="R361" s="30"/>
    </row>
    <row r="362" spans="18:18" ht="15.75" customHeight="1">
      <c r="R362" s="30"/>
    </row>
    <row r="363" spans="18:18" ht="15.75" customHeight="1">
      <c r="R363" s="30"/>
    </row>
    <row r="364" spans="18:18" ht="15.75" customHeight="1">
      <c r="R364" s="30"/>
    </row>
    <row r="365" spans="18:18" ht="15.75" customHeight="1">
      <c r="R365" s="30"/>
    </row>
    <row r="366" spans="18:18" ht="15.75" customHeight="1">
      <c r="R366" s="30"/>
    </row>
    <row r="367" spans="18:18" ht="15.75" customHeight="1">
      <c r="R367" s="30"/>
    </row>
    <row r="368" spans="18:18" ht="15.75" customHeight="1">
      <c r="R368" s="30"/>
    </row>
    <row r="369" spans="18:18" ht="15.75" customHeight="1">
      <c r="R369" s="30"/>
    </row>
    <row r="370" spans="18:18" ht="15.75" customHeight="1">
      <c r="R370" s="30"/>
    </row>
    <row r="371" spans="18:18" ht="15.75" customHeight="1">
      <c r="R371" s="30"/>
    </row>
    <row r="372" spans="18:18" ht="15.75" customHeight="1">
      <c r="R372" s="30"/>
    </row>
    <row r="373" spans="18:18" ht="15.75" customHeight="1">
      <c r="R373" s="30"/>
    </row>
    <row r="374" spans="18:18" ht="15.75" customHeight="1">
      <c r="R374" s="30"/>
    </row>
    <row r="375" spans="18:18" ht="15.75" customHeight="1">
      <c r="R375" s="30"/>
    </row>
    <row r="376" spans="18:18" ht="15.75" customHeight="1">
      <c r="R376" s="30"/>
    </row>
    <row r="377" spans="18:18" ht="15.75" customHeight="1">
      <c r="R377" s="30"/>
    </row>
    <row r="378" spans="18:18" ht="15.75" customHeight="1">
      <c r="R378" s="30"/>
    </row>
    <row r="379" spans="18:18" ht="15.75" customHeight="1">
      <c r="R379" s="30"/>
    </row>
    <row r="380" spans="18:18" ht="15.75" customHeight="1">
      <c r="R380" s="30"/>
    </row>
    <row r="381" spans="18:18" ht="15.75" customHeight="1">
      <c r="R381" s="30"/>
    </row>
    <row r="382" spans="18:18" ht="15.75" customHeight="1">
      <c r="R382" s="30"/>
    </row>
    <row r="383" spans="18:18" ht="15.75" customHeight="1">
      <c r="R383" s="30"/>
    </row>
    <row r="384" spans="18:18" ht="15.75" customHeight="1">
      <c r="R384" s="30"/>
    </row>
    <row r="385" spans="18:18" ht="15.75" customHeight="1">
      <c r="R385" s="30"/>
    </row>
    <row r="386" spans="18:18" ht="15.75" customHeight="1">
      <c r="R386" s="30"/>
    </row>
    <row r="387" spans="18:18" ht="15.75" customHeight="1">
      <c r="R387" s="30"/>
    </row>
    <row r="388" spans="18:18" ht="15.75" customHeight="1">
      <c r="R388" s="30"/>
    </row>
    <row r="389" spans="18:18" ht="15.75" customHeight="1">
      <c r="R389" s="30"/>
    </row>
    <row r="390" spans="18:18" ht="15.75" customHeight="1">
      <c r="R390" s="30"/>
    </row>
    <row r="391" spans="18:18" ht="15.75" customHeight="1">
      <c r="R391" s="30"/>
    </row>
    <row r="392" spans="18:18" ht="15.75" customHeight="1">
      <c r="R392" s="30"/>
    </row>
    <row r="393" spans="18:18" ht="15.75" customHeight="1">
      <c r="R393" s="30"/>
    </row>
    <row r="394" spans="18:18" ht="15.75" customHeight="1">
      <c r="R394" s="30"/>
    </row>
    <row r="395" spans="18:18" ht="15.75" customHeight="1">
      <c r="R395" s="30"/>
    </row>
    <row r="396" spans="18:18" ht="15.75" customHeight="1">
      <c r="R396" s="30"/>
    </row>
    <row r="397" spans="18:18" ht="15.75" customHeight="1">
      <c r="R397" s="30"/>
    </row>
    <row r="398" spans="18:18" ht="15.75" customHeight="1">
      <c r="R398" s="30"/>
    </row>
    <row r="399" spans="18:18" ht="15.75" customHeight="1">
      <c r="R399" s="30"/>
    </row>
    <row r="400" spans="18:18" ht="15.75" customHeight="1">
      <c r="R400" s="30"/>
    </row>
    <row r="401" spans="18:18" ht="15.75" customHeight="1">
      <c r="R401" s="30"/>
    </row>
    <row r="402" spans="18:18" ht="15.75" customHeight="1">
      <c r="R402" s="30"/>
    </row>
    <row r="403" spans="18:18" ht="15.75" customHeight="1">
      <c r="R403" s="30"/>
    </row>
    <row r="404" spans="18:18" ht="15.75" customHeight="1">
      <c r="R404" s="30"/>
    </row>
    <row r="405" spans="18:18" ht="15.75" customHeight="1">
      <c r="R405" s="30"/>
    </row>
    <row r="406" spans="18:18" ht="15.75" customHeight="1">
      <c r="R406" s="30"/>
    </row>
    <row r="407" spans="18:18" ht="15.75" customHeight="1">
      <c r="R407" s="30"/>
    </row>
    <row r="408" spans="18:18" ht="15.75" customHeight="1">
      <c r="R408" s="30"/>
    </row>
    <row r="409" spans="18:18" ht="15.75" customHeight="1">
      <c r="R409" s="30"/>
    </row>
    <row r="410" spans="18:18" ht="15.75" customHeight="1">
      <c r="R410" s="30"/>
    </row>
    <row r="411" spans="18:18" ht="15.75" customHeight="1">
      <c r="R411" s="30"/>
    </row>
    <row r="412" spans="18:18" ht="15.75" customHeight="1">
      <c r="R412" s="30"/>
    </row>
    <row r="413" spans="18:18" ht="15.75" customHeight="1">
      <c r="R413" s="30"/>
    </row>
    <row r="414" spans="18:18" ht="15.75" customHeight="1">
      <c r="R414" s="30"/>
    </row>
    <row r="415" spans="18:18" ht="15.75" customHeight="1">
      <c r="R415" s="30"/>
    </row>
    <row r="416" spans="18:18" ht="15.75" customHeight="1">
      <c r="R416" s="30"/>
    </row>
    <row r="417" spans="18:18" ht="15.75" customHeight="1">
      <c r="R417" s="30"/>
    </row>
    <row r="418" spans="18:18" ht="15.75" customHeight="1">
      <c r="R418" s="30"/>
    </row>
    <row r="419" spans="18:18" ht="15.75" customHeight="1">
      <c r="R419" s="30"/>
    </row>
    <row r="420" spans="18:18" ht="15.75" customHeight="1">
      <c r="R420" s="30"/>
    </row>
    <row r="421" spans="18:18" ht="15.75" customHeight="1">
      <c r="R421" s="30"/>
    </row>
    <row r="422" spans="18:18" ht="15.75" customHeight="1">
      <c r="R422" s="30"/>
    </row>
    <row r="423" spans="18:18" ht="15.75" customHeight="1">
      <c r="R423" s="30"/>
    </row>
    <row r="424" spans="18:18" ht="15.75" customHeight="1">
      <c r="R424" s="30"/>
    </row>
    <row r="425" spans="18:18" ht="15.75" customHeight="1">
      <c r="R425" s="30"/>
    </row>
    <row r="426" spans="18:18" ht="15.75" customHeight="1">
      <c r="R426" s="30"/>
    </row>
    <row r="427" spans="18:18" ht="15.75" customHeight="1">
      <c r="R427" s="30"/>
    </row>
    <row r="428" spans="18:18" ht="15.75" customHeight="1">
      <c r="R428" s="30"/>
    </row>
    <row r="429" spans="18:18" ht="15.75" customHeight="1">
      <c r="R429" s="30"/>
    </row>
    <row r="430" spans="18:18" ht="15.75" customHeight="1">
      <c r="R430" s="30"/>
    </row>
    <row r="431" spans="18:18" ht="15.75" customHeight="1">
      <c r="R431" s="30"/>
    </row>
    <row r="432" spans="18:18" ht="15.75" customHeight="1">
      <c r="R432" s="30"/>
    </row>
    <row r="433" spans="18:18" ht="15.75" customHeight="1">
      <c r="R433" s="30"/>
    </row>
    <row r="434" spans="18:18" ht="15.75" customHeight="1">
      <c r="R434" s="30"/>
    </row>
    <row r="435" spans="18:18" ht="15.75" customHeight="1">
      <c r="R435" s="30"/>
    </row>
    <row r="436" spans="18:18" ht="15.75" customHeight="1">
      <c r="R436" s="30"/>
    </row>
    <row r="437" spans="18:18" ht="15.75" customHeight="1">
      <c r="R437" s="30"/>
    </row>
    <row r="438" spans="18:18" ht="15.75" customHeight="1">
      <c r="R438" s="30"/>
    </row>
    <row r="439" spans="18:18" ht="15.75" customHeight="1">
      <c r="R439" s="30"/>
    </row>
    <row r="440" spans="18:18" ht="15.75" customHeight="1">
      <c r="R440" s="30"/>
    </row>
    <row r="441" spans="18:18" ht="15.75" customHeight="1">
      <c r="R441" s="30"/>
    </row>
    <row r="442" spans="18:18" ht="15.75" customHeight="1">
      <c r="R442" s="30"/>
    </row>
    <row r="443" spans="18:18" ht="15.75" customHeight="1">
      <c r="R443" s="30"/>
    </row>
    <row r="444" spans="18:18" ht="15.75" customHeight="1">
      <c r="R444" s="30"/>
    </row>
    <row r="445" spans="18:18" ht="15.75" customHeight="1">
      <c r="R445" s="30"/>
    </row>
    <row r="446" spans="18:18" ht="15.75" customHeight="1">
      <c r="R446" s="30"/>
    </row>
    <row r="447" spans="18:18" ht="15.75" customHeight="1">
      <c r="R447" s="30"/>
    </row>
    <row r="448" spans="18:18" ht="15.75" customHeight="1">
      <c r="R448" s="30"/>
    </row>
    <row r="449" spans="18:18" ht="15.75" customHeight="1">
      <c r="R449" s="30"/>
    </row>
    <row r="450" spans="18:18" ht="15.75" customHeight="1">
      <c r="R450" s="30"/>
    </row>
    <row r="451" spans="18:18" ht="15.75" customHeight="1">
      <c r="R451" s="30"/>
    </row>
    <row r="452" spans="18:18" ht="15.75" customHeight="1">
      <c r="R452" s="30"/>
    </row>
    <row r="453" spans="18:18" ht="15.75" customHeight="1">
      <c r="R453" s="30"/>
    </row>
    <row r="454" spans="18:18" ht="15.75" customHeight="1">
      <c r="R454" s="30"/>
    </row>
    <row r="455" spans="18:18" ht="15.75" customHeight="1">
      <c r="R455" s="30"/>
    </row>
    <row r="456" spans="18:18" ht="15.75" customHeight="1">
      <c r="R456" s="30"/>
    </row>
    <row r="457" spans="18:18" ht="15.75" customHeight="1">
      <c r="R457" s="30"/>
    </row>
    <row r="458" spans="18:18" ht="15.75" customHeight="1">
      <c r="R458" s="30"/>
    </row>
    <row r="459" spans="18:18" ht="15.75" customHeight="1">
      <c r="R459" s="30"/>
    </row>
    <row r="460" spans="18:18" ht="15.75" customHeight="1">
      <c r="R460" s="30"/>
    </row>
    <row r="461" spans="18:18" ht="15.75" customHeight="1">
      <c r="R461" s="30"/>
    </row>
    <row r="462" spans="18:18" ht="15.75" customHeight="1">
      <c r="R462" s="30"/>
    </row>
    <row r="463" spans="18:18" ht="15.75" customHeight="1">
      <c r="R463" s="30"/>
    </row>
    <row r="464" spans="18:18" ht="15.75" customHeight="1">
      <c r="R464" s="30"/>
    </row>
    <row r="465" spans="18:18" ht="15.75" customHeight="1">
      <c r="R465" s="30"/>
    </row>
    <row r="466" spans="18:18" ht="15.75" customHeight="1">
      <c r="R466" s="30"/>
    </row>
    <row r="467" spans="18:18" ht="15.75" customHeight="1">
      <c r="R467" s="30"/>
    </row>
    <row r="468" spans="18:18" ht="15.75" customHeight="1">
      <c r="R468" s="30"/>
    </row>
    <row r="469" spans="18:18" ht="15.75" customHeight="1">
      <c r="R469" s="30"/>
    </row>
    <row r="470" spans="18:18" ht="15.75" customHeight="1">
      <c r="R470" s="30"/>
    </row>
    <row r="471" spans="18:18" ht="15.75" customHeight="1">
      <c r="R471" s="30"/>
    </row>
    <row r="472" spans="18:18" ht="15.75" customHeight="1">
      <c r="R472" s="30"/>
    </row>
    <row r="473" spans="18:18" ht="15.75" customHeight="1">
      <c r="R473" s="30"/>
    </row>
    <row r="474" spans="18:18" ht="15.75" customHeight="1">
      <c r="R474" s="30"/>
    </row>
    <row r="475" spans="18:18" ht="15.75" customHeight="1">
      <c r="R475" s="30"/>
    </row>
    <row r="476" spans="18:18" ht="15.75" customHeight="1">
      <c r="R476" s="30"/>
    </row>
    <row r="477" spans="18:18" ht="15.75" customHeight="1">
      <c r="R477" s="30"/>
    </row>
    <row r="478" spans="18:18" ht="15.75" customHeight="1">
      <c r="R478" s="30"/>
    </row>
    <row r="479" spans="18:18" ht="15.75" customHeight="1">
      <c r="R479" s="30"/>
    </row>
    <row r="480" spans="18:18" ht="15.75" customHeight="1">
      <c r="R480" s="30"/>
    </row>
    <row r="481" spans="18:18" ht="15.75" customHeight="1">
      <c r="R481" s="30"/>
    </row>
    <row r="482" spans="18:18" ht="15.75" customHeight="1">
      <c r="R482" s="30"/>
    </row>
    <row r="483" spans="18:18" ht="15.75" customHeight="1">
      <c r="R483" s="30"/>
    </row>
    <row r="484" spans="18:18" ht="15.75" customHeight="1">
      <c r="R484" s="30"/>
    </row>
    <row r="485" spans="18:18" ht="15.75" customHeight="1">
      <c r="R485" s="30"/>
    </row>
    <row r="486" spans="18:18" ht="15.75" customHeight="1">
      <c r="R486" s="30"/>
    </row>
    <row r="487" spans="18:18" ht="15.75" customHeight="1">
      <c r="R487" s="30"/>
    </row>
    <row r="488" spans="18:18" ht="15.75" customHeight="1">
      <c r="R488" s="30"/>
    </row>
    <row r="489" spans="18:18" ht="15.75" customHeight="1">
      <c r="R489" s="30"/>
    </row>
    <row r="490" spans="18:18" ht="15.75" customHeight="1">
      <c r="R490" s="30"/>
    </row>
    <row r="491" spans="18:18" ht="15.75" customHeight="1">
      <c r="R491" s="30"/>
    </row>
    <row r="492" spans="18:18" ht="15.75" customHeight="1">
      <c r="R492" s="30"/>
    </row>
    <row r="493" spans="18:18" ht="15.75" customHeight="1">
      <c r="R493" s="30"/>
    </row>
    <row r="494" spans="18:18" ht="15.75" customHeight="1">
      <c r="R494" s="30"/>
    </row>
    <row r="495" spans="18:18" ht="15.75" customHeight="1">
      <c r="R495" s="30"/>
    </row>
    <row r="496" spans="18:18" ht="15.75" customHeight="1">
      <c r="R496" s="30"/>
    </row>
    <row r="497" spans="18:18" ht="15.75" customHeight="1">
      <c r="R497" s="30"/>
    </row>
    <row r="498" spans="18:18" ht="15.75" customHeight="1">
      <c r="R498" s="30"/>
    </row>
    <row r="499" spans="18:18" ht="15.75" customHeight="1">
      <c r="R499" s="30"/>
    </row>
    <row r="500" spans="18:18" ht="15.75" customHeight="1">
      <c r="R500" s="30"/>
    </row>
    <row r="501" spans="18:18" ht="15.75" customHeight="1">
      <c r="R501" s="30"/>
    </row>
    <row r="502" spans="18:18" ht="15.75" customHeight="1">
      <c r="R502" s="30"/>
    </row>
    <row r="503" spans="18:18" ht="15.75" customHeight="1">
      <c r="R503" s="30"/>
    </row>
    <row r="504" spans="18:18" ht="15.75" customHeight="1">
      <c r="R504" s="30"/>
    </row>
    <row r="505" spans="18:18" ht="15.75" customHeight="1">
      <c r="R505" s="30"/>
    </row>
    <row r="506" spans="18:18" ht="15.75" customHeight="1">
      <c r="R506" s="30"/>
    </row>
    <row r="507" spans="18:18" ht="15.75" customHeight="1">
      <c r="R507" s="30"/>
    </row>
    <row r="508" spans="18:18" ht="15.75" customHeight="1">
      <c r="R508" s="30"/>
    </row>
    <row r="509" spans="18:18" ht="15.75" customHeight="1">
      <c r="R509" s="30"/>
    </row>
    <row r="510" spans="18:18" ht="15.75" customHeight="1">
      <c r="R510" s="30"/>
    </row>
    <row r="511" spans="18:18" ht="15.75" customHeight="1">
      <c r="R511" s="30"/>
    </row>
    <row r="512" spans="18:18" ht="15.75" customHeight="1">
      <c r="R512" s="30"/>
    </row>
    <row r="513" spans="18:18" ht="15.75" customHeight="1">
      <c r="R513" s="30"/>
    </row>
    <row r="514" spans="18:18" ht="15.75" customHeight="1">
      <c r="R514" s="30"/>
    </row>
    <row r="515" spans="18:18" ht="15.75" customHeight="1">
      <c r="R515" s="30"/>
    </row>
    <row r="516" spans="18:18" ht="15.75" customHeight="1">
      <c r="R516" s="30"/>
    </row>
    <row r="517" spans="18:18" ht="15.75" customHeight="1">
      <c r="R517" s="30"/>
    </row>
    <row r="518" spans="18:18" ht="15.75" customHeight="1">
      <c r="R518" s="30"/>
    </row>
    <row r="519" spans="18:18" ht="15.75" customHeight="1">
      <c r="R519" s="30"/>
    </row>
    <row r="520" spans="18:18" ht="15.75" customHeight="1">
      <c r="R520" s="30"/>
    </row>
    <row r="521" spans="18:18" ht="15.75" customHeight="1">
      <c r="R521" s="30"/>
    </row>
    <row r="522" spans="18:18" ht="15.75" customHeight="1">
      <c r="R522" s="30"/>
    </row>
    <row r="523" spans="18:18" ht="15.75" customHeight="1">
      <c r="R523" s="30"/>
    </row>
    <row r="524" spans="18:18" ht="15.75" customHeight="1">
      <c r="R524" s="30"/>
    </row>
    <row r="525" spans="18:18" ht="15.75" customHeight="1">
      <c r="R525" s="30"/>
    </row>
    <row r="526" spans="18:18" ht="15.75" customHeight="1">
      <c r="R526" s="30"/>
    </row>
    <row r="527" spans="18:18" ht="15.75" customHeight="1">
      <c r="R527" s="30"/>
    </row>
    <row r="528" spans="18:18" ht="15.75" customHeight="1">
      <c r="R528" s="30"/>
    </row>
    <row r="529" spans="18:18" ht="15.75" customHeight="1">
      <c r="R529" s="30"/>
    </row>
    <row r="530" spans="18:18" ht="15.75" customHeight="1">
      <c r="R530" s="30"/>
    </row>
    <row r="531" spans="18:18" ht="15.75" customHeight="1">
      <c r="R531" s="30"/>
    </row>
    <row r="532" spans="18:18" ht="15.75" customHeight="1">
      <c r="R532" s="30"/>
    </row>
    <row r="533" spans="18:18" ht="15.75" customHeight="1">
      <c r="R533" s="30"/>
    </row>
    <row r="534" spans="18:18" ht="15.75" customHeight="1">
      <c r="R534" s="30"/>
    </row>
    <row r="535" spans="18:18" ht="15.75" customHeight="1">
      <c r="R535" s="30"/>
    </row>
    <row r="536" spans="18:18" ht="15.75" customHeight="1">
      <c r="R536" s="30"/>
    </row>
    <row r="537" spans="18:18" ht="15.75" customHeight="1">
      <c r="R537" s="30"/>
    </row>
    <row r="538" spans="18:18" ht="15.75" customHeight="1">
      <c r="R538" s="30"/>
    </row>
    <row r="539" spans="18:18" ht="15.75" customHeight="1">
      <c r="R539" s="30"/>
    </row>
    <row r="540" spans="18:18" ht="15.75" customHeight="1">
      <c r="R540" s="30"/>
    </row>
    <row r="541" spans="18:18" ht="15.75" customHeight="1">
      <c r="R541" s="30"/>
    </row>
    <row r="542" spans="18:18" ht="15.75" customHeight="1">
      <c r="R542" s="30"/>
    </row>
    <row r="543" spans="18:18" ht="15.75" customHeight="1">
      <c r="R543" s="30"/>
    </row>
    <row r="544" spans="18:18" ht="15.75" customHeight="1">
      <c r="R544" s="30"/>
    </row>
    <row r="545" spans="18:18" ht="15.75" customHeight="1">
      <c r="R545" s="30"/>
    </row>
    <row r="546" spans="18:18" ht="15.75" customHeight="1">
      <c r="R546" s="30"/>
    </row>
    <row r="547" spans="18:18" ht="15.75" customHeight="1">
      <c r="R547" s="30"/>
    </row>
    <row r="548" spans="18:18" ht="15.75" customHeight="1">
      <c r="R548" s="30"/>
    </row>
    <row r="549" spans="18:18" ht="15.75" customHeight="1">
      <c r="R549" s="30"/>
    </row>
    <row r="550" spans="18:18" ht="15.75" customHeight="1">
      <c r="R550" s="30"/>
    </row>
    <row r="551" spans="18:18" ht="15.75" customHeight="1">
      <c r="R551" s="30"/>
    </row>
    <row r="552" spans="18:18" ht="15.75" customHeight="1">
      <c r="R552" s="30"/>
    </row>
    <row r="553" spans="18:18" ht="15.75" customHeight="1">
      <c r="R553" s="30"/>
    </row>
    <row r="554" spans="18:18" ht="15.75" customHeight="1">
      <c r="R554" s="30"/>
    </row>
    <row r="555" spans="18:18" ht="15.75" customHeight="1">
      <c r="R555" s="30"/>
    </row>
    <row r="556" spans="18:18" ht="15.75" customHeight="1">
      <c r="R556" s="30"/>
    </row>
    <row r="557" spans="18:18" ht="15.75" customHeight="1">
      <c r="R557" s="30"/>
    </row>
    <row r="558" spans="18:18" ht="15.75" customHeight="1">
      <c r="R558" s="30"/>
    </row>
    <row r="559" spans="18:18" ht="15.75" customHeight="1">
      <c r="R559" s="30"/>
    </row>
    <row r="560" spans="18:18" ht="15.75" customHeight="1">
      <c r="R560" s="30"/>
    </row>
    <row r="561" spans="18:18" ht="15.75" customHeight="1">
      <c r="R561" s="30"/>
    </row>
    <row r="562" spans="18:18" ht="15.75" customHeight="1">
      <c r="R562" s="30"/>
    </row>
    <row r="563" spans="18:18" ht="15.75" customHeight="1">
      <c r="R563" s="30"/>
    </row>
    <row r="564" spans="18:18" ht="15.75" customHeight="1">
      <c r="R564" s="30"/>
    </row>
    <row r="565" spans="18:18" ht="15.75" customHeight="1">
      <c r="R565" s="30"/>
    </row>
    <row r="566" spans="18:18" ht="15.75" customHeight="1">
      <c r="R566" s="30"/>
    </row>
    <row r="567" spans="18:18" ht="15.75" customHeight="1">
      <c r="R567" s="30"/>
    </row>
    <row r="568" spans="18:18" ht="15.75" customHeight="1">
      <c r="R568" s="30"/>
    </row>
    <row r="569" spans="18:18" ht="15.75" customHeight="1">
      <c r="R569" s="30"/>
    </row>
    <row r="570" spans="18:18" ht="15.75" customHeight="1">
      <c r="R570" s="30"/>
    </row>
    <row r="571" spans="18:18" ht="15.75" customHeight="1">
      <c r="R571" s="30"/>
    </row>
    <row r="572" spans="18:18" ht="15.75" customHeight="1">
      <c r="R572" s="30"/>
    </row>
    <row r="573" spans="18:18" ht="15.75" customHeight="1">
      <c r="R573" s="30"/>
    </row>
    <row r="574" spans="18:18" ht="15.75" customHeight="1">
      <c r="R574" s="30"/>
    </row>
    <row r="575" spans="18:18" ht="15.75" customHeight="1">
      <c r="R575" s="30"/>
    </row>
    <row r="576" spans="18:18" ht="15.75" customHeight="1">
      <c r="R576" s="30"/>
    </row>
    <row r="577" spans="18:18" ht="15.75" customHeight="1">
      <c r="R577" s="30"/>
    </row>
    <row r="578" spans="18:18" ht="15.75" customHeight="1">
      <c r="R578" s="30"/>
    </row>
    <row r="579" spans="18:18" ht="15.75" customHeight="1">
      <c r="R579" s="30"/>
    </row>
    <row r="580" spans="18:18" ht="15.75" customHeight="1">
      <c r="R580" s="30"/>
    </row>
    <row r="581" spans="18:18" ht="15.75" customHeight="1">
      <c r="R581" s="30"/>
    </row>
    <row r="582" spans="18:18" ht="15.75" customHeight="1">
      <c r="R582" s="30"/>
    </row>
    <row r="583" spans="18:18" ht="15.75" customHeight="1">
      <c r="R583" s="30"/>
    </row>
    <row r="584" spans="18:18" ht="15.75" customHeight="1">
      <c r="R584" s="30"/>
    </row>
    <row r="585" spans="18:18" ht="15.75" customHeight="1">
      <c r="R585" s="30"/>
    </row>
    <row r="586" spans="18:18" ht="15.75" customHeight="1">
      <c r="R586" s="30"/>
    </row>
    <row r="587" spans="18:18" ht="15.75" customHeight="1">
      <c r="R587" s="30"/>
    </row>
    <row r="588" spans="18:18" ht="15.75" customHeight="1">
      <c r="R588" s="30"/>
    </row>
    <row r="589" spans="18:18" ht="15.75" customHeight="1">
      <c r="R589" s="30"/>
    </row>
    <row r="590" spans="18:18" ht="15.75" customHeight="1">
      <c r="R590" s="30"/>
    </row>
    <row r="591" spans="18:18" ht="15.75" customHeight="1">
      <c r="R591" s="30"/>
    </row>
    <row r="592" spans="18:18" ht="15.75" customHeight="1">
      <c r="R592" s="30"/>
    </row>
    <row r="593" spans="18:18" ht="15.75" customHeight="1">
      <c r="R593" s="30"/>
    </row>
    <row r="594" spans="18:18" ht="15.75" customHeight="1">
      <c r="R594" s="30"/>
    </row>
    <row r="595" spans="18:18" ht="15.75" customHeight="1">
      <c r="R595" s="30"/>
    </row>
    <row r="596" spans="18:18" ht="15.75" customHeight="1">
      <c r="R596" s="30"/>
    </row>
    <row r="597" spans="18:18" ht="15.75" customHeight="1">
      <c r="R597" s="30"/>
    </row>
    <row r="598" spans="18:18" ht="15.75" customHeight="1">
      <c r="R598" s="30"/>
    </row>
    <row r="599" spans="18:18" ht="15.75" customHeight="1">
      <c r="R599" s="30"/>
    </row>
    <row r="600" spans="18:18" ht="15.75" customHeight="1">
      <c r="R600" s="30"/>
    </row>
    <row r="601" spans="18:18" ht="15.75" customHeight="1">
      <c r="R601" s="30"/>
    </row>
    <row r="602" spans="18:18" ht="15.75" customHeight="1">
      <c r="R602" s="30"/>
    </row>
    <row r="603" spans="18:18" ht="15.75" customHeight="1">
      <c r="R603" s="30"/>
    </row>
    <row r="604" spans="18:18" ht="15.75" customHeight="1">
      <c r="R604" s="30"/>
    </row>
    <row r="605" spans="18:18" ht="15.75" customHeight="1">
      <c r="R605" s="30"/>
    </row>
    <row r="606" spans="18:18" ht="15.75" customHeight="1">
      <c r="R606" s="30"/>
    </row>
    <row r="607" spans="18:18" ht="15.75" customHeight="1">
      <c r="R607" s="30"/>
    </row>
    <row r="608" spans="18:18" ht="15.75" customHeight="1">
      <c r="R608" s="30"/>
    </row>
    <row r="609" spans="18:18" ht="15.75" customHeight="1">
      <c r="R609" s="30"/>
    </row>
    <row r="610" spans="18:18" ht="15.75" customHeight="1">
      <c r="R610" s="30"/>
    </row>
    <row r="611" spans="18:18" ht="15.75" customHeight="1">
      <c r="R611" s="30"/>
    </row>
    <row r="612" spans="18:18" ht="15.75" customHeight="1">
      <c r="R612" s="30"/>
    </row>
    <row r="613" spans="18:18" ht="15.75" customHeight="1">
      <c r="R613" s="30"/>
    </row>
    <row r="614" spans="18:18" ht="15.75" customHeight="1">
      <c r="R614" s="30"/>
    </row>
    <row r="615" spans="18:18" ht="15.75" customHeight="1">
      <c r="R615" s="30"/>
    </row>
    <row r="616" spans="18:18" ht="15.75" customHeight="1">
      <c r="R616" s="30"/>
    </row>
    <row r="617" spans="18:18" ht="15.75" customHeight="1">
      <c r="R617" s="30"/>
    </row>
    <row r="618" spans="18:18" ht="15.75" customHeight="1">
      <c r="R618" s="30"/>
    </row>
    <row r="619" spans="18:18" ht="15.75" customHeight="1">
      <c r="R619" s="30"/>
    </row>
    <row r="620" spans="18:18" ht="15.75" customHeight="1">
      <c r="R620" s="30"/>
    </row>
    <row r="621" spans="18:18" ht="15.75" customHeight="1">
      <c r="R621" s="30"/>
    </row>
    <row r="622" spans="18:18" ht="15.75" customHeight="1">
      <c r="R622" s="30"/>
    </row>
    <row r="623" spans="18:18" ht="15.75" customHeight="1">
      <c r="R623" s="30"/>
    </row>
    <row r="624" spans="18:18" ht="15.75" customHeight="1">
      <c r="R624" s="30"/>
    </row>
    <row r="625" spans="18:18" ht="15.75" customHeight="1">
      <c r="R625" s="30"/>
    </row>
    <row r="626" spans="18:18" ht="15.75" customHeight="1">
      <c r="R626" s="30"/>
    </row>
    <row r="627" spans="18:18" ht="15.75" customHeight="1">
      <c r="R627" s="30"/>
    </row>
    <row r="628" spans="18:18" ht="15.75" customHeight="1">
      <c r="R628" s="30"/>
    </row>
    <row r="629" spans="18:18" ht="15.75" customHeight="1">
      <c r="R629" s="30"/>
    </row>
    <row r="630" spans="18:18" ht="15.75" customHeight="1">
      <c r="R630" s="30"/>
    </row>
    <row r="631" spans="18:18" ht="15.75" customHeight="1">
      <c r="R631" s="30"/>
    </row>
    <row r="632" spans="18:18" ht="15.75" customHeight="1">
      <c r="R632" s="30"/>
    </row>
    <row r="633" spans="18:18" ht="15.75" customHeight="1">
      <c r="R633" s="30"/>
    </row>
    <row r="634" spans="18:18" ht="15.75" customHeight="1">
      <c r="R634" s="30"/>
    </row>
    <row r="635" spans="18:18" ht="15.75" customHeight="1">
      <c r="R635" s="30"/>
    </row>
    <row r="636" spans="18:18" ht="15.75" customHeight="1">
      <c r="R636" s="30"/>
    </row>
    <row r="637" spans="18:18" ht="15.75" customHeight="1">
      <c r="R637" s="30"/>
    </row>
    <row r="638" spans="18:18" ht="15.75" customHeight="1">
      <c r="R638" s="30"/>
    </row>
    <row r="639" spans="18:18" ht="15.75" customHeight="1">
      <c r="R639" s="30"/>
    </row>
    <row r="640" spans="18:18" ht="15.75" customHeight="1">
      <c r="R640" s="30"/>
    </row>
    <row r="641" spans="18:18" ht="15.75" customHeight="1">
      <c r="R641" s="30"/>
    </row>
    <row r="642" spans="18:18" ht="15.75" customHeight="1">
      <c r="R642" s="30"/>
    </row>
    <row r="643" spans="18:18" ht="15.75" customHeight="1">
      <c r="R643" s="30"/>
    </row>
    <row r="644" spans="18:18" ht="15.75" customHeight="1">
      <c r="R644" s="30"/>
    </row>
    <row r="645" spans="18:18" ht="15.75" customHeight="1">
      <c r="R645" s="30"/>
    </row>
    <row r="646" spans="18:18" ht="15.75" customHeight="1">
      <c r="R646" s="30"/>
    </row>
    <row r="647" spans="18:18" ht="15.75" customHeight="1">
      <c r="R647" s="30"/>
    </row>
    <row r="648" spans="18:18" ht="15.75" customHeight="1">
      <c r="R648" s="30"/>
    </row>
    <row r="649" spans="18:18" ht="15.75" customHeight="1">
      <c r="R649" s="30"/>
    </row>
    <row r="650" spans="18:18" ht="15.75" customHeight="1">
      <c r="R650" s="30"/>
    </row>
    <row r="651" spans="18:18" ht="15.75" customHeight="1">
      <c r="R651" s="30"/>
    </row>
    <row r="652" spans="18:18" ht="15.75" customHeight="1">
      <c r="R652" s="30"/>
    </row>
    <row r="653" spans="18:18" ht="15.75" customHeight="1">
      <c r="R653" s="30"/>
    </row>
    <row r="654" spans="18:18" ht="15.75" customHeight="1">
      <c r="R654" s="30"/>
    </row>
    <row r="655" spans="18:18" ht="15.75" customHeight="1">
      <c r="R655" s="30"/>
    </row>
    <row r="656" spans="18:18" ht="15.75" customHeight="1">
      <c r="R656" s="30"/>
    </row>
    <row r="657" spans="18:18" ht="15.75" customHeight="1">
      <c r="R657" s="30"/>
    </row>
    <row r="658" spans="18:18" ht="15.75" customHeight="1">
      <c r="R658" s="30"/>
    </row>
    <row r="659" spans="18:18" ht="15.75" customHeight="1">
      <c r="R659" s="30"/>
    </row>
    <row r="660" spans="18:18" ht="15.75" customHeight="1">
      <c r="R660" s="30"/>
    </row>
    <row r="661" spans="18:18" ht="15.75" customHeight="1">
      <c r="R661" s="30"/>
    </row>
    <row r="662" spans="18:18" ht="15.75" customHeight="1">
      <c r="R662" s="30"/>
    </row>
    <row r="663" spans="18:18" ht="15.75" customHeight="1">
      <c r="R663" s="30"/>
    </row>
    <row r="664" spans="18:18" ht="15.75" customHeight="1">
      <c r="R664" s="30"/>
    </row>
    <row r="665" spans="18:18" ht="15.75" customHeight="1">
      <c r="R665" s="30"/>
    </row>
    <row r="666" spans="18:18" ht="15.75" customHeight="1">
      <c r="R666" s="30"/>
    </row>
    <row r="667" spans="18:18" ht="15.75" customHeight="1">
      <c r="R667" s="30"/>
    </row>
    <row r="668" spans="18:18" ht="15.75" customHeight="1">
      <c r="R668" s="30"/>
    </row>
    <row r="669" spans="18:18" ht="15.75" customHeight="1">
      <c r="R669" s="30"/>
    </row>
    <row r="670" spans="18:18" ht="15.75" customHeight="1">
      <c r="R670" s="30"/>
    </row>
    <row r="671" spans="18:18" ht="15.75" customHeight="1">
      <c r="R671" s="30"/>
    </row>
    <row r="672" spans="18:18" ht="15.75" customHeight="1">
      <c r="R672" s="30"/>
    </row>
    <row r="673" spans="18:18" ht="15.75" customHeight="1">
      <c r="R673" s="30"/>
    </row>
    <row r="674" spans="18:18" ht="15.75" customHeight="1">
      <c r="R674" s="30"/>
    </row>
    <row r="675" spans="18:18" ht="15.75" customHeight="1">
      <c r="R675" s="30"/>
    </row>
    <row r="676" spans="18:18" ht="15.75" customHeight="1">
      <c r="R676" s="30"/>
    </row>
    <row r="677" spans="18:18" ht="15.75" customHeight="1">
      <c r="R677" s="30"/>
    </row>
    <row r="678" spans="18:18" ht="15.75" customHeight="1">
      <c r="R678" s="30"/>
    </row>
    <row r="679" spans="18:18" ht="15.75" customHeight="1">
      <c r="R679" s="30"/>
    </row>
    <row r="680" spans="18:18" ht="15.75" customHeight="1">
      <c r="R680" s="30"/>
    </row>
    <row r="681" spans="18:18" ht="15.75" customHeight="1">
      <c r="R681" s="30"/>
    </row>
    <row r="682" spans="18:18" ht="15.75" customHeight="1">
      <c r="R682" s="30"/>
    </row>
    <row r="683" spans="18:18" ht="15.75" customHeight="1">
      <c r="R683" s="30"/>
    </row>
    <row r="684" spans="18:18" ht="15.75" customHeight="1">
      <c r="R684" s="30"/>
    </row>
    <row r="685" spans="18:18" ht="15.75" customHeight="1">
      <c r="R685" s="30"/>
    </row>
    <row r="686" spans="18:18" ht="15.75" customHeight="1">
      <c r="R686" s="30"/>
    </row>
    <row r="687" spans="18:18" ht="15.75" customHeight="1">
      <c r="R687" s="30"/>
    </row>
    <row r="688" spans="18:18" ht="15.75" customHeight="1">
      <c r="R688" s="30"/>
    </row>
    <row r="689" spans="18:18" ht="15.75" customHeight="1">
      <c r="R689" s="30"/>
    </row>
    <row r="690" spans="18:18" ht="15.75" customHeight="1">
      <c r="R690" s="30"/>
    </row>
    <row r="691" spans="18:18" ht="15.75" customHeight="1">
      <c r="R691" s="30"/>
    </row>
    <row r="692" spans="18:18" ht="15.75" customHeight="1">
      <c r="R692" s="30"/>
    </row>
    <row r="693" spans="18:18" ht="15.75" customHeight="1">
      <c r="R693" s="30"/>
    </row>
    <row r="694" spans="18:18" ht="15.75" customHeight="1">
      <c r="R694" s="30"/>
    </row>
    <row r="695" spans="18:18" ht="15.75" customHeight="1">
      <c r="R695" s="30"/>
    </row>
    <row r="696" spans="18:18" ht="15.75" customHeight="1">
      <c r="R696" s="30"/>
    </row>
    <row r="697" spans="18:18" ht="15.75" customHeight="1">
      <c r="R697" s="30"/>
    </row>
    <row r="698" spans="18:18" ht="15.75" customHeight="1">
      <c r="R698" s="30"/>
    </row>
    <row r="699" spans="18:18" ht="15.75" customHeight="1">
      <c r="R699" s="30"/>
    </row>
    <row r="700" spans="18:18" ht="15.75" customHeight="1">
      <c r="R700" s="30"/>
    </row>
    <row r="701" spans="18:18" ht="15.75" customHeight="1">
      <c r="R701" s="30"/>
    </row>
    <row r="702" spans="18:18" ht="15.75" customHeight="1">
      <c r="R702" s="30"/>
    </row>
    <row r="703" spans="18:18" ht="15.75" customHeight="1">
      <c r="R703" s="30"/>
    </row>
    <row r="704" spans="18:18" ht="15.75" customHeight="1">
      <c r="R704" s="30"/>
    </row>
    <row r="705" spans="18:18" ht="15.75" customHeight="1">
      <c r="R705" s="30"/>
    </row>
    <row r="706" spans="18:18" ht="15.75" customHeight="1">
      <c r="R706" s="30"/>
    </row>
    <row r="707" spans="18:18" ht="15.75" customHeight="1">
      <c r="R707" s="30"/>
    </row>
    <row r="708" spans="18:18" ht="15.75" customHeight="1">
      <c r="R708" s="30"/>
    </row>
    <row r="709" spans="18:18" ht="15.75" customHeight="1">
      <c r="R709" s="30"/>
    </row>
    <row r="710" spans="18:18" ht="15.75" customHeight="1">
      <c r="R710" s="30"/>
    </row>
    <row r="711" spans="18:18" ht="15.75" customHeight="1">
      <c r="R711" s="30"/>
    </row>
    <row r="712" spans="18:18" ht="15.75" customHeight="1">
      <c r="R712" s="30"/>
    </row>
    <row r="713" spans="18:18" ht="15.75" customHeight="1">
      <c r="R713" s="30"/>
    </row>
    <row r="714" spans="18:18" ht="15.75" customHeight="1">
      <c r="R714" s="30"/>
    </row>
    <row r="715" spans="18:18" ht="15.75" customHeight="1">
      <c r="R715" s="30"/>
    </row>
    <row r="716" spans="18:18" ht="15.75" customHeight="1">
      <c r="R716" s="30"/>
    </row>
    <row r="717" spans="18:18" ht="15.75" customHeight="1">
      <c r="R717" s="30"/>
    </row>
    <row r="718" spans="18:18" ht="15.75" customHeight="1">
      <c r="R718" s="30"/>
    </row>
    <row r="719" spans="18:18" ht="15.75" customHeight="1">
      <c r="R719" s="30"/>
    </row>
    <row r="720" spans="18:18" ht="15.75" customHeight="1">
      <c r="R720" s="30"/>
    </row>
    <row r="721" spans="18:18" ht="15.75" customHeight="1">
      <c r="R721" s="30"/>
    </row>
    <row r="722" spans="18:18" ht="15.75" customHeight="1">
      <c r="R722" s="30"/>
    </row>
    <row r="723" spans="18:18" ht="15.75" customHeight="1">
      <c r="R723" s="30"/>
    </row>
    <row r="724" spans="18:18" ht="15.75" customHeight="1">
      <c r="R724" s="30"/>
    </row>
    <row r="725" spans="18:18" ht="15.75" customHeight="1">
      <c r="R725" s="30"/>
    </row>
    <row r="726" spans="18:18" ht="15.75" customHeight="1">
      <c r="R726" s="30"/>
    </row>
    <row r="727" spans="18:18" ht="15.75" customHeight="1">
      <c r="R727" s="30"/>
    </row>
    <row r="728" spans="18:18" ht="15.75" customHeight="1">
      <c r="R728" s="30"/>
    </row>
    <row r="729" spans="18:18" ht="15.75" customHeight="1">
      <c r="R729" s="30"/>
    </row>
    <row r="730" spans="18:18" ht="15.75" customHeight="1">
      <c r="R730" s="30"/>
    </row>
    <row r="731" spans="18:18" ht="15.75" customHeight="1">
      <c r="R731" s="30"/>
    </row>
    <row r="732" spans="18:18" ht="15.75" customHeight="1">
      <c r="R732" s="30"/>
    </row>
    <row r="733" spans="18:18" ht="15.75" customHeight="1">
      <c r="R733" s="30"/>
    </row>
    <row r="734" spans="18:18" ht="15.75" customHeight="1">
      <c r="R734" s="30"/>
    </row>
    <row r="735" spans="18:18" ht="15.75" customHeight="1">
      <c r="R735" s="30"/>
    </row>
    <row r="736" spans="18:18" ht="15.75" customHeight="1">
      <c r="R736" s="30"/>
    </row>
    <row r="737" spans="18:18" ht="15.75" customHeight="1">
      <c r="R737" s="30"/>
    </row>
    <row r="738" spans="18:18" ht="15.75" customHeight="1">
      <c r="R738" s="30"/>
    </row>
    <row r="739" spans="18:18" ht="15.75" customHeight="1">
      <c r="R739" s="30"/>
    </row>
    <row r="740" spans="18:18" ht="15.75" customHeight="1">
      <c r="R740" s="30"/>
    </row>
    <row r="741" spans="18:18" ht="15.75" customHeight="1">
      <c r="R741" s="30"/>
    </row>
    <row r="742" spans="18:18" ht="15.75" customHeight="1">
      <c r="R742" s="30"/>
    </row>
    <row r="743" spans="18:18" ht="15.75" customHeight="1">
      <c r="R743" s="30"/>
    </row>
    <row r="744" spans="18:18" ht="15.75" customHeight="1">
      <c r="R744" s="30"/>
    </row>
    <row r="745" spans="18:18" ht="15.75" customHeight="1">
      <c r="R745" s="30"/>
    </row>
    <row r="746" spans="18:18" ht="15.75" customHeight="1">
      <c r="R746" s="30"/>
    </row>
    <row r="747" spans="18:18" ht="15.75" customHeight="1">
      <c r="R747" s="30"/>
    </row>
    <row r="748" spans="18:18" ht="15.75" customHeight="1">
      <c r="R748" s="30"/>
    </row>
    <row r="749" spans="18:18" ht="15.75" customHeight="1">
      <c r="R749" s="30"/>
    </row>
    <row r="750" spans="18:18" ht="15.75" customHeight="1">
      <c r="R750" s="30"/>
    </row>
    <row r="751" spans="18:18" ht="15.75" customHeight="1">
      <c r="R751" s="30"/>
    </row>
    <row r="752" spans="18:18" ht="15.75" customHeight="1">
      <c r="R752" s="30"/>
    </row>
    <row r="753" spans="18:18" ht="15.75" customHeight="1">
      <c r="R753" s="30"/>
    </row>
    <row r="754" spans="18:18" ht="15.75" customHeight="1">
      <c r="R754" s="30"/>
    </row>
    <row r="755" spans="18:18" ht="15.75" customHeight="1">
      <c r="R755" s="30"/>
    </row>
    <row r="756" spans="18:18" ht="15.75" customHeight="1">
      <c r="R756" s="30"/>
    </row>
    <row r="757" spans="18:18" ht="15.75" customHeight="1">
      <c r="R757" s="30"/>
    </row>
    <row r="758" spans="18:18" ht="15.75" customHeight="1">
      <c r="R758" s="30"/>
    </row>
    <row r="759" spans="18:18" ht="15.75" customHeight="1">
      <c r="R759" s="30"/>
    </row>
    <row r="760" spans="18:18" ht="15.75" customHeight="1">
      <c r="R760" s="30"/>
    </row>
    <row r="761" spans="18:18" ht="15.75" customHeight="1">
      <c r="R761" s="30"/>
    </row>
    <row r="762" spans="18:18" ht="15.75" customHeight="1">
      <c r="R762" s="30"/>
    </row>
    <row r="763" spans="18:18" ht="15.75" customHeight="1">
      <c r="R763" s="30"/>
    </row>
    <row r="764" spans="18:18" ht="15.75" customHeight="1">
      <c r="R764" s="30"/>
    </row>
    <row r="765" spans="18:18" ht="15.75" customHeight="1">
      <c r="R765" s="30"/>
    </row>
    <row r="766" spans="18:18" ht="15.75" customHeight="1">
      <c r="R766" s="30"/>
    </row>
    <row r="767" spans="18:18" ht="15.75" customHeight="1">
      <c r="R767" s="30"/>
    </row>
    <row r="768" spans="18:18" ht="15.75" customHeight="1">
      <c r="R768" s="30"/>
    </row>
    <row r="769" spans="18:18" ht="15.75" customHeight="1">
      <c r="R769" s="30"/>
    </row>
    <row r="770" spans="18:18" ht="15.75" customHeight="1">
      <c r="R770" s="30"/>
    </row>
    <row r="771" spans="18:18" ht="15.75" customHeight="1">
      <c r="R771" s="30"/>
    </row>
    <row r="772" spans="18:18" ht="15.75" customHeight="1">
      <c r="R772" s="30"/>
    </row>
    <row r="773" spans="18:18" ht="15.75" customHeight="1">
      <c r="R773" s="30"/>
    </row>
    <row r="774" spans="18:18" ht="15.75" customHeight="1">
      <c r="R774" s="30"/>
    </row>
    <row r="775" spans="18:18" ht="15.75" customHeight="1">
      <c r="R775" s="30"/>
    </row>
    <row r="776" spans="18:18" ht="15.75" customHeight="1">
      <c r="R776" s="30"/>
    </row>
    <row r="777" spans="18:18" ht="15.75" customHeight="1">
      <c r="R777" s="30"/>
    </row>
    <row r="778" spans="18:18" ht="15.75" customHeight="1">
      <c r="R778" s="30"/>
    </row>
    <row r="779" spans="18:18" ht="15.75" customHeight="1">
      <c r="R779" s="30"/>
    </row>
    <row r="780" spans="18:18" ht="15.75" customHeight="1">
      <c r="R780" s="30"/>
    </row>
    <row r="781" spans="18:18" ht="15.75" customHeight="1">
      <c r="R781" s="30"/>
    </row>
    <row r="782" spans="18:18" ht="15.75" customHeight="1">
      <c r="R782" s="30"/>
    </row>
    <row r="783" spans="18:18" ht="15.75" customHeight="1">
      <c r="R783" s="30"/>
    </row>
    <row r="784" spans="18:18" ht="15.75" customHeight="1">
      <c r="R784" s="30"/>
    </row>
    <row r="785" spans="18:18" ht="15.75" customHeight="1">
      <c r="R785" s="30"/>
    </row>
    <row r="786" spans="18:18" ht="15.75" customHeight="1">
      <c r="R786" s="30"/>
    </row>
    <row r="787" spans="18:18" ht="15.75" customHeight="1">
      <c r="R787" s="30"/>
    </row>
    <row r="788" spans="18:18" ht="15.75" customHeight="1">
      <c r="R788" s="30"/>
    </row>
    <row r="789" spans="18:18" ht="15.75" customHeight="1">
      <c r="R789" s="30"/>
    </row>
    <row r="790" spans="18:18" ht="15.75" customHeight="1">
      <c r="R790" s="30"/>
    </row>
    <row r="791" spans="18:18" ht="15.75" customHeight="1">
      <c r="R791" s="30"/>
    </row>
    <row r="792" spans="18:18" ht="15.75" customHeight="1">
      <c r="R792" s="30"/>
    </row>
    <row r="793" spans="18:18" ht="15.75" customHeight="1">
      <c r="R793" s="30"/>
    </row>
    <row r="794" spans="18:18" ht="15.75" customHeight="1">
      <c r="R794" s="30"/>
    </row>
    <row r="795" spans="18:18" ht="15.75" customHeight="1">
      <c r="R795" s="30"/>
    </row>
    <row r="796" spans="18:18" ht="15.75" customHeight="1">
      <c r="R796" s="30"/>
    </row>
    <row r="797" spans="18:18" ht="15.75" customHeight="1">
      <c r="R797" s="30"/>
    </row>
    <row r="798" spans="18:18" ht="15.75" customHeight="1">
      <c r="R798" s="30"/>
    </row>
    <row r="799" spans="18:18" ht="15.75" customHeight="1">
      <c r="R799" s="30"/>
    </row>
    <row r="800" spans="18:18" ht="15.75" customHeight="1">
      <c r="R800" s="30"/>
    </row>
    <row r="801" spans="18:18" ht="15.75" customHeight="1">
      <c r="R801" s="30"/>
    </row>
    <row r="802" spans="18:18" ht="15.75" customHeight="1">
      <c r="R802" s="30"/>
    </row>
    <row r="803" spans="18:18" ht="15.75" customHeight="1">
      <c r="R803" s="30"/>
    </row>
    <row r="804" spans="18:18" ht="15.75" customHeight="1">
      <c r="R804" s="30"/>
    </row>
    <row r="805" spans="18:18" ht="15.75" customHeight="1">
      <c r="R805" s="30"/>
    </row>
    <row r="806" spans="18:18" ht="15.75" customHeight="1">
      <c r="R806" s="30"/>
    </row>
    <row r="807" spans="18:18" ht="15.75" customHeight="1">
      <c r="R807" s="30"/>
    </row>
    <row r="808" spans="18:18" ht="15.75" customHeight="1">
      <c r="R808" s="30"/>
    </row>
    <row r="809" spans="18:18" ht="15.75" customHeight="1">
      <c r="R809" s="30"/>
    </row>
    <row r="810" spans="18:18" ht="15.75" customHeight="1">
      <c r="R810" s="30"/>
    </row>
    <row r="811" spans="18:18" ht="15.75" customHeight="1">
      <c r="R811" s="30"/>
    </row>
    <row r="812" spans="18:18" ht="15.75" customHeight="1">
      <c r="R812" s="30"/>
    </row>
    <row r="813" spans="18:18" ht="15.75" customHeight="1">
      <c r="R813" s="30"/>
    </row>
    <row r="814" spans="18:18" ht="15.75" customHeight="1">
      <c r="R814" s="30"/>
    </row>
    <row r="815" spans="18:18" ht="15.75" customHeight="1">
      <c r="R815" s="30"/>
    </row>
    <row r="816" spans="18:18" ht="15.75" customHeight="1">
      <c r="R816" s="30"/>
    </row>
    <row r="817" spans="18:18" ht="15.75" customHeight="1">
      <c r="R817" s="30"/>
    </row>
    <row r="818" spans="18:18" ht="15.75" customHeight="1">
      <c r="R818" s="30"/>
    </row>
    <row r="819" spans="18:18" ht="15.75" customHeight="1">
      <c r="R819" s="30"/>
    </row>
    <row r="820" spans="18:18" ht="15.75" customHeight="1">
      <c r="R820" s="30"/>
    </row>
    <row r="821" spans="18:18" ht="15.75" customHeight="1">
      <c r="R821" s="30"/>
    </row>
    <row r="822" spans="18:18" ht="15.75" customHeight="1">
      <c r="R822" s="30"/>
    </row>
    <row r="823" spans="18:18" ht="15.75" customHeight="1">
      <c r="R823" s="30"/>
    </row>
    <row r="824" spans="18:18" ht="15.75" customHeight="1">
      <c r="R824" s="30"/>
    </row>
    <row r="825" spans="18:18" ht="15.75" customHeight="1">
      <c r="R825" s="30"/>
    </row>
    <row r="826" spans="18:18" ht="15.75" customHeight="1">
      <c r="R826" s="30"/>
    </row>
    <row r="827" spans="18:18" ht="15.75" customHeight="1">
      <c r="R827" s="30"/>
    </row>
    <row r="828" spans="18:18" ht="15.75" customHeight="1">
      <c r="R828" s="30"/>
    </row>
    <row r="829" spans="18:18" ht="15.75" customHeight="1">
      <c r="R829" s="30"/>
    </row>
    <row r="830" spans="18:18" ht="15.75" customHeight="1">
      <c r="R830" s="30"/>
    </row>
    <row r="831" spans="18:18" ht="15.75" customHeight="1">
      <c r="R831" s="30"/>
    </row>
    <row r="832" spans="18:18" ht="15.75" customHeight="1">
      <c r="R832" s="30"/>
    </row>
    <row r="833" spans="18:18" ht="15.75" customHeight="1">
      <c r="R833" s="30"/>
    </row>
    <row r="834" spans="18:18" ht="15.75" customHeight="1">
      <c r="R834" s="30"/>
    </row>
    <row r="835" spans="18:18" ht="15.75" customHeight="1">
      <c r="R835" s="30"/>
    </row>
    <row r="836" spans="18:18" ht="15.75" customHeight="1">
      <c r="R836" s="30"/>
    </row>
    <row r="837" spans="18:18" ht="15.75" customHeight="1">
      <c r="R837" s="30"/>
    </row>
    <row r="838" spans="18:18" ht="15.75" customHeight="1">
      <c r="R838" s="30"/>
    </row>
    <row r="839" spans="18:18" ht="15.75" customHeight="1">
      <c r="R839" s="30"/>
    </row>
    <row r="840" spans="18:18" ht="15.75" customHeight="1">
      <c r="R840" s="30"/>
    </row>
    <row r="841" spans="18:18" ht="15.75" customHeight="1">
      <c r="R841" s="30"/>
    </row>
    <row r="842" spans="18:18" ht="15.75" customHeight="1">
      <c r="R842" s="30"/>
    </row>
    <row r="843" spans="18:18" ht="15.75" customHeight="1">
      <c r="R843" s="30"/>
    </row>
    <row r="844" spans="18:18" ht="15.75" customHeight="1">
      <c r="R844" s="30"/>
    </row>
    <row r="845" spans="18:18" ht="15.75" customHeight="1">
      <c r="R845" s="30"/>
    </row>
    <row r="846" spans="18:18" ht="15.75" customHeight="1">
      <c r="R846" s="30"/>
    </row>
    <row r="847" spans="18:18" ht="15.75" customHeight="1">
      <c r="R847" s="30"/>
    </row>
    <row r="848" spans="18:18" ht="15.75" customHeight="1">
      <c r="R848" s="30"/>
    </row>
    <row r="849" spans="18:18" ht="15.75" customHeight="1">
      <c r="R849" s="30"/>
    </row>
    <row r="850" spans="18:18" ht="15.75" customHeight="1">
      <c r="R850" s="30"/>
    </row>
    <row r="851" spans="18:18" ht="15.75" customHeight="1">
      <c r="R851" s="30"/>
    </row>
    <row r="852" spans="18:18" ht="15.75" customHeight="1">
      <c r="R852" s="30"/>
    </row>
    <row r="853" spans="18:18" ht="15.75" customHeight="1">
      <c r="R853" s="30"/>
    </row>
    <row r="854" spans="18:18" ht="15.75" customHeight="1">
      <c r="R854" s="30"/>
    </row>
    <row r="855" spans="18:18" ht="15.75" customHeight="1">
      <c r="R855" s="30"/>
    </row>
    <row r="856" spans="18:18" ht="15.75" customHeight="1">
      <c r="R856" s="30"/>
    </row>
    <row r="857" spans="18:18" ht="15.75" customHeight="1">
      <c r="R857" s="30"/>
    </row>
    <row r="858" spans="18:18" ht="15.75" customHeight="1">
      <c r="R858" s="30"/>
    </row>
    <row r="859" spans="18:18" ht="15.75" customHeight="1">
      <c r="R859" s="30"/>
    </row>
    <row r="860" spans="18:18" ht="15.75" customHeight="1">
      <c r="R860" s="30"/>
    </row>
    <row r="861" spans="18:18" ht="15.75" customHeight="1">
      <c r="R861" s="30"/>
    </row>
    <row r="862" spans="18:18" ht="15.75" customHeight="1">
      <c r="R862" s="30"/>
    </row>
    <row r="863" spans="18:18" ht="15.75" customHeight="1">
      <c r="R863" s="30"/>
    </row>
    <row r="864" spans="18:18" ht="15.75" customHeight="1">
      <c r="R864" s="30"/>
    </row>
    <row r="865" spans="18:18" ht="15.75" customHeight="1">
      <c r="R865" s="30"/>
    </row>
    <row r="866" spans="18:18" ht="15.75" customHeight="1">
      <c r="R866" s="30"/>
    </row>
    <row r="867" spans="18:18" ht="15.75" customHeight="1">
      <c r="R867" s="30"/>
    </row>
    <row r="868" spans="18:18" ht="15.75" customHeight="1">
      <c r="R868" s="30"/>
    </row>
    <row r="869" spans="18:18" ht="15.75" customHeight="1">
      <c r="R869" s="30"/>
    </row>
    <row r="870" spans="18:18" ht="15.75" customHeight="1">
      <c r="R870" s="30"/>
    </row>
    <row r="871" spans="18:18" ht="15.75" customHeight="1">
      <c r="R871" s="30"/>
    </row>
    <row r="872" spans="18:18" ht="15.75" customHeight="1">
      <c r="R872" s="30"/>
    </row>
    <row r="873" spans="18:18" ht="15.75" customHeight="1">
      <c r="R873" s="30"/>
    </row>
    <row r="874" spans="18:18" ht="15.75" customHeight="1">
      <c r="R874" s="30"/>
    </row>
    <row r="875" spans="18:18" ht="15.75" customHeight="1">
      <c r="R875" s="30"/>
    </row>
    <row r="876" spans="18:18" ht="15.75" customHeight="1">
      <c r="R876" s="30"/>
    </row>
    <row r="877" spans="18:18" ht="15.75" customHeight="1">
      <c r="R877" s="30"/>
    </row>
    <row r="878" spans="18:18" ht="15.75" customHeight="1">
      <c r="R878" s="30"/>
    </row>
    <row r="879" spans="18:18" ht="15.75" customHeight="1">
      <c r="R879" s="30"/>
    </row>
    <row r="880" spans="18:18" ht="15.75" customHeight="1">
      <c r="R880" s="30"/>
    </row>
    <row r="881" spans="18:18" ht="15.75" customHeight="1">
      <c r="R881" s="30"/>
    </row>
    <row r="882" spans="18:18" ht="15.75" customHeight="1">
      <c r="R882" s="30"/>
    </row>
    <row r="883" spans="18:18" ht="15.75" customHeight="1">
      <c r="R883" s="30"/>
    </row>
    <row r="884" spans="18:18" ht="15.75" customHeight="1">
      <c r="R884" s="30"/>
    </row>
    <row r="885" spans="18:18" ht="15.75" customHeight="1">
      <c r="R885" s="30"/>
    </row>
    <row r="886" spans="18:18" ht="15.75" customHeight="1">
      <c r="R886" s="30"/>
    </row>
    <row r="887" spans="18:18" ht="15.75" customHeight="1">
      <c r="R887" s="30"/>
    </row>
    <row r="888" spans="18:18" ht="15.75" customHeight="1">
      <c r="R888" s="30"/>
    </row>
    <row r="889" spans="18:18" ht="15.75" customHeight="1">
      <c r="R889" s="30"/>
    </row>
    <row r="890" spans="18:18" ht="15.75" customHeight="1">
      <c r="R890" s="30"/>
    </row>
    <row r="891" spans="18:18" ht="15.75" customHeight="1">
      <c r="R891" s="30"/>
    </row>
    <row r="892" spans="18:18" ht="15.75" customHeight="1">
      <c r="R892" s="30"/>
    </row>
    <row r="893" spans="18:18" ht="15.75" customHeight="1">
      <c r="R893" s="30"/>
    </row>
    <row r="894" spans="18:18" ht="15.75" customHeight="1">
      <c r="R894" s="30"/>
    </row>
    <row r="895" spans="18:18" ht="15.75" customHeight="1">
      <c r="R895" s="30"/>
    </row>
    <row r="896" spans="18:18" ht="15.75" customHeight="1">
      <c r="R896" s="30"/>
    </row>
    <row r="897" spans="18:18" ht="15.75" customHeight="1">
      <c r="R897" s="30"/>
    </row>
    <row r="898" spans="18:18" ht="15.75" customHeight="1">
      <c r="R898" s="30"/>
    </row>
    <row r="899" spans="18:18" ht="15.75" customHeight="1">
      <c r="R899" s="30"/>
    </row>
    <row r="900" spans="18:18" ht="15.75" customHeight="1">
      <c r="R900" s="30"/>
    </row>
    <row r="901" spans="18:18" ht="15.75" customHeight="1">
      <c r="R901" s="30"/>
    </row>
    <row r="902" spans="18:18" ht="15.75" customHeight="1">
      <c r="R902" s="30"/>
    </row>
    <row r="903" spans="18:18" ht="15.75" customHeight="1">
      <c r="R903" s="30"/>
    </row>
    <row r="904" spans="18:18" ht="15.75" customHeight="1">
      <c r="R904" s="30"/>
    </row>
    <row r="905" spans="18:18" ht="15.75" customHeight="1">
      <c r="R905" s="30"/>
    </row>
    <row r="906" spans="18:18" ht="15.75" customHeight="1">
      <c r="R906" s="30"/>
    </row>
    <row r="907" spans="18:18" ht="15.75" customHeight="1">
      <c r="R907" s="30"/>
    </row>
    <row r="908" spans="18:18" ht="15.75" customHeight="1">
      <c r="R908" s="30"/>
    </row>
    <row r="909" spans="18:18" ht="15.75" customHeight="1">
      <c r="R909" s="30"/>
    </row>
    <row r="910" spans="18:18" ht="15.75" customHeight="1">
      <c r="R910" s="30"/>
    </row>
    <row r="911" spans="18:18" ht="15.75" customHeight="1">
      <c r="R911" s="30"/>
    </row>
    <row r="912" spans="18:18" ht="15.75" customHeight="1">
      <c r="R912" s="30"/>
    </row>
    <row r="913" spans="18:18" ht="15.75" customHeight="1">
      <c r="R913" s="30"/>
    </row>
    <row r="914" spans="18:18" ht="15.75" customHeight="1">
      <c r="R914" s="30"/>
    </row>
    <row r="915" spans="18:18" ht="15.75" customHeight="1">
      <c r="R915" s="30"/>
    </row>
    <row r="916" spans="18:18" ht="15.75" customHeight="1">
      <c r="R916" s="30"/>
    </row>
    <row r="917" spans="18:18" ht="15.75" customHeight="1">
      <c r="R917" s="30"/>
    </row>
    <row r="918" spans="18:18" ht="15.75" customHeight="1">
      <c r="R918" s="30"/>
    </row>
    <row r="919" spans="18:18" ht="15.75" customHeight="1">
      <c r="R919" s="30"/>
    </row>
    <row r="920" spans="18:18" ht="15.75" customHeight="1">
      <c r="R920" s="30"/>
    </row>
    <row r="921" spans="18:18" ht="15.75" customHeight="1">
      <c r="R921" s="30"/>
    </row>
    <row r="922" spans="18:18" ht="15.75" customHeight="1">
      <c r="R922" s="30"/>
    </row>
    <row r="923" spans="18:18" ht="15.75" customHeight="1">
      <c r="R923" s="30"/>
    </row>
    <row r="924" spans="18:18" ht="15.75" customHeight="1">
      <c r="R924" s="30"/>
    </row>
    <row r="925" spans="18:18" ht="15.75" customHeight="1">
      <c r="R925" s="30"/>
    </row>
    <row r="926" spans="18:18" ht="15.75" customHeight="1">
      <c r="R926" s="30"/>
    </row>
    <row r="927" spans="18:18" ht="15.75" customHeight="1">
      <c r="R927" s="30"/>
    </row>
    <row r="928" spans="18:18" ht="15.75" customHeight="1">
      <c r="R928" s="30"/>
    </row>
    <row r="929" spans="18:18" ht="15.75" customHeight="1">
      <c r="R929" s="30"/>
    </row>
    <row r="930" spans="18:18" ht="15.75" customHeight="1">
      <c r="R930" s="30"/>
    </row>
    <row r="931" spans="18:18" ht="15.75" customHeight="1">
      <c r="R931" s="30"/>
    </row>
    <row r="932" spans="18:18" ht="15.75" customHeight="1">
      <c r="R932" s="30"/>
    </row>
    <row r="933" spans="18:18" ht="15.75" customHeight="1">
      <c r="R933" s="30"/>
    </row>
    <row r="934" spans="18:18" ht="15.75" customHeight="1">
      <c r="R934" s="30"/>
    </row>
    <row r="935" spans="18:18" ht="15.75" customHeight="1">
      <c r="R935" s="30"/>
    </row>
    <row r="936" spans="18:18" ht="15.75" customHeight="1">
      <c r="R936" s="30"/>
    </row>
    <row r="937" spans="18:18" ht="15.75" customHeight="1">
      <c r="R937" s="30"/>
    </row>
    <row r="938" spans="18:18" ht="15.75" customHeight="1">
      <c r="R938" s="30"/>
    </row>
    <row r="939" spans="18:18" ht="15.75" customHeight="1">
      <c r="R939" s="30"/>
    </row>
    <row r="940" spans="18:18" ht="15.75" customHeight="1">
      <c r="R940" s="30"/>
    </row>
    <row r="941" spans="18:18" ht="15.75" customHeight="1">
      <c r="R941" s="30"/>
    </row>
    <row r="942" spans="18:18" ht="15.75" customHeight="1">
      <c r="R942" s="30"/>
    </row>
    <row r="943" spans="18:18" ht="15.75" customHeight="1">
      <c r="R943" s="30"/>
    </row>
    <row r="944" spans="18:18" ht="15.75" customHeight="1">
      <c r="R944" s="30"/>
    </row>
    <row r="945" spans="18:18" ht="15.75" customHeight="1">
      <c r="R945" s="30"/>
    </row>
    <row r="946" spans="18:18" ht="15.75" customHeight="1">
      <c r="R946" s="30"/>
    </row>
    <row r="947" spans="18:18" ht="15.75" customHeight="1">
      <c r="R947" s="30"/>
    </row>
    <row r="948" spans="18:18" ht="15.75" customHeight="1">
      <c r="R948" s="30"/>
    </row>
    <row r="949" spans="18:18" ht="15.75" customHeight="1">
      <c r="R949" s="30"/>
    </row>
    <row r="950" spans="18:18" ht="15.75" customHeight="1">
      <c r="R950" s="30"/>
    </row>
    <row r="951" spans="18:18" ht="15.75" customHeight="1">
      <c r="R951" s="30"/>
    </row>
    <row r="952" spans="18:18" ht="15.75" customHeight="1">
      <c r="R952" s="30"/>
    </row>
    <row r="953" spans="18:18" ht="15.75" customHeight="1">
      <c r="R953" s="30"/>
    </row>
    <row r="954" spans="18:18" ht="15.75" customHeight="1">
      <c r="R954" s="30"/>
    </row>
    <row r="955" spans="18:18" ht="15.75" customHeight="1">
      <c r="R955" s="30"/>
    </row>
    <row r="956" spans="18:18" ht="15.75" customHeight="1">
      <c r="R956" s="30"/>
    </row>
    <row r="957" spans="18:18" ht="15.75" customHeight="1">
      <c r="R957" s="30"/>
    </row>
    <row r="958" spans="18:18" ht="15.75" customHeight="1">
      <c r="R958" s="30"/>
    </row>
    <row r="959" spans="18:18" ht="15.75" customHeight="1">
      <c r="R959" s="30"/>
    </row>
    <row r="960" spans="18:18" ht="15.75" customHeight="1">
      <c r="R960" s="30"/>
    </row>
    <row r="961" spans="18:18" ht="15.75" customHeight="1">
      <c r="R961" s="30"/>
    </row>
    <row r="962" spans="18:18" ht="15.75" customHeight="1">
      <c r="R962" s="30"/>
    </row>
    <row r="963" spans="18:18" ht="15.75" customHeight="1">
      <c r="R963" s="30"/>
    </row>
    <row r="964" spans="18:18" ht="15.75" customHeight="1">
      <c r="R964" s="30"/>
    </row>
    <row r="965" spans="18:18" ht="15.75" customHeight="1">
      <c r="R965" s="30"/>
    </row>
    <row r="966" spans="18:18" ht="15.75" customHeight="1">
      <c r="R966" s="30"/>
    </row>
    <row r="967" spans="18:18" ht="15.75" customHeight="1">
      <c r="R967" s="30"/>
    </row>
    <row r="968" spans="18:18" ht="15.75" customHeight="1">
      <c r="R968" s="30"/>
    </row>
    <row r="969" spans="18:18" ht="15.75" customHeight="1">
      <c r="R969" s="30"/>
    </row>
    <row r="970" spans="18:18" ht="15.75" customHeight="1">
      <c r="R970" s="30"/>
    </row>
    <row r="971" spans="18:18" ht="15.75" customHeight="1">
      <c r="R971" s="30"/>
    </row>
    <row r="972" spans="18:18" ht="15.75" customHeight="1">
      <c r="R972" s="30"/>
    </row>
    <row r="973" spans="18:18" ht="15.75" customHeight="1">
      <c r="R973" s="30"/>
    </row>
    <row r="974" spans="18:18" ht="15.75" customHeight="1">
      <c r="R974" s="30"/>
    </row>
    <row r="975" spans="18:18" ht="15.75" customHeight="1">
      <c r="R975" s="30"/>
    </row>
    <row r="976" spans="18:18" ht="15.75" customHeight="1">
      <c r="R976" s="30"/>
    </row>
    <row r="977" spans="18:18" ht="15.75" customHeight="1">
      <c r="R977" s="30"/>
    </row>
    <row r="978" spans="18:18" ht="15.75" customHeight="1">
      <c r="R978" s="30"/>
    </row>
    <row r="979" spans="18:18" ht="15.75" customHeight="1">
      <c r="R979" s="30"/>
    </row>
    <row r="980" spans="18:18" ht="15.75" customHeight="1">
      <c r="R980" s="30"/>
    </row>
    <row r="981" spans="18:18" ht="15.75" customHeight="1">
      <c r="R981" s="30"/>
    </row>
    <row r="982" spans="18:18" ht="15.75" customHeight="1">
      <c r="R982" s="30"/>
    </row>
    <row r="983" spans="18:18" ht="15.75" customHeight="1">
      <c r="R983" s="30"/>
    </row>
    <row r="984" spans="18:18" ht="15.75" customHeight="1">
      <c r="R984" s="30"/>
    </row>
    <row r="985" spans="18:18" ht="15.75" customHeight="1">
      <c r="R985" s="30"/>
    </row>
    <row r="986" spans="18:18" ht="15.75" customHeight="1">
      <c r="R986" s="30"/>
    </row>
    <row r="987" spans="18:18" ht="15.75" customHeight="1">
      <c r="R987" s="30"/>
    </row>
    <row r="988" spans="18:18" ht="15.75" customHeight="1">
      <c r="R988" s="30"/>
    </row>
    <row r="989" spans="18:18" ht="15.75" customHeight="1">
      <c r="R989" s="30"/>
    </row>
    <row r="990" spans="18:18" ht="15.75" customHeight="1">
      <c r="R990" s="30"/>
    </row>
    <row r="991" spans="18:18" ht="15.75" customHeight="1">
      <c r="R991" s="30"/>
    </row>
    <row r="992" spans="18:18" ht="15.75" customHeight="1">
      <c r="R992" s="30"/>
    </row>
    <row r="993" spans="18:18" ht="15.75" customHeight="1">
      <c r="R993" s="30"/>
    </row>
    <row r="994" spans="18:18" ht="15.75" customHeight="1">
      <c r="R994" s="30"/>
    </row>
    <row r="995" spans="18:18" ht="15.75" customHeight="1">
      <c r="R995" s="30"/>
    </row>
    <row r="996" spans="18:18" ht="15.75" customHeight="1">
      <c r="R996" s="30"/>
    </row>
    <row r="997" spans="18:18" ht="15.75" customHeight="1">
      <c r="R997" s="30"/>
    </row>
    <row r="998" spans="18:18" ht="15.75" customHeight="1">
      <c r="R998" s="30"/>
    </row>
    <row r="999" spans="18:18" ht="15.75" customHeight="1">
      <c r="R999" s="30"/>
    </row>
    <row r="1000" spans="18:18" ht="15.75" customHeight="1">
      <c r="R1000" s="3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2.6640625" defaultRowHeight="15" customHeight="1"/>
  <cols>
    <col min="1" max="1" width="13.33203125" customWidth="1"/>
    <col min="2" max="2" width="24.33203125" customWidth="1"/>
    <col min="3" max="3" width="8" customWidth="1"/>
    <col min="4" max="4" width="5.6640625" customWidth="1"/>
    <col min="5" max="5" width="8.6640625" customWidth="1"/>
    <col min="6" max="6" width="10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9.6640625" customWidth="1"/>
    <col min="16" max="16" width="8.1640625" customWidth="1"/>
    <col min="17" max="18" width="7.33203125" customWidth="1"/>
    <col min="19" max="19" width="7.1640625" customWidth="1"/>
    <col min="20" max="20" width="11.1640625" customWidth="1"/>
    <col min="21" max="21" width="26.1640625" customWidth="1"/>
    <col min="22" max="22" width="78.33203125" customWidth="1"/>
    <col min="23" max="24" width="7.6640625" customWidth="1"/>
    <col min="25" max="25" width="8.1640625" customWidth="1"/>
    <col min="26" max="26" width="11.1640625" customWidth="1"/>
    <col min="27" max="27" width="10.6640625" customWidth="1"/>
    <col min="28" max="28" width="9.6640625" customWidth="1"/>
    <col min="29" max="29" width="7.1640625" customWidth="1"/>
    <col min="30" max="30" width="10.83203125" customWidth="1"/>
    <col min="31" max="31" width="8.6640625" customWidth="1"/>
    <col min="32" max="32" width="10.1640625" customWidth="1"/>
    <col min="33" max="33" width="8.83203125" customWidth="1"/>
  </cols>
  <sheetData>
    <row r="1" spans="1:33" ht="18.75" customHeight="1">
      <c r="A1" s="46" t="str">
        <f ca="1">IFERROR(__xludf.DUMMYFUNCTION("IFERROR(VLOOKUP(B2,IMPORTRANGE(""https://docs.google.com/spreadsheets/d/1x0DhHglkXKoEBOD2MBsuK_EyIr1ouxD2ftIpqOYFa-k/edit?usp=sharing"",""Ubiquitty-SKU-Specific Info!B1:BJ5000""),3,FALSE),"""")"),"100 Ft Lighted Outdoor Extension Cord - 10/3 SJTW Heavy Duty Yellow Cable with 3 Prong Grounded Plug for Safety - Great for Garden and Major Appliances")</f>
        <v>100 Ft Lighted Outdoor Extension Cord - 10/3 SJTW Heavy Duty Yellow Cable with 3 Prong Grounded Plug for Safety - Great for Garden and Major Appliances</v>
      </c>
      <c r="B1" s="47"/>
      <c r="C1" s="48" t="s">
        <v>0</v>
      </c>
      <c r="D1" s="50" t="s">
        <v>1</v>
      </c>
      <c r="E1" s="50" t="s">
        <v>2</v>
      </c>
      <c r="F1" s="52" t="s">
        <v>3</v>
      </c>
      <c r="G1" s="52" t="s">
        <v>4</v>
      </c>
      <c r="H1" s="53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58" t="s">
        <v>10</v>
      </c>
      <c r="N1" s="59" t="s">
        <v>11</v>
      </c>
      <c r="O1" s="50" t="s">
        <v>12</v>
      </c>
      <c r="P1" s="50" t="s">
        <v>13</v>
      </c>
      <c r="Q1" s="57" t="s">
        <v>14</v>
      </c>
      <c r="R1" s="57" t="s">
        <v>15</v>
      </c>
      <c r="S1" s="60" t="s">
        <v>16</v>
      </c>
      <c r="T1" s="62" t="s">
        <v>2006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Info!B1:BJ5000""),2,FALSE),"""")"),"B078KDZ8W3")</f>
        <v>B078KDZ8W3</v>
      </c>
      <c r="B2" s="3" t="s">
        <v>219</v>
      </c>
      <c r="C2" s="49"/>
      <c r="D2" s="49"/>
      <c r="E2" s="51"/>
      <c r="F2" s="49"/>
      <c r="G2" s="49"/>
      <c r="H2" s="54"/>
      <c r="I2" s="49"/>
      <c r="J2" s="49"/>
      <c r="K2" s="54"/>
      <c r="L2" s="54"/>
      <c r="M2" s="54"/>
      <c r="N2" s="49"/>
      <c r="O2" s="49"/>
      <c r="P2" s="51"/>
      <c r="Q2" s="49"/>
      <c r="R2" s="49"/>
      <c r="S2" s="61"/>
      <c r="T2" s="47"/>
      <c r="U2" s="63"/>
      <c r="V2" s="63"/>
      <c r="W2" s="47"/>
      <c r="X2" s="47"/>
      <c r="Y2" s="47"/>
      <c r="Z2" s="47"/>
      <c r="AA2" s="63"/>
      <c r="AB2" s="63"/>
      <c r="AC2" s="63"/>
      <c r="AD2" s="63"/>
      <c r="AE2" s="47"/>
      <c r="AF2" s="47"/>
      <c r="AG2" s="47"/>
    </row>
    <row r="3" spans="1:33" ht="165.75" customHeight="1">
      <c r="A3" s="55" t="s">
        <v>31</v>
      </c>
      <c r="B3" s="56"/>
      <c r="C3" s="4">
        <f>((AE32+AF32)/0.85)*-1</f>
        <v>98.667748074411762</v>
      </c>
      <c r="D3" s="5">
        <f>SUM(D4:D99765)</f>
        <v>550</v>
      </c>
      <c r="E3" s="5"/>
      <c r="F3" s="6">
        <f t="shared" ref="F3:G3" si="0">SUM(F4:F99765)</f>
        <v>69683.539999999979</v>
      </c>
      <c r="G3" s="6">
        <f t="shared" si="0"/>
        <v>-223.26</v>
      </c>
      <c r="H3" s="7">
        <f t="shared" ref="H3:H32" si="1">G3/F3*-1</f>
        <v>3.203913004419696E-3</v>
      </c>
      <c r="I3" s="8">
        <f t="shared" ref="I3:I32" si="2">J3/F3</f>
        <v>0.17905315476655012</v>
      </c>
      <c r="J3" s="6">
        <f>SUM(J4:J99765)</f>
        <v>12477.057672301082</v>
      </c>
      <c r="K3" s="6">
        <f t="shared" ref="K3:K32" si="3">J3/D3</f>
        <v>22.685559404183785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Sheet!a1:g5000""),2,FALSE),"""")"),"3.5 - March
3.5 - April
4.5 - May
4.5 - June
5 - July
5 - Aug
3.5 - Sept
4.5 - Oct
5 - Nov
5 - Dec
2.5 - Jan
3 - Feb")</f>
        <v>3.5 - March
3.5 - April
4.5 - May
4.5 - June
5 - July
5 - Aug
3.5 - Sept
4.5 - Oct
5 - Nov
5 - Dec
2.5 - Jan
3 -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QTY-0")</f>
        <v>Del QTY-0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QTY-0")</f>
        <v>US QTY-0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13</v>
      </c>
      <c r="X3" s="7">
        <f>W3/D3</f>
        <v>2.3636363636363636E-2</v>
      </c>
      <c r="Y3" s="6"/>
      <c r="Z3" s="5"/>
      <c r="AA3" s="5"/>
      <c r="AB3" s="5"/>
      <c r="AC3" s="5"/>
      <c r="AD3" s="6">
        <f>SUM(AD4:AD99765)</f>
        <v>-286.37572349362682</v>
      </c>
      <c r="AE3" s="6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Info!B2:BZ3000""),37,FALSE)),"""")*-1"),-66.08758586325)</f>
        <v>-66.087585863249998</v>
      </c>
      <c r="AG3" s="6">
        <f>SUM(AG4:AG99765)</f>
        <v>0</v>
      </c>
    </row>
    <row r="4" spans="1:33" ht="15.75" customHeight="1">
      <c r="A4" s="14" t="s">
        <v>181</v>
      </c>
      <c r="B4" s="14" t="s">
        <v>220</v>
      </c>
      <c r="C4" s="15" t="str">
        <f t="shared" ref="C4:C32" si="4">IFERROR(F4/D4," - ")</f>
        <v xml:space="preserve"> - </v>
      </c>
      <c r="D4" s="16">
        <v>0</v>
      </c>
      <c r="E4" s="16">
        <v>0</v>
      </c>
      <c r="F4" s="17">
        <v>0</v>
      </c>
      <c r="G4" s="17">
        <v>0</v>
      </c>
      <c r="H4" s="18" t="e">
        <f t="shared" si="1"/>
        <v>#DIV/0!</v>
      </c>
      <c r="I4" s="18" t="e">
        <f t="shared" si="2"/>
        <v>#DIV/0!</v>
      </c>
      <c r="J4" s="17">
        <f t="shared" ref="J4:J32" si="5">F4*0.85+G4+AF4*D4+D4*AE4+AG4+AD4</f>
        <v>0</v>
      </c>
      <c r="K4" s="17" t="e">
        <f t="shared" si="3"/>
        <v>#DIV/0!</v>
      </c>
      <c r="L4" s="16">
        <v>0</v>
      </c>
      <c r="M4" s="19" t="str">
        <f t="shared" ref="M4:M32" si="6">IFERROR(D4/L4,"-")</f>
        <v>-</v>
      </c>
      <c r="N4" s="16">
        <v>362</v>
      </c>
      <c r="O4" s="20">
        <f t="shared" ref="O4:P4" si="7">D4/7</f>
        <v>0</v>
      </c>
      <c r="P4" s="20">
        <f t="shared" si="7"/>
        <v>0</v>
      </c>
      <c r="Q4" s="16" t="e">
        <f t="shared" ref="Q4:Q32" si="8">ROUNDDOWN(N4/(O4+P4),0)</f>
        <v>#DIV/0!</v>
      </c>
      <c r="R4" s="16"/>
      <c r="S4" s="21">
        <v>8.4880636604774504E-2</v>
      </c>
      <c r="T4" s="14">
        <v>190</v>
      </c>
      <c r="U4" s="22" t="s">
        <v>34</v>
      </c>
      <c r="V4" s="23" t="s">
        <v>34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26" t="e">
        <v>#N/A</v>
      </c>
      <c r="AB4" s="27" t="e">
        <f t="shared" ref="AB4:AB32" si="11">IF(OR(AA4="UsLargeStandardSize",AA4="UsSmallStandardSize"),-0.69,-0.48)</f>
        <v>#N/A</v>
      </c>
      <c r="AC4" s="28" t="e">
        <v>#N/A</v>
      </c>
      <c r="AD4" s="25">
        <f t="shared" ref="AD4:AD32" si="12">IFERROR(AB4*AC4*D4*2,0)</f>
        <v>0</v>
      </c>
      <c r="AE4" s="25">
        <v>0</v>
      </c>
      <c r="AF4" s="25">
        <v>-67.332330000000013</v>
      </c>
      <c r="AG4" s="25">
        <v>0</v>
      </c>
    </row>
    <row r="5" spans="1:33" ht="15.75" customHeight="1">
      <c r="A5" s="14" t="s">
        <v>183</v>
      </c>
      <c r="B5" s="14" t="s">
        <v>221</v>
      </c>
      <c r="C5" s="15">
        <f t="shared" si="4"/>
        <v>100.55603773584897</v>
      </c>
      <c r="D5" s="16">
        <v>53</v>
      </c>
      <c r="E5" s="16">
        <v>0</v>
      </c>
      <c r="F5" s="29">
        <v>5329.4699999999957</v>
      </c>
      <c r="G5" s="29">
        <v>0</v>
      </c>
      <c r="H5" s="18">
        <f t="shared" si="1"/>
        <v>0</v>
      </c>
      <c r="I5" s="18">
        <f t="shared" si="2"/>
        <v>2.377518122133898E-3</v>
      </c>
      <c r="J5" s="17">
        <f t="shared" si="5"/>
        <v>12.670911506368935</v>
      </c>
      <c r="K5" s="17">
        <f t="shared" si="3"/>
        <v>0.23907380200696102</v>
      </c>
      <c r="L5" s="16">
        <v>135</v>
      </c>
      <c r="M5" s="19">
        <f t="shared" si="6"/>
        <v>0.3925925925925926</v>
      </c>
      <c r="N5" s="16">
        <v>344</v>
      </c>
      <c r="O5" s="20">
        <f t="shared" ref="O5:P5" si="13">D5/7</f>
        <v>7.5714285714285712</v>
      </c>
      <c r="P5" s="20">
        <f t="shared" si="13"/>
        <v>0</v>
      </c>
      <c r="Q5" s="16">
        <f t="shared" si="8"/>
        <v>45</v>
      </c>
      <c r="R5" s="16"/>
      <c r="S5" s="21">
        <v>0.28717948717948699</v>
      </c>
      <c r="T5" s="14">
        <v>190</v>
      </c>
      <c r="U5" s="22" t="s">
        <v>34</v>
      </c>
      <c r="V5" s="23" t="s">
        <v>34</v>
      </c>
      <c r="W5" s="14">
        <v>0</v>
      </c>
      <c r="X5" s="24">
        <f t="shared" si="9"/>
        <v>0</v>
      </c>
      <c r="Y5" s="25">
        <f t="shared" si="10"/>
        <v>0</v>
      </c>
      <c r="Z5" s="14">
        <v>0</v>
      </c>
      <c r="AA5" s="14" t="s">
        <v>63</v>
      </c>
      <c r="AB5" s="27">
        <f t="shared" si="11"/>
        <v>-0.48</v>
      </c>
      <c r="AC5" s="28">
        <v>0.54294611819235228</v>
      </c>
      <c r="AD5" s="25">
        <f t="shared" si="12"/>
        <v>-27.625098493626883</v>
      </c>
      <c r="AE5" s="25">
        <v>-17.38</v>
      </c>
      <c r="AF5" s="25">
        <v>-67.332330000000013</v>
      </c>
      <c r="AG5" s="25">
        <v>0</v>
      </c>
    </row>
    <row r="6" spans="1:33" ht="15.75" customHeight="1">
      <c r="A6" s="14" t="s">
        <v>185</v>
      </c>
      <c r="B6" s="14" t="s">
        <v>222</v>
      </c>
      <c r="C6" s="15">
        <f t="shared" si="4"/>
        <v>105.13255319148941</v>
      </c>
      <c r="D6" s="16">
        <v>47</v>
      </c>
      <c r="E6" s="16">
        <v>0</v>
      </c>
      <c r="F6" s="29">
        <v>4941.2300000000023</v>
      </c>
      <c r="G6" s="29">
        <v>0</v>
      </c>
      <c r="H6" s="18">
        <f t="shared" si="1"/>
        <v>0</v>
      </c>
      <c r="I6" s="18">
        <f t="shared" si="2"/>
        <v>3.9281032253103282E-2</v>
      </c>
      <c r="J6" s="17">
        <f t="shared" si="5"/>
        <v>194.09661500000163</v>
      </c>
      <c r="K6" s="17">
        <f t="shared" si="3"/>
        <v>4.1297152127659924</v>
      </c>
      <c r="L6" s="16">
        <v>131</v>
      </c>
      <c r="M6" s="19">
        <f t="shared" si="6"/>
        <v>0.35877862595419846</v>
      </c>
      <c r="N6" s="16">
        <v>268</v>
      </c>
      <c r="O6" s="20">
        <f t="shared" ref="O6:P6" si="14">D6/7</f>
        <v>6.7142857142857144</v>
      </c>
      <c r="P6" s="20">
        <f t="shared" si="14"/>
        <v>0</v>
      </c>
      <c r="Q6" s="16">
        <f t="shared" si="8"/>
        <v>39</v>
      </c>
      <c r="R6" s="16"/>
      <c r="S6" s="21">
        <v>1.0987654320987601</v>
      </c>
      <c r="T6" s="14">
        <v>190</v>
      </c>
      <c r="U6" s="22" t="s">
        <v>34</v>
      </c>
      <c r="V6" s="23" t="s">
        <v>186</v>
      </c>
      <c r="W6" s="14">
        <v>0</v>
      </c>
      <c r="X6" s="24">
        <f t="shared" si="9"/>
        <v>0</v>
      </c>
      <c r="Y6" s="25">
        <f t="shared" si="10"/>
        <v>0</v>
      </c>
      <c r="Z6" s="14">
        <v>0</v>
      </c>
      <c r="AA6" s="14" t="s">
        <v>63</v>
      </c>
      <c r="AB6" s="27">
        <f t="shared" si="11"/>
        <v>-0.48</v>
      </c>
      <c r="AC6" s="28">
        <v>0.54231770833333337</v>
      </c>
      <c r="AD6" s="25">
        <f t="shared" si="12"/>
        <v>-24.469374999999999</v>
      </c>
      <c r="AE6" s="25">
        <v>-17.38</v>
      </c>
      <c r="AF6" s="25">
        <v>-67.332330000000013</v>
      </c>
      <c r="AG6" s="25">
        <v>0</v>
      </c>
    </row>
    <row r="7" spans="1:33" ht="15.75" customHeight="1">
      <c r="A7" s="14" t="s">
        <v>187</v>
      </c>
      <c r="B7" s="14" t="s">
        <v>68</v>
      </c>
      <c r="C7" s="15">
        <f t="shared" si="4"/>
        <v>111.56097560975606</v>
      </c>
      <c r="D7" s="16">
        <v>41</v>
      </c>
      <c r="E7" s="16">
        <v>0</v>
      </c>
      <c r="F7" s="29">
        <v>4573.9999999999982</v>
      </c>
      <c r="G7" s="29">
        <v>0</v>
      </c>
      <c r="H7" s="18">
        <f t="shared" si="1"/>
        <v>0</v>
      </c>
      <c r="I7" s="18">
        <f t="shared" si="2"/>
        <v>8.5996686707476566E-2</v>
      </c>
      <c r="J7" s="17">
        <f t="shared" si="5"/>
        <v>393.34884499999765</v>
      </c>
      <c r="K7" s="17">
        <f t="shared" si="3"/>
        <v>9.593874268292625</v>
      </c>
      <c r="L7" s="16">
        <v>113</v>
      </c>
      <c r="M7" s="19">
        <f t="shared" si="6"/>
        <v>0.36283185840707965</v>
      </c>
      <c r="N7" s="16">
        <v>229</v>
      </c>
      <c r="O7" s="20">
        <f t="shared" ref="O7:P7" si="15">D7/7</f>
        <v>5.8571428571428568</v>
      </c>
      <c r="P7" s="20">
        <f t="shared" si="15"/>
        <v>0</v>
      </c>
      <c r="Q7" s="16">
        <f t="shared" si="8"/>
        <v>39</v>
      </c>
      <c r="R7" s="16"/>
      <c r="S7" s="21">
        <v>2.24193548387096</v>
      </c>
      <c r="T7" s="14">
        <v>190</v>
      </c>
      <c r="U7" s="22" t="s">
        <v>34</v>
      </c>
      <c r="V7" s="23" t="s">
        <v>186</v>
      </c>
      <c r="W7" s="14">
        <v>0</v>
      </c>
      <c r="X7" s="24">
        <f t="shared" si="9"/>
        <v>0</v>
      </c>
      <c r="Y7" s="25">
        <f t="shared" si="10"/>
        <v>0</v>
      </c>
      <c r="Z7" s="14">
        <v>0</v>
      </c>
      <c r="AA7" s="14" t="s">
        <v>63</v>
      </c>
      <c r="AB7" s="27">
        <f t="shared" si="11"/>
        <v>-0.48</v>
      </c>
      <c r="AC7" s="28">
        <v>0.54231770833333337</v>
      </c>
      <c r="AD7" s="25">
        <f t="shared" si="12"/>
        <v>-21.345625000000002</v>
      </c>
      <c r="AE7" s="25">
        <v>-17.38</v>
      </c>
      <c r="AF7" s="25">
        <v>-67.332330000000013</v>
      </c>
      <c r="AG7" s="25">
        <v>0</v>
      </c>
    </row>
    <row r="8" spans="1:33" ht="15.75" customHeight="1">
      <c r="A8" s="14" t="s">
        <v>189</v>
      </c>
      <c r="B8" s="14" t="s">
        <v>223</v>
      </c>
      <c r="C8" s="15">
        <f t="shared" si="4"/>
        <v>120.55270833333329</v>
      </c>
      <c r="D8" s="16">
        <v>48</v>
      </c>
      <c r="E8" s="16">
        <v>0</v>
      </c>
      <c r="F8" s="29">
        <v>5786.5299999999979</v>
      </c>
      <c r="G8" s="29">
        <v>-0.02</v>
      </c>
      <c r="H8" s="18">
        <f t="shared" si="1"/>
        <v>3.4563028274285293E-6</v>
      </c>
      <c r="I8" s="18">
        <f t="shared" si="2"/>
        <v>0.14299770328677086</v>
      </c>
      <c r="J8" s="17">
        <f t="shared" si="5"/>
        <v>827.46049999999786</v>
      </c>
      <c r="K8" s="17">
        <f t="shared" si="3"/>
        <v>17.238760416666622</v>
      </c>
      <c r="L8" s="16">
        <v>86</v>
      </c>
      <c r="M8" s="19">
        <f t="shared" si="6"/>
        <v>0.55813953488372092</v>
      </c>
      <c r="N8" s="16">
        <v>180</v>
      </c>
      <c r="O8" s="20">
        <f t="shared" ref="O8:P8" si="16">D8/7</f>
        <v>6.8571428571428568</v>
      </c>
      <c r="P8" s="20">
        <f t="shared" si="16"/>
        <v>0</v>
      </c>
      <c r="Q8" s="16">
        <f t="shared" si="8"/>
        <v>26</v>
      </c>
      <c r="R8" s="16"/>
      <c r="S8" s="21">
        <v>1.3094812164579599</v>
      </c>
      <c r="T8" s="14">
        <v>190</v>
      </c>
      <c r="U8" s="22">
        <v>190</v>
      </c>
      <c r="V8" s="23" t="s">
        <v>224</v>
      </c>
      <c r="W8" s="14">
        <v>0</v>
      </c>
      <c r="X8" s="24">
        <f t="shared" si="9"/>
        <v>0</v>
      </c>
      <c r="Y8" s="25">
        <f t="shared" si="10"/>
        <v>0</v>
      </c>
      <c r="Z8" s="14">
        <v>0</v>
      </c>
      <c r="AA8" s="14" t="s">
        <v>63</v>
      </c>
      <c r="AB8" s="27">
        <f t="shared" si="11"/>
        <v>-0.48</v>
      </c>
      <c r="AC8" s="28">
        <v>0.54231770833333337</v>
      </c>
      <c r="AD8" s="25">
        <f t="shared" si="12"/>
        <v>-24.990000000000002</v>
      </c>
      <c r="AE8" s="25">
        <v>-17.38</v>
      </c>
      <c r="AF8" s="25">
        <v>-67.33</v>
      </c>
      <c r="AG8" s="25">
        <v>0</v>
      </c>
    </row>
    <row r="9" spans="1:33" ht="15.75" customHeight="1">
      <c r="A9" s="14" t="s">
        <v>191</v>
      </c>
      <c r="B9" s="14" t="s">
        <v>225</v>
      </c>
      <c r="C9" s="15">
        <f t="shared" si="4"/>
        <v>133.07750000000001</v>
      </c>
      <c r="D9" s="16">
        <v>20</v>
      </c>
      <c r="E9" s="16">
        <v>1</v>
      </c>
      <c r="F9" s="29">
        <v>2661.55</v>
      </c>
      <c r="G9" s="29">
        <v>0</v>
      </c>
      <c r="H9" s="18">
        <f t="shared" si="1"/>
        <v>0</v>
      </c>
      <c r="I9" s="18">
        <f t="shared" si="2"/>
        <v>0.20751044528227017</v>
      </c>
      <c r="J9" s="17">
        <f t="shared" si="5"/>
        <v>552.29942564102623</v>
      </c>
      <c r="K9" s="17">
        <f t="shared" si="3"/>
        <v>27.614971282051311</v>
      </c>
      <c r="L9" s="16">
        <v>112</v>
      </c>
      <c r="M9" s="19">
        <f t="shared" si="6"/>
        <v>0.17857142857142858</v>
      </c>
      <c r="N9" s="16">
        <v>157</v>
      </c>
      <c r="O9" s="20">
        <f t="shared" ref="O9:P9" si="17">D9/7</f>
        <v>2.8571428571428572</v>
      </c>
      <c r="P9" s="20">
        <f t="shared" si="17"/>
        <v>0.14285714285714285</v>
      </c>
      <c r="Q9" s="16">
        <f t="shared" si="8"/>
        <v>52</v>
      </c>
      <c r="R9" s="16"/>
      <c r="S9" s="21">
        <v>1.45780969479353</v>
      </c>
      <c r="T9" s="14">
        <v>190</v>
      </c>
      <c r="U9" s="22">
        <v>190</v>
      </c>
      <c r="V9" s="23" t="s">
        <v>226</v>
      </c>
      <c r="W9" s="14">
        <v>0</v>
      </c>
      <c r="X9" s="24">
        <f t="shared" si="9"/>
        <v>0</v>
      </c>
      <c r="Y9" s="25">
        <f t="shared" si="10"/>
        <v>0</v>
      </c>
      <c r="Z9" s="14">
        <v>0</v>
      </c>
      <c r="AA9" s="14" t="s">
        <v>63</v>
      </c>
      <c r="AB9" s="27">
        <f t="shared" si="11"/>
        <v>-0.48</v>
      </c>
      <c r="AC9" s="28">
        <v>0.54231770833333337</v>
      </c>
      <c r="AD9" s="25">
        <f t="shared" si="12"/>
        <v>-10.4125</v>
      </c>
      <c r="AE9" s="25">
        <v>-17.38</v>
      </c>
      <c r="AF9" s="25">
        <v>-67.600278717948697</v>
      </c>
      <c r="AG9" s="25">
        <v>0</v>
      </c>
    </row>
    <row r="10" spans="1:33" ht="15.75" customHeight="1">
      <c r="A10" s="14" t="s">
        <v>192</v>
      </c>
      <c r="B10" s="14" t="s">
        <v>68</v>
      </c>
      <c r="C10" s="15">
        <f t="shared" si="4"/>
        <v>133.17727272727268</v>
      </c>
      <c r="D10" s="16">
        <v>22</v>
      </c>
      <c r="E10" s="16">
        <v>0</v>
      </c>
      <c r="F10" s="29">
        <v>2929.8999999999987</v>
      </c>
      <c r="G10" s="29">
        <v>-0.02</v>
      </c>
      <c r="H10" s="18">
        <f t="shared" si="1"/>
        <v>6.826171541690846E-6</v>
      </c>
      <c r="I10" s="18">
        <f t="shared" si="2"/>
        <v>0.2079849545053169</v>
      </c>
      <c r="J10" s="17">
        <f t="shared" si="5"/>
        <v>609.37511820512771</v>
      </c>
      <c r="K10" s="17">
        <f t="shared" si="3"/>
        <v>27.698869009323985</v>
      </c>
      <c r="L10" s="16">
        <v>132</v>
      </c>
      <c r="M10" s="19">
        <f t="shared" si="6"/>
        <v>0.16666666666666666</v>
      </c>
      <c r="N10" s="16">
        <v>136</v>
      </c>
      <c r="O10" s="20">
        <f t="shared" ref="O10:P10" si="18">D10/7</f>
        <v>3.1428571428571428</v>
      </c>
      <c r="P10" s="20">
        <f t="shared" si="18"/>
        <v>0</v>
      </c>
      <c r="Q10" s="16">
        <f t="shared" si="8"/>
        <v>43</v>
      </c>
      <c r="R10" s="16"/>
      <c r="S10" s="21">
        <v>1.93603411513859</v>
      </c>
      <c r="T10" s="14">
        <v>190</v>
      </c>
      <c r="U10" s="22">
        <v>190</v>
      </c>
      <c r="V10" s="23" t="s">
        <v>227</v>
      </c>
      <c r="W10" s="14">
        <v>0</v>
      </c>
      <c r="X10" s="24">
        <f t="shared" si="9"/>
        <v>0</v>
      </c>
      <c r="Y10" s="25">
        <f t="shared" si="10"/>
        <v>0</v>
      </c>
      <c r="Z10" s="14">
        <v>0</v>
      </c>
      <c r="AA10" s="14" t="s">
        <v>63</v>
      </c>
      <c r="AB10" s="27">
        <f t="shared" si="11"/>
        <v>-0.48</v>
      </c>
      <c r="AC10" s="28">
        <v>0.54231770833333337</v>
      </c>
      <c r="AD10" s="25">
        <f t="shared" si="12"/>
        <v>-11.453749999999999</v>
      </c>
      <c r="AE10" s="25">
        <v>-17.38</v>
      </c>
      <c r="AF10" s="25">
        <v>-67.600278717948697</v>
      </c>
      <c r="AG10" s="25">
        <v>0</v>
      </c>
    </row>
    <row r="11" spans="1:33" ht="15.75" customHeight="1">
      <c r="A11" s="14" t="s">
        <v>193</v>
      </c>
      <c r="B11" s="14" t="s">
        <v>228</v>
      </c>
      <c r="C11" s="15">
        <f t="shared" si="4"/>
        <v>131.97407407407405</v>
      </c>
      <c r="D11" s="16">
        <v>27</v>
      </c>
      <c r="E11" s="16">
        <v>5</v>
      </c>
      <c r="F11" s="29">
        <v>3563.2999999999993</v>
      </c>
      <c r="G11" s="29">
        <v>-0.04</v>
      </c>
      <c r="H11" s="18">
        <f t="shared" si="1"/>
        <v>1.1225549350321335E-5</v>
      </c>
      <c r="I11" s="18">
        <f t="shared" si="2"/>
        <v>0.20212740987718819</v>
      </c>
      <c r="J11" s="17">
        <f t="shared" si="5"/>
        <v>720.24059961538455</v>
      </c>
      <c r="K11" s="17">
        <f t="shared" si="3"/>
        <v>26.675577763532761</v>
      </c>
      <c r="L11" s="16">
        <v>152</v>
      </c>
      <c r="M11" s="19">
        <f t="shared" si="6"/>
        <v>0.17763157894736842</v>
      </c>
      <c r="N11" s="16">
        <v>104</v>
      </c>
      <c r="O11" s="20">
        <f t="shared" ref="O11:P11" si="19">D11/7</f>
        <v>3.8571428571428572</v>
      </c>
      <c r="P11" s="20">
        <f t="shared" si="19"/>
        <v>0.7142857142857143</v>
      </c>
      <c r="Q11" s="16">
        <f t="shared" si="8"/>
        <v>22</v>
      </c>
      <c r="R11" s="16"/>
      <c r="S11" s="21">
        <v>2.8054794520547901</v>
      </c>
      <c r="T11" s="14">
        <v>290</v>
      </c>
      <c r="U11" s="22">
        <v>190</v>
      </c>
      <c r="V11" s="23" t="s">
        <v>229</v>
      </c>
      <c r="W11" s="14">
        <v>0</v>
      </c>
      <c r="X11" s="24">
        <f t="shared" si="9"/>
        <v>0</v>
      </c>
      <c r="Y11" s="25">
        <f t="shared" si="10"/>
        <v>0</v>
      </c>
      <c r="Z11" s="14">
        <v>0</v>
      </c>
      <c r="AA11" s="14" t="s">
        <v>63</v>
      </c>
      <c r="AB11" s="27">
        <f t="shared" si="11"/>
        <v>-0.48</v>
      </c>
      <c r="AC11" s="28">
        <v>0.54231770833333337</v>
      </c>
      <c r="AD11" s="25">
        <f t="shared" si="12"/>
        <v>-14.056875</v>
      </c>
      <c r="AE11" s="25">
        <v>-17.38</v>
      </c>
      <c r="AF11" s="25">
        <v>-67.600278717948697</v>
      </c>
      <c r="AG11" s="25">
        <v>0</v>
      </c>
    </row>
    <row r="12" spans="1:33" ht="15.75" customHeight="1">
      <c r="A12" s="14" t="s">
        <v>195</v>
      </c>
      <c r="B12" s="14" t="s">
        <v>230</v>
      </c>
      <c r="C12" s="15">
        <f t="shared" si="4"/>
        <v>136.27347826086955</v>
      </c>
      <c r="D12" s="16">
        <v>23</v>
      </c>
      <c r="E12" s="16">
        <v>0</v>
      </c>
      <c r="F12" s="29">
        <v>3134.2899999999995</v>
      </c>
      <c r="G12" s="29">
        <v>-0.08</v>
      </c>
      <c r="H12" s="18">
        <f t="shared" si="1"/>
        <v>2.5524121890444093E-5</v>
      </c>
      <c r="I12" s="18">
        <f t="shared" si="2"/>
        <v>0.22255302300909599</v>
      </c>
      <c r="J12" s="17">
        <f t="shared" si="5"/>
        <v>697.54571448717934</v>
      </c>
      <c r="K12" s="17">
        <f t="shared" si="3"/>
        <v>30.328074542920842</v>
      </c>
      <c r="L12" s="16">
        <v>95</v>
      </c>
      <c r="M12" s="19">
        <f t="shared" si="6"/>
        <v>0.24210526315789474</v>
      </c>
      <c r="N12" s="16">
        <v>77</v>
      </c>
      <c r="O12" s="20">
        <f t="shared" ref="O12:P12" si="20">D12/7</f>
        <v>3.2857142857142856</v>
      </c>
      <c r="P12" s="20">
        <f t="shared" si="20"/>
        <v>0</v>
      </c>
      <c r="Q12" s="16">
        <f t="shared" si="8"/>
        <v>23</v>
      </c>
      <c r="R12" s="16"/>
      <c r="S12" s="21">
        <v>3.70032573289902</v>
      </c>
      <c r="T12" s="14">
        <v>290</v>
      </c>
      <c r="U12" s="22">
        <v>190</v>
      </c>
      <c r="V12" s="23" t="s">
        <v>229</v>
      </c>
      <c r="W12" s="14">
        <v>0</v>
      </c>
      <c r="X12" s="24">
        <f t="shared" si="9"/>
        <v>0</v>
      </c>
      <c r="Y12" s="25">
        <f t="shared" si="10"/>
        <v>0</v>
      </c>
      <c r="Z12" s="14">
        <v>0</v>
      </c>
      <c r="AA12" s="14" t="s">
        <v>63</v>
      </c>
      <c r="AB12" s="27">
        <f t="shared" si="11"/>
        <v>-0.48</v>
      </c>
      <c r="AC12" s="28">
        <v>0.54231770833333337</v>
      </c>
      <c r="AD12" s="25">
        <f t="shared" si="12"/>
        <v>-11.974375</v>
      </c>
      <c r="AE12" s="25">
        <v>-17.38</v>
      </c>
      <c r="AF12" s="25">
        <v>-67.600278717948697</v>
      </c>
      <c r="AG12" s="25">
        <v>0</v>
      </c>
    </row>
    <row r="13" spans="1:33" ht="15.75" customHeight="1">
      <c r="A13" s="14" t="s">
        <v>197</v>
      </c>
      <c r="B13" s="14" t="s">
        <v>231</v>
      </c>
      <c r="C13" s="15">
        <f t="shared" si="4"/>
        <v>138.45000000000002</v>
      </c>
      <c r="D13" s="16">
        <v>8</v>
      </c>
      <c r="E13" s="16">
        <v>0</v>
      </c>
      <c r="F13" s="17">
        <v>1107.6000000000001</v>
      </c>
      <c r="G13" s="29">
        <v>-0.08</v>
      </c>
      <c r="H13" s="18">
        <f t="shared" si="1"/>
        <v>7.2228241242325745E-5</v>
      </c>
      <c r="I13" s="18">
        <f t="shared" si="2"/>
        <v>0.22816572769953058</v>
      </c>
      <c r="J13" s="17">
        <f t="shared" si="5"/>
        <v>252.71636000000009</v>
      </c>
      <c r="K13" s="17">
        <f t="shared" si="3"/>
        <v>31.589545000000012</v>
      </c>
      <c r="L13" s="16">
        <v>49</v>
      </c>
      <c r="M13" s="19">
        <f t="shared" si="6"/>
        <v>0.16326530612244897</v>
      </c>
      <c r="N13" s="16">
        <v>70</v>
      </c>
      <c r="O13" s="20">
        <f t="shared" ref="O13:P13" si="21">D13/7</f>
        <v>1.1428571428571428</v>
      </c>
      <c r="P13" s="20">
        <f t="shared" si="21"/>
        <v>0</v>
      </c>
      <c r="Q13" s="16">
        <f t="shared" si="8"/>
        <v>61</v>
      </c>
      <c r="R13" s="16"/>
      <c r="S13" s="21">
        <v>1.8084772370486599</v>
      </c>
      <c r="T13" s="14">
        <v>290</v>
      </c>
      <c r="U13" s="22">
        <v>190</v>
      </c>
      <c r="V13" s="23" t="s">
        <v>229</v>
      </c>
      <c r="W13" s="14">
        <v>0</v>
      </c>
      <c r="X13" s="24">
        <f t="shared" si="9"/>
        <v>0</v>
      </c>
      <c r="Y13" s="25">
        <f t="shared" si="10"/>
        <v>0</v>
      </c>
      <c r="Z13" s="14">
        <v>0</v>
      </c>
      <c r="AA13" s="14" t="s">
        <v>63</v>
      </c>
      <c r="AB13" s="27">
        <f t="shared" si="11"/>
        <v>-0.48</v>
      </c>
      <c r="AC13" s="28">
        <v>0.54231770833333337</v>
      </c>
      <c r="AD13" s="25">
        <f t="shared" si="12"/>
        <v>-4.165</v>
      </c>
      <c r="AE13" s="25">
        <v>-17.38</v>
      </c>
      <c r="AF13" s="25">
        <v>-68.182329999999993</v>
      </c>
      <c r="AG13" s="25">
        <v>0</v>
      </c>
    </row>
    <row r="14" spans="1:33" ht="15.75" customHeight="1">
      <c r="A14" s="14" t="s">
        <v>32</v>
      </c>
      <c r="B14" s="14" t="s">
        <v>232</v>
      </c>
      <c r="C14" s="15">
        <f t="shared" si="4"/>
        <v>136.50823529411764</v>
      </c>
      <c r="D14" s="16">
        <v>17</v>
      </c>
      <c r="E14" s="16">
        <v>0</v>
      </c>
      <c r="F14" s="17">
        <v>2320.64</v>
      </c>
      <c r="G14" s="29">
        <v>0</v>
      </c>
      <c r="H14" s="18">
        <f t="shared" si="1"/>
        <v>0</v>
      </c>
      <c r="I14" s="18">
        <f t="shared" si="2"/>
        <v>0.21939368665540537</v>
      </c>
      <c r="J14" s="17">
        <f t="shared" si="5"/>
        <v>509.13376499999987</v>
      </c>
      <c r="K14" s="17">
        <f t="shared" si="3"/>
        <v>29.949044999999991</v>
      </c>
      <c r="L14" s="16">
        <v>70</v>
      </c>
      <c r="M14" s="19">
        <f t="shared" si="6"/>
        <v>0.24285714285714285</v>
      </c>
      <c r="N14" s="16">
        <v>54</v>
      </c>
      <c r="O14" s="20">
        <f t="shared" ref="O14:P14" si="22">D14/7</f>
        <v>2.4285714285714284</v>
      </c>
      <c r="P14" s="20">
        <f t="shared" si="22"/>
        <v>0</v>
      </c>
      <c r="Q14" s="16">
        <f t="shared" si="8"/>
        <v>22</v>
      </c>
      <c r="R14" s="16"/>
      <c r="S14" s="21">
        <v>2.2463768115942</v>
      </c>
      <c r="T14" s="14">
        <v>290</v>
      </c>
      <c r="U14" s="22">
        <v>190</v>
      </c>
      <c r="V14" s="23" t="s">
        <v>229</v>
      </c>
      <c r="W14" s="14">
        <v>0</v>
      </c>
      <c r="X14" s="24">
        <f t="shared" si="9"/>
        <v>0</v>
      </c>
      <c r="Y14" s="25">
        <f t="shared" si="10"/>
        <v>0</v>
      </c>
      <c r="Z14" s="14">
        <v>0</v>
      </c>
      <c r="AA14" s="14" t="s">
        <v>63</v>
      </c>
      <c r="AB14" s="27">
        <f t="shared" si="11"/>
        <v>-0.48</v>
      </c>
      <c r="AC14" s="28">
        <v>0.54231770833333337</v>
      </c>
      <c r="AD14" s="25">
        <f t="shared" si="12"/>
        <v>-8.8506250000000009</v>
      </c>
      <c r="AE14" s="25">
        <v>-17.38</v>
      </c>
      <c r="AF14" s="25">
        <v>-68.182329999999993</v>
      </c>
      <c r="AG14" s="25">
        <v>0</v>
      </c>
    </row>
    <row r="15" spans="1:33" ht="15.75" customHeight="1">
      <c r="A15" s="14" t="s">
        <v>36</v>
      </c>
      <c r="B15" s="14" t="s">
        <v>230</v>
      </c>
      <c r="C15" s="15">
        <f t="shared" si="4"/>
        <v>134.79575757575756</v>
      </c>
      <c r="D15" s="16">
        <v>33</v>
      </c>
      <c r="E15" s="16">
        <v>0</v>
      </c>
      <c r="F15" s="17">
        <v>4448.2599999999993</v>
      </c>
      <c r="G15" s="29">
        <v>0</v>
      </c>
      <c r="H15" s="18">
        <f t="shared" si="1"/>
        <v>0</v>
      </c>
      <c r="I15" s="18">
        <f t="shared" si="2"/>
        <v>0.25012485218939534</v>
      </c>
      <c r="J15" s="17">
        <f t="shared" si="5"/>
        <v>1112.6203749999995</v>
      </c>
      <c r="K15" s="17">
        <f t="shared" si="3"/>
        <v>33.715768939393925</v>
      </c>
      <c r="L15" s="16">
        <v>85</v>
      </c>
      <c r="M15" s="19">
        <f t="shared" si="6"/>
        <v>0.38823529411764707</v>
      </c>
      <c r="N15" s="16">
        <v>22</v>
      </c>
      <c r="O15" s="20">
        <f t="shared" ref="O15:P15" si="23">D15/7</f>
        <v>4.7142857142857144</v>
      </c>
      <c r="P15" s="20">
        <f t="shared" si="23"/>
        <v>0</v>
      </c>
      <c r="Q15" s="16">
        <f t="shared" si="8"/>
        <v>4</v>
      </c>
      <c r="R15" s="16"/>
      <c r="S15" s="21">
        <v>3.2115384615384599</v>
      </c>
      <c r="T15" s="14">
        <v>290</v>
      </c>
      <c r="U15" s="22">
        <v>190</v>
      </c>
      <c r="V15" s="23" t="s">
        <v>229</v>
      </c>
      <c r="W15" s="14">
        <v>0</v>
      </c>
      <c r="X15" s="24">
        <f t="shared" si="9"/>
        <v>0</v>
      </c>
      <c r="Y15" s="25">
        <f t="shared" si="10"/>
        <v>0</v>
      </c>
      <c r="Z15" s="14">
        <v>0</v>
      </c>
      <c r="AA15" s="14" t="s">
        <v>63</v>
      </c>
      <c r="AB15" s="27">
        <f t="shared" si="11"/>
        <v>-0.48</v>
      </c>
      <c r="AC15" s="28">
        <v>0.54231770833333337</v>
      </c>
      <c r="AD15" s="25">
        <f t="shared" si="12"/>
        <v>-17.180624999999999</v>
      </c>
      <c r="AE15" s="25">
        <v>-17.38</v>
      </c>
      <c r="AF15" s="25">
        <v>-62.96</v>
      </c>
      <c r="AG15" s="25">
        <v>0</v>
      </c>
    </row>
    <row r="16" spans="1:33" ht="15.75" customHeight="1">
      <c r="A16" s="14" t="s">
        <v>38</v>
      </c>
      <c r="B16" s="14" t="s">
        <v>45</v>
      </c>
      <c r="C16" s="15">
        <f t="shared" si="4"/>
        <v>139.40888888888892</v>
      </c>
      <c r="D16" s="16">
        <v>18</v>
      </c>
      <c r="E16" s="16">
        <v>0</v>
      </c>
      <c r="F16" s="17">
        <v>2509.3600000000006</v>
      </c>
      <c r="G16" s="29">
        <v>-0.05</v>
      </c>
      <c r="H16" s="18">
        <f t="shared" si="1"/>
        <v>1.9925399305002068E-5</v>
      </c>
      <c r="I16" s="18">
        <f t="shared" si="2"/>
        <v>0.2699551877769632</v>
      </c>
      <c r="J16" s="17">
        <f t="shared" si="5"/>
        <v>677.41475000000048</v>
      </c>
      <c r="K16" s="17">
        <f t="shared" si="3"/>
        <v>37.634152777777807</v>
      </c>
      <c r="L16" s="16">
        <v>82</v>
      </c>
      <c r="M16" s="19">
        <f t="shared" si="6"/>
        <v>0.21951219512195122</v>
      </c>
      <c r="N16" s="16">
        <v>2</v>
      </c>
      <c r="O16" s="20">
        <f t="shared" ref="O16:P16" si="24">D16/7</f>
        <v>2.5714285714285716</v>
      </c>
      <c r="P16" s="20">
        <f t="shared" si="24"/>
        <v>0</v>
      </c>
      <c r="Q16" s="16">
        <f t="shared" si="8"/>
        <v>0</v>
      </c>
      <c r="R16" s="16"/>
      <c r="S16" s="21" t="e">
        <v>#N/A</v>
      </c>
      <c r="T16" s="14">
        <v>290</v>
      </c>
      <c r="U16" s="22">
        <v>190</v>
      </c>
      <c r="V16" s="23" t="s">
        <v>229</v>
      </c>
      <c r="W16" s="14">
        <v>0</v>
      </c>
      <c r="X16" s="24">
        <f t="shared" si="9"/>
        <v>0</v>
      </c>
      <c r="Y16" s="25">
        <f t="shared" si="10"/>
        <v>0</v>
      </c>
      <c r="Z16" s="14">
        <v>0</v>
      </c>
      <c r="AA16" s="14" t="s">
        <v>63</v>
      </c>
      <c r="AB16" s="27">
        <f t="shared" si="11"/>
        <v>-0.48</v>
      </c>
      <c r="AC16" s="28">
        <v>0.54231770833333337</v>
      </c>
      <c r="AD16" s="25">
        <f t="shared" si="12"/>
        <v>-9.3712499999999999</v>
      </c>
      <c r="AE16" s="25">
        <v>-17.38</v>
      </c>
      <c r="AF16" s="25">
        <v>-62.96</v>
      </c>
      <c r="AG16" s="25">
        <v>0</v>
      </c>
    </row>
    <row r="17" spans="1:33" ht="15.75" customHeight="1">
      <c r="A17" s="14" t="s">
        <v>40</v>
      </c>
      <c r="B17" s="14" t="s">
        <v>45</v>
      </c>
      <c r="C17" s="15" t="str">
        <f t="shared" si="4"/>
        <v xml:space="preserve"> - </v>
      </c>
      <c r="D17" s="16">
        <v>0</v>
      </c>
      <c r="E17" s="16">
        <v>0</v>
      </c>
      <c r="F17" s="17">
        <v>0</v>
      </c>
      <c r="G17" s="29">
        <v>0</v>
      </c>
      <c r="H17" s="18" t="e">
        <f t="shared" si="1"/>
        <v>#DIV/0!</v>
      </c>
      <c r="I17" s="18" t="e">
        <f t="shared" si="2"/>
        <v>#DIV/0!</v>
      </c>
      <c r="J17" s="17">
        <f t="shared" si="5"/>
        <v>0</v>
      </c>
      <c r="K17" s="17" t="e">
        <f t="shared" si="3"/>
        <v>#DIV/0!</v>
      </c>
      <c r="L17" s="16">
        <v>0</v>
      </c>
      <c r="M17" s="19" t="str">
        <f t="shared" si="6"/>
        <v>-</v>
      </c>
      <c r="N17" s="16">
        <v>3</v>
      </c>
      <c r="O17" s="20">
        <f t="shared" ref="O17:P17" si="25">D17/7</f>
        <v>0</v>
      </c>
      <c r="P17" s="20">
        <f t="shared" si="25"/>
        <v>0</v>
      </c>
      <c r="Q17" s="16" t="e">
        <f t="shared" si="8"/>
        <v>#DIV/0!</v>
      </c>
      <c r="R17" s="16"/>
      <c r="S17" s="21">
        <v>2.3084260731319501</v>
      </c>
      <c r="T17" s="14">
        <v>290</v>
      </c>
      <c r="U17" s="22">
        <v>190</v>
      </c>
      <c r="V17" s="23" t="s">
        <v>229</v>
      </c>
      <c r="W17" s="14">
        <v>0</v>
      </c>
      <c r="X17" s="24">
        <f t="shared" si="9"/>
        <v>0</v>
      </c>
      <c r="Y17" s="25">
        <f t="shared" si="10"/>
        <v>0</v>
      </c>
      <c r="Z17" s="14">
        <v>0</v>
      </c>
      <c r="AA17" s="14" t="s">
        <v>63</v>
      </c>
      <c r="AB17" s="27">
        <f t="shared" si="11"/>
        <v>-0.48</v>
      </c>
      <c r="AC17" s="28">
        <v>0.54231770833333337</v>
      </c>
      <c r="AD17" s="25">
        <f t="shared" si="12"/>
        <v>0</v>
      </c>
      <c r="AE17" s="25">
        <v>-17.38</v>
      </c>
      <c r="AF17" s="25">
        <v>-62.96</v>
      </c>
      <c r="AG17" s="25">
        <v>0</v>
      </c>
    </row>
    <row r="18" spans="1:33" ht="15.75" customHeight="1">
      <c r="A18" s="14" t="s">
        <v>42</v>
      </c>
      <c r="B18" s="14" t="s">
        <v>233</v>
      </c>
      <c r="C18" s="15">
        <f t="shared" si="4"/>
        <v>139.94999999999999</v>
      </c>
      <c r="D18" s="16">
        <v>1</v>
      </c>
      <c r="E18" s="16">
        <v>0</v>
      </c>
      <c r="F18" s="17">
        <v>139.94999999999999</v>
      </c>
      <c r="G18" s="29">
        <v>0</v>
      </c>
      <c r="H18" s="18">
        <f t="shared" si="1"/>
        <v>0</v>
      </c>
      <c r="I18" s="18">
        <f t="shared" si="2"/>
        <v>0.27221775634155038</v>
      </c>
      <c r="J18" s="17">
        <f t="shared" si="5"/>
        <v>38.096874999999976</v>
      </c>
      <c r="K18" s="17">
        <f t="shared" si="3"/>
        <v>38.096874999999976</v>
      </c>
      <c r="L18" s="16">
        <v>67</v>
      </c>
      <c r="M18" s="19">
        <f t="shared" si="6"/>
        <v>1.4925373134328358E-2</v>
      </c>
      <c r="N18" s="16">
        <v>4</v>
      </c>
      <c r="O18" s="20">
        <f t="shared" ref="O18:P18" si="26">D18/7</f>
        <v>0.14285714285714285</v>
      </c>
      <c r="P18" s="20">
        <f t="shared" si="26"/>
        <v>0</v>
      </c>
      <c r="Q18" s="16">
        <f t="shared" si="8"/>
        <v>28</v>
      </c>
      <c r="R18" s="16"/>
      <c r="S18" s="21">
        <v>2.1849912739964998</v>
      </c>
      <c r="T18" s="14">
        <v>100</v>
      </c>
      <c r="U18" s="22">
        <v>0</v>
      </c>
      <c r="V18" s="23" t="s">
        <v>234</v>
      </c>
      <c r="W18" s="14">
        <v>0</v>
      </c>
      <c r="X18" s="24">
        <f t="shared" si="9"/>
        <v>0</v>
      </c>
      <c r="Y18" s="25">
        <f t="shared" si="10"/>
        <v>0</v>
      </c>
      <c r="Z18" s="14">
        <v>0</v>
      </c>
      <c r="AA18" s="14" t="s">
        <v>63</v>
      </c>
      <c r="AB18" s="27">
        <f t="shared" si="11"/>
        <v>-0.48</v>
      </c>
      <c r="AC18" s="28">
        <v>0.54231770833333337</v>
      </c>
      <c r="AD18" s="25">
        <f t="shared" si="12"/>
        <v>-0.520625</v>
      </c>
      <c r="AE18" s="25">
        <v>-17.38</v>
      </c>
      <c r="AF18" s="25">
        <v>-62.96</v>
      </c>
      <c r="AG18" s="25">
        <v>0</v>
      </c>
    </row>
    <row r="19" spans="1:33" ht="15.75" customHeight="1">
      <c r="A19" s="14" t="s">
        <v>44</v>
      </c>
      <c r="B19" s="14" t="s">
        <v>45</v>
      </c>
      <c r="C19" s="15">
        <f t="shared" si="4"/>
        <v>139.94999999999999</v>
      </c>
      <c r="D19" s="16">
        <v>1</v>
      </c>
      <c r="E19" s="16">
        <v>0</v>
      </c>
      <c r="F19" s="17">
        <v>139.94999999999999</v>
      </c>
      <c r="G19" s="29">
        <v>0</v>
      </c>
      <c r="H19" s="18">
        <f t="shared" si="1"/>
        <v>0</v>
      </c>
      <c r="I19" s="18">
        <f t="shared" si="2"/>
        <v>0.25134601643444077</v>
      </c>
      <c r="J19" s="17">
        <f t="shared" si="5"/>
        <v>35.175874999999984</v>
      </c>
      <c r="K19" s="17">
        <f t="shared" si="3"/>
        <v>35.175874999999984</v>
      </c>
      <c r="L19" s="16">
        <v>61</v>
      </c>
      <c r="M19" s="19">
        <f t="shared" si="6"/>
        <v>1.6393442622950821E-2</v>
      </c>
      <c r="N19" s="16">
        <v>5</v>
      </c>
      <c r="O19" s="20">
        <f t="shared" ref="O19:P19" si="27">D19/7</f>
        <v>0.14285714285714285</v>
      </c>
      <c r="P19" s="20">
        <f t="shared" si="27"/>
        <v>0</v>
      </c>
      <c r="Q19" s="16">
        <f t="shared" si="8"/>
        <v>35</v>
      </c>
      <c r="R19" s="16"/>
      <c r="S19" s="21">
        <v>2.2074363992172201</v>
      </c>
      <c r="T19" s="14">
        <v>100</v>
      </c>
      <c r="U19" s="22">
        <v>100</v>
      </c>
      <c r="V19" s="23" t="s">
        <v>235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14" t="s">
        <v>63</v>
      </c>
      <c r="AB19" s="27">
        <f t="shared" si="11"/>
        <v>-0.48</v>
      </c>
      <c r="AC19" s="28">
        <v>0.54231770833333337</v>
      </c>
      <c r="AD19" s="25">
        <f t="shared" si="12"/>
        <v>-0.520625</v>
      </c>
      <c r="AE19" s="25">
        <v>-17.38</v>
      </c>
      <c r="AF19" s="25">
        <v>-65.881</v>
      </c>
      <c r="AG19" s="25">
        <v>0</v>
      </c>
    </row>
    <row r="20" spans="1:33" ht="15.75" customHeight="1">
      <c r="A20" s="14" t="s">
        <v>46</v>
      </c>
      <c r="B20" s="14" t="s">
        <v>45</v>
      </c>
      <c r="C20" s="15">
        <f t="shared" si="4"/>
        <v>139.94999999999999</v>
      </c>
      <c r="D20" s="16">
        <v>3</v>
      </c>
      <c r="E20" s="16">
        <v>0</v>
      </c>
      <c r="F20" s="17">
        <v>419.84999999999997</v>
      </c>
      <c r="G20" s="29">
        <v>0</v>
      </c>
      <c r="H20" s="18">
        <f t="shared" si="1"/>
        <v>0</v>
      </c>
      <c r="I20" s="18">
        <f t="shared" si="2"/>
        <v>0.25134601643444077</v>
      </c>
      <c r="J20" s="17">
        <f t="shared" si="5"/>
        <v>105.52762499999994</v>
      </c>
      <c r="K20" s="17">
        <f t="shared" si="3"/>
        <v>35.175874999999984</v>
      </c>
      <c r="L20" s="16">
        <v>51</v>
      </c>
      <c r="M20" s="19">
        <f t="shared" si="6"/>
        <v>5.8823529411764705E-2</v>
      </c>
      <c r="N20" s="16">
        <v>2</v>
      </c>
      <c r="O20" s="20">
        <f t="shared" ref="O20:P20" si="28">D20/7</f>
        <v>0.42857142857142855</v>
      </c>
      <c r="P20" s="20">
        <f t="shared" si="28"/>
        <v>0</v>
      </c>
      <c r="Q20" s="16">
        <f t="shared" si="8"/>
        <v>4</v>
      </c>
      <c r="R20" s="16"/>
      <c r="S20" s="21" t="e">
        <v>#N/A</v>
      </c>
      <c r="T20" s="14">
        <v>100</v>
      </c>
      <c r="U20" s="22" t="s">
        <v>34</v>
      </c>
      <c r="V20" s="23" t="s">
        <v>34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14" t="s">
        <v>63</v>
      </c>
      <c r="AB20" s="27">
        <f t="shared" si="11"/>
        <v>-0.48</v>
      </c>
      <c r="AC20" s="28">
        <v>0.54231770833333337</v>
      </c>
      <c r="AD20" s="25">
        <f t="shared" si="12"/>
        <v>-1.5618750000000001</v>
      </c>
      <c r="AE20" s="25">
        <v>-17.38</v>
      </c>
      <c r="AF20" s="25">
        <v>-65.881</v>
      </c>
      <c r="AG20" s="25">
        <v>0</v>
      </c>
    </row>
    <row r="21" spans="1:33" ht="15.75" customHeight="1">
      <c r="A21" s="14" t="s">
        <v>47</v>
      </c>
      <c r="B21" s="14" t="s">
        <v>45</v>
      </c>
      <c r="C21" s="15">
        <f t="shared" si="4"/>
        <v>139.94999999999999</v>
      </c>
      <c r="D21" s="16">
        <v>1</v>
      </c>
      <c r="E21" s="16">
        <v>1</v>
      </c>
      <c r="F21" s="17">
        <v>139.94999999999999</v>
      </c>
      <c r="G21" s="29">
        <v>0</v>
      </c>
      <c r="H21" s="18">
        <f t="shared" si="1"/>
        <v>0</v>
      </c>
      <c r="I21" s="18">
        <f t="shared" si="2"/>
        <v>0.25134601643444077</v>
      </c>
      <c r="J21" s="17">
        <f t="shared" si="5"/>
        <v>35.175874999999984</v>
      </c>
      <c r="K21" s="17">
        <f t="shared" si="3"/>
        <v>35.175874999999984</v>
      </c>
      <c r="L21" s="16">
        <v>30</v>
      </c>
      <c r="M21" s="19">
        <f t="shared" si="6"/>
        <v>3.3333333333333333E-2</v>
      </c>
      <c r="N21" s="16">
        <v>3</v>
      </c>
      <c r="O21" s="20">
        <f t="shared" ref="O21:P21" si="29">D21/7</f>
        <v>0.14285714285714285</v>
      </c>
      <c r="P21" s="20">
        <f t="shared" si="29"/>
        <v>0.14285714285714285</v>
      </c>
      <c r="Q21" s="16">
        <f t="shared" si="8"/>
        <v>10</v>
      </c>
      <c r="R21" s="16"/>
      <c r="S21" s="21" t="e">
        <v>#N/A</v>
      </c>
      <c r="T21" s="14">
        <v>200</v>
      </c>
      <c r="U21" s="22">
        <v>100</v>
      </c>
      <c r="V21" s="23" t="s">
        <v>236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14" t="s">
        <v>63</v>
      </c>
      <c r="AB21" s="27">
        <f t="shared" si="11"/>
        <v>-0.48</v>
      </c>
      <c r="AC21" s="28">
        <v>0.54231770833333337</v>
      </c>
      <c r="AD21" s="25">
        <f t="shared" si="12"/>
        <v>-0.520625</v>
      </c>
      <c r="AE21" s="25">
        <v>-17.38</v>
      </c>
      <c r="AF21" s="25">
        <v>-65.881</v>
      </c>
      <c r="AG21" s="25">
        <v>0</v>
      </c>
    </row>
    <row r="22" spans="1:33" ht="15.75" customHeight="1">
      <c r="A22" s="14" t="s">
        <v>48</v>
      </c>
      <c r="B22" s="14" t="s">
        <v>45</v>
      </c>
      <c r="C22" s="15" t="str">
        <f t="shared" si="4"/>
        <v xml:space="preserve"> - </v>
      </c>
      <c r="D22" s="16">
        <v>0</v>
      </c>
      <c r="E22" s="16">
        <v>0</v>
      </c>
      <c r="F22" s="29">
        <v>0</v>
      </c>
      <c r="G22" s="29">
        <v>0</v>
      </c>
      <c r="H22" s="18" t="e">
        <f t="shared" si="1"/>
        <v>#DIV/0!</v>
      </c>
      <c r="I22" s="18" t="e">
        <f t="shared" si="2"/>
        <v>#DIV/0!</v>
      </c>
      <c r="J22" s="17">
        <f t="shared" si="5"/>
        <v>0</v>
      </c>
      <c r="K22" s="17" t="e">
        <f t="shared" si="3"/>
        <v>#DIV/0!</v>
      </c>
      <c r="L22" s="16">
        <v>0</v>
      </c>
      <c r="M22" s="19" t="str">
        <f t="shared" si="6"/>
        <v>-</v>
      </c>
      <c r="N22" s="16">
        <v>2</v>
      </c>
      <c r="O22" s="20">
        <f t="shared" ref="O22:P22" si="30">D22/7</f>
        <v>0</v>
      </c>
      <c r="P22" s="20">
        <f t="shared" si="30"/>
        <v>0</v>
      </c>
      <c r="Q22" s="16" t="e">
        <f t="shared" si="8"/>
        <v>#DIV/0!</v>
      </c>
      <c r="R22" s="16"/>
      <c r="S22" s="21" t="e">
        <v>#N/A</v>
      </c>
      <c r="T22" s="14">
        <v>100</v>
      </c>
      <c r="U22" s="22" t="s">
        <v>34</v>
      </c>
      <c r="V22" s="23" t="s">
        <v>34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63</v>
      </c>
      <c r="AB22" s="27">
        <f t="shared" si="11"/>
        <v>-0.48</v>
      </c>
      <c r="AC22" s="28">
        <v>0.54231770833333337</v>
      </c>
      <c r="AD22" s="25">
        <f t="shared" si="12"/>
        <v>0</v>
      </c>
      <c r="AE22" s="25">
        <v>-17.38</v>
      </c>
      <c r="AF22" s="25">
        <v>-65.881</v>
      </c>
      <c r="AG22" s="25">
        <v>0</v>
      </c>
    </row>
    <row r="23" spans="1:33" ht="15.75" customHeight="1">
      <c r="A23" s="14" t="s">
        <v>49</v>
      </c>
      <c r="B23" s="14" t="s">
        <v>45</v>
      </c>
      <c r="C23" s="15" t="str">
        <f t="shared" si="4"/>
        <v xml:space="preserve"> - </v>
      </c>
      <c r="D23" s="16">
        <v>0</v>
      </c>
      <c r="E23" s="16">
        <v>0</v>
      </c>
      <c r="F23" s="17">
        <v>0</v>
      </c>
      <c r="G23" s="29">
        <v>0</v>
      </c>
      <c r="H23" s="18" t="e">
        <f t="shared" si="1"/>
        <v>#DIV/0!</v>
      </c>
      <c r="I23" s="18" t="e">
        <f t="shared" si="2"/>
        <v>#DIV/0!</v>
      </c>
      <c r="J23" s="17">
        <f t="shared" si="5"/>
        <v>0</v>
      </c>
      <c r="K23" s="17" t="e">
        <f t="shared" si="3"/>
        <v>#DIV/0!</v>
      </c>
      <c r="L23" s="16">
        <v>0</v>
      </c>
      <c r="M23" s="19" t="str">
        <f t="shared" si="6"/>
        <v>-</v>
      </c>
      <c r="N23" s="16">
        <v>2</v>
      </c>
      <c r="O23" s="20">
        <f t="shared" ref="O23:P23" si="31">D23/7</f>
        <v>0</v>
      </c>
      <c r="P23" s="20">
        <f t="shared" si="31"/>
        <v>0</v>
      </c>
      <c r="Q23" s="16" t="e">
        <f t="shared" si="8"/>
        <v>#DIV/0!</v>
      </c>
      <c r="R23" s="16"/>
      <c r="S23" s="21" t="e">
        <v>#N/A</v>
      </c>
      <c r="T23" s="14">
        <v>500</v>
      </c>
      <c r="U23" s="22" t="s">
        <v>34</v>
      </c>
      <c r="V23" s="23" t="s">
        <v>34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63</v>
      </c>
      <c r="AB23" s="27">
        <f t="shared" si="11"/>
        <v>-0.48</v>
      </c>
      <c r="AC23" s="28">
        <v>0.54231770833333337</v>
      </c>
      <c r="AD23" s="25">
        <f t="shared" si="12"/>
        <v>0</v>
      </c>
      <c r="AE23" s="25">
        <v>-17.38</v>
      </c>
      <c r="AF23" s="25">
        <v>-65.881</v>
      </c>
      <c r="AG23" s="25">
        <v>0</v>
      </c>
    </row>
    <row r="24" spans="1:33" ht="15.75" customHeight="1">
      <c r="A24" s="14" t="s">
        <v>50</v>
      </c>
      <c r="B24" s="14" t="s">
        <v>45</v>
      </c>
      <c r="C24" s="15">
        <f t="shared" si="4"/>
        <v>139.94999999999999</v>
      </c>
      <c r="D24" s="16">
        <v>1</v>
      </c>
      <c r="E24" s="16">
        <v>0</v>
      </c>
      <c r="F24" s="17">
        <v>139.94999999999999</v>
      </c>
      <c r="G24" s="17">
        <v>0</v>
      </c>
      <c r="H24" s="18">
        <f t="shared" si="1"/>
        <v>0</v>
      </c>
      <c r="I24" s="18">
        <f t="shared" si="2"/>
        <v>0.25134601643444077</v>
      </c>
      <c r="J24" s="17">
        <f t="shared" si="5"/>
        <v>35.175874999999984</v>
      </c>
      <c r="K24" s="17">
        <f t="shared" si="3"/>
        <v>35.175874999999984</v>
      </c>
      <c r="L24" s="16">
        <v>0</v>
      </c>
      <c r="M24" s="19" t="str">
        <f t="shared" si="6"/>
        <v>-</v>
      </c>
      <c r="N24" s="16">
        <v>2</v>
      </c>
      <c r="O24" s="20">
        <f t="shared" ref="O24:P24" si="32">D24/7</f>
        <v>0.14285714285714285</v>
      </c>
      <c r="P24" s="20">
        <f t="shared" si="32"/>
        <v>0</v>
      </c>
      <c r="Q24" s="16">
        <f t="shared" si="8"/>
        <v>14</v>
      </c>
      <c r="R24" s="16"/>
      <c r="S24" s="21" t="e">
        <v>#N/A</v>
      </c>
      <c r="T24" s="14">
        <v>500</v>
      </c>
      <c r="U24" s="22" t="s">
        <v>34</v>
      </c>
      <c r="V24" s="23" t="s">
        <v>34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14" t="s">
        <v>63</v>
      </c>
      <c r="AB24" s="27">
        <f t="shared" si="11"/>
        <v>-0.48</v>
      </c>
      <c r="AC24" s="28">
        <v>0.54231770833333337</v>
      </c>
      <c r="AD24" s="25">
        <f t="shared" si="12"/>
        <v>-0.520625</v>
      </c>
      <c r="AE24" s="25">
        <v>-17.38</v>
      </c>
      <c r="AF24" s="25">
        <v>-65.881</v>
      </c>
      <c r="AG24" s="25">
        <v>0</v>
      </c>
    </row>
    <row r="25" spans="1:33" ht="15.75" customHeight="1">
      <c r="A25" s="14" t="s">
        <v>51</v>
      </c>
      <c r="B25" s="14" t="s">
        <v>237</v>
      </c>
      <c r="C25" s="15">
        <f t="shared" si="4"/>
        <v>139.94999999999999</v>
      </c>
      <c r="D25" s="16">
        <v>2</v>
      </c>
      <c r="E25" s="16">
        <v>0</v>
      </c>
      <c r="F25" s="17">
        <v>279.89999999999998</v>
      </c>
      <c r="G25" s="17">
        <v>-0.02</v>
      </c>
      <c r="H25" s="18">
        <f t="shared" si="1"/>
        <v>7.1454090746695257E-5</v>
      </c>
      <c r="I25" s="18">
        <f t="shared" si="2"/>
        <v>0.25128170775276876</v>
      </c>
      <c r="J25" s="17">
        <f t="shared" si="5"/>
        <v>70.333749999999966</v>
      </c>
      <c r="K25" s="17">
        <f t="shared" si="3"/>
        <v>35.166874999999983</v>
      </c>
      <c r="L25" s="16">
        <v>28</v>
      </c>
      <c r="M25" s="19">
        <f t="shared" si="6"/>
        <v>7.1428571428571425E-2</v>
      </c>
      <c r="N25" s="16">
        <v>182</v>
      </c>
      <c r="O25" s="20">
        <f t="shared" ref="O25:P25" si="33">D25/7</f>
        <v>0.2857142857142857</v>
      </c>
      <c r="P25" s="20">
        <f t="shared" si="33"/>
        <v>0</v>
      </c>
      <c r="Q25" s="16">
        <f t="shared" si="8"/>
        <v>637</v>
      </c>
      <c r="R25" s="16"/>
      <c r="S25" s="21">
        <v>1.208333333333333</v>
      </c>
      <c r="T25" s="14">
        <v>500</v>
      </c>
      <c r="U25" s="22" t="s">
        <v>34</v>
      </c>
      <c r="V25" s="23" t="s">
        <v>34</v>
      </c>
      <c r="W25" s="30">
        <v>0</v>
      </c>
      <c r="X25" s="24">
        <f t="shared" si="9"/>
        <v>0</v>
      </c>
      <c r="Y25" s="25">
        <f t="shared" si="10"/>
        <v>0</v>
      </c>
      <c r="Z25" s="30">
        <v>0</v>
      </c>
      <c r="AA25" s="14" t="s">
        <v>63</v>
      </c>
      <c r="AB25" s="27">
        <f t="shared" si="11"/>
        <v>-0.48</v>
      </c>
      <c r="AC25" s="28">
        <v>0.54231770833333337</v>
      </c>
      <c r="AD25" s="25">
        <f t="shared" si="12"/>
        <v>-1.04125</v>
      </c>
      <c r="AE25" s="25">
        <v>-17.38</v>
      </c>
      <c r="AF25" s="25">
        <v>-65.88</v>
      </c>
      <c r="AG25" s="25">
        <v>0</v>
      </c>
    </row>
    <row r="26" spans="1:33" ht="15.75" customHeight="1">
      <c r="A26" s="14" t="s">
        <v>52</v>
      </c>
      <c r="B26" s="14" t="s">
        <v>45</v>
      </c>
      <c r="C26" s="15">
        <f t="shared" si="4"/>
        <v>128.76600000000002</v>
      </c>
      <c r="D26" s="16">
        <v>5</v>
      </c>
      <c r="E26" s="16">
        <v>0</v>
      </c>
      <c r="F26" s="17">
        <v>643.83000000000004</v>
      </c>
      <c r="G26" s="17">
        <v>-0.08</v>
      </c>
      <c r="H26" s="18">
        <f t="shared" si="1"/>
        <v>1.242564030877716E-4</v>
      </c>
      <c r="I26" s="18">
        <f t="shared" si="2"/>
        <v>0.19611912306043514</v>
      </c>
      <c r="J26" s="17">
        <f t="shared" si="5"/>
        <v>126.26737499999996</v>
      </c>
      <c r="K26" s="17">
        <f t="shared" si="3"/>
        <v>25.253474999999991</v>
      </c>
      <c r="L26" s="16">
        <v>36</v>
      </c>
      <c r="M26" s="19">
        <f t="shared" si="6"/>
        <v>0.1388888888888889</v>
      </c>
      <c r="N26" s="16">
        <v>177</v>
      </c>
      <c r="O26" s="20">
        <f t="shared" ref="O26:P26" si="34">D26/7</f>
        <v>0.7142857142857143</v>
      </c>
      <c r="P26" s="20">
        <f t="shared" si="34"/>
        <v>0</v>
      </c>
      <c r="Q26" s="16">
        <f t="shared" si="8"/>
        <v>247</v>
      </c>
      <c r="R26" s="16"/>
      <c r="S26" s="21">
        <v>1.070422535211268</v>
      </c>
      <c r="T26" s="14">
        <v>500</v>
      </c>
      <c r="U26" s="22" t="s">
        <v>34</v>
      </c>
      <c r="V26" s="23" t="s">
        <v>34</v>
      </c>
      <c r="W26" s="30">
        <v>0</v>
      </c>
      <c r="X26" s="24">
        <f t="shared" si="9"/>
        <v>0</v>
      </c>
      <c r="Y26" s="25">
        <f t="shared" si="10"/>
        <v>0</v>
      </c>
      <c r="Z26" s="30">
        <v>0</v>
      </c>
      <c r="AA26" s="14" t="s">
        <v>63</v>
      </c>
      <c r="AB26" s="27">
        <f t="shared" si="11"/>
        <v>-0.48</v>
      </c>
      <c r="AC26" s="28">
        <v>0.54231770833333337</v>
      </c>
      <c r="AD26" s="25">
        <f t="shared" si="12"/>
        <v>-2.6031249999999999</v>
      </c>
      <c r="AE26" s="25">
        <v>-17.78</v>
      </c>
      <c r="AF26" s="25">
        <v>-65.881</v>
      </c>
      <c r="AG26" s="25">
        <v>0</v>
      </c>
    </row>
    <row r="27" spans="1:33" ht="15.75" customHeight="1">
      <c r="A27" s="14" t="s">
        <v>53</v>
      </c>
      <c r="B27" s="14" t="s">
        <v>64</v>
      </c>
      <c r="C27" s="15">
        <f t="shared" si="4"/>
        <v>127.95</v>
      </c>
      <c r="D27" s="16">
        <v>8</v>
      </c>
      <c r="E27" s="16">
        <v>0</v>
      </c>
      <c r="F27" s="17">
        <v>1023.6</v>
      </c>
      <c r="G27" s="17">
        <v>-0.02</v>
      </c>
      <c r="H27" s="18">
        <f t="shared" si="1"/>
        <v>1.9538882375928097E-5</v>
      </c>
      <c r="I27" s="18">
        <f t="shared" si="2"/>
        <v>0.19028038296209449</v>
      </c>
      <c r="J27" s="17">
        <f t="shared" si="5"/>
        <v>194.77099999999993</v>
      </c>
      <c r="K27" s="17">
        <f t="shared" si="3"/>
        <v>24.346374999999991</v>
      </c>
      <c r="L27" s="16">
        <v>49</v>
      </c>
      <c r="M27" s="19">
        <f t="shared" si="6"/>
        <v>0.16326530612244897</v>
      </c>
      <c r="N27" s="16">
        <v>170</v>
      </c>
      <c r="O27" s="20">
        <f t="shared" ref="O27:P27" si="35">D27/7</f>
        <v>1.1428571428571428</v>
      </c>
      <c r="P27" s="20">
        <f t="shared" si="35"/>
        <v>0</v>
      </c>
      <c r="Q27" s="16">
        <f t="shared" si="8"/>
        <v>148</v>
      </c>
      <c r="R27" s="16"/>
      <c r="S27" s="21">
        <v>0.89393939393939392</v>
      </c>
      <c r="T27" s="14">
        <v>500</v>
      </c>
      <c r="U27" s="22" t="s">
        <v>34</v>
      </c>
      <c r="V27" s="23" t="s">
        <v>34</v>
      </c>
      <c r="W27" s="30">
        <v>0</v>
      </c>
      <c r="X27" s="24">
        <f t="shared" si="9"/>
        <v>0</v>
      </c>
      <c r="Y27" s="25">
        <f t="shared" si="10"/>
        <v>0</v>
      </c>
      <c r="Z27" s="30">
        <v>0</v>
      </c>
      <c r="AA27" s="14" t="s">
        <v>63</v>
      </c>
      <c r="AB27" s="27">
        <f t="shared" si="11"/>
        <v>-0.48</v>
      </c>
      <c r="AC27" s="28">
        <v>0.54231770833333337</v>
      </c>
      <c r="AD27" s="25">
        <f t="shared" si="12"/>
        <v>-4.165</v>
      </c>
      <c r="AE27" s="25">
        <v>-17.78</v>
      </c>
      <c r="AF27" s="25">
        <v>-66.108000000000004</v>
      </c>
      <c r="AG27" s="25">
        <v>0</v>
      </c>
    </row>
    <row r="28" spans="1:33" ht="15.75" customHeight="1">
      <c r="A28" s="14" t="s">
        <v>54</v>
      </c>
      <c r="B28" s="14" t="s">
        <v>66</v>
      </c>
      <c r="C28" s="15">
        <f t="shared" si="4"/>
        <v>131.07040816326531</v>
      </c>
      <c r="D28" s="16">
        <v>49</v>
      </c>
      <c r="E28" s="16">
        <v>0</v>
      </c>
      <c r="F28" s="17">
        <v>6422.45</v>
      </c>
      <c r="G28" s="17">
        <v>-220.66</v>
      </c>
      <c r="H28" s="18">
        <f t="shared" si="1"/>
        <v>3.4357604963837787E-2</v>
      </c>
      <c r="I28" s="18">
        <f t="shared" si="2"/>
        <v>0.17164787191803743</v>
      </c>
      <c r="J28" s="17">
        <f t="shared" si="5"/>
        <v>1102.3998749999994</v>
      </c>
      <c r="K28" s="17">
        <f t="shared" si="3"/>
        <v>22.49795663265305</v>
      </c>
      <c r="L28" s="16">
        <v>180</v>
      </c>
      <c r="M28" s="19">
        <f t="shared" si="6"/>
        <v>0.2722222222222222</v>
      </c>
      <c r="N28" s="16">
        <v>126</v>
      </c>
      <c r="O28" s="20">
        <f t="shared" ref="O28:P28" si="36">D28/7</f>
        <v>7</v>
      </c>
      <c r="P28" s="20">
        <f t="shared" si="36"/>
        <v>0</v>
      </c>
      <c r="Q28" s="16">
        <f t="shared" si="8"/>
        <v>18</v>
      </c>
      <c r="R28" s="16"/>
      <c r="S28" s="21">
        <v>1.58</v>
      </c>
      <c r="T28" s="14">
        <v>500</v>
      </c>
      <c r="U28" s="22" t="s">
        <v>34</v>
      </c>
      <c r="V28" s="23" t="s">
        <v>34</v>
      </c>
      <c r="W28" s="30">
        <v>13</v>
      </c>
      <c r="X28" s="24">
        <f t="shared" si="9"/>
        <v>0.26530612244897961</v>
      </c>
      <c r="Y28" s="25">
        <f t="shared" si="10"/>
        <v>6.1294444444444443</v>
      </c>
      <c r="Z28" s="30">
        <v>23</v>
      </c>
      <c r="AA28" s="14" t="s">
        <v>63</v>
      </c>
      <c r="AB28" s="27">
        <f t="shared" si="11"/>
        <v>-0.48</v>
      </c>
      <c r="AC28" s="28">
        <v>0.54231770833333337</v>
      </c>
      <c r="AD28" s="25">
        <f t="shared" si="12"/>
        <v>-25.510625000000001</v>
      </c>
      <c r="AE28" s="25">
        <v>-17.78</v>
      </c>
      <c r="AF28" s="25">
        <v>-66.108000000000004</v>
      </c>
      <c r="AG28" s="25">
        <v>0</v>
      </c>
    </row>
    <row r="29" spans="1:33" ht="15.75" customHeight="1">
      <c r="A29" s="14" t="s">
        <v>55</v>
      </c>
      <c r="B29" s="14" t="s">
        <v>238</v>
      </c>
      <c r="C29" s="15">
        <f t="shared" si="4"/>
        <v>131.33520000000001</v>
      </c>
      <c r="D29" s="16">
        <v>50</v>
      </c>
      <c r="E29" s="16">
        <v>1</v>
      </c>
      <c r="F29" s="17">
        <v>6566.76</v>
      </c>
      <c r="G29" s="17">
        <v>-2.04</v>
      </c>
      <c r="H29" s="18">
        <f t="shared" si="1"/>
        <v>3.1065548306927616E-4</v>
      </c>
      <c r="I29" s="18">
        <f t="shared" si="2"/>
        <v>0.20699321278682334</v>
      </c>
      <c r="J29" s="17">
        <f t="shared" si="5"/>
        <v>1359.27475</v>
      </c>
      <c r="K29" s="17">
        <f t="shared" si="3"/>
        <v>27.185495</v>
      </c>
      <c r="L29" s="16">
        <v>185</v>
      </c>
      <c r="M29" s="19">
        <f t="shared" si="6"/>
        <v>0.27027027027027029</v>
      </c>
      <c r="N29" s="16">
        <v>81</v>
      </c>
      <c r="O29" s="20">
        <f t="shared" ref="O29:P29" si="37">D29/7</f>
        <v>7.1428571428571432</v>
      </c>
      <c r="P29" s="20">
        <f t="shared" si="37"/>
        <v>0.14285714285714285</v>
      </c>
      <c r="Q29" s="16">
        <f t="shared" si="8"/>
        <v>11</v>
      </c>
      <c r="R29" s="16"/>
      <c r="S29" s="21">
        <v>3.1260504201680668</v>
      </c>
      <c r="T29" s="14">
        <v>500</v>
      </c>
      <c r="U29" s="22" t="s">
        <v>34</v>
      </c>
      <c r="V29" s="23" t="s">
        <v>34</v>
      </c>
      <c r="W29" s="30">
        <v>0</v>
      </c>
      <c r="X29" s="24">
        <f t="shared" si="9"/>
        <v>0</v>
      </c>
      <c r="Y29" s="25">
        <f t="shared" si="10"/>
        <v>0</v>
      </c>
      <c r="Z29" s="30">
        <v>0</v>
      </c>
      <c r="AA29" s="14" t="s">
        <v>63</v>
      </c>
      <c r="AB29" s="27">
        <f t="shared" si="11"/>
        <v>-0.48</v>
      </c>
      <c r="AC29" s="28">
        <v>0.54231770833333337</v>
      </c>
      <c r="AD29" s="25">
        <f t="shared" si="12"/>
        <v>-26.03125</v>
      </c>
      <c r="AE29" s="25">
        <v>-17.78</v>
      </c>
      <c r="AF29" s="25">
        <v>-66.108000000000004</v>
      </c>
      <c r="AG29" s="25">
        <v>0</v>
      </c>
    </row>
    <row r="30" spans="1:33" ht="15.75" customHeight="1">
      <c r="A30" s="14" t="s">
        <v>57</v>
      </c>
      <c r="B30" s="14" t="s">
        <v>239</v>
      </c>
      <c r="C30" s="15">
        <f t="shared" si="4"/>
        <v>137.42531250000002</v>
      </c>
      <c r="D30" s="16">
        <v>32</v>
      </c>
      <c r="E30" s="16">
        <v>2</v>
      </c>
      <c r="F30" s="17">
        <v>4397.6100000000006</v>
      </c>
      <c r="G30" s="17">
        <v>-0.08</v>
      </c>
      <c r="H30" s="18">
        <f t="shared" si="1"/>
        <v>1.8191699582273095E-5</v>
      </c>
      <c r="I30" s="18">
        <f t="shared" si="2"/>
        <v>0.23591581617651411</v>
      </c>
      <c r="J30" s="17">
        <f t="shared" si="5"/>
        <v>1037.4657523760004</v>
      </c>
      <c r="K30" s="17">
        <f t="shared" si="3"/>
        <v>32.420804761750013</v>
      </c>
      <c r="L30" s="16">
        <v>149</v>
      </c>
      <c r="M30" s="19">
        <f t="shared" si="6"/>
        <v>0.21476510067114093</v>
      </c>
      <c r="N30" s="16">
        <v>40</v>
      </c>
      <c r="O30" s="20">
        <f t="shared" ref="O30:P30" si="38">D30/7</f>
        <v>4.5714285714285712</v>
      </c>
      <c r="P30" s="20">
        <f t="shared" si="38"/>
        <v>0.2857142857142857</v>
      </c>
      <c r="Q30" s="16">
        <f t="shared" si="8"/>
        <v>8</v>
      </c>
      <c r="R30" s="16"/>
      <c r="S30" s="21">
        <v>2.0228136882129282</v>
      </c>
      <c r="T30" s="14">
        <v>500</v>
      </c>
      <c r="U30" s="22" t="s">
        <v>34</v>
      </c>
      <c r="V30" s="23" t="s">
        <v>34</v>
      </c>
      <c r="W30" s="30">
        <v>0</v>
      </c>
      <c r="X30" s="24">
        <f t="shared" si="9"/>
        <v>0</v>
      </c>
      <c r="Y30" s="25">
        <f t="shared" si="10"/>
        <v>0</v>
      </c>
      <c r="Z30" s="30">
        <v>0</v>
      </c>
      <c r="AA30" s="14" t="s">
        <v>63</v>
      </c>
      <c r="AB30" s="27">
        <f t="shared" si="11"/>
        <v>-0.48</v>
      </c>
      <c r="AC30" s="28">
        <v>0.54231770833333337</v>
      </c>
      <c r="AD30" s="25">
        <f t="shared" si="12"/>
        <v>-16.66</v>
      </c>
      <c r="AE30" s="25">
        <v>-17.78</v>
      </c>
      <c r="AF30" s="25">
        <v>-66.087585863249998</v>
      </c>
      <c r="AG30" s="25">
        <v>0</v>
      </c>
    </row>
    <row r="31" spans="1:33" ht="15.75" customHeight="1">
      <c r="A31" s="14" t="s">
        <v>58</v>
      </c>
      <c r="B31" s="14" t="s">
        <v>45</v>
      </c>
      <c r="C31" s="15">
        <f t="shared" si="4"/>
        <v>151.12868421052633</v>
      </c>
      <c r="D31" s="16">
        <v>38</v>
      </c>
      <c r="E31" s="16">
        <v>0</v>
      </c>
      <c r="F31" s="17">
        <v>5742.89</v>
      </c>
      <c r="G31" s="17">
        <v>-7.0000000000000007E-2</v>
      </c>
      <c r="H31" s="18">
        <f t="shared" si="1"/>
        <v>1.2188984988394346E-5</v>
      </c>
      <c r="I31" s="18">
        <f t="shared" si="2"/>
        <v>0.2916013517926514</v>
      </c>
      <c r="J31" s="17">
        <f t="shared" si="5"/>
        <v>1674.6344871965</v>
      </c>
      <c r="K31" s="17">
        <f t="shared" si="3"/>
        <v>44.069328610434212</v>
      </c>
      <c r="L31" s="16">
        <v>136</v>
      </c>
      <c r="M31" s="19">
        <f t="shared" si="6"/>
        <v>0.27941176470588236</v>
      </c>
      <c r="N31" s="16">
        <v>10</v>
      </c>
      <c r="O31" s="20">
        <f t="shared" ref="O31:P31" si="39">D31/7</f>
        <v>5.4285714285714288</v>
      </c>
      <c r="P31" s="20">
        <f t="shared" si="39"/>
        <v>0</v>
      </c>
      <c r="Q31" s="16">
        <f t="shared" si="8"/>
        <v>1</v>
      </c>
      <c r="R31" s="16"/>
      <c r="S31" s="21">
        <v>2.7744680851063799</v>
      </c>
      <c r="T31" s="14">
        <v>400</v>
      </c>
      <c r="U31" s="22" t="s">
        <v>34</v>
      </c>
      <c r="V31" s="23" t="s">
        <v>240</v>
      </c>
      <c r="W31" s="30">
        <v>0</v>
      </c>
      <c r="X31" s="24">
        <f t="shared" si="9"/>
        <v>0</v>
      </c>
      <c r="Y31" s="25">
        <f t="shared" si="10"/>
        <v>0</v>
      </c>
      <c r="Z31" s="30">
        <v>0</v>
      </c>
      <c r="AA31" s="14" t="s">
        <v>63</v>
      </c>
      <c r="AB31" s="27">
        <f t="shared" si="11"/>
        <v>-0.48</v>
      </c>
      <c r="AC31" s="28">
        <v>0.54231770833333337</v>
      </c>
      <c r="AD31" s="25">
        <f t="shared" si="12"/>
        <v>-19.783750000000001</v>
      </c>
      <c r="AE31" s="25">
        <v>-17.78</v>
      </c>
      <c r="AF31" s="25">
        <v>-66.087585863250013</v>
      </c>
      <c r="AG31" s="25">
        <v>0</v>
      </c>
    </row>
    <row r="32" spans="1:33" ht="15.75" customHeight="1">
      <c r="A32" s="14" t="s">
        <v>60</v>
      </c>
      <c r="B32" s="14"/>
      <c r="C32" s="15">
        <f t="shared" si="4"/>
        <v>160.36000000000001</v>
      </c>
      <c r="D32" s="16">
        <v>2</v>
      </c>
      <c r="E32" s="16">
        <v>0</v>
      </c>
      <c r="F32" s="17">
        <v>320.72000000000003</v>
      </c>
      <c r="G32" s="17">
        <v>0</v>
      </c>
      <c r="H32" s="18">
        <f t="shared" si="1"/>
        <v>0</v>
      </c>
      <c r="I32" s="18">
        <f t="shared" si="2"/>
        <v>0.32375772721844603</v>
      </c>
      <c r="J32" s="17">
        <f t="shared" si="5"/>
        <v>103.83557827350002</v>
      </c>
      <c r="K32" s="17">
        <f t="shared" si="3"/>
        <v>51.91778913675001</v>
      </c>
      <c r="L32" s="16">
        <v>19</v>
      </c>
      <c r="M32" s="19">
        <f t="shared" si="6"/>
        <v>0.10526315789473684</v>
      </c>
      <c r="N32" s="16">
        <v>3</v>
      </c>
      <c r="O32" s="20">
        <f t="shared" ref="O32:P32" si="40">D32/7</f>
        <v>0.2857142857142857</v>
      </c>
      <c r="P32" s="20">
        <f t="shared" si="40"/>
        <v>0</v>
      </c>
      <c r="Q32" s="16">
        <f t="shared" si="8"/>
        <v>10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4.0677966101694913</v>
      </c>
      <c r="T32" s="14">
        <f ca="1">IFERROR(__xludf.DUMMYFUNCTION("IFERROR(VLOOKUP($B$2,IMPORTRANGE(""https://docs.google.com/spreadsheets/d/1KiWZV1ko8G7lnRucBRBd29jj3Be6ltMfljMDqzOkQmI/edit#gid=1381463014"",""Lookup!A:D""),4,FALSE),"""")"),400)</f>
        <v>400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23" t="str">
        <f ca="1">IFERROR(__xludf.DUMMYFUNCTION("IFERROR(VLOOKUP($B$2,IMPORTRANGE(""https://docs.google.com/spreadsheets/d/1KiWZV1ko8G7lnRucBRBd29jj3Be6ltMfljMDqzOkQmI/edit#gid=1381463014"",""Lookup!A:D""),2,FALSE),"""")"),"No Transit, But 400 At Factory 50-75 days from Earliest Arrival")</f>
        <v>No Transit, But 400 At Factory 50-75 days from Earliest Arrival</v>
      </c>
      <c r="W32" s="30">
        <v>0</v>
      </c>
      <c r="X32" s="24">
        <f t="shared" si="9"/>
        <v>0</v>
      </c>
      <c r="Y32" s="25">
        <f t="shared" si="10"/>
        <v>0</v>
      </c>
      <c r="Z32" s="30">
        <v>0</v>
      </c>
      <c r="AA32" s="14" t="s">
        <v>63</v>
      </c>
      <c r="AB32" s="27">
        <f t="shared" si="11"/>
        <v>-0.48</v>
      </c>
      <c r="AC32" s="28">
        <v>0.54231770833333337</v>
      </c>
      <c r="AD32" s="25">
        <f t="shared" si="12"/>
        <v>-1.04125</v>
      </c>
      <c r="AE32" s="25">
        <v>-17.78</v>
      </c>
      <c r="AF32" s="25">
        <v>-66.087585863249998</v>
      </c>
      <c r="AG32" s="25">
        <v>0</v>
      </c>
    </row>
    <row r="33" spans="1:33" ht="15.75" customHeight="1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16"/>
      <c r="S33" s="21"/>
      <c r="T33" s="31"/>
      <c r="U33" s="36"/>
      <c r="V33" s="1"/>
      <c r="W33" s="31"/>
      <c r="X33" s="31"/>
      <c r="Y33" s="31"/>
      <c r="Z33" s="31"/>
      <c r="AA33" s="2"/>
      <c r="AB33" s="31"/>
      <c r="AC33" s="31"/>
      <c r="AD33" s="31"/>
      <c r="AE33" s="37"/>
      <c r="AF33" s="37"/>
      <c r="AG33" s="37"/>
    </row>
    <row r="34" spans="1:33" ht="15.75" customHeight="1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6"/>
      <c r="V34" s="1"/>
      <c r="W34" s="31"/>
      <c r="X34" s="31"/>
      <c r="Y34" s="31"/>
      <c r="Z34" s="31"/>
      <c r="AA34" s="2"/>
      <c r="AB34" s="31"/>
      <c r="AC34" s="31"/>
      <c r="AD34" s="31"/>
      <c r="AE34" s="37"/>
      <c r="AF34" s="37"/>
      <c r="AG34" s="37"/>
    </row>
    <row r="35" spans="1:33" ht="15.75" customHeight="1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6"/>
      <c r="V35" s="1"/>
      <c r="W35" s="31"/>
      <c r="X35" s="31"/>
      <c r="Y35" s="31"/>
      <c r="Z35" s="31"/>
      <c r="AA35" s="2"/>
      <c r="AB35" s="31"/>
      <c r="AC35" s="31"/>
      <c r="AD35" s="31"/>
      <c r="AE35" s="37"/>
      <c r="AF35" s="37"/>
      <c r="AG35" s="37"/>
    </row>
    <row r="36" spans="1:33" ht="15.75" customHeight="1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6"/>
      <c r="V36" s="1"/>
      <c r="W36" s="31"/>
      <c r="X36" s="31"/>
      <c r="Y36" s="31"/>
      <c r="Z36" s="31"/>
      <c r="AA36" s="2"/>
      <c r="AB36" s="31"/>
      <c r="AC36" s="31"/>
      <c r="AD36" s="31"/>
      <c r="AE36" s="37"/>
      <c r="AF36" s="37"/>
      <c r="AG36" s="37"/>
    </row>
    <row r="37" spans="1:33" ht="15.75" customHeight="1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6"/>
      <c r="V37" s="1"/>
      <c r="W37" s="31"/>
      <c r="X37" s="31"/>
      <c r="Y37" s="31"/>
      <c r="Z37" s="31"/>
      <c r="AA37" s="2"/>
      <c r="AB37" s="31"/>
      <c r="AC37" s="31"/>
      <c r="AD37" s="31"/>
      <c r="AE37" s="37"/>
      <c r="AF37" s="37"/>
      <c r="AG37" s="37"/>
    </row>
    <row r="38" spans="1:33" ht="15.75" customHeight="1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6"/>
      <c r="V38" s="1"/>
      <c r="W38" s="31"/>
      <c r="X38" s="31"/>
      <c r="Y38" s="31"/>
      <c r="Z38" s="31"/>
      <c r="AA38" s="2"/>
      <c r="AB38" s="31"/>
      <c r="AC38" s="31"/>
      <c r="AD38" s="31"/>
      <c r="AE38" s="37"/>
      <c r="AF38" s="37"/>
      <c r="AG38" s="37"/>
    </row>
    <row r="39" spans="1:33" ht="15.75" customHeight="1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6"/>
      <c r="V39" s="1"/>
      <c r="W39" s="31"/>
      <c r="X39" s="31"/>
      <c r="Y39" s="31"/>
      <c r="Z39" s="31"/>
      <c r="AA39" s="2"/>
      <c r="AB39" s="31"/>
      <c r="AC39" s="31"/>
      <c r="AD39" s="31"/>
      <c r="AE39" s="37"/>
      <c r="AF39" s="37"/>
      <c r="AG39" s="37"/>
    </row>
    <row r="40" spans="1:33" ht="15.75" customHeight="1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6"/>
      <c r="V40" s="1"/>
      <c r="W40" s="31"/>
      <c r="X40" s="31"/>
      <c r="Y40" s="31"/>
      <c r="Z40" s="31"/>
      <c r="AA40" s="2"/>
      <c r="AB40" s="31"/>
      <c r="AC40" s="31"/>
      <c r="AD40" s="31"/>
      <c r="AE40" s="37"/>
      <c r="AF40" s="37"/>
      <c r="AG40" s="37"/>
    </row>
    <row r="41" spans="1:33" ht="15.75" customHeight="1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6"/>
      <c r="V41" s="1"/>
      <c r="W41" s="31"/>
      <c r="X41" s="31"/>
      <c r="Y41" s="31"/>
      <c r="Z41" s="31"/>
      <c r="AA41" s="2"/>
      <c r="AB41" s="31"/>
      <c r="AC41" s="31"/>
      <c r="AD41" s="31"/>
      <c r="AE41" s="37"/>
      <c r="AF41" s="37"/>
      <c r="AG41" s="37"/>
    </row>
    <row r="42" spans="1:33" ht="15.75" customHeight="1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6"/>
      <c r="V42" s="1"/>
      <c r="W42" s="31"/>
      <c r="X42" s="31"/>
      <c r="Y42" s="31"/>
      <c r="Z42" s="31"/>
      <c r="AA42" s="2"/>
      <c r="AB42" s="31"/>
      <c r="AC42" s="31"/>
      <c r="AD42" s="31"/>
      <c r="AE42" s="37"/>
      <c r="AF42" s="37"/>
      <c r="AG42" s="37"/>
    </row>
    <row r="43" spans="1:33" ht="15.75" customHeight="1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6"/>
      <c r="V43" s="1"/>
      <c r="W43" s="31"/>
      <c r="X43" s="31"/>
      <c r="Y43" s="31"/>
      <c r="Z43" s="31"/>
      <c r="AA43" s="2"/>
      <c r="AB43" s="31"/>
      <c r="AC43" s="31"/>
      <c r="AD43" s="31"/>
      <c r="AE43" s="37"/>
      <c r="AF43" s="37"/>
      <c r="AG43" s="37"/>
    </row>
    <row r="44" spans="1:33" ht="15.75" customHeight="1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6"/>
      <c r="V44" s="1"/>
      <c r="W44" s="31"/>
      <c r="X44" s="31"/>
      <c r="Y44" s="31"/>
      <c r="Z44" s="31"/>
      <c r="AA44" s="2"/>
      <c r="AB44" s="31"/>
      <c r="AC44" s="31"/>
      <c r="AD44" s="31"/>
      <c r="AE44" s="37"/>
      <c r="AF44" s="37"/>
      <c r="AG44" s="37"/>
    </row>
    <row r="45" spans="1:33" ht="15.75" customHeight="1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6"/>
      <c r="V45" s="1"/>
      <c r="W45" s="31"/>
      <c r="X45" s="31"/>
      <c r="Y45" s="31"/>
      <c r="Z45" s="31"/>
      <c r="AA45" s="2"/>
      <c r="AB45" s="31"/>
      <c r="AC45" s="31"/>
      <c r="AD45" s="31"/>
      <c r="AE45" s="37"/>
      <c r="AF45" s="37"/>
      <c r="AG45" s="37"/>
    </row>
    <row r="46" spans="1:33" ht="15.75" customHeight="1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6"/>
      <c r="V46" s="1"/>
      <c r="W46" s="31"/>
      <c r="X46" s="31"/>
      <c r="Y46" s="31"/>
      <c r="Z46" s="31"/>
      <c r="AA46" s="2"/>
      <c r="AB46" s="31"/>
      <c r="AC46" s="31"/>
      <c r="AD46" s="31"/>
      <c r="AE46" s="37"/>
      <c r="AF46" s="37"/>
      <c r="AG46" s="37"/>
    </row>
    <row r="47" spans="1:33" ht="15.75" customHeight="1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6"/>
      <c r="V47" s="1"/>
      <c r="W47" s="31"/>
      <c r="X47" s="31"/>
      <c r="Y47" s="31"/>
      <c r="Z47" s="31"/>
      <c r="AA47" s="2"/>
      <c r="AB47" s="31"/>
      <c r="AC47" s="31"/>
      <c r="AD47" s="31"/>
      <c r="AE47" s="37"/>
      <c r="AF47" s="37"/>
      <c r="AG47" s="37"/>
    </row>
    <row r="48" spans="1:33" ht="15.75" customHeight="1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6"/>
      <c r="V48" s="1"/>
      <c r="W48" s="31"/>
      <c r="X48" s="31"/>
      <c r="Y48" s="31"/>
      <c r="Z48" s="31"/>
      <c r="AA48" s="2"/>
      <c r="AB48" s="31"/>
      <c r="AC48" s="31"/>
      <c r="AD48" s="31"/>
      <c r="AE48" s="37"/>
      <c r="AF48" s="37"/>
      <c r="AG48" s="37"/>
    </row>
    <row r="49" spans="1:33" ht="15.75" customHeight="1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6"/>
      <c r="V49" s="1"/>
      <c r="W49" s="31"/>
      <c r="X49" s="31"/>
      <c r="Y49" s="31"/>
      <c r="Z49" s="31"/>
      <c r="AA49" s="2"/>
      <c r="AB49" s="31"/>
      <c r="AC49" s="31"/>
      <c r="AD49" s="31"/>
      <c r="AE49" s="37"/>
      <c r="AF49" s="37"/>
      <c r="AG49" s="37"/>
    </row>
    <row r="50" spans="1:33" ht="15.75" customHeight="1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6"/>
      <c r="V50" s="1"/>
      <c r="W50" s="31"/>
      <c r="X50" s="31"/>
      <c r="Y50" s="31"/>
      <c r="Z50" s="31"/>
      <c r="AA50" s="2"/>
      <c r="AB50" s="31"/>
      <c r="AC50" s="31"/>
      <c r="AD50" s="31"/>
      <c r="AE50" s="37"/>
      <c r="AF50" s="37"/>
      <c r="AG50" s="37"/>
    </row>
    <row r="51" spans="1:33" ht="15.75" customHeight="1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6"/>
      <c r="V51" s="1"/>
      <c r="W51" s="31"/>
      <c r="X51" s="31"/>
      <c r="Y51" s="31"/>
      <c r="Z51" s="31"/>
      <c r="AA51" s="2"/>
      <c r="AB51" s="31"/>
      <c r="AC51" s="31"/>
      <c r="AD51" s="31"/>
      <c r="AE51" s="37"/>
      <c r="AF51" s="37"/>
      <c r="AG51" s="37"/>
    </row>
    <row r="52" spans="1:33" ht="15.75" customHeight="1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6"/>
      <c r="V52" s="1"/>
      <c r="W52" s="31"/>
      <c r="X52" s="31"/>
      <c r="Y52" s="31"/>
      <c r="Z52" s="31"/>
      <c r="AA52" s="2"/>
      <c r="AB52" s="31"/>
      <c r="AC52" s="31"/>
      <c r="AD52" s="31"/>
      <c r="AE52" s="37"/>
      <c r="AF52" s="37"/>
      <c r="AG52" s="37"/>
    </row>
    <row r="53" spans="1:33" ht="15.75" customHeight="1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6"/>
      <c r="V53" s="1"/>
      <c r="W53" s="31"/>
      <c r="X53" s="31"/>
      <c r="Y53" s="31"/>
      <c r="Z53" s="31"/>
      <c r="AA53" s="2"/>
      <c r="AB53" s="31"/>
      <c r="AC53" s="31"/>
      <c r="AD53" s="31"/>
      <c r="AE53" s="37"/>
      <c r="AF53" s="37"/>
      <c r="AG53" s="37"/>
    </row>
    <row r="54" spans="1:33" ht="15.75" customHeight="1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6"/>
      <c r="V54" s="1"/>
      <c r="W54" s="31"/>
      <c r="X54" s="31"/>
      <c r="Y54" s="31"/>
      <c r="Z54" s="31"/>
      <c r="AA54" s="2"/>
      <c r="AB54" s="31"/>
      <c r="AC54" s="31"/>
      <c r="AD54" s="31"/>
      <c r="AE54" s="37"/>
      <c r="AF54" s="37"/>
      <c r="AG54" s="37"/>
    </row>
    <row r="55" spans="1:33" ht="15.75" customHeight="1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6"/>
      <c r="V55" s="1"/>
      <c r="W55" s="31"/>
      <c r="X55" s="31"/>
      <c r="Y55" s="31"/>
      <c r="Z55" s="31"/>
      <c r="AA55" s="2"/>
      <c r="AB55" s="31"/>
      <c r="AC55" s="31"/>
      <c r="AD55" s="31"/>
      <c r="AE55" s="37"/>
      <c r="AF55" s="37"/>
      <c r="AG55" s="37"/>
    </row>
    <row r="56" spans="1:33" ht="15.75" customHeight="1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6"/>
      <c r="V56" s="1"/>
      <c r="W56" s="31"/>
      <c r="X56" s="31"/>
      <c r="Y56" s="31"/>
      <c r="Z56" s="31"/>
      <c r="AA56" s="2"/>
      <c r="AB56" s="31"/>
      <c r="AC56" s="31"/>
      <c r="AD56" s="31"/>
      <c r="AE56" s="37"/>
      <c r="AF56" s="37"/>
      <c r="AG56" s="37"/>
    </row>
    <row r="57" spans="1:33" ht="15.75" customHeight="1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6"/>
      <c r="V57" s="1"/>
      <c r="W57" s="31"/>
      <c r="X57" s="31"/>
      <c r="Y57" s="31"/>
      <c r="Z57" s="31"/>
      <c r="AA57" s="2"/>
      <c r="AB57" s="31"/>
      <c r="AC57" s="31"/>
      <c r="AD57" s="31"/>
      <c r="AE57" s="37"/>
      <c r="AF57" s="37"/>
      <c r="AG57" s="37"/>
    </row>
    <row r="58" spans="1:33" ht="15.75" customHeight="1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6"/>
      <c r="V58" s="1"/>
      <c r="W58" s="31"/>
      <c r="X58" s="31"/>
      <c r="Y58" s="31"/>
      <c r="Z58" s="31"/>
      <c r="AA58" s="2"/>
      <c r="AB58" s="31"/>
      <c r="AC58" s="31"/>
      <c r="AD58" s="31"/>
      <c r="AE58" s="37"/>
      <c r="AF58" s="37"/>
      <c r="AG58" s="37"/>
    </row>
    <row r="59" spans="1:33" ht="15.75" customHeight="1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6"/>
      <c r="V59" s="1"/>
      <c r="W59" s="31"/>
      <c r="X59" s="31"/>
      <c r="Y59" s="31"/>
      <c r="Z59" s="31"/>
      <c r="AA59" s="2"/>
      <c r="AB59" s="31"/>
      <c r="AC59" s="31"/>
      <c r="AD59" s="31"/>
      <c r="AE59" s="37"/>
      <c r="AF59" s="37"/>
      <c r="AG59" s="37"/>
    </row>
    <row r="60" spans="1:33" ht="15.75" customHeight="1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6"/>
      <c r="V60" s="1"/>
      <c r="W60" s="31"/>
      <c r="X60" s="31"/>
      <c r="Y60" s="31"/>
      <c r="Z60" s="31"/>
      <c r="AA60" s="2"/>
      <c r="AB60" s="31"/>
      <c r="AC60" s="31"/>
      <c r="AD60" s="31"/>
      <c r="AE60" s="37"/>
      <c r="AF60" s="37"/>
      <c r="AG60" s="37"/>
    </row>
    <row r="61" spans="1:33" ht="15.75" customHeight="1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6"/>
      <c r="V61" s="1"/>
      <c r="W61" s="31"/>
      <c r="X61" s="31"/>
      <c r="Y61" s="31"/>
      <c r="Z61" s="31"/>
      <c r="AA61" s="2"/>
      <c r="AB61" s="31"/>
      <c r="AC61" s="31"/>
      <c r="AD61" s="31"/>
      <c r="AE61" s="37"/>
      <c r="AF61" s="37"/>
      <c r="AG61" s="37"/>
    </row>
    <row r="62" spans="1:33" ht="15.75" customHeight="1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6"/>
      <c r="V62" s="1"/>
      <c r="W62" s="31"/>
      <c r="X62" s="31"/>
      <c r="Y62" s="31"/>
      <c r="Z62" s="31"/>
      <c r="AA62" s="2"/>
      <c r="AB62" s="31"/>
      <c r="AC62" s="31"/>
      <c r="AD62" s="31"/>
      <c r="AE62" s="37"/>
      <c r="AF62" s="37"/>
      <c r="AG62" s="37"/>
    </row>
    <row r="63" spans="1:33" ht="15.75" customHeight="1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6"/>
      <c r="V63" s="1"/>
      <c r="W63" s="31"/>
      <c r="X63" s="31"/>
      <c r="Y63" s="31"/>
      <c r="Z63" s="31"/>
      <c r="AA63" s="2"/>
      <c r="AB63" s="31"/>
      <c r="AC63" s="31"/>
      <c r="AD63" s="31"/>
      <c r="AE63" s="37"/>
      <c r="AF63" s="37"/>
      <c r="AG63" s="37"/>
    </row>
    <row r="64" spans="1:33" ht="15.75" customHeight="1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6"/>
      <c r="V64" s="1"/>
      <c r="W64" s="31"/>
      <c r="X64" s="31"/>
      <c r="Y64" s="31"/>
      <c r="Z64" s="31"/>
      <c r="AA64" s="2"/>
      <c r="AB64" s="31"/>
      <c r="AC64" s="31"/>
      <c r="AD64" s="31"/>
      <c r="AE64" s="37"/>
      <c r="AF64" s="37"/>
      <c r="AG64" s="37"/>
    </row>
    <row r="65" spans="1:33" ht="15.75" customHeight="1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6"/>
      <c r="V65" s="1"/>
      <c r="W65" s="31"/>
      <c r="X65" s="31"/>
      <c r="Y65" s="31"/>
      <c r="Z65" s="31"/>
      <c r="AA65" s="2"/>
      <c r="AB65" s="31"/>
      <c r="AC65" s="31"/>
      <c r="AD65" s="31"/>
      <c r="AE65" s="37"/>
      <c r="AF65" s="37"/>
      <c r="AG65" s="37"/>
    </row>
    <row r="66" spans="1:33" ht="15.75" customHeight="1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6"/>
      <c r="V66" s="1"/>
      <c r="W66" s="31"/>
      <c r="X66" s="31"/>
      <c r="Y66" s="31"/>
      <c r="Z66" s="31"/>
      <c r="AA66" s="2"/>
      <c r="AB66" s="31"/>
      <c r="AC66" s="31"/>
      <c r="AD66" s="31"/>
      <c r="AE66" s="37"/>
      <c r="AF66" s="37"/>
      <c r="AG66" s="37"/>
    </row>
    <row r="67" spans="1:33" ht="15.75" customHeight="1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6"/>
      <c r="V67" s="1"/>
      <c r="W67" s="31"/>
      <c r="X67" s="31"/>
      <c r="Y67" s="31"/>
      <c r="Z67" s="31"/>
      <c r="AA67" s="2"/>
      <c r="AB67" s="31"/>
      <c r="AC67" s="31"/>
      <c r="AD67" s="31"/>
      <c r="AE67" s="37"/>
      <c r="AF67" s="37"/>
      <c r="AG67" s="37"/>
    </row>
    <row r="68" spans="1:33" ht="15.75" customHeight="1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6"/>
      <c r="V68" s="1"/>
      <c r="W68" s="31"/>
      <c r="X68" s="31"/>
      <c r="Y68" s="31"/>
      <c r="Z68" s="31"/>
      <c r="AA68" s="2"/>
      <c r="AB68" s="31"/>
      <c r="AC68" s="31"/>
      <c r="AD68" s="31"/>
      <c r="AE68" s="37"/>
      <c r="AF68" s="37"/>
      <c r="AG68" s="37"/>
    </row>
    <row r="69" spans="1:33" ht="15.75" customHeight="1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6"/>
      <c r="V69" s="1"/>
      <c r="W69" s="31"/>
      <c r="X69" s="31"/>
      <c r="Y69" s="31"/>
      <c r="Z69" s="31"/>
      <c r="AA69" s="2"/>
      <c r="AB69" s="31"/>
      <c r="AC69" s="31"/>
      <c r="AD69" s="31"/>
      <c r="AE69" s="37"/>
      <c r="AF69" s="37"/>
      <c r="AG69" s="37"/>
    </row>
    <row r="70" spans="1:33" ht="15.75" customHeight="1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6"/>
      <c r="V70" s="1"/>
      <c r="W70" s="31"/>
      <c r="X70" s="31"/>
      <c r="Y70" s="31"/>
      <c r="Z70" s="31"/>
      <c r="AA70" s="2"/>
      <c r="AB70" s="31"/>
      <c r="AC70" s="31"/>
      <c r="AD70" s="31"/>
      <c r="AE70" s="37"/>
      <c r="AF70" s="37"/>
      <c r="AG70" s="37"/>
    </row>
    <row r="71" spans="1:33" ht="15.75" customHeight="1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6"/>
      <c r="V71" s="1"/>
      <c r="W71" s="31"/>
      <c r="X71" s="31"/>
      <c r="Y71" s="31"/>
      <c r="Z71" s="31"/>
      <c r="AA71" s="2"/>
      <c r="AB71" s="31"/>
      <c r="AC71" s="31"/>
      <c r="AD71" s="31"/>
      <c r="AE71" s="37"/>
      <c r="AF71" s="37"/>
      <c r="AG71" s="37"/>
    </row>
    <row r="72" spans="1:33" ht="15.75" customHeight="1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6"/>
      <c r="V72" s="1"/>
      <c r="W72" s="31"/>
      <c r="X72" s="31"/>
      <c r="Y72" s="31"/>
      <c r="Z72" s="31"/>
      <c r="AA72" s="2"/>
      <c r="AB72" s="31"/>
      <c r="AC72" s="31"/>
      <c r="AD72" s="31"/>
      <c r="AE72" s="37"/>
      <c r="AF72" s="37"/>
      <c r="AG72" s="37"/>
    </row>
    <row r="73" spans="1:33" ht="15.75" customHeight="1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6"/>
      <c r="V73" s="1"/>
      <c r="W73" s="31"/>
      <c r="X73" s="31"/>
      <c r="Y73" s="31"/>
      <c r="Z73" s="31"/>
      <c r="AA73" s="2"/>
      <c r="AB73" s="31"/>
      <c r="AC73" s="31"/>
      <c r="AD73" s="31"/>
      <c r="AE73" s="37"/>
      <c r="AF73" s="37"/>
      <c r="AG73" s="37"/>
    </row>
    <row r="74" spans="1:33" ht="15.75" customHeight="1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6"/>
      <c r="V74" s="1"/>
      <c r="W74" s="31"/>
      <c r="X74" s="31"/>
      <c r="Y74" s="31"/>
      <c r="Z74" s="31"/>
      <c r="AA74" s="2"/>
      <c r="AB74" s="31"/>
      <c r="AC74" s="31"/>
      <c r="AD74" s="31"/>
      <c r="AE74" s="37"/>
      <c r="AF74" s="37"/>
      <c r="AG74" s="37"/>
    </row>
    <row r="75" spans="1:33" ht="15.75" customHeight="1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6"/>
      <c r="V75" s="1"/>
      <c r="W75" s="31"/>
      <c r="X75" s="31"/>
      <c r="Y75" s="31"/>
      <c r="Z75" s="31"/>
      <c r="AA75" s="2"/>
      <c r="AB75" s="31"/>
      <c r="AC75" s="31"/>
      <c r="AD75" s="31"/>
      <c r="AE75" s="37"/>
      <c r="AF75" s="37"/>
      <c r="AG75" s="37"/>
    </row>
    <row r="76" spans="1:33" ht="15.75" customHeight="1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6"/>
      <c r="V76" s="1"/>
      <c r="W76" s="31"/>
      <c r="X76" s="31"/>
      <c r="Y76" s="31"/>
      <c r="Z76" s="31"/>
      <c r="AA76" s="2"/>
      <c r="AB76" s="31"/>
      <c r="AC76" s="31"/>
      <c r="AD76" s="31"/>
      <c r="AE76" s="37"/>
      <c r="AF76" s="37"/>
      <c r="AG76" s="37"/>
    </row>
    <row r="77" spans="1:33" ht="15.75" customHeight="1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6"/>
      <c r="V77" s="1"/>
      <c r="W77" s="31"/>
      <c r="X77" s="31"/>
      <c r="Y77" s="31"/>
      <c r="Z77" s="31"/>
      <c r="AA77" s="2"/>
      <c r="AB77" s="31"/>
      <c r="AC77" s="31"/>
      <c r="AD77" s="31"/>
      <c r="AE77" s="37"/>
      <c r="AF77" s="37"/>
      <c r="AG77" s="37"/>
    </row>
    <row r="78" spans="1:33" ht="15.75" customHeight="1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6"/>
      <c r="V78" s="1"/>
      <c r="W78" s="31"/>
      <c r="X78" s="31"/>
      <c r="Y78" s="31"/>
      <c r="Z78" s="31"/>
      <c r="AA78" s="2"/>
      <c r="AB78" s="31"/>
      <c r="AC78" s="31"/>
      <c r="AD78" s="31"/>
      <c r="AE78" s="37"/>
      <c r="AF78" s="37"/>
      <c r="AG78" s="37"/>
    </row>
    <row r="79" spans="1:33" ht="15.75" customHeight="1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6"/>
      <c r="V79" s="1"/>
      <c r="W79" s="31"/>
      <c r="X79" s="31"/>
      <c r="Y79" s="31"/>
      <c r="Z79" s="31"/>
      <c r="AA79" s="2"/>
      <c r="AB79" s="31"/>
      <c r="AC79" s="31"/>
      <c r="AD79" s="31"/>
      <c r="AE79" s="37"/>
      <c r="AF79" s="37"/>
      <c r="AG79" s="37"/>
    </row>
    <row r="80" spans="1:33" ht="15.75" customHeight="1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6"/>
      <c r="V80" s="1"/>
      <c r="W80" s="31"/>
      <c r="X80" s="31"/>
      <c r="Y80" s="31"/>
      <c r="Z80" s="31"/>
      <c r="AA80" s="2"/>
      <c r="AB80" s="31"/>
      <c r="AC80" s="31"/>
      <c r="AD80" s="31"/>
      <c r="AE80" s="37"/>
      <c r="AF80" s="37"/>
      <c r="AG80" s="37"/>
    </row>
    <row r="81" spans="1:33" ht="15.75" customHeight="1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6"/>
      <c r="V81" s="1"/>
      <c r="W81" s="31"/>
      <c r="X81" s="31"/>
      <c r="Y81" s="31"/>
      <c r="Z81" s="31"/>
      <c r="AA81" s="2"/>
      <c r="AB81" s="31"/>
      <c r="AC81" s="31"/>
      <c r="AD81" s="31"/>
      <c r="AE81" s="37"/>
      <c r="AF81" s="37"/>
      <c r="AG81" s="37"/>
    </row>
    <row r="82" spans="1:33" ht="15.75" customHeight="1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6"/>
      <c r="V82" s="1"/>
      <c r="W82" s="31"/>
      <c r="X82" s="31"/>
      <c r="Y82" s="31"/>
      <c r="Z82" s="31"/>
      <c r="AA82" s="2"/>
      <c r="AB82" s="31"/>
      <c r="AC82" s="31"/>
      <c r="AD82" s="31"/>
      <c r="AE82" s="37"/>
      <c r="AF82" s="37"/>
      <c r="AG82" s="37"/>
    </row>
    <row r="83" spans="1:33" ht="15.75" customHeight="1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6"/>
      <c r="V83" s="1"/>
      <c r="W83" s="31"/>
      <c r="X83" s="31"/>
      <c r="Y83" s="31"/>
      <c r="Z83" s="31"/>
      <c r="AA83" s="2"/>
      <c r="AB83" s="31"/>
      <c r="AC83" s="31"/>
      <c r="AD83" s="31"/>
      <c r="AE83" s="37"/>
      <c r="AF83" s="37"/>
      <c r="AG83" s="37"/>
    </row>
    <row r="84" spans="1:33" ht="15.75" customHeight="1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6"/>
      <c r="V84" s="1"/>
      <c r="W84" s="31"/>
      <c r="X84" s="31"/>
      <c r="Y84" s="31"/>
      <c r="Z84" s="31"/>
      <c r="AA84" s="2"/>
      <c r="AB84" s="31"/>
      <c r="AC84" s="31"/>
      <c r="AD84" s="31"/>
      <c r="AE84" s="37"/>
      <c r="AF84" s="37"/>
      <c r="AG84" s="37"/>
    </row>
    <row r="85" spans="1:33" ht="15.75" customHeight="1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6"/>
      <c r="V85" s="1"/>
      <c r="W85" s="31"/>
      <c r="X85" s="31"/>
      <c r="Y85" s="31"/>
      <c r="Z85" s="31"/>
      <c r="AA85" s="2"/>
      <c r="AB85" s="31"/>
      <c r="AC85" s="31"/>
      <c r="AD85" s="31"/>
      <c r="AE85" s="37"/>
      <c r="AF85" s="37"/>
      <c r="AG85" s="37"/>
    </row>
    <row r="86" spans="1:33" ht="15.75" customHeight="1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6"/>
      <c r="V86" s="1"/>
      <c r="W86" s="31"/>
      <c r="X86" s="31"/>
      <c r="Y86" s="31"/>
      <c r="Z86" s="31"/>
      <c r="AA86" s="2"/>
      <c r="AB86" s="31"/>
      <c r="AC86" s="31"/>
      <c r="AD86" s="31"/>
      <c r="AE86" s="37"/>
      <c r="AF86" s="37"/>
      <c r="AG86" s="37"/>
    </row>
    <row r="87" spans="1:33" ht="15.75" customHeight="1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6"/>
      <c r="V87" s="1"/>
      <c r="W87" s="31"/>
      <c r="X87" s="31"/>
      <c r="Y87" s="31"/>
      <c r="Z87" s="31"/>
      <c r="AA87" s="2"/>
      <c r="AB87" s="31"/>
      <c r="AC87" s="31"/>
      <c r="AD87" s="31"/>
      <c r="AE87" s="37"/>
      <c r="AF87" s="37"/>
      <c r="AG87" s="37"/>
    </row>
    <row r="88" spans="1:33" ht="15.75" customHeight="1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6"/>
      <c r="V88" s="1"/>
      <c r="W88" s="31"/>
      <c r="X88" s="31"/>
      <c r="Y88" s="31"/>
      <c r="Z88" s="31"/>
      <c r="AA88" s="2"/>
      <c r="AB88" s="31"/>
      <c r="AC88" s="31"/>
      <c r="AD88" s="31"/>
      <c r="AE88" s="37"/>
      <c r="AF88" s="37"/>
      <c r="AG88" s="37"/>
    </row>
    <row r="89" spans="1:33" ht="15.75" customHeight="1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6"/>
      <c r="V89" s="1"/>
      <c r="W89" s="31"/>
      <c r="X89" s="31"/>
      <c r="Y89" s="31"/>
      <c r="Z89" s="31"/>
      <c r="AA89" s="2"/>
      <c r="AB89" s="31"/>
      <c r="AC89" s="31"/>
      <c r="AD89" s="31"/>
      <c r="AE89" s="37"/>
      <c r="AF89" s="37"/>
      <c r="AG89" s="37"/>
    </row>
    <row r="90" spans="1:33" ht="15.75" customHeight="1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6"/>
      <c r="V90" s="1"/>
      <c r="W90" s="31"/>
      <c r="X90" s="31"/>
      <c r="Y90" s="31"/>
      <c r="Z90" s="31"/>
      <c r="AA90" s="2"/>
      <c r="AB90" s="31"/>
      <c r="AC90" s="31"/>
      <c r="AD90" s="31"/>
      <c r="AE90" s="37"/>
      <c r="AF90" s="37"/>
      <c r="AG90" s="37"/>
    </row>
    <row r="91" spans="1:33" ht="15.75" customHeight="1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6"/>
      <c r="V91" s="1"/>
      <c r="W91" s="31"/>
      <c r="X91" s="31"/>
      <c r="Y91" s="31"/>
      <c r="Z91" s="31"/>
      <c r="AA91" s="2"/>
      <c r="AB91" s="31"/>
      <c r="AC91" s="31"/>
      <c r="AD91" s="31"/>
      <c r="AE91" s="37"/>
      <c r="AF91" s="37"/>
      <c r="AG91" s="37"/>
    </row>
    <row r="92" spans="1:33" ht="15.75" customHeight="1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6"/>
      <c r="V92" s="1"/>
      <c r="W92" s="31"/>
      <c r="X92" s="31"/>
      <c r="Y92" s="31"/>
      <c r="Z92" s="31"/>
      <c r="AA92" s="2"/>
      <c r="AB92" s="31"/>
      <c r="AC92" s="31"/>
      <c r="AD92" s="31"/>
      <c r="AE92" s="37"/>
      <c r="AF92" s="37"/>
      <c r="AG92" s="37"/>
    </row>
    <row r="93" spans="1:33" ht="15.75" customHeight="1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6"/>
      <c r="V93" s="1"/>
      <c r="W93" s="31"/>
      <c r="X93" s="31"/>
      <c r="Y93" s="31"/>
      <c r="Z93" s="31"/>
      <c r="AA93" s="2"/>
      <c r="AB93" s="31"/>
      <c r="AC93" s="31"/>
      <c r="AD93" s="31"/>
      <c r="AE93" s="37"/>
      <c r="AF93" s="37"/>
      <c r="AG93" s="37"/>
    </row>
    <row r="94" spans="1:33" ht="15.75" customHeight="1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6"/>
      <c r="V94" s="1"/>
      <c r="W94" s="31"/>
      <c r="X94" s="31"/>
      <c r="Y94" s="31"/>
      <c r="Z94" s="31"/>
      <c r="AA94" s="2"/>
      <c r="AB94" s="31"/>
      <c r="AC94" s="31"/>
      <c r="AD94" s="31"/>
      <c r="AE94" s="37"/>
      <c r="AF94" s="37"/>
      <c r="AG94" s="37"/>
    </row>
    <row r="95" spans="1:33" ht="15.75" customHeight="1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6"/>
      <c r="V95" s="1"/>
      <c r="W95" s="31"/>
      <c r="X95" s="31"/>
      <c r="Y95" s="31"/>
      <c r="Z95" s="31"/>
      <c r="AA95" s="2"/>
      <c r="AB95" s="31"/>
      <c r="AC95" s="31"/>
      <c r="AD95" s="31"/>
      <c r="AE95" s="37"/>
      <c r="AF95" s="37"/>
      <c r="AG95" s="37"/>
    </row>
    <row r="96" spans="1:33" ht="15.75" customHeight="1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6"/>
      <c r="V96" s="1"/>
      <c r="W96" s="31"/>
      <c r="X96" s="31"/>
      <c r="Y96" s="31"/>
      <c r="Z96" s="31"/>
      <c r="AA96" s="2"/>
      <c r="AB96" s="31"/>
      <c r="AC96" s="31"/>
      <c r="AD96" s="31"/>
      <c r="AE96" s="37"/>
      <c r="AF96" s="37"/>
      <c r="AG96" s="37"/>
    </row>
    <row r="97" spans="1:33" ht="15.75" customHeight="1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8"/>
      <c r="R97" s="38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8"/>
      <c r="R98" s="38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8"/>
      <c r="R99" s="38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8"/>
      <c r="R100" s="38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8"/>
      <c r="R101" s="38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8"/>
      <c r="R102" s="38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8"/>
      <c r="R103" s="38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8"/>
      <c r="R104" s="38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8"/>
      <c r="R105" s="38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8"/>
      <c r="R106" s="38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8"/>
      <c r="R107" s="38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8"/>
      <c r="R108" s="38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8"/>
      <c r="R109" s="38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8"/>
      <c r="R110" s="38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8"/>
      <c r="R111" s="38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8"/>
      <c r="R112" s="38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8"/>
      <c r="R113" s="38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8"/>
      <c r="R114" s="38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>
      <c r="A115" s="31"/>
      <c r="B115" s="31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>
      <c r="A116" s="31"/>
      <c r="B116" s="31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>
      <c r="A117" s="31"/>
      <c r="B117" s="31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>
      <c r="A118" s="31"/>
      <c r="B118" s="31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>
      <c r="A119" s="31"/>
      <c r="B119" s="31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>
      <c r="A120" s="31"/>
      <c r="B120" s="31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>
      <c r="A121" s="31"/>
      <c r="B121" s="31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>
      <c r="A122" s="31"/>
      <c r="B122" s="31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>
      <c r="A123" s="31"/>
      <c r="B123" s="31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>
      <c r="A124" s="31"/>
      <c r="B124" s="31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>
      <c r="A125" s="31"/>
      <c r="B125" s="31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>
      <c r="A126" s="31"/>
      <c r="B126" s="31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>
      <c r="A127" s="31"/>
      <c r="B127" s="31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>
      <c r="A128" s="31"/>
      <c r="B128" s="31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>
      <c r="A129" s="31"/>
      <c r="B129" s="31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>
      <c r="A130" s="31"/>
      <c r="B130" s="31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>
      <c r="A131" s="31"/>
      <c r="B131" s="31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>
      <c r="A132" s="31"/>
      <c r="B132" s="31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>
      <c r="A133" s="31"/>
      <c r="B133" s="31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>
      <c r="A134" s="31"/>
      <c r="B134" s="31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>
      <c r="A135" s="31"/>
      <c r="B135" s="31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>
      <c r="A136" s="31"/>
      <c r="B136" s="31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>
      <c r="A137" s="31"/>
      <c r="B137" s="31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>
      <c r="A138" s="31"/>
      <c r="B138" s="31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>
      <c r="A139" s="31"/>
      <c r="B139" s="31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>
      <c r="A140" s="31"/>
      <c r="B140" s="31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>
      <c r="A141" s="31"/>
      <c r="B141" s="31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2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>
      <c r="A142" s="31"/>
      <c r="B142" s="31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2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>
      <c r="A143" s="31"/>
      <c r="B143" s="31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2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>
      <c r="A144" s="31"/>
      <c r="B144" s="31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2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>
      <c r="A145" s="31"/>
      <c r="B145" s="31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2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>
      <c r="A146" s="31"/>
      <c r="B146" s="31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2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>
      <c r="A147" s="31"/>
      <c r="B147" s="31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2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>
      <c r="A148" s="31"/>
      <c r="B148" s="31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2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</row>
    <row r="149" spans="1:33" ht="15.75" customHeight="1">
      <c r="A149" s="14"/>
      <c r="B149" s="14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>
      <c r="A150" s="14"/>
      <c r="B150" s="14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>
      <c r="A151" s="14"/>
      <c r="B151" s="14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>
      <c r="A152" s="14"/>
      <c r="B152" s="14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>
      <c r="A153" s="14"/>
      <c r="B153" s="14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>
      <c r="A154" s="14"/>
      <c r="B154" s="14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>
      <c r="A155" s="14"/>
      <c r="B155" s="14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>
      <c r="A156" s="14"/>
      <c r="B156" s="14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>
      <c r="A157" s="14"/>
      <c r="B157" s="14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>
      <c r="A158" s="14"/>
      <c r="B158" s="14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>
      <c r="A159" s="14"/>
      <c r="B159" s="14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>
      <c r="A160" s="14"/>
      <c r="B160" s="14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>
      <c r="A161" s="14"/>
      <c r="B161" s="14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>
      <c r="A162" s="14"/>
      <c r="B162" s="14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>
      <c r="A163" s="14"/>
      <c r="B163" s="14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>
      <c r="A164" s="14"/>
      <c r="B164" s="14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>
      <c r="A165" s="14"/>
      <c r="B165" s="14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>
      <c r="A166" s="14"/>
      <c r="B166" s="14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>
      <c r="A167" s="14"/>
      <c r="B167" s="14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>
      <c r="A168" s="14"/>
      <c r="B168" s="14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>
      <c r="A169" s="14"/>
      <c r="B169" s="14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>
      <c r="A170" s="14"/>
      <c r="B170" s="14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>
      <c r="A171" s="14"/>
      <c r="B171" s="14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>
      <c r="A172" s="14"/>
      <c r="B172" s="14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>
      <c r="A173" s="14"/>
      <c r="B173" s="14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>
      <c r="A174" s="14"/>
      <c r="B174" s="14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>
      <c r="A175" s="14"/>
      <c r="B175" s="14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>
      <c r="A176" s="14"/>
      <c r="B176" s="14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>
      <c r="A177" s="14"/>
      <c r="B177" s="14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>
      <c r="A178" s="14"/>
      <c r="B178" s="14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>
      <c r="A179" s="14"/>
      <c r="B179" s="14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>
      <c r="A180" s="14"/>
      <c r="B180" s="14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>
      <c r="A181" s="14"/>
      <c r="B181" s="14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>
      <c r="A182" s="14"/>
      <c r="B182" s="14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>
      <c r="A183" s="14"/>
      <c r="B183" s="14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>
      <c r="A184" s="14"/>
      <c r="B184" s="14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>
      <c r="A185" s="14"/>
      <c r="B185" s="14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>
      <c r="A186" s="14"/>
      <c r="B186" s="14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>
      <c r="A187" s="14"/>
      <c r="B187" s="14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>
      <c r="A188" s="14"/>
      <c r="B188" s="14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>
      <c r="A189" s="14"/>
      <c r="B189" s="14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>
      <c r="A190" s="14"/>
      <c r="B190" s="14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>
      <c r="A191" s="14"/>
      <c r="B191" s="14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>
      <c r="A192" s="14"/>
      <c r="B192" s="14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>
      <c r="A193" s="14"/>
      <c r="B193" s="14"/>
      <c r="C193" s="39"/>
      <c r="D193" s="39"/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>
      <c r="A194" s="14"/>
      <c r="B194" s="14"/>
      <c r="C194" s="39"/>
      <c r="D194" s="39"/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>
      <c r="A195" s="14"/>
      <c r="B195" s="14"/>
      <c r="C195" s="39"/>
      <c r="D195" s="39"/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>
      <c r="A196" s="14"/>
      <c r="B196" s="14"/>
      <c r="C196" s="39"/>
      <c r="D196" s="39"/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>
      <c r="A197" s="14"/>
      <c r="B197" s="14"/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>
      <c r="A198" s="14"/>
      <c r="B198" s="14"/>
      <c r="C198" s="39"/>
      <c r="D198" s="39"/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>
      <c r="A199" s="14"/>
      <c r="B199" s="14"/>
      <c r="C199" s="39"/>
      <c r="D199" s="39"/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>
      <c r="A200" s="14"/>
      <c r="B200" s="14"/>
      <c r="C200" s="39"/>
      <c r="D200" s="39"/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>
      <c r="A201" s="14"/>
      <c r="B201" s="14"/>
      <c r="C201" s="39"/>
      <c r="D201" s="39"/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>
      <c r="A202" s="14"/>
      <c r="B202" s="14"/>
      <c r="C202" s="39"/>
      <c r="D202" s="39"/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>
      <c r="A203" s="14"/>
      <c r="B203" s="14"/>
      <c r="C203" s="39"/>
      <c r="D203" s="39"/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>
      <c r="A204" s="14"/>
      <c r="B204" s="14"/>
      <c r="C204" s="39"/>
      <c r="D204" s="39"/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>
      <c r="A205" s="14"/>
      <c r="B205" s="14"/>
      <c r="C205" s="39"/>
      <c r="D205" s="39"/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>
      <c r="A206" s="14"/>
      <c r="B206" s="14"/>
      <c r="C206" s="39"/>
      <c r="D206" s="39"/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>
      <c r="A207" s="14"/>
      <c r="B207" s="14"/>
      <c r="C207" s="39"/>
      <c r="D207" s="39"/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>
      <c r="A208" s="14"/>
      <c r="B208" s="14"/>
      <c r="C208" s="39"/>
      <c r="D208" s="39"/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>
      <c r="A209" s="14"/>
      <c r="B209" s="14"/>
      <c r="C209" s="39"/>
      <c r="D209" s="39"/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>
      <c r="A210" s="14"/>
      <c r="B210" s="14"/>
      <c r="C210" s="39"/>
      <c r="D210" s="39"/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>
      <c r="A211" s="14"/>
      <c r="B211" s="14"/>
      <c r="C211" s="39"/>
      <c r="D211" s="39"/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>
      <c r="A212" s="14"/>
      <c r="B212" s="14"/>
      <c r="C212" s="39"/>
      <c r="D212" s="39"/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>
      <c r="A213" s="14"/>
      <c r="B213" s="14"/>
      <c r="C213" s="39"/>
      <c r="D213" s="39"/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>
      <c r="A214" s="14"/>
      <c r="B214" s="14"/>
      <c r="C214" s="39"/>
      <c r="D214" s="39"/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>
      <c r="A215" s="14"/>
      <c r="B215" s="14"/>
      <c r="C215" s="39"/>
      <c r="D215" s="39"/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>
      <c r="A216" s="14"/>
      <c r="B216" s="14"/>
      <c r="C216" s="39"/>
      <c r="D216" s="39"/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>
      <c r="A217" s="14"/>
      <c r="B217" s="14"/>
      <c r="C217" s="39"/>
      <c r="D217" s="39"/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>
      <c r="A218" s="14"/>
      <c r="B218" s="14"/>
      <c r="C218" s="39"/>
      <c r="D218" s="39"/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>
      <c r="A219" s="14"/>
      <c r="B219" s="14"/>
      <c r="C219" s="39"/>
      <c r="D219" s="39"/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>
      <c r="A220" s="14"/>
      <c r="B220" s="14"/>
      <c r="C220" s="39"/>
      <c r="D220" s="39"/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>
      <c r="R221" s="30"/>
      <c r="S221" s="40"/>
    </row>
    <row r="222" spans="1:33" ht="15.75" customHeight="1">
      <c r="R222" s="30"/>
      <c r="S222" s="40"/>
    </row>
    <row r="223" spans="1:33" ht="15.75" customHeight="1">
      <c r="R223" s="30"/>
      <c r="S223" s="40"/>
    </row>
    <row r="224" spans="1:33" ht="15.75" customHeight="1">
      <c r="R224" s="30"/>
      <c r="S224" s="40"/>
    </row>
    <row r="225" spans="18:18" ht="15.75" customHeight="1">
      <c r="R225" s="30"/>
    </row>
    <row r="226" spans="18:18" ht="15.75" customHeight="1">
      <c r="R226" s="30"/>
    </row>
    <row r="227" spans="18:18" ht="15.75" customHeight="1">
      <c r="R227" s="30"/>
    </row>
    <row r="228" spans="18:18" ht="15.75" customHeight="1">
      <c r="R228" s="30"/>
    </row>
    <row r="229" spans="18:18" ht="15.75" customHeight="1">
      <c r="R229" s="30"/>
    </row>
    <row r="230" spans="18:18" ht="15.75" customHeight="1">
      <c r="R230" s="30"/>
    </row>
    <row r="231" spans="18:18" ht="15.75" customHeight="1">
      <c r="R231" s="30"/>
    </row>
    <row r="232" spans="18:18" ht="15.75" customHeight="1">
      <c r="R232" s="30"/>
    </row>
    <row r="233" spans="18:18" ht="15.75" customHeight="1">
      <c r="R233" s="30"/>
    </row>
    <row r="234" spans="18:18" ht="15.75" customHeight="1">
      <c r="R234" s="30"/>
    </row>
    <row r="235" spans="18:18" ht="15.75" customHeight="1">
      <c r="R235" s="30"/>
    </row>
    <row r="236" spans="18:18" ht="15.75" customHeight="1">
      <c r="R236" s="30"/>
    </row>
    <row r="237" spans="18:18" ht="15.75" customHeight="1">
      <c r="R237" s="30"/>
    </row>
    <row r="238" spans="18:18" ht="15.75" customHeight="1">
      <c r="R238" s="30"/>
    </row>
    <row r="239" spans="18:18" ht="15.75" customHeight="1">
      <c r="R239" s="30"/>
    </row>
    <row r="240" spans="18:18" ht="15.75" customHeight="1">
      <c r="R240" s="30"/>
    </row>
    <row r="241" spans="18:18" ht="15.75" customHeight="1">
      <c r="R241" s="30"/>
    </row>
    <row r="242" spans="18:18" ht="15.75" customHeight="1">
      <c r="R242" s="30"/>
    </row>
    <row r="243" spans="18:18" ht="15.75" customHeight="1">
      <c r="R243" s="30"/>
    </row>
    <row r="244" spans="18:18" ht="15.75" customHeight="1">
      <c r="R244" s="30"/>
    </row>
    <row r="245" spans="18:18" ht="15.75" customHeight="1">
      <c r="R245" s="30"/>
    </row>
    <row r="246" spans="18:18" ht="15.75" customHeight="1">
      <c r="R246" s="30"/>
    </row>
    <row r="247" spans="18:18" ht="15.75" customHeight="1">
      <c r="R247" s="30"/>
    </row>
    <row r="248" spans="18:18" ht="15.75" customHeight="1">
      <c r="R248" s="30"/>
    </row>
    <row r="249" spans="18:18" ht="15.75" customHeight="1">
      <c r="R249" s="30"/>
    </row>
    <row r="250" spans="18:18" ht="15.75" customHeight="1">
      <c r="R250" s="30"/>
    </row>
    <row r="251" spans="18:18" ht="15.75" customHeight="1">
      <c r="R251" s="30"/>
    </row>
    <row r="252" spans="18:18" ht="15.75" customHeight="1">
      <c r="R252" s="30"/>
    </row>
    <row r="253" spans="18:18" ht="15.75" customHeight="1">
      <c r="R253" s="30"/>
    </row>
    <row r="254" spans="18:18" ht="15.75" customHeight="1">
      <c r="R254" s="30"/>
    </row>
    <row r="255" spans="18:18" ht="15.75" customHeight="1">
      <c r="R255" s="30"/>
    </row>
    <row r="256" spans="18:18" ht="15.75" customHeight="1">
      <c r="R256" s="30"/>
    </row>
    <row r="257" spans="18:18" ht="15.75" customHeight="1">
      <c r="R257" s="30"/>
    </row>
    <row r="258" spans="18:18" ht="15.75" customHeight="1">
      <c r="R258" s="30"/>
    </row>
    <row r="259" spans="18:18" ht="15.75" customHeight="1">
      <c r="R259" s="30"/>
    </row>
    <row r="260" spans="18:18" ht="15.75" customHeight="1">
      <c r="R260" s="30"/>
    </row>
    <row r="261" spans="18:18" ht="15.75" customHeight="1">
      <c r="R261" s="30"/>
    </row>
    <row r="262" spans="18:18" ht="15.75" customHeight="1">
      <c r="R262" s="30"/>
    </row>
    <row r="263" spans="18:18" ht="15.75" customHeight="1">
      <c r="R263" s="30"/>
    </row>
    <row r="264" spans="18:18" ht="15.75" customHeight="1">
      <c r="R264" s="30"/>
    </row>
    <row r="265" spans="18:18" ht="15.75" customHeight="1">
      <c r="R265" s="30"/>
    </row>
    <row r="266" spans="18:18" ht="15.75" customHeight="1">
      <c r="R266" s="30"/>
    </row>
    <row r="267" spans="18:18" ht="15.75" customHeight="1">
      <c r="R267" s="30"/>
    </row>
    <row r="268" spans="18:18" ht="15.75" customHeight="1">
      <c r="R268" s="30"/>
    </row>
    <row r="269" spans="18:18" ht="15.75" customHeight="1">
      <c r="R269" s="30"/>
    </row>
    <row r="270" spans="18:18" ht="15.75" customHeight="1">
      <c r="R270" s="30"/>
    </row>
    <row r="271" spans="18:18" ht="15.75" customHeight="1">
      <c r="R271" s="30"/>
    </row>
    <row r="272" spans="18:18" ht="15.75" customHeight="1">
      <c r="R272" s="30"/>
    </row>
    <row r="273" spans="18:18" ht="15.75" customHeight="1">
      <c r="R273" s="30"/>
    </row>
    <row r="274" spans="18:18" ht="15.75" customHeight="1">
      <c r="R274" s="30"/>
    </row>
    <row r="275" spans="18:18" ht="15.75" customHeight="1">
      <c r="R275" s="30"/>
    </row>
    <row r="276" spans="18:18" ht="15.75" customHeight="1">
      <c r="R276" s="30"/>
    </row>
    <row r="277" spans="18:18" ht="15.75" customHeight="1">
      <c r="R277" s="30"/>
    </row>
    <row r="278" spans="18:18" ht="15.75" customHeight="1">
      <c r="R278" s="30"/>
    </row>
    <row r="279" spans="18:18" ht="15.75" customHeight="1">
      <c r="R279" s="30"/>
    </row>
    <row r="280" spans="18:18" ht="15.75" customHeight="1">
      <c r="R280" s="30"/>
    </row>
    <row r="281" spans="18:18" ht="15.75" customHeight="1">
      <c r="R281" s="30"/>
    </row>
    <row r="282" spans="18:18" ht="15.75" customHeight="1">
      <c r="R282" s="30"/>
    </row>
    <row r="283" spans="18:18" ht="15.75" customHeight="1">
      <c r="R283" s="30"/>
    </row>
    <row r="284" spans="18:18" ht="15.75" customHeight="1">
      <c r="R284" s="30"/>
    </row>
    <row r="285" spans="18:18" ht="15.75" customHeight="1">
      <c r="R285" s="30"/>
    </row>
    <row r="286" spans="18:18" ht="15.75" customHeight="1">
      <c r="R286" s="30"/>
    </row>
    <row r="287" spans="18:18" ht="15.75" customHeight="1">
      <c r="R287" s="30"/>
    </row>
    <row r="288" spans="18:18" ht="15.75" customHeight="1">
      <c r="R288" s="30"/>
    </row>
    <row r="289" spans="18:18" ht="15.75" customHeight="1">
      <c r="R289" s="30"/>
    </row>
    <row r="290" spans="18:18" ht="15.75" customHeight="1">
      <c r="R290" s="30"/>
    </row>
    <row r="291" spans="18:18" ht="15.75" customHeight="1">
      <c r="R291" s="30"/>
    </row>
    <row r="292" spans="18:18" ht="15.75" customHeight="1">
      <c r="R292" s="30"/>
    </row>
    <row r="293" spans="18:18" ht="15.75" customHeight="1">
      <c r="R293" s="30"/>
    </row>
    <row r="294" spans="18:18" ht="15.75" customHeight="1">
      <c r="R294" s="30"/>
    </row>
    <row r="295" spans="18:18" ht="15.75" customHeight="1">
      <c r="R295" s="30"/>
    </row>
    <row r="296" spans="18:18" ht="15.75" customHeight="1">
      <c r="R296" s="30"/>
    </row>
    <row r="297" spans="18:18" ht="15.75" customHeight="1">
      <c r="R297" s="30"/>
    </row>
    <row r="298" spans="18:18" ht="15.75" customHeight="1">
      <c r="R298" s="30"/>
    </row>
    <row r="299" spans="18:18" ht="15.75" customHeight="1">
      <c r="R299" s="30"/>
    </row>
    <row r="300" spans="18:18" ht="15.75" customHeight="1">
      <c r="R300" s="30"/>
    </row>
    <row r="301" spans="18:18" ht="15.75" customHeight="1">
      <c r="R301" s="30"/>
    </row>
    <row r="302" spans="18:18" ht="15.75" customHeight="1">
      <c r="R302" s="30"/>
    </row>
    <row r="303" spans="18:18" ht="15.75" customHeight="1">
      <c r="R303" s="30"/>
    </row>
    <row r="304" spans="18:18" ht="15.75" customHeight="1">
      <c r="R304" s="30"/>
    </row>
    <row r="305" spans="18:18" ht="15.75" customHeight="1">
      <c r="R305" s="30"/>
    </row>
    <row r="306" spans="18:18" ht="15.75" customHeight="1">
      <c r="R306" s="30"/>
    </row>
    <row r="307" spans="18:18" ht="15.75" customHeight="1">
      <c r="R307" s="30"/>
    </row>
    <row r="308" spans="18:18" ht="15.75" customHeight="1">
      <c r="R308" s="30"/>
    </row>
    <row r="309" spans="18:18" ht="15.75" customHeight="1">
      <c r="R309" s="30"/>
    </row>
    <row r="310" spans="18:18" ht="15.75" customHeight="1">
      <c r="R310" s="30"/>
    </row>
    <row r="311" spans="18:18" ht="15.75" customHeight="1">
      <c r="R311" s="30"/>
    </row>
    <row r="312" spans="18:18" ht="15.75" customHeight="1">
      <c r="R312" s="30"/>
    </row>
    <row r="313" spans="18:18" ht="15.75" customHeight="1">
      <c r="R313" s="30"/>
    </row>
    <row r="314" spans="18:18" ht="15.75" customHeight="1">
      <c r="R314" s="30"/>
    </row>
    <row r="315" spans="18:18" ht="15.75" customHeight="1">
      <c r="R315" s="30"/>
    </row>
    <row r="316" spans="18:18" ht="15.75" customHeight="1">
      <c r="R316" s="30"/>
    </row>
    <row r="317" spans="18:18" ht="15.75" customHeight="1">
      <c r="R317" s="30"/>
    </row>
    <row r="318" spans="18:18" ht="15.75" customHeight="1">
      <c r="R318" s="30"/>
    </row>
    <row r="319" spans="18:18" ht="15.75" customHeight="1">
      <c r="R319" s="30"/>
    </row>
    <row r="320" spans="18:18" ht="15.75" customHeight="1">
      <c r="R320" s="30"/>
    </row>
    <row r="321" spans="18:18" ht="15.75" customHeight="1">
      <c r="R321" s="30"/>
    </row>
    <row r="322" spans="18:18" ht="15.75" customHeight="1">
      <c r="R322" s="30"/>
    </row>
    <row r="323" spans="18:18" ht="15.75" customHeight="1">
      <c r="R323" s="30"/>
    </row>
    <row r="324" spans="18:18" ht="15.75" customHeight="1">
      <c r="R324" s="30"/>
    </row>
    <row r="325" spans="18:18" ht="15.75" customHeight="1">
      <c r="R325" s="30"/>
    </row>
    <row r="326" spans="18:18" ht="15.75" customHeight="1">
      <c r="R326" s="30"/>
    </row>
    <row r="327" spans="18:18" ht="15.75" customHeight="1">
      <c r="R327" s="30"/>
    </row>
    <row r="328" spans="18:18" ht="15.75" customHeight="1">
      <c r="R328" s="30"/>
    </row>
    <row r="329" spans="18:18" ht="15.75" customHeight="1">
      <c r="R329" s="30"/>
    </row>
    <row r="330" spans="18:18" ht="15.75" customHeight="1">
      <c r="R330" s="30"/>
    </row>
    <row r="331" spans="18:18" ht="15.75" customHeight="1">
      <c r="R331" s="30"/>
    </row>
    <row r="332" spans="18:18" ht="15.75" customHeight="1">
      <c r="R332" s="30"/>
    </row>
    <row r="333" spans="18:18" ht="15.75" customHeight="1">
      <c r="R333" s="30"/>
    </row>
    <row r="334" spans="18:18" ht="15.75" customHeight="1">
      <c r="R334" s="30"/>
    </row>
    <row r="335" spans="18:18" ht="15.75" customHeight="1">
      <c r="R335" s="30"/>
    </row>
    <row r="336" spans="18:18" ht="15.75" customHeight="1">
      <c r="R336" s="30"/>
    </row>
    <row r="337" spans="18:18" ht="15.75" customHeight="1">
      <c r="R337" s="30"/>
    </row>
    <row r="338" spans="18:18" ht="15.75" customHeight="1">
      <c r="R338" s="30"/>
    </row>
    <row r="339" spans="18:18" ht="15.75" customHeight="1">
      <c r="R339" s="30"/>
    </row>
    <row r="340" spans="18:18" ht="15.75" customHeight="1">
      <c r="R340" s="30"/>
    </row>
    <row r="341" spans="18:18" ht="15.75" customHeight="1">
      <c r="R341" s="30"/>
    </row>
    <row r="342" spans="18:18" ht="15.75" customHeight="1">
      <c r="R342" s="30"/>
    </row>
    <row r="343" spans="18:18" ht="15.75" customHeight="1">
      <c r="R343" s="30"/>
    </row>
    <row r="344" spans="18:18" ht="15.75" customHeight="1">
      <c r="R344" s="30"/>
    </row>
    <row r="345" spans="18:18" ht="15.75" customHeight="1">
      <c r="R345" s="30"/>
    </row>
    <row r="346" spans="18:18" ht="15.75" customHeight="1">
      <c r="R346" s="30"/>
    </row>
    <row r="347" spans="18:18" ht="15.75" customHeight="1">
      <c r="R347" s="30"/>
    </row>
    <row r="348" spans="18:18" ht="15.75" customHeight="1">
      <c r="R348" s="30"/>
    </row>
    <row r="349" spans="18:18" ht="15.75" customHeight="1">
      <c r="R349" s="30"/>
    </row>
    <row r="350" spans="18:18" ht="15.75" customHeight="1">
      <c r="R350" s="30"/>
    </row>
    <row r="351" spans="18:18" ht="15.75" customHeight="1">
      <c r="R351" s="30"/>
    </row>
    <row r="352" spans="18:18" ht="15.75" customHeight="1">
      <c r="R352" s="30"/>
    </row>
    <row r="353" spans="18:18" ht="15.75" customHeight="1">
      <c r="R353" s="30"/>
    </row>
    <row r="354" spans="18:18" ht="15.75" customHeight="1">
      <c r="R354" s="30"/>
    </row>
    <row r="355" spans="18:18" ht="15.75" customHeight="1">
      <c r="R355" s="30"/>
    </row>
    <row r="356" spans="18:18" ht="15.75" customHeight="1">
      <c r="R356" s="30"/>
    </row>
    <row r="357" spans="18:18" ht="15.75" customHeight="1">
      <c r="R357" s="30"/>
    </row>
    <row r="358" spans="18:18" ht="15.75" customHeight="1">
      <c r="R358" s="30"/>
    </row>
    <row r="359" spans="18:18" ht="15.75" customHeight="1">
      <c r="R359" s="30"/>
    </row>
    <row r="360" spans="18:18" ht="15.75" customHeight="1">
      <c r="R360" s="30"/>
    </row>
    <row r="361" spans="18:18" ht="15.75" customHeight="1">
      <c r="R361" s="30"/>
    </row>
    <row r="362" spans="18:18" ht="15.75" customHeight="1">
      <c r="R362" s="30"/>
    </row>
    <row r="363" spans="18:18" ht="15.75" customHeight="1">
      <c r="R363" s="30"/>
    </row>
    <row r="364" spans="18:18" ht="15.75" customHeight="1">
      <c r="R364" s="30"/>
    </row>
    <row r="365" spans="18:18" ht="15.75" customHeight="1">
      <c r="R365" s="30"/>
    </row>
    <row r="366" spans="18:18" ht="15.75" customHeight="1">
      <c r="R366" s="30"/>
    </row>
    <row r="367" spans="18:18" ht="15.75" customHeight="1">
      <c r="R367" s="30"/>
    </row>
    <row r="368" spans="18:18" ht="15.75" customHeight="1">
      <c r="R368" s="30"/>
    </row>
    <row r="369" spans="18:18" ht="15.75" customHeight="1">
      <c r="R369" s="30"/>
    </row>
    <row r="370" spans="18:18" ht="15.75" customHeight="1">
      <c r="R370" s="30"/>
    </row>
    <row r="371" spans="18:18" ht="15.75" customHeight="1">
      <c r="R371" s="30"/>
    </row>
    <row r="372" spans="18:18" ht="15.75" customHeight="1">
      <c r="R372" s="30"/>
    </row>
    <row r="373" spans="18:18" ht="15.75" customHeight="1">
      <c r="R373" s="30"/>
    </row>
    <row r="374" spans="18:18" ht="15.75" customHeight="1">
      <c r="R374" s="30"/>
    </row>
    <row r="375" spans="18:18" ht="15.75" customHeight="1">
      <c r="R375" s="30"/>
    </row>
    <row r="376" spans="18:18" ht="15.75" customHeight="1">
      <c r="R376" s="30"/>
    </row>
    <row r="377" spans="18:18" ht="15.75" customHeight="1">
      <c r="R377" s="30"/>
    </row>
    <row r="378" spans="18:18" ht="15.75" customHeight="1">
      <c r="R378" s="30"/>
    </row>
    <row r="379" spans="18:18" ht="15.75" customHeight="1">
      <c r="R379" s="30"/>
    </row>
    <row r="380" spans="18:18" ht="15.75" customHeight="1">
      <c r="R380" s="30"/>
    </row>
    <row r="381" spans="18:18" ht="15.75" customHeight="1">
      <c r="R381" s="30"/>
    </row>
    <row r="382" spans="18:18" ht="15.75" customHeight="1">
      <c r="R382" s="30"/>
    </row>
    <row r="383" spans="18:18" ht="15.75" customHeight="1">
      <c r="R383" s="30"/>
    </row>
    <row r="384" spans="18:18" ht="15.75" customHeight="1">
      <c r="R384" s="30"/>
    </row>
    <row r="385" spans="18:18" ht="15.75" customHeight="1">
      <c r="R385" s="30"/>
    </row>
    <row r="386" spans="18:18" ht="15.75" customHeight="1">
      <c r="R386" s="30"/>
    </row>
    <row r="387" spans="18:18" ht="15.75" customHeight="1">
      <c r="R387" s="30"/>
    </row>
    <row r="388" spans="18:18" ht="15.75" customHeight="1">
      <c r="R388" s="30"/>
    </row>
    <row r="389" spans="18:18" ht="15.75" customHeight="1">
      <c r="R389" s="30"/>
    </row>
    <row r="390" spans="18:18" ht="15.75" customHeight="1">
      <c r="R390" s="30"/>
    </row>
    <row r="391" spans="18:18" ht="15.75" customHeight="1">
      <c r="R391" s="30"/>
    </row>
    <row r="392" spans="18:18" ht="15.75" customHeight="1">
      <c r="R392" s="30"/>
    </row>
    <row r="393" spans="18:18" ht="15.75" customHeight="1">
      <c r="R393" s="30"/>
    </row>
    <row r="394" spans="18:18" ht="15.75" customHeight="1">
      <c r="R394" s="30"/>
    </row>
    <row r="395" spans="18:18" ht="15.75" customHeight="1">
      <c r="R395" s="30"/>
    </row>
    <row r="396" spans="18:18" ht="15.75" customHeight="1">
      <c r="R396" s="30"/>
    </row>
    <row r="397" spans="18:18" ht="15.75" customHeight="1">
      <c r="R397" s="30"/>
    </row>
    <row r="398" spans="18:18" ht="15.75" customHeight="1">
      <c r="R398" s="30"/>
    </row>
    <row r="399" spans="18:18" ht="15.75" customHeight="1">
      <c r="R399" s="30"/>
    </row>
    <row r="400" spans="18:18" ht="15.75" customHeight="1">
      <c r="R400" s="30"/>
    </row>
    <row r="401" spans="18:18" ht="15.75" customHeight="1">
      <c r="R401" s="30"/>
    </row>
    <row r="402" spans="18:18" ht="15.75" customHeight="1">
      <c r="R402" s="30"/>
    </row>
    <row r="403" spans="18:18" ht="15.75" customHeight="1">
      <c r="R403" s="30"/>
    </row>
    <row r="404" spans="18:18" ht="15.75" customHeight="1">
      <c r="R404" s="30"/>
    </row>
    <row r="405" spans="18:18" ht="15.75" customHeight="1">
      <c r="R405" s="30"/>
    </row>
    <row r="406" spans="18:18" ht="15.75" customHeight="1">
      <c r="R406" s="30"/>
    </row>
    <row r="407" spans="18:18" ht="15.75" customHeight="1">
      <c r="R407" s="30"/>
    </row>
    <row r="408" spans="18:18" ht="15.75" customHeight="1">
      <c r="R408" s="30"/>
    </row>
    <row r="409" spans="18:18" ht="15.75" customHeight="1">
      <c r="R409" s="30"/>
    </row>
    <row r="410" spans="18:18" ht="15.75" customHeight="1">
      <c r="R410" s="30"/>
    </row>
    <row r="411" spans="18:18" ht="15.75" customHeight="1">
      <c r="R411" s="30"/>
    </row>
    <row r="412" spans="18:18" ht="15.75" customHeight="1">
      <c r="R412" s="30"/>
    </row>
    <row r="413" spans="18:18" ht="15.75" customHeight="1">
      <c r="R413" s="30"/>
    </row>
    <row r="414" spans="18:18" ht="15.75" customHeight="1">
      <c r="R414" s="30"/>
    </row>
    <row r="415" spans="18:18" ht="15.75" customHeight="1">
      <c r="R415" s="30"/>
    </row>
    <row r="416" spans="18:18" ht="15.75" customHeight="1">
      <c r="R416" s="30"/>
    </row>
    <row r="417" spans="18:18" ht="15.75" customHeight="1">
      <c r="R417" s="30"/>
    </row>
    <row r="418" spans="18:18" ht="15.75" customHeight="1">
      <c r="R418" s="30"/>
    </row>
    <row r="419" spans="18:18" ht="15.75" customHeight="1">
      <c r="R419" s="30"/>
    </row>
    <row r="420" spans="18:18" ht="15.75" customHeight="1">
      <c r="R420" s="30"/>
    </row>
    <row r="421" spans="18:18" ht="15.75" customHeight="1">
      <c r="R421" s="30"/>
    </row>
    <row r="422" spans="18:18" ht="15.75" customHeight="1">
      <c r="R422" s="30"/>
    </row>
    <row r="423" spans="18:18" ht="15.75" customHeight="1">
      <c r="R423" s="30"/>
    </row>
    <row r="424" spans="18:18" ht="15.75" customHeight="1">
      <c r="R424" s="30"/>
    </row>
    <row r="425" spans="18:18" ht="15.75" customHeight="1">
      <c r="R425" s="30"/>
    </row>
    <row r="426" spans="18:18" ht="15.75" customHeight="1">
      <c r="R426" s="30"/>
    </row>
    <row r="427" spans="18:18" ht="15.75" customHeight="1">
      <c r="R427" s="30"/>
    </row>
    <row r="428" spans="18:18" ht="15.75" customHeight="1">
      <c r="R428" s="30"/>
    </row>
    <row r="429" spans="18:18" ht="15.75" customHeight="1">
      <c r="R429" s="30"/>
    </row>
    <row r="430" spans="18:18" ht="15.75" customHeight="1">
      <c r="R430" s="30"/>
    </row>
    <row r="431" spans="18:18" ht="15.75" customHeight="1">
      <c r="R431" s="30"/>
    </row>
    <row r="432" spans="18:18" ht="15.75" customHeight="1">
      <c r="R432" s="30"/>
    </row>
    <row r="433" spans="18:18" ht="15.75" customHeight="1">
      <c r="R433" s="30"/>
    </row>
    <row r="434" spans="18:18" ht="15.75" customHeight="1">
      <c r="R434" s="30"/>
    </row>
    <row r="435" spans="18:18" ht="15.75" customHeight="1">
      <c r="R435" s="30"/>
    </row>
    <row r="436" spans="18:18" ht="15.75" customHeight="1">
      <c r="R436" s="30"/>
    </row>
    <row r="437" spans="18:18" ht="15.75" customHeight="1">
      <c r="R437" s="30"/>
    </row>
    <row r="438" spans="18:18" ht="15.75" customHeight="1">
      <c r="R438" s="30"/>
    </row>
    <row r="439" spans="18:18" ht="15.75" customHeight="1">
      <c r="R439" s="30"/>
    </row>
    <row r="440" spans="18:18" ht="15.75" customHeight="1">
      <c r="R440" s="30"/>
    </row>
    <row r="441" spans="18:18" ht="15.75" customHeight="1">
      <c r="R441" s="30"/>
    </row>
    <row r="442" spans="18:18" ht="15.75" customHeight="1">
      <c r="R442" s="30"/>
    </row>
    <row r="443" spans="18:18" ht="15.75" customHeight="1">
      <c r="R443" s="30"/>
    </row>
    <row r="444" spans="18:18" ht="15.75" customHeight="1">
      <c r="R444" s="30"/>
    </row>
    <row r="445" spans="18:18" ht="15.75" customHeight="1">
      <c r="R445" s="30"/>
    </row>
    <row r="446" spans="18:18" ht="15.75" customHeight="1">
      <c r="R446" s="30"/>
    </row>
    <row r="447" spans="18:18" ht="15.75" customHeight="1">
      <c r="R447" s="30"/>
    </row>
    <row r="448" spans="18:18" ht="15.75" customHeight="1">
      <c r="R448" s="30"/>
    </row>
    <row r="449" spans="18:18" ht="15.75" customHeight="1">
      <c r="R449" s="30"/>
    </row>
    <row r="450" spans="18:18" ht="15.75" customHeight="1">
      <c r="R450" s="30"/>
    </row>
    <row r="451" spans="18:18" ht="15.75" customHeight="1">
      <c r="R451" s="30"/>
    </row>
    <row r="452" spans="18:18" ht="15.75" customHeight="1">
      <c r="R452" s="30"/>
    </row>
    <row r="453" spans="18:18" ht="15.75" customHeight="1">
      <c r="R453" s="30"/>
    </row>
    <row r="454" spans="18:18" ht="15.75" customHeight="1">
      <c r="R454" s="30"/>
    </row>
    <row r="455" spans="18:18" ht="15.75" customHeight="1">
      <c r="R455" s="30"/>
    </row>
    <row r="456" spans="18:18" ht="15.75" customHeight="1">
      <c r="R456" s="30"/>
    </row>
    <row r="457" spans="18:18" ht="15.75" customHeight="1">
      <c r="R457" s="30"/>
    </row>
    <row r="458" spans="18:18" ht="15.75" customHeight="1">
      <c r="R458" s="30"/>
    </row>
    <row r="459" spans="18:18" ht="15.75" customHeight="1">
      <c r="R459" s="30"/>
    </row>
    <row r="460" spans="18:18" ht="15.75" customHeight="1">
      <c r="R460" s="30"/>
    </row>
    <row r="461" spans="18:18" ht="15.75" customHeight="1">
      <c r="R461" s="30"/>
    </row>
    <row r="462" spans="18:18" ht="15.75" customHeight="1">
      <c r="R462" s="30"/>
    </row>
    <row r="463" spans="18:18" ht="15.75" customHeight="1">
      <c r="R463" s="30"/>
    </row>
    <row r="464" spans="18:18" ht="15.75" customHeight="1">
      <c r="R464" s="30"/>
    </row>
    <row r="465" spans="18:18" ht="15.75" customHeight="1">
      <c r="R465" s="30"/>
    </row>
    <row r="466" spans="18:18" ht="15.75" customHeight="1">
      <c r="R466" s="30"/>
    </row>
    <row r="467" spans="18:18" ht="15.75" customHeight="1">
      <c r="R467" s="30"/>
    </row>
    <row r="468" spans="18:18" ht="15.75" customHeight="1">
      <c r="R468" s="30"/>
    </row>
    <row r="469" spans="18:18" ht="15.75" customHeight="1">
      <c r="R469" s="30"/>
    </row>
    <row r="470" spans="18:18" ht="15.75" customHeight="1">
      <c r="R470" s="30"/>
    </row>
    <row r="471" spans="18:18" ht="15.75" customHeight="1">
      <c r="R471" s="30"/>
    </row>
    <row r="472" spans="18:18" ht="15.75" customHeight="1">
      <c r="R472" s="30"/>
    </row>
    <row r="473" spans="18:18" ht="15.75" customHeight="1">
      <c r="R473" s="30"/>
    </row>
    <row r="474" spans="18:18" ht="15.75" customHeight="1">
      <c r="R474" s="30"/>
    </row>
    <row r="475" spans="18:18" ht="15.75" customHeight="1">
      <c r="R475" s="30"/>
    </row>
    <row r="476" spans="18:18" ht="15.75" customHeight="1">
      <c r="R476" s="30"/>
    </row>
    <row r="477" spans="18:18" ht="15.75" customHeight="1">
      <c r="R477" s="30"/>
    </row>
    <row r="478" spans="18:18" ht="15.75" customHeight="1">
      <c r="R478" s="30"/>
    </row>
    <row r="479" spans="18:18" ht="15.75" customHeight="1">
      <c r="R479" s="30"/>
    </row>
    <row r="480" spans="18:18" ht="15.75" customHeight="1">
      <c r="R480" s="30"/>
    </row>
    <row r="481" spans="18:18" ht="15.75" customHeight="1">
      <c r="R481" s="30"/>
    </row>
    <row r="482" spans="18:18" ht="15.75" customHeight="1">
      <c r="R482" s="30"/>
    </row>
    <row r="483" spans="18:18" ht="15.75" customHeight="1">
      <c r="R483" s="30"/>
    </row>
    <row r="484" spans="18:18" ht="15.75" customHeight="1">
      <c r="R484" s="30"/>
    </row>
    <row r="485" spans="18:18" ht="15.75" customHeight="1">
      <c r="R485" s="30"/>
    </row>
    <row r="486" spans="18:18" ht="15.75" customHeight="1">
      <c r="R486" s="30"/>
    </row>
    <row r="487" spans="18:18" ht="15.75" customHeight="1">
      <c r="R487" s="30"/>
    </row>
    <row r="488" spans="18:18" ht="15.75" customHeight="1">
      <c r="R488" s="30"/>
    </row>
    <row r="489" spans="18:18" ht="15.75" customHeight="1">
      <c r="R489" s="30"/>
    </row>
    <row r="490" spans="18:18" ht="15.75" customHeight="1">
      <c r="R490" s="30"/>
    </row>
    <row r="491" spans="18:18" ht="15.75" customHeight="1">
      <c r="R491" s="30"/>
    </row>
    <row r="492" spans="18:18" ht="15.75" customHeight="1">
      <c r="R492" s="30"/>
    </row>
    <row r="493" spans="18:18" ht="15.75" customHeight="1">
      <c r="R493" s="30"/>
    </row>
    <row r="494" spans="18:18" ht="15.75" customHeight="1">
      <c r="R494" s="30"/>
    </row>
    <row r="495" spans="18:18" ht="15.75" customHeight="1">
      <c r="R495" s="30"/>
    </row>
    <row r="496" spans="18:18" ht="15.75" customHeight="1">
      <c r="R496" s="30"/>
    </row>
    <row r="497" spans="18:18" ht="15.75" customHeight="1">
      <c r="R497" s="30"/>
    </row>
    <row r="498" spans="18:18" ht="15.75" customHeight="1">
      <c r="R498" s="30"/>
    </row>
    <row r="499" spans="18:18" ht="15.75" customHeight="1">
      <c r="R499" s="30"/>
    </row>
    <row r="500" spans="18:18" ht="15.75" customHeight="1">
      <c r="R500" s="30"/>
    </row>
    <row r="501" spans="18:18" ht="15.75" customHeight="1">
      <c r="R501" s="30"/>
    </row>
    <row r="502" spans="18:18" ht="15.75" customHeight="1">
      <c r="R502" s="30"/>
    </row>
    <row r="503" spans="18:18" ht="15.75" customHeight="1">
      <c r="R503" s="30"/>
    </row>
    <row r="504" spans="18:18" ht="15.75" customHeight="1">
      <c r="R504" s="30"/>
    </row>
    <row r="505" spans="18:18" ht="15.75" customHeight="1">
      <c r="R505" s="30"/>
    </row>
    <row r="506" spans="18:18" ht="15.75" customHeight="1">
      <c r="R506" s="30"/>
    </row>
    <row r="507" spans="18:18" ht="15.75" customHeight="1">
      <c r="R507" s="30"/>
    </row>
    <row r="508" spans="18:18" ht="15.75" customHeight="1">
      <c r="R508" s="30"/>
    </row>
    <row r="509" spans="18:18" ht="15.75" customHeight="1">
      <c r="R509" s="30"/>
    </row>
    <row r="510" spans="18:18" ht="15.75" customHeight="1">
      <c r="R510" s="30"/>
    </row>
    <row r="511" spans="18:18" ht="15.75" customHeight="1">
      <c r="R511" s="30"/>
    </row>
    <row r="512" spans="18:18" ht="15.75" customHeight="1">
      <c r="R512" s="30"/>
    </row>
    <row r="513" spans="18:18" ht="15.75" customHeight="1">
      <c r="R513" s="30"/>
    </row>
    <row r="514" spans="18:18" ht="15.75" customHeight="1">
      <c r="R514" s="30"/>
    </row>
    <row r="515" spans="18:18" ht="15.75" customHeight="1">
      <c r="R515" s="30"/>
    </row>
    <row r="516" spans="18:18" ht="15.75" customHeight="1">
      <c r="R516" s="30"/>
    </row>
    <row r="517" spans="18:18" ht="15.75" customHeight="1">
      <c r="R517" s="30"/>
    </row>
    <row r="518" spans="18:18" ht="15.75" customHeight="1">
      <c r="R518" s="30"/>
    </row>
    <row r="519" spans="18:18" ht="15.75" customHeight="1">
      <c r="R519" s="30"/>
    </row>
    <row r="520" spans="18:18" ht="15.75" customHeight="1">
      <c r="R520" s="30"/>
    </row>
    <row r="521" spans="18:18" ht="15.75" customHeight="1">
      <c r="R521" s="30"/>
    </row>
    <row r="522" spans="18:18" ht="15.75" customHeight="1">
      <c r="R522" s="30"/>
    </row>
    <row r="523" spans="18:18" ht="15.75" customHeight="1">
      <c r="R523" s="30"/>
    </row>
    <row r="524" spans="18:18" ht="15.75" customHeight="1">
      <c r="R524" s="30"/>
    </row>
    <row r="525" spans="18:18" ht="15.75" customHeight="1">
      <c r="R525" s="30"/>
    </row>
    <row r="526" spans="18:18" ht="15.75" customHeight="1">
      <c r="R526" s="30"/>
    </row>
    <row r="527" spans="18:18" ht="15.75" customHeight="1">
      <c r="R527" s="30"/>
    </row>
    <row r="528" spans="18:18" ht="15.75" customHeight="1">
      <c r="R528" s="30"/>
    </row>
    <row r="529" spans="18:18" ht="15.75" customHeight="1">
      <c r="R529" s="30"/>
    </row>
    <row r="530" spans="18:18" ht="15.75" customHeight="1">
      <c r="R530" s="30"/>
    </row>
    <row r="531" spans="18:18" ht="15.75" customHeight="1">
      <c r="R531" s="30"/>
    </row>
    <row r="532" spans="18:18" ht="15.75" customHeight="1">
      <c r="R532" s="30"/>
    </row>
    <row r="533" spans="18:18" ht="15.75" customHeight="1">
      <c r="R533" s="30"/>
    </row>
    <row r="534" spans="18:18" ht="15.75" customHeight="1">
      <c r="R534" s="30"/>
    </row>
    <row r="535" spans="18:18" ht="15.75" customHeight="1">
      <c r="R535" s="30"/>
    </row>
    <row r="536" spans="18:18" ht="15.75" customHeight="1">
      <c r="R536" s="30"/>
    </row>
    <row r="537" spans="18:18" ht="15.75" customHeight="1">
      <c r="R537" s="30"/>
    </row>
    <row r="538" spans="18:18" ht="15.75" customHeight="1">
      <c r="R538" s="30"/>
    </row>
    <row r="539" spans="18:18" ht="15.75" customHeight="1">
      <c r="R539" s="30"/>
    </row>
    <row r="540" spans="18:18" ht="15.75" customHeight="1">
      <c r="R540" s="30"/>
    </row>
    <row r="541" spans="18:18" ht="15.75" customHeight="1">
      <c r="R541" s="30"/>
    </row>
    <row r="542" spans="18:18" ht="15.75" customHeight="1">
      <c r="R542" s="30"/>
    </row>
    <row r="543" spans="18:18" ht="15.75" customHeight="1">
      <c r="R543" s="30"/>
    </row>
    <row r="544" spans="18:18" ht="15.75" customHeight="1">
      <c r="R544" s="30"/>
    </row>
    <row r="545" spans="18:18" ht="15.75" customHeight="1">
      <c r="R545" s="30"/>
    </row>
    <row r="546" spans="18:18" ht="15.75" customHeight="1">
      <c r="R546" s="30"/>
    </row>
    <row r="547" spans="18:18" ht="15.75" customHeight="1">
      <c r="R547" s="30"/>
    </row>
    <row r="548" spans="18:18" ht="15.75" customHeight="1">
      <c r="R548" s="30"/>
    </row>
    <row r="549" spans="18:18" ht="15.75" customHeight="1">
      <c r="R549" s="30"/>
    </row>
    <row r="550" spans="18:18" ht="15.75" customHeight="1">
      <c r="R550" s="30"/>
    </row>
    <row r="551" spans="18:18" ht="15.75" customHeight="1">
      <c r="R551" s="30"/>
    </row>
    <row r="552" spans="18:18" ht="15.75" customHeight="1">
      <c r="R552" s="30"/>
    </row>
    <row r="553" spans="18:18" ht="15.75" customHeight="1">
      <c r="R553" s="30"/>
    </row>
    <row r="554" spans="18:18" ht="15.75" customHeight="1">
      <c r="R554" s="30"/>
    </row>
    <row r="555" spans="18:18" ht="15.75" customHeight="1">
      <c r="R555" s="30"/>
    </row>
    <row r="556" spans="18:18" ht="15.75" customHeight="1">
      <c r="R556" s="30"/>
    </row>
    <row r="557" spans="18:18" ht="15.75" customHeight="1">
      <c r="R557" s="30"/>
    </row>
    <row r="558" spans="18:18" ht="15.75" customHeight="1">
      <c r="R558" s="30"/>
    </row>
    <row r="559" spans="18:18" ht="15.75" customHeight="1">
      <c r="R559" s="30"/>
    </row>
    <row r="560" spans="18:18" ht="15.75" customHeight="1">
      <c r="R560" s="30"/>
    </row>
    <row r="561" spans="18:18" ht="15.75" customHeight="1">
      <c r="R561" s="30"/>
    </row>
    <row r="562" spans="18:18" ht="15.75" customHeight="1">
      <c r="R562" s="30"/>
    </row>
    <row r="563" spans="18:18" ht="15.75" customHeight="1">
      <c r="R563" s="30"/>
    </row>
    <row r="564" spans="18:18" ht="15.75" customHeight="1">
      <c r="R564" s="30"/>
    </row>
    <row r="565" spans="18:18" ht="15.75" customHeight="1">
      <c r="R565" s="30"/>
    </row>
    <row r="566" spans="18:18" ht="15.75" customHeight="1">
      <c r="R566" s="30"/>
    </row>
    <row r="567" spans="18:18" ht="15.75" customHeight="1">
      <c r="R567" s="30"/>
    </row>
    <row r="568" spans="18:18" ht="15.75" customHeight="1">
      <c r="R568" s="30"/>
    </row>
    <row r="569" spans="18:18" ht="15.75" customHeight="1">
      <c r="R569" s="30"/>
    </row>
    <row r="570" spans="18:18" ht="15.75" customHeight="1">
      <c r="R570" s="30"/>
    </row>
    <row r="571" spans="18:18" ht="15.75" customHeight="1">
      <c r="R571" s="30"/>
    </row>
    <row r="572" spans="18:18" ht="15.75" customHeight="1">
      <c r="R572" s="30"/>
    </row>
    <row r="573" spans="18:18" ht="15.75" customHeight="1">
      <c r="R573" s="30"/>
    </row>
    <row r="574" spans="18:18" ht="15.75" customHeight="1">
      <c r="R574" s="30"/>
    </row>
    <row r="575" spans="18:18" ht="15.75" customHeight="1">
      <c r="R575" s="30"/>
    </row>
    <row r="576" spans="18:18" ht="15.75" customHeight="1">
      <c r="R576" s="30"/>
    </row>
    <row r="577" spans="18:18" ht="15.75" customHeight="1">
      <c r="R577" s="30"/>
    </row>
    <row r="578" spans="18:18" ht="15.75" customHeight="1">
      <c r="R578" s="30"/>
    </row>
    <row r="579" spans="18:18" ht="15.75" customHeight="1">
      <c r="R579" s="30"/>
    </row>
    <row r="580" spans="18:18" ht="15.75" customHeight="1">
      <c r="R580" s="30"/>
    </row>
    <row r="581" spans="18:18" ht="15.75" customHeight="1">
      <c r="R581" s="30"/>
    </row>
    <row r="582" spans="18:18" ht="15.75" customHeight="1">
      <c r="R582" s="30"/>
    </row>
    <row r="583" spans="18:18" ht="15.75" customHeight="1">
      <c r="R583" s="30"/>
    </row>
    <row r="584" spans="18:18" ht="15.75" customHeight="1">
      <c r="R584" s="30"/>
    </row>
    <row r="585" spans="18:18" ht="15.75" customHeight="1">
      <c r="R585" s="30"/>
    </row>
    <row r="586" spans="18:18" ht="15.75" customHeight="1">
      <c r="R586" s="30"/>
    </row>
    <row r="587" spans="18:18" ht="15.75" customHeight="1">
      <c r="R587" s="30"/>
    </row>
    <row r="588" spans="18:18" ht="15.75" customHeight="1">
      <c r="R588" s="30"/>
    </row>
    <row r="589" spans="18:18" ht="15.75" customHeight="1">
      <c r="R589" s="30"/>
    </row>
    <row r="590" spans="18:18" ht="15.75" customHeight="1">
      <c r="R590" s="30"/>
    </row>
    <row r="591" spans="18:18" ht="15.75" customHeight="1">
      <c r="R591" s="30"/>
    </row>
    <row r="592" spans="18:18" ht="15.75" customHeight="1">
      <c r="R592" s="30"/>
    </row>
    <row r="593" spans="18:18" ht="15.75" customHeight="1">
      <c r="R593" s="30"/>
    </row>
    <row r="594" spans="18:18" ht="15.75" customHeight="1">
      <c r="R594" s="30"/>
    </row>
    <row r="595" spans="18:18" ht="15.75" customHeight="1">
      <c r="R595" s="30"/>
    </row>
    <row r="596" spans="18:18" ht="15.75" customHeight="1">
      <c r="R596" s="30"/>
    </row>
    <row r="597" spans="18:18" ht="15.75" customHeight="1">
      <c r="R597" s="30"/>
    </row>
    <row r="598" spans="18:18" ht="15.75" customHeight="1">
      <c r="R598" s="30"/>
    </row>
    <row r="599" spans="18:18" ht="15.75" customHeight="1">
      <c r="R599" s="30"/>
    </row>
    <row r="600" spans="18:18" ht="15.75" customHeight="1">
      <c r="R600" s="30"/>
    </row>
    <row r="601" spans="18:18" ht="15.75" customHeight="1">
      <c r="R601" s="30"/>
    </row>
    <row r="602" spans="18:18" ht="15.75" customHeight="1">
      <c r="R602" s="30"/>
    </row>
    <row r="603" spans="18:18" ht="15.75" customHeight="1">
      <c r="R603" s="30"/>
    </row>
    <row r="604" spans="18:18" ht="15.75" customHeight="1">
      <c r="R604" s="30"/>
    </row>
    <row r="605" spans="18:18" ht="15.75" customHeight="1">
      <c r="R605" s="30"/>
    </row>
    <row r="606" spans="18:18" ht="15.75" customHeight="1">
      <c r="R606" s="30"/>
    </row>
    <row r="607" spans="18:18" ht="15.75" customHeight="1">
      <c r="R607" s="30"/>
    </row>
    <row r="608" spans="18:18" ht="15.75" customHeight="1">
      <c r="R608" s="30"/>
    </row>
    <row r="609" spans="18:18" ht="15.75" customHeight="1">
      <c r="R609" s="30"/>
    </row>
    <row r="610" spans="18:18" ht="15.75" customHeight="1">
      <c r="R610" s="30"/>
    </row>
    <row r="611" spans="18:18" ht="15.75" customHeight="1">
      <c r="R611" s="30"/>
    </row>
    <row r="612" spans="18:18" ht="15.75" customHeight="1">
      <c r="R612" s="30"/>
    </row>
    <row r="613" spans="18:18" ht="15.75" customHeight="1">
      <c r="R613" s="30"/>
    </row>
    <row r="614" spans="18:18" ht="15.75" customHeight="1">
      <c r="R614" s="30"/>
    </row>
    <row r="615" spans="18:18" ht="15.75" customHeight="1">
      <c r="R615" s="30"/>
    </row>
    <row r="616" spans="18:18" ht="15.75" customHeight="1">
      <c r="R616" s="30"/>
    </row>
    <row r="617" spans="18:18" ht="15.75" customHeight="1">
      <c r="R617" s="30"/>
    </row>
    <row r="618" spans="18:18" ht="15.75" customHeight="1">
      <c r="R618" s="30"/>
    </row>
    <row r="619" spans="18:18" ht="15.75" customHeight="1">
      <c r="R619" s="30"/>
    </row>
    <row r="620" spans="18:18" ht="15.75" customHeight="1">
      <c r="R620" s="30"/>
    </row>
    <row r="621" spans="18:18" ht="15.75" customHeight="1">
      <c r="R621" s="30"/>
    </row>
    <row r="622" spans="18:18" ht="15.75" customHeight="1">
      <c r="R622" s="30"/>
    </row>
    <row r="623" spans="18:18" ht="15.75" customHeight="1">
      <c r="R623" s="30"/>
    </row>
    <row r="624" spans="18:18" ht="15.75" customHeight="1">
      <c r="R624" s="30"/>
    </row>
    <row r="625" spans="18:18" ht="15.75" customHeight="1">
      <c r="R625" s="30"/>
    </row>
    <row r="626" spans="18:18" ht="15.75" customHeight="1">
      <c r="R626" s="30"/>
    </row>
    <row r="627" spans="18:18" ht="15.75" customHeight="1">
      <c r="R627" s="30"/>
    </row>
    <row r="628" spans="18:18" ht="15.75" customHeight="1">
      <c r="R628" s="30"/>
    </row>
    <row r="629" spans="18:18" ht="15.75" customHeight="1">
      <c r="R629" s="30"/>
    </row>
    <row r="630" spans="18:18" ht="15.75" customHeight="1">
      <c r="R630" s="30"/>
    </row>
    <row r="631" spans="18:18" ht="15.75" customHeight="1">
      <c r="R631" s="30"/>
    </row>
    <row r="632" spans="18:18" ht="15.75" customHeight="1">
      <c r="R632" s="30"/>
    </row>
    <row r="633" spans="18:18" ht="15.75" customHeight="1">
      <c r="R633" s="30"/>
    </row>
    <row r="634" spans="18:18" ht="15.75" customHeight="1">
      <c r="R634" s="30"/>
    </row>
    <row r="635" spans="18:18" ht="15.75" customHeight="1">
      <c r="R635" s="30"/>
    </row>
    <row r="636" spans="18:18" ht="15.75" customHeight="1">
      <c r="R636" s="30"/>
    </row>
    <row r="637" spans="18:18" ht="15.75" customHeight="1">
      <c r="R637" s="30"/>
    </row>
    <row r="638" spans="18:18" ht="15.75" customHeight="1">
      <c r="R638" s="30"/>
    </row>
    <row r="639" spans="18:18" ht="15.75" customHeight="1">
      <c r="R639" s="30"/>
    </row>
    <row r="640" spans="18:18" ht="15.75" customHeight="1">
      <c r="R640" s="30"/>
    </row>
    <row r="641" spans="18:18" ht="15.75" customHeight="1">
      <c r="R641" s="30"/>
    </row>
    <row r="642" spans="18:18" ht="15.75" customHeight="1">
      <c r="R642" s="30"/>
    </row>
    <row r="643" spans="18:18" ht="15.75" customHeight="1">
      <c r="R643" s="30"/>
    </row>
    <row r="644" spans="18:18" ht="15.75" customHeight="1">
      <c r="R644" s="30"/>
    </row>
    <row r="645" spans="18:18" ht="15.75" customHeight="1">
      <c r="R645" s="30"/>
    </row>
    <row r="646" spans="18:18" ht="15.75" customHeight="1">
      <c r="R646" s="30"/>
    </row>
    <row r="647" spans="18:18" ht="15.75" customHeight="1">
      <c r="R647" s="30"/>
    </row>
    <row r="648" spans="18:18" ht="15.75" customHeight="1">
      <c r="R648" s="30"/>
    </row>
    <row r="649" spans="18:18" ht="15.75" customHeight="1">
      <c r="R649" s="30"/>
    </row>
    <row r="650" spans="18:18" ht="15.75" customHeight="1">
      <c r="R650" s="30"/>
    </row>
    <row r="651" spans="18:18" ht="15.75" customHeight="1">
      <c r="R651" s="30"/>
    </row>
    <row r="652" spans="18:18" ht="15.75" customHeight="1">
      <c r="R652" s="30"/>
    </row>
    <row r="653" spans="18:18" ht="15.75" customHeight="1">
      <c r="R653" s="30"/>
    </row>
    <row r="654" spans="18:18" ht="15.75" customHeight="1">
      <c r="R654" s="30"/>
    </row>
    <row r="655" spans="18:18" ht="15.75" customHeight="1">
      <c r="R655" s="30"/>
    </row>
    <row r="656" spans="18:18" ht="15.75" customHeight="1">
      <c r="R656" s="30"/>
    </row>
    <row r="657" spans="18:18" ht="15.75" customHeight="1">
      <c r="R657" s="30"/>
    </row>
    <row r="658" spans="18:18" ht="15.75" customHeight="1">
      <c r="R658" s="30"/>
    </row>
    <row r="659" spans="18:18" ht="15.75" customHeight="1">
      <c r="R659" s="30"/>
    </row>
    <row r="660" spans="18:18" ht="15.75" customHeight="1">
      <c r="R660" s="30"/>
    </row>
    <row r="661" spans="18:18" ht="15.75" customHeight="1">
      <c r="R661" s="30"/>
    </row>
    <row r="662" spans="18:18" ht="15.75" customHeight="1">
      <c r="R662" s="30"/>
    </row>
    <row r="663" spans="18:18" ht="15.75" customHeight="1">
      <c r="R663" s="30"/>
    </row>
    <row r="664" spans="18:18" ht="15.75" customHeight="1">
      <c r="R664" s="30"/>
    </row>
    <row r="665" spans="18:18" ht="15.75" customHeight="1">
      <c r="R665" s="30"/>
    </row>
    <row r="666" spans="18:18" ht="15.75" customHeight="1">
      <c r="R666" s="30"/>
    </row>
    <row r="667" spans="18:18" ht="15.75" customHeight="1">
      <c r="R667" s="30"/>
    </row>
    <row r="668" spans="18:18" ht="15.75" customHeight="1">
      <c r="R668" s="30"/>
    </row>
    <row r="669" spans="18:18" ht="15.75" customHeight="1">
      <c r="R669" s="30"/>
    </row>
    <row r="670" spans="18:18" ht="15.75" customHeight="1">
      <c r="R670" s="30"/>
    </row>
    <row r="671" spans="18:18" ht="15.75" customHeight="1">
      <c r="R671" s="30"/>
    </row>
    <row r="672" spans="18:18" ht="15.75" customHeight="1">
      <c r="R672" s="30"/>
    </row>
    <row r="673" spans="18:18" ht="15.75" customHeight="1">
      <c r="R673" s="30"/>
    </row>
    <row r="674" spans="18:18" ht="15.75" customHeight="1">
      <c r="R674" s="30"/>
    </row>
    <row r="675" spans="18:18" ht="15.75" customHeight="1">
      <c r="R675" s="30"/>
    </row>
    <row r="676" spans="18:18" ht="15.75" customHeight="1">
      <c r="R676" s="30"/>
    </row>
    <row r="677" spans="18:18" ht="15.75" customHeight="1">
      <c r="R677" s="30"/>
    </row>
    <row r="678" spans="18:18" ht="15.75" customHeight="1">
      <c r="R678" s="30"/>
    </row>
    <row r="679" spans="18:18" ht="15.75" customHeight="1">
      <c r="R679" s="30"/>
    </row>
    <row r="680" spans="18:18" ht="15.75" customHeight="1">
      <c r="R680" s="30"/>
    </row>
    <row r="681" spans="18:18" ht="15.75" customHeight="1">
      <c r="R681" s="30"/>
    </row>
    <row r="682" spans="18:18" ht="15.75" customHeight="1">
      <c r="R682" s="30"/>
    </row>
    <row r="683" spans="18:18" ht="15.75" customHeight="1">
      <c r="R683" s="30"/>
    </row>
    <row r="684" spans="18:18" ht="15.75" customHeight="1">
      <c r="R684" s="30"/>
    </row>
    <row r="685" spans="18:18" ht="15.75" customHeight="1">
      <c r="R685" s="30"/>
    </row>
    <row r="686" spans="18:18" ht="15.75" customHeight="1">
      <c r="R686" s="30"/>
    </row>
    <row r="687" spans="18:18" ht="15.75" customHeight="1">
      <c r="R687" s="30"/>
    </row>
    <row r="688" spans="18:18" ht="15.75" customHeight="1">
      <c r="R688" s="30"/>
    </row>
    <row r="689" spans="18:18" ht="15.75" customHeight="1">
      <c r="R689" s="30"/>
    </row>
    <row r="690" spans="18:18" ht="15.75" customHeight="1">
      <c r="R690" s="30"/>
    </row>
    <row r="691" spans="18:18" ht="15.75" customHeight="1">
      <c r="R691" s="30"/>
    </row>
    <row r="692" spans="18:18" ht="15.75" customHeight="1">
      <c r="R692" s="30"/>
    </row>
    <row r="693" spans="18:18" ht="15.75" customHeight="1">
      <c r="R693" s="30"/>
    </row>
    <row r="694" spans="18:18" ht="15.75" customHeight="1">
      <c r="R694" s="30"/>
    </row>
    <row r="695" spans="18:18" ht="15.75" customHeight="1">
      <c r="R695" s="30"/>
    </row>
    <row r="696" spans="18:18" ht="15.75" customHeight="1">
      <c r="R696" s="30"/>
    </row>
    <row r="697" spans="18:18" ht="15.75" customHeight="1">
      <c r="R697" s="30"/>
    </row>
    <row r="698" spans="18:18" ht="15.75" customHeight="1">
      <c r="R698" s="30"/>
    </row>
    <row r="699" spans="18:18" ht="15.75" customHeight="1">
      <c r="R699" s="30"/>
    </row>
    <row r="700" spans="18:18" ht="15.75" customHeight="1">
      <c r="R700" s="30"/>
    </row>
    <row r="701" spans="18:18" ht="15.75" customHeight="1">
      <c r="R701" s="30"/>
    </row>
    <row r="702" spans="18:18" ht="15.75" customHeight="1">
      <c r="R702" s="30"/>
    </row>
    <row r="703" spans="18:18" ht="15.75" customHeight="1">
      <c r="R703" s="30"/>
    </row>
    <row r="704" spans="18:18" ht="15.75" customHeight="1">
      <c r="R704" s="30"/>
    </row>
    <row r="705" spans="18:18" ht="15.75" customHeight="1">
      <c r="R705" s="30"/>
    </row>
    <row r="706" spans="18:18" ht="15.75" customHeight="1">
      <c r="R706" s="30"/>
    </row>
    <row r="707" spans="18:18" ht="15.75" customHeight="1">
      <c r="R707" s="30"/>
    </row>
    <row r="708" spans="18:18" ht="15.75" customHeight="1">
      <c r="R708" s="30"/>
    </row>
    <row r="709" spans="18:18" ht="15.75" customHeight="1">
      <c r="R709" s="30"/>
    </row>
    <row r="710" spans="18:18" ht="15.75" customHeight="1">
      <c r="R710" s="30"/>
    </row>
    <row r="711" spans="18:18" ht="15.75" customHeight="1">
      <c r="R711" s="30"/>
    </row>
    <row r="712" spans="18:18" ht="15.75" customHeight="1">
      <c r="R712" s="30"/>
    </row>
    <row r="713" spans="18:18" ht="15.75" customHeight="1">
      <c r="R713" s="30"/>
    </row>
    <row r="714" spans="18:18" ht="15.75" customHeight="1">
      <c r="R714" s="30"/>
    </row>
    <row r="715" spans="18:18" ht="15.75" customHeight="1">
      <c r="R715" s="30"/>
    </row>
    <row r="716" spans="18:18" ht="15.75" customHeight="1">
      <c r="R716" s="30"/>
    </row>
    <row r="717" spans="18:18" ht="15.75" customHeight="1">
      <c r="R717" s="30"/>
    </row>
    <row r="718" spans="18:18" ht="15.75" customHeight="1">
      <c r="R718" s="30"/>
    </row>
    <row r="719" spans="18:18" ht="15.75" customHeight="1">
      <c r="R719" s="30"/>
    </row>
    <row r="720" spans="18:18" ht="15.75" customHeight="1">
      <c r="R720" s="30"/>
    </row>
    <row r="721" spans="18:18" ht="15.75" customHeight="1">
      <c r="R721" s="30"/>
    </row>
    <row r="722" spans="18:18" ht="15.75" customHeight="1">
      <c r="R722" s="30"/>
    </row>
    <row r="723" spans="18:18" ht="15.75" customHeight="1">
      <c r="R723" s="30"/>
    </row>
    <row r="724" spans="18:18" ht="15.75" customHeight="1">
      <c r="R724" s="30"/>
    </row>
    <row r="725" spans="18:18" ht="15.75" customHeight="1">
      <c r="R725" s="30"/>
    </row>
    <row r="726" spans="18:18" ht="15.75" customHeight="1">
      <c r="R726" s="30"/>
    </row>
    <row r="727" spans="18:18" ht="15.75" customHeight="1">
      <c r="R727" s="30"/>
    </row>
    <row r="728" spans="18:18" ht="15.75" customHeight="1">
      <c r="R728" s="30"/>
    </row>
    <row r="729" spans="18:18" ht="15.75" customHeight="1">
      <c r="R729" s="30"/>
    </row>
    <row r="730" spans="18:18" ht="15.75" customHeight="1">
      <c r="R730" s="30"/>
    </row>
    <row r="731" spans="18:18" ht="15.75" customHeight="1">
      <c r="R731" s="30"/>
    </row>
    <row r="732" spans="18:18" ht="15.75" customHeight="1">
      <c r="R732" s="30"/>
    </row>
    <row r="733" spans="18:18" ht="15.75" customHeight="1">
      <c r="R733" s="30"/>
    </row>
    <row r="734" spans="18:18" ht="15.75" customHeight="1">
      <c r="R734" s="30"/>
    </row>
    <row r="735" spans="18:18" ht="15.75" customHeight="1">
      <c r="R735" s="30"/>
    </row>
    <row r="736" spans="18:18" ht="15.75" customHeight="1">
      <c r="R736" s="30"/>
    </row>
    <row r="737" spans="18:18" ht="15.75" customHeight="1">
      <c r="R737" s="30"/>
    </row>
    <row r="738" spans="18:18" ht="15.75" customHeight="1">
      <c r="R738" s="30"/>
    </row>
    <row r="739" spans="18:18" ht="15.75" customHeight="1">
      <c r="R739" s="30"/>
    </row>
    <row r="740" spans="18:18" ht="15.75" customHeight="1">
      <c r="R740" s="30"/>
    </row>
    <row r="741" spans="18:18" ht="15.75" customHeight="1">
      <c r="R741" s="30"/>
    </row>
    <row r="742" spans="18:18" ht="15.75" customHeight="1">
      <c r="R742" s="30"/>
    </row>
    <row r="743" spans="18:18" ht="15.75" customHeight="1">
      <c r="R743" s="30"/>
    </row>
    <row r="744" spans="18:18" ht="15.75" customHeight="1">
      <c r="R744" s="30"/>
    </row>
    <row r="745" spans="18:18" ht="15.75" customHeight="1">
      <c r="R745" s="30"/>
    </row>
    <row r="746" spans="18:18" ht="15.75" customHeight="1">
      <c r="R746" s="30"/>
    </row>
    <row r="747" spans="18:18" ht="15.75" customHeight="1">
      <c r="R747" s="30"/>
    </row>
    <row r="748" spans="18:18" ht="15.75" customHeight="1">
      <c r="R748" s="30"/>
    </row>
    <row r="749" spans="18:18" ht="15.75" customHeight="1">
      <c r="R749" s="30"/>
    </row>
    <row r="750" spans="18:18" ht="15.75" customHeight="1">
      <c r="R750" s="30"/>
    </row>
    <row r="751" spans="18:18" ht="15.75" customHeight="1">
      <c r="R751" s="30"/>
    </row>
    <row r="752" spans="18:18" ht="15.75" customHeight="1">
      <c r="R752" s="30"/>
    </row>
    <row r="753" spans="18:18" ht="15.75" customHeight="1">
      <c r="R753" s="30"/>
    </row>
    <row r="754" spans="18:18" ht="15.75" customHeight="1">
      <c r="R754" s="30"/>
    </row>
    <row r="755" spans="18:18" ht="15.75" customHeight="1">
      <c r="R755" s="30"/>
    </row>
    <row r="756" spans="18:18" ht="15.75" customHeight="1">
      <c r="R756" s="30"/>
    </row>
    <row r="757" spans="18:18" ht="15.75" customHeight="1">
      <c r="R757" s="30"/>
    </row>
    <row r="758" spans="18:18" ht="15.75" customHeight="1">
      <c r="R758" s="30"/>
    </row>
    <row r="759" spans="18:18" ht="15.75" customHeight="1">
      <c r="R759" s="30"/>
    </row>
    <row r="760" spans="18:18" ht="15.75" customHeight="1">
      <c r="R760" s="30"/>
    </row>
    <row r="761" spans="18:18" ht="15.75" customHeight="1">
      <c r="R761" s="30"/>
    </row>
    <row r="762" spans="18:18" ht="15.75" customHeight="1">
      <c r="R762" s="30"/>
    </row>
    <row r="763" spans="18:18" ht="15.75" customHeight="1">
      <c r="R763" s="30"/>
    </row>
    <row r="764" spans="18:18" ht="15.75" customHeight="1">
      <c r="R764" s="30"/>
    </row>
    <row r="765" spans="18:18" ht="15.75" customHeight="1">
      <c r="R765" s="30"/>
    </row>
    <row r="766" spans="18:18" ht="15.75" customHeight="1">
      <c r="R766" s="30"/>
    </row>
    <row r="767" spans="18:18" ht="15.75" customHeight="1">
      <c r="R767" s="30"/>
    </row>
    <row r="768" spans="18:18" ht="15.75" customHeight="1">
      <c r="R768" s="30"/>
    </row>
    <row r="769" spans="18:18" ht="15.75" customHeight="1">
      <c r="R769" s="30"/>
    </row>
    <row r="770" spans="18:18" ht="15.75" customHeight="1">
      <c r="R770" s="30"/>
    </row>
    <row r="771" spans="18:18" ht="15.75" customHeight="1">
      <c r="R771" s="30"/>
    </row>
    <row r="772" spans="18:18" ht="15.75" customHeight="1">
      <c r="R772" s="30"/>
    </row>
    <row r="773" spans="18:18" ht="15.75" customHeight="1">
      <c r="R773" s="30"/>
    </row>
    <row r="774" spans="18:18" ht="15.75" customHeight="1">
      <c r="R774" s="30"/>
    </row>
    <row r="775" spans="18:18" ht="15.75" customHeight="1">
      <c r="R775" s="30"/>
    </row>
    <row r="776" spans="18:18" ht="15.75" customHeight="1">
      <c r="R776" s="30"/>
    </row>
    <row r="777" spans="18:18" ht="15.75" customHeight="1">
      <c r="R777" s="30"/>
    </row>
    <row r="778" spans="18:18" ht="15.75" customHeight="1">
      <c r="R778" s="30"/>
    </row>
    <row r="779" spans="18:18" ht="15.75" customHeight="1">
      <c r="R779" s="30"/>
    </row>
    <row r="780" spans="18:18" ht="15.75" customHeight="1">
      <c r="R780" s="30"/>
    </row>
    <row r="781" spans="18:18" ht="15.75" customHeight="1">
      <c r="R781" s="30"/>
    </row>
    <row r="782" spans="18:18" ht="15.75" customHeight="1">
      <c r="R782" s="30"/>
    </row>
    <row r="783" spans="18:18" ht="15.75" customHeight="1">
      <c r="R783" s="30"/>
    </row>
    <row r="784" spans="18:18" ht="15.75" customHeight="1">
      <c r="R784" s="30"/>
    </row>
    <row r="785" spans="18:18" ht="15.75" customHeight="1">
      <c r="R785" s="30"/>
    </row>
    <row r="786" spans="18:18" ht="15.75" customHeight="1">
      <c r="R786" s="30"/>
    </row>
    <row r="787" spans="18:18" ht="15.75" customHeight="1">
      <c r="R787" s="30"/>
    </row>
    <row r="788" spans="18:18" ht="15.75" customHeight="1">
      <c r="R788" s="30"/>
    </row>
    <row r="789" spans="18:18" ht="15.75" customHeight="1">
      <c r="R789" s="30"/>
    </row>
    <row r="790" spans="18:18" ht="15.75" customHeight="1">
      <c r="R790" s="30"/>
    </row>
    <row r="791" spans="18:18" ht="15.75" customHeight="1">
      <c r="R791" s="30"/>
    </row>
    <row r="792" spans="18:18" ht="15.75" customHeight="1">
      <c r="R792" s="30"/>
    </row>
    <row r="793" spans="18:18" ht="15.75" customHeight="1">
      <c r="R793" s="30"/>
    </row>
    <row r="794" spans="18:18" ht="15.75" customHeight="1">
      <c r="R794" s="30"/>
    </row>
    <row r="795" spans="18:18" ht="15.75" customHeight="1">
      <c r="R795" s="30"/>
    </row>
    <row r="796" spans="18:18" ht="15.75" customHeight="1">
      <c r="R796" s="30"/>
    </row>
    <row r="797" spans="18:18" ht="15.75" customHeight="1">
      <c r="R797" s="30"/>
    </row>
    <row r="798" spans="18:18" ht="15.75" customHeight="1">
      <c r="R798" s="30"/>
    </row>
    <row r="799" spans="18:18" ht="15.75" customHeight="1">
      <c r="R799" s="30"/>
    </row>
    <row r="800" spans="18:18" ht="15.75" customHeight="1">
      <c r="R800" s="30"/>
    </row>
    <row r="801" spans="18:18" ht="15.75" customHeight="1">
      <c r="R801" s="30"/>
    </row>
    <row r="802" spans="18:18" ht="15.75" customHeight="1">
      <c r="R802" s="30"/>
    </row>
    <row r="803" spans="18:18" ht="15.75" customHeight="1">
      <c r="R803" s="30"/>
    </row>
    <row r="804" spans="18:18" ht="15.75" customHeight="1">
      <c r="R804" s="30"/>
    </row>
    <row r="805" spans="18:18" ht="15.75" customHeight="1">
      <c r="R805" s="30"/>
    </row>
    <row r="806" spans="18:18" ht="15.75" customHeight="1">
      <c r="R806" s="30"/>
    </row>
    <row r="807" spans="18:18" ht="15.75" customHeight="1">
      <c r="R807" s="30"/>
    </row>
    <row r="808" spans="18:18" ht="15.75" customHeight="1">
      <c r="R808" s="30"/>
    </row>
    <row r="809" spans="18:18" ht="15.75" customHeight="1">
      <c r="R809" s="30"/>
    </row>
    <row r="810" spans="18:18" ht="15.75" customHeight="1">
      <c r="R810" s="30"/>
    </row>
    <row r="811" spans="18:18" ht="15.75" customHeight="1">
      <c r="R811" s="30"/>
    </row>
    <row r="812" spans="18:18" ht="15.75" customHeight="1">
      <c r="R812" s="30"/>
    </row>
    <row r="813" spans="18:18" ht="15.75" customHeight="1">
      <c r="R813" s="30"/>
    </row>
    <row r="814" spans="18:18" ht="15.75" customHeight="1">
      <c r="R814" s="30"/>
    </row>
    <row r="815" spans="18:18" ht="15.75" customHeight="1">
      <c r="R815" s="30"/>
    </row>
    <row r="816" spans="18:18" ht="15.75" customHeight="1">
      <c r="R816" s="30"/>
    </row>
    <row r="817" spans="18:18" ht="15.75" customHeight="1">
      <c r="R817" s="30"/>
    </row>
    <row r="818" spans="18:18" ht="15.75" customHeight="1">
      <c r="R818" s="30"/>
    </row>
    <row r="819" spans="18:18" ht="15.75" customHeight="1">
      <c r="R819" s="30"/>
    </row>
    <row r="820" spans="18:18" ht="15.75" customHeight="1">
      <c r="R820" s="30"/>
    </row>
    <row r="821" spans="18:18" ht="15.75" customHeight="1">
      <c r="R821" s="30"/>
    </row>
    <row r="822" spans="18:18" ht="15.75" customHeight="1">
      <c r="R822" s="30"/>
    </row>
    <row r="823" spans="18:18" ht="15.75" customHeight="1">
      <c r="R823" s="30"/>
    </row>
    <row r="824" spans="18:18" ht="15.75" customHeight="1">
      <c r="R824" s="30"/>
    </row>
    <row r="825" spans="18:18" ht="15.75" customHeight="1">
      <c r="R825" s="30"/>
    </row>
    <row r="826" spans="18:18" ht="15.75" customHeight="1">
      <c r="R826" s="30"/>
    </row>
    <row r="827" spans="18:18" ht="15.75" customHeight="1">
      <c r="R827" s="30"/>
    </row>
    <row r="828" spans="18:18" ht="15.75" customHeight="1">
      <c r="R828" s="30"/>
    </row>
    <row r="829" spans="18:18" ht="15.75" customHeight="1">
      <c r="R829" s="30"/>
    </row>
    <row r="830" spans="18:18" ht="15.75" customHeight="1">
      <c r="R830" s="30"/>
    </row>
    <row r="831" spans="18:18" ht="15.75" customHeight="1">
      <c r="R831" s="30"/>
    </row>
    <row r="832" spans="18:18" ht="15.75" customHeight="1">
      <c r="R832" s="30"/>
    </row>
    <row r="833" spans="18:18" ht="15.75" customHeight="1">
      <c r="R833" s="30"/>
    </row>
    <row r="834" spans="18:18" ht="15.75" customHeight="1">
      <c r="R834" s="30"/>
    </row>
    <row r="835" spans="18:18" ht="15.75" customHeight="1">
      <c r="R835" s="30"/>
    </row>
    <row r="836" spans="18:18" ht="15.75" customHeight="1">
      <c r="R836" s="30"/>
    </row>
    <row r="837" spans="18:18" ht="15.75" customHeight="1">
      <c r="R837" s="30"/>
    </row>
    <row r="838" spans="18:18" ht="15.75" customHeight="1">
      <c r="R838" s="30"/>
    </row>
    <row r="839" spans="18:18" ht="15.75" customHeight="1">
      <c r="R839" s="30"/>
    </row>
    <row r="840" spans="18:18" ht="15.75" customHeight="1">
      <c r="R840" s="30"/>
    </row>
    <row r="841" spans="18:18" ht="15.75" customHeight="1">
      <c r="R841" s="30"/>
    </row>
    <row r="842" spans="18:18" ht="15.75" customHeight="1">
      <c r="R842" s="30"/>
    </row>
    <row r="843" spans="18:18" ht="15.75" customHeight="1">
      <c r="R843" s="30"/>
    </row>
    <row r="844" spans="18:18" ht="15.75" customHeight="1">
      <c r="R844" s="30"/>
    </row>
    <row r="845" spans="18:18" ht="15.75" customHeight="1">
      <c r="R845" s="30"/>
    </row>
    <row r="846" spans="18:18" ht="15.75" customHeight="1">
      <c r="R846" s="30"/>
    </row>
    <row r="847" spans="18:18" ht="15.75" customHeight="1">
      <c r="R847" s="30"/>
    </row>
    <row r="848" spans="18:18" ht="15.75" customHeight="1">
      <c r="R848" s="30"/>
    </row>
    <row r="849" spans="18:18" ht="15.75" customHeight="1">
      <c r="R849" s="30"/>
    </row>
    <row r="850" spans="18:18" ht="15.75" customHeight="1">
      <c r="R850" s="30"/>
    </row>
    <row r="851" spans="18:18" ht="15.75" customHeight="1">
      <c r="R851" s="30"/>
    </row>
    <row r="852" spans="18:18" ht="15.75" customHeight="1">
      <c r="R852" s="30"/>
    </row>
    <row r="853" spans="18:18" ht="15.75" customHeight="1">
      <c r="R853" s="30"/>
    </row>
    <row r="854" spans="18:18" ht="15.75" customHeight="1">
      <c r="R854" s="30"/>
    </row>
    <row r="855" spans="18:18" ht="15.75" customHeight="1">
      <c r="R855" s="30"/>
    </row>
    <row r="856" spans="18:18" ht="15.75" customHeight="1">
      <c r="R856" s="30"/>
    </row>
    <row r="857" spans="18:18" ht="15.75" customHeight="1">
      <c r="R857" s="30"/>
    </row>
    <row r="858" spans="18:18" ht="15.75" customHeight="1">
      <c r="R858" s="30"/>
    </row>
    <row r="859" spans="18:18" ht="15.75" customHeight="1">
      <c r="R859" s="30"/>
    </row>
    <row r="860" spans="18:18" ht="15.75" customHeight="1">
      <c r="R860" s="30"/>
    </row>
    <row r="861" spans="18:18" ht="15.75" customHeight="1">
      <c r="R861" s="30"/>
    </row>
    <row r="862" spans="18:18" ht="15.75" customHeight="1">
      <c r="R862" s="30"/>
    </row>
    <row r="863" spans="18:18" ht="15.75" customHeight="1">
      <c r="R863" s="30"/>
    </row>
    <row r="864" spans="18:18" ht="15.75" customHeight="1">
      <c r="R864" s="30"/>
    </row>
    <row r="865" spans="18:18" ht="15.75" customHeight="1">
      <c r="R865" s="30"/>
    </row>
    <row r="866" spans="18:18" ht="15.75" customHeight="1">
      <c r="R866" s="30"/>
    </row>
    <row r="867" spans="18:18" ht="15.75" customHeight="1">
      <c r="R867" s="30"/>
    </row>
    <row r="868" spans="18:18" ht="15.75" customHeight="1">
      <c r="R868" s="30"/>
    </row>
    <row r="869" spans="18:18" ht="15.75" customHeight="1">
      <c r="R869" s="30"/>
    </row>
    <row r="870" spans="18:18" ht="15.75" customHeight="1">
      <c r="R870" s="30"/>
    </row>
    <row r="871" spans="18:18" ht="15.75" customHeight="1">
      <c r="R871" s="30"/>
    </row>
    <row r="872" spans="18:18" ht="15.75" customHeight="1">
      <c r="R872" s="30"/>
    </row>
    <row r="873" spans="18:18" ht="15.75" customHeight="1">
      <c r="R873" s="30"/>
    </row>
    <row r="874" spans="18:18" ht="15.75" customHeight="1">
      <c r="R874" s="30"/>
    </row>
    <row r="875" spans="18:18" ht="15.75" customHeight="1">
      <c r="R875" s="30"/>
    </row>
    <row r="876" spans="18:18" ht="15.75" customHeight="1">
      <c r="R876" s="30"/>
    </row>
    <row r="877" spans="18:18" ht="15.75" customHeight="1">
      <c r="R877" s="30"/>
    </row>
    <row r="878" spans="18:18" ht="15.75" customHeight="1">
      <c r="R878" s="30"/>
    </row>
    <row r="879" spans="18:18" ht="15.75" customHeight="1">
      <c r="R879" s="30"/>
    </row>
    <row r="880" spans="18:18" ht="15.75" customHeight="1">
      <c r="R880" s="30"/>
    </row>
    <row r="881" spans="18:18" ht="15.75" customHeight="1">
      <c r="R881" s="30"/>
    </row>
    <row r="882" spans="18:18" ht="15.75" customHeight="1">
      <c r="R882" s="30"/>
    </row>
    <row r="883" spans="18:18" ht="15.75" customHeight="1">
      <c r="R883" s="30"/>
    </row>
    <row r="884" spans="18:18" ht="15.75" customHeight="1">
      <c r="R884" s="30"/>
    </row>
    <row r="885" spans="18:18" ht="15.75" customHeight="1">
      <c r="R885" s="30"/>
    </row>
    <row r="886" spans="18:18" ht="15.75" customHeight="1">
      <c r="R886" s="30"/>
    </row>
    <row r="887" spans="18:18" ht="15.75" customHeight="1">
      <c r="R887" s="30"/>
    </row>
    <row r="888" spans="18:18" ht="15.75" customHeight="1">
      <c r="R888" s="30"/>
    </row>
    <row r="889" spans="18:18" ht="15.75" customHeight="1">
      <c r="R889" s="30"/>
    </row>
    <row r="890" spans="18:18" ht="15.75" customHeight="1">
      <c r="R890" s="30"/>
    </row>
    <row r="891" spans="18:18" ht="15.75" customHeight="1">
      <c r="R891" s="30"/>
    </row>
    <row r="892" spans="18:18" ht="15.75" customHeight="1">
      <c r="R892" s="30"/>
    </row>
    <row r="893" spans="18:18" ht="15.75" customHeight="1">
      <c r="R893" s="30"/>
    </row>
    <row r="894" spans="18:18" ht="15.75" customHeight="1">
      <c r="R894" s="30"/>
    </row>
    <row r="895" spans="18:18" ht="15.75" customHeight="1">
      <c r="R895" s="30"/>
    </row>
    <row r="896" spans="18:18" ht="15.75" customHeight="1">
      <c r="R896" s="30"/>
    </row>
    <row r="897" spans="18:18" ht="15.75" customHeight="1">
      <c r="R897" s="30"/>
    </row>
    <row r="898" spans="18:18" ht="15.75" customHeight="1">
      <c r="R898" s="30"/>
    </row>
    <row r="899" spans="18:18" ht="15.75" customHeight="1">
      <c r="R899" s="30"/>
    </row>
    <row r="900" spans="18:18" ht="15.75" customHeight="1">
      <c r="R900" s="30"/>
    </row>
    <row r="901" spans="18:18" ht="15.75" customHeight="1">
      <c r="R901" s="30"/>
    </row>
    <row r="902" spans="18:18" ht="15.75" customHeight="1">
      <c r="R902" s="30"/>
    </row>
    <row r="903" spans="18:18" ht="15.75" customHeight="1">
      <c r="R903" s="30"/>
    </row>
    <row r="904" spans="18:18" ht="15.75" customHeight="1">
      <c r="R904" s="30"/>
    </row>
    <row r="905" spans="18:18" ht="15.75" customHeight="1">
      <c r="R905" s="30"/>
    </row>
    <row r="906" spans="18:18" ht="15.75" customHeight="1">
      <c r="R906" s="30"/>
    </row>
    <row r="907" spans="18:18" ht="15.75" customHeight="1">
      <c r="R907" s="30"/>
    </row>
    <row r="908" spans="18:18" ht="15.75" customHeight="1">
      <c r="R908" s="30"/>
    </row>
    <row r="909" spans="18:18" ht="15.75" customHeight="1">
      <c r="R909" s="30"/>
    </row>
    <row r="910" spans="18:18" ht="15.75" customHeight="1">
      <c r="R910" s="30"/>
    </row>
    <row r="911" spans="18:18" ht="15.75" customHeight="1">
      <c r="R911" s="30"/>
    </row>
    <row r="912" spans="18:18" ht="15.75" customHeight="1">
      <c r="R912" s="30"/>
    </row>
    <row r="913" spans="18:18" ht="15.75" customHeight="1">
      <c r="R913" s="30"/>
    </row>
    <row r="914" spans="18:18" ht="15.75" customHeight="1">
      <c r="R914" s="30"/>
    </row>
    <row r="915" spans="18:18" ht="15.75" customHeight="1">
      <c r="R915" s="30"/>
    </row>
    <row r="916" spans="18:18" ht="15.75" customHeight="1">
      <c r="R916" s="30"/>
    </row>
    <row r="917" spans="18:18" ht="15.75" customHeight="1">
      <c r="R917" s="30"/>
    </row>
    <row r="918" spans="18:18" ht="15.75" customHeight="1">
      <c r="R918" s="30"/>
    </row>
    <row r="919" spans="18:18" ht="15.75" customHeight="1">
      <c r="R919" s="30"/>
    </row>
    <row r="920" spans="18:18" ht="15.75" customHeight="1">
      <c r="R920" s="30"/>
    </row>
    <row r="921" spans="18:18" ht="15.75" customHeight="1">
      <c r="R921" s="30"/>
    </row>
    <row r="922" spans="18:18" ht="15.75" customHeight="1">
      <c r="R922" s="30"/>
    </row>
    <row r="923" spans="18:18" ht="15.75" customHeight="1">
      <c r="R923" s="30"/>
    </row>
    <row r="924" spans="18:18" ht="15.75" customHeight="1">
      <c r="R924" s="30"/>
    </row>
    <row r="925" spans="18:18" ht="15.75" customHeight="1">
      <c r="R925" s="30"/>
    </row>
    <row r="926" spans="18:18" ht="15.75" customHeight="1">
      <c r="R926" s="30"/>
    </row>
    <row r="927" spans="18:18" ht="15.75" customHeight="1">
      <c r="R927" s="30"/>
    </row>
    <row r="928" spans="18:18" ht="15.75" customHeight="1">
      <c r="R928" s="30"/>
    </row>
    <row r="929" spans="18:18" ht="15.75" customHeight="1">
      <c r="R929" s="30"/>
    </row>
    <row r="930" spans="18:18" ht="15.75" customHeight="1">
      <c r="R930" s="30"/>
    </row>
    <row r="931" spans="18:18" ht="15.75" customHeight="1">
      <c r="R931" s="30"/>
    </row>
    <row r="932" spans="18:18" ht="15.75" customHeight="1">
      <c r="R932" s="30"/>
    </row>
    <row r="933" spans="18:18" ht="15.75" customHeight="1">
      <c r="R933" s="30"/>
    </row>
    <row r="934" spans="18:18" ht="15.75" customHeight="1">
      <c r="R934" s="30"/>
    </row>
    <row r="935" spans="18:18" ht="15.75" customHeight="1">
      <c r="R935" s="30"/>
    </row>
    <row r="936" spans="18:18" ht="15.75" customHeight="1">
      <c r="R936" s="30"/>
    </row>
    <row r="937" spans="18:18" ht="15.75" customHeight="1">
      <c r="R937" s="30"/>
    </row>
    <row r="938" spans="18:18" ht="15.75" customHeight="1">
      <c r="R938" s="30"/>
    </row>
    <row r="939" spans="18:18" ht="15.75" customHeight="1">
      <c r="R939" s="30"/>
    </row>
    <row r="940" spans="18:18" ht="15.75" customHeight="1">
      <c r="R940" s="30"/>
    </row>
    <row r="941" spans="18:18" ht="15.75" customHeight="1">
      <c r="R941" s="30"/>
    </row>
    <row r="942" spans="18:18" ht="15.75" customHeight="1">
      <c r="R942" s="30"/>
    </row>
    <row r="943" spans="18:18" ht="15.75" customHeight="1">
      <c r="R943" s="30"/>
    </row>
    <row r="944" spans="18:18" ht="15.75" customHeight="1">
      <c r="R944" s="30"/>
    </row>
    <row r="945" spans="18:18" ht="15.75" customHeight="1">
      <c r="R945" s="30"/>
    </row>
    <row r="946" spans="18:18" ht="15.75" customHeight="1">
      <c r="R946" s="30"/>
    </row>
    <row r="947" spans="18:18" ht="15.75" customHeight="1">
      <c r="R947" s="30"/>
    </row>
    <row r="948" spans="18:18" ht="15.75" customHeight="1">
      <c r="R948" s="30"/>
    </row>
    <row r="949" spans="18:18" ht="15.75" customHeight="1">
      <c r="R949" s="30"/>
    </row>
    <row r="950" spans="18:18" ht="15.75" customHeight="1">
      <c r="R950" s="30"/>
    </row>
    <row r="951" spans="18:18" ht="15.75" customHeight="1">
      <c r="R951" s="30"/>
    </row>
    <row r="952" spans="18:18" ht="15.75" customHeight="1">
      <c r="R952" s="30"/>
    </row>
    <row r="953" spans="18:18" ht="15.75" customHeight="1">
      <c r="R953" s="30"/>
    </row>
    <row r="954" spans="18:18" ht="15.75" customHeight="1">
      <c r="R954" s="30"/>
    </row>
    <row r="955" spans="18:18" ht="15.75" customHeight="1">
      <c r="R955" s="30"/>
    </row>
    <row r="956" spans="18:18" ht="15.75" customHeight="1">
      <c r="R956" s="30"/>
    </row>
    <row r="957" spans="18:18" ht="15.75" customHeight="1">
      <c r="R957" s="30"/>
    </row>
    <row r="958" spans="18:18" ht="15.75" customHeight="1">
      <c r="R958" s="30"/>
    </row>
    <row r="959" spans="18:18" ht="15.75" customHeight="1">
      <c r="R959" s="30"/>
    </row>
    <row r="960" spans="18:18" ht="15.75" customHeight="1">
      <c r="R960" s="30"/>
    </row>
    <row r="961" spans="18:18" ht="15.75" customHeight="1">
      <c r="R961" s="30"/>
    </row>
    <row r="962" spans="18:18" ht="15.75" customHeight="1">
      <c r="R962" s="30"/>
    </row>
    <row r="963" spans="18:18" ht="15.75" customHeight="1">
      <c r="R963" s="30"/>
    </row>
    <row r="964" spans="18:18" ht="15.75" customHeight="1">
      <c r="R964" s="30"/>
    </row>
    <row r="965" spans="18:18" ht="15.75" customHeight="1">
      <c r="R965" s="30"/>
    </row>
    <row r="966" spans="18:18" ht="15.75" customHeight="1">
      <c r="R966" s="30"/>
    </row>
    <row r="967" spans="18:18" ht="15.75" customHeight="1">
      <c r="R967" s="30"/>
    </row>
    <row r="968" spans="18:18" ht="15.75" customHeight="1">
      <c r="R968" s="30"/>
    </row>
    <row r="969" spans="18:18" ht="15.75" customHeight="1">
      <c r="R969" s="30"/>
    </row>
    <row r="970" spans="18:18" ht="15.75" customHeight="1">
      <c r="R970" s="30"/>
    </row>
    <row r="971" spans="18:18" ht="15.75" customHeight="1">
      <c r="R971" s="30"/>
    </row>
    <row r="972" spans="18:18" ht="15.75" customHeight="1">
      <c r="R972" s="30"/>
    </row>
    <row r="973" spans="18:18" ht="15.75" customHeight="1">
      <c r="R973" s="30"/>
    </row>
    <row r="974" spans="18:18" ht="15.75" customHeight="1">
      <c r="R974" s="30"/>
    </row>
    <row r="975" spans="18:18" ht="15.75" customHeight="1">
      <c r="R975" s="30"/>
    </row>
    <row r="976" spans="18:18" ht="15.75" customHeight="1">
      <c r="R976" s="30"/>
    </row>
    <row r="977" spans="18:18" ht="15.75" customHeight="1">
      <c r="R977" s="30"/>
    </row>
    <row r="978" spans="18:18" ht="15.75" customHeight="1">
      <c r="R978" s="30"/>
    </row>
    <row r="979" spans="18:18" ht="15.75" customHeight="1">
      <c r="R979" s="30"/>
    </row>
    <row r="980" spans="18:18" ht="15.75" customHeight="1">
      <c r="R980" s="30"/>
    </row>
    <row r="981" spans="18:18" ht="15.75" customHeight="1">
      <c r="R981" s="30"/>
    </row>
    <row r="982" spans="18:18" ht="15.75" customHeight="1">
      <c r="R982" s="30"/>
    </row>
    <row r="983" spans="18:18" ht="15.75" customHeight="1">
      <c r="R983" s="30"/>
    </row>
    <row r="984" spans="18:18" ht="15.75" customHeight="1">
      <c r="R984" s="30"/>
    </row>
    <row r="985" spans="18:18" ht="15.75" customHeight="1">
      <c r="R985" s="30"/>
    </row>
    <row r="986" spans="18:18" ht="15.75" customHeight="1">
      <c r="R986" s="30"/>
    </row>
    <row r="987" spans="18:18" ht="15.75" customHeight="1">
      <c r="R987" s="30"/>
    </row>
    <row r="988" spans="18:18" ht="15.75" customHeight="1">
      <c r="R988" s="30"/>
    </row>
    <row r="989" spans="18:18" ht="15.75" customHeight="1">
      <c r="R989" s="30"/>
    </row>
    <row r="990" spans="18:18" ht="15.75" customHeight="1">
      <c r="R990" s="30"/>
    </row>
    <row r="991" spans="18:18" ht="15.75" customHeight="1">
      <c r="R991" s="30"/>
    </row>
    <row r="992" spans="18:18" ht="15.75" customHeight="1">
      <c r="R992" s="30"/>
    </row>
    <row r="993" spans="18:18" ht="15.75" customHeight="1">
      <c r="R993" s="30"/>
    </row>
    <row r="994" spans="18:18" ht="15.75" customHeight="1">
      <c r="R994" s="30"/>
    </row>
    <row r="995" spans="18:18" ht="15.75" customHeight="1">
      <c r="R995" s="30"/>
    </row>
    <row r="996" spans="18:18" ht="15.75" customHeight="1">
      <c r="R996" s="30"/>
    </row>
    <row r="997" spans="18:18" ht="15.75" customHeight="1">
      <c r="R997" s="30"/>
    </row>
    <row r="998" spans="18:18" ht="15.75" customHeight="1">
      <c r="R998" s="30"/>
    </row>
    <row r="999" spans="18:18" ht="15.75" customHeight="1">
      <c r="R999" s="30"/>
    </row>
    <row r="1000" spans="18:18" ht="15.75" customHeight="1">
      <c r="R1000" s="3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2.6640625" defaultRowHeight="15" customHeight="1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8.6640625" customWidth="1"/>
    <col min="6" max="6" width="10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16.33203125" customWidth="1"/>
    <col min="16" max="16" width="10" customWidth="1"/>
    <col min="17" max="18" width="7.33203125" customWidth="1"/>
    <col min="19" max="19" width="7.1640625" customWidth="1"/>
    <col min="20" max="20" width="11.1640625" customWidth="1"/>
    <col min="21" max="21" width="16.83203125" customWidth="1"/>
    <col min="22" max="22" width="56.6640625" customWidth="1"/>
    <col min="23" max="24" width="7.6640625" customWidth="1"/>
    <col min="25" max="25" width="8.1640625" customWidth="1"/>
    <col min="26" max="26" width="11.1640625" customWidth="1"/>
    <col min="27" max="27" width="10.6640625" customWidth="1"/>
    <col min="28" max="28" width="9.6640625" customWidth="1"/>
    <col min="29" max="29" width="7.1640625" customWidth="1"/>
    <col min="30" max="30" width="10.83203125" customWidth="1"/>
    <col min="31" max="31" width="8.6640625" customWidth="1"/>
    <col min="32" max="32" width="10.1640625" customWidth="1"/>
    <col min="33" max="33" width="8.83203125" customWidth="1"/>
  </cols>
  <sheetData>
    <row r="1" spans="1:33" ht="18.75" customHeight="1">
      <c r="A1" s="46" t="str">
        <f ca="1">IFERROR(__xludf.DUMMYFUNCTION("IFERROR(VLOOKUP(B2,IMPORTRANGE(""https://docs.google.com/spreadsheets/d/1x0DhHglkXKoEBOD2MBsuK_EyIr1ouxD2ftIpqOYFa-k/edit?usp=sharing"",""Ubiquitty-SKU-Specific Info!B1:BJ5000""),3,FALSE),"""")"),"100 Ft Lighted Outdoor Extension Cord with 3 Electrical Power Outlets - 10/3 SJTW Heavy Duty Yellow Cable with 3 Prong Grounded Plug for Safety")</f>
        <v>100 Ft Lighted Outdoor Extension Cord with 3 Electrical Power Outlets - 10/3 SJTW Heavy Duty Yellow Cable with 3 Prong Grounded Plug for Safety</v>
      </c>
      <c r="B1" s="47"/>
      <c r="C1" s="48" t="s">
        <v>0</v>
      </c>
      <c r="D1" s="50" t="s">
        <v>1</v>
      </c>
      <c r="E1" s="50" t="s">
        <v>2</v>
      </c>
      <c r="F1" s="52" t="s">
        <v>3</v>
      </c>
      <c r="G1" s="52" t="s">
        <v>4</v>
      </c>
      <c r="H1" s="53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58" t="s">
        <v>10</v>
      </c>
      <c r="N1" s="59" t="s">
        <v>11</v>
      </c>
      <c r="O1" s="50" t="s">
        <v>12</v>
      </c>
      <c r="P1" s="50" t="s">
        <v>13</v>
      </c>
      <c r="Q1" s="57" t="s">
        <v>14</v>
      </c>
      <c r="R1" s="57" t="s">
        <v>15</v>
      </c>
      <c r="S1" s="60" t="s">
        <v>16</v>
      </c>
      <c r="T1" s="62" t="s">
        <v>2006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Info!B1:BJ5000""),2,FALSE),"""")"),"B078KKZ89B")</f>
        <v>B078KKZ89B</v>
      </c>
      <c r="B2" s="3" t="s">
        <v>241</v>
      </c>
      <c r="C2" s="49"/>
      <c r="D2" s="49"/>
      <c r="E2" s="51"/>
      <c r="F2" s="49"/>
      <c r="G2" s="49"/>
      <c r="H2" s="54"/>
      <c r="I2" s="49"/>
      <c r="J2" s="49"/>
      <c r="K2" s="54"/>
      <c r="L2" s="54"/>
      <c r="M2" s="54"/>
      <c r="N2" s="49"/>
      <c r="O2" s="49"/>
      <c r="P2" s="51"/>
      <c r="Q2" s="49"/>
      <c r="R2" s="49"/>
      <c r="S2" s="61"/>
      <c r="T2" s="47"/>
      <c r="U2" s="63"/>
      <c r="V2" s="63"/>
      <c r="W2" s="47"/>
      <c r="X2" s="47"/>
      <c r="Y2" s="47"/>
      <c r="Z2" s="47"/>
      <c r="AA2" s="63"/>
      <c r="AB2" s="63"/>
      <c r="AC2" s="63"/>
      <c r="AD2" s="63"/>
      <c r="AE2" s="47"/>
      <c r="AF2" s="47"/>
      <c r="AG2" s="47"/>
    </row>
    <row r="3" spans="1:33" ht="139.5" customHeight="1">
      <c r="A3" s="55" t="s">
        <v>31</v>
      </c>
      <c r="B3" s="56"/>
      <c r="C3" s="4">
        <f>((AE32+AF32)/0.85)*-1</f>
        <v>100.09098279764706</v>
      </c>
      <c r="D3" s="5">
        <f>SUM(D4:D99765)</f>
        <v>260</v>
      </c>
      <c r="E3" s="5"/>
      <c r="F3" s="6">
        <f t="shared" ref="F3:G3" si="0">SUM(F4:F99765)</f>
        <v>34084.42</v>
      </c>
      <c r="G3" s="6">
        <f t="shared" si="0"/>
        <v>-971.37999999999977</v>
      </c>
      <c r="H3" s="7">
        <f t="shared" ref="H3:H32" si="1">G3/F3*-1</f>
        <v>2.8499238068302169E-2</v>
      </c>
      <c r="I3" s="8">
        <f t="shared" ref="I3:I32" si="2">J3/F3</f>
        <v>0.17023829740561572</v>
      </c>
      <c r="J3" s="6">
        <f>SUM(J4:J99765)</f>
        <v>5802.4736288579161</v>
      </c>
      <c r="K3" s="6">
        <f t="shared" ref="K3:K32" si="3">J3/D3</f>
        <v>22.317206264838138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Sheet!a1:g5000""),2,FALSE),"""")"),"2.5 - March
2.5 - April
3 - May
2.5 - June
2.5 - July
2.5 - Aug
2.5 - Sept
2.5 - Oct
3 - Nov
3 - Dec
2 - Jan
2.5 - Feb")</f>
        <v>2.5 - March
2.5 - April
3 - May
2.5 - June
2.5 - July
2.5 - Aug
2.5 - Sept
2.5 - Oct
3 - Nov
3 - Dec
2 - Jan
2.5 -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QTY-0")</f>
        <v>US QTY-0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24</v>
      </c>
      <c r="X3" s="7">
        <f>W3/D3</f>
        <v>9.2307692307692313E-2</v>
      </c>
      <c r="Y3" s="6"/>
      <c r="Z3" s="5"/>
      <c r="AA3" s="5"/>
      <c r="AB3" s="5"/>
      <c r="AC3" s="5"/>
      <c r="AD3" s="6">
        <f>SUM(AD4:AD99765)</f>
        <v>-127.62259458285051</v>
      </c>
      <c r="AE3" s="6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Info!B2:BZ3000""),37,FALSE)),"""")*-1"),-67.297335378)</f>
        <v>-67.297335378</v>
      </c>
      <c r="AG3" s="6">
        <f>SUM(AG4:AG99765)</f>
        <v>0</v>
      </c>
    </row>
    <row r="4" spans="1:33" ht="15.75" customHeight="1">
      <c r="A4" s="14" t="s">
        <v>181</v>
      </c>
      <c r="B4" s="14" t="s">
        <v>242</v>
      </c>
      <c r="C4" s="15">
        <f t="shared" ref="C4:C32" si="4">IFERROR(F4/D4," - ")</f>
        <v>139.94999999999999</v>
      </c>
      <c r="D4" s="16">
        <v>2</v>
      </c>
      <c r="E4" s="16">
        <v>0</v>
      </c>
      <c r="F4" s="17">
        <v>279.89999999999998</v>
      </c>
      <c r="G4" s="17">
        <v>-0.08</v>
      </c>
      <c r="H4" s="18">
        <f t="shared" si="1"/>
        <v>2.8581636298678103E-4</v>
      </c>
      <c r="I4" s="18">
        <f t="shared" si="2"/>
        <v>0.23559548648326772</v>
      </c>
      <c r="J4" s="17">
        <f t="shared" ref="J4:J32" si="5">F4*0.85+G4+AF4*D4+D4*AE4+AG4+AD4</f>
        <v>65.943176666666631</v>
      </c>
      <c r="K4" s="17">
        <f t="shared" si="3"/>
        <v>32.971588333333315</v>
      </c>
      <c r="L4" s="16">
        <v>0</v>
      </c>
      <c r="M4" s="19" t="str">
        <f t="shared" ref="M4:M32" si="6">IFERROR(D4/L4,"-")</f>
        <v>-</v>
      </c>
      <c r="N4" s="16">
        <v>198</v>
      </c>
      <c r="O4" s="20">
        <f t="shared" ref="O4:P4" si="7">D4/7</f>
        <v>0.2857142857142857</v>
      </c>
      <c r="P4" s="20">
        <f t="shared" si="7"/>
        <v>0</v>
      </c>
      <c r="Q4" s="16">
        <f t="shared" ref="Q4:Q32" si="8">ROUNDDOWN(N4/(O4+P4),0)</f>
        <v>693</v>
      </c>
      <c r="R4" s="16"/>
      <c r="S4" s="21">
        <v>1.2422360248447201E-2</v>
      </c>
      <c r="T4" s="14">
        <v>387</v>
      </c>
      <c r="U4" s="22">
        <v>48</v>
      </c>
      <c r="V4" s="23" t="s">
        <v>243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26" t="s">
        <v>63</v>
      </c>
      <c r="AB4" s="27">
        <f t="shared" ref="AB4:AB32" si="11">IF(OR(AA4="UsLargeStandardSize",AA4="UsSmallStandardSize"),-0.69,-0.48)</f>
        <v>-0.48</v>
      </c>
      <c r="AC4" s="28">
        <v>0.40655381944444441</v>
      </c>
      <c r="AD4" s="25">
        <f t="shared" ref="AD4:AD32" si="12">IFERROR(AB4*AC4*D4*2,0)</f>
        <v>-0.78058333333333318</v>
      </c>
      <c r="AE4" s="25">
        <v>-17.38</v>
      </c>
      <c r="AF4" s="25">
        <v>-68.175619999999995</v>
      </c>
      <c r="AG4" s="25">
        <v>0</v>
      </c>
    </row>
    <row r="5" spans="1:33" ht="15.75" customHeight="1">
      <c r="A5" s="14" t="s">
        <v>183</v>
      </c>
      <c r="B5" s="14" t="s">
        <v>64</v>
      </c>
      <c r="C5" s="15">
        <f t="shared" si="4"/>
        <v>133.61599999999999</v>
      </c>
      <c r="D5" s="16">
        <v>5</v>
      </c>
      <c r="E5" s="16">
        <v>0</v>
      </c>
      <c r="F5" s="29">
        <v>668.07999999999993</v>
      </c>
      <c r="G5" s="29">
        <v>0</v>
      </c>
      <c r="H5" s="18">
        <f t="shared" si="1"/>
        <v>0</v>
      </c>
      <c r="I5" s="18">
        <f t="shared" si="2"/>
        <v>0.20676592686077941</v>
      </c>
      <c r="J5" s="17">
        <f t="shared" si="5"/>
        <v>138.13618041714949</v>
      </c>
      <c r="K5" s="17">
        <f t="shared" si="3"/>
        <v>27.627236083429899</v>
      </c>
      <c r="L5" s="16">
        <v>34</v>
      </c>
      <c r="M5" s="19">
        <f t="shared" si="6"/>
        <v>0.14705882352941177</v>
      </c>
      <c r="N5" s="16">
        <v>192</v>
      </c>
      <c r="O5" s="20">
        <f t="shared" ref="O5:P5" si="13">D5/7</f>
        <v>0.7142857142857143</v>
      </c>
      <c r="P5" s="20">
        <f t="shared" si="13"/>
        <v>0</v>
      </c>
      <c r="Q5" s="16">
        <f t="shared" si="8"/>
        <v>268</v>
      </c>
      <c r="R5" s="16"/>
      <c r="S5" s="21">
        <v>5.0473186119873802E-2</v>
      </c>
      <c r="T5" s="14">
        <v>387</v>
      </c>
      <c r="U5" s="22">
        <v>48</v>
      </c>
      <c r="V5" s="23" t="s">
        <v>243</v>
      </c>
      <c r="W5" s="14">
        <v>0</v>
      </c>
      <c r="X5" s="24">
        <f t="shared" si="9"/>
        <v>0</v>
      </c>
      <c r="Y5" s="25">
        <f t="shared" si="10"/>
        <v>0</v>
      </c>
      <c r="Z5" s="14">
        <v>0</v>
      </c>
      <c r="AA5" s="14" t="s">
        <v>63</v>
      </c>
      <c r="AB5" s="27">
        <f t="shared" si="11"/>
        <v>-0.48</v>
      </c>
      <c r="AC5" s="28">
        <v>0.40702491309385863</v>
      </c>
      <c r="AD5" s="25">
        <f t="shared" si="12"/>
        <v>-1.9537195828505214</v>
      </c>
      <c r="AE5" s="25">
        <v>-17.38</v>
      </c>
      <c r="AF5" s="25">
        <v>-68.175619999999995</v>
      </c>
      <c r="AG5" s="25">
        <v>0</v>
      </c>
    </row>
    <row r="6" spans="1:33" ht="15.75" customHeight="1">
      <c r="A6" s="14" t="s">
        <v>185</v>
      </c>
      <c r="B6" s="14" t="s">
        <v>66</v>
      </c>
      <c r="C6" s="15">
        <f t="shared" si="4"/>
        <v>114.45588235294116</v>
      </c>
      <c r="D6" s="16">
        <v>17</v>
      </c>
      <c r="E6" s="16">
        <v>0</v>
      </c>
      <c r="F6" s="29">
        <v>1945.7499999999998</v>
      </c>
      <c r="G6" s="29">
        <v>-80.799999999999969</v>
      </c>
      <c r="H6" s="18">
        <f t="shared" si="1"/>
        <v>4.1526403700372597E-2</v>
      </c>
      <c r="I6" s="18">
        <f t="shared" si="2"/>
        <v>5.7564950104929548E-2</v>
      </c>
      <c r="J6" s="17">
        <f t="shared" si="5"/>
        <v>112.00700166666665</v>
      </c>
      <c r="K6" s="17">
        <f t="shared" si="3"/>
        <v>6.588647156862744</v>
      </c>
      <c r="L6" s="16">
        <v>67</v>
      </c>
      <c r="M6" s="19">
        <f t="shared" si="6"/>
        <v>0.2537313432835821</v>
      </c>
      <c r="N6" s="16">
        <v>134</v>
      </c>
      <c r="O6" s="20">
        <f t="shared" ref="O6:P6" si="14">D6/7</f>
        <v>2.4285714285714284</v>
      </c>
      <c r="P6" s="20">
        <f t="shared" si="14"/>
        <v>0</v>
      </c>
      <c r="Q6" s="16">
        <f t="shared" si="8"/>
        <v>55</v>
      </c>
      <c r="R6" s="16"/>
      <c r="S6" s="21">
        <v>0.19354838709677399</v>
      </c>
      <c r="T6" s="14">
        <v>339</v>
      </c>
      <c r="U6" s="22" t="s">
        <v>34</v>
      </c>
      <c r="V6" s="23" t="s">
        <v>186</v>
      </c>
      <c r="W6" s="14">
        <v>0</v>
      </c>
      <c r="X6" s="24">
        <f t="shared" si="9"/>
        <v>0</v>
      </c>
      <c r="Y6" s="25">
        <f t="shared" si="10"/>
        <v>80.799999999999969</v>
      </c>
      <c r="Z6" s="14">
        <v>1</v>
      </c>
      <c r="AA6" s="14" t="s">
        <v>63</v>
      </c>
      <c r="AB6" s="27">
        <f t="shared" si="11"/>
        <v>-0.48</v>
      </c>
      <c r="AC6" s="28">
        <v>0.40655381944444441</v>
      </c>
      <c r="AD6" s="25">
        <f t="shared" si="12"/>
        <v>-6.6349583333333317</v>
      </c>
      <c r="AE6" s="25">
        <v>-17.38</v>
      </c>
      <c r="AF6" s="25">
        <v>-68.175619999999995</v>
      </c>
      <c r="AG6" s="25">
        <v>0</v>
      </c>
    </row>
    <row r="7" spans="1:33" ht="15.75" customHeight="1">
      <c r="A7" s="14" t="s">
        <v>187</v>
      </c>
      <c r="B7" s="14" t="s">
        <v>244</v>
      </c>
      <c r="C7" s="15">
        <f t="shared" si="4"/>
        <v>105.69346153846153</v>
      </c>
      <c r="D7" s="16">
        <v>26</v>
      </c>
      <c r="E7" s="16">
        <v>0</v>
      </c>
      <c r="F7" s="29">
        <v>2748.0299999999997</v>
      </c>
      <c r="G7" s="29">
        <v>-12.67</v>
      </c>
      <c r="H7" s="18">
        <f t="shared" si="1"/>
        <v>4.6105755759580499E-3</v>
      </c>
      <c r="I7" s="18">
        <f t="shared" si="2"/>
        <v>3.1799119935210118E-2</v>
      </c>
      <c r="J7" s="17">
        <f t="shared" si="5"/>
        <v>87.384935555555458</v>
      </c>
      <c r="K7" s="17">
        <f t="shared" si="3"/>
        <v>3.3609590598290562</v>
      </c>
      <c r="L7" s="16">
        <v>87</v>
      </c>
      <c r="M7" s="19">
        <f t="shared" si="6"/>
        <v>0.2988505747126437</v>
      </c>
      <c r="N7" s="16">
        <v>110</v>
      </c>
      <c r="O7" s="20">
        <f t="shared" ref="O7:P7" si="15">D7/7</f>
        <v>3.7142857142857144</v>
      </c>
      <c r="P7" s="20">
        <f t="shared" si="15"/>
        <v>0</v>
      </c>
      <c r="Q7" s="16">
        <f t="shared" si="8"/>
        <v>29</v>
      </c>
      <c r="R7" s="16"/>
      <c r="S7" s="21">
        <v>0.59854014598540095</v>
      </c>
      <c r="T7" s="14">
        <v>339</v>
      </c>
      <c r="U7" s="22" t="s">
        <v>34</v>
      </c>
      <c r="V7" s="23" t="s">
        <v>186</v>
      </c>
      <c r="W7" s="14">
        <v>0</v>
      </c>
      <c r="X7" s="24">
        <f t="shared" si="9"/>
        <v>0</v>
      </c>
      <c r="Y7" s="25">
        <f t="shared" si="10"/>
        <v>0</v>
      </c>
      <c r="Z7" s="14">
        <v>0</v>
      </c>
      <c r="AA7" s="14" t="s">
        <v>63</v>
      </c>
      <c r="AB7" s="27">
        <f t="shared" si="11"/>
        <v>-0.48</v>
      </c>
      <c r="AC7" s="28">
        <v>0.45370370370370372</v>
      </c>
      <c r="AD7" s="25">
        <f t="shared" si="12"/>
        <v>-11.324444444444444</v>
      </c>
      <c r="AE7" s="25">
        <v>-17.38</v>
      </c>
      <c r="AF7" s="25">
        <v>-68.175619999999995</v>
      </c>
      <c r="AG7" s="25">
        <v>0</v>
      </c>
    </row>
    <row r="8" spans="1:33" ht="15.75" customHeight="1">
      <c r="A8" s="14" t="s">
        <v>189</v>
      </c>
      <c r="B8" s="14" t="s">
        <v>245</v>
      </c>
      <c r="C8" s="15">
        <f t="shared" si="4"/>
        <v>122.9145</v>
      </c>
      <c r="D8" s="16">
        <v>20</v>
      </c>
      <c r="E8" s="16">
        <v>0</v>
      </c>
      <c r="F8" s="29">
        <v>2458.29</v>
      </c>
      <c r="G8" s="29">
        <v>0</v>
      </c>
      <c r="H8" s="18">
        <f t="shared" si="1"/>
        <v>0</v>
      </c>
      <c r="I8" s="18">
        <f t="shared" si="2"/>
        <v>0.15036280865515814</v>
      </c>
      <c r="J8" s="17">
        <f t="shared" si="5"/>
        <v>369.63538888888871</v>
      </c>
      <c r="K8" s="17">
        <f t="shared" si="3"/>
        <v>18.481769444444435</v>
      </c>
      <c r="L8" s="16">
        <v>66</v>
      </c>
      <c r="M8" s="19">
        <f t="shared" si="6"/>
        <v>0.30303030303030304</v>
      </c>
      <c r="N8" s="16">
        <v>88</v>
      </c>
      <c r="O8" s="20">
        <f t="shared" ref="O8:P8" si="16">D8/7</f>
        <v>2.8571428571428572</v>
      </c>
      <c r="P8" s="20">
        <f t="shared" si="16"/>
        <v>0</v>
      </c>
      <c r="Q8" s="16">
        <f t="shared" si="8"/>
        <v>30</v>
      </c>
      <c r="R8" s="16"/>
      <c r="S8" s="21">
        <v>0.63922518159806296</v>
      </c>
      <c r="T8" s="14">
        <v>339</v>
      </c>
      <c r="U8" s="22">
        <v>280</v>
      </c>
      <c r="V8" s="23" t="s">
        <v>246</v>
      </c>
      <c r="W8" s="14">
        <v>0</v>
      </c>
      <c r="X8" s="24">
        <f t="shared" si="9"/>
        <v>0</v>
      </c>
      <c r="Y8" s="25">
        <f t="shared" si="10"/>
        <v>0</v>
      </c>
      <c r="Z8" s="14">
        <v>0</v>
      </c>
      <c r="AA8" s="14" t="s">
        <v>63</v>
      </c>
      <c r="AB8" s="27">
        <f t="shared" si="11"/>
        <v>-0.48</v>
      </c>
      <c r="AC8" s="28">
        <v>0.45370370370370372</v>
      </c>
      <c r="AD8" s="25">
        <f t="shared" si="12"/>
        <v>-8.7111111111111104</v>
      </c>
      <c r="AE8" s="25">
        <v>-17.38</v>
      </c>
      <c r="AF8" s="25">
        <v>-68.180000000000007</v>
      </c>
      <c r="AG8" s="25">
        <v>0</v>
      </c>
    </row>
    <row r="9" spans="1:33" ht="15.75" customHeight="1">
      <c r="A9" s="14" t="s">
        <v>191</v>
      </c>
      <c r="B9" s="14" t="s">
        <v>225</v>
      </c>
      <c r="C9" s="15">
        <f t="shared" si="4"/>
        <v>134.62111111111111</v>
      </c>
      <c r="D9" s="16">
        <v>9</v>
      </c>
      <c r="E9" s="16">
        <v>0</v>
      </c>
      <c r="F9" s="29">
        <v>1211.5899999999999</v>
      </c>
      <c r="G9" s="29">
        <v>-0.02</v>
      </c>
      <c r="H9" s="18">
        <f t="shared" si="1"/>
        <v>1.6507234295429974E-5</v>
      </c>
      <c r="I9" s="18">
        <f t="shared" si="2"/>
        <v>0.20921154211217688</v>
      </c>
      <c r="J9" s="17">
        <f t="shared" si="5"/>
        <v>253.47861230769237</v>
      </c>
      <c r="K9" s="17">
        <f t="shared" si="3"/>
        <v>28.164290256410265</v>
      </c>
      <c r="L9" s="16">
        <v>61</v>
      </c>
      <c r="M9" s="19">
        <f t="shared" si="6"/>
        <v>0.14754098360655737</v>
      </c>
      <c r="N9" s="16">
        <v>78</v>
      </c>
      <c r="O9" s="20">
        <f t="shared" ref="O9:P9" si="17">D9/7</f>
        <v>1.2857142857142858</v>
      </c>
      <c r="P9" s="20">
        <f t="shared" si="17"/>
        <v>0</v>
      </c>
      <c r="Q9" s="16">
        <f t="shared" si="8"/>
        <v>60</v>
      </c>
      <c r="R9" s="16"/>
      <c r="S9" s="21">
        <v>0.78589420654911801</v>
      </c>
      <c r="T9" s="14">
        <v>339</v>
      </c>
      <c r="U9" s="22">
        <v>280</v>
      </c>
      <c r="V9" s="23" t="s">
        <v>247</v>
      </c>
      <c r="W9" s="14">
        <v>0</v>
      </c>
      <c r="X9" s="24">
        <f t="shared" si="9"/>
        <v>0</v>
      </c>
      <c r="Y9" s="25">
        <f t="shared" si="10"/>
        <v>0</v>
      </c>
      <c r="Z9" s="14">
        <v>0</v>
      </c>
      <c r="AA9" s="14" t="s">
        <v>63</v>
      </c>
      <c r="AB9" s="27">
        <f t="shared" si="11"/>
        <v>-0.48</v>
      </c>
      <c r="AC9" s="28">
        <v>0.45370370370370372</v>
      </c>
      <c r="AD9" s="25">
        <f t="shared" si="12"/>
        <v>-3.92</v>
      </c>
      <c r="AE9" s="25">
        <v>-17.38</v>
      </c>
      <c r="AF9" s="25">
        <v>-68.445876410256403</v>
      </c>
      <c r="AG9" s="25">
        <v>0</v>
      </c>
    </row>
    <row r="10" spans="1:33" ht="15.75" customHeight="1">
      <c r="A10" s="14" t="s">
        <v>192</v>
      </c>
      <c r="B10" s="14" t="s">
        <v>68</v>
      </c>
      <c r="C10" s="15">
        <f t="shared" si="4"/>
        <v>130.34538461538463</v>
      </c>
      <c r="D10" s="16">
        <v>13</v>
      </c>
      <c r="E10" s="16">
        <v>0</v>
      </c>
      <c r="F10" s="29">
        <v>1694.4900000000002</v>
      </c>
      <c r="G10" s="29">
        <v>-0.03</v>
      </c>
      <c r="H10" s="18">
        <f t="shared" si="1"/>
        <v>1.7704442044508963E-5</v>
      </c>
      <c r="I10" s="18">
        <f t="shared" si="2"/>
        <v>0.18819106896142473</v>
      </c>
      <c r="J10" s="17">
        <f t="shared" si="5"/>
        <v>318.88788444444464</v>
      </c>
      <c r="K10" s="17">
        <f t="shared" si="3"/>
        <v>24.52983726495728</v>
      </c>
      <c r="L10" s="16">
        <v>63</v>
      </c>
      <c r="M10" s="19">
        <f t="shared" si="6"/>
        <v>0.20634920634920634</v>
      </c>
      <c r="N10" s="16">
        <v>66</v>
      </c>
      <c r="O10" s="20">
        <f t="shared" ref="O10:P10" si="18">D10/7</f>
        <v>1.8571428571428572</v>
      </c>
      <c r="P10" s="20">
        <f t="shared" si="18"/>
        <v>0</v>
      </c>
      <c r="Q10" s="16">
        <f t="shared" si="8"/>
        <v>35</v>
      </c>
      <c r="R10" s="16"/>
      <c r="S10" s="21">
        <v>0.97982708933717499</v>
      </c>
      <c r="T10" s="14">
        <v>339</v>
      </c>
      <c r="U10" s="22">
        <v>280</v>
      </c>
      <c r="V10" s="23" t="s">
        <v>248</v>
      </c>
      <c r="W10" s="14">
        <v>0</v>
      </c>
      <c r="X10" s="24">
        <f t="shared" si="9"/>
        <v>0</v>
      </c>
      <c r="Y10" s="25">
        <f t="shared" si="10"/>
        <v>0</v>
      </c>
      <c r="Z10" s="14">
        <v>0</v>
      </c>
      <c r="AA10" s="14" t="s">
        <v>63</v>
      </c>
      <c r="AB10" s="27">
        <f t="shared" si="11"/>
        <v>-0.48</v>
      </c>
      <c r="AC10" s="28">
        <v>0.45370370370370372</v>
      </c>
      <c r="AD10" s="25">
        <f t="shared" si="12"/>
        <v>-5.6622222222222218</v>
      </c>
      <c r="AE10" s="25">
        <v>-17.38</v>
      </c>
      <c r="AF10" s="25">
        <v>-68.445876410256403</v>
      </c>
      <c r="AG10" s="25">
        <v>0</v>
      </c>
    </row>
    <row r="11" spans="1:33" ht="15.75" customHeight="1">
      <c r="A11" s="14" t="s">
        <v>193</v>
      </c>
      <c r="B11" s="14" t="s">
        <v>249</v>
      </c>
      <c r="C11" s="15">
        <f t="shared" si="4"/>
        <v>131.92043478260865</v>
      </c>
      <c r="D11" s="16">
        <v>46</v>
      </c>
      <c r="E11" s="16">
        <v>0</v>
      </c>
      <c r="F11" s="29">
        <v>6068.3399999999983</v>
      </c>
      <c r="G11" s="29">
        <v>-0.08</v>
      </c>
      <c r="H11" s="18">
        <f t="shared" si="1"/>
        <v>1.3183176947896792E-5</v>
      </c>
      <c r="I11" s="18">
        <f t="shared" si="2"/>
        <v>0.19609697702710274</v>
      </c>
      <c r="J11" s="17">
        <f t="shared" si="5"/>
        <v>1189.9831295726483</v>
      </c>
      <c r="K11" s="17">
        <f t="shared" si="3"/>
        <v>25.869198468970616</v>
      </c>
      <c r="L11" s="16">
        <v>120</v>
      </c>
      <c r="M11" s="19">
        <f t="shared" si="6"/>
        <v>0.38333333333333336</v>
      </c>
      <c r="N11" s="16">
        <v>21</v>
      </c>
      <c r="O11" s="20">
        <f t="shared" ref="O11:P11" si="19">D11/7</f>
        <v>6.5714285714285712</v>
      </c>
      <c r="P11" s="20">
        <f t="shared" si="19"/>
        <v>0</v>
      </c>
      <c r="Q11" s="16">
        <f t="shared" si="8"/>
        <v>3</v>
      </c>
      <c r="R11" s="16"/>
      <c r="S11" s="21">
        <v>1.88847583643122</v>
      </c>
      <c r="T11" s="14">
        <v>339</v>
      </c>
      <c r="U11" s="22">
        <v>280</v>
      </c>
      <c r="V11" s="23" t="s">
        <v>250</v>
      </c>
      <c r="W11" s="14">
        <v>0</v>
      </c>
      <c r="X11" s="24">
        <f t="shared" si="9"/>
        <v>0</v>
      </c>
      <c r="Y11" s="25">
        <f t="shared" si="10"/>
        <v>0</v>
      </c>
      <c r="Z11" s="14">
        <v>0</v>
      </c>
      <c r="AA11" s="14" t="s">
        <v>63</v>
      </c>
      <c r="AB11" s="27">
        <f t="shared" si="11"/>
        <v>-0.48</v>
      </c>
      <c r="AC11" s="28">
        <v>0.45370370370370372</v>
      </c>
      <c r="AD11" s="25">
        <f t="shared" si="12"/>
        <v>-20.035555555555554</v>
      </c>
      <c r="AE11" s="25">
        <v>-17.38</v>
      </c>
      <c r="AF11" s="25">
        <v>-68.445876410256403</v>
      </c>
      <c r="AG11" s="25">
        <v>0</v>
      </c>
    </row>
    <row r="12" spans="1:33" ht="15.75" customHeight="1">
      <c r="A12" s="14" t="s">
        <v>195</v>
      </c>
      <c r="B12" s="14" t="s">
        <v>68</v>
      </c>
      <c r="C12" s="15">
        <f t="shared" si="4"/>
        <v>144.0457142857143</v>
      </c>
      <c r="D12" s="16">
        <v>7</v>
      </c>
      <c r="E12" s="16">
        <v>0</v>
      </c>
      <c r="F12" s="29">
        <v>1008.3200000000002</v>
      </c>
      <c r="G12" s="29">
        <v>0</v>
      </c>
      <c r="H12" s="18">
        <f t="shared" si="1"/>
        <v>0</v>
      </c>
      <c r="I12" s="18">
        <f t="shared" si="2"/>
        <v>0.25115238836809378</v>
      </c>
      <c r="J12" s="17">
        <f t="shared" si="5"/>
        <v>253.24197623931639</v>
      </c>
      <c r="K12" s="17">
        <f t="shared" si="3"/>
        <v>36.177425177045201</v>
      </c>
      <c r="L12" s="16">
        <v>61</v>
      </c>
      <c r="M12" s="19">
        <f t="shared" si="6"/>
        <v>0.11475409836065574</v>
      </c>
      <c r="N12" s="16">
        <v>11</v>
      </c>
      <c r="O12" s="20">
        <f t="shared" ref="O12:P12" si="20">D12/7</f>
        <v>1</v>
      </c>
      <c r="P12" s="20">
        <f t="shared" si="20"/>
        <v>0</v>
      </c>
      <c r="Q12" s="16">
        <f t="shared" si="8"/>
        <v>11</v>
      </c>
      <c r="R12" s="16"/>
      <c r="S12" s="21">
        <v>2.4521739130434699</v>
      </c>
      <c r="T12" s="14">
        <v>339</v>
      </c>
      <c r="U12" s="22">
        <v>280</v>
      </c>
      <c r="V12" s="23" t="s">
        <v>250</v>
      </c>
      <c r="W12" s="14">
        <v>0</v>
      </c>
      <c r="X12" s="24">
        <f t="shared" si="9"/>
        <v>0</v>
      </c>
      <c r="Y12" s="25">
        <f t="shared" si="10"/>
        <v>0</v>
      </c>
      <c r="Z12" s="14">
        <v>0</v>
      </c>
      <c r="AA12" s="14" t="s">
        <v>63</v>
      </c>
      <c r="AB12" s="27">
        <f t="shared" si="11"/>
        <v>-0.48</v>
      </c>
      <c r="AC12" s="28">
        <v>0.45370370370370372</v>
      </c>
      <c r="AD12" s="25">
        <f t="shared" si="12"/>
        <v>-3.0488888888888885</v>
      </c>
      <c r="AE12" s="25">
        <v>-17.38</v>
      </c>
      <c r="AF12" s="25">
        <v>-68.445876410256403</v>
      </c>
      <c r="AG12" s="25">
        <v>0</v>
      </c>
    </row>
    <row r="13" spans="1:33" ht="15.75" customHeight="1">
      <c r="A13" s="14" t="s">
        <v>197</v>
      </c>
      <c r="B13" s="14" t="s">
        <v>251</v>
      </c>
      <c r="C13" s="15">
        <f t="shared" si="4"/>
        <v>157.78</v>
      </c>
      <c r="D13" s="16">
        <v>4</v>
      </c>
      <c r="E13" s="16">
        <v>0</v>
      </c>
      <c r="F13" s="17">
        <v>631.12</v>
      </c>
      <c r="G13" s="29">
        <v>0</v>
      </c>
      <c r="H13" s="18">
        <f t="shared" si="1"/>
        <v>0</v>
      </c>
      <c r="I13" s="18">
        <f t="shared" si="2"/>
        <v>0.29954255573865163</v>
      </c>
      <c r="J13" s="17">
        <f t="shared" si="5"/>
        <v>189.04729777777783</v>
      </c>
      <c r="K13" s="17">
        <f t="shared" si="3"/>
        <v>47.261824444444457</v>
      </c>
      <c r="L13" s="16">
        <v>19</v>
      </c>
      <c r="M13" s="19">
        <f t="shared" si="6"/>
        <v>0.21052631578947367</v>
      </c>
      <c r="N13" s="16">
        <v>7</v>
      </c>
      <c r="O13" s="20">
        <f t="shared" ref="O13:P13" si="21">D13/7</f>
        <v>0.5714285714285714</v>
      </c>
      <c r="P13" s="20">
        <f t="shared" si="21"/>
        <v>0</v>
      </c>
      <c r="Q13" s="16">
        <f t="shared" si="8"/>
        <v>12</v>
      </c>
      <c r="R13" s="16"/>
      <c r="S13" s="21">
        <v>1.4807197943444701</v>
      </c>
      <c r="T13" s="14">
        <v>339</v>
      </c>
      <c r="U13" s="22">
        <v>280</v>
      </c>
      <c r="V13" s="23" t="s">
        <v>250</v>
      </c>
      <c r="W13" s="14">
        <v>0</v>
      </c>
      <c r="X13" s="24">
        <f t="shared" si="9"/>
        <v>0</v>
      </c>
      <c r="Y13" s="25">
        <f t="shared" si="10"/>
        <v>0</v>
      </c>
      <c r="Z13" s="14">
        <v>0</v>
      </c>
      <c r="AA13" s="14" t="s">
        <v>63</v>
      </c>
      <c r="AB13" s="27">
        <f t="shared" si="11"/>
        <v>-0.48</v>
      </c>
      <c r="AC13" s="28">
        <v>0.45370370370370372</v>
      </c>
      <c r="AD13" s="25">
        <f t="shared" si="12"/>
        <v>-1.7422222222222221</v>
      </c>
      <c r="AE13" s="25">
        <v>-17.38</v>
      </c>
      <c r="AF13" s="25">
        <v>-69.035619999999994</v>
      </c>
      <c r="AG13" s="25">
        <v>0</v>
      </c>
    </row>
    <row r="14" spans="1:33" ht="15.75" customHeight="1">
      <c r="A14" s="14" t="s">
        <v>32</v>
      </c>
      <c r="B14" s="14" t="s">
        <v>252</v>
      </c>
      <c r="C14" s="15">
        <f t="shared" si="4"/>
        <v>157.78</v>
      </c>
      <c r="D14" s="16">
        <v>1</v>
      </c>
      <c r="E14" s="16">
        <v>0</v>
      </c>
      <c r="F14" s="17">
        <v>157.78</v>
      </c>
      <c r="G14" s="29">
        <v>0</v>
      </c>
      <c r="H14" s="18">
        <f t="shared" si="1"/>
        <v>0</v>
      </c>
      <c r="I14" s="18">
        <f t="shared" si="2"/>
        <v>0.29954255573865163</v>
      </c>
      <c r="J14" s="17">
        <f t="shared" si="5"/>
        <v>47.261824444444457</v>
      </c>
      <c r="K14" s="17">
        <f t="shared" si="3"/>
        <v>47.261824444444457</v>
      </c>
      <c r="L14" s="16">
        <v>37</v>
      </c>
      <c r="M14" s="19">
        <f t="shared" si="6"/>
        <v>2.7027027027027029E-2</v>
      </c>
      <c r="N14" s="16">
        <v>6</v>
      </c>
      <c r="O14" s="20">
        <f t="shared" ref="O14:P14" si="22">D14/7</f>
        <v>0.14285714285714285</v>
      </c>
      <c r="P14" s="20">
        <f t="shared" si="22"/>
        <v>0</v>
      </c>
      <c r="Q14" s="16">
        <f t="shared" si="8"/>
        <v>42</v>
      </c>
      <c r="R14" s="16"/>
      <c r="S14" s="21">
        <v>1.83850931677018</v>
      </c>
      <c r="T14" s="14">
        <v>339</v>
      </c>
      <c r="U14" s="22">
        <v>280</v>
      </c>
      <c r="V14" s="23" t="s">
        <v>250</v>
      </c>
      <c r="W14" s="14">
        <v>0</v>
      </c>
      <c r="X14" s="24">
        <f t="shared" si="9"/>
        <v>0</v>
      </c>
      <c r="Y14" s="25">
        <f t="shared" si="10"/>
        <v>0</v>
      </c>
      <c r="Z14" s="14">
        <v>0</v>
      </c>
      <c r="AA14" s="14" t="s">
        <v>63</v>
      </c>
      <c r="AB14" s="27">
        <f t="shared" si="11"/>
        <v>-0.48</v>
      </c>
      <c r="AC14" s="28">
        <v>0.45370370370370372</v>
      </c>
      <c r="AD14" s="25">
        <f t="shared" si="12"/>
        <v>-0.43555555555555553</v>
      </c>
      <c r="AE14" s="25">
        <v>-17.38</v>
      </c>
      <c r="AF14" s="25">
        <v>-69.035619999999994</v>
      </c>
      <c r="AG14" s="25">
        <v>0</v>
      </c>
    </row>
    <row r="15" spans="1:33" ht="15.75" customHeight="1">
      <c r="A15" s="14" t="s">
        <v>36</v>
      </c>
      <c r="B15" s="14" t="s">
        <v>45</v>
      </c>
      <c r="C15" s="15">
        <f t="shared" si="4"/>
        <v>145.26799999999997</v>
      </c>
      <c r="D15" s="16">
        <v>5</v>
      </c>
      <c r="E15" s="16">
        <v>0</v>
      </c>
      <c r="F15" s="17">
        <v>726.33999999999992</v>
      </c>
      <c r="G15" s="29">
        <v>0</v>
      </c>
      <c r="H15" s="18">
        <f t="shared" si="1"/>
        <v>0</v>
      </c>
      <c r="I15" s="18">
        <f t="shared" si="2"/>
        <v>0.41115593248340987</v>
      </c>
      <c r="J15" s="17">
        <f t="shared" si="5"/>
        <v>298.6389999999999</v>
      </c>
      <c r="K15" s="17">
        <f t="shared" si="3"/>
        <v>59.727799999999981</v>
      </c>
      <c r="L15" s="16">
        <v>31</v>
      </c>
      <c r="M15" s="19">
        <f t="shared" si="6"/>
        <v>0.16129032258064516</v>
      </c>
      <c r="N15" s="16">
        <v>2</v>
      </c>
      <c r="O15" s="20">
        <f t="shared" ref="O15:P15" si="23">D15/7</f>
        <v>0.7142857142857143</v>
      </c>
      <c r="P15" s="20">
        <f t="shared" si="23"/>
        <v>0</v>
      </c>
      <c r="Q15" s="16">
        <f t="shared" si="8"/>
        <v>2</v>
      </c>
      <c r="R15" s="16"/>
      <c r="S15" s="21">
        <v>2.29657794676806</v>
      </c>
      <c r="T15" s="14">
        <v>339</v>
      </c>
      <c r="U15" s="22">
        <v>280</v>
      </c>
      <c r="V15" s="23" t="s">
        <v>250</v>
      </c>
      <c r="W15" s="14">
        <v>0</v>
      </c>
      <c r="X15" s="24">
        <f t="shared" si="9"/>
        <v>0</v>
      </c>
      <c r="Y15" s="25">
        <f t="shared" si="10"/>
        <v>0</v>
      </c>
      <c r="Z15" s="14">
        <v>0</v>
      </c>
      <c r="AA15" s="14" t="e">
        <v>#N/A</v>
      </c>
      <c r="AB15" s="27" t="e">
        <f t="shared" si="11"/>
        <v>#N/A</v>
      </c>
      <c r="AC15" s="28" t="e">
        <v>#N/A</v>
      </c>
      <c r="AD15" s="25">
        <f t="shared" si="12"/>
        <v>0</v>
      </c>
      <c r="AE15" s="25">
        <v>0</v>
      </c>
      <c r="AF15" s="25">
        <v>-63.75</v>
      </c>
      <c r="AG15" s="25">
        <v>0</v>
      </c>
    </row>
    <row r="16" spans="1:33" ht="15.75" customHeight="1">
      <c r="A16" s="14" t="s">
        <v>38</v>
      </c>
      <c r="B16" s="14" t="s">
        <v>45</v>
      </c>
      <c r="C16" s="15" t="str">
        <f t="shared" si="4"/>
        <v xml:space="preserve"> - </v>
      </c>
      <c r="D16" s="16">
        <v>0</v>
      </c>
      <c r="E16" s="16">
        <v>0</v>
      </c>
      <c r="F16" s="17">
        <v>0</v>
      </c>
      <c r="G16" s="29">
        <v>0</v>
      </c>
      <c r="H16" s="18" t="e">
        <f t="shared" si="1"/>
        <v>#DIV/0!</v>
      </c>
      <c r="I16" s="18" t="e">
        <f t="shared" si="2"/>
        <v>#DIV/0!</v>
      </c>
      <c r="J16" s="17">
        <f t="shared" si="5"/>
        <v>0</v>
      </c>
      <c r="K16" s="17" t="e">
        <f t="shared" si="3"/>
        <v>#DIV/0!</v>
      </c>
      <c r="L16" s="16">
        <v>0</v>
      </c>
      <c r="M16" s="19" t="str">
        <f t="shared" si="6"/>
        <v>-</v>
      </c>
      <c r="N16" s="16">
        <v>1</v>
      </c>
      <c r="O16" s="20">
        <f t="shared" ref="O16:P16" si="24">D16/7</f>
        <v>0</v>
      </c>
      <c r="P16" s="20">
        <f t="shared" si="24"/>
        <v>0</v>
      </c>
      <c r="Q16" s="16" t="e">
        <f t="shared" si="8"/>
        <v>#DIV/0!</v>
      </c>
      <c r="R16" s="16"/>
      <c r="S16" s="21">
        <v>2.96585365853658</v>
      </c>
      <c r="T16" s="14">
        <v>339</v>
      </c>
      <c r="U16" s="22">
        <v>280</v>
      </c>
      <c r="V16" s="23" t="s">
        <v>250</v>
      </c>
      <c r="W16" s="14">
        <v>0</v>
      </c>
      <c r="X16" s="24">
        <f t="shared" si="9"/>
        <v>0</v>
      </c>
      <c r="Y16" s="25">
        <f t="shared" si="10"/>
        <v>0</v>
      </c>
      <c r="Z16" s="14">
        <v>0</v>
      </c>
      <c r="AA16" s="14" t="e">
        <v>#N/A</v>
      </c>
      <c r="AB16" s="27" t="e">
        <f t="shared" si="11"/>
        <v>#N/A</v>
      </c>
      <c r="AC16" s="28" t="e">
        <v>#N/A</v>
      </c>
      <c r="AD16" s="25">
        <f t="shared" si="12"/>
        <v>0</v>
      </c>
      <c r="AE16" s="25">
        <v>0</v>
      </c>
      <c r="AF16" s="25">
        <v>-63.75</v>
      </c>
      <c r="AG16" s="25">
        <v>0</v>
      </c>
    </row>
    <row r="17" spans="1:33" ht="15.75" customHeight="1">
      <c r="A17" s="14" t="s">
        <v>40</v>
      </c>
      <c r="B17" s="14" t="s">
        <v>45</v>
      </c>
      <c r="C17" s="15">
        <f t="shared" si="4"/>
        <v>134.19</v>
      </c>
      <c r="D17" s="16">
        <v>1</v>
      </c>
      <c r="E17" s="16">
        <v>0</v>
      </c>
      <c r="F17" s="17">
        <v>134.19</v>
      </c>
      <c r="G17" s="29">
        <v>0</v>
      </c>
      <c r="H17" s="18">
        <f t="shared" si="1"/>
        <v>0</v>
      </c>
      <c r="I17" s="18">
        <f t="shared" si="2"/>
        <v>0.37492734182875026</v>
      </c>
      <c r="J17" s="17">
        <f t="shared" si="5"/>
        <v>50.311499999999995</v>
      </c>
      <c r="K17" s="17">
        <f t="shared" si="3"/>
        <v>50.311499999999995</v>
      </c>
      <c r="L17" s="16">
        <v>1</v>
      </c>
      <c r="M17" s="19">
        <f t="shared" si="6"/>
        <v>1</v>
      </c>
      <c r="N17" s="16">
        <v>1</v>
      </c>
      <c r="O17" s="20">
        <f t="shared" ref="O17:P17" si="25">D17/7</f>
        <v>0.14285714285714285</v>
      </c>
      <c r="P17" s="20">
        <f t="shared" si="25"/>
        <v>0</v>
      </c>
      <c r="Q17" s="16">
        <f t="shared" si="8"/>
        <v>7</v>
      </c>
      <c r="R17" s="16"/>
      <c r="S17" s="21">
        <v>1.70786516853932</v>
      </c>
      <c r="T17" s="14">
        <v>339</v>
      </c>
      <c r="U17" s="22">
        <v>280</v>
      </c>
      <c r="V17" s="23" t="s">
        <v>250</v>
      </c>
      <c r="W17" s="14">
        <v>0</v>
      </c>
      <c r="X17" s="24">
        <f t="shared" si="9"/>
        <v>0</v>
      </c>
      <c r="Y17" s="25">
        <f t="shared" si="10"/>
        <v>0</v>
      </c>
      <c r="Z17" s="14">
        <v>0</v>
      </c>
      <c r="AA17" s="14" t="e">
        <v>#N/A</v>
      </c>
      <c r="AB17" s="27" t="e">
        <f t="shared" si="11"/>
        <v>#N/A</v>
      </c>
      <c r="AC17" s="28" t="e">
        <v>#N/A</v>
      </c>
      <c r="AD17" s="25">
        <f t="shared" si="12"/>
        <v>0</v>
      </c>
      <c r="AE17" s="25">
        <v>0</v>
      </c>
      <c r="AF17" s="25">
        <v>-63.75</v>
      </c>
      <c r="AG17" s="25">
        <v>0</v>
      </c>
    </row>
    <row r="18" spans="1:33" ht="15.75" customHeight="1">
      <c r="A18" s="14" t="s">
        <v>42</v>
      </c>
      <c r="B18" s="14" t="s">
        <v>45</v>
      </c>
      <c r="C18" s="15" t="str">
        <f t="shared" si="4"/>
        <v xml:space="preserve"> - </v>
      </c>
      <c r="D18" s="16">
        <v>0</v>
      </c>
      <c r="E18" s="16">
        <v>0</v>
      </c>
      <c r="F18" s="17">
        <v>0</v>
      </c>
      <c r="G18" s="29">
        <v>0</v>
      </c>
      <c r="H18" s="18" t="e">
        <f t="shared" si="1"/>
        <v>#DIV/0!</v>
      </c>
      <c r="I18" s="18" t="e">
        <f t="shared" si="2"/>
        <v>#DIV/0!</v>
      </c>
      <c r="J18" s="17">
        <f t="shared" si="5"/>
        <v>0</v>
      </c>
      <c r="K18" s="17" t="e">
        <f t="shared" si="3"/>
        <v>#DIV/0!</v>
      </c>
      <c r="L18" s="16">
        <v>0</v>
      </c>
      <c r="M18" s="19" t="str">
        <f t="shared" si="6"/>
        <v>-</v>
      </c>
      <c r="N18" s="16">
        <v>2</v>
      </c>
      <c r="O18" s="20">
        <f t="shared" ref="O18:P18" si="26">D18/7</f>
        <v>0</v>
      </c>
      <c r="P18" s="20">
        <f t="shared" si="26"/>
        <v>0</v>
      </c>
      <c r="Q18" s="16" t="e">
        <f t="shared" si="8"/>
        <v>#DIV/0!</v>
      </c>
      <c r="R18" s="16"/>
      <c r="S18" s="21">
        <v>1.75903614457831</v>
      </c>
      <c r="T18" s="14">
        <v>59</v>
      </c>
      <c r="U18" s="22">
        <v>0</v>
      </c>
      <c r="V18" s="23" t="s">
        <v>34</v>
      </c>
      <c r="W18" s="14">
        <v>0</v>
      </c>
      <c r="X18" s="24">
        <f t="shared" si="9"/>
        <v>0</v>
      </c>
      <c r="Y18" s="25">
        <f t="shared" si="10"/>
        <v>0</v>
      </c>
      <c r="Z18" s="14">
        <v>0</v>
      </c>
      <c r="AA18" s="14" t="s">
        <v>63</v>
      </c>
      <c r="AB18" s="27">
        <f t="shared" si="11"/>
        <v>-0.48</v>
      </c>
      <c r="AC18" s="28">
        <v>0.45370370370370372</v>
      </c>
      <c r="AD18" s="25">
        <f t="shared" si="12"/>
        <v>0</v>
      </c>
      <c r="AE18" s="25">
        <v>-17.38</v>
      </c>
      <c r="AF18" s="25">
        <v>-63.75</v>
      </c>
      <c r="AG18" s="25">
        <v>0</v>
      </c>
    </row>
    <row r="19" spans="1:33" ht="15.75" customHeight="1">
      <c r="A19" s="14" t="s">
        <v>44</v>
      </c>
      <c r="B19" s="14" t="s">
        <v>45</v>
      </c>
      <c r="C19" s="15">
        <f t="shared" si="4"/>
        <v>133.19</v>
      </c>
      <c r="D19" s="16">
        <v>1</v>
      </c>
      <c r="E19" s="16">
        <v>0</v>
      </c>
      <c r="F19" s="17">
        <v>133.19</v>
      </c>
      <c r="G19" s="29">
        <v>0</v>
      </c>
      <c r="H19" s="18">
        <f t="shared" si="1"/>
        <v>0</v>
      </c>
      <c r="I19" s="18">
        <f t="shared" si="2"/>
        <v>0.21539488283237818</v>
      </c>
      <c r="J19" s="17">
        <f t="shared" si="5"/>
        <v>28.68844444444445</v>
      </c>
      <c r="K19" s="17">
        <f t="shared" si="3"/>
        <v>28.68844444444445</v>
      </c>
      <c r="L19" s="16">
        <v>14</v>
      </c>
      <c r="M19" s="19">
        <f t="shared" si="6"/>
        <v>7.1428571428571425E-2</v>
      </c>
      <c r="N19" s="16">
        <v>1</v>
      </c>
      <c r="O19" s="20">
        <f t="shared" ref="O19:P19" si="27">D19/7</f>
        <v>0.14285714285714285</v>
      </c>
      <c r="P19" s="20">
        <f t="shared" si="27"/>
        <v>0</v>
      </c>
      <c r="Q19" s="16">
        <f t="shared" si="8"/>
        <v>7</v>
      </c>
      <c r="R19" s="16"/>
      <c r="S19" s="21">
        <v>1.9716312056737499</v>
      </c>
      <c r="T19" s="14">
        <v>59</v>
      </c>
      <c r="U19" s="22" t="s">
        <v>34</v>
      </c>
      <c r="V19" s="23" t="s">
        <v>34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14" t="s">
        <v>63</v>
      </c>
      <c r="AB19" s="27">
        <f t="shared" si="11"/>
        <v>-0.48</v>
      </c>
      <c r="AC19" s="28">
        <v>0.45370370370370372</v>
      </c>
      <c r="AD19" s="25">
        <f t="shared" si="12"/>
        <v>-0.43555555555555553</v>
      </c>
      <c r="AE19" s="25">
        <v>-17.38</v>
      </c>
      <c r="AF19" s="25">
        <v>-66.707499999999996</v>
      </c>
      <c r="AG19" s="25">
        <v>0</v>
      </c>
    </row>
    <row r="20" spans="1:33" ht="15.75" customHeight="1">
      <c r="A20" s="14" t="s">
        <v>46</v>
      </c>
      <c r="B20" s="14" t="s">
        <v>45</v>
      </c>
      <c r="C20" s="15" t="str">
        <f t="shared" si="4"/>
        <v xml:space="preserve"> - </v>
      </c>
      <c r="D20" s="16">
        <v>0</v>
      </c>
      <c r="E20" s="16">
        <v>0</v>
      </c>
      <c r="F20" s="17">
        <v>0</v>
      </c>
      <c r="G20" s="29">
        <v>0</v>
      </c>
      <c r="H20" s="18" t="e">
        <f t="shared" si="1"/>
        <v>#DIV/0!</v>
      </c>
      <c r="I20" s="18" t="e">
        <f t="shared" si="2"/>
        <v>#DIV/0!</v>
      </c>
      <c r="J20" s="17">
        <f t="shared" si="5"/>
        <v>0</v>
      </c>
      <c r="K20" s="17" t="e">
        <f t="shared" si="3"/>
        <v>#DIV/0!</v>
      </c>
      <c r="L20" s="16">
        <v>0</v>
      </c>
      <c r="M20" s="19" t="str">
        <f t="shared" si="6"/>
        <v>-</v>
      </c>
      <c r="N20" s="16">
        <v>1</v>
      </c>
      <c r="O20" s="20">
        <f t="shared" ref="O20:P20" si="28">D20/7</f>
        <v>0</v>
      </c>
      <c r="P20" s="20">
        <f t="shared" si="28"/>
        <v>0</v>
      </c>
      <c r="Q20" s="16" t="e">
        <f t="shared" si="8"/>
        <v>#DIV/0!</v>
      </c>
      <c r="R20" s="16"/>
      <c r="S20" s="21">
        <v>2.31914893617021</v>
      </c>
      <c r="T20" s="14">
        <v>59</v>
      </c>
      <c r="U20" s="22" t="s">
        <v>34</v>
      </c>
      <c r="V20" s="23" t="s">
        <v>34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14" t="s">
        <v>63</v>
      </c>
      <c r="AB20" s="27">
        <f t="shared" si="11"/>
        <v>-0.48</v>
      </c>
      <c r="AC20" s="28">
        <v>0.45370370370370372</v>
      </c>
      <c r="AD20" s="25">
        <f t="shared" si="12"/>
        <v>0</v>
      </c>
      <c r="AE20" s="25">
        <v>-17.38</v>
      </c>
      <c r="AF20" s="25">
        <v>-66.707499999999996</v>
      </c>
      <c r="AG20" s="25">
        <v>0</v>
      </c>
    </row>
    <row r="21" spans="1:33" ht="15.75" customHeight="1">
      <c r="A21" s="14" t="s">
        <v>47</v>
      </c>
      <c r="B21" s="14" t="s">
        <v>45</v>
      </c>
      <c r="C21" s="15" t="str">
        <f t="shared" si="4"/>
        <v xml:space="preserve"> - </v>
      </c>
      <c r="D21" s="16">
        <v>0</v>
      </c>
      <c r="E21" s="16">
        <v>0</v>
      </c>
      <c r="F21" s="17">
        <v>0</v>
      </c>
      <c r="G21" s="29">
        <v>0</v>
      </c>
      <c r="H21" s="18" t="e">
        <f t="shared" si="1"/>
        <v>#DIV/0!</v>
      </c>
      <c r="I21" s="18" t="e">
        <f t="shared" si="2"/>
        <v>#DIV/0!</v>
      </c>
      <c r="J21" s="17">
        <f t="shared" si="5"/>
        <v>0</v>
      </c>
      <c r="K21" s="17" t="e">
        <f t="shared" si="3"/>
        <v>#DIV/0!</v>
      </c>
      <c r="L21" s="16">
        <v>0</v>
      </c>
      <c r="M21" s="19" t="str">
        <f t="shared" si="6"/>
        <v>-</v>
      </c>
      <c r="N21" s="16">
        <v>1</v>
      </c>
      <c r="O21" s="20">
        <f t="shared" ref="O21:P21" si="29">D21/7</f>
        <v>0</v>
      </c>
      <c r="P21" s="20">
        <f t="shared" si="29"/>
        <v>0</v>
      </c>
      <c r="Q21" s="16" t="e">
        <f t="shared" si="8"/>
        <v>#DIV/0!</v>
      </c>
      <c r="R21" s="16"/>
      <c r="S21" s="21">
        <v>2.21383647798742</v>
      </c>
      <c r="T21" s="14">
        <v>59</v>
      </c>
      <c r="U21" s="22" t="s">
        <v>34</v>
      </c>
      <c r="V21" s="23" t="s">
        <v>34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14" t="s">
        <v>63</v>
      </c>
      <c r="AB21" s="27">
        <f t="shared" si="11"/>
        <v>-0.48</v>
      </c>
      <c r="AC21" s="28">
        <v>0.45370370370370372</v>
      </c>
      <c r="AD21" s="25">
        <f t="shared" si="12"/>
        <v>0</v>
      </c>
      <c r="AE21" s="25">
        <v>-17.38</v>
      </c>
      <c r="AF21" s="25">
        <v>-66.707499999999996</v>
      </c>
      <c r="AG21" s="25">
        <v>0</v>
      </c>
    </row>
    <row r="22" spans="1:33" ht="15.75" customHeight="1">
      <c r="A22" s="14" t="s">
        <v>48</v>
      </c>
      <c r="B22" s="14" t="s">
        <v>45</v>
      </c>
      <c r="C22" s="15" t="str">
        <f t="shared" si="4"/>
        <v xml:space="preserve"> - </v>
      </c>
      <c r="D22" s="16">
        <v>0</v>
      </c>
      <c r="E22" s="16">
        <v>0</v>
      </c>
      <c r="F22" s="29">
        <v>0</v>
      </c>
      <c r="G22" s="29">
        <v>0</v>
      </c>
      <c r="H22" s="18" t="e">
        <f t="shared" si="1"/>
        <v>#DIV/0!</v>
      </c>
      <c r="I22" s="18" t="e">
        <f t="shared" si="2"/>
        <v>#DIV/0!</v>
      </c>
      <c r="J22" s="17">
        <f t="shared" si="5"/>
        <v>0</v>
      </c>
      <c r="K22" s="17" t="e">
        <f t="shared" si="3"/>
        <v>#DIV/0!</v>
      </c>
      <c r="L22" s="16">
        <v>0</v>
      </c>
      <c r="M22" s="19" t="str">
        <f t="shared" si="6"/>
        <v>-</v>
      </c>
      <c r="N22" s="16">
        <v>1</v>
      </c>
      <c r="O22" s="20">
        <f t="shared" ref="O22:P22" si="30">D22/7</f>
        <v>0</v>
      </c>
      <c r="P22" s="20">
        <f t="shared" si="30"/>
        <v>0</v>
      </c>
      <c r="Q22" s="16" t="e">
        <f t="shared" si="8"/>
        <v>#DIV/0!</v>
      </c>
      <c r="R22" s="16"/>
      <c r="S22" s="21">
        <v>2.1408450704225301</v>
      </c>
      <c r="T22" s="14">
        <v>59</v>
      </c>
      <c r="U22" s="22" t="s">
        <v>34</v>
      </c>
      <c r="V22" s="23" t="s">
        <v>34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63</v>
      </c>
      <c r="AB22" s="27">
        <f t="shared" si="11"/>
        <v>-0.48</v>
      </c>
      <c r="AC22" s="28">
        <v>0.45370370370370372</v>
      </c>
      <c r="AD22" s="25">
        <f t="shared" si="12"/>
        <v>0</v>
      </c>
      <c r="AE22" s="25">
        <v>-17.38</v>
      </c>
      <c r="AF22" s="25">
        <v>-66.707499999999996</v>
      </c>
      <c r="AG22" s="25">
        <v>0</v>
      </c>
    </row>
    <row r="23" spans="1:33" ht="15.75" customHeight="1">
      <c r="A23" s="14" t="s">
        <v>49</v>
      </c>
      <c r="B23" s="14" t="s">
        <v>45</v>
      </c>
      <c r="C23" s="15" t="str">
        <f t="shared" si="4"/>
        <v xml:space="preserve"> - </v>
      </c>
      <c r="D23" s="16">
        <v>0</v>
      </c>
      <c r="E23" s="16">
        <v>0</v>
      </c>
      <c r="F23" s="17">
        <v>0</v>
      </c>
      <c r="G23" s="29">
        <v>0</v>
      </c>
      <c r="H23" s="18" t="e">
        <f t="shared" si="1"/>
        <v>#DIV/0!</v>
      </c>
      <c r="I23" s="18" t="e">
        <f t="shared" si="2"/>
        <v>#DIV/0!</v>
      </c>
      <c r="J23" s="17">
        <f t="shared" si="5"/>
        <v>0</v>
      </c>
      <c r="K23" s="17" t="e">
        <f t="shared" si="3"/>
        <v>#DIV/0!</v>
      </c>
      <c r="L23" s="16">
        <v>0</v>
      </c>
      <c r="M23" s="19" t="str">
        <f t="shared" si="6"/>
        <v>-</v>
      </c>
      <c r="N23" s="16">
        <v>1</v>
      </c>
      <c r="O23" s="20">
        <f t="shared" ref="O23:P23" si="31">D23/7</f>
        <v>0</v>
      </c>
      <c r="P23" s="20">
        <f t="shared" si="31"/>
        <v>0</v>
      </c>
      <c r="Q23" s="16" t="e">
        <f t="shared" si="8"/>
        <v>#DIV/0!</v>
      </c>
      <c r="R23" s="16"/>
      <c r="S23" s="21">
        <v>2.7878787878787801</v>
      </c>
      <c r="T23" s="14">
        <v>199</v>
      </c>
      <c r="U23" s="22" t="s">
        <v>34</v>
      </c>
      <c r="V23" s="23" t="s">
        <v>34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63</v>
      </c>
      <c r="AB23" s="27">
        <f t="shared" si="11"/>
        <v>-0.48</v>
      </c>
      <c r="AC23" s="28">
        <v>0.45370370370370372</v>
      </c>
      <c r="AD23" s="25">
        <f t="shared" si="12"/>
        <v>0</v>
      </c>
      <c r="AE23" s="25">
        <v>-17.38</v>
      </c>
      <c r="AF23" s="25">
        <v>-66.707499999999996</v>
      </c>
      <c r="AG23" s="25">
        <v>0</v>
      </c>
    </row>
    <row r="24" spans="1:33" ht="15.75" customHeight="1">
      <c r="A24" s="14" t="s">
        <v>50</v>
      </c>
      <c r="B24" s="14" t="s">
        <v>45</v>
      </c>
      <c r="C24" s="15" t="str">
        <f t="shared" si="4"/>
        <v xml:space="preserve"> - </v>
      </c>
      <c r="D24" s="16">
        <v>0</v>
      </c>
      <c r="E24" s="16">
        <v>0</v>
      </c>
      <c r="F24" s="17">
        <v>0</v>
      </c>
      <c r="G24" s="17">
        <v>0</v>
      </c>
      <c r="H24" s="18" t="e">
        <f t="shared" si="1"/>
        <v>#DIV/0!</v>
      </c>
      <c r="I24" s="18" t="e">
        <f t="shared" si="2"/>
        <v>#DIV/0!</v>
      </c>
      <c r="J24" s="17">
        <f t="shared" si="5"/>
        <v>0</v>
      </c>
      <c r="K24" s="17" t="e">
        <f t="shared" si="3"/>
        <v>#DIV/0!</v>
      </c>
      <c r="L24" s="16">
        <v>0</v>
      </c>
      <c r="M24" s="19" t="str">
        <f t="shared" si="6"/>
        <v>-</v>
      </c>
      <c r="N24" s="16">
        <v>1</v>
      </c>
      <c r="O24" s="20">
        <f t="shared" ref="O24:P24" si="32">D24/7</f>
        <v>0</v>
      </c>
      <c r="P24" s="20">
        <f t="shared" si="32"/>
        <v>0</v>
      </c>
      <c r="Q24" s="16" t="e">
        <f t="shared" si="8"/>
        <v>#DIV/0!</v>
      </c>
      <c r="R24" s="16"/>
      <c r="S24" s="21">
        <v>2.4516129032257998</v>
      </c>
      <c r="T24" s="14">
        <v>199</v>
      </c>
      <c r="U24" s="22" t="s">
        <v>34</v>
      </c>
      <c r="V24" s="23" t="s">
        <v>34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14" t="s">
        <v>63</v>
      </c>
      <c r="AB24" s="27">
        <f t="shared" si="11"/>
        <v>-0.48</v>
      </c>
      <c r="AC24" s="28">
        <v>0.45370370370370372</v>
      </c>
      <c r="AD24" s="25">
        <f t="shared" si="12"/>
        <v>0</v>
      </c>
      <c r="AE24" s="25">
        <v>-17.38</v>
      </c>
      <c r="AF24" s="25">
        <v>-66.707499999999996</v>
      </c>
      <c r="AG24" s="25">
        <v>0</v>
      </c>
    </row>
    <row r="25" spans="1:33" ht="15.75" customHeight="1">
      <c r="A25" s="14" t="s">
        <v>51</v>
      </c>
      <c r="B25" s="14"/>
      <c r="C25" s="15" t="str">
        <f t="shared" si="4"/>
        <v xml:space="preserve"> - </v>
      </c>
      <c r="D25" s="16">
        <v>0</v>
      </c>
      <c r="E25" s="16">
        <v>0</v>
      </c>
      <c r="F25" s="17">
        <v>0</v>
      </c>
      <c r="G25" s="17">
        <v>0</v>
      </c>
      <c r="H25" s="18" t="e">
        <f t="shared" si="1"/>
        <v>#DIV/0!</v>
      </c>
      <c r="I25" s="18" t="e">
        <f t="shared" si="2"/>
        <v>#DIV/0!</v>
      </c>
      <c r="J25" s="17">
        <f t="shared" si="5"/>
        <v>0</v>
      </c>
      <c r="K25" s="17" t="e">
        <f t="shared" si="3"/>
        <v>#DIV/0!</v>
      </c>
      <c r="L25" s="16">
        <v>0</v>
      </c>
      <c r="M25" s="19" t="str">
        <f t="shared" si="6"/>
        <v>-</v>
      </c>
      <c r="N25" s="16">
        <v>127</v>
      </c>
      <c r="O25" s="20">
        <f t="shared" ref="O25:P25" si="33">D25/7</f>
        <v>0</v>
      </c>
      <c r="P25" s="20">
        <f t="shared" si="33"/>
        <v>0</v>
      </c>
      <c r="Q25" s="16" t="e">
        <f t="shared" si="8"/>
        <v>#DIV/0!</v>
      </c>
      <c r="R25" s="16"/>
      <c r="S25" s="21">
        <v>0.30967741935483872</v>
      </c>
      <c r="T25" s="14">
        <v>199</v>
      </c>
      <c r="U25" s="22" t="s">
        <v>34</v>
      </c>
      <c r="V25" s="23" t="s">
        <v>34</v>
      </c>
      <c r="W25" s="30">
        <v>0</v>
      </c>
      <c r="X25" s="24">
        <f t="shared" si="9"/>
        <v>0</v>
      </c>
      <c r="Y25" s="25">
        <f t="shared" si="10"/>
        <v>0</v>
      </c>
      <c r="Z25" s="30">
        <v>0</v>
      </c>
      <c r="AA25" s="14" t="s">
        <v>63</v>
      </c>
      <c r="AB25" s="27">
        <f t="shared" si="11"/>
        <v>-0.48</v>
      </c>
      <c r="AC25" s="28">
        <v>0.45370370370370372</v>
      </c>
      <c r="AD25" s="25">
        <f t="shared" si="12"/>
        <v>0</v>
      </c>
      <c r="AE25" s="25">
        <v>-17.38</v>
      </c>
      <c r="AF25" s="25">
        <v>-66.709999999999894</v>
      </c>
      <c r="AG25" s="25">
        <v>0</v>
      </c>
    </row>
    <row r="26" spans="1:33" ht="15.75" customHeight="1">
      <c r="A26" s="14" t="s">
        <v>52</v>
      </c>
      <c r="B26" s="14" t="s">
        <v>45</v>
      </c>
      <c r="C26" s="15" t="str">
        <f t="shared" si="4"/>
        <v xml:space="preserve"> - </v>
      </c>
      <c r="D26" s="16">
        <v>0</v>
      </c>
      <c r="E26" s="16">
        <v>0</v>
      </c>
      <c r="F26" s="17">
        <v>0</v>
      </c>
      <c r="G26" s="17">
        <v>0</v>
      </c>
      <c r="H26" s="18" t="e">
        <f t="shared" si="1"/>
        <v>#DIV/0!</v>
      </c>
      <c r="I26" s="18" t="e">
        <f t="shared" si="2"/>
        <v>#DIV/0!</v>
      </c>
      <c r="J26" s="17">
        <f t="shared" si="5"/>
        <v>0</v>
      </c>
      <c r="K26" s="17" t="e">
        <f t="shared" si="3"/>
        <v>#DIV/0!</v>
      </c>
      <c r="L26" s="16">
        <v>0</v>
      </c>
      <c r="M26" s="19" t="str">
        <f t="shared" si="6"/>
        <v>-</v>
      </c>
      <c r="N26" s="16">
        <v>127</v>
      </c>
      <c r="O26" s="20">
        <f t="shared" ref="O26:P26" si="34">D26/7</f>
        <v>0</v>
      </c>
      <c r="P26" s="20">
        <f t="shared" si="34"/>
        <v>0</v>
      </c>
      <c r="Q26" s="16" t="e">
        <f t="shared" si="8"/>
        <v>#DIV/0!</v>
      </c>
      <c r="R26" s="16"/>
      <c r="S26" s="21">
        <v>0.20645161290322581</v>
      </c>
      <c r="T26" s="14">
        <v>199</v>
      </c>
      <c r="U26" s="22" t="s">
        <v>34</v>
      </c>
      <c r="V26" s="23" t="s">
        <v>34</v>
      </c>
      <c r="W26" s="30">
        <v>0</v>
      </c>
      <c r="X26" s="24">
        <f t="shared" si="9"/>
        <v>0</v>
      </c>
      <c r="Y26" s="25">
        <f t="shared" si="10"/>
        <v>0</v>
      </c>
      <c r="Z26" s="30">
        <v>0</v>
      </c>
      <c r="AA26" s="14" t="s">
        <v>63</v>
      </c>
      <c r="AB26" s="27">
        <f t="shared" si="11"/>
        <v>-0.48</v>
      </c>
      <c r="AC26" s="28">
        <v>0.45370370370370372</v>
      </c>
      <c r="AD26" s="25">
        <f t="shared" si="12"/>
        <v>0</v>
      </c>
      <c r="AE26" s="25">
        <v>-17.78</v>
      </c>
      <c r="AF26" s="25">
        <v>-66.707499999999996</v>
      </c>
      <c r="AG26" s="25">
        <v>0</v>
      </c>
    </row>
    <row r="27" spans="1:33" ht="15.75" customHeight="1">
      <c r="A27" s="14" t="s">
        <v>53</v>
      </c>
      <c r="B27" s="14" t="s">
        <v>253</v>
      </c>
      <c r="C27" s="15">
        <f t="shared" si="4"/>
        <v>132.94999999999999</v>
      </c>
      <c r="D27" s="16">
        <v>1</v>
      </c>
      <c r="E27" s="16">
        <v>0</v>
      </c>
      <c r="F27" s="17">
        <v>132.94999999999999</v>
      </c>
      <c r="G27" s="17">
        <v>0</v>
      </c>
      <c r="H27" s="18">
        <f t="shared" si="1"/>
        <v>0</v>
      </c>
      <c r="I27" s="18">
        <f t="shared" si="2"/>
        <v>0.20951067652835231</v>
      </c>
      <c r="J27" s="17">
        <f t="shared" si="5"/>
        <v>27.854444444444436</v>
      </c>
      <c r="K27" s="17">
        <f t="shared" si="3"/>
        <v>27.854444444444436</v>
      </c>
      <c r="L27" s="16">
        <v>18</v>
      </c>
      <c r="M27" s="19">
        <f t="shared" si="6"/>
        <v>5.5555555555555552E-2</v>
      </c>
      <c r="N27" s="16">
        <v>126</v>
      </c>
      <c r="O27" s="20">
        <f t="shared" ref="O27:P27" si="35">D27/7</f>
        <v>0.14285714285714285</v>
      </c>
      <c r="P27" s="20">
        <f t="shared" si="35"/>
        <v>0</v>
      </c>
      <c r="Q27" s="16">
        <f t="shared" si="8"/>
        <v>882</v>
      </c>
      <c r="R27" s="16"/>
      <c r="S27" s="21">
        <v>0.15686274509803921</v>
      </c>
      <c r="T27" s="14">
        <v>199</v>
      </c>
      <c r="U27" s="22" t="s">
        <v>34</v>
      </c>
      <c r="V27" s="23" t="s">
        <v>34</v>
      </c>
      <c r="W27" s="30">
        <v>0</v>
      </c>
      <c r="X27" s="24">
        <f t="shared" si="9"/>
        <v>0</v>
      </c>
      <c r="Y27" s="25">
        <f t="shared" si="10"/>
        <v>0</v>
      </c>
      <c r="Z27" s="30">
        <v>0</v>
      </c>
      <c r="AA27" s="14" t="s">
        <v>63</v>
      </c>
      <c r="AB27" s="27">
        <f t="shared" si="11"/>
        <v>-0.48</v>
      </c>
      <c r="AC27" s="28">
        <v>0.45370370370370372</v>
      </c>
      <c r="AD27" s="25">
        <f t="shared" si="12"/>
        <v>-0.43555555555555553</v>
      </c>
      <c r="AE27" s="25">
        <v>-17.78</v>
      </c>
      <c r="AF27" s="25">
        <v>-66.9375</v>
      </c>
      <c r="AG27" s="25">
        <v>0</v>
      </c>
    </row>
    <row r="28" spans="1:33" ht="15.75" customHeight="1">
      <c r="A28" s="14" t="s">
        <v>54</v>
      </c>
      <c r="B28" s="14" t="s">
        <v>254</v>
      </c>
      <c r="C28" s="15">
        <f t="shared" si="4"/>
        <v>130.14105263157893</v>
      </c>
      <c r="D28" s="16">
        <v>19</v>
      </c>
      <c r="E28" s="16">
        <v>0</v>
      </c>
      <c r="F28" s="17">
        <v>2472.6799999999998</v>
      </c>
      <c r="G28" s="17">
        <v>-294.38</v>
      </c>
      <c r="H28" s="18">
        <f t="shared" si="1"/>
        <v>0.11905301130756912</v>
      </c>
      <c r="I28" s="18">
        <f t="shared" si="2"/>
        <v>7.6633427877624324E-2</v>
      </c>
      <c r="J28" s="17">
        <f t="shared" si="5"/>
        <v>189.48994444444409</v>
      </c>
      <c r="K28" s="17">
        <f t="shared" si="3"/>
        <v>9.9731549707602145</v>
      </c>
      <c r="L28" s="16">
        <v>98</v>
      </c>
      <c r="M28" s="19">
        <f t="shared" si="6"/>
        <v>0.19387755102040816</v>
      </c>
      <c r="N28" s="16">
        <v>116</v>
      </c>
      <c r="O28" s="20">
        <f t="shared" ref="O28:P28" si="36">D28/7</f>
        <v>2.7142857142857144</v>
      </c>
      <c r="P28" s="20">
        <f t="shared" si="36"/>
        <v>0</v>
      </c>
      <c r="Q28" s="16">
        <f t="shared" si="8"/>
        <v>42</v>
      </c>
      <c r="R28" s="16"/>
      <c r="S28" s="21">
        <v>0.37410071942446038</v>
      </c>
      <c r="T28" s="14">
        <v>199</v>
      </c>
      <c r="U28" s="22" t="s">
        <v>34</v>
      </c>
      <c r="V28" s="23" t="s">
        <v>34</v>
      </c>
      <c r="W28" s="30">
        <v>13</v>
      </c>
      <c r="X28" s="24">
        <f t="shared" si="9"/>
        <v>0.68421052631578949</v>
      </c>
      <c r="Y28" s="25">
        <f t="shared" si="10"/>
        <v>10.513571428571428</v>
      </c>
      <c r="Z28" s="30">
        <v>15</v>
      </c>
      <c r="AA28" s="14" t="s">
        <v>63</v>
      </c>
      <c r="AB28" s="27">
        <f t="shared" si="11"/>
        <v>-0.48</v>
      </c>
      <c r="AC28" s="28">
        <v>0.45370370370370372</v>
      </c>
      <c r="AD28" s="25">
        <f t="shared" si="12"/>
        <v>-8.2755555555555542</v>
      </c>
      <c r="AE28" s="25">
        <v>-17.78</v>
      </c>
      <c r="AF28" s="25">
        <v>-66.9375</v>
      </c>
      <c r="AG28" s="25">
        <v>0</v>
      </c>
    </row>
    <row r="29" spans="1:33" ht="15.75" customHeight="1">
      <c r="A29" s="14" t="s">
        <v>55</v>
      </c>
      <c r="B29" s="14" t="s">
        <v>255</v>
      </c>
      <c r="C29" s="15">
        <f t="shared" si="4"/>
        <v>131.065</v>
      </c>
      <c r="D29" s="16">
        <v>28</v>
      </c>
      <c r="E29" s="16">
        <v>1</v>
      </c>
      <c r="F29" s="17">
        <v>3669.82</v>
      </c>
      <c r="G29" s="17">
        <v>-497.10999999999979</v>
      </c>
      <c r="H29" s="18">
        <f t="shared" si="1"/>
        <v>0.13545895983999209</v>
      </c>
      <c r="I29" s="18">
        <f t="shared" si="2"/>
        <v>6.3178484684989225E-2</v>
      </c>
      <c r="J29" s="17">
        <f t="shared" si="5"/>
        <v>231.85366666666718</v>
      </c>
      <c r="K29" s="17">
        <f t="shared" si="3"/>
        <v>8.2804880952381144</v>
      </c>
      <c r="L29" s="16">
        <v>139</v>
      </c>
      <c r="M29" s="19">
        <f t="shared" si="6"/>
        <v>0.20143884892086331</v>
      </c>
      <c r="N29" s="16">
        <v>85</v>
      </c>
      <c r="O29" s="20">
        <f t="shared" ref="O29:P29" si="37">D29/7</f>
        <v>4</v>
      </c>
      <c r="P29" s="20">
        <f t="shared" si="37"/>
        <v>0.14285714285714285</v>
      </c>
      <c r="Q29" s="16">
        <f t="shared" si="8"/>
        <v>20</v>
      </c>
      <c r="R29" s="16"/>
      <c r="S29" s="21">
        <v>1.3818181818181821</v>
      </c>
      <c r="T29" s="14">
        <v>199</v>
      </c>
      <c r="U29" s="22" t="s">
        <v>34</v>
      </c>
      <c r="V29" s="23" t="s">
        <v>34</v>
      </c>
      <c r="W29" s="30">
        <v>11</v>
      </c>
      <c r="X29" s="24">
        <f t="shared" si="9"/>
        <v>0.39285714285714285</v>
      </c>
      <c r="Y29" s="25">
        <f t="shared" si="10"/>
        <v>10.806739130434778</v>
      </c>
      <c r="Z29" s="30">
        <v>35</v>
      </c>
      <c r="AA29" s="14" t="s">
        <v>63</v>
      </c>
      <c r="AB29" s="27">
        <f t="shared" si="11"/>
        <v>-0.48</v>
      </c>
      <c r="AC29" s="28">
        <v>0.68055555555555558</v>
      </c>
      <c r="AD29" s="25">
        <f t="shared" si="12"/>
        <v>-18.293333333333333</v>
      </c>
      <c r="AE29" s="25">
        <v>-17.78</v>
      </c>
      <c r="AF29" s="25">
        <v>-66.9375</v>
      </c>
      <c r="AG29" s="25">
        <v>0</v>
      </c>
    </row>
    <row r="30" spans="1:33" ht="15.75" customHeight="1">
      <c r="A30" s="14" t="s">
        <v>57</v>
      </c>
      <c r="B30" s="14" t="s">
        <v>256</v>
      </c>
      <c r="C30" s="15">
        <f t="shared" si="4"/>
        <v>138.80240000000001</v>
      </c>
      <c r="D30" s="16">
        <v>25</v>
      </c>
      <c r="E30" s="16">
        <v>0</v>
      </c>
      <c r="F30" s="17">
        <v>3470.06</v>
      </c>
      <c r="G30" s="17">
        <v>-86.210000000000008</v>
      </c>
      <c r="H30" s="18">
        <f t="shared" si="1"/>
        <v>2.4843950825057783E-2</v>
      </c>
      <c r="I30" s="18">
        <f t="shared" si="2"/>
        <v>0.20751061428812947</v>
      </c>
      <c r="J30" s="17">
        <f t="shared" si="5"/>
        <v>720.07428221666657</v>
      </c>
      <c r="K30" s="17">
        <f t="shared" si="3"/>
        <v>28.802971288666662</v>
      </c>
      <c r="L30" s="16">
        <v>100</v>
      </c>
      <c r="M30" s="19">
        <f t="shared" si="6"/>
        <v>0.25</v>
      </c>
      <c r="N30" s="16">
        <v>58</v>
      </c>
      <c r="O30" s="20">
        <f t="shared" ref="O30:P30" si="38">D30/7</f>
        <v>3.5714285714285716</v>
      </c>
      <c r="P30" s="20">
        <f t="shared" si="38"/>
        <v>0</v>
      </c>
      <c r="Q30" s="16">
        <f t="shared" si="8"/>
        <v>16</v>
      </c>
      <c r="R30" s="16"/>
      <c r="S30" s="21">
        <v>0.93273542600896864</v>
      </c>
      <c r="T30" s="14">
        <v>199</v>
      </c>
      <c r="U30" s="22" t="s">
        <v>34</v>
      </c>
      <c r="V30" s="23" t="s">
        <v>34</v>
      </c>
      <c r="W30" s="30">
        <v>0</v>
      </c>
      <c r="X30" s="24">
        <f t="shared" si="9"/>
        <v>0</v>
      </c>
      <c r="Y30" s="25">
        <f t="shared" si="10"/>
        <v>10.776250000000001</v>
      </c>
      <c r="Z30" s="30">
        <v>8</v>
      </c>
      <c r="AA30" s="14" t="s">
        <v>63</v>
      </c>
      <c r="AB30" s="27">
        <f t="shared" si="11"/>
        <v>-0.48</v>
      </c>
      <c r="AC30" s="28">
        <v>0.68055555555555558</v>
      </c>
      <c r="AD30" s="25">
        <f t="shared" si="12"/>
        <v>-16.333333333333332</v>
      </c>
      <c r="AE30" s="25">
        <v>-17.78</v>
      </c>
      <c r="AF30" s="25">
        <v>-67.297335378</v>
      </c>
      <c r="AG30" s="25">
        <v>0</v>
      </c>
    </row>
    <row r="31" spans="1:33" ht="15.75" customHeight="1">
      <c r="A31" s="14" t="s">
        <v>58</v>
      </c>
      <c r="B31" s="14" t="s">
        <v>257</v>
      </c>
      <c r="C31" s="15">
        <f t="shared" si="4"/>
        <v>146.8674074074074</v>
      </c>
      <c r="D31" s="16">
        <v>27</v>
      </c>
      <c r="E31" s="16">
        <v>0</v>
      </c>
      <c r="F31" s="17">
        <v>3965.4199999999996</v>
      </c>
      <c r="G31" s="17">
        <v>0</v>
      </c>
      <c r="H31" s="18">
        <f t="shared" si="1"/>
        <v>0</v>
      </c>
      <c r="I31" s="18">
        <f t="shared" si="2"/>
        <v>0.26627165465297475</v>
      </c>
      <c r="J31" s="17">
        <f t="shared" si="5"/>
        <v>1055.8789447939992</v>
      </c>
      <c r="K31" s="17">
        <f t="shared" si="3"/>
        <v>39.106627584962929</v>
      </c>
      <c r="L31" s="16">
        <v>103</v>
      </c>
      <c r="M31" s="19">
        <f t="shared" si="6"/>
        <v>0.26213592233009708</v>
      </c>
      <c r="N31" s="16">
        <v>32</v>
      </c>
      <c r="O31" s="20">
        <f t="shared" ref="O31:P31" si="39">D31/7</f>
        <v>3.8571428571428572</v>
      </c>
      <c r="P31" s="20">
        <f t="shared" si="39"/>
        <v>0</v>
      </c>
      <c r="Q31" s="16">
        <f t="shared" si="8"/>
        <v>8</v>
      </c>
      <c r="R31" s="16"/>
      <c r="S31" s="21">
        <v>1.8297872340425501</v>
      </c>
      <c r="T31" s="14">
        <v>140</v>
      </c>
      <c r="U31" s="22" t="s">
        <v>34</v>
      </c>
      <c r="V31" s="23" t="s">
        <v>258</v>
      </c>
      <c r="W31" s="30">
        <v>0</v>
      </c>
      <c r="X31" s="24">
        <f t="shared" si="9"/>
        <v>0</v>
      </c>
      <c r="Y31" s="25">
        <f t="shared" si="10"/>
        <v>0</v>
      </c>
      <c r="Z31" s="30">
        <v>0</v>
      </c>
      <c r="AA31" s="14" t="s">
        <v>63</v>
      </c>
      <c r="AB31" s="27">
        <f t="shared" si="11"/>
        <v>-0.48</v>
      </c>
      <c r="AC31" s="28">
        <v>0.68055555555555558</v>
      </c>
      <c r="AD31" s="25">
        <f t="shared" si="12"/>
        <v>-17.64</v>
      </c>
      <c r="AE31" s="25">
        <v>-17.78</v>
      </c>
      <c r="AF31" s="25">
        <v>-67.297335378</v>
      </c>
      <c r="AG31" s="25">
        <v>0</v>
      </c>
    </row>
    <row r="32" spans="1:33" ht="15.75" customHeight="1">
      <c r="A32" s="14" t="s">
        <v>60</v>
      </c>
      <c r="B32" s="14"/>
      <c r="C32" s="15">
        <f t="shared" si="4"/>
        <v>169.35999999999999</v>
      </c>
      <c r="D32" s="16">
        <v>3</v>
      </c>
      <c r="E32" s="16">
        <v>0</v>
      </c>
      <c r="F32" s="17">
        <v>508.08</v>
      </c>
      <c r="G32" s="17">
        <v>0</v>
      </c>
      <c r="H32" s="18">
        <f t="shared" si="1"/>
        <v>0</v>
      </c>
      <c r="I32" s="18">
        <f t="shared" si="2"/>
        <v>0.3437962404857503</v>
      </c>
      <c r="J32" s="17">
        <f t="shared" si="5"/>
        <v>174.675993866</v>
      </c>
      <c r="K32" s="17">
        <f t="shared" si="3"/>
        <v>58.225331288666666</v>
      </c>
      <c r="L32" s="16">
        <v>45</v>
      </c>
      <c r="M32" s="19">
        <f t="shared" si="6"/>
        <v>6.6666666666666666E-2</v>
      </c>
      <c r="N32" s="16">
        <v>26</v>
      </c>
      <c r="O32" s="20">
        <f t="shared" ref="O32:P32" si="40">D32/7</f>
        <v>0.42857142857142855</v>
      </c>
      <c r="P32" s="20">
        <f t="shared" si="40"/>
        <v>0</v>
      </c>
      <c r="Q32" s="16">
        <f t="shared" si="8"/>
        <v>60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0</v>
      </c>
      <c r="T32" s="14">
        <f ca="1">IFERROR(__xludf.DUMMYFUNCTION("IFERROR(VLOOKUP($B$2,IMPORTRANGE(""https://docs.google.com/spreadsheets/d/1KiWZV1ko8G7lnRucBRBd29jj3Be6ltMfljMDqzOkQmI/edit#gid=1381463014"",""Lookup!A:D""),4,FALSE),"""")"),140)</f>
        <v>140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23" t="str">
        <f ca="1">IFERROR(__xludf.DUMMYFUNCTION("IFERROR(VLOOKUP($B$2,IMPORTRANGE(""https://docs.google.com/spreadsheets/d/1KiWZV1ko8G7lnRucBRBd29jj3Be6ltMfljMDqzOkQmI/edit#gid=1381463014"",""Lookup!A:D""),2,FALSE),"""")"),"No Transit, But 140 At Factory 50-75 days from Earliest Arrival")</f>
        <v>No Transit, But 140 At Factory 50-75 days from Earliest Arrival</v>
      </c>
      <c r="W32" s="30">
        <v>0</v>
      </c>
      <c r="X32" s="24">
        <f t="shared" si="9"/>
        <v>0</v>
      </c>
      <c r="Y32" s="25">
        <f t="shared" si="10"/>
        <v>0</v>
      </c>
      <c r="Z32" s="30">
        <v>0</v>
      </c>
      <c r="AA32" s="14" t="s">
        <v>63</v>
      </c>
      <c r="AB32" s="27">
        <f t="shared" si="11"/>
        <v>-0.48</v>
      </c>
      <c r="AC32" s="28">
        <v>0.68055555555555558</v>
      </c>
      <c r="AD32" s="25">
        <f t="shared" si="12"/>
        <v>-1.96</v>
      </c>
      <c r="AE32" s="25">
        <v>-17.78</v>
      </c>
      <c r="AF32" s="25">
        <v>-67.297335378</v>
      </c>
      <c r="AG32" s="25">
        <v>0</v>
      </c>
    </row>
    <row r="33" spans="1:33" ht="15.75" customHeight="1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16"/>
      <c r="S33" s="21"/>
      <c r="T33" s="31"/>
      <c r="U33" s="36"/>
      <c r="V33" s="1"/>
      <c r="W33" s="31"/>
      <c r="X33" s="31"/>
      <c r="Y33" s="31"/>
      <c r="Z33" s="31"/>
      <c r="AA33" s="2"/>
      <c r="AB33" s="31"/>
      <c r="AC33" s="31"/>
      <c r="AD33" s="31"/>
      <c r="AE33" s="37"/>
      <c r="AF33" s="37"/>
      <c r="AG33" s="37"/>
    </row>
    <row r="34" spans="1:33" ht="15.75" customHeight="1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6"/>
      <c r="V34" s="1"/>
      <c r="W34" s="31"/>
      <c r="X34" s="31"/>
      <c r="Y34" s="31"/>
      <c r="Z34" s="31"/>
      <c r="AA34" s="2"/>
      <c r="AB34" s="31"/>
      <c r="AC34" s="31"/>
      <c r="AD34" s="31"/>
      <c r="AE34" s="37"/>
      <c r="AF34" s="37"/>
      <c r="AG34" s="37"/>
    </row>
    <row r="35" spans="1:33" ht="15.75" customHeight="1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6"/>
      <c r="V35" s="1"/>
      <c r="W35" s="31"/>
      <c r="X35" s="31"/>
      <c r="Y35" s="31"/>
      <c r="Z35" s="31"/>
      <c r="AA35" s="2"/>
      <c r="AB35" s="31"/>
      <c r="AC35" s="31"/>
      <c r="AD35" s="31"/>
      <c r="AE35" s="37"/>
      <c r="AF35" s="37"/>
      <c r="AG35" s="37"/>
    </row>
    <row r="36" spans="1:33" ht="15.75" customHeight="1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6"/>
      <c r="V36" s="1"/>
      <c r="W36" s="31"/>
      <c r="X36" s="31"/>
      <c r="Y36" s="31"/>
      <c r="Z36" s="31"/>
      <c r="AA36" s="2"/>
      <c r="AB36" s="31"/>
      <c r="AC36" s="31"/>
      <c r="AD36" s="31"/>
      <c r="AE36" s="37"/>
      <c r="AF36" s="37"/>
      <c r="AG36" s="37"/>
    </row>
    <row r="37" spans="1:33" ht="15.75" customHeight="1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6"/>
      <c r="V37" s="1"/>
      <c r="W37" s="31"/>
      <c r="X37" s="31"/>
      <c r="Y37" s="31"/>
      <c r="Z37" s="31"/>
      <c r="AA37" s="2"/>
      <c r="AB37" s="31"/>
      <c r="AC37" s="31"/>
      <c r="AD37" s="31"/>
      <c r="AE37" s="37"/>
      <c r="AF37" s="37"/>
      <c r="AG37" s="37"/>
    </row>
    <row r="38" spans="1:33" ht="15.75" customHeight="1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6"/>
      <c r="V38" s="1"/>
      <c r="W38" s="31"/>
      <c r="X38" s="31"/>
      <c r="Y38" s="31"/>
      <c r="Z38" s="31"/>
      <c r="AA38" s="2"/>
      <c r="AB38" s="31"/>
      <c r="AC38" s="31"/>
      <c r="AD38" s="31"/>
      <c r="AE38" s="37"/>
      <c r="AF38" s="37"/>
      <c r="AG38" s="37"/>
    </row>
    <row r="39" spans="1:33" ht="15.75" customHeight="1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6"/>
      <c r="V39" s="1"/>
      <c r="W39" s="31"/>
      <c r="X39" s="31"/>
      <c r="Y39" s="31"/>
      <c r="Z39" s="31"/>
      <c r="AA39" s="2"/>
      <c r="AB39" s="31"/>
      <c r="AC39" s="31"/>
      <c r="AD39" s="31"/>
      <c r="AE39" s="37"/>
      <c r="AF39" s="37"/>
      <c r="AG39" s="37"/>
    </row>
    <row r="40" spans="1:33" ht="15.75" customHeight="1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6"/>
      <c r="V40" s="1"/>
      <c r="W40" s="31"/>
      <c r="X40" s="31"/>
      <c r="Y40" s="31"/>
      <c r="Z40" s="31"/>
      <c r="AA40" s="2"/>
      <c r="AB40" s="31"/>
      <c r="AC40" s="31"/>
      <c r="AD40" s="31"/>
      <c r="AE40" s="37"/>
      <c r="AF40" s="37"/>
      <c r="AG40" s="37"/>
    </row>
    <row r="41" spans="1:33" ht="15.75" customHeight="1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6"/>
      <c r="V41" s="1"/>
      <c r="W41" s="31"/>
      <c r="X41" s="31"/>
      <c r="Y41" s="31"/>
      <c r="Z41" s="31"/>
      <c r="AA41" s="2"/>
      <c r="AB41" s="31"/>
      <c r="AC41" s="31"/>
      <c r="AD41" s="31"/>
      <c r="AE41" s="37"/>
      <c r="AF41" s="37"/>
      <c r="AG41" s="37"/>
    </row>
    <row r="42" spans="1:33" ht="15.75" customHeight="1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6"/>
      <c r="V42" s="1"/>
      <c r="W42" s="31"/>
      <c r="X42" s="31"/>
      <c r="Y42" s="31"/>
      <c r="Z42" s="31"/>
      <c r="AA42" s="2"/>
      <c r="AB42" s="31"/>
      <c r="AC42" s="31"/>
      <c r="AD42" s="31"/>
      <c r="AE42" s="37"/>
      <c r="AF42" s="37"/>
      <c r="AG42" s="37"/>
    </row>
    <row r="43" spans="1:33" ht="15.75" customHeight="1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6"/>
      <c r="V43" s="1"/>
      <c r="W43" s="31"/>
      <c r="X43" s="31"/>
      <c r="Y43" s="31"/>
      <c r="Z43" s="31"/>
      <c r="AA43" s="2"/>
      <c r="AB43" s="31"/>
      <c r="AC43" s="31"/>
      <c r="AD43" s="31"/>
      <c r="AE43" s="37"/>
      <c r="AF43" s="37"/>
      <c r="AG43" s="37"/>
    </row>
    <row r="44" spans="1:33" ht="15.75" customHeight="1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6"/>
      <c r="V44" s="1"/>
      <c r="W44" s="31"/>
      <c r="X44" s="31"/>
      <c r="Y44" s="31"/>
      <c r="Z44" s="31"/>
      <c r="AA44" s="2"/>
      <c r="AB44" s="31"/>
      <c r="AC44" s="31"/>
      <c r="AD44" s="31"/>
      <c r="AE44" s="37"/>
      <c r="AF44" s="37"/>
      <c r="AG44" s="37"/>
    </row>
    <row r="45" spans="1:33" ht="15.75" customHeight="1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6"/>
      <c r="V45" s="1"/>
      <c r="W45" s="31"/>
      <c r="X45" s="31"/>
      <c r="Y45" s="31"/>
      <c r="Z45" s="31"/>
      <c r="AA45" s="2"/>
      <c r="AB45" s="31"/>
      <c r="AC45" s="31"/>
      <c r="AD45" s="31"/>
      <c r="AE45" s="37"/>
      <c r="AF45" s="37"/>
      <c r="AG45" s="37"/>
    </row>
    <row r="46" spans="1:33" ht="15.75" customHeight="1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6"/>
      <c r="V46" s="1"/>
      <c r="W46" s="31"/>
      <c r="X46" s="31"/>
      <c r="Y46" s="31"/>
      <c r="Z46" s="31"/>
      <c r="AA46" s="2"/>
      <c r="AB46" s="31"/>
      <c r="AC46" s="31"/>
      <c r="AD46" s="31"/>
      <c r="AE46" s="37"/>
      <c r="AF46" s="37"/>
      <c r="AG46" s="37"/>
    </row>
    <row r="47" spans="1:33" ht="15.75" customHeight="1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6"/>
      <c r="V47" s="1"/>
      <c r="W47" s="31"/>
      <c r="X47" s="31"/>
      <c r="Y47" s="31"/>
      <c r="Z47" s="31"/>
      <c r="AA47" s="2"/>
      <c r="AB47" s="31"/>
      <c r="AC47" s="31"/>
      <c r="AD47" s="31"/>
      <c r="AE47" s="37"/>
      <c r="AF47" s="37"/>
      <c r="AG47" s="37"/>
    </row>
    <row r="48" spans="1:33" ht="15.75" customHeight="1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6"/>
      <c r="V48" s="1"/>
      <c r="W48" s="31"/>
      <c r="X48" s="31"/>
      <c r="Y48" s="31"/>
      <c r="Z48" s="31"/>
      <c r="AA48" s="2"/>
      <c r="AB48" s="31"/>
      <c r="AC48" s="31"/>
      <c r="AD48" s="31"/>
      <c r="AE48" s="37"/>
      <c r="AF48" s="37"/>
      <c r="AG48" s="37"/>
    </row>
    <row r="49" spans="1:33" ht="15.75" customHeight="1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6"/>
      <c r="V49" s="1"/>
      <c r="W49" s="31"/>
      <c r="X49" s="31"/>
      <c r="Y49" s="31"/>
      <c r="Z49" s="31"/>
      <c r="AA49" s="2"/>
      <c r="AB49" s="31"/>
      <c r="AC49" s="31"/>
      <c r="AD49" s="31"/>
      <c r="AE49" s="37"/>
      <c r="AF49" s="37"/>
      <c r="AG49" s="37"/>
    </row>
    <row r="50" spans="1:33" ht="15.75" customHeight="1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6"/>
      <c r="V50" s="1"/>
      <c r="W50" s="31"/>
      <c r="X50" s="31"/>
      <c r="Y50" s="31"/>
      <c r="Z50" s="31"/>
      <c r="AA50" s="2"/>
      <c r="AB50" s="31"/>
      <c r="AC50" s="31"/>
      <c r="AD50" s="31"/>
      <c r="AE50" s="37"/>
      <c r="AF50" s="37"/>
      <c r="AG50" s="37"/>
    </row>
    <row r="51" spans="1:33" ht="15.75" customHeight="1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6"/>
      <c r="V51" s="1"/>
      <c r="W51" s="31"/>
      <c r="X51" s="31"/>
      <c r="Y51" s="31"/>
      <c r="Z51" s="31"/>
      <c r="AA51" s="2"/>
      <c r="AB51" s="31"/>
      <c r="AC51" s="31"/>
      <c r="AD51" s="31"/>
      <c r="AE51" s="37"/>
      <c r="AF51" s="37"/>
      <c r="AG51" s="37"/>
    </row>
    <row r="52" spans="1:33" ht="15.75" customHeight="1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6"/>
      <c r="V52" s="1"/>
      <c r="W52" s="31"/>
      <c r="X52" s="31"/>
      <c r="Y52" s="31"/>
      <c r="Z52" s="31"/>
      <c r="AA52" s="2"/>
      <c r="AB52" s="31"/>
      <c r="AC52" s="31"/>
      <c r="AD52" s="31"/>
      <c r="AE52" s="37"/>
      <c r="AF52" s="37"/>
      <c r="AG52" s="37"/>
    </row>
    <row r="53" spans="1:33" ht="15.75" customHeight="1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6"/>
      <c r="V53" s="1"/>
      <c r="W53" s="31"/>
      <c r="X53" s="31"/>
      <c r="Y53" s="31"/>
      <c r="Z53" s="31"/>
      <c r="AA53" s="2"/>
      <c r="AB53" s="31"/>
      <c r="AC53" s="31"/>
      <c r="AD53" s="31"/>
      <c r="AE53" s="37"/>
      <c r="AF53" s="37"/>
      <c r="AG53" s="37"/>
    </row>
    <row r="54" spans="1:33" ht="15.75" customHeight="1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6"/>
      <c r="V54" s="1"/>
      <c r="W54" s="31"/>
      <c r="X54" s="31"/>
      <c r="Y54" s="31"/>
      <c r="Z54" s="31"/>
      <c r="AA54" s="2"/>
      <c r="AB54" s="31"/>
      <c r="AC54" s="31"/>
      <c r="AD54" s="31"/>
      <c r="AE54" s="37"/>
      <c r="AF54" s="37"/>
      <c r="AG54" s="37"/>
    </row>
    <row r="55" spans="1:33" ht="15.75" customHeight="1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6"/>
      <c r="V55" s="1"/>
      <c r="W55" s="31"/>
      <c r="X55" s="31"/>
      <c r="Y55" s="31"/>
      <c r="Z55" s="31"/>
      <c r="AA55" s="2"/>
      <c r="AB55" s="31"/>
      <c r="AC55" s="31"/>
      <c r="AD55" s="31"/>
      <c r="AE55" s="37"/>
      <c r="AF55" s="37"/>
      <c r="AG55" s="37"/>
    </row>
    <row r="56" spans="1:33" ht="15.75" customHeight="1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6"/>
      <c r="V56" s="1"/>
      <c r="W56" s="31"/>
      <c r="X56" s="31"/>
      <c r="Y56" s="31"/>
      <c r="Z56" s="31"/>
      <c r="AA56" s="2"/>
      <c r="AB56" s="31"/>
      <c r="AC56" s="31"/>
      <c r="AD56" s="31"/>
      <c r="AE56" s="37"/>
      <c r="AF56" s="37"/>
      <c r="AG56" s="37"/>
    </row>
    <row r="57" spans="1:33" ht="15.75" customHeight="1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6"/>
      <c r="V57" s="1"/>
      <c r="W57" s="31"/>
      <c r="X57" s="31"/>
      <c r="Y57" s="31"/>
      <c r="Z57" s="31"/>
      <c r="AA57" s="2"/>
      <c r="AB57" s="31"/>
      <c r="AC57" s="31"/>
      <c r="AD57" s="31"/>
      <c r="AE57" s="37"/>
      <c r="AF57" s="37"/>
      <c r="AG57" s="37"/>
    </row>
    <row r="58" spans="1:33" ht="15.75" customHeight="1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6"/>
      <c r="V58" s="1"/>
      <c r="W58" s="31"/>
      <c r="X58" s="31"/>
      <c r="Y58" s="31"/>
      <c r="Z58" s="31"/>
      <c r="AA58" s="2"/>
      <c r="AB58" s="31"/>
      <c r="AC58" s="31"/>
      <c r="AD58" s="31"/>
      <c r="AE58" s="37"/>
      <c r="AF58" s="37"/>
      <c r="AG58" s="37"/>
    </row>
    <row r="59" spans="1:33" ht="15.75" customHeight="1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6"/>
      <c r="V59" s="1"/>
      <c r="W59" s="31"/>
      <c r="X59" s="31"/>
      <c r="Y59" s="31"/>
      <c r="Z59" s="31"/>
      <c r="AA59" s="2"/>
      <c r="AB59" s="31"/>
      <c r="AC59" s="31"/>
      <c r="AD59" s="31"/>
      <c r="AE59" s="37"/>
      <c r="AF59" s="37"/>
      <c r="AG59" s="37"/>
    </row>
    <row r="60" spans="1:33" ht="15.75" customHeight="1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6"/>
      <c r="V60" s="1"/>
      <c r="W60" s="31"/>
      <c r="X60" s="31"/>
      <c r="Y60" s="31"/>
      <c r="Z60" s="31"/>
      <c r="AA60" s="2"/>
      <c r="AB60" s="31"/>
      <c r="AC60" s="31"/>
      <c r="AD60" s="31"/>
      <c r="AE60" s="37"/>
      <c r="AF60" s="37"/>
      <c r="AG60" s="37"/>
    </row>
    <row r="61" spans="1:33" ht="15.75" customHeight="1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6"/>
      <c r="V61" s="1"/>
      <c r="W61" s="31"/>
      <c r="X61" s="31"/>
      <c r="Y61" s="31"/>
      <c r="Z61" s="31"/>
      <c r="AA61" s="2"/>
      <c r="AB61" s="31"/>
      <c r="AC61" s="31"/>
      <c r="AD61" s="31"/>
      <c r="AE61" s="37"/>
      <c r="AF61" s="37"/>
      <c r="AG61" s="37"/>
    </row>
    <row r="62" spans="1:33" ht="15.75" customHeight="1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6"/>
      <c r="V62" s="1"/>
      <c r="W62" s="31"/>
      <c r="X62" s="31"/>
      <c r="Y62" s="31"/>
      <c r="Z62" s="31"/>
      <c r="AA62" s="2"/>
      <c r="AB62" s="31"/>
      <c r="AC62" s="31"/>
      <c r="AD62" s="31"/>
      <c r="AE62" s="37"/>
      <c r="AF62" s="37"/>
      <c r="AG62" s="37"/>
    </row>
    <row r="63" spans="1:33" ht="15.75" customHeight="1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6"/>
      <c r="V63" s="1"/>
      <c r="W63" s="31"/>
      <c r="X63" s="31"/>
      <c r="Y63" s="31"/>
      <c r="Z63" s="31"/>
      <c r="AA63" s="2"/>
      <c r="AB63" s="31"/>
      <c r="AC63" s="31"/>
      <c r="AD63" s="31"/>
      <c r="AE63" s="37"/>
      <c r="AF63" s="37"/>
      <c r="AG63" s="37"/>
    </row>
    <row r="64" spans="1:33" ht="15.75" customHeight="1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6"/>
      <c r="V64" s="1"/>
      <c r="W64" s="31"/>
      <c r="X64" s="31"/>
      <c r="Y64" s="31"/>
      <c r="Z64" s="31"/>
      <c r="AA64" s="2"/>
      <c r="AB64" s="31"/>
      <c r="AC64" s="31"/>
      <c r="AD64" s="31"/>
      <c r="AE64" s="37"/>
      <c r="AF64" s="37"/>
      <c r="AG64" s="37"/>
    </row>
    <row r="65" spans="1:33" ht="15.75" customHeight="1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6"/>
      <c r="V65" s="1"/>
      <c r="W65" s="31"/>
      <c r="X65" s="31"/>
      <c r="Y65" s="31"/>
      <c r="Z65" s="31"/>
      <c r="AA65" s="2"/>
      <c r="AB65" s="31"/>
      <c r="AC65" s="31"/>
      <c r="AD65" s="31"/>
      <c r="AE65" s="37"/>
      <c r="AF65" s="37"/>
      <c r="AG65" s="37"/>
    </row>
    <row r="66" spans="1:33" ht="15.75" customHeight="1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6"/>
      <c r="V66" s="1"/>
      <c r="W66" s="31"/>
      <c r="X66" s="31"/>
      <c r="Y66" s="31"/>
      <c r="Z66" s="31"/>
      <c r="AA66" s="2"/>
      <c r="AB66" s="31"/>
      <c r="AC66" s="31"/>
      <c r="AD66" s="31"/>
      <c r="AE66" s="37"/>
      <c r="AF66" s="37"/>
      <c r="AG66" s="37"/>
    </row>
    <row r="67" spans="1:33" ht="15.75" customHeight="1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6"/>
      <c r="V67" s="1"/>
      <c r="W67" s="31"/>
      <c r="X67" s="31"/>
      <c r="Y67" s="31"/>
      <c r="Z67" s="31"/>
      <c r="AA67" s="2"/>
      <c r="AB67" s="31"/>
      <c r="AC67" s="31"/>
      <c r="AD67" s="31"/>
      <c r="AE67" s="37"/>
      <c r="AF67" s="37"/>
      <c r="AG67" s="37"/>
    </row>
    <row r="68" spans="1:33" ht="15.75" customHeight="1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6"/>
      <c r="V68" s="1"/>
      <c r="W68" s="31"/>
      <c r="X68" s="31"/>
      <c r="Y68" s="31"/>
      <c r="Z68" s="31"/>
      <c r="AA68" s="2"/>
      <c r="AB68" s="31"/>
      <c r="AC68" s="31"/>
      <c r="AD68" s="31"/>
      <c r="AE68" s="37"/>
      <c r="AF68" s="37"/>
      <c r="AG68" s="37"/>
    </row>
    <row r="69" spans="1:33" ht="15.75" customHeight="1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6"/>
      <c r="V69" s="1"/>
      <c r="W69" s="31"/>
      <c r="X69" s="31"/>
      <c r="Y69" s="31"/>
      <c r="Z69" s="31"/>
      <c r="AA69" s="2"/>
      <c r="AB69" s="31"/>
      <c r="AC69" s="31"/>
      <c r="AD69" s="31"/>
      <c r="AE69" s="37"/>
      <c r="AF69" s="37"/>
      <c r="AG69" s="37"/>
    </row>
    <row r="70" spans="1:33" ht="15.75" customHeight="1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6"/>
      <c r="V70" s="1"/>
      <c r="W70" s="31"/>
      <c r="X70" s="31"/>
      <c r="Y70" s="31"/>
      <c r="Z70" s="31"/>
      <c r="AA70" s="2"/>
      <c r="AB70" s="31"/>
      <c r="AC70" s="31"/>
      <c r="AD70" s="31"/>
      <c r="AE70" s="37"/>
      <c r="AF70" s="37"/>
      <c r="AG70" s="37"/>
    </row>
    <row r="71" spans="1:33" ht="15.75" customHeight="1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6"/>
      <c r="V71" s="1"/>
      <c r="W71" s="31"/>
      <c r="X71" s="31"/>
      <c r="Y71" s="31"/>
      <c r="Z71" s="31"/>
      <c r="AA71" s="2"/>
      <c r="AB71" s="31"/>
      <c r="AC71" s="31"/>
      <c r="AD71" s="31"/>
      <c r="AE71" s="37"/>
      <c r="AF71" s="37"/>
      <c r="AG71" s="37"/>
    </row>
    <row r="72" spans="1:33" ht="15.75" customHeight="1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6"/>
      <c r="V72" s="1"/>
      <c r="W72" s="31"/>
      <c r="X72" s="31"/>
      <c r="Y72" s="31"/>
      <c r="Z72" s="31"/>
      <c r="AA72" s="2"/>
      <c r="AB72" s="31"/>
      <c r="AC72" s="31"/>
      <c r="AD72" s="31"/>
      <c r="AE72" s="37"/>
      <c r="AF72" s="37"/>
      <c r="AG72" s="37"/>
    </row>
    <row r="73" spans="1:33" ht="15.75" customHeight="1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6"/>
      <c r="V73" s="1"/>
      <c r="W73" s="31"/>
      <c r="X73" s="31"/>
      <c r="Y73" s="31"/>
      <c r="Z73" s="31"/>
      <c r="AA73" s="2"/>
      <c r="AB73" s="31"/>
      <c r="AC73" s="31"/>
      <c r="AD73" s="31"/>
      <c r="AE73" s="37"/>
      <c r="AF73" s="37"/>
      <c r="AG73" s="37"/>
    </row>
    <row r="74" spans="1:33" ht="15.75" customHeight="1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6"/>
      <c r="V74" s="1"/>
      <c r="W74" s="31"/>
      <c r="X74" s="31"/>
      <c r="Y74" s="31"/>
      <c r="Z74" s="31"/>
      <c r="AA74" s="2"/>
      <c r="AB74" s="31"/>
      <c r="AC74" s="31"/>
      <c r="AD74" s="31"/>
      <c r="AE74" s="37"/>
      <c r="AF74" s="37"/>
      <c r="AG74" s="37"/>
    </row>
    <row r="75" spans="1:33" ht="15.75" customHeight="1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6"/>
      <c r="V75" s="1"/>
      <c r="W75" s="31"/>
      <c r="X75" s="31"/>
      <c r="Y75" s="31"/>
      <c r="Z75" s="31"/>
      <c r="AA75" s="2"/>
      <c r="AB75" s="31"/>
      <c r="AC75" s="31"/>
      <c r="AD75" s="31"/>
      <c r="AE75" s="37"/>
      <c r="AF75" s="37"/>
      <c r="AG75" s="37"/>
    </row>
    <row r="76" spans="1:33" ht="15.75" customHeight="1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6"/>
      <c r="V76" s="1"/>
      <c r="W76" s="31"/>
      <c r="X76" s="31"/>
      <c r="Y76" s="31"/>
      <c r="Z76" s="31"/>
      <c r="AA76" s="2"/>
      <c r="AB76" s="31"/>
      <c r="AC76" s="31"/>
      <c r="AD76" s="31"/>
      <c r="AE76" s="37"/>
      <c r="AF76" s="37"/>
      <c r="AG76" s="37"/>
    </row>
    <row r="77" spans="1:33" ht="15.75" customHeight="1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6"/>
      <c r="V77" s="1"/>
      <c r="W77" s="31"/>
      <c r="X77" s="31"/>
      <c r="Y77" s="31"/>
      <c r="Z77" s="31"/>
      <c r="AA77" s="2"/>
      <c r="AB77" s="31"/>
      <c r="AC77" s="31"/>
      <c r="AD77" s="31"/>
      <c r="AE77" s="37"/>
      <c r="AF77" s="37"/>
      <c r="AG77" s="37"/>
    </row>
    <row r="78" spans="1:33" ht="15.75" customHeight="1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6"/>
      <c r="V78" s="1"/>
      <c r="W78" s="31"/>
      <c r="X78" s="31"/>
      <c r="Y78" s="31"/>
      <c r="Z78" s="31"/>
      <c r="AA78" s="2"/>
      <c r="AB78" s="31"/>
      <c r="AC78" s="31"/>
      <c r="AD78" s="31"/>
      <c r="AE78" s="37"/>
      <c r="AF78" s="37"/>
      <c r="AG78" s="37"/>
    </row>
    <row r="79" spans="1:33" ht="15.75" customHeight="1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6"/>
      <c r="V79" s="1"/>
      <c r="W79" s="31"/>
      <c r="X79" s="31"/>
      <c r="Y79" s="31"/>
      <c r="Z79" s="31"/>
      <c r="AA79" s="2"/>
      <c r="AB79" s="31"/>
      <c r="AC79" s="31"/>
      <c r="AD79" s="31"/>
      <c r="AE79" s="37"/>
      <c r="AF79" s="37"/>
      <c r="AG79" s="37"/>
    </row>
    <row r="80" spans="1:33" ht="15.75" customHeight="1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6"/>
      <c r="V80" s="1"/>
      <c r="W80" s="31"/>
      <c r="X80" s="31"/>
      <c r="Y80" s="31"/>
      <c r="Z80" s="31"/>
      <c r="AA80" s="2"/>
      <c r="AB80" s="31"/>
      <c r="AC80" s="31"/>
      <c r="AD80" s="31"/>
      <c r="AE80" s="37"/>
      <c r="AF80" s="37"/>
      <c r="AG80" s="37"/>
    </row>
    <row r="81" spans="1:33" ht="15.75" customHeight="1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6"/>
      <c r="V81" s="1"/>
      <c r="W81" s="31"/>
      <c r="X81" s="31"/>
      <c r="Y81" s="31"/>
      <c r="Z81" s="31"/>
      <c r="AA81" s="2"/>
      <c r="AB81" s="31"/>
      <c r="AC81" s="31"/>
      <c r="AD81" s="31"/>
      <c r="AE81" s="37"/>
      <c r="AF81" s="37"/>
      <c r="AG81" s="37"/>
    </row>
    <row r="82" spans="1:33" ht="15.75" customHeight="1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6"/>
      <c r="V82" s="1"/>
      <c r="W82" s="31"/>
      <c r="X82" s="31"/>
      <c r="Y82" s="31"/>
      <c r="Z82" s="31"/>
      <c r="AA82" s="2"/>
      <c r="AB82" s="31"/>
      <c r="AC82" s="31"/>
      <c r="AD82" s="31"/>
      <c r="AE82" s="37"/>
      <c r="AF82" s="37"/>
      <c r="AG82" s="37"/>
    </row>
    <row r="83" spans="1:33" ht="15.75" customHeight="1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6"/>
      <c r="V83" s="1"/>
      <c r="W83" s="31"/>
      <c r="X83" s="31"/>
      <c r="Y83" s="31"/>
      <c r="Z83" s="31"/>
      <c r="AA83" s="2"/>
      <c r="AB83" s="31"/>
      <c r="AC83" s="31"/>
      <c r="AD83" s="31"/>
      <c r="AE83" s="37"/>
      <c r="AF83" s="37"/>
      <c r="AG83" s="37"/>
    </row>
    <row r="84" spans="1:33" ht="15.75" customHeight="1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6"/>
      <c r="V84" s="1"/>
      <c r="W84" s="31"/>
      <c r="X84" s="31"/>
      <c r="Y84" s="31"/>
      <c r="Z84" s="31"/>
      <c r="AA84" s="2"/>
      <c r="AB84" s="31"/>
      <c r="AC84" s="31"/>
      <c r="AD84" s="31"/>
      <c r="AE84" s="37"/>
      <c r="AF84" s="37"/>
      <c r="AG84" s="37"/>
    </row>
    <row r="85" spans="1:33" ht="15.75" customHeight="1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6"/>
      <c r="V85" s="1"/>
      <c r="W85" s="31"/>
      <c r="X85" s="31"/>
      <c r="Y85" s="31"/>
      <c r="Z85" s="31"/>
      <c r="AA85" s="2"/>
      <c r="AB85" s="31"/>
      <c r="AC85" s="31"/>
      <c r="AD85" s="31"/>
      <c r="AE85" s="37"/>
      <c r="AF85" s="37"/>
      <c r="AG85" s="37"/>
    </row>
    <row r="86" spans="1:33" ht="15.75" customHeight="1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6"/>
      <c r="V86" s="1"/>
      <c r="W86" s="31"/>
      <c r="X86" s="31"/>
      <c r="Y86" s="31"/>
      <c r="Z86" s="31"/>
      <c r="AA86" s="2"/>
      <c r="AB86" s="31"/>
      <c r="AC86" s="31"/>
      <c r="AD86" s="31"/>
      <c r="AE86" s="37"/>
      <c r="AF86" s="37"/>
      <c r="AG86" s="37"/>
    </row>
    <row r="87" spans="1:33" ht="15.75" customHeight="1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6"/>
      <c r="V87" s="1"/>
      <c r="W87" s="31"/>
      <c r="X87" s="31"/>
      <c r="Y87" s="31"/>
      <c r="Z87" s="31"/>
      <c r="AA87" s="2"/>
      <c r="AB87" s="31"/>
      <c r="AC87" s="31"/>
      <c r="AD87" s="31"/>
      <c r="AE87" s="37"/>
      <c r="AF87" s="37"/>
      <c r="AG87" s="37"/>
    </row>
    <row r="88" spans="1:33" ht="15.75" customHeight="1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6"/>
      <c r="V88" s="1"/>
      <c r="W88" s="31"/>
      <c r="X88" s="31"/>
      <c r="Y88" s="31"/>
      <c r="Z88" s="31"/>
      <c r="AA88" s="2"/>
      <c r="AB88" s="31"/>
      <c r="AC88" s="31"/>
      <c r="AD88" s="31"/>
      <c r="AE88" s="37"/>
      <c r="AF88" s="37"/>
      <c r="AG88" s="37"/>
    </row>
    <row r="89" spans="1:33" ht="15.75" customHeight="1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6"/>
      <c r="V89" s="1"/>
      <c r="W89" s="31"/>
      <c r="X89" s="31"/>
      <c r="Y89" s="31"/>
      <c r="Z89" s="31"/>
      <c r="AA89" s="2"/>
      <c r="AB89" s="31"/>
      <c r="AC89" s="31"/>
      <c r="AD89" s="31"/>
      <c r="AE89" s="37"/>
      <c r="AF89" s="37"/>
      <c r="AG89" s="37"/>
    </row>
    <row r="90" spans="1:33" ht="15.75" customHeight="1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6"/>
      <c r="V90" s="1"/>
      <c r="W90" s="31"/>
      <c r="X90" s="31"/>
      <c r="Y90" s="31"/>
      <c r="Z90" s="31"/>
      <c r="AA90" s="2"/>
      <c r="AB90" s="31"/>
      <c r="AC90" s="31"/>
      <c r="AD90" s="31"/>
      <c r="AE90" s="37"/>
      <c r="AF90" s="37"/>
      <c r="AG90" s="37"/>
    </row>
    <row r="91" spans="1:33" ht="15.75" customHeight="1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6"/>
      <c r="V91" s="1"/>
      <c r="W91" s="31"/>
      <c r="X91" s="31"/>
      <c r="Y91" s="31"/>
      <c r="Z91" s="31"/>
      <c r="AA91" s="2"/>
      <c r="AB91" s="31"/>
      <c r="AC91" s="31"/>
      <c r="AD91" s="31"/>
      <c r="AE91" s="37"/>
      <c r="AF91" s="37"/>
      <c r="AG91" s="37"/>
    </row>
    <row r="92" spans="1:33" ht="15.75" customHeight="1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6"/>
      <c r="V92" s="1"/>
      <c r="W92" s="31"/>
      <c r="X92" s="31"/>
      <c r="Y92" s="31"/>
      <c r="Z92" s="31"/>
      <c r="AA92" s="2"/>
      <c r="AB92" s="31"/>
      <c r="AC92" s="31"/>
      <c r="AD92" s="31"/>
      <c r="AE92" s="37"/>
      <c r="AF92" s="37"/>
      <c r="AG92" s="37"/>
    </row>
    <row r="93" spans="1:33" ht="15.75" customHeight="1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6"/>
      <c r="V93" s="1"/>
      <c r="W93" s="31"/>
      <c r="X93" s="31"/>
      <c r="Y93" s="31"/>
      <c r="Z93" s="31"/>
      <c r="AA93" s="2"/>
      <c r="AB93" s="31"/>
      <c r="AC93" s="31"/>
      <c r="AD93" s="31"/>
      <c r="AE93" s="37"/>
      <c r="AF93" s="37"/>
      <c r="AG93" s="37"/>
    </row>
    <row r="94" spans="1:33" ht="15.75" customHeight="1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6"/>
      <c r="V94" s="1"/>
      <c r="W94" s="31"/>
      <c r="X94" s="31"/>
      <c r="Y94" s="31"/>
      <c r="Z94" s="31"/>
      <c r="AA94" s="2"/>
      <c r="AB94" s="31"/>
      <c r="AC94" s="31"/>
      <c r="AD94" s="31"/>
      <c r="AE94" s="37"/>
      <c r="AF94" s="37"/>
      <c r="AG94" s="37"/>
    </row>
    <row r="95" spans="1:33" ht="15.75" customHeight="1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6"/>
      <c r="V95" s="1"/>
      <c r="W95" s="31"/>
      <c r="X95" s="31"/>
      <c r="Y95" s="31"/>
      <c r="Z95" s="31"/>
      <c r="AA95" s="2"/>
      <c r="AB95" s="31"/>
      <c r="AC95" s="31"/>
      <c r="AD95" s="31"/>
      <c r="AE95" s="37"/>
      <c r="AF95" s="37"/>
      <c r="AG95" s="37"/>
    </row>
    <row r="96" spans="1:33" ht="15.75" customHeight="1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6"/>
      <c r="V96" s="1"/>
      <c r="W96" s="31"/>
      <c r="X96" s="31"/>
      <c r="Y96" s="31"/>
      <c r="Z96" s="31"/>
      <c r="AA96" s="2"/>
      <c r="AB96" s="31"/>
      <c r="AC96" s="31"/>
      <c r="AD96" s="31"/>
      <c r="AE96" s="37"/>
      <c r="AF96" s="37"/>
      <c r="AG96" s="37"/>
    </row>
    <row r="97" spans="1:33" ht="15.75" customHeight="1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8"/>
      <c r="R97" s="38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8"/>
      <c r="R98" s="38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8"/>
      <c r="R99" s="38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8"/>
      <c r="R100" s="38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8"/>
      <c r="R101" s="38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8"/>
      <c r="R102" s="38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8"/>
      <c r="R103" s="38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8"/>
      <c r="R104" s="38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8"/>
      <c r="R105" s="38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8"/>
      <c r="R106" s="38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8"/>
      <c r="R107" s="38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8"/>
      <c r="R108" s="38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8"/>
      <c r="R109" s="38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8"/>
      <c r="R110" s="38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8"/>
      <c r="R111" s="38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8"/>
      <c r="R112" s="38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8"/>
      <c r="R113" s="38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8"/>
      <c r="R114" s="38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>
      <c r="A115" s="31"/>
      <c r="B115" s="31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>
      <c r="A116" s="31"/>
      <c r="B116" s="31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>
      <c r="A117" s="31"/>
      <c r="B117" s="31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>
      <c r="A118" s="31"/>
      <c r="B118" s="31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>
      <c r="A119" s="31"/>
      <c r="B119" s="31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>
      <c r="A120" s="31"/>
      <c r="B120" s="31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>
      <c r="A121" s="31"/>
      <c r="B121" s="31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>
      <c r="A122" s="31"/>
      <c r="B122" s="31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>
      <c r="A123" s="31"/>
      <c r="B123" s="31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>
      <c r="A124" s="31"/>
      <c r="B124" s="31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>
      <c r="A125" s="31"/>
      <c r="B125" s="31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>
      <c r="A126" s="31"/>
      <c r="B126" s="31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>
      <c r="A127" s="31"/>
      <c r="B127" s="31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>
      <c r="A128" s="31"/>
      <c r="B128" s="31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>
      <c r="A129" s="31"/>
      <c r="B129" s="31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>
      <c r="A130" s="31"/>
      <c r="B130" s="31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>
      <c r="A131" s="31"/>
      <c r="B131" s="31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>
      <c r="A132" s="31"/>
      <c r="B132" s="31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>
      <c r="A133" s="31"/>
      <c r="B133" s="31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>
      <c r="A134" s="31"/>
      <c r="B134" s="31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>
      <c r="A135" s="31"/>
      <c r="B135" s="31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>
      <c r="A136" s="31"/>
      <c r="B136" s="31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>
      <c r="A137" s="31"/>
      <c r="B137" s="31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>
      <c r="A138" s="31"/>
      <c r="B138" s="31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>
      <c r="A139" s="31"/>
      <c r="B139" s="31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>
      <c r="A140" s="31"/>
      <c r="B140" s="31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>
      <c r="A141" s="31"/>
      <c r="B141" s="31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2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>
      <c r="A142" s="31"/>
      <c r="B142" s="31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2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>
      <c r="A143" s="31"/>
      <c r="B143" s="31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2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>
      <c r="A144" s="31"/>
      <c r="B144" s="31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2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>
      <c r="A145" s="31"/>
      <c r="B145" s="31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2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>
      <c r="A146" s="31"/>
      <c r="B146" s="31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2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>
      <c r="A147" s="31"/>
      <c r="B147" s="31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2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>
      <c r="A148" s="31"/>
      <c r="B148" s="31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2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</row>
    <row r="149" spans="1:33" ht="15.75" customHeight="1">
      <c r="A149" s="14"/>
      <c r="B149" s="14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>
      <c r="A150" s="14"/>
      <c r="B150" s="14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>
      <c r="A151" s="14"/>
      <c r="B151" s="14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>
      <c r="A152" s="14"/>
      <c r="B152" s="14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>
      <c r="A153" s="14"/>
      <c r="B153" s="14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>
      <c r="A154" s="14"/>
      <c r="B154" s="14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>
      <c r="A155" s="14"/>
      <c r="B155" s="14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>
      <c r="A156" s="14"/>
      <c r="B156" s="14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>
      <c r="A157" s="14"/>
      <c r="B157" s="14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>
      <c r="A158" s="14"/>
      <c r="B158" s="14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>
      <c r="A159" s="14"/>
      <c r="B159" s="14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>
      <c r="A160" s="14"/>
      <c r="B160" s="14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>
      <c r="A161" s="14"/>
      <c r="B161" s="14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>
      <c r="A162" s="14"/>
      <c r="B162" s="14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>
      <c r="A163" s="14"/>
      <c r="B163" s="14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>
      <c r="A164" s="14"/>
      <c r="B164" s="14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>
      <c r="A165" s="14"/>
      <c r="B165" s="14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>
      <c r="A166" s="14"/>
      <c r="B166" s="14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>
      <c r="A167" s="14"/>
      <c r="B167" s="14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>
      <c r="A168" s="14"/>
      <c r="B168" s="14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>
      <c r="A169" s="14"/>
      <c r="B169" s="14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>
      <c r="A170" s="14"/>
      <c r="B170" s="14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>
      <c r="A171" s="14"/>
      <c r="B171" s="14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>
      <c r="A172" s="14"/>
      <c r="B172" s="14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>
      <c r="A173" s="14"/>
      <c r="B173" s="14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>
      <c r="A174" s="14"/>
      <c r="B174" s="14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>
      <c r="A175" s="14"/>
      <c r="B175" s="14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>
      <c r="A176" s="14"/>
      <c r="B176" s="14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>
      <c r="A177" s="14"/>
      <c r="B177" s="14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>
      <c r="A178" s="14"/>
      <c r="B178" s="14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>
      <c r="A179" s="14"/>
      <c r="B179" s="14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>
      <c r="A180" s="14"/>
      <c r="B180" s="14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>
      <c r="A181" s="14"/>
      <c r="B181" s="14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>
      <c r="A182" s="14"/>
      <c r="B182" s="14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>
      <c r="A183" s="14"/>
      <c r="B183" s="14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>
      <c r="A184" s="14"/>
      <c r="B184" s="14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>
      <c r="A185" s="14"/>
      <c r="B185" s="14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>
      <c r="A186" s="14"/>
      <c r="B186" s="14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>
      <c r="A187" s="14"/>
      <c r="B187" s="14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>
      <c r="A188" s="14"/>
      <c r="B188" s="14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>
      <c r="A189" s="14"/>
      <c r="B189" s="14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>
      <c r="A190" s="14"/>
      <c r="B190" s="14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>
      <c r="A191" s="14"/>
      <c r="B191" s="14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>
      <c r="A192" s="14"/>
      <c r="B192" s="14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>
      <c r="A193" s="14"/>
      <c r="B193" s="14"/>
      <c r="C193" s="39"/>
      <c r="D193" s="39"/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>
      <c r="A194" s="14"/>
      <c r="B194" s="14"/>
      <c r="C194" s="39"/>
      <c r="D194" s="39"/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>
      <c r="A195" s="14"/>
      <c r="B195" s="14"/>
      <c r="C195" s="39"/>
      <c r="D195" s="39"/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>
      <c r="A196" s="14"/>
      <c r="B196" s="14"/>
      <c r="C196" s="39"/>
      <c r="D196" s="39"/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>
      <c r="A197" s="14"/>
      <c r="B197" s="14"/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>
      <c r="A198" s="14"/>
      <c r="B198" s="14"/>
      <c r="C198" s="39"/>
      <c r="D198" s="39"/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>
      <c r="A199" s="14"/>
      <c r="B199" s="14"/>
      <c r="C199" s="39"/>
      <c r="D199" s="39"/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>
      <c r="A200" s="14"/>
      <c r="B200" s="14"/>
      <c r="C200" s="39"/>
      <c r="D200" s="39"/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>
      <c r="A201" s="14"/>
      <c r="B201" s="14"/>
      <c r="C201" s="39"/>
      <c r="D201" s="39"/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>
      <c r="A202" s="14"/>
      <c r="B202" s="14"/>
      <c r="C202" s="39"/>
      <c r="D202" s="39"/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>
      <c r="A203" s="14"/>
      <c r="B203" s="14"/>
      <c r="C203" s="39"/>
      <c r="D203" s="39"/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>
      <c r="A204" s="14"/>
      <c r="B204" s="14"/>
      <c r="C204" s="39"/>
      <c r="D204" s="39"/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>
      <c r="A205" s="14"/>
      <c r="B205" s="14"/>
      <c r="C205" s="39"/>
      <c r="D205" s="39"/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>
      <c r="A206" s="14"/>
      <c r="B206" s="14"/>
      <c r="C206" s="39"/>
      <c r="D206" s="39"/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>
      <c r="A207" s="14"/>
      <c r="B207" s="14"/>
      <c r="C207" s="39"/>
      <c r="D207" s="39"/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>
      <c r="A208" s="14"/>
      <c r="B208" s="14"/>
      <c r="C208" s="39"/>
      <c r="D208" s="39"/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>
      <c r="A209" s="14"/>
      <c r="B209" s="14"/>
      <c r="C209" s="39"/>
      <c r="D209" s="39"/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>
      <c r="A210" s="14"/>
      <c r="B210" s="14"/>
      <c r="C210" s="39"/>
      <c r="D210" s="39"/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>
      <c r="A211" s="14"/>
      <c r="B211" s="14"/>
      <c r="C211" s="39"/>
      <c r="D211" s="39"/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>
      <c r="A212" s="14"/>
      <c r="B212" s="14"/>
      <c r="C212" s="39"/>
      <c r="D212" s="39"/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>
      <c r="A213" s="14"/>
      <c r="B213" s="14"/>
      <c r="C213" s="39"/>
      <c r="D213" s="39"/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>
      <c r="A214" s="14"/>
      <c r="B214" s="14"/>
      <c r="C214" s="39"/>
      <c r="D214" s="39"/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>
      <c r="A215" s="14"/>
      <c r="B215" s="14"/>
      <c r="C215" s="39"/>
      <c r="D215" s="39"/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>
      <c r="A216" s="14"/>
      <c r="B216" s="14"/>
      <c r="C216" s="39"/>
      <c r="D216" s="39"/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>
      <c r="A217" s="14"/>
      <c r="B217" s="14"/>
      <c r="C217" s="39"/>
      <c r="D217" s="39"/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>
      <c r="A218" s="14"/>
      <c r="B218" s="14"/>
      <c r="C218" s="39"/>
      <c r="D218" s="39"/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>
      <c r="A219" s="14"/>
      <c r="B219" s="14"/>
      <c r="C219" s="39"/>
      <c r="D219" s="39"/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>
      <c r="A220" s="14"/>
      <c r="B220" s="14"/>
      <c r="C220" s="39"/>
      <c r="D220" s="39"/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>
      <c r="R221" s="30"/>
      <c r="S221" s="40"/>
    </row>
    <row r="222" spans="1:33" ht="15.75" customHeight="1">
      <c r="R222" s="30"/>
      <c r="S222" s="40"/>
    </row>
    <row r="223" spans="1:33" ht="15.75" customHeight="1">
      <c r="R223" s="30"/>
      <c r="S223" s="40"/>
    </row>
    <row r="224" spans="1:33" ht="15.75" customHeight="1">
      <c r="R224" s="30"/>
      <c r="S224" s="40"/>
    </row>
    <row r="225" spans="18:18" ht="15.75" customHeight="1">
      <c r="R225" s="30"/>
    </row>
    <row r="226" spans="18:18" ht="15.75" customHeight="1">
      <c r="R226" s="30"/>
    </row>
    <row r="227" spans="18:18" ht="15.75" customHeight="1">
      <c r="R227" s="30"/>
    </row>
    <row r="228" spans="18:18" ht="15.75" customHeight="1">
      <c r="R228" s="30"/>
    </row>
    <row r="229" spans="18:18" ht="15.75" customHeight="1">
      <c r="R229" s="30"/>
    </row>
    <row r="230" spans="18:18" ht="15.75" customHeight="1">
      <c r="R230" s="30"/>
    </row>
    <row r="231" spans="18:18" ht="15.75" customHeight="1">
      <c r="R231" s="30"/>
    </row>
    <row r="232" spans="18:18" ht="15.75" customHeight="1">
      <c r="R232" s="30"/>
    </row>
    <row r="233" spans="18:18" ht="15.75" customHeight="1">
      <c r="R233" s="30"/>
    </row>
    <row r="234" spans="18:18" ht="15.75" customHeight="1">
      <c r="R234" s="30"/>
    </row>
    <row r="235" spans="18:18" ht="15.75" customHeight="1">
      <c r="R235" s="30"/>
    </row>
    <row r="236" spans="18:18" ht="15.75" customHeight="1">
      <c r="R236" s="30"/>
    </row>
    <row r="237" spans="18:18" ht="15.75" customHeight="1">
      <c r="R237" s="30"/>
    </row>
    <row r="238" spans="18:18" ht="15.75" customHeight="1">
      <c r="R238" s="30"/>
    </row>
    <row r="239" spans="18:18" ht="15.75" customHeight="1">
      <c r="R239" s="30"/>
    </row>
    <row r="240" spans="18:18" ht="15.75" customHeight="1">
      <c r="R240" s="30"/>
    </row>
    <row r="241" spans="18:18" ht="15.75" customHeight="1">
      <c r="R241" s="30"/>
    </row>
    <row r="242" spans="18:18" ht="15.75" customHeight="1">
      <c r="R242" s="30"/>
    </row>
    <row r="243" spans="18:18" ht="15.75" customHeight="1">
      <c r="R243" s="30"/>
    </row>
    <row r="244" spans="18:18" ht="15.75" customHeight="1">
      <c r="R244" s="30"/>
    </row>
    <row r="245" spans="18:18" ht="15.75" customHeight="1">
      <c r="R245" s="30"/>
    </row>
    <row r="246" spans="18:18" ht="15.75" customHeight="1">
      <c r="R246" s="30"/>
    </row>
    <row r="247" spans="18:18" ht="15.75" customHeight="1">
      <c r="R247" s="30"/>
    </row>
    <row r="248" spans="18:18" ht="15.75" customHeight="1">
      <c r="R248" s="30"/>
    </row>
    <row r="249" spans="18:18" ht="15.75" customHeight="1">
      <c r="R249" s="30"/>
    </row>
    <row r="250" spans="18:18" ht="15.75" customHeight="1">
      <c r="R250" s="30"/>
    </row>
    <row r="251" spans="18:18" ht="15.75" customHeight="1">
      <c r="R251" s="30"/>
    </row>
    <row r="252" spans="18:18" ht="15.75" customHeight="1">
      <c r="R252" s="30"/>
    </row>
    <row r="253" spans="18:18" ht="15.75" customHeight="1">
      <c r="R253" s="30"/>
    </row>
    <row r="254" spans="18:18" ht="15.75" customHeight="1">
      <c r="R254" s="30"/>
    </row>
    <row r="255" spans="18:18" ht="15.75" customHeight="1">
      <c r="R255" s="30"/>
    </row>
    <row r="256" spans="18:18" ht="15.75" customHeight="1">
      <c r="R256" s="30"/>
    </row>
    <row r="257" spans="18:18" ht="15.75" customHeight="1">
      <c r="R257" s="30"/>
    </row>
    <row r="258" spans="18:18" ht="15.75" customHeight="1">
      <c r="R258" s="30"/>
    </row>
    <row r="259" spans="18:18" ht="15.75" customHeight="1">
      <c r="R259" s="30"/>
    </row>
    <row r="260" spans="18:18" ht="15.75" customHeight="1">
      <c r="R260" s="30"/>
    </row>
    <row r="261" spans="18:18" ht="15.75" customHeight="1">
      <c r="R261" s="30"/>
    </row>
    <row r="262" spans="18:18" ht="15.75" customHeight="1">
      <c r="R262" s="30"/>
    </row>
    <row r="263" spans="18:18" ht="15.75" customHeight="1">
      <c r="R263" s="30"/>
    </row>
    <row r="264" spans="18:18" ht="15.75" customHeight="1">
      <c r="R264" s="30"/>
    </row>
    <row r="265" spans="18:18" ht="15.75" customHeight="1">
      <c r="R265" s="30"/>
    </row>
    <row r="266" spans="18:18" ht="15.75" customHeight="1">
      <c r="R266" s="30"/>
    </row>
    <row r="267" spans="18:18" ht="15.75" customHeight="1">
      <c r="R267" s="30"/>
    </row>
    <row r="268" spans="18:18" ht="15.75" customHeight="1">
      <c r="R268" s="30"/>
    </row>
    <row r="269" spans="18:18" ht="15.75" customHeight="1">
      <c r="R269" s="30"/>
    </row>
    <row r="270" spans="18:18" ht="15.75" customHeight="1">
      <c r="R270" s="30"/>
    </row>
    <row r="271" spans="18:18" ht="15.75" customHeight="1">
      <c r="R271" s="30"/>
    </row>
    <row r="272" spans="18:18" ht="15.75" customHeight="1">
      <c r="R272" s="30"/>
    </row>
    <row r="273" spans="18:18" ht="15.75" customHeight="1">
      <c r="R273" s="30"/>
    </row>
    <row r="274" spans="18:18" ht="15.75" customHeight="1">
      <c r="R274" s="30"/>
    </row>
    <row r="275" spans="18:18" ht="15.75" customHeight="1">
      <c r="R275" s="30"/>
    </row>
    <row r="276" spans="18:18" ht="15.75" customHeight="1">
      <c r="R276" s="30"/>
    </row>
    <row r="277" spans="18:18" ht="15.75" customHeight="1">
      <c r="R277" s="30"/>
    </row>
    <row r="278" spans="18:18" ht="15.75" customHeight="1">
      <c r="R278" s="30"/>
    </row>
    <row r="279" spans="18:18" ht="15.75" customHeight="1">
      <c r="R279" s="30"/>
    </row>
    <row r="280" spans="18:18" ht="15.75" customHeight="1">
      <c r="R280" s="30"/>
    </row>
    <row r="281" spans="18:18" ht="15.75" customHeight="1">
      <c r="R281" s="30"/>
    </row>
    <row r="282" spans="18:18" ht="15.75" customHeight="1">
      <c r="R282" s="30"/>
    </row>
    <row r="283" spans="18:18" ht="15.75" customHeight="1">
      <c r="R283" s="30"/>
    </row>
    <row r="284" spans="18:18" ht="15.75" customHeight="1">
      <c r="R284" s="30"/>
    </row>
    <row r="285" spans="18:18" ht="15.75" customHeight="1">
      <c r="R285" s="30"/>
    </row>
    <row r="286" spans="18:18" ht="15.75" customHeight="1">
      <c r="R286" s="30"/>
    </row>
    <row r="287" spans="18:18" ht="15.75" customHeight="1">
      <c r="R287" s="30"/>
    </row>
    <row r="288" spans="18:18" ht="15.75" customHeight="1">
      <c r="R288" s="30"/>
    </row>
    <row r="289" spans="18:18" ht="15.75" customHeight="1">
      <c r="R289" s="30"/>
    </row>
    <row r="290" spans="18:18" ht="15.75" customHeight="1">
      <c r="R290" s="30"/>
    </row>
    <row r="291" spans="18:18" ht="15.75" customHeight="1">
      <c r="R291" s="30"/>
    </row>
    <row r="292" spans="18:18" ht="15.75" customHeight="1">
      <c r="R292" s="30"/>
    </row>
    <row r="293" spans="18:18" ht="15.75" customHeight="1">
      <c r="R293" s="30"/>
    </row>
    <row r="294" spans="18:18" ht="15.75" customHeight="1">
      <c r="R294" s="30"/>
    </row>
    <row r="295" spans="18:18" ht="15.75" customHeight="1">
      <c r="R295" s="30"/>
    </row>
    <row r="296" spans="18:18" ht="15.75" customHeight="1">
      <c r="R296" s="30"/>
    </row>
    <row r="297" spans="18:18" ht="15.75" customHeight="1">
      <c r="R297" s="30"/>
    </row>
    <row r="298" spans="18:18" ht="15.75" customHeight="1">
      <c r="R298" s="30"/>
    </row>
    <row r="299" spans="18:18" ht="15.75" customHeight="1">
      <c r="R299" s="30"/>
    </row>
    <row r="300" spans="18:18" ht="15.75" customHeight="1">
      <c r="R300" s="30"/>
    </row>
    <row r="301" spans="18:18" ht="15.75" customHeight="1">
      <c r="R301" s="30"/>
    </row>
    <row r="302" spans="18:18" ht="15.75" customHeight="1">
      <c r="R302" s="30"/>
    </row>
    <row r="303" spans="18:18" ht="15.75" customHeight="1">
      <c r="R303" s="30"/>
    </row>
    <row r="304" spans="18:18" ht="15.75" customHeight="1">
      <c r="R304" s="30"/>
    </row>
    <row r="305" spans="18:18" ht="15.75" customHeight="1">
      <c r="R305" s="30"/>
    </row>
    <row r="306" spans="18:18" ht="15.75" customHeight="1">
      <c r="R306" s="30"/>
    </row>
    <row r="307" spans="18:18" ht="15.75" customHeight="1">
      <c r="R307" s="30"/>
    </row>
    <row r="308" spans="18:18" ht="15.75" customHeight="1">
      <c r="R308" s="30"/>
    </row>
    <row r="309" spans="18:18" ht="15.75" customHeight="1">
      <c r="R309" s="30"/>
    </row>
    <row r="310" spans="18:18" ht="15.75" customHeight="1">
      <c r="R310" s="30"/>
    </row>
    <row r="311" spans="18:18" ht="15.75" customHeight="1">
      <c r="R311" s="30"/>
    </row>
    <row r="312" spans="18:18" ht="15.75" customHeight="1">
      <c r="R312" s="30"/>
    </row>
    <row r="313" spans="18:18" ht="15.75" customHeight="1">
      <c r="R313" s="30"/>
    </row>
    <row r="314" spans="18:18" ht="15.75" customHeight="1">
      <c r="R314" s="30"/>
    </row>
    <row r="315" spans="18:18" ht="15.75" customHeight="1">
      <c r="R315" s="30"/>
    </row>
    <row r="316" spans="18:18" ht="15.75" customHeight="1">
      <c r="R316" s="30"/>
    </row>
    <row r="317" spans="18:18" ht="15.75" customHeight="1">
      <c r="R317" s="30"/>
    </row>
    <row r="318" spans="18:18" ht="15.75" customHeight="1">
      <c r="R318" s="30"/>
    </row>
    <row r="319" spans="18:18" ht="15.75" customHeight="1">
      <c r="R319" s="30"/>
    </row>
    <row r="320" spans="18:18" ht="15.75" customHeight="1">
      <c r="R320" s="30"/>
    </row>
    <row r="321" spans="18:18" ht="15.75" customHeight="1">
      <c r="R321" s="30"/>
    </row>
    <row r="322" spans="18:18" ht="15.75" customHeight="1">
      <c r="R322" s="30"/>
    </row>
    <row r="323" spans="18:18" ht="15.75" customHeight="1">
      <c r="R323" s="30"/>
    </row>
    <row r="324" spans="18:18" ht="15.75" customHeight="1">
      <c r="R324" s="30"/>
    </row>
    <row r="325" spans="18:18" ht="15.75" customHeight="1">
      <c r="R325" s="30"/>
    </row>
    <row r="326" spans="18:18" ht="15.75" customHeight="1">
      <c r="R326" s="30"/>
    </row>
    <row r="327" spans="18:18" ht="15.75" customHeight="1">
      <c r="R327" s="30"/>
    </row>
    <row r="328" spans="18:18" ht="15.75" customHeight="1">
      <c r="R328" s="30"/>
    </row>
    <row r="329" spans="18:18" ht="15.75" customHeight="1">
      <c r="R329" s="30"/>
    </row>
    <row r="330" spans="18:18" ht="15.75" customHeight="1">
      <c r="R330" s="30"/>
    </row>
    <row r="331" spans="18:18" ht="15.75" customHeight="1">
      <c r="R331" s="30"/>
    </row>
    <row r="332" spans="18:18" ht="15.75" customHeight="1">
      <c r="R332" s="30"/>
    </row>
    <row r="333" spans="18:18" ht="15.75" customHeight="1">
      <c r="R333" s="30"/>
    </row>
    <row r="334" spans="18:18" ht="15.75" customHeight="1">
      <c r="R334" s="30"/>
    </row>
    <row r="335" spans="18:18" ht="15.75" customHeight="1">
      <c r="R335" s="30"/>
    </row>
    <row r="336" spans="18:18" ht="15.75" customHeight="1">
      <c r="R336" s="30"/>
    </row>
    <row r="337" spans="18:18" ht="15.75" customHeight="1">
      <c r="R337" s="30"/>
    </row>
    <row r="338" spans="18:18" ht="15.75" customHeight="1">
      <c r="R338" s="30"/>
    </row>
    <row r="339" spans="18:18" ht="15.75" customHeight="1">
      <c r="R339" s="30"/>
    </row>
    <row r="340" spans="18:18" ht="15.75" customHeight="1">
      <c r="R340" s="30"/>
    </row>
    <row r="341" spans="18:18" ht="15.75" customHeight="1">
      <c r="R341" s="30"/>
    </row>
    <row r="342" spans="18:18" ht="15.75" customHeight="1">
      <c r="R342" s="30"/>
    </row>
    <row r="343" spans="18:18" ht="15.75" customHeight="1">
      <c r="R343" s="30"/>
    </row>
    <row r="344" spans="18:18" ht="15.75" customHeight="1">
      <c r="R344" s="30"/>
    </row>
    <row r="345" spans="18:18" ht="15.75" customHeight="1">
      <c r="R345" s="30"/>
    </row>
    <row r="346" spans="18:18" ht="15.75" customHeight="1">
      <c r="R346" s="30"/>
    </row>
    <row r="347" spans="18:18" ht="15.75" customHeight="1">
      <c r="R347" s="30"/>
    </row>
    <row r="348" spans="18:18" ht="15.75" customHeight="1">
      <c r="R348" s="30"/>
    </row>
    <row r="349" spans="18:18" ht="15.75" customHeight="1">
      <c r="R349" s="30"/>
    </row>
    <row r="350" spans="18:18" ht="15.75" customHeight="1">
      <c r="R350" s="30"/>
    </row>
    <row r="351" spans="18:18" ht="15.75" customHeight="1">
      <c r="R351" s="30"/>
    </row>
    <row r="352" spans="18:18" ht="15.75" customHeight="1">
      <c r="R352" s="30"/>
    </row>
    <row r="353" spans="18:18" ht="15.75" customHeight="1">
      <c r="R353" s="30"/>
    </row>
    <row r="354" spans="18:18" ht="15.75" customHeight="1">
      <c r="R354" s="30"/>
    </row>
    <row r="355" spans="18:18" ht="15.75" customHeight="1">
      <c r="R355" s="30"/>
    </row>
    <row r="356" spans="18:18" ht="15.75" customHeight="1">
      <c r="R356" s="30"/>
    </row>
    <row r="357" spans="18:18" ht="15.75" customHeight="1">
      <c r="R357" s="30"/>
    </row>
    <row r="358" spans="18:18" ht="15.75" customHeight="1">
      <c r="R358" s="30"/>
    </row>
    <row r="359" spans="18:18" ht="15.75" customHeight="1">
      <c r="R359" s="30"/>
    </row>
    <row r="360" spans="18:18" ht="15.75" customHeight="1">
      <c r="R360" s="30"/>
    </row>
    <row r="361" spans="18:18" ht="15.75" customHeight="1">
      <c r="R361" s="30"/>
    </row>
    <row r="362" spans="18:18" ht="15.75" customHeight="1">
      <c r="R362" s="30"/>
    </row>
    <row r="363" spans="18:18" ht="15.75" customHeight="1">
      <c r="R363" s="30"/>
    </row>
    <row r="364" spans="18:18" ht="15.75" customHeight="1">
      <c r="R364" s="30"/>
    </row>
    <row r="365" spans="18:18" ht="15.75" customHeight="1">
      <c r="R365" s="30"/>
    </row>
    <row r="366" spans="18:18" ht="15.75" customHeight="1">
      <c r="R366" s="30"/>
    </row>
    <row r="367" spans="18:18" ht="15.75" customHeight="1">
      <c r="R367" s="30"/>
    </row>
    <row r="368" spans="18:18" ht="15.75" customHeight="1">
      <c r="R368" s="30"/>
    </row>
    <row r="369" spans="18:18" ht="15.75" customHeight="1">
      <c r="R369" s="30"/>
    </row>
    <row r="370" spans="18:18" ht="15.75" customHeight="1">
      <c r="R370" s="30"/>
    </row>
    <row r="371" spans="18:18" ht="15.75" customHeight="1">
      <c r="R371" s="30"/>
    </row>
    <row r="372" spans="18:18" ht="15.75" customHeight="1">
      <c r="R372" s="30"/>
    </row>
    <row r="373" spans="18:18" ht="15.75" customHeight="1">
      <c r="R373" s="30"/>
    </row>
    <row r="374" spans="18:18" ht="15.75" customHeight="1">
      <c r="R374" s="30"/>
    </row>
    <row r="375" spans="18:18" ht="15.75" customHeight="1">
      <c r="R375" s="30"/>
    </row>
    <row r="376" spans="18:18" ht="15.75" customHeight="1">
      <c r="R376" s="30"/>
    </row>
    <row r="377" spans="18:18" ht="15.75" customHeight="1">
      <c r="R377" s="30"/>
    </row>
    <row r="378" spans="18:18" ht="15.75" customHeight="1">
      <c r="R378" s="30"/>
    </row>
    <row r="379" spans="18:18" ht="15.75" customHeight="1">
      <c r="R379" s="30"/>
    </row>
    <row r="380" spans="18:18" ht="15.75" customHeight="1">
      <c r="R380" s="30"/>
    </row>
    <row r="381" spans="18:18" ht="15.75" customHeight="1">
      <c r="R381" s="30"/>
    </row>
    <row r="382" spans="18:18" ht="15.75" customHeight="1">
      <c r="R382" s="30"/>
    </row>
    <row r="383" spans="18:18" ht="15.75" customHeight="1">
      <c r="R383" s="30"/>
    </row>
    <row r="384" spans="18:18" ht="15.75" customHeight="1">
      <c r="R384" s="30"/>
    </row>
    <row r="385" spans="18:18" ht="15.75" customHeight="1">
      <c r="R385" s="30"/>
    </row>
    <row r="386" spans="18:18" ht="15.75" customHeight="1">
      <c r="R386" s="30"/>
    </row>
    <row r="387" spans="18:18" ht="15.75" customHeight="1">
      <c r="R387" s="30"/>
    </row>
    <row r="388" spans="18:18" ht="15.75" customHeight="1">
      <c r="R388" s="30"/>
    </row>
    <row r="389" spans="18:18" ht="15.75" customHeight="1">
      <c r="R389" s="30"/>
    </row>
    <row r="390" spans="18:18" ht="15.75" customHeight="1">
      <c r="R390" s="30"/>
    </row>
    <row r="391" spans="18:18" ht="15.75" customHeight="1">
      <c r="R391" s="30"/>
    </row>
    <row r="392" spans="18:18" ht="15.75" customHeight="1">
      <c r="R392" s="30"/>
    </row>
    <row r="393" spans="18:18" ht="15.75" customHeight="1">
      <c r="R393" s="30"/>
    </row>
    <row r="394" spans="18:18" ht="15.75" customHeight="1">
      <c r="R394" s="30"/>
    </row>
    <row r="395" spans="18:18" ht="15.75" customHeight="1">
      <c r="R395" s="30"/>
    </row>
    <row r="396" spans="18:18" ht="15.75" customHeight="1">
      <c r="R396" s="30"/>
    </row>
    <row r="397" spans="18:18" ht="15.75" customHeight="1">
      <c r="R397" s="30"/>
    </row>
    <row r="398" spans="18:18" ht="15.75" customHeight="1">
      <c r="R398" s="30"/>
    </row>
    <row r="399" spans="18:18" ht="15.75" customHeight="1">
      <c r="R399" s="30"/>
    </row>
    <row r="400" spans="18:18" ht="15.75" customHeight="1">
      <c r="R400" s="30"/>
    </row>
    <row r="401" spans="18:18" ht="15.75" customHeight="1">
      <c r="R401" s="30"/>
    </row>
    <row r="402" spans="18:18" ht="15.75" customHeight="1">
      <c r="R402" s="30"/>
    </row>
    <row r="403" spans="18:18" ht="15.75" customHeight="1">
      <c r="R403" s="30"/>
    </row>
    <row r="404" spans="18:18" ht="15.75" customHeight="1">
      <c r="R404" s="30"/>
    </row>
    <row r="405" spans="18:18" ht="15.75" customHeight="1">
      <c r="R405" s="30"/>
    </row>
    <row r="406" spans="18:18" ht="15.75" customHeight="1">
      <c r="R406" s="30"/>
    </row>
    <row r="407" spans="18:18" ht="15.75" customHeight="1">
      <c r="R407" s="30"/>
    </row>
    <row r="408" spans="18:18" ht="15.75" customHeight="1">
      <c r="R408" s="30"/>
    </row>
    <row r="409" spans="18:18" ht="15.75" customHeight="1">
      <c r="R409" s="30"/>
    </row>
    <row r="410" spans="18:18" ht="15.75" customHeight="1">
      <c r="R410" s="30"/>
    </row>
    <row r="411" spans="18:18" ht="15.75" customHeight="1">
      <c r="R411" s="30"/>
    </row>
    <row r="412" spans="18:18" ht="15.75" customHeight="1">
      <c r="R412" s="30"/>
    </row>
    <row r="413" spans="18:18" ht="15.75" customHeight="1">
      <c r="R413" s="30"/>
    </row>
    <row r="414" spans="18:18" ht="15.75" customHeight="1">
      <c r="R414" s="30"/>
    </row>
    <row r="415" spans="18:18" ht="15.75" customHeight="1">
      <c r="R415" s="30"/>
    </row>
    <row r="416" spans="18:18" ht="15.75" customHeight="1">
      <c r="R416" s="30"/>
    </row>
    <row r="417" spans="18:18" ht="15.75" customHeight="1">
      <c r="R417" s="30"/>
    </row>
    <row r="418" spans="18:18" ht="15.75" customHeight="1">
      <c r="R418" s="30"/>
    </row>
    <row r="419" spans="18:18" ht="15.75" customHeight="1">
      <c r="R419" s="30"/>
    </row>
    <row r="420" spans="18:18" ht="15.75" customHeight="1">
      <c r="R420" s="30"/>
    </row>
    <row r="421" spans="18:18" ht="15.75" customHeight="1">
      <c r="R421" s="30"/>
    </row>
    <row r="422" spans="18:18" ht="15.75" customHeight="1">
      <c r="R422" s="30"/>
    </row>
    <row r="423" spans="18:18" ht="15.75" customHeight="1">
      <c r="R423" s="30"/>
    </row>
    <row r="424" spans="18:18" ht="15.75" customHeight="1">
      <c r="R424" s="30"/>
    </row>
    <row r="425" spans="18:18" ht="15.75" customHeight="1">
      <c r="R425" s="30"/>
    </row>
    <row r="426" spans="18:18" ht="15.75" customHeight="1">
      <c r="R426" s="30"/>
    </row>
    <row r="427" spans="18:18" ht="15.75" customHeight="1">
      <c r="R427" s="30"/>
    </row>
    <row r="428" spans="18:18" ht="15.75" customHeight="1">
      <c r="R428" s="30"/>
    </row>
    <row r="429" spans="18:18" ht="15.75" customHeight="1">
      <c r="R429" s="30"/>
    </row>
    <row r="430" spans="18:18" ht="15.75" customHeight="1">
      <c r="R430" s="30"/>
    </row>
    <row r="431" spans="18:18" ht="15.75" customHeight="1">
      <c r="R431" s="30"/>
    </row>
    <row r="432" spans="18:18" ht="15.75" customHeight="1">
      <c r="R432" s="30"/>
    </row>
    <row r="433" spans="18:18" ht="15.75" customHeight="1">
      <c r="R433" s="30"/>
    </row>
    <row r="434" spans="18:18" ht="15.75" customHeight="1">
      <c r="R434" s="30"/>
    </row>
    <row r="435" spans="18:18" ht="15.75" customHeight="1">
      <c r="R435" s="30"/>
    </row>
    <row r="436" spans="18:18" ht="15.75" customHeight="1">
      <c r="R436" s="30"/>
    </row>
    <row r="437" spans="18:18" ht="15.75" customHeight="1">
      <c r="R437" s="30"/>
    </row>
    <row r="438" spans="18:18" ht="15.75" customHeight="1">
      <c r="R438" s="30"/>
    </row>
    <row r="439" spans="18:18" ht="15.75" customHeight="1">
      <c r="R439" s="30"/>
    </row>
    <row r="440" spans="18:18" ht="15.75" customHeight="1">
      <c r="R440" s="30"/>
    </row>
    <row r="441" spans="18:18" ht="15.75" customHeight="1">
      <c r="R441" s="30"/>
    </row>
    <row r="442" spans="18:18" ht="15.75" customHeight="1">
      <c r="R442" s="30"/>
    </row>
    <row r="443" spans="18:18" ht="15.75" customHeight="1">
      <c r="R443" s="30"/>
    </row>
    <row r="444" spans="18:18" ht="15.75" customHeight="1">
      <c r="R444" s="30"/>
    </row>
    <row r="445" spans="18:18" ht="15.75" customHeight="1">
      <c r="R445" s="30"/>
    </row>
    <row r="446" spans="18:18" ht="15.75" customHeight="1">
      <c r="R446" s="30"/>
    </row>
    <row r="447" spans="18:18" ht="15.75" customHeight="1">
      <c r="R447" s="30"/>
    </row>
    <row r="448" spans="18:18" ht="15.75" customHeight="1">
      <c r="R448" s="30"/>
    </row>
    <row r="449" spans="18:18" ht="15.75" customHeight="1">
      <c r="R449" s="30"/>
    </row>
    <row r="450" spans="18:18" ht="15.75" customHeight="1">
      <c r="R450" s="30"/>
    </row>
    <row r="451" spans="18:18" ht="15.75" customHeight="1">
      <c r="R451" s="30"/>
    </row>
    <row r="452" spans="18:18" ht="15.75" customHeight="1">
      <c r="R452" s="30"/>
    </row>
    <row r="453" spans="18:18" ht="15.75" customHeight="1">
      <c r="R453" s="30"/>
    </row>
    <row r="454" spans="18:18" ht="15.75" customHeight="1">
      <c r="R454" s="30"/>
    </row>
    <row r="455" spans="18:18" ht="15.75" customHeight="1">
      <c r="R455" s="30"/>
    </row>
    <row r="456" spans="18:18" ht="15.75" customHeight="1">
      <c r="R456" s="30"/>
    </row>
    <row r="457" spans="18:18" ht="15.75" customHeight="1">
      <c r="R457" s="30"/>
    </row>
    <row r="458" spans="18:18" ht="15.75" customHeight="1">
      <c r="R458" s="30"/>
    </row>
    <row r="459" spans="18:18" ht="15.75" customHeight="1">
      <c r="R459" s="30"/>
    </row>
    <row r="460" spans="18:18" ht="15.75" customHeight="1">
      <c r="R460" s="30"/>
    </row>
    <row r="461" spans="18:18" ht="15.75" customHeight="1">
      <c r="R461" s="30"/>
    </row>
    <row r="462" spans="18:18" ht="15.75" customHeight="1">
      <c r="R462" s="30"/>
    </row>
    <row r="463" spans="18:18" ht="15.75" customHeight="1">
      <c r="R463" s="30"/>
    </row>
    <row r="464" spans="18:18" ht="15.75" customHeight="1">
      <c r="R464" s="30"/>
    </row>
    <row r="465" spans="18:18" ht="15.75" customHeight="1">
      <c r="R465" s="30"/>
    </row>
    <row r="466" spans="18:18" ht="15.75" customHeight="1">
      <c r="R466" s="30"/>
    </row>
    <row r="467" spans="18:18" ht="15.75" customHeight="1">
      <c r="R467" s="30"/>
    </row>
    <row r="468" spans="18:18" ht="15.75" customHeight="1">
      <c r="R468" s="30"/>
    </row>
    <row r="469" spans="18:18" ht="15.75" customHeight="1">
      <c r="R469" s="30"/>
    </row>
    <row r="470" spans="18:18" ht="15.75" customHeight="1">
      <c r="R470" s="30"/>
    </row>
    <row r="471" spans="18:18" ht="15.75" customHeight="1">
      <c r="R471" s="30"/>
    </row>
    <row r="472" spans="18:18" ht="15.75" customHeight="1">
      <c r="R472" s="30"/>
    </row>
    <row r="473" spans="18:18" ht="15.75" customHeight="1">
      <c r="R473" s="30"/>
    </row>
    <row r="474" spans="18:18" ht="15.75" customHeight="1">
      <c r="R474" s="30"/>
    </row>
    <row r="475" spans="18:18" ht="15.75" customHeight="1">
      <c r="R475" s="30"/>
    </row>
    <row r="476" spans="18:18" ht="15.75" customHeight="1">
      <c r="R476" s="30"/>
    </row>
    <row r="477" spans="18:18" ht="15.75" customHeight="1">
      <c r="R477" s="30"/>
    </row>
    <row r="478" spans="18:18" ht="15.75" customHeight="1">
      <c r="R478" s="30"/>
    </row>
    <row r="479" spans="18:18" ht="15.75" customHeight="1">
      <c r="R479" s="30"/>
    </row>
    <row r="480" spans="18:18" ht="15.75" customHeight="1">
      <c r="R480" s="30"/>
    </row>
    <row r="481" spans="18:18" ht="15.75" customHeight="1">
      <c r="R481" s="30"/>
    </row>
    <row r="482" spans="18:18" ht="15.75" customHeight="1">
      <c r="R482" s="30"/>
    </row>
    <row r="483" spans="18:18" ht="15.75" customHeight="1">
      <c r="R483" s="30"/>
    </row>
    <row r="484" spans="18:18" ht="15.75" customHeight="1">
      <c r="R484" s="30"/>
    </row>
    <row r="485" spans="18:18" ht="15.75" customHeight="1">
      <c r="R485" s="30"/>
    </row>
    <row r="486" spans="18:18" ht="15.75" customHeight="1">
      <c r="R486" s="30"/>
    </row>
    <row r="487" spans="18:18" ht="15.75" customHeight="1">
      <c r="R487" s="30"/>
    </row>
    <row r="488" spans="18:18" ht="15.75" customHeight="1">
      <c r="R488" s="30"/>
    </row>
    <row r="489" spans="18:18" ht="15.75" customHeight="1">
      <c r="R489" s="30"/>
    </row>
    <row r="490" spans="18:18" ht="15.75" customHeight="1">
      <c r="R490" s="30"/>
    </row>
    <row r="491" spans="18:18" ht="15.75" customHeight="1">
      <c r="R491" s="30"/>
    </row>
    <row r="492" spans="18:18" ht="15.75" customHeight="1">
      <c r="R492" s="30"/>
    </row>
    <row r="493" spans="18:18" ht="15.75" customHeight="1">
      <c r="R493" s="30"/>
    </row>
    <row r="494" spans="18:18" ht="15.75" customHeight="1">
      <c r="R494" s="30"/>
    </row>
    <row r="495" spans="18:18" ht="15.75" customHeight="1">
      <c r="R495" s="30"/>
    </row>
    <row r="496" spans="18:18" ht="15.75" customHeight="1">
      <c r="R496" s="30"/>
    </row>
    <row r="497" spans="18:18" ht="15.75" customHeight="1">
      <c r="R497" s="30"/>
    </row>
    <row r="498" spans="18:18" ht="15.75" customHeight="1">
      <c r="R498" s="30"/>
    </row>
    <row r="499" spans="18:18" ht="15.75" customHeight="1">
      <c r="R499" s="30"/>
    </row>
    <row r="500" spans="18:18" ht="15.75" customHeight="1">
      <c r="R500" s="30"/>
    </row>
    <row r="501" spans="18:18" ht="15.75" customHeight="1">
      <c r="R501" s="30"/>
    </row>
    <row r="502" spans="18:18" ht="15.75" customHeight="1">
      <c r="R502" s="30"/>
    </row>
    <row r="503" spans="18:18" ht="15.75" customHeight="1">
      <c r="R503" s="30"/>
    </row>
    <row r="504" spans="18:18" ht="15.75" customHeight="1">
      <c r="R504" s="30"/>
    </row>
    <row r="505" spans="18:18" ht="15.75" customHeight="1">
      <c r="R505" s="30"/>
    </row>
    <row r="506" spans="18:18" ht="15.75" customHeight="1">
      <c r="R506" s="30"/>
    </row>
    <row r="507" spans="18:18" ht="15.75" customHeight="1">
      <c r="R507" s="30"/>
    </row>
    <row r="508" spans="18:18" ht="15.75" customHeight="1">
      <c r="R508" s="30"/>
    </row>
    <row r="509" spans="18:18" ht="15.75" customHeight="1">
      <c r="R509" s="30"/>
    </row>
    <row r="510" spans="18:18" ht="15.75" customHeight="1">
      <c r="R510" s="30"/>
    </row>
    <row r="511" spans="18:18" ht="15.75" customHeight="1">
      <c r="R511" s="30"/>
    </row>
    <row r="512" spans="18:18" ht="15.75" customHeight="1">
      <c r="R512" s="30"/>
    </row>
    <row r="513" spans="18:18" ht="15.75" customHeight="1">
      <c r="R513" s="30"/>
    </row>
    <row r="514" spans="18:18" ht="15.75" customHeight="1">
      <c r="R514" s="30"/>
    </row>
    <row r="515" spans="18:18" ht="15.75" customHeight="1">
      <c r="R515" s="30"/>
    </row>
    <row r="516" spans="18:18" ht="15.75" customHeight="1">
      <c r="R516" s="30"/>
    </row>
    <row r="517" spans="18:18" ht="15.75" customHeight="1">
      <c r="R517" s="30"/>
    </row>
    <row r="518" spans="18:18" ht="15.75" customHeight="1">
      <c r="R518" s="30"/>
    </row>
    <row r="519" spans="18:18" ht="15.75" customHeight="1">
      <c r="R519" s="30"/>
    </row>
    <row r="520" spans="18:18" ht="15.75" customHeight="1">
      <c r="R520" s="30"/>
    </row>
    <row r="521" spans="18:18" ht="15.75" customHeight="1">
      <c r="R521" s="30"/>
    </row>
    <row r="522" spans="18:18" ht="15.75" customHeight="1">
      <c r="R522" s="30"/>
    </row>
    <row r="523" spans="18:18" ht="15.75" customHeight="1">
      <c r="R523" s="30"/>
    </row>
    <row r="524" spans="18:18" ht="15.75" customHeight="1">
      <c r="R524" s="30"/>
    </row>
    <row r="525" spans="18:18" ht="15.75" customHeight="1">
      <c r="R525" s="30"/>
    </row>
    <row r="526" spans="18:18" ht="15.75" customHeight="1">
      <c r="R526" s="30"/>
    </row>
    <row r="527" spans="18:18" ht="15.75" customHeight="1">
      <c r="R527" s="30"/>
    </row>
    <row r="528" spans="18:18" ht="15.75" customHeight="1">
      <c r="R528" s="30"/>
    </row>
    <row r="529" spans="18:18" ht="15.75" customHeight="1">
      <c r="R529" s="30"/>
    </row>
    <row r="530" spans="18:18" ht="15.75" customHeight="1">
      <c r="R530" s="30"/>
    </row>
    <row r="531" spans="18:18" ht="15.75" customHeight="1">
      <c r="R531" s="30"/>
    </row>
    <row r="532" spans="18:18" ht="15.75" customHeight="1">
      <c r="R532" s="30"/>
    </row>
    <row r="533" spans="18:18" ht="15.75" customHeight="1">
      <c r="R533" s="30"/>
    </row>
    <row r="534" spans="18:18" ht="15.75" customHeight="1">
      <c r="R534" s="30"/>
    </row>
    <row r="535" spans="18:18" ht="15.75" customHeight="1">
      <c r="R535" s="30"/>
    </row>
    <row r="536" spans="18:18" ht="15.75" customHeight="1">
      <c r="R536" s="30"/>
    </row>
    <row r="537" spans="18:18" ht="15.75" customHeight="1">
      <c r="R537" s="30"/>
    </row>
    <row r="538" spans="18:18" ht="15.75" customHeight="1">
      <c r="R538" s="30"/>
    </row>
    <row r="539" spans="18:18" ht="15.75" customHeight="1">
      <c r="R539" s="30"/>
    </row>
    <row r="540" spans="18:18" ht="15.75" customHeight="1">
      <c r="R540" s="30"/>
    </row>
    <row r="541" spans="18:18" ht="15.75" customHeight="1">
      <c r="R541" s="30"/>
    </row>
    <row r="542" spans="18:18" ht="15.75" customHeight="1">
      <c r="R542" s="30"/>
    </row>
    <row r="543" spans="18:18" ht="15.75" customHeight="1">
      <c r="R543" s="30"/>
    </row>
    <row r="544" spans="18:18" ht="15.75" customHeight="1">
      <c r="R544" s="30"/>
    </row>
    <row r="545" spans="18:18" ht="15.75" customHeight="1">
      <c r="R545" s="30"/>
    </row>
    <row r="546" spans="18:18" ht="15.75" customHeight="1">
      <c r="R546" s="30"/>
    </row>
    <row r="547" spans="18:18" ht="15.75" customHeight="1">
      <c r="R547" s="30"/>
    </row>
    <row r="548" spans="18:18" ht="15.75" customHeight="1">
      <c r="R548" s="30"/>
    </row>
    <row r="549" spans="18:18" ht="15.75" customHeight="1">
      <c r="R549" s="30"/>
    </row>
    <row r="550" spans="18:18" ht="15.75" customHeight="1">
      <c r="R550" s="30"/>
    </row>
    <row r="551" spans="18:18" ht="15.75" customHeight="1">
      <c r="R551" s="30"/>
    </row>
    <row r="552" spans="18:18" ht="15.75" customHeight="1">
      <c r="R552" s="30"/>
    </row>
    <row r="553" spans="18:18" ht="15.75" customHeight="1">
      <c r="R553" s="30"/>
    </row>
    <row r="554" spans="18:18" ht="15.75" customHeight="1">
      <c r="R554" s="30"/>
    </row>
    <row r="555" spans="18:18" ht="15.75" customHeight="1">
      <c r="R555" s="30"/>
    </row>
    <row r="556" spans="18:18" ht="15.75" customHeight="1">
      <c r="R556" s="30"/>
    </row>
    <row r="557" spans="18:18" ht="15.75" customHeight="1">
      <c r="R557" s="30"/>
    </row>
    <row r="558" spans="18:18" ht="15.75" customHeight="1">
      <c r="R558" s="30"/>
    </row>
    <row r="559" spans="18:18" ht="15.75" customHeight="1">
      <c r="R559" s="30"/>
    </row>
    <row r="560" spans="18:18" ht="15.75" customHeight="1">
      <c r="R560" s="30"/>
    </row>
    <row r="561" spans="18:18" ht="15.75" customHeight="1">
      <c r="R561" s="30"/>
    </row>
    <row r="562" spans="18:18" ht="15.75" customHeight="1">
      <c r="R562" s="30"/>
    </row>
    <row r="563" spans="18:18" ht="15.75" customHeight="1">
      <c r="R563" s="30"/>
    </row>
    <row r="564" spans="18:18" ht="15.75" customHeight="1">
      <c r="R564" s="30"/>
    </row>
    <row r="565" spans="18:18" ht="15.75" customHeight="1">
      <c r="R565" s="30"/>
    </row>
    <row r="566" spans="18:18" ht="15.75" customHeight="1">
      <c r="R566" s="30"/>
    </row>
    <row r="567" spans="18:18" ht="15.75" customHeight="1">
      <c r="R567" s="30"/>
    </row>
    <row r="568" spans="18:18" ht="15.75" customHeight="1">
      <c r="R568" s="30"/>
    </row>
    <row r="569" spans="18:18" ht="15.75" customHeight="1">
      <c r="R569" s="30"/>
    </row>
    <row r="570" spans="18:18" ht="15.75" customHeight="1">
      <c r="R570" s="30"/>
    </row>
    <row r="571" spans="18:18" ht="15.75" customHeight="1">
      <c r="R571" s="30"/>
    </row>
    <row r="572" spans="18:18" ht="15.75" customHeight="1">
      <c r="R572" s="30"/>
    </row>
    <row r="573" spans="18:18" ht="15.75" customHeight="1">
      <c r="R573" s="30"/>
    </row>
    <row r="574" spans="18:18" ht="15.75" customHeight="1">
      <c r="R574" s="30"/>
    </row>
    <row r="575" spans="18:18" ht="15.75" customHeight="1">
      <c r="R575" s="30"/>
    </row>
    <row r="576" spans="18:18" ht="15.75" customHeight="1">
      <c r="R576" s="30"/>
    </row>
    <row r="577" spans="18:18" ht="15.75" customHeight="1">
      <c r="R577" s="30"/>
    </row>
    <row r="578" spans="18:18" ht="15.75" customHeight="1">
      <c r="R578" s="30"/>
    </row>
    <row r="579" spans="18:18" ht="15.75" customHeight="1">
      <c r="R579" s="30"/>
    </row>
    <row r="580" spans="18:18" ht="15.75" customHeight="1">
      <c r="R580" s="30"/>
    </row>
    <row r="581" spans="18:18" ht="15.75" customHeight="1">
      <c r="R581" s="30"/>
    </row>
    <row r="582" spans="18:18" ht="15.75" customHeight="1">
      <c r="R582" s="30"/>
    </row>
    <row r="583" spans="18:18" ht="15.75" customHeight="1">
      <c r="R583" s="30"/>
    </row>
    <row r="584" spans="18:18" ht="15.75" customHeight="1">
      <c r="R584" s="30"/>
    </row>
    <row r="585" spans="18:18" ht="15.75" customHeight="1">
      <c r="R585" s="30"/>
    </row>
    <row r="586" spans="18:18" ht="15.75" customHeight="1">
      <c r="R586" s="30"/>
    </row>
    <row r="587" spans="18:18" ht="15.75" customHeight="1">
      <c r="R587" s="30"/>
    </row>
    <row r="588" spans="18:18" ht="15.75" customHeight="1">
      <c r="R588" s="30"/>
    </row>
    <row r="589" spans="18:18" ht="15.75" customHeight="1">
      <c r="R589" s="30"/>
    </row>
    <row r="590" spans="18:18" ht="15.75" customHeight="1">
      <c r="R590" s="30"/>
    </row>
    <row r="591" spans="18:18" ht="15.75" customHeight="1">
      <c r="R591" s="30"/>
    </row>
    <row r="592" spans="18:18" ht="15.75" customHeight="1">
      <c r="R592" s="30"/>
    </row>
    <row r="593" spans="18:18" ht="15.75" customHeight="1">
      <c r="R593" s="30"/>
    </row>
    <row r="594" spans="18:18" ht="15.75" customHeight="1">
      <c r="R594" s="30"/>
    </row>
    <row r="595" spans="18:18" ht="15.75" customHeight="1">
      <c r="R595" s="30"/>
    </row>
    <row r="596" spans="18:18" ht="15.75" customHeight="1">
      <c r="R596" s="30"/>
    </row>
    <row r="597" spans="18:18" ht="15.75" customHeight="1">
      <c r="R597" s="30"/>
    </row>
    <row r="598" spans="18:18" ht="15.75" customHeight="1">
      <c r="R598" s="30"/>
    </row>
    <row r="599" spans="18:18" ht="15.75" customHeight="1">
      <c r="R599" s="30"/>
    </row>
    <row r="600" spans="18:18" ht="15.75" customHeight="1">
      <c r="R600" s="30"/>
    </row>
    <row r="601" spans="18:18" ht="15.75" customHeight="1">
      <c r="R601" s="30"/>
    </row>
    <row r="602" spans="18:18" ht="15.75" customHeight="1">
      <c r="R602" s="30"/>
    </row>
    <row r="603" spans="18:18" ht="15.75" customHeight="1">
      <c r="R603" s="30"/>
    </row>
    <row r="604" spans="18:18" ht="15.75" customHeight="1">
      <c r="R604" s="30"/>
    </row>
    <row r="605" spans="18:18" ht="15.75" customHeight="1">
      <c r="R605" s="30"/>
    </row>
    <row r="606" spans="18:18" ht="15.75" customHeight="1">
      <c r="R606" s="30"/>
    </row>
    <row r="607" spans="18:18" ht="15.75" customHeight="1">
      <c r="R607" s="30"/>
    </row>
    <row r="608" spans="18:18" ht="15.75" customHeight="1">
      <c r="R608" s="30"/>
    </row>
    <row r="609" spans="18:18" ht="15.75" customHeight="1">
      <c r="R609" s="30"/>
    </row>
    <row r="610" spans="18:18" ht="15.75" customHeight="1">
      <c r="R610" s="30"/>
    </row>
    <row r="611" spans="18:18" ht="15.75" customHeight="1">
      <c r="R611" s="30"/>
    </row>
    <row r="612" spans="18:18" ht="15.75" customHeight="1">
      <c r="R612" s="30"/>
    </row>
    <row r="613" spans="18:18" ht="15.75" customHeight="1">
      <c r="R613" s="30"/>
    </row>
    <row r="614" spans="18:18" ht="15.75" customHeight="1">
      <c r="R614" s="30"/>
    </row>
    <row r="615" spans="18:18" ht="15.75" customHeight="1">
      <c r="R615" s="30"/>
    </row>
    <row r="616" spans="18:18" ht="15.75" customHeight="1">
      <c r="R616" s="30"/>
    </row>
    <row r="617" spans="18:18" ht="15.75" customHeight="1">
      <c r="R617" s="30"/>
    </row>
    <row r="618" spans="18:18" ht="15.75" customHeight="1">
      <c r="R618" s="30"/>
    </row>
    <row r="619" spans="18:18" ht="15.75" customHeight="1">
      <c r="R619" s="30"/>
    </row>
    <row r="620" spans="18:18" ht="15.75" customHeight="1">
      <c r="R620" s="30"/>
    </row>
    <row r="621" spans="18:18" ht="15.75" customHeight="1">
      <c r="R621" s="30"/>
    </row>
    <row r="622" spans="18:18" ht="15.75" customHeight="1">
      <c r="R622" s="30"/>
    </row>
    <row r="623" spans="18:18" ht="15.75" customHeight="1">
      <c r="R623" s="30"/>
    </row>
    <row r="624" spans="18:18" ht="15.75" customHeight="1">
      <c r="R624" s="30"/>
    </row>
    <row r="625" spans="18:18" ht="15.75" customHeight="1">
      <c r="R625" s="30"/>
    </row>
    <row r="626" spans="18:18" ht="15.75" customHeight="1">
      <c r="R626" s="30"/>
    </row>
    <row r="627" spans="18:18" ht="15.75" customHeight="1">
      <c r="R627" s="30"/>
    </row>
    <row r="628" spans="18:18" ht="15.75" customHeight="1">
      <c r="R628" s="30"/>
    </row>
    <row r="629" spans="18:18" ht="15.75" customHeight="1">
      <c r="R629" s="30"/>
    </row>
    <row r="630" spans="18:18" ht="15.75" customHeight="1">
      <c r="R630" s="30"/>
    </row>
    <row r="631" spans="18:18" ht="15.75" customHeight="1">
      <c r="R631" s="30"/>
    </row>
    <row r="632" spans="18:18" ht="15.75" customHeight="1">
      <c r="R632" s="30"/>
    </row>
    <row r="633" spans="18:18" ht="15.75" customHeight="1">
      <c r="R633" s="30"/>
    </row>
    <row r="634" spans="18:18" ht="15.75" customHeight="1">
      <c r="R634" s="30"/>
    </row>
    <row r="635" spans="18:18" ht="15.75" customHeight="1">
      <c r="R635" s="30"/>
    </row>
    <row r="636" spans="18:18" ht="15.75" customHeight="1">
      <c r="R636" s="30"/>
    </row>
    <row r="637" spans="18:18" ht="15.75" customHeight="1">
      <c r="R637" s="30"/>
    </row>
    <row r="638" spans="18:18" ht="15.75" customHeight="1">
      <c r="R638" s="30"/>
    </row>
    <row r="639" spans="18:18" ht="15.75" customHeight="1">
      <c r="R639" s="30"/>
    </row>
    <row r="640" spans="18:18" ht="15.75" customHeight="1">
      <c r="R640" s="30"/>
    </row>
    <row r="641" spans="18:18" ht="15.75" customHeight="1">
      <c r="R641" s="30"/>
    </row>
    <row r="642" spans="18:18" ht="15.75" customHeight="1">
      <c r="R642" s="30"/>
    </row>
    <row r="643" spans="18:18" ht="15.75" customHeight="1">
      <c r="R643" s="30"/>
    </row>
    <row r="644" spans="18:18" ht="15.75" customHeight="1">
      <c r="R644" s="30"/>
    </row>
    <row r="645" spans="18:18" ht="15.75" customHeight="1">
      <c r="R645" s="30"/>
    </row>
    <row r="646" spans="18:18" ht="15.75" customHeight="1">
      <c r="R646" s="30"/>
    </row>
    <row r="647" spans="18:18" ht="15.75" customHeight="1">
      <c r="R647" s="30"/>
    </row>
    <row r="648" spans="18:18" ht="15.75" customHeight="1">
      <c r="R648" s="30"/>
    </row>
    <row r="649" spans="18:18" ht="15.75" customHeight="1">
      <c r="R649" s="30"/>
    </row>
    <row r="650" spans="18:18" ht="15.75" customHeight="1">
      <c r="R650" s="30"/>
    </row>
    <row r="651" spans="18:18" ht="15.75" customHeight="1">
      <c r="R651" s="30"/>
    </row>
    <row r="652" spans="18:18" ht="15.75" customHeight="1">
      <c r="R652" s="30"/>
    </row>
    <row r="653" spans="18:18" ht="15.75" customHeight="1">
      <c r="R653" s="30"/>
    </row>
    <row r="654" spans="18:18" ht="15.75" customHeight="1">
      <c r="R654" s="30"/>
    </row>
    <row r="655" spans="18:18" ht="15.75" customHeight="1">
      <c r="R655" s="30"/>
    </row>
    <row r="656" spans="18:18" ht="15.75" customHeight="1">
      <c r="R656" s="30"/>
    </row>
    <row r="657" spans="18:18" ht="15.75" customHeight="1">
      <c r="R657" s="30"/>
    </row>
    <row r="658" spans="18:18" ht="15.75" customHeight="1">
      <c r="R658" s="30"/>
    </row>
    <row r="659" spans="18:18" ht="15.75" customHeight="1">
      <c r="R659" s="30"/>
    </row>
    <row r="660" spans="18:18" ht="15.75" customHeight="1">
      <c r="R660" s="30"/>
    </row>
    <row r="661" spans="18:18" ht="15.75" customHeight="1">
      <c r="R661" s="30"/>
    </row>
    <row r="662" spans="18:18" ht="15.75" customHeight="1">
      <c r="R662" s="30"/>
    </row>
    <row r="663" spans="18:18" ht="15.75" customHeight="1">
      <c r="R663" s="30"/>
    </row>
    <row r="664" spans="18:18" ht="15.75" customHeight="1">
      <c r="R664" s="30"/>
    </row>
    <row r="665" spans="18:18" ht="15.75" customHeight="1">
      <c r="R665" s="30"/>
    </row>
    <row r="666" spans="18:18" ht="15.75" customHeight="1">
      <c r="R666" s="30"/>
    </row>
    <row r="667" spans="18:18" ht="15.75" customHeight="1">
      <c r="R667" s="30"/>
    </row>
    <row r="668" spans="18:18" ht="15.75" customHeight="1">
      <c r="R668" s="30"/>
    </row>
    <row r="669" spans="18:18" ht="15.75" customHeight="1">
      <c r="R669" s="30"/>
    </row>
    <row r="670" spans="18:18" ht="15.75" customHeight="1">
      <c r="R670" s="30"/>
    </row>
    <row r="671" spans="18:18" ht="15.75" customHeight="1">
      <c r="R671" s="30"/>
    </row>
    <row r="672" spans="18:18" ht="15.75" customHeight="1">
      <c r="R672" s="30"/>
    </row>
    <row r="673" spans="18:18" ht="15.75" customHeight="1">
      <c r="R673" s="30"/>
    </row>
    <row r="674" spans="18:18" ht="15.75" customHeight="1">
      <c r="R674" s="30"/>
    </row>
    <row r="675" spans="18:18" ht="15.75" customHeight="1">
      <c r="R675" s="30"/>
    </row>
    <row r="676" spans="18:18" ht="15.75" customHeight="1">
      <c r="R676" s="30"/>
    </row>
    <row r="677" spans="18:18" ht="15.75" customHeight="1">
      <c r="R677" s="30"/>
    </row>
    <row r="678" spans="18:18" ht="15.75" customHeight="1">
      <c r="R678" s="30"/>
    </row>
    <row r="679" spans="18:18" ht="15.75" customHeight="1">
      <c r="R679" s="30"/>
    </row>
    <row r="680" spans="18:18" ht="15.75" customHeight="1">
      <c r="R680" s="30"/>
    </row>
    <row r="681" spans="18:18" ht="15.75" customHeight="1">
      <c r="R681" s="30"/>
    </row>
    <row r="682" spans="18:18" ht="15.75" customHeight="1">
      <c r="R682" s="30"/>
    </row>
    <row r="683" spans="18:18" ht="15.75" customHeight="1">
      <c r="R683" s="30"/>
    </row>
    <row r="684" spans="18:18" ht="15.75" customHeight="1">
      <c r="R684" s="30"/>
    </row>
    <row r="685" spans="18:18" ht="15.75" customHeight="1">
      <c r="R685" s="30"/>
    </row>
    <row r="686" spans="18:18" ht="15.75" customHeight="1">
      <c r="R686" s="30"/>
    </row>
    <row r="687" spans="18:18" ht="15.75" customHeight="1">
      <c r="R687" s="30"/>
    </row>
    <row r="688" spans="18:18" ht="15.75" customHeight="1">
      <c r="R688" s="30"/>
    </row>
    <row r="689" spans="18:18" ht="15.75" customHeight="1">
      <c r="R689" s="30"/>
    </row>
    <row r="690" spans="18:18" ht="15.75" customHeight="1">
      <c r="R690" s="30"/>
    </row>
    <row r="691" spans="18:18" ht="15.75" customHeight="1">
      <c r="R691" s="30"/>
    </row>
    <row r="692" spans="18:18" ht="15.75" customHeight="1">
      <c r="R692" s="30"/>
    </row>
    <row r="693" spans="18:18" ht="15.75" customHeight="1">
      <c r="R693" s="30"/>
    </row>
    <row r="694" spans="18:18" ht="15.75" customHeight="1">
      <c r="R694" s="30"/>
    </row>
    <row r="695" spans="18:18" ht="15.75" customHeight="1">
      <c r="R695" s="30"/>
    </row>
    <row r="696" spans="18:18" ht="15.75" customHeight="1">
      <c r="R696" s="30"/>
    </row>
    <row r="697" spans="18:18" ht="15.75" customHeight="1">
      <c r="R697" s="30"/>
    </row>
    <row r="698" spans="18:18" ht="15.75" customHeight="1">
      <c r="R698" s="30"/>
    </row>
    <row r="699" spans="18:18" ht="15.75" customHeight="1">
      <c r="R699" s="30"/>
    </row>
    <row r="700" spans="18:18" ht="15.75" customHeight="1">
      <c r="R700" s="30"/>
    </row>
    <row r="701" spans="18:18" ht="15.75" customHeight="1">
      <c r="R701" s="30"/>
    </row>
    <row r="702" spans="18:18" ht="15.75" customHeight="1">
      <c r="R702" s="30"/>
    </row>
    <row r="703" spans="18:18" ht="15.75" customHeight="1">
      <c r="R703" s="30"/>
    </row>
    <row r="704" spans="18:18" ht="15.75" customHeight="1">
      <c r="R704" s="30"/>
    </row>
    <row r="705" spans="18:18" ht="15.75" customHeight="1">
      <c r="R705" s="30"/>
    </row>
    <row r="706" spans="18:18" ht="15.75" customHeight="1">
      <c r="R706" s="30"/>
    </row>
    <row r="707" spans="18:18" ht="15.75" customHeight="1">
      <c r="R707" s="30"/>
    </row>
    <row r="708" spans="18:18" ht="15.75" customHeight="1">
      <c r="R708" s="30"/>
    </row>
    <row r="709" spans="18:18" ht="15.75" customHeight="1">
      <c r="R709" s="30"/>
    </row>
    <row r="710" spans="18:18" ht="15.75" customHeight="1">
      <c r="R710" s="30"/>
    </row>
    <row r="711" spans="18:18" ht="15.75" customHeight="1">
      <c r="R711" s="30"/>
    </row>
    <row r="712" spans="18:18" ht="15.75" customHeight="1">
      <c r="R712" s="30"/>
    </row>
    <row r="713" spans="18:18" ht="15.75" customHeight="1">
      <c r="R713" s="30"/>
    </row>
    <row r="714" spans="18:18" ht="15.75" customHeight="1">
      <c r="R714" s="30"/>
    </row>
    <row r="715" spans="18:18" ht="15.75" customHeight="1">
      <c r="R715" s="30"/>
    </row>
    <row r="716" spans="18:18" ht="15.75" customHeight="1">
      <c r="R716" s="30"/>
    </row>
    <row r="717" spans="18:18" ht="15.75" customHeight="1">
      <c r="R717" s="30"/>
    </row>
    <row r="718" spans="18:18" ht="15.75" customHeight="1">
      <c r="R718" s="30"/>
    </row>
    <row r="719" spans="18:18" ht="15.75" customHeight="1">
      <c r="R719" s="30"/>
    </row>
    <row r="720" spans="18:18" ht="15.75" customHeight="1">
      <c r="R720" s="30"/>
    </row>
    <row r="721" spans="18:18" ht="15.75" customHeight="1">
      <c r="R721" s="30"/>
    </row>
    <row r="722" spans="18:18" ht="15.75" customHeight="1">
      <c r="R722" s="30"/>
    </row>
    <row r="723" spans="18:18" ht="15.75" customHeight="1">
      <c r="R723" s="30"/>
    </row>
    <row r="724" spans="18:18" ht="15.75" customHeight="1">
      <c r="R724" s="30"/>
    </row>
    <row r="725" spans="18:18" ht="15.75" customHeight="1">
      <c r="R725" s="30"/>
    </row>
    <row r="726" spans="18:18" ht="15.75" customHeight="1">
      <c r="R726" s="30"/>
    </row>
    <row r="727" spans="18:18" ht="15.75" customHeight="1">
      <c r="R727" s="30"/>
    </row>
    <row r="728" spans="18:18" ht="15.75" customHeight="1">
      <c r="R728" s="30"/>
    </row>
    <row r="729" spans="18:18" ht="15.75" customHeight="1">
      <c r="R729" s="30"/>
    </row>
    <row r="730" spans="18:18" ht="15.75" customHeight="1">
      <c r="R730" s="30"/>
    </row>
    <row r="731" spans="18:18" ht="15.75" customHeight="1">
      <c r="R731" s="30"/>
    </row>
    <row r="732" spans="18:18" ht="15.75" customHeight="1">
      <c r="R732" s="30"/>
    </row>
    <row r="733" spans="18:18" ht="15.75" customHeight="1">
      <c r="R733" s="30"/>
    </row>
    <row r="734" spans="18:18" ht="15.75" customHeight="1">
      <c r="R734" s="30"/>
    </row>
    <row r="735" spans="18:18" ht="15.75" customHeight="1">
      <c r="R735" s="30"/>
    </row>
    <row r="736" spans="18:18" ht="15.75" customHeight="1">
      <c r="R736" s="30"/>
    </row>
    <row r="737" spans="18:18" ht="15.75" customHeight="1">
      <c r="R737" s="30"/>
    </row>
    <row r="738" spans="18:18" ht="15.75" customHeight="1">
      <c r="R738" s="30"/>
    </row>
    <row r="739" spans="18:18" ht="15.75" customHeight="1">
      <c r="R739" s="30"/>
    </row>
    <row r="740" spans="18:18" ht="15.75" customHeight="1">
      <c r="R740" s="30"/>
    </row>
    <row r="741" spans="18:18" ht="15.75" customHeight="1">
      <c r="R741" s="30"/>
    </row>
    <row r="742" spans="18:18" ht="15.75" customHeight="1">
      <c r="R742" s="30"/>
    </row>
    <row r="743" spans="18:18" ht="15.75" customHeight="1">
      <c r="R743" s="30"/>
    </row>
    <row r="744" spans="18:18" ht="15.75" customHeight="1">
      <c r="R744" s="30"/>
    </row>
    <row r="745" spans="18:18" ht="15.75" customHeight="1">
      <c r="R745" s="30"/>
    </row>
    <row r="746" spans="18:18" ht="15.75" customHeight="1">
      <c r="R746" s="30"/>
    </row>
    <row r="747" spans="18:18" ht="15.75" customHeight="1">
      <c r="R747" s="30"/>
    </row>
    <row r="748" spans="18:18" ht="15.75" customHeight="1">
      <c r="R748" s="30"/>
    </row>
    <row r="749" spans="18:18" ht="15.75" customHeight="1">
      <c r="R749" s="30"/>
    </row>
    <row r="750" spans="18:18" ht="15.75" customHeight="1">
      <c r="R750" s="30"/>
    </row>
    <row r="751" spans="18:18" ht="15.75" customHeight="1">
      <c r="R751" s="30"/>
    </row>
    <row r="752" spans="18:18" ht="15.75" customHeight="1">
      <c r="R752" s="30"/>
    </row>
    <row r="753" spans="18:18" ht="15.75" customHeight="1">
      <c r="R753" s="30"/>
    </row>
    <row r="754" spans="18:18" ht="15.75" customHeight="1">
      <c r="R754" s="30"/>
    </row>
    <row r="755" spans="18:18" ht="15.75" customHeight="1">
      <c r="R755" s="30"/>
    </row>
    <row r="756" spans="18:18" ht="15.75" customHeight="1">
      <c r="R756" s="30"/>
    </row>
    <row r="757" spans="18:18" ht="15.75" customHeight="1">
      <c r="R757" s="30"/>
    </row>
    <row r="758" spans="18:18" ht="15.75" customHeight="1">
      <c r="R758" s="30"/>
    </row>
    <row r="759" spans="18:18" ht="15.75" customHeight="1">
      <c r="R759" s="30"/>
    </row>
    <row r="760" spans="18:18" ht="15.75" customHeight="1">
      <c r="R760" s="30"/>
    </row>
    <row r="761" spans="18:18" ht="15.75" customHeight="1">
      <c r="R761" s="30"/>
    </row>
    <row r="762" spans="18:18" ht="15.75" customHeight="1">
      <c r="R762" s="30"/>
    </row>
    <row r="763" spans="18:18" ht="15.75" customHeight="1">
      <c r="R763" s="30"/>
    </row>
    <row r="764" spans="18:18" ht="15.75" customHeight="1">
      <c r="R764" s="30"/>
    </row>
    <row r="765" spans="18:18" ht="15.75" customHeight="1">
      <c r="R765" s="30"/>
    </row>
    <row r="766" spans="18:18" ht="15.75" customHeight="1">
      <c r="R766" s="30"/>
    </row>
    <row r="767" spans="18:18" ht="15.75" customHeight="1">
      <c r="R767" s="30"/>
    </row>
    <row r="768" spans="18:18" ht="15.75" customHeight="1">
      <c r="R768" s="30"/>
    </row>
    <row r="769" spans="18:18" ht="15.75" customHeight="1">
      <c r="R769" s="30"/>
    </row>
    <row r="770" spans="18:18" ht="15.75" customHeight="1">
      <c r="R770" s="30"/>
    </row>
    <row r="771" spans="18:18" ht="15.75" customHeight="1">
      <c r="R771" s="30"/>
    </row>
    <row r="772" spans="18:18" ht="15.75" customHeight="1">
      <c r="R772" s="30"/>
    </row>
    <row r="773" spans="18:18" ht="15.75" customHeight="1">
      <c r="R773" s="30"/>
    </row>
    <row r="774" spans="18:18" ht="15.75" customHeight="1">
      <c r="R774" s="30"/>
    </row>
    <row r="775" spans="18:18" ht="15.75" customHeight="1">
      <c r="R775" s="30"/>
    </row>
    <row r="776" spans="18:18" ht="15.75" customHeight="1">
      <c r="R776" s="30"/>
    </row>
    <row r="777" spans="18:18" ht="15.75" customHeight="1">
      <c r="R777" s="30"/>
    </row>
    <row r="778" spans="18:18" ht="15.75" customHeight="1">
      <c r="R778" s="30"/>
    </row>
    <row r="779" spans="18:18" ht="15.75" customHeight="1">
      <c r="R779" s="30"/>
    </row>
    <row r="780" spans="18:18" ht="15.75" customHeight="1">
      <c r="R780" s="30"/>
    </row>
    <row r="781" spans="18:18" ht="15.75" customHeight="1">
      <c r="R781" s="30"/>
    </row>
    <row r="782" spans="18:18" ht="15.75" customHeight="1">
      <c r="R782" s="30"/>
    </row>
    <row r="783" spans="18:18" ht="15.75" customHeight="1">
      <c r="R783" s="30"/>
    </row>
    <row r="784" spans="18:18" ht="15.75" customHeight="1">
      <c r="R784" s="30"/>
    </row>
    <row r="785" spans="18:18" ht="15.75" customHeight="1">
      <c r="R785" s="30"/>
    </row>
    <row r="786" spans="18:18" ht="15.75" customHeight="1">
      <c r="R786" s="30"/>
    </row>
    <row r="787" spans="18:18" ht="15.75" customHeight="1">
      <c r="R787" s="30"/>
    </row>
    <row r="788" spans="18:18" ht="15.75" customHeight="1">
      <c r="R788" s="30"/>
    </row>
    <row r="789" spans="18:18" ht="15.75" customHeight="1">
      <c r="R789" s="30"/>
    </row>
    <row r="790" spans="18:18" ht="15.75" customHeight="1">
      <c r="R790" s="30"/>
    </row>
    <row r="791" spans="18:18" ht="15.75" customHeight="1">
      <c r="R791" s="30"/>
    </row>
    <row r="792" spans="18:18" ht="15.75" customHeight="1">
      <c r="R792" s="30"/>
    </row>
    <row r="793" spans="18:18" ht="15.75" customHeight="1">
      <c r="R793" s="30"/>
    </row>
    <row r="794" spans="18:18" ht="15.75" customHeight="1">
      <c r="R794" s="30"/>
    </row>
    <row r="795" spans="18:18" ht="15.75" customHeight="1">
      <c r="R795" s="30"/>
    </row>
    <row r="796" spans="18:18" ht="15.75" customHeight="1">
      <c r="R796" s="30"/>
    </row>
    <row r="797" spans="18:18" ht="15.75" customHeight="1">
      <c r="R797" s="30"/>
    </row>
    <row r="798" spans="18:18" ht="15.75" customHeight="1">
      <c r="R798" s="30"/>
    </row>
    <row r="799" spans="18:18" ht="15.75" customHeight="1">
      <c r="R799" s="30"/>
    </row>
    <row r="800" spans="18:18" ht="15.75" customHeight="1">
      <c r="R800" s="30"/>
    </row>
    <row r="801" spans="18:18" ht="15.75" customHeight="1">
      <c r="R801" s="30"/>
    </row>
    <row r="802" spans="18:18" ht="15.75" customHeight="1">
      <c r="R802" s="30"/>
    </row>
    <row r="803" spans="18:18" ht="15.75" customHeight="1">
      <c r="R803" s="30"/>
    </row>
    <row r="804" spans="18:18" ht="15.75" customHeight="1">
      <c r="R804" s="30"/>
    </row>
    <row r="805" spans="18:18" ht="15.75" customHeight="1">
      <c r="R805" s="30"/>
    </row>
    <row r="806" spans="18:18" ht="15.75" customHeight="1">
      <c r="R806" s="30"/>
    </row>
    <row r="807" spans="18:18" ht="15.75" customHeight="1">
      <c r="R807" s="30"/>
    </row>
    <row r="808" spans="18:18" ht="15.75" customHeight="1">
      <c r="R808" s="30"/>
    </row>
    <row r="809" spans="18:18" ht="15.75" customHeight="1">
      <c r="R809" s="30"/>
    </row>
    <row r="810" spans="18:18" ht="15.75" customHeight="1">
      <c r="R810" s="30"/>
    </row>
    <row r="811" spans="18:18" ht="15.75" customHeight="1">
      <c r="R811" s="30"/>
    </row>
    <row r="812" spans="18:18" ht="15.75" customHeight="1">
      <c r="R812" s="30"/>
    </row>
    <row r="813" spans="18:18" ht="15.75" customHeight="1">
      <c r="R813" s="30"/>
    </row>
    <row r="814" spans="18:18" ht="15.75" customHeight="1">
      <c r="R814" s="30"/>
    </row>
    <row r="815" spans="18:18" ht="15.75" customHeight="1">
      <c r="R815" s="30"/>
    </row>
    <row r="816" spans="18:18" ht="15.75" customHeight="1">
      <c r="R816" s="30"/>
    </row>
    <row r="817" spans="18:18" ht="15.75" customHeight="1">
      <c r="R817" s="30"/>
    </row>
    <row r="818" spans="18:18" ht="15.75" customHeight="1">
      <c r="R818" s="30"/>
    </row>
    <row r="819" spans="18:18" ht="15.75" customHeight="1">
      <c r="R819" s="30"/>
    </row>
    <row r="820" spans="18:18" ht="15.75" customHeight="1">
      <c r="R820" s="30"/>
    </row>
    <row r="821" spans="18:18" ht="15.75" customHeight="1">
      <c r="R821" s="30"/>
    </row>
    <row r="822" spans="18:18" ht="15.75" customHeight="1">
      <c r="R822" s="30"/>
    </row>
    <row r="823" spans="18:18" ht="15.75" customHeight="1">
      <c r="R823" s="30"/>
    </row>
    <row r="824" spans="18:18" ht="15.75" customHeight="1">
      <c r="R824" s="30"/>
    </row>
    <row r="825" spans="18:18" ht="15.75" customHeight="1">
      <c r="R825" s="30"/>
    </row>
    <row r="826" spans="18:18" ht="15.75" customHeight="1">
      <c r="R826" s="30"/>
    </row>
    <row r="827" spans="18:18" ht="15.75" customHeight="1">
      <c r="R827" s="30"/>
    </row>
    <row r="828" spans="18:18" ht="15.75" customHeight="1">
      <c r="R828" s="30"/>
    </row>
    <row r="829" spans="18:18" ht="15.75" customHeight="1">
      <c r="R829" s="30"/>
    </row>
    <row r="830" spans="18:18" ht="15.75" customHeight="1">
      <c r="R830" s="30"/>
    </row>
    <row r="831" spans="18:18" ht="15.75" customHeight="1">
      <c r="R831" s="30"/>
    </row>
    <row r="832" spans="18:18" ht="15.75" customHeight="1">
      <c r="R832" s="30"/>
    </row>
    <row r="833" spans="18:18" ht="15.75" customHeight="1">
      <c r="R833" s="30"/>
    </row>
    <row r="834" spans="18:18" ht="15.75" customHeight="1">
      <c r="R834" s="30"/>
    </row>
    <row r="835" spans="18:18" ht="15.75" customHeight="1">
      <c r="R835" s="30"/>
    </row>
    <row r="836" spans="18:18" ht="15.75" customHeight="1">
      <c r="R836" s="30"/>
    </row>
    <row r="837" spans="18:18" ht="15.75" customHeight="1">
      <c r="R837" s="30"/>
    </row>
    <row r="838" spans="18:18" ht="15.75" customHeight="1">
      <c r="R838" s="30"/>
    </row>
    <row r="839" spans="18:18" ht="15.75" customHeight="1">
      <c r="R839" s="30"/>
    </row>
    <row r="840" spans="18:18" ht="15.75" customHeight="1">
      <c r="R840" s="30"/>
    </row>
    <row r="841" spans="18:18" ht="15.75" customHeight="1">
      <c r="R841" s="30"/>
    </row>
    <row r="842" spans="18:18" ht="15.75" customHeight="1">
      <c r="R842" s="30"/>
    </row>
    <row r="843" spans="18:18" ht="15.75" customHeight="1">
      <c r="R843" s="30"/>
    </row>
    <row r="844" spans="18:18" ht="15.75" customHeight="1">
      <c r="R844" s="30"/>
    </row>
    <row r="845" spans="18:18" ht="15.75" customHeight="1">
      <c r="R845" s="30"/>
    </row>
    <row r="846" spans="18:18" ht="15.75" customHeight="1">
      <c r="R846" s="30"/>
    </row>
    <row r="847" spans="18:18" ht="15.75" customHeight="1">
      <c r="R847" s="30"/>
    </row>
    <row r="848" spans="18:18" ht="15.75" customHeight="1">
      <c r="R848" s="30"/>
    </row>
    <row r="849" spans="18:18" ht="15.75" customHeight="1">
      <c r="R849" s="30"/>
    </row>
    <row r="850" spans="18:18" ht="15.75" customHeight="1">
      <c r="R850" s="30"/>
    </row>
    <row r="851" spans="18:18" ht="15.75" customHeight="1">
      <c r="R851" s="30"/>
    </row>
    <row r="852" spans="18:18" ht="15.75" customHeight="1">
      <c r="R852" s="30"/>
    </row>
    <row r="853" spans="18:18" ht="15.75" customHeight="1">
      <c r="R853" s="30"/>
    </row>
    <row r="854" spans="18:18" ht="15.75" customHeight="1">
      <c r="R854" s="30"/>
    </row>
    <row r="855" spans="18:18" ht="15.75" customHeight="1">
      <c r="R855" s="30"/>
    </row>
    <row r="856" spans="18:18" ht="15.75" customHeight="1">
      <c r="R856" s="30"/>
    </row>
    <row r="857" spans="18:18" ht="15.75" customHeight="1">
      <c r="R857" s="30"/>
    </row>
    <row r="858" spans="18:18" ht="15.75" customHeight="1">
      <c r="R858" s="30"/>
    </row>
    <row r="859" spans="18:18" ht="15.75" customHeight="1">
      <c r="R859" s="30"/>
    </row>
    <row r="860" spans="18:18" ht="15.75" customHeight="1">
      <c r="R860" s="30"/>
    </row>
    <row r="861" spans="18:18" ht="15.75" customHeight="1">
      <c r="R861" s="30"/>
    </row>
    <row r="862" spans="18:18" ht="15.75" customHeight="1">
      <c r="R862" s="30"/>
    </row>
    <row r="863" spans="18:18" ht="15.75" customHeight="1">
      <c r="R863" s="30"/>
    </row>
    <row r="864" spans="18:18" ht="15.75" customHeight="1">
      <c r="R864" s="30"/>
    </row>
    <row r="865" spans="18:18" ht="15.75" customHeight="1">
      <c r="R865" s="30"/>
    </row>
    <row r="866" spans="18:18" ht="15.75" customHeight="1">
      <c r="R866" s="30"/>
    </row>
    <row r="867" spans="18:18" ht="15.75" customHeight="1">
      <c r="R867" s="30"/>
    </row>
    <row r="868" spans="18:18" ht="15.75" customHeight="1">
      <c r="R868" s="30"/>
    </row>
    <row r="869" spans="18:18" ht="15.75" customHeight="1">
      <c r="R869" s="30"/>
    </row>
    <row r="870" spans="18:18" ht="15.75" customHeight="1">
      <c r="R870" s="30"/>
    </row>
    <row r="871" spans="18:18" ht="15.75" customHeight="1">
      <c r="R871" s="30"/>
    </row>
    <row r="872" spans="18:18" ht="15.75" customHeight="1">
      <c r="R872" s="30"/>
    </row>
    <row r="873" spans="18:18" ht="15.75" customHeight="1">
      <c r="R873" s="30"/>
    </row>
    <row r="874" spans="18:18" ht="15.75" customHeight="1">
      <c r="R874" s="30"/>
    </row>
    <row r="875" spans="18:18" ht="15.75" customHeight="1">
      <c r="R875" s="30"/>
    </row>
    <row r="876" spans="18:18" ht="15.75" customHeight="1">
      <c r="R876" s="30"/>
    </row>
    <row r="877" spans="18:18" ht="15.75" customHeight="1">
      <c r="R877" s="30"/>
    </row>
    <row r="878" spans="18:18" ht="15.75" customHeight="1">
      <c r="R878" s="30"/>
    </row>
    <row r="879" spans="18:18" ht="15.75" customHeight="1">
      <c r="R879" s="30"/>
    </row>
    <row r="880" spans="18:18" ht="15.75" customHeight="1">
      <c r="R880" s="30"/>
    </row>
    <row r="881" spans="18:18" ht="15.75" customHeight="1">
      <c r="R881" s="30"/>
    </row>
    <row r="882" spans="18:18" ht="15.75" customHeight="1">
      <c r="R882" s="30"/>
    </row>
    <row r="883" spans="18:18" ht="15.75" customHeight="1">
      <c r="R883" s="30"/>
    </row>
    <row r="884" spans="18:18" ht="15.75" customHeight="1">
      <c r="R884" s="30"/>
    </row>
    <row r="885" spans="18:18" ht="15.75" customHeight="1">
      <c r="R885" s="30"/>
    </row>
    <row r="886" spans="18:18" ht="15.75" customHeight="1">
      <c r="R886" s="30"/>
    </row>
    <row r="887" spans="18:18" ht="15.75" customHeight="1">
      <c r="R887" s="30"/>
    </row>
    <row r="888" spans="18:18" ht="15.75" customHeight="1">
      <c r="R888" s="30"/>
    </row>
    <row r="889" spans="18:18" ht="15.75" customHeight="1">
      <c r="R889" s="30"/>
    </row>
    <row r="890" spans="18:18" ht="15.75" customHeight="1">
      <c r="R890" s="30"/>
    </row>
    <row r="891" spans="18:18" ht="15.75" customHeight="1">
      <c r="R891" s="30"/>
    </row>
    <row r="892" spans="18:18" ht="15.75" customHeight="1">
      <c r="R892" s="30"/>
    </row>
    <row r="893" spans="18:18" ht="15.75" customHeight="1">
      <c r="R893" s="30"/>
    </row>
    <row r="894" spans="18:18" ht="15.75" customHeight="1">
      <c r="R894" s="30"/>
    </row>
    <row r="895" spans="18:18" ht="15.75" customHeight="1">
      <c r="R895" s="30"/>
    </row>
    <row r="896" spans="18:18" ht="15.75" customHeight="1">
      <c r="R896" s="30"/>
    </row>
    <row r="897" spans="18:18" ht="15.75" customHeight="1">
      <c r="R897" s="30"/>
    </row>
    <row r="898" spans="18:18" ht="15.75" customHeight="1">
      <c r="R898" s="30"/>
    </row>
    <row r="899" spans="18:18" ht="15.75" customHeight="1">
      <c r="R899" s="30"/>
    </row>
    <row r="900" spans="18:18" ht="15.75" customHeight="1">
      <c r="R900" s="30"/>
    </row>
    <row r="901" spans="18:18" ht="15.75" customHeight="1">
      <c r="R901" s="30"/>
    </row>
    <row r="902" spans="18:18" ht="15.75" customHeight="1">
      <c r="R902" s="30"/>
    </row>
    <row r="903" spans="18:18" ht="15.75" customHeight="1">
      <c r="R903" s="30"/>
    </row>
    <row r="904" spans="18:18" ht="15.75" customHeight="1">
      <c r="R904" s="30"/>
    </row>
    <row r="905" spans="18:18" ht="15.75" customHeight="1">
      <c r="R905" s="30"/>
    </row>
    <row r="906" spans="18:18" ht="15.75" customHeight="1">
      <c r="R906" s="30"/>
    </row>
    <row r="907" spans="18:18" ht="15.75" customHeight="1">
      <c r="R907" s="30"/>
    </row>
    <row r="908" spans="18:18" ht="15.75" customHeight="1">
      <c r="R908" s="30"/>
    </row>
    <row r="909" spans="18:18" ht="15.75" customHeight="1">
      <c r="R909" s="30"/>
    </row>
    <row r="910" spans="18:18" ht="15.75" customHeight="1">
      <c r="R910" s="30"/>
    </row>
    <row r="911" spans="18:18" ht="15.75" customHeight="1">
      <c r="R911" s="30"/>
    </row>
    <row r="912" spans="18:18" ht="15.75" customHeight="1">
      <c r="R912" s="30"/>
    </row>
    <row r="913" spans="18:18" ht="15.75" customHeight="1">
      <c r="R913" s="30"/>
    </row>
    <row r="914" spans="18:18" ht="15.75" customHeight="1">
      <c r="R914" s="30"/>
    </row>
    <row r="915" spans="18:18" ht="15.75" customHeight="1">
      <c r="R915" s="30"/>
    </row>
    <row r="916" spans="18:18" ht="15.75" customHeight="1">
      <c r="R916" s="30"/>
    </row>
    <row r="917" spans="18:18" ht="15.75" customHeight="1">
      <c r="R917" s="30"/>
    </row>
    <row r="918" spans="18:18" ht="15.75" customHeight="1">
      <c r="R918" s="30"/>
    </row>
    <row r="919" spans="18:18" ht="15.75" customHeight="1">
      <c r="R919" s="30"/>
    </row>
    <row r="920" spans="18:18" ht="15.75" customHeight="1">
      <c r="R920" s="30"/>
    </row>
    <row r="921" spans="18:18" ht="15.75" customHeight="1">
      <c r="R921" s="30"/>
    </row>
    <row r="922" spans="18:18" ht="15.75" customHeight="1">
      <c r="R922" s="30"/>
    </row>
    <row r="923" spans="18:18" ht="15.75" customHeight="1">
      <c r="R923" s="30"/>
    </row>
    <row r="924" spans="18:18" ht="15.75" customHeight="1">
      <c r="R924" s="30"/>
    </row>
    <row r="925" spans="18:18" ht="15.75" customHeight="1">
      <c r="R925" s="30"/>
    </row>
    <row r="926" spans="18:18" ht="15.75" customHeight="1">
      <c r="R926" s="30"/>
    </row>
    <row r="927" spans="18:18" ht="15.75" customHeight="1">
      <c r="R927" s="30"/>
    </row>
    <row r="928" spans="18:18" ht="15.75" customHeight="1">
      <c r="R928" s="30"/>
    </row>
    <row r="929" spans="18:18" ht="15.75" customHeight="1">
      <c r="R929" s="30"/>
    </row>
    <row r="930" spans="18:18" ht="15.75" customHeight="1">
      <c r="R930" s="30"/>
    </row>
    <row r="931" spans="18:18" ht="15.75" customHeight="1">
      <c r="R931" s="30"/>
    </row>
    <row r="932" spans="18:18" ht="15.75" customHeight="1">
      <c r="R932" s="30"/>
    </row>
    <row r="933" spans="18:18" ht="15.75" customHeight="1">
      <c r="R933" s="30"/>
    </row>
    <row r="934" spans="18:18" ht="15.75" customHeight="1">
      <c r="R934" s="30"/>
    </row>
    <row r="935" spans="18:18" ht="15.75" customHeight="1">
      <c r="R935" s="30"/>
    </row>
    <row r="936" spans="18:18" ht="15.75" customHeight="1">
      <c r="R936" s="30"/>
    </row>
    <row r="937" spans="18:18" ht="15.75" customHeight="1">
      <c r="R937" s="30"/>
    </row>
    <row r="938" spans="18:18" ht="15.75" customHeight="1">
      <c r="R938" s="30"/>
    </row>
    <row r="939" spans="18:18" ht="15.75" customHeight="1">
      <c r="R939" s="30"/>
    </row>
    <row r="940" spans="18:18" ht="15.75" customHeight="1">
      <c r="R940" s="30"/>
    </row>
    <row r="941" spans="18:18" ht="15.75" customHeight="1">
      <c r="R941" s="30"/>
    </row>
    <row r="942" spans="18:18" ht="15.75" customHeight="1">
      <c r="R942" s="30"/>
    </row>
    <row r="943" spans="18:18" ht="15.75" customHeight="1">
      <c r="R943" s="30"/>
    </row>
    <row r="944" spans="18:18" ht="15.75" customHeight="1">
      <c r="R944" s="30"/>
    </row>
    <row r="945" spans="18:18" ht="15.75" customHeight="1">
      <c r="R945" s="30"/>
    </row>
    <row r="946" spans="18:18" ht="15.75" customHeight="1">
      <c r="R946" s="30"/>
    </row>
    <row r="947" spans="18:18" ht="15.75" customHeight="1">
      <c r="R947" s="30"/>
    </row>
    <row r="948" spans="18:18" ht="15.75" customHeight="1">
      <c r="R948" s="30"/>
    </row>
    <row r="949" spans="18:18" ht="15.75" customHeight="1">
      <c r="R949" s="30"/>
    </row>
    <row r="950" spans="18:18" ht="15.75" customHeight="1">
      <c r="R950" s="30"/>
    </row>
    <row r="951" spans="18:18" ht="15.75" customHeight="1">
      <c r="R951" s="30"/>
    </row>
    <row r="952" spans="18:18" ht="15.75" customHeight="1">
      <c r="R952" s="30"/>
    </row>
    <row r="953" spans="18:18" ht="15.75" customHeight="1">
      <c r="R953" s="30"/>
    </row>
    <row r="954" spans="18:18" ht="15.75" customHeight="1">
      <c r="R954" s="30"/>
    </row>
    <row r="955" spans="18:18" ht="15.75" customHeight="1">
      <c r="R955" s="30"/>
    </row>
    <row r="956" spans="18:18" ht="15.75" customHeight="1">
      <c r="R956" s="30"/>
    </row>
    <row r="957" spans="18:18" ht="15.75" customHeight="1">
      <c r="R957" s="30"/>
    </row>
    <row r="958" spans="18:18" ht="15.75" customHeight="1">
      <c r="R958" s="30"/>
    </row>
    <row r="959" spans="18:18" ht="15.75" customHeight="1">
      <c r="R959" s="30"/>
    </row>
    <row r="960" spans="18:18" ht="15.75" customHeight="1">
      <c r="R960" s="30"/>
    </row>
    <row r="961" spans="18:18" ht="15.75" customHeight="1">
      <c r="R961" s="30"/>
    </row>
    <row r="962" spans="18:18" ht="15.75" customHeight="1">
      <c r="R962" s="30"/>
    </row>
    <row r="963" spans="18:18" ht="15.75" customHeight="1">
      <c r="R963" s="30"/>
    </row>
    <row r="964" spans="18:18" ht="15.75" customHeight="1">
      <c r="R964" s="30"/>
    </row>
    <row r="965" spans="18:18" ht="15.75" customHeight="1">
      <c r="R965" s="30"/>
    </row>
    <row r="966" spans="18:18" ht="15.75" customHeight="1">
      <c r="R966" s="30"/>
    </row>
    <row r="967" spans="18:18" ht="15.75" customHeight="1">
      <c r="R967" s="30"/>
    </row>
    <row r="968" spans="18:18" ht="15.75" customHeight="1">
      <c r="R968" s="30"/>
    </row>
    <row r="969" spans="18:18" ht="15.75" customHeight="1">
      <c r="R969" s="30"/>
    </row>
    <row r="970" spans="18:18" ht="15.75" customHeight="1">
      <c r="R970" s="30"/>
    </row>
    <row r="971" spans="18:18" ht="15.75" customHeight="1">
      <c r="R971" s="30"/>
    </row>
    <row r="972" spans="18:18" ht="15.75" customHeight="1">
      <c r="R972" s="30"/>
    </row>
    <row r="973" spans="18:18" ht="15.75" customHeight="1">
      <c r="R973" s="30"/>
    </row>
    <row r="974" spans="18:18" ht="15.75" customHeight="1">
      <c r="R974" s="30"/>
    </row>
    <row r="975" spans="18:18" ht="15.75" customHeight="1">
      <c r="R975" s="30"/>
    </row>
    <row r="976" spans="18:18" ht="15.75" customHeight="1">
      <c r="R976" s="30"/>
    </row>
    <row r="977" spans="18:18" ht="15.75" customHeight="1">
      <c r="R977" s="30"/>
    </row>
    <row r="978" spans="18:18" ht="15.75" customHeight="1">
      <c r="R978" s="30"/>
    </row>
    <row r="979" spans="18:18" ht="15.75" customHeight="1">
      <c r="R979" s="30"/>
    </row>
    <row r="980" spans="18:18" ht="15.75" customHeight="1">
      <c r="R980" s="30"/>
    </row>
    <row r="981" spans="18:18" ht="15.75" customHeight="1">
      <c r="R981" s="30"/>
    </row>
    <row r="982" spans="18:18" ht="15.75" customHeight="1">
      <c r="R982" s="30"/>
    </row>
    <row r="983" spans="18:18" ht="15.75" customHeight="1">
      <c r="R983" s="30"/>
    </row>
    <row r="984" spans="18:18" ht="15.75" customHeight="1">
      <c r="R984" s="30"/>
    </row>
    <row r="985" spans="18:18" ht="15.75" customHeight="1">
      <c r="R985" s="30"/>
    </row>
    <row r="986" spans="18:18" ht="15.75" customHeight="1">
      <c r="R986" s="30"/>
    </row>
    <row r="987" spans="18:18" ht="15.75" customHeight="1">
      <c r="R987" s="30"/>
    </row>
    <row r="988" spans="18:18" ht="15.75" customHeight="1">
      <c r="R988" s="30"/>
    </row>
    <row r="989" spans="18:18" ht="15.75" customHeight="1">
      <c r="R989" s="30"/>
    </row>
    <row r="990" spans="18:18" ht="15.75" customHeight="1">
      <c r="R990" s="30"/>
    </row>
    <row r="991" spans="18:18" ht="15.75" customHeight="1">
      <c r="R991" s="30"/>
    </row>
    <row r="992" spans="18:18" ht="15.75" customHeight="1">
      <c r="R992" s="30"/>
    </row>
    <row r="993" spans="18:18" ht="15.75" customHeight="1">
      <c r="R993" s="30"/>
    </row>
    <row r="994" spans="18:18" ht="15.75" customHeight="1">
      <c r="R994" s="30"/>
    </row>
    <row r="995" spans="18:18" ht="15.75" customHeight="1">
      <c r="R995" s="30"/>
    </row>
    <row r="996" spans="18:18" ht="15.75" customHeight="1">
      <c r="R996" s="30"/>
    </row>
    <row r="997" spans="18:18" ht="15.75" customHeight="1">
      <c r="R997" s="30"/>
    </row>
    <row r="998" spans="18:18" ht="15.75" customHeight="1">
      <c r="R998" s="30"/>
    </row>
    <row r="999" spans="18:18" ht="15.75" customHeight="1">
      <c r="R999" s="30"/>
    </row>
    <row r="1000" spans="18:18" ht="15.75" customHeight="1">
      <c r="R1000" s="3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2.6640625" defaultRowHeight="15" customHeight="1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8.6640625" customWidth="1"/>
    <col min="6" max="6" width="10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16.33203125" customWidth="1"/>
    <col min="16" max="16" width="10" customWidth="1"/>
    <col min="17" max="18" width="7.33203125" customWidth="1"/>
    <col min="19" max="19" width="7.1640625" customWidth="1"/>
    <col min="20" max="20" width="11.1640625" customWidth="1"/>
    <col min="21" max="21" width="13.5" customWidth="1"/>
    <col min="22" max="22" width="66.83203125" customWidth="1"/>
    <col min="23" max="24" width="7.6640625" customWidth="1"/>
    <col min="25" max="25" width="8.1640625" customWidth="1"/>
    <col min="26" max="26" width="11.1640625" customWidth="1"/>
    <col min="27" max="27" width="10.6640625" customWidth="1"/>
    <col min="28" max="28" width="9.6640625" customWidth="1"/>
    <col min="29" max="29" width="7.1640625" customWidth="1"/>
    <col min="30" max="30" width="10.83203125" customWidth="1"/>
    <col min="31" max="31" width="7.6640625" customWidth="1"/>
    <col min="32" max="32" width="10.1640625" customWidth="1"/>
    <col min="33" max="33" width="8.83203125" customWidth="1"/>
  </cols>
  <sheetData>
    <row r="1" spans="1:33" ht="18.75" customHeight="1">
      <c r="A1" s="46" t="str">
        <f ca="1">IFERROR(__xludf.DUMMYFUNCTION("IFERROR(VLOOKUP(B2,IMPORTRANGE(""https://docs.google.com/spreadsheets/d/1x0DhHglkXKoEBOD2MBsuK_EyIr1ouxD2ftIpqOYFa-k/edit?usp=sharing"",""Ubiquitty-SKU-Specific Info!B1:BJ5000""),3,FALSE),"""")"),"Pack of 2 10 Foot Lighted Outdoor Extension Cord - 10/3 SJTW Yellow 10 Gauge Extension Cable with 3 Prong Grounded Plug for Safety")</f>
        <v>Pack of 2 10 Foot Lighted Outdoor Extension Cord - 10/3 SJTW Yellow 10 Gauge Extension Cable with 3 Prong Grounded Plug for Safety</v>
      </c>
      <c r="B1" s="47"/>
      <c r="C1" s="48" t="s">
        <v>0</v>
      </c>
      <c r="D1" s="50" t="s">
        <v>1</v>
      </c>
      <c r="E1" s="50" t="s">
        <v>2</v>
      </c>
      <c r="F1" s="52" t="s">
        <v>3</v>
      </c>
      <c r="G1" s="52" t="s">
        <v>4</v>
      </c>
      <c r="H1" s="53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58" t="s">
        <v>10</v>
      </c>
      <c r="N1" s="59" t="s">
        <v>11</v>
      </c>
      <c r="O1" s="50" t="s">
        <v>12</v>
      </c>
      <c r="P1" s="50" t="s">
        <v>13</v>
      </c>
      <c r="Q1" s="57" t="s">
        <v>14</v>
      </c>
      <c r="R1" s="57" t="s">
        <v>15</v>
      </c>
      <c r="S1" s="60" t="s">
        <v>16</v>
      </c>
      <c r="T1" s="62" t="s">
        <v>2006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Info!B1:BJ5000""),2,FALSE),"""")"),"B08FXPPNP2")</f>
        <v>B08FXPPNP2</v>
      </c>
      <c r="B2" s="3" t="s">
        <v>259</v>
      </c>
      <c r="C2" s="49"/>
      <c r="D2" s="49"/>
      <c r="E2" s="51"/>
      <c r="F2" s="49"/>
      <c r="G2" s="49"/>
      <c r="H2" s="54"/>
      <c r="I2" s="49"/>
      <c r="J2" s="49"/>
      <c r="K2" s="54"/>
      <c r="L2" s="54"/>
      <c r="M2" s="54"/>
      <c r="N2" s="49"/>
      <c r="O2" s="49"/>
      <c r="P2" s="51"/>
      <c r="Q2" s="49"/>
      <c r="R2" s="49"/>
      <c r="S2" s="61"/>
      <c r="T2" s="47"/>
      <c r="U2" s="63"/>
      <c r="V2" s="63"/>
      <c r="W2" s="47"/>
      <c r="X2" s="47"/>
      <c r="Y2" s="47"/>
      <c r="Z2" s="47"/>
      <c r="AA2" s="63"/>
      <c r="AB2" s="63"/>
      <c r="AC2" s="63"/>
      <c r="AD2" s="63"/>
      <c r="AE2" s="47"/>
      <c r="AF2" s="47"/>
      <c r="AG2" s="47"/>
    </row>
    <row r="3" spans="1:33" ht="139.5" customHeight="1">
      <c r="A3" s="55" t="s">
        <v>31</v>
      </c>
      <c r="B3" s="56"/>
      <c r="C3" s="4">
        <f>((AE32+AF32)/0.85)*-1</f>
        <v>22.438466588235297</v>
      </c>
      <c r="D3" s="5">
        <f>SUM(D4:D99765)</f>
        <v>290</v>
      </c>
      <c r="E3" s="5"/>
      <c r="F3" s="6">
        <f t="shared" ref="F3:G3" si="0">SUM(F4:F99765)</f>
        <v>15339.739999999998</v>
      </c>
      <c r="G3" s="6">
        <f t="shared" si="0"/>
        <v>-161.38999999999999</v>
      </c>
      <c r="H3" s="7">
        <f t="shared" ref="H3:H32" si="1">G3/F3*-1</f>
        <v>1.05210388181286E-2</v>
      </c>
      <c r="I3" s="8">
        <f t="shared" ref="I3:I32" si="2">J3/F3</f>
        <v>0.45712339334822993</v>
      </c>
      <c r="J3" s="6">
        <f>SUM(J4:J99765)</f>
        <v>7012.1540018795758</v>
      </c>
      <c r="K3" s="6">
        <f t="shared" ref="K3:K32" si="3">J3/D3</f>
        <v>24.17984138579164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Sheet!a1:g5000""),2,FALSE),"""")"),"4 - March
4 - April
4 - May
4 - June
4 - July
4 - Aug
4 - Sept
4 - Oct
4 - Nov
4 - Dec
1.5 - Jan
4 - Feb")</f>
        <v>4 - March
4 - April
4 - May
4 - June
4 - July
4 - Aug
4 - Sept
4 - Oct
4 - Nov
4 - Dec
1.5 - Jan
4 -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18</v>
      </c>
      <c r="X3" s="7">
        <f>W3/D3</f>
        <v>6.2068965517241378E-2</v>
      </c>
      <c r="Y3" s="6"/>
      <c r="Z3" s="5"/>
      <c r="AA3" s="5"/>
      <c r="AB3" s="5"/>
      <c r="AC3" s="5"/>
      <c r="AD3" s="6">
        <f>SUM(AD4:AD99765)</f>
        <v>-75.252134120422937</v>
      </c>
      <c r="AE3" s="6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Info!B2:BZ3000""),37,FALSE)),"""")*-1"),-12.7926966)</f>
        <v>-12.792696599999999</v>
      </c>
      <c r="AG3" s="6">
        <f>SUM(AG4:AG99765)</f>
        <v>0</v>
      </c>
    </row>
    <row r="4" spans="1:33" ht="15.75" customHeight="1">
      <c r="A4" s="14" t="s">
        <v>181</v>
      </c>
      <c r="B4" s="14" t="s">
        <v>260</v>
      </c>
      <c r="C4" s="15">
        <f t="shared" ref="C4:C32" si="4">IFERROR(F4/D4," - ")</f>
        <v>69.989999999999995</v>
      </c>
      <c r="D4" s="16">
        <v>9</v>
      </c>
      <c r="E4" s="16">
        <v>0</v>
      </c>
      <c r="F4" s="17">
        <v>629.91</v>
      </c>
      <c r="G4" s="17">
        <v>-20.5</v>
      </c>
      <c r="H4" s="18">
        <f t="shared" si="1"/>
        <v>3.2544331729929675E-2</v>
      </c>
      <c r="I4" s="18">
        <f t="shared" si="2"/>
        <v>0.5281087264294777</v>
      </c>
      <c r="J4" s="17">
        <f t="shared" ref="J4:J32" si="5">F4*0.85+G4+AF4*D4+D4*AE4+AG4+AD4</f>
        <v>332.66096786519228</v>
      </c>
      <c r="K4" s="17">
        <f t="shared" si="3"/>
        <v>36.962329762799143</v>
      </c>
      <c r="L4" s="16">
        <v>54</v>
      </c>
      <c r="M4" s="19">
        <f t="shared" ref="M4:M32" si="6">IFERROR(D4/L4,"-")</f>
        <v>0.16666666666666666</v>
      </c>
      <c r="N4" s="16">
        <v>107</v>
      </c>
      <c r="O4" s="20">
        <f t="shared" ref="O4:P4" si="7">D4/7</f>
        <v>1.2857142857142858</v>
      </c>
      <c r="P4" s="20">
        <f t="shared" si="7"/>
        <v>0</v>
      </c>
      <c r="Q4" s="16">
        <f t="shared" ref="Q4:Q32" si="8">ROUNDDOWN(N4/(O4+P4),0)</f>
        <v>83</v>
      </c>
      <c r="R4" s="16"/>
      <c r="S4" s="21">
        <v>0.302752293577981</v>
      </c>
      <c r="T4" s="14">
        <v>80</v>
      </c>
      <c r="U4" s="22" t="s">
        <v>34</v>
      </c>
      <c r="V4" s="23" t="s">
        <v>34</v>
      </c>
      <c r="W4" s="14">
        <v>1</v>
      </c>
      <c r="X4" s="24">
        <f t="shared" ref="X4:X32" si="9">IFERROR(W4/D4,0)</f>
        <v>0.1111111111111111</v>
      </c>
      <c r="Y4" s="25">
        <f t="shared" ref="Y4:Y32" si="10">IFERROR(G4/(W4+Z4)*-1,0)</f>
        <v>2.5625</v>
      </c>
      <c r="Z4" s="14">
        <v>7</v>
      </c>
      <c r="AA4" s="26" t="s">
        <v>35</v>
      </c>
      <c r="AB4" s="27">
        <f t="shared" ref="AB4:AB32" si="11">IF(OR(AA4="UsLargeStandardSize",AA4="UsSmallStandardSize"),-0.69,-0.48)</f>
        <v>-0.69</v>
      </c>
      <c r="AC4" s="28">
        <v>0.18802129166666667</v>
      </c>
      <c r="AD4" s="25">
        <f t="shared" ref="AD4:AD32" si="12">IFERROR(AB4*AC4*D4*2,0)</f>
        <v>-2.3352244424999999</v>
      </c>
      <c r="AE4" s="25">
        <v>-6.56</v>
      </c>
      <c r="AF4" s="25">
        <v>-13.431923076923077</v>
      </c>
      <c r="AG4" s="25">
        <v>0</v>
      </c>
    </row>
    <row r="5" spans="1:33" ht="15.75" customHeight="1">
      <c r="A5" s="14" t="s">
        <v>183</v>
      </c>
      <c r="B5" s="14" t="s">
        <v>66</v>
      </c>
      <c r="C5" s="15">
        <f t="shared" si="4"/>
        <v>69.989999999999995</v>
      </c>
      <c r="D5" s="16">
        <v>20</v>
      </c>
      <c r="E5" s="16">
        <v>0</v>
      </c>
      <c r="F5" s="29">
        <v>1399.8</v>
      </c>
      <c r="G5" s="29">
        <v>-32.379999999999995</v>
      </c>
      <c r="H5" s="18">
        <f t="shared" si="1"/>
        <v>2.3131875982283182E-2</v>
      </c>
      <c r="I5" s="18">
        <f t="shared" si="2"/>
        <v>0.5375168864238572</v>
      </c>
      <c r="J5" s="17">
        <f t="shared" si="5"/>
        <v>752.41613761611529</v>
      </c>
      <c r="K5" s="17">
        <f t="shared" si="3"/>
        <v>37.620806880805766</v>
      </c>
      <c r="L5" s="16">
        <v>66</v>
      </c>
      <c r="M5" s="19">
        <f t="shared" si="6"/>
        <v>0.30303030303030304</v>
      </c>
      <c r="N5" s="16">
        <v>83</v>
      </c>
      <c r="O5" s="20">
        <f t="shared" ref="O5:P5" si="13">D5/7</f>
        <v>2.8571428571428572</v>
      </c>
      <c r="P5" s="20">
        <f t="shared" si="13"/>
        <v>0</v>
      </c>
      <c r="Q5" s="16">
        <f t="shared" si="8"/>
        <v>29</v>
      </c>
      <c r="R5" s="16"/>
      <c r="S5" s="21">
        <v>0.96296296296296202</v>
      </c>
      <c r="T5" s="14">
        <v>80</v>
      </c>
      <c r="U5" s="22" t="s">
        <v>34</v>
      </c>
      <c r="V5" s="23" t="s">
        <v>34</v>
      </c>
      <c r="W5" s="14">
        <v>3</v>
      </c>
      <c r="X5" s="24">
        <f t="shared" si="9"/>
        <v>0.15</v>
      </c>
      <c r="Y5" s="25">
        <f t="shared" si="10"/>
        <v>2.9436363636363634</v>
      </c>
      <c r="Z5" s="14">
        <v>8</v>
      </c>
      <c r="AA5" s="14" t="s">
        <v>35</v>
      </c>
      <c r="AB5" s="27">
        <f t="shared" si="11"/>
        <v>-0.69</v>
      </c>
      <c r="AC5" s="28">
        <v>0.18823916106604868</v>
      </c>
      <c r="AD5" s="25">
        <f t="shared" si="12"/>
        <v>-5.1954008454229426</v>
      </c>
      <c r="AE5" s="25">
        <v>-6.56</v>
      </c>
      <c r="AF5" s="25">
        <v>-13.431923076923077</v>
      </c>
      <c r="AG5" s="25">
        <v>0</v>
      </c>
    </row>
    <row r="6" spans="1:33" ht="15.75" customHeight="1">
      <c r="A6" s="14" t="s">
        <v>185</v>
      </c>
      <c r="B6" s="14" t="s">
        <v>83</v>
      </c>
      <c r="C6" s="15">
        <f t="shared" si="4"/>
        <v>69.989999999999995</v>
      </c>
      <c r="D6" s="16">
        <v>7</v>
      </c>
      <c r="E6" s="16">
        <v>1</v>
      </c>
      <c r="F6" s="29">
        <v>489.93</v>
      </c>
      <c r="G6" s="29">
        <v>-1.5</v>
      </c>
      <c r="H6" s="18">
        <f t="shared" si="1"/>
        <v>3.06166187006307E-3</v>
      </c>
      <c r="I6" s="18">
        <f t="shared" si="2"/>
        <v>0.55759139628934429</v>
      </c>
      <c r="J6" s="17">
        <f t="shared" si="5"/>
        <v>273.18075278403848</v>
      </c>
      <c r="K6" s="17">
        <f t="shared" si="3"/>
        <v>39.025821826291214</v>
      </c>
      <c r="L6" s="16">
        <v>53</v>
      </c>
      <c r="M6" s="19">
        <f t="shared" si="6"/>
        <v>0.13207547169811321</v>
      </c>
      <c r="N6" s="16">
        <v>77</v>
      </c>
      <c r="O6" s="20">
        <f t="shared" ref="O6:P6" si="14">D6/7</f>
        <v>1</v>
      </c>
      <c r="P6" s="20">
        <f t="shared" si="14"/>
        <v>0.14285714285714285</v>
      </c>
      <c r="Q6" s="16">
        <f t="shared" si="8"/>
        <v>67</v>
      </c>
      <c r="R6" s="16"/>
      <c r="S6" s="21">
        <v>1.7831325301204799</v>
      </c>
      <c r="T6" s="14">
        <v>80</v>
      </c>
      <c r="U6" s="22" t="s">
        <v>34</v>
      </c>
      <c r="V6" s="23" t="s">
        <v>186</v>
      </c>
      <c r="W6" s="14">
        <v>0</v>
      </c>
      <c r="X6" s="24">
        <f t="shared" si="9"/>
        <v>0</v>
      </c>
      <c r="Y6" s="25">
        <f t="shared" si="10"/>
        <v>0</v>
      </c>
      <c r="Z6" s="14">
        <v>0</v>
      </c>
      <c r="AA6" s="14" t="s">
        <v>35</v>
      </c>
      <c r="AB6" s="27">
        <f t="shared" si="11"/>
        <v>-0.69</v>
      </c>
      <c r="AC6" s="28">
        <v>0.18802129166666667</v>
      </c>
      <c r="AD6" s="25">
        <f t="shared" si="12"/>
        <v>-1.8162856775</v>
      </c>
      <c r="AE6" s="25">
        <v>-6.56</v>
      </c>
      <c r="AF6" s="25">
        <v>-13.431923076923077</v>
      </c>
      <c r="AG6" s="25">
        <v>0</v>
      </c>
    </row>
    <row r="7" spans="1:33" ht="15.75" customHeight="1">
      <c r="A7" s="14" t="s">
        <v>187</v>
      </c>
      <c r="B7" s="14" t="s">
        <v>64</v>
      </c>
      <c r="C7" s="15">
        <f t="shared" si="4"/>
        <v>69.989999999999995</v>
      </c>
      <c r="D7" s="16">
        <v>4</v>
      </c>
      <c r="E7" s="16">
        <v>0</v>
      </c>
      <c r="F7" s="29">
        <v>279.95999999999998</v>
      </c>
      <c r="G7" s="29">
        <v>0</v>
      </c>
      <c r="H7" s="18">
        <f t="shared" si="1"/>
        <v>0</v>
      </c>
      <c r="I7" s="18">
        <f t="shared" si="2"/>
        <v>0.56065305815940736</v>
      </c>
      <c r="J7" s="17">
        <f t="shared" si="5"/>
        <v>156.96043016230766</v>
      </c>
      <c r="K7" s="17">
        <f t="shared" si="3"/>
        <v>39.240107540576915</v>
      </c>
      <c r="L7" s="16">
        <v>34</v>
      </c>
      <c r="M7" s="19">
        <f t="shared" si="6"/>
        <v>0.11764705882352941</v>
      </c>
      <c r="N7" s="16">
        <v>75</v>
      </c>
      <c r="O7" s="20">
        <f t="shared" ref="O7:P7" si="15">D7/7</f>
        <v>0.5714285714285714</v>
      </c>
      <c r="P7" s="20">
        <f t="shared" si="15"/>
        <v>0</v>
      </c>
      <c r="Q7" s="16">
        <f t="shared" si="8"/>
        <v>131</v>
      </c>
      <c r="R7" s="16"/>
      <c r="S7" s="21">
        <v>0.904522613065326</v>
      </c>
      <c r="T7" s="14">
        <v>80</v>
      </c>
      <c r="U7" s="22">
        <v>80</v>
      </c>
      <c r="V7" s="23" t="s">
        <v>261</v>
      </c>
      <c r="W7" s="14">
        <v>0</v>
      </c>
      <c r="X7" s="24">
        <f t="shared" si="9"/>
        <v>0</v>
      </c>
      <c r="Y7" s="25">
        <f t="shared" si="10"/>
        <v>0</v>
      </c>
      <c r="Z7" s="14">
        <v>0</v>
      </c>
      <c r="AA7" s="14" t="s">
        <v>35</v>
      </c>
      <c r="AB7" s="27">
        <f t="shared" si="11"/>
        <v>-0.69</v>
      </c>
      <c r="AC7" s="28">
        <v>0.18802129166666667</v>
      </c>
      <c r="AD7" s="25">
        <f t="shared" si="12"/>
        <v>-1.03787753</v>
      </c>
      <c r="AE7" s="25">
        <v>-6.56</v>
      </c>
      <c r="AF7" s="25">
        <v>-13.431923076923077</v>
      </c>
      <c r="AG7" s="25">
        <v>0</v>
      </c>
    </row>
    <row r="8" spans="1:33" ht="15.75" customHeight="1">
      <c r="A8" s="14" t="s">
        <v>189</v>
      </c>
      <c r="B8" s="14" t="s">
        <v>262</v>
      </c>
      <c r="C8" s="15">
        <f t="shared" si="4"/>
        <v>69.989999999999995</v>
      </c>
      <c r="D8" s="16">
        <v>8</v>
      </c>
      <c r="E8" s="16">
        <v>0</v>
      </c>
      <c r="F8" s="29">
        <v>559.91999999999996</v>
      </c>
      <c r="G8" s="29">
        <v>-35.520000000000003</v>
      </c>
      <c r="H8" s="18">
        <f t="shared" si="1"/>
        <v>6.3437633947706823E-2</v>
      </c>
      <c r="I8" s="18">
        <f t="shared" si="2"/>
        <v>0.49724290066438059</v>
      </c>
      <c r="J8" s="17">
        <f t="shared" si="5"/>
        <v>278.41624493999996</v>
      </c>
      <c r="K8" s="17">
        <f t="shared" si="3"/>
        <v>34.802030617499994</v>
      </c>
      <c r="L8" s="16">
        <v>37</v>
      </c>
      <c r="M8" s="19">
        <f t="shared" si="6"/>
        <v>0.21621621621621623</v>
      </c>
      <c r="N8" s="16">
        <v>66</v>
      </c>
      <c r="O8" s="20">
        <f t="shared" ref="O8:P8" si="16">D8/7</f>
        <v>1.1428571428571428</v>
      </c>
      <c r="P8" s="20">
        <f t="shared" si="16"/>
        <v>0</v>
      </c>
      <c r="Q8" s="16">
        <f t="shared" si="8"/>
        <v>57</v>
      </c>
      <c r="R8" s="16"/>
      <c r="S8" s="21">
        <v>1.2045454545454499</v>
      </c>
      <c r="T8" s="14">
        <v>80</v>
      </c>
      <c r="U8" s="22">
        <v>80</v>
      </c>
      <c r="V8" s="23" t="s">
        <v>263</v>
      </c>
      <c r="W8" s="14">
        <v>0</v>
      </c>
      <c r="X8" s="24">
        <f t="shared" si="9"/>
        <v>0</v>
      </c>
      <c r="Y8" s="25">
        <f t="shared" si="10"/>
        <v>2.9600000000000004</v>
      </c>
      <c r="Z8" s="14">
        <v>12</v>
      </c>
      <c r="AA8" s="14" t="s">
        <v>35</v>
      </c>
      <c r="AB8" s="27">
        <f t="shared" si="11"/>
        <v>-0.69</v>
      </c>
      <c r="AC8" s="28">
        <v>0.18802129166666667</v>
      </c>
      <c r="AD8" s="25">
        <f t="shared" si="12"/>
        <v>-2.0757550600000001</v>
      </c>
      <c r="AE8" s="25">
        <v>-6.56</v>
      </c>
      <c r="AF8" s="25">
        <v>-13.43</v>
      </c>
      <c r="AG8" s="25">
        <v>0</v>
      </c>
    </row>
    <row r="9" spans="1:33" ht="15.75" customHeight="1">
      <c r="A9" s="14" t="s">
        <v>191</v>
      </c>
      <c r="B9" s="14" t="s">
        <v>264</v>
      </c>
      <c r="C9" s="15">
        <f t="shared" si="4"/>
        <v>64.36</v>
      </c>
      <c r="D9" s="16">
        <v>1</v>
      </c>
      <c r="E9" s="16">
        <v>0</v>
      </c>
      <c r="F9" s="29">
        <v>64.36</v>
      </c>
      <c r="G9" s="29">
        <v>-29.85</v>
      </c>
      <c r="H9" s="18">
        <f t="shared" si="1"/>
        <v>0.46379738968303297</v>
      </c>
      <c r="I9" s="18">
        <f t="shared" si="2"/>
        <v>6.7797602461514839E-2</v>
      </c>
      <c r="J9" s="17">
        <f t="shared" si="5"/>
        <v>4.3634536944230948</v>
      </c>
      <c r="K9" s="17">
        <f t="shared" si="3"/>
        <v>4.3634536944230948</v>
      </c>
      <c r="L9" s="16">
        <v>62</v>
      </c>
      <c r="M9" s="19">
        <f t="shared" si="6"/>
        <v>1.6129032258064516E-2</v>
      </c>
      <c r="N9" s="16">
        <v>64</v>
      </c>
      <c r="O9" s="20">
        <f t="shared" ref="O9:P9" si="17">D9/7</f>
        <v>0.14285714285714285</v>
      </c>
      <c r="P9" s="20">
        <f t="shared" si="17"/>
        <v>0</v>
      </c>
      <c r="Q9" s="16">
        <f t="shared" si="8"/>
        <v>448</v>
      </c>
      <c r="R9" s="16"/>
      <c r="S9" s="21">
        <v>1.6231884057971</v>
      </c>
      <c r="T9" s="14">
        <v>80</v>
      </c>
      <c r="U9" s="22">
        <v>80</v>
      </c>
      <c r="V9" s="23" t="s">
        <v>265</v>
      </c>
      <c r="W9" s="14">
        <v>0</v>
      </c>
      <c r="X9" s="24">
        <f t="shared" si="9"/>
        <v>0</v>
      </c>
      <c r="Y9" s="25">
        <f t="shared" si="10"/>
        <v>1.7558823529411764</v>
      </c>
      <c r="Z9" s="14">
        <v>17</v>
      </c>
      <c r="AA9" s="14" t="s">
        <v>35</v>
      </c>
      <c r="AB9" s="27">
        <f t="shared" si="11"/>
        <v>-0.69</v>
      </c>
      <c r="AC9" s="28">
        <v>0.18802129166666667</v>
      </c>
      <c r="AD9" s="25">
        <f t="shared" si="12"/>
        <v>-0.25946938250000001</v>
      </c>
      <c r="AE9" s="25">
        <v>-6.56</v>
      </c>
      <c r="AF9" s="25">
        <v>-13.6730769230769</v>
      </c>
      <c r="AG9" s="25">
        <v>0</v>
      </c>
    </row>
    <row r="10" spans="1:33" ht="15.75" customHeight="1">
      <c r="A10" s="14" t="s">
        <v>192</v>
      </c>
      <c r="B10" s="14" t="s">
        <v>266</v>
      </c>
      <c r="C10" s="15">
        <f t="shared" si="4"/>
        <v>41.505151515151496</v>
      </c>
      <c r="D10" s="16">
        <v>33</v>
      </c>
      <c r="E10" s="16">
        <v>0</v>
      </c>
      <c r="F10" s="29">
        <v>1369.6699999999994</v>
      </c>
      <c r="G10" s="29">
        <v>-37.57</v>
      </c>
      <c r="H10" s="18">
        <f t="shared" si="1"/>
        <v>2.7429964882051894E-2</v>
      </c>
      <c r="I10" s="18">
        <f t="shared" si="2"/>
        <v>0.32883502735400649</v>
      </c>
      <c r="J10" s="17">
        <f t="shared" si="5"/>
        <v>450.39547191596188</v>
      </c>
      <c r="K10" s="17">
        <f t="shared" si="3"/>
        <v>13.648347633817027</v>
      </c>
      <c r="L10" s="16">
        <v>91</v>
      </c>
      <c r="M10" s="19">
        <f t="shared" si="6"/>
        <v>0.36263736263736263</v>
      </c>
      <c r="N10" s="16">
        <v>37</v>
      </c>
      <c r="O10" s="20">
        <f t="shared" ref="O10:P10" si="18">D10/7</f>
        <v>4.7142857142857144</v>
      </c>
      <c r="P10" s="20">
        <f t="shared" si="18"/>
        <v>0</v>
      </c>
      <c r="Q10" s="16">
        <f t="shared" si="8"/>
        <v>7</v>
      </c>
      <c r="R10" s="16"/>
      <c r="S10" s="21">
        <v>2.2945736434108501</v>
      </c>
      <c r="T10" s="14">
        <v>180</v>
      </c>
      <c r="U10" s="22">
        <v>80</v>
      </c>
      <c r="V10" s="23" t="s">
        <v>267</v>
      </c>
      <c r="W10" s="14">
        <v>13</v>
      </c>
      <c r="X10" s="24">
        <f t="shared" si="9"/>
        <v>0.39393939393939392</v>
      </c>
      <c r="Y10" s="25">
        <f t="shared" si="10"/>
        <v>1.5027999999999999</v>
      </c>
      <c r="Z10" s="14">
        <v>12</v>
      </c>
      <c r="AA10" s="14" t="s">
        <v>35</v>
      </c>
      <c r="AB10" s="27">
        <f t="shared" si="11"/>
        <v>-0.69</v>
      </c>
      <c r="AC10" s="28">
        <v>0.18802129166666667</v>
      </c>
      <c r="AD10" s="25">
        <f t="shared" si="12"/>
        <v>-8.5624896225000011</v>
      </c>
      <c r="AE10" s="25">
        <v>-6.56</v>
      </c>
      <c r="AF10" s="25">
        <v>-13.6730769230769</v>
      </c>
      <c r="AG10" s="25">
        <v>0</v>
      </c>
    </row>
    <row r="11" spans="1:33" ht="15.75" customHeight="1">
      <c r="A11" s="14" t="s">
        <v>193</v>
      </c>
      <c r="B11" s="14" t="s">
        <v>268</v>
      </c>
      <c r="C11" s="15">
        <f t="shared" si="4"/>
        <v>42.508888888888862</v>
      </c>
      <c r="D11" s="16">
        <v>27</v>
      </c>
      <c r="E11" s="16">
        <v>1</v>
      </c>
      <c r="F11" s="29">
        <v>1147.7399999999993</v>
      </c>
      <c r="G11" s="29">
        <v>-4.07</v>
      </c>
      <c r="H11" s="18">
        <f t="shared" si="1"/>
        <v>3.5460992907801444E-3</v>
      </c>
      <c r="I11" s="18">
        <f t="shared" si="2"/>
        <v>0.3643771670843774</v>
      </c>
      <c r="J11" s="17">
        <f t="shared" si="5"/>
        <v>418.2102497494231</v>
      </c>
      <c r="K11" s="17">
        <f t="shared" si="3"/>
        <v>15.489268509237892</v>
      </c>
      <c r="L11" s="16">
        <v>55</v>
      </c>
      <c r="M11" s="19">
        <f t="shared" si="6"/>
        <v>0.49090909090909091</v>
      </c>
      <c r="N11" s="16">
        <v>9</v>
      </c>
      <c r="O11" s="20">
        <f t="shared" ref="O11:P11" si="19">D11/7</f>
        <v>3.8571428571428572</v>
      </c>
      <c r="P11" s="20">
        <f t="shared" si="19"/>
        <v>0.14285714285714285</v>
      </c>
      <c r="Q11" s="16">
        <f t="shared" si="8"/>
        <v>2</v>
      </c>
      <c r="R11" s="16"/>
      <c r="S11" s="21">
        <v>2.0943396226414999</v>
      </c>
      <c r="T11" s="14">
        <v>280</v>
      </c>
      <c r="U11" s="22">
        <v>80</v>
      </c>
      <c r="V11" s="23" t="s">
        <v>269</v>
      </c>
      <c r="W11" s="14">
        <v>1</v>
      </c>
      <c r="X11" s="24">
        <f t="shared" si="9"/>
        <v>3.7037037037037035E-2</v>
      </c>
      <c r="Y11" s="25">
        <f t="shared" si="10"/>
        <v>4.07</v>
      </c>
      <c r="Z11" s="14">
        <v>0</v>
      </c>
      <c r="AA11" s="14" t="s">
        <v>35</v>
      </c>
      <c r="AB11" s="27">
        <f t="shared" si="11"/>
        <v>-0.69</v>
      </c>
      <c r="AC11" s="28">
        <v>0.18802129166666667</v>
      </c>
      <c r="AD11" s="25">
        <f t="shared" si="12"/>
        <v>-7.0056733275000003</v>
      </c>
      <c r="AE11" s="25">
        <v>-6.56</v>
      </c>
      <c r="AF11" s="25">
        <v>-13.6730769230769</v>
      </c>
      <c r="AG11" s="25">
        <v>0</v>
      </c>
    </row>
    <row r="12" spans="1:33" ht="15.75" customHeight="1">
      <c r="A12" s="14" t="s">
        <v>195</v>
      </c>
      <c r="B12" s="14" t="s">
        <v>45</v>
      </c>
      <c r="C12" s="15">
        <f t="shared" si="4"/>
        <v>44.864000000000004</v>
      </c>
      <c r="D12" s="16">
        <v>5</v>
      </c>
      <c r="E12" s="16">
        <v>0</v>
      </c>
      <c r="F12" s="29">
        <v>224.32000000000002</v>
      </c>
      <c r="G12" s="29">
        <v>0</v>
      </c>
      <c r="H12" s="18">
        <f t="shared" si="1"/>
        <v>0</v>
      </c>
      <c r="I12" s="18">
        <f t="shared" si="2"/>
        <v>0.39322962050693439</v>
      </c>
      <c r="J12" s="17">
        <f t="shared" si="5"/>
        <v>88.209268472115525</v>
      </c>
      <c r="K12" s="17">
        <f t="shared" si="3"/>
        <v>17.641853694423105</v>
      </c>
      <c r="L12" s="16">
        <v>20</v>
      </c>
      <c r="M12" s="19">
        <f t="shared" si="6"/>
        <v>0.25</v>
      </c>
      <c r="N12" s="16">
        <v>0</v>
      </c>
      <c r="O12" s="20">
        <f t="shared" ref="O12:P12" si="20">D12/7</f>
        <v>0.7142857142857143</v>
      </c>
      <c r="P12" s="20">
        <f t="shared" si="20"/>
        <v>0</v>
      </c>
      <c r="Q12" s="16">
        <f t="shared" si="8"/>
        <v>0</v>
      </c>
      <c r="R12" s="16"/>
      <c r="S12" s="21">
        <v>2.6666666666666599</v>
      </c>
      <c r="T12" s="14">
        <v>200</v>
      </c>
      <c r="U12" s="22" t="s">
        <v>34</v>
      </c>
      <c r="V12" s="23" t="s">
        <v>34</v>
      </c>
      <c r="W12" s="14">
        <v>0</v>
      </c>
      <c r="X12" s="24">
        <f t="shared" si="9"/>
        <v>0</v>
      </c>
      <c r="Y12" s="25">
        <f t="shared" si="10"/>
        <v>0</v>
      </c>
      <c r="Z12" s="14">
        <v>0</v>
      </c>
      <c r="AA12" s="14" t="s">
        <v>35</v>
      </c>
      <c r="AB12" s="27">
        <f t="shared" si="11"/>
        <v>-0.69</v>
      </c>
      <c r="AC12" s="28">
        <v>0.18802129166666667</v>
      </c>
      <c r="AD12" s="25">
        <f t="shared" si="12"/>
        <v>-1.2973469125000001</v>
      </c>
      <c r="AE12" s="25">
        <v>-6.56</v>
      </c>
      <c r="AF12" s="25">
        <v>-13.6730769230769</v>
      </c>
      <c r="AG12" s="25">
        <v>0</v>
      </c>
    </row>
    <row r="13" spans="1:33" ht="15.75" customHeight="1">
      <c r="A13" s="14" t="s">
        <v>197</v>
      </c>
      <c r="B13" s="14" t="s">
        <v>270</v>
      </c>
      <c r="C13" s="15">
        <f t="shared" si="4"/>
        <v>48.277272727272731</v>
      </c>
      <c r="D13" s="16">
        <v>11</v>
      </c>
      <c r="E13" s="16">
        <v>0</v>
      </c>
      <c r="F13" s="17">
        <v>531.05000000000007</v>
      </c>
      <c r="G13" s="29">
        <v>0</v>
      </c>
      <c r="H13" s="18">
        <f t="shared" si="1"/>
        <v>0</v>
      </c>
      <c r="I13" s="18">
        <f t="shared" si="2"/>
        <v>0.42289490027775162</v>
      </c>
      <c r="J13" s="17">
        <f t="shared" si="5"/>
        <v>224.57833679250004</v>
      </c>
      <c r="K13" s="17">
        <f t="shared" si="3"/>
        <v>20.416212435681821</v>
      </c>
      <c r="L13" s="16">
        <v>13</v>
      </c>
      <c r="M13" s="19">
        <f t="shared" si="6"/>
        <v>0.84615384615384615</v>
      </c>
      <c r="N13" s="16">
        <v>71</v>
      </c>
      <c r="O13" s="20">
        <f t="shared" ref="O13:P13" si="21">D13/7</f>
        <v>1.5714285714285714</v>
      </c>
      <c r="P13" s="20">
        <f t="shared" si="21"/>
        <v>0</v>
      </c>
      <c r="Q13" s="16">
        <f t="shared" si="8"/>
        <v>45</v>
      </c>
      <c r="R13" s="16"/>
      <c r="S13" s="21">
        <v>1.9137254901960701</v>
      </c>
      <c r="T13" s="14">
        <v>200</v>
      </c>
      <c r="U13" s="22" t="s">
        <v>34</v>
      </c>
      <c r="V13" s="23" t="s">
        <v>34</v>
      </c>
      <c r="W13" s="14">
        <v>0</v>
      </c>
      <c r="X13" s="24">
        <f t="shared" si="9"/>
        <v>0</v>
      </c>
      <c r="Y13" s="25">
        <f t="shared" si="10"/>
        <v>0</v>
      </c>
      <c r="Z13" s="14">
        <v>0</v>
      </c>
      <c r="AA13" s="14" t="s">
        <v>35</v>
      </c>
      <c r="AB13" s="27">
        <f t="shared" si="11"/>
        <v>-0.69</v>
      </c>
      <c r="AC13" s="28">
        <v>0.18802129166666667</v>
      </c>
      <c r="AD13" s="25">
        <f t="shared" si="12"/>
        <v>-2.8541632075000001</v>
      </c>
      <c r="AE13" s="25">
        <v>-6.56</v>
      </c>
      <c r="AF13" s="25">
        <v>-13.8</v>
      </c>
      <c r="AG13" s="25">
        <v>0</v>
      </c>
    </row>
    <row r="14" spans="1:33" ht="15.75" customHeight="1">
      <c r="A14" s="14" t="s">
        <v>32</v>
      </c>
      <c r="B14" s="14" t="s">
        <v>271</v>
      </c>
      <c r="C14" s="15">
        <f t="shared" si="4"/>
        <v>52.737647058823526</v>
      </c>
      <c r="D14" s="16">
        <v>17</v>
      </c>
      <c r="E14" s="16">
        <v>2</v>
      </c>
      <c r="F14" s="17">
        <v>896.54</v>
      </c>
      <c r="G14" s="29">
        <v>0</v>
      </c>
      <c r="H14" s="18">
        <f t="shared" si="1"/>
        <v>0</v>
      </c>
      <c r="I14" s="18">
        <f t="shared" si="2"/>
        <v>0.45901802540600528</v>
      </c>
      <c r="J14" s="17">
        <f t="shared" si="5"/>
        <v>411.52802049749994</v>
      </c>
      <c r="K14" s="17">
        <f t="shared" si="3"/>
        <v>24.207530617499998</v>
      </c>
      <c r="L14" s="16">
        <v>21</v>
      </c>
      <c r="M14" s="19">
        <f t="shared" si="6"/>
        <v>0.80952380952380953</v>
      </c>
      <c r="N14" s="16">
        <v>56</v>
      </c>
      <c r="O14" s="20">
        <f t="shared" ref="O14:P14" si="22">D14/7</f>
        <v>2.4285714285714284</v>
      </c>
      <c r="P14" s="20">
        <f t="shared" si="22"/>
        <v>0.2857142857142857</v>
      </c>
      <c r="Q14" s="16">
        <f t="shared" si="8"/>
        <v>20</v>
      </c>
      <c r="R14" s="16"/>
      <c r="S14" s="21">
        <v>3.04663212435233</v>
      </c>
      <c r="T14" s="14">
        <v>100</v>
      </c>
      <c r="U14" s="22" t="s">
        <v>34</v>
      </c>
      <c r="V14" s="23" t="s">
        <v>34</v>
      </c>
      <c r="W14" s="14">
        <v>0</v>
      </c>
      <c r="X14" s="24">
        <f t="shared" si="9"/>
        <v>0</v>
      </c>
      <c r="Y14" s="25">
        <f t="shared" si="10"/>
        <v>0</v>
      </c>
      <c r="Z14" s="14">
        <v>0</v>
      </c>
      <c r="AA14" s="14" t="s">
        <v>35</v>
      </c>
      <c r="AB14" s="27">
        <f t="shared" si="11"/>
        <v>-0.69</v>
      </c>
      <c r="AC14" s="28">
        <v>0.18802129166666667</v>
      </c>
      <c r="AD14" s="25">
        <f t="shared" si="12"/>
        <v>-4.4109795025</v>
      </c>
      <c r="AE14" s="25">
        <v>-6.56</v>
      </c>
      <c r="AF14" s="25">
        <v>-13.8</v>
      </c>
      <c r="AG14" s="25">
        <v>0</v>
      </c>
    </row>
    <row r="15" spans="1:33" ht="15.75" customHeight="1">
      <c r="A15" s="14" t="s">
        <v>36</v>
      </c>
      <c r="B15" s="14" t="s">
        <v>272</v>
      </c>
      <c r="C15" s="15">
        <f t="shared" si="4"/>
        <v>57.822500000000005</v>
      </c>
      <c r="D15" s="16">
        <v>8</v>
      </c>
      <c r="E15" s="16">
        <v>2</v>
      </c>
      <c r="F15" s="17">
        <v>462.58000000000004</v>
      </c>
      <c r="G15" s="29">
        <v>0</v>
      </c>
      <c r="H15" s="18">
        <f t="shared" si="1"/>
        <v>0</v>
      </c>
      <c r="I15" s="18">
        <f t="shared" si="2"/>
        <v>0.4934005900384798</v>
      </c>
      <c r="J15" s="17">
        <f t="shared" si="5"/>
        <v>228.23724494000001</v>
      </c>
      <c r="K15" s="17">
        <f t="shared" si="3"/>
        <v>28.529655617500001</v>
      </c>
      <c r="L15" s="16">
        <v>29</v>
      </c>
      <c r="M15" s="19">
        <f t="shared" si="6"/>
        <v>0.27586206896551724</v>
      </c>
      <c r="N15" s="16">
        <v>44</v>
      </c>
      <c r="O15" s="20">
        <f t="shared" ref="O15:P15" si="23">D15/7</f>
        <v>1.1428571428571428</v>
      </c>
      <c r="P15" s="20">
        <f t="shared" si="23"/>
        <v>0.2857142857142857</v>
      </c>
      <c r="Q15" s="16">
        <f t="shared" si="8"/>
        <v>30</v>
      </c>
      <c r="R15" s="16"/>
      <c r="S15" s="21">
        <v>2.4090909090908998</v>
      </c>
      <c r="T15" s="14">
        <v>100</v>
      </c>
      <c r="U15" s="22" t="s">
        <v>34</v>
      </c>
      <c r="V15" s="23" t="s">
        <v>34</v>
      </c>
      <c r="W15" s="14">
        <v>0</v>
      </c>
      <c r="X15" s="24">
        <f t="shared" si="9"/>
        <v>0</v>
      </c>
      <c r="Y15" s="25">
        <f t="shared" si="10"/>
        <v>0</v>
      </c>
      <c r="Z15" s="14">
        <v>0</v>
      </c>
      <c r="AA15" s="14" t="s">
        <v>35</v>
      </c>
      <c r="AB15" s="27">
        <f t="shared" si="11"/>
        <v>-0.69</v>
      </c>
      <c r="AC15" s="28">
        <v>0.18802129166666667</v>
      </c>
      <c r="AD15" s="25">
        <f t="shared" si="12"/>
        <v>-2.0757550600000001</v>
      </c>
      <c r="AE15" s="25">
        <v>-6.56</v>
      </c>
      <c r="AF15" s="25">
        <v>-13.8</v>
      </c>
      <c r="AG15" s="25">
        <v>0</v>
      </c>
    </row>
    <row r="16" spans="1:33" ht="15.75" customHeight="1">
      <c r="A16" s="14" t="s">
        <v>38</v>
      </c>
      <c r="B16" s="14" t="s">
        <v>68</v>
      </c>
      <c r="C16" s="15">
        <f t="shared" si="4"/>
        <v>64.64</v>
      </c>
      <c r="D16" s="16">
        <v>6</v>
      </c>
      <c r="E16" s="16">
        <v>0</v>
      </c>
      <c r="F16" s="17">
        <v>387.84000000000003</v>
      </c>
      <c r="G16" s="29">
        <v>0</v>
      </c>
      <c r="H16" s="18">
        <f t="shared" si="1"/>
        <v>0</v>
      </c>
      <c r="I16" s="18">
        <f t="shared" si="2"/>
        <v>0.53101068405785889</v>
      </c>
      <c r="J16" s="17">
        <f t="shared" si="5"/>
        <v>205.94718370500001</v>
      </c>
      <c r="K16" s="17">
        <f t="shared" si="3"/>
        <v>34.324530617500002</v>
      </c>
      <c r="L16" s="16">
        <v>37</v>
      </c>
      <c r="M16" s="19">
        <f t="shared" si="6"/>
        <v>0.16216216216216217</v>
      </c>
      <c r="N16" s="16">
        <v>39</v>
      </c>
      <c r="O16" s="20">
        <f t="shared" ref="O16:P16" si="24">D16/7</f>
        <v>0.8571428571428571</v>
      </c>
      <c r="P16" s="20">
        <f t="shared" si="24"/>
        <v>0</v>
      </c>
      <c r="Q16" s="16">
        <f t="shared" si="8"/>
        <v>45</v>
      </c>
      <c r="R16" s="16"/>
      <c r="S16" s="21">
        <v>2.76394849785407</v>
      </c>
      <c r="T16" s="14">
        <v>100</v>
      </c>
      <c r="U16" s="22" t="s">
        <v>34</v>
      </c>
      <c r="V16" s="23" t="s">
        <v>34</v>
      </c>
      <c r="W16" s="14">
        <v>0</v>
      </c>
      <c r="X16" s="24">
        <f t="shared" si="9"/>
        <v>0</v>
      </c>
      <c r="Y16" s="25">
        <f t="shared" si="10"/>
        <v>0</v>
      </c>
      <c r="Z16" s="14">
        <v>0</v>
      </c>
      <c r="AA16" s="14" t="s">
        <v>35</v>
      </c>
      <c r="AB16" s="27">
        <f t="shared" si="11"/>
        <v>-0.69</v>
      </c>
      <c r="AC16" s="28">
        <v>0.18802129166666667</v>
      </c>
      <c r="AD16" s="25">
        <f t="shared" si="12"/>
        <v>-1.556816295</v>
      </c>
      <c r="AE16" s="25">
        <v>-6.56</v>
      </c>
      <c r="AF16" s="25">
        <v>-13.8</v>
      </c>
      <c r="AG16" s="25">
        <v>0</v>
      </c>
    </row>
    <row r="17" spans="1:33" ht="15.75" customHeight="1">
      <c r="A17" s="14" t="s">
        <v>40</v>
      </c>
      <c r="B17" s="14" t="s">
        <v>273</v>
      </c>
      <c r="C17" s="15">
        <f t="shared" si="4"/>
        <v>65.188000000000017</v>
      </c>
      <c r="D17" s="16">
        <v>5</v>
      </c>
      <c r="E17" s="16">
        <v>0</v>
      </c>
      <c r="F17" s="17">
        <v>325.94000000000005</v>
      </c>
      <c r="G17" s="29">
        <v>0</v>
      </c>
      <c r="H17" s="18">
        <f t="shared" si="1"/>
        <v>0</v>
      </c>
      <c r="I17" s="18">
        <f t="shared" si="2"/>
        <v>0.53369225344388538</v>
      </c>
      <c r="J17" s="17">
        <f t="shared" si="5"/>
        <v>173.95165308750003</v>
      </c>
      <c r="K17" s="17">
        <f t="shared" si="3"/>
        <v>34.790330617500004</v>
      </c>
      <c r="L17" s="16">
        <v>25</v>
      </c>
      <c r="M17" s="19">
        <f t="shared" si="6"/>
        <v>0.2</v>
      </c>
      <c r="N17" s="16">
        <v>29</v>
      </c>
      <c r="O17" s="20">
        <f t="shared" ref="O17:P17" si="25">D17/7</f>
        <v>0.7142857142857143</v>
      </c>
      <c r="P17" s="20">
        <f t="shared" si="25"/>
        <v>0</v>
      </c>
      <c r="Q17" s="16">
        <f t="shared" si="8"/>
        <v>40</v>
      </c>
      <c r="R17" s="16"/>
      <c r="S17" s="21">
        <v>2.23157894736842</v>
      </c>
      <c r="T17" s="14">
        <v>100</v>
      </c>
      <c r="U17" s="22" t="s">
        <v>34</v>
      </c>
      <c r="V17" s="23" t="s">
        <v>34</v>
      </c>
      <c r="W17" s="14">
        <v>0</v>
      </c>
      <c r="X17" s="24">
        <f t="shared" si="9"/>
        <v>0</v>
      </c>
      <c r="Y17" s="25">
        <f t="shared" si="10"/>
        <v>0</v>
      </c>
      <c r="Z17" s="14">
        <v>0</v>
      </c>
      <c r="AA17" s="14" t="s">
        <v>35</v>
      </c>
      <c r="AB17" s="27">
        <f t="shared" si="11"/>
        <v>-0.69</v>
      </c>
      <c r="AC17" s="28">
        <v>0.18802129166666667</v>
      </c>
      <c r="AD17" s="25">
        <f t="shared" si="12"/>
        <v>-1.2973469125000001</v>
      </c>
      <c r="AE17" s="25">
        <v>-6.56</v>
      </c>
      <c r="AF17" s="25">
        <v>-13.8</v>
      </c>
      <c r="AG17" s="25">
        <v>0</v>
      </c>
    </row>
    <row r="18" spans="1:33" ht="15.75" customHeight="1">
      <c r="A18" s="14" t="s">
        <v>42</v>
      </c>
      <c r="B18" s="14" t="s">
        <v>274</v>
      </c>
      <c r="C18" s="15">
        <f t="shared" si="4"/>
        <v>64.19</v>
      </c>
      <c r="D18" s="16">
        <v>1</v>
      </c>
      <c r="E18" s="16">
        <v>0</v>
      </c>
      <c r="F18" s="17">
        <v>64.19</v>
      </c>
      <c r="G18" s="29">
        <v>0</v>
      </c>
      <c r="H18" s="18">
        <f t="shared" si="1"/>
        <v>0</v>
      </c>
      <c r="I18" s="18">
        <f t="shared" si="2"/>
        <v>0.52877442931141916</v>
      </c>
      <c r="J18" s="17">
        <f t="shared" si="5"/>
        <v>33.942030617499995</v>
      </c>
      <c r="K18" s="17">
        <f t="shared" si="3"/>
        <v>33.942030617499995</v>
      </c>
      <c r="L18" s="16">
        <v>40</v>
      </c>
      <c r="M18" s="19">
        <f t="shared" si="6"/>
        <v>2.5000000000000001E-2</v>
      </c>
      <c r="N18" s="16">
        <v>28</v>
      </c>
      <c r="O18" s="20">
        <f t="shared" ref="O18:P18" si="26">D18/7</f>
        <v>0.14285714285714285</v>
      </c>
      <c r="P18" s="20">
        <f t="shared" si="26"/>
        <v>0</v>
      </c>
      <c r="Q18" s="16">
        <f t="shared" si="8"/>
        <v>196</v>
      </c>
      <c r="R18" s="16"/>
      <c r="S18" s="21">
        <v>2.4576271186440599</v>
      </c>
      <c r="T18" s="14">
        <v>200</v>
      </c>
      <c r="U18" s="22">
        <v>0</v>
      </c>
      <c r="V18" s="23" t="s">
        <v>275</v>
      </c>
      <c r="W18" s="14">
        <v>0</v>
      </c>
      <c r="X18" s="24">
        <f t="shared" si="9"/>
        <v>0</v>
      </c>
      <c r="Y18" s="25">
        <f t="shared" si="10"/>
        <v>0</v>
      </c>
      <c r="Z18" s="14">
        <v>0</v>
      </c>
      <c r="AA18" s="14" t="s">
        <v>35</v>
      </c>
      <c r="AB18" s="27">
        <f t="shared" si="11"/>
        <v>-0.69</v>
      </c>
      <c r="AC18" s="28">
        <v>0.18802129166666667</v>
      </c>
      <c r="AD18" s="25">
        <f t="shared" si="12"/>
        <v>-0.25946938250000001</v>
      </c>
      <c r="AE18" s="25">
        <v>-6.56</v>
      </c>
      <c r="AF18" s="25">
        <v>-13.8</v>
      </c>
      <c r="AG18" s="25">
        <v>0</v>
      </c>
    </row>
    <row r="19" spans="1:33" ht="15.75" customHeight="1">
      <c r="A19" s="14" t="s">
        <v>44</v>
      </c>
      <c r="B19" s="14" t="s">
        <v>276</v>
      </c>
      <c r="C19" s="15">
        <f t="shared" si="4"/>
        <v>61.56</v>
      </c>
      <c r="D19" s="16">
        <v>1</v>
      </c>
      <c r="E19" s="16">
        <v>0</v>
      </c>
      <c r="F19" s="17">
        <v>61.56</v>
      </c>
      <c r="G19" s="29">
        <v>0</v>
      </c>
      <c r="H19" s="18">
        <f t="shared" si="1"/>
        <v>0</v>
      </c>
      <c r="I19" s="18">
        <f t="shared" si="2"/>
        <v>0.50464637130441847</v>
      </c>
      <c r="J19" s="17">
        <f t="shared" si="5"/>
        <v>31.066030617500001</v>
      </c>
      <c r="K19" s="17">
        <f t="shared" si="3"/>
        <v>31.066030617500001</v>
      </c>
      <c r="L19" s="16">
        <v>27</v>
      </c>
      <c r="M19" s="19">
        <f t="shared" si="6"/>
        <v>3.7037037037037035E-2</v>
      </c>
      <c r="N19" s="16">
        <v>28</v>
      </c>
      <c r="O19" s="20">
        <f t="shared" ref="O19:P19" si="27">D19/7</f>
        <v>0.14285714285714285</v>
      </c>
      <c r="P19" s="20">
        <f t="shared" si="27"/>
        <v>0</v>
      </c>
      <c r="Q19" s="16">
        <f t="shared" si="8"/>
        <v>196</v>
      </c>
      <c r="R19" s="16"/>
      <c r="S19" s="21">
        <v>2.7537688442211001</v>
      </c>
      <c r="T19" s="14">
        <v>200</v>
      </c>
      <c r="U19" s="22">
        <v>100</v>
      </c>
      <c r="V19" s="23" t="s">
        <v>277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14" t="s">
        <v>35</v>
      </c>
      <c r="AB19" s="27">
        <f t="shared" si="11"/>
        <v>-0.69</v>
      </c>
      <c r="AC19" s="28">
        <v>0.18802129166666667</v>
      </c>
      <c r="AD19" s="25">
        <f t="shared" si="12"/>
        <v>-0.25946938250000001</v>
      </c>
      <c r="AE19" s="25">
        <v>-6.56</v>
      </c>
      <c r="AF19" s="25">
        <v>-14.440500000000002</v>
      </c>
      <c r="AG19" s="25">
        <v>0</v>
      </c>
    </row>
    <row r="20" spans="1:33" ht="15.75" customHeight="1">
      <c r="A20" s="14" t="s">
        <v>46</v>
      </c>
      <c r="B20" s="14" t="s">
        <v>278</v>
      </c>
      <c r="C20" s="15">
        <f t="shared" si="4"/>
        <v>57.943333333333335</v>
      </c>
      <c r="D20" s="16">
        <v>12</v>
      </c>
      <c r="E20" s="16">
        <v>1</v>
      </c>
      <c r="F20" s="17">
        <v>695.32</v>
      </c>
      <c r="G20" s="29">
        <v>0</v>
      </c>
      <c r="H20" s="18">
        <f t="shared" si="1"/>
        <v>0</v>
      </c>
      <c r="I20" s="18">
        <f t="shared" si="2"/>
        <v>0.48309032878386921</v>
      </c>
      <c r="J20" s="17">
        <f t="shared" si="5"/>
        <v>335.90236740999995</v>
      </c>
      <c r="K20" s="17">
        <f t="shared" si="3"/>
        <v>27.991863950833331</v>
      </c>
      <c r="L20" s="16">
        <v>29</v>
      </c>
      <c r="M20" s="19">
        <f t="shared" si="6"/>
        <v>0.41379310344827586</v>
      </c>
      <c r="N20" s="16">
        <v>17</v>
      </c>
      <c r="O20" s="20">
        <f t="shared" ref="O20:P20" si="28">D20/7</f>
        <v>1.7142857142857142</v>
      </c>
      <c r="P20" s="20">
        <f t="shared" si="28"/>
        <v>0.14285714285714285</v>
      </c>
      <c r="Q20" s="16">
        <f t="shared" si="8"/>
        <v>9</v>
      </c>
      <c r="R20" s="16"/>
      <c r="S20" s="21">
        <v>3.5324675324675301</v>
      </c>
      <c r="T20" s="14">
        <v>200</v>
      </c>
      <c r="U20" s="22">
        <v>100</v>
      </c>
      <c r="V20" s="23" t="s">
        <v>279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14" t="s">
        <v>35</v>
      </c>
      <c r="AB20" s="27">
        <f t="shared" si="11"/>
        <v>-0.69</v>
      </c>
      <c r="AC20" s="28">
        <v>0.18802129166666667</v>
      </c>
      <c r="AD20" s="25">
        <f t="shared" si="12"/>
        <v>-3.1136325899999999</v>
      </c>
      <c r="AE20" s="25">
        <v>-6.56</v>
      </c>
      <c r="AF20" s="25">
        <v>-14.440500000000002</v>
      </c>
      <c r="AG20" s="25">
        <v>0</v>
      </c>
    </row>
    <row r="21" spans="1:33" ht="15.75" customHeight="1">
      <c r="A21" s="14" t="s">
        <v>47</v>
      </c>
      <c r="B21" s="14" t="s">
        <v>280</v>
      </c>
      <c r="C21" s="15">
        <f t="shared" si="4"/>
        <v>59.99</v>
      </c>
      <c r="D21" s="16">
        <v>3</v>
      </c>
      <c r="E21" s="16">
        <v>0</v>
      </c>
      <c r="F21" s="17">
        <v>179.97</v>
      </c>
      <c r="G21" s="29">
        <v>0</v>
      </c>
      <c r="H21" s="18">
        <f t="shared" si="1"/>
        <v>0</v>
      </c>
      <c r="I21" s="18">
        <f t="shared" si="2"/>
        <v>0.49560811164360719</v>
      </c>
      <c r="J21" s="17">
        <f t="shared" si="5"/>
        <v>89.194591852499983</v>
      </c>
      <c r="K21" s="17">
        <f t="shared" si="3"/>
        <v>29.731530617499995</v>
      </c>
      <c r="L21" s="16">
        <v>10</v>
      </c>
      <c r="M21" s="19">
        <f t="shared" si="6"/>
        <v>0.3</v>
      </c>
      <c r="N21" s="16">
        <v>13</v>
      </c>
      <c r="O21" s="20">
        <f t="shared" ref="O21:P21" si="29">D21/7</f>
        <v>0.42857142857142855</v>
      </c>
      <c r="P21" s="20">
        <f t="shared" si="29"/>
        <v>0</v>
      </c>
      <c r="Q21" s="16">
        <f t="shared" si="8"/>
        <v>30</v>
      </c>
      <c r="R21" s="16"/>
      <c r="S21" s="21">
        <v>2.7772020725388602</v>
      </c>
      <c r="T21" s="14">
        <v>200</v>
      </c>
      <c r="U21" s="22">
        <v>100</v>
      </c>
      <c r="V21" s="23" t="s">
        <v>281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14" t="s">
        <v>35</v>
      </c>
      <c r="AB21" s="27">
        <f t="shared" si="11"/>
        <v>-0.69</v>
      </c>
      <c r="AC21" s="28">
        <v>0.18802129166666667</v>
      </c>
      <c r="AD21" s="25">
        <f t="shared" si="12"/>
        <v>-0.77840814749999998</v>
      </c>
      <c r="AE21" s="25">
        <v>-6.56</v>
      </c>
      <c r="AF21" s="25">
        <v>-14.440500000000002</v>
      </c>
      <c r="AG21" s="25">
        <v>0</v>
      </c>
    </row>
    <row r="22" spans="1:33" ht="15.75" customHeight="1">
      <c r="A22" s="14" t="s">
        <v>48</v>
      </c>
      <c r="B22" s="14" t="s">
        <v>282</v>
      </c>
      <c r="C22" s="15">
        <f t="shared" si="4"/>
        <v>60.99</v>
      </c>
      <c r="D22" s="16">
        <v>1</v>
      </c>
      <c r="E22" s="16">
        <v>0</v>
      </c>
      <c r="F22" s="29">
        <v>60.99</v>
      </c>
      <c r="G22" s="29">
        <v>0</v>
      </c>
      <c r="H22" s="18">
        <f t="shared" si="1"/>
        <v>0</v>
      </c>
      <c r="I22" s="18">
        <f t="shared" si="2"/>
        <v>0.50141876729791779</v>
      </c>
      <c r="J22" s="17">
        <f t="shared" si="5"/>
        <v>30.581530617500004</v>
      </c>
      <c r="K22" s="17">
        <f t="shared" si="3"/>
        <v>30.581530617500004</v>
      </c>
      <c r="L22" s="16">
        <v>27</v>
      </c>
      <c r="M22" s="19">
        <f t="shared" si="6"/>
        <v>3.7037037037037035E-2</v>
      </c>
      <c r="N22" s="16">
        <v>13</v>
      </c>
      <c r="O22" s="20">
        <f t="shared" ref="O22:P22" si="30">D22/7</f>
        <v>0.14285714285714285</v>
      </c>
      <c r="P22" s="20">
        <f t="shared" si="30"/>
        <v>0</v>
      </c>
      <c r="Q22" s="16">
        <f t="shared" si="8"/>
        <v>91</v>
      </c>
      <c r="R22" s="16"/>
      <c r="S22" s="21">
        <v>3.16279069767441</v>
      </c>
      <c r="T22" s="14">
        <v>320</v>
      </c>
      <c r="U22" s="22">
        <v>100</v>
      </c>
      <c r="V22" s="23" t="s">
        <v>281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35</v>
      </c>
      <c r="AB22" s="27">
        <f t="shared" si="11"/>
        <v>-0.69</v>
      </c>
      <c r="AC22" s="28">
        <v>0.18802129166666667</v>
      </c>
      <c r="AD22" s="25">
        <f t="shared" si="12"/>
        <v>-0.25946938250000001</v>
      </c>
      <c r="AE22" s="25">
        <v>-6.56</v>
      </c>
      <c r="AF22" s="25">
        <v>-14.440500000000002</v>
      </c>
      <c r="AG22" s="25">
        <v>0</v>
      </c>
    </row>
    <row r="23" spans="1:33" ht="15.75" customHeight="1">
      <c r="A23" s="14" t="s">
        <v>49</v>
      </c>
      <c r="B23" s="14" t="s">
        <v>68</v>
      </c>
      <c r="C23" s="15">
        <f t="shared" si="4"/>
        <v>60.486666666666672</v>
      </c>
      <c r="D23" s="16">
        <v>6</v>
      </c>
      <c r="E23" s="16">
        <v>0</v>
      </c>
      <c r="F23" s="17">
        <v>362.92</v>
      </c>
      <c r="G23" s="29">
        <v>0</v>
      </c>
      <c r="H23" s="18">
        <f t="shared" si="1"/>
        <v>0</v>
      </c>
      <c r="I23" s="18">
        <f t="shared" si="2"/>
        <v>0.49851808581781099</v>
      </c>
      <c r="J23" s="17">
        <f t="shared" si="5"/>
        <v>180.92218370499998</v>
      </c>
      <c r="K23" s="17">
        <f t="shared" si="3"/>
        <v>30.153697284166665</v>
      </c>
      <c r="L23" s="16">
        <v>22</v>
      </c>
      <c r="M23" s="19">
        <f t="shared" si="6"/>
        <v>0.27272727272727271</v>
      </c>
      <c r="N23" s="16">
        <v>8</v>
      </c>
      <c r="O23" s="20">
        <f t="shared" ref="O23:P23" si="31">D23/7</f>
        <v>0.8571428571428571</v>
      </c>
      <c r="P23" s="20">
        <f t="shared" si="31"/>
        <v>0</v>
      </c>
      <c r="Q23" s="16">
        <f t="shared" si="8"/>
        <v>9</v>
      </c>
      <c r="R23" s="16"/>
      <c r="S23" s="21">
        <v>3.57746478873239</v>
      </c>
      <c r="T23" s="14">
        <v>320</v>
      </c>
      <c r="U23" s="22">
        <v>100</v>
      </c>
      <c r="V23" s="23" t="s">
        <v>283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35</v>
      </c>
      <c r="AB23" s="27">
        <f t="shared" si="11"/>
        <v>-0.69</v>
      </c>
      <c r="AC23" s="28">
        <v>0.18802129166666667</v>
      </c>
      <c r="AD23" s="25">
        <f t="shared" si="12"/>
        <v>-1.556816295</v>
      </c>
      <c r="AE23" s="25">
        <v>-6.56</v>
      </c>
      <c r="AF23" s="25">
        <v>-14.440500000000002</v>
      </c>
      <c r="AG23" s="25">
        <v>0</v>
      </c>
    </row>
    <row r="24" spans="1:33" ht="15.75" customHeight="1">
      <c r="A24" s="14" t="s">
        <v>50</v>
      </c>
      <c r="B24" s="14" t="s">
        <v>284</v>
      </c>
      <c r="C24" s="15">
        <f t="shared" si="4"/>
        <v>59.95</v>
      </c>
      <c r="D24" s="16">
        <v>2</v>
      </c>
      <c r="E24" s="16">
        <v>0</v>
      </c>
      <c r="F24" s="17">
        <v>119.9</v>
      </c>
      <c r="G24" s="17">
        <v>0</v>
      </c>
      <c r="H24" s="18">
        <f t="shared" si="1"/>
        <v>0</v>
      </c>
      <c r="I24" s="18">
        <f t="shared" si="2"/>
        <v>0.49537165333611344</v>
      </c>
      <c r="J24" s="17">
        <f t="shared" si="5"/>
        <v>59.395061235000007</v>
      </c>
      <c r="K24" s="17">
        <f t="shared" si="3"/>
        <v>29.697530617500004</v>
      </c>
      <c r="L24" s="16">
        <v>21</v>
      </c>
      <c r="M24" s="19">
        <f t="shared" si="6"/>
        <v>9.5238095238095233E-2</v>
      </c>
      <c r="N24" s="16">
        <v>6</v>
      </c>
      <c r="O24" s="20">
        <f t="shared" ref="O24:P24" si="32">D24/7</f>
        <v>0.2857142857142857</v>
      </c>
      <c r="P24" s="20">
        <f t="shared" si="32"/>
        <v>0</v>
      </c>
      <c r="Q24" s="16">
        <f t="shared" si="8"/>
        <v>21</v>
      </c>
      <c r="R24" s="16"/>
      <c r="S24" s="21">
        <v>3.8333333333333299</v>
      </c>
      <c r="T24" s="14">
        <v>320</v>
      </c>
      <c r="U24" s="22">
        <v>100</v>
      </c>
      <c r="V24" s="23" t="s">
        <v>285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14" t="s">
        <v>35</v>
      </c>
      <c r="AB24" s="27">
        <f t="shared" si="11"/>
        <v>-0.69</v>
      </c>
      <c r="AC24" s="28">
        <v>0.18802129166666667</v>
      </c>
      <c r="AD24" s="25">
        <f t="shared" si="12"/>
        <v>-0.51893876500000002</v>
      </c>
      <c r="AE24" s="25">
        <v>-6.56</v>
      </c>
      <c r="AF24" s="25">
        <v>-14.440500000000002</v>
      </c>
      <c r="AG24" s="25">
        <v>0</v>
      </c>
    </row>
    <row r="25" spans="1:33" ht="15.75" customHeight="1">
      <c r="A25" s="14" t="s">
        <v>51</v>
      </c>
      <c r="B25" s="14"/>
      <c r="C25" s="15">
        <f t="shared" si="4"/>
        <v>58.95</v>
      </c>
      <c r="D25" s="16">
        <v>1</v>
      </c>
      <c r="E25" s="16">
        <v>0</v>
      </c>
      <c r="F25" s="17">
        <v>58.95</v>
      </c>
      <c r="G25" s="17">
        <v>0</v>
      </c>
      <c r="H25" s="18">
        <f t="shared" si="1"/>
        <v>0</v>
      </c>
      <c r="I25" s="18">
        <f t="shared" si="2"/>
        <v>0.48936438706530966</v>
      </c>
      <c r="J25" s="17">
        <f t="shared" si="5"/>
        <v>28.848030617500005</v>
      </c>
      <c r="K25" s="17">
        <f t="shared" si="3"/>
        <v>28.848030617500005</v>
      </c>
      <c r="L25" s="16">
        <v>23</v>
      </c>
      <c r="M25" s="19">
        <f t="shared" si="6"/>
        <v>4.3478260869565216E-2</v>
      </c>
      <c r="N25" s="16">
        <v>5</v>
      </c>
      <c r="O25" s="20">
        <f t="shared" ref="O25:P25" si="33">D25/7</f>
        <v>0.14285714285714285</v>
      </c>
      <c r="P25" s="20">
        <f t="shared" si="33"/>
        <v>0</v>
      </c>
      <c r="Q25" s="16">
        <f t="shared" si="8"/>
        <v>35</v>
      </c>
      <c r="R25" s="16"/>
      <c r="S25" s="21">
        <v>5.2</v>
      </c>
      <c r="T25" s="14">
        <v>320</v>
      </c>
      <c r="U25" s="22">
        <v>100</v>
      </c>
      <c r="V25" s="23" t="s">
        <v>286</v>
      </c>
      <c r="W25" s="30">
        <v>0</v>
      </c>
      <c r="X25" s="24">
        <f t="shared" si="9"/>
        <v>0</v>
      </c>
      <c r="Y25" s="25">
        <f t="shared" si="10"/>
        <v>0</v>
      </c>
      <c r="Z25" s="30">
        <v>0</v>
      </c>
      <c r="AA25" s="14" t="s">
        <v>35</v>
      </c>
      <c r="AB25" s="27">
        <f t="shared" si="11"/>
        <v>-0.69</v>
      </c>
      <c r="AC25" s="28">
        <v>0.18802129166666667</v>
      </c>
      <c r="AD25" s="25">
        <f t="shared" si="12"/>
        <v>-0.25946938250000001</v>
      </c>
      <c r="AE25" s="25">
        <v>-6.56</v>
      </c>
      <c r="AF25" s="25">
        <v>-14.44</v>
      </c>
      <c r="AG25" s="25">
        <v>0</v>
      </c>
    </row>
    <row r="26" spans="1:33" ht="15.75" customHeight="1">
      <c r="A26" s="14" t="s">
        <v>52</v>
      </c>
      <c r="B26" s="14" t="s">
        <v>45</v>
      </c>
      <c r="C26" s="15">
        <f t="shared" si="4"/>
        <v>58.95</v>
      </c>
      <c r="D26" s="16">
        <v>5</v>
      </c>
      <c r="E26" s="16">
        <v>0</v>
      </c>
      <c r="F26" s="17">
        <v>294.75</v>
      </c>
      <c r="G26" s="17">
        <v>0</v>
      </c>
      <c r="H26" s="18">
        <f t="shared" si="1"/>
        <v>0</v>
      </c>
      <c r="I26" s="18">
        <f t="shared" si="2"/>
        <v>0.48935590530110257</v>
      </c>
      <c r="J26" s="17">
        <f t="shared" si="5"/>
        <v>144.23765308749998</v>
      </c>
      <c r="K26" s="17">
        <f t="shared" si="3"/>
        <v>28.847530617499995</v>
      </c>
      <c r="L26" s="16">
        <v>8</v>
      </c>
      <c r="M26" s="19">
        <f t="shared" si="6"/>
        <v>0.625</v>
      </c>
      <c r="N26" s="16">
        <v>2</v>
      </c>
      <c r="O26" s="20">
        <f t="shared" ref="O26:P26" si="34">D26/7</f>
        <v>0.7142857142857143</v>
      </c>
      <c r="P26" s="20">
        <f t="shared" si="34"/>
        <v>0</v>
      </c>
      <c r="Q26" s="16">
        <f t="shared" si="8"/>
        <v>2</v>
      </c>
      <c r="R26" s="16"/>
      <c r="S26" s="21">
        <v>0</v>
      </c>
      <c r="T26" s="14">
        <v>320</v>
      </c>
      <c r="U26" s="22">
        <v>100</v>
      </c>
      <c r="V26" s="23" t="s">
        <v>287</v>
      </c>
      <c r="W26" s="30">
        <v>0</v>
      </c>
      <c r="X26" s="24">
        <f t="shared" si="9"/>
        <v>0</v>
      </c>
      <c r="Y26" s="25">
        <f t="shared" si="10"/>
        <v>0</v>
      </c>
      <c r="Z26" s="30">
        <v>0</v>
      </c>
      <c r="AA26" s="14" t="s">
        <v>35</v>
      </c>
      <c r="AB26" s="27">
        <f t="shared" si="11"/>
        <v>-0.69</v>
      </c>
      <c r="AC26" s="28">
        <v>0.18802129166666667</v>
      </c>
      <c r="AD26" s="25">
        <f t="shared" si="12"/>
        <v>-1.2973469125000001</v>
      </c>
      <c r="AE26" s="25">
        <v>-6.56</v>
      </c>
      <c r="AF26" s="25">
        <v>-14.4405</v>
      </c>
      <c r="AG26" s="25">
        <v>0</v>
      </c>
    </row>
    <row r="27" spans="1:33" ht="15.75" customHeight="1">
      <c r="A27" s="14" t="s">
        <v>53</v>
      </c>
      <c r="B27" s="14" t="s">
        <v>288</v>
      </c>
      <c r="C27" s="15">
        <f t="shared" si="4"/>
        <v>60.08</v>
      </c>
      <c r="D27" s="16">
        <v>1</v>
      </c>
      <c r="E27" s="16">
        <v>0</v>
      </c>
      <c r="F27" s="17">
        <v>60.08</v>
      </c>
      <c r="G27" s="17">
        <v>0</v>
      </c>
      <c r="H27" s="18">
        <f t="shared" si="1"/>
        <v>0</v>
      </c>
      <c r="I27" s="18">
        <f t="shared" si="2"/>
        <v>0.51878379856025303</v>
      </c>
      <c r="J27" s="17">
        <f t="shared" si="5"/>
        <v>31.1685306175</v>
      </c>
      <c r="K27" s="17">
        <f t="shared" si="3"/>
        <v>31.1685306175</v>
      </c>
      <c r="L27" s="16">
        <v>8</v>
      </c>
      <c r="M27" s="19">
        <f t="shared" si="6"/>
        <v>0.125</v>
      </c>
      <c r="N27" s="16">
        <v>100</v>
      </c>
      <c r="O27" s="20">
        <f t="shared" ref="O27:P27" si="35">D27/7</f>
        <v>0.14285714285714285</v>
      </c>
      <c r="P27" s="20">
        <f t="shared" si="35"/>
        <v>0</v>
      </c>
      <c r="Q27" s="16">
        <f t="shared" si="8"/>
        <v>700</v>
      </c>
      <c r="R27" s="16"/>
      <c r="S27" s="21">
        <v>1.1813471502590669</v>
      </c>
      <c r="T27" s="14">
        <v>220</v>
      </c>
      <c r="U27" s="22">
        <v>100</v>
      </c>
      <c r="V27" s="23" t="s">
        <v>289</v>
      </c>
      <c r="W27" s="30">
        <v>0</v>
      </c>
      <c r="X27" s="24">
        <f t="shared" si="9"/>
        <v>0</v>
      </c>
      <c r="Y27" s="25">
        <f t="shared" si="10"/>
        <v>0</v>
      </c>
      <c r="Z27" s="30">
        <v>0</v>
      </c>
      <c r="AA27" s="14" t="s">
        <v>35</v>
      </c>
      <c r="AB27" s="27">
        <f t="shared" si="11"/>
        <v>-0.69</v>
      </c>
      <c r="AC27" s="28">
        <v>0.18802129166666667</v>
      </c>
      <c r="AD27" s="25">
        <f t="shared" si="12"/>
        <v>-0.25946938250000001</v>
      </c>
      <c r="AE27" s="25">
        <v>-6.56</v>
      </c>
      <c r="AF27" s="25">
        <v>-13.08</v>
      </c>
      <c r="AG27" s="25">
        <v>0</v>
      </c>
    </row>
    <row r="28" spans="1:33" ht="15.75" customHeight="1">
      <c r="A28" s="14" t="s">
        <v>54</v>
      </c>
      <c r="B28" s="14" t="s">
        <v>290</v>
      </c>
      <c r="C28" s="15">
        <f t="shared" si="4"/>
        <v>48.582500000000003</v>
      </c>
      <c r="D28" s="16">
        <v>48</v>
      </c>
      <c r="E28" s="16">
        <v>0</v>
      </c>
      <c r="F28" s="17">
        <v>2331.96</v>
      </c>
      <c r="G28" s="17">
        <v>0</v>
      </c>
      <c r="H28" s="18">
        <f t="shared" si="1"/>
        <v>0</v>
      </c>
      <c r="I28" s="18">
        <f t="shared" si="2"/>
        <v>0.44616179936191014</v>
      </c>
      <c r="J28" s="17">
        <f t="shared" si="5"/>
        <v>1040.4314696399999</v>
      </c>
      <c r="K28" s="17">
        <f t="shared" si="3"/>
        <v>21.675655617499999</v>
      </c>
      <c r="L28" s="16">
        <v>47</v>
      </c>
      <c r="M28" s="19">
        <f t="shared" si="6"/>
        <v>1.0212765957446808</v>
      </c>
      <c r="N28" s="16">
        <v>56</v>
      </c>
      <c r="O28" s="20">
        <f t="shared" ref="O28:P28" si="36">D28/7</f>
        <v>6.8571428571428568</v>
      </c>
      <c r="P28" s="20">
        <f t="shared" si="36"/>
        <v>0</v>
      </c>
      <c r="Q28" s="16">
        <f t="shared" si="8"/>
        <v>8</v>
      </c>
      <c r="R28" s="16"/>
      <c r="S28" s="21">
        <v>1.875</v>
      </c>
      <c r="T28" s="14">
        <v>720</v>
      </c>
      <c r="U28" s="22">
        <v>44392</v>
      </c>
      <c r="V28" s="23" t="s">
        <v>291</v>
      </c>
      <c r="W28" s="30">
        <v>0</v>
      </c>
      <c r="X28" s="24">
        <f t="shared" si="9"/>
        <v>0</v>
      </c>
      <c r="Y28" s="25">
        <f t="shared" si="10"/>
        <v>0</v>
      </c>
      <c r="Z28" s="30">
        <v>0</v>
      </c>
      <c r="AA28" s="14" t="s">
        <v>35</v>
      </c>
      <c r="AB28" s="27">
        <f t="shared" si="11"/>
        <v>-0.69</v>
      </c>
      <c r="AC28" s="28">
        <v>0.18802129166666667</v>
      </c>
      <c r="AD28" s="25">
        <f t="shared" si="12"/>
        <v>-12.45453036</v>
      </c>
      <c r="AE28" s="25">
        <v>-6.28</v>
      </c>
      <c r="AF28" s="25">
        <v>-13.08</v>
      </c>
      <c r="AG28" s="25">
        <v>0</v>
      </c>
    </row>
    <row r="29" spans="1:33" ht="15.75" customHeight="1">
      <c r="A29" s="14" t="s">
        <v>55</v>
      </c>
      <c r="B29" s="14" t="s">
        <v>292</v>
      </c>
      <c r="C29" s="15">
        <f t="shared" si="4"/>
        <v>47.435000000000002</v>
      </c>
      <c r="D29" s="16">
        <v>8</v>
      </c>
      <c r="E29" s="16">
        <v>1</v>
      </c>
      <c r="F29" s="17">
        <v>379.48</v>
      </c>
      <c r="G29" s="17">
        <v>0</v>
      </c>
      <c r="H29" s="18">
        <f t="shared" si="1"/>
        <v>0</v>
      </c>
      <c r="I29" s="18">
        <f t="shared" si="2"/>
        <v>0.43639255017392214</v>
      </c>
      <c r="J29" s="17">
        <f t="shared" si="5"/>
        <v>165.60224493999999</v>
      </c>
      <c r="K29" s="17">
        <f t="shared" si="3"/>
        <v>20.700280617499999</v>
      </c>
      <c r="L29" s="16">
        <v>39</v>
      </c>
      <c r="M29" s="19">
        <f t="shared" si="6"/>
        <v>0.20512820512820512</v>
      </c>
      <c r="N29" s="16">
        <v>46</v>
      </c>
      <c r="O29" s="20">
        <f t="shared" ref="O29:P29" si="37">D29/7</f>
        <v>1.1428571428571428</v>
      </c>
      <c r="P29" s="20">
        <f t="shared" si="37"/>
        <v>0.14285714285714285</v>
      </c>
      <c r="Q29" s="16">
        <f t="shared" si="8"/>
        <v>35</v>
      </c>
      <c r="R29" s="16"/>
      <c r="S29" s="21">
        <v>3.1794871794871788</v>
      </c>
      <c r="T29" s="14">
        <v>940</v>
      </c>
      <c r="U29" s="22">
        <v>44392</v>
      </c>
      <c r="V29" s="23" t="s">
        <v>293</v>
      </c>
      <c r="W29" s="30">
        <v>0</v>
      </c>
      <c r="X29" s="24">
        <f t="shared" si="9"/>
        <v>0</v>
      </c>
      <c r="Y29" s="25">
        <f t="shared" si="10"/>
        <v>0</v>
      </c>
      <c r="Z29" s="30">
        <v>0</v>
      </c>
      <c r="AA29" s="14" t="s">
        <v>35</v>
      </c>
      <c r="AB29" s="27">
        <f t="shared" si="11"/>
        <v>-0.69</v>
      </c>
      <c r="AC29" s="28">
        <v>0.18802129166666667</v>
      </c>
      <c r="AD29" s="25">
        <f t="shared" si="12"/>
        <v>-2.0757550600000001</v>
      </c>
      <c r="AE29" s="25">
        <v>-6.28</v>
      </c>
      <c r="AF29" s="25">
        <v>-13.08</v>
      </c>
      <c r="AG29" s="25">
        <v>0</v>
      </c>
    </row>
    <row r="30" spans="1:33" ht="15.75" customHeight="1">
      <c r="A30" s="14" t="s">
        <v>57</v>
      </c>
      <c r="B30" s="14" t="s">
        <v>294</v>
      </c>
      <c r="C30" s="15">
        <f t="shared" si="4"/>
        <v>48.942307692307701</v>
      </c>
      <c r="D30" s="16">
        <v>13</v>
      </c>
      <c r="E30" s="16">
        <v>0</v>
      </c>
      <c r="F30" s="17">
        <v>636.25000000000011</v>
      </c>
      <c r="G30" s="17">
        <v>0</v>
      </c>
      <c r="H30" s="18">
        <f t="shared" si="1"/>
        <v>0</v>
      </c>
      <c r="I30" s="18">
        <f t="shared" si="2"/>
        <v>0.45500093080943033</v>
      </c>
      <c r="J30" s="17">
        <f t="shared" si="5"/>
        <v>289.49434222750011</v>
      </c>
      <c r="K30" s="17">
        <f t="shared" si="3"/>
        <v>22.268795555961546</v>
      </c>
      <c r="L30" s="16">
        <v>46</v>
      </c>
      <c r="M30" s="19">
        <f t="shared" si="6"/>
        <v>0.28260869565217389</v>
      </c>
      <c r="N30" s="16">
        <v>29</v>
      </c>
      <c r="O30" s="20">
        <f t="shared" ref="O30:P30" si="38">D30/7</f>
        <v>1.8571428571428572</v>
      </c>
      <c r="P30" s="20">
        <f t="shared" si="38"/>
        <v>0</v>
      </c>
      <c r="Q30" s="16">
        <f t="shared" si="8"/>
        <v>15</v>
      </c>
      <c r="R30" s="16"/>
      <c r="S30" s="21">
        <v>4.3636363636363633</v>
      </c>
      <c r="T30" s="14">
        <v>320</v>
      </c>
      <c r="U30" s="22">
        <v>100</v>
      </c>
      <c r="V30" s="23" t="s">
        <v>293</v>
      </c>
      <c r="W30" s="30">
        <v>0</v>
      </c>
      <c r="X30" s="24">
        <f t="shared" si="9"/>
        <v>0</v>
      </c>
      <c r="Y30" s="25">
        <f t="shared" si="10"/>
        <v>0</v>
      </c>
      <c r="Z30" s="30">
        <v>0</v>
      </c>
      <c r="AA30" s="14" t="s">
        <v>35</v>
      </c>
      <c r="AB30" s="27">
        <f t="shared" si="11"/>
        <v>-0.69</v>
      </c>
      <c r="AC30" s="28">
        <v>0.18802129166666667</v>
      </c>
      <c r="AD30" s="25">
        <f t="shared" si="12"/>
        <v>-3.3731019725000002</v>
      </c>
      <c r="AE30" s="25">
        <v>-6.28</v>
      </c>
      <c r="AF30" s="25">
        <v>-12.792696599999999</v>
      </c>
      <c r="AG30" s="25">
        <v>0</v>
      </c>
    </row>
    <row r="31" spans="1:33" ht="15.75" customHeight="1">
      <c r="A31" s="14" t="s">
        <v>58</v>
      </c>
      <c r="B31" s="14" t="s">
        <v>295</v>
      </c>
      <c r="C31" s="15">
        <f t="shared" si="4"/>
        <v>46.387272727272723</v>
      </c>
      <c r="D31" s="16">
        <v>11</v>
      </c>
      <c r="E31" s="16">
        <v>1</v>
      </c>
      <c r="F31" s="17">
        <v>510.25999999999993</v>
      </c>
      <c r="G31" s="17">
        <v>0</v>
      </c>
      <c r="H31" s="18">
        <f t="shared" si="1"/>
        <v>0</v>
      </c>
      <c r="I31" s="18">
        <f t="shared" si="2"/>
        <v>0.43324417785540703</v>
      </c>
      <c r="J31" s="17">
        <f t="shared" si="5"/>
        <v>221.06717419249998</v>
      </c>
      <c r="K31" s="17">
        <f t="shared" si="3"/>
        <v>20.097015835681816</v>
      </c>
      <c r="L31" s="16">
        <v>77</v>
      </c>
      <c r="M31" s="19">
        <f t="shared" si="6"/>
        <v>0.14285714285714285</v>
      </c>
      <c r="N31" s="16">
        <v>17</v>
      </c>
      <c r="O31" s="20">
        <f t="shared" ref="O31:P31" si="39">D31/7</f>
        <v>1.5714285714285714</v>
      </c>
      <c r="P31" s="20">
        <f t="shared" si="39"/>
        <v>0.14285714285714285</v>
      </c>
      <c r="Q31" s="16">
        <f t="shared" si="8"/>
        <v>9</v>
      </c>
      <c r="R31" s="16"/>
      <c r="S31" s="21">
        <v>5.6986301369863002</v>
      </c>
      <c r="T31" s="14" t="s">
        <v>34</v>
      </c>
      <c r="U31" s="22" t="s">
        <v>34</v>
      </c>
      <c r="V31" s="23" t="s">
        <v>296</v>
      </c>
      <c r="W31" s="30">
        <v>0</v>
      </c>
      <c r="X31" s="24">
        <f t="shared" si="9"/>
        <v>0</v>
      </c>
      <c r="Y31" s="25">
        <f t="shared" si="10"/>
        <v>0</v>
      </c>
      <c r="Z31" s="30">
        <v>0</v>
      </c>
      <c r="AA31" s="14" t="s">
        <v>35</v>
      </c>
      <c r="AB31" s="27">
        <f t="shared" si="11"/>
        <v>-0.69</v>
      </c>
      <c r="AC31" s="28">
        <v>0.18802129166666667</v>
      </c>
      <c r="AD31" s="25">
        <f t="shared" si="12"/>
        <v>-2.8541632075000001</v>
      </c>
      <c r="AE31" s="25">
        <v>-6.28</v>
      </c>
      <c r="AF31" s="25">
        <v>-12.792696599999999</v>
      </c>
      <c r="AG31" s="25">
        <v>0</v>
      </c>
    </row>
    <row r="32" spans="1:33" ht="15.75" customHeight="1">
      <c r="A32" s="14" t="s">
        <v>60</v>
      </c>
      <c r="B32" s="14"/>
      <c r="C32" s="15">
        <f t="shared" si="4"/>
        <v>47.1</v>
      </c>
      <c r="D32" s="16">
        <v>16</v>
      </c>
      <c r="E32" s="16">
        <v>0</v>
      </c>
      <c r="F32" s="17">
        <v>753.6</v>
      </c>
      <c r="G32" s="17">
        <v>0</v>
      </c>
      <c r="H32" s="18">
        <f t="shared" si="1"/>
        <v>0</v>
      </c>
      <c r="I32" s="18">
        <f t="shared" si="2"/>
        <v>0.4395506160828026</v>
      </c>
      <c r="J32" s="17">
        <f t="shared" si="5"/>
        <v>331.24534428000004</v>
      </c>
      <c r="K32" s="17">
        <f t="shared" si="3"/>
        <v>20.702834017500003</v>
      </c>
      <c r="L32" s="16">
        <v>99</v>
      </c>
      <c r="M32" s="19">
        <f t="shared" si="6"/>
        <v>0.16161616161616163</v>
      </c>
      <c r="N32" s="16">
        <v>2</v>
      </c>
      <c r="O32" s="20">
        <f t="shared" ref="O32:P32" si="40">D32/7</f>
        <v>2.2857142857142856</v>
      </c>
      <c r="P32" s="20">
        <f t="shared" si="40"/>
        <v>0</v>
      </c>
      <c r="Q32" s="16">
        <f t="shared" si="8"/>
        <v>0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3.5428571428571431</v>
      </c>
      <c r="T32" s="14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2" s="22">
        <f ca="1">IFERROR(__xludf.DUMMYFUNCTION("IFERROR(VLOOKUP($B$2,IMPORTRANGE(""https://docs.google.com/spreadsheets/d/1KiWZV1ko8G7lnRucBRBd29jj3Be6ltMfljMDqzOkQmI/edit#gid=1381463014"",""Lookup!A:D""),3,FALSE),"""")"),320)</f>
        <v>320</v>
      </c>
      <c r="V32" s="23" t="str">
        <f ca="1">IFERROR(__xludf.DUMMYFUNCTION("IFERROR(VLOOKUP($B$2,IMPORTRANGE(""https://docs.google.com/spreadsheets/d/1KiWZV1ko8G7lnRucBRBd29jj3Be6ltMfljMDqzOkQmI/edit#gid=1381463014"",""Lookup!A:D""),2,FALSE),"""")"),"| 408  - 100 units 07/19| 417  - 100 units 08/14| 415  - 120 units 08/21")</f>
        <v>| 408  - 100 units 07/19| 417  - 100 units 08/14| 415  - 120 units 08/21</v>
      </c>
      <c r="W32" s="30">
        <v>0</v>
      </c>
      <c r="X32" s="24">
        <f t="shared" si="9"/>
        <v>0</v>
      </c>
      <c r="Y32" s="25">
        <f t="shared" si="10"/>
        <v>0</v>
      </c>
      <c r="Z32" s="30">
        <v>0</v>
      </c>
      <c r="AA32" s="14" t="s">
        <v>35</v>
      </c>
      <c r="AB32" s="27">
        <f t="shared" si="11"/>
        <v>-0.69</v>
      </c>
      <c r="AC32" s="28">
        <v>0.18802129166666667</v>
      </c>
      <c r="AD32" s="25">
        <f t="shared" si="12"/>
        <v>-4.1515101200000002</v>
      </c>
      <c r="AE32" s="25">
        <v>-6.28</v>
      </c>
      <c r="AF32" s="25">
        <v>-12.792696599999999</v>
      </c>
      <c r="AG32" s="25">
        <v>0</v>
      </c>
    </row>
    <row r="33" spans="1:33" ht="15.75" customHeight="1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16"/>
      <c r="S33" s="21"/>
      <c r="T33" s="31"/>
      <c r="U33" s="36"/>
      <c r="V33" s="1"/>
      <c r="W33" s="31"/>
      <c r="X33" s="31"/>
      <c r="Y33" s="31"/>
      <c r="Z33" s="31"/>
      <c r="AA33" s="2"/>
      <c r="AB33" s="31"/>
      <c r="AC33" s="31"/>
      <c r="AD33" s="31"/>
      <c r="AE33" s="37"/>
      <c r="AF33" s="37"/>
      <c r="AG33" s="37"/>
    </row>
    <row r="34" spans="1:33" ht="15.75" customHeight="1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6"/>
      <c r="V34" s="1"/>
      <c r="W34" s="31"/>
      <c r="X34" s="31"/>
      <c r="Y34" s="31"/>
      <c r="Z34" s="31"/>
      <c r="AA34" s="2"/>
      <c r="AB34" s="31"/>
      <c r="AC34" s="31"/>
      <c r="AD34" s="31"/>
      <c r="AE34" s="37"/>
      <c r="AF34" s="37"/>
      <c r="AG34" s="37"/>
    </row>
    <row r="35" spans="1:33" ht="15.75" customHeight="1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6"/>
      <c r="V35" s="1"/>
      <c r="W35" s="31"/>
      <c r="X35" s="31"/>
      <c r="Y35" s="31"/>
      <c r="Z35" s="31"/>
      <c r="AA35" s="2"/>
      <c r="AB35" s="31"/>
      <c r="AC35" s="31"/>
      <c r="AD35" s="31"/>
      <c r="AE35" s="37"/>
      <c r="AF35" s="37"/>
      <c r="AG35" s="37"/>
    </row>
    <row r="36" spans="1:33" ht="15.75" customHeight="1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6"/>
      <c r="V36" s="1"/>
      <c r="W36" s="31"/>
      <c r="X36" s="31"/>
      <c r="Y36" s="31"/>
      <c r="Z36" s="31"/>
      <c r="AA36" s="2"/>
      <c r="AB36" s="31"/>
      <c r="AC36" s="31"/>
      <c r="AD36" s="31"/>
      <c r="AE36" s="37"/>
      <c r="AF36" s="37"/>
      <c r="AG36" s="37"/>
    </row>
    <row r="37" spans="1:33" ht="15.75" customHeight="1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6"/>
      <c r="V37" s="1"/>
      <c r="W37" s="31"/>
      <c r="X37" s="31"/>
      <c r="Y37" s="31"/>
      <c r="Z37" s="31"/>
      <c r="AA37" s="2"/>
      <c r="AB37" s="31"/>
      <c r="AC37" s="31"/>
      <c r="AD37" s="31"/>
      <c r="AE37" s="37"/>
      <c r="AF37" s="37"/>
      <c r="AG37" s="37"/>
    </row>
    <row r="38" spans="1:33" ht="15.75" customHeight="1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6"/>
      <c r="V38" s="1"/>
      <c r="W38" s="31"/>
      <c r="X38" s="31"/>
      <c r="Y38" s="31"/>
      <c r="Z38" s="31"/>
      <c r="AA38" s="2"/>
      <c r="AB38" s="31"/>
      <c r="AC38" s="31"/>
      <c r="AD38" s="31"/>
      <c r="AE38" s="37"/>
      <c r="AF38" s="37"/>
      <c r="AG38" s="37"/>
    </row>
    <row r="39" spans="1:33" ht="15.75" customHeight="1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6"/>
      <c r="V39" s="1"/>
      <c r="W39" s="31"/>
      <c r="X39" s="31"/>
      <c r="Y39" s="31"/>
      <c r="Z39" s="31"/>
      <c r="AA39" s="2"/>
      <c r="AB39" s="31"/>
      <c r="AC39" s="31"/>
      <c r="AD39" s="31"/>
      <c r="AE39" s="37"/>
      <c r="AF39" s="37"/>
      <c r="AG39" s="37"/>
    </row>
    <row r="40" spans="1:33" ht="15.75" customHeight="1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6"/>
      <c r="V40" s="1"/>
      <c r="W40" s="31"/>
      <c r="X40" s="31"/>
      <c r="Y40" s="31"/>
      <c r="Z40" s="31"/>
      <c r="AA40" s="2"/>
      <c r="AB40" s="31"/>
      <c r="AC40" s="31"/>
      <c r="AD40" s="31"/>
      <c r="AE40" s="37"/>
      <c r="AF40" s="37"/>
      <c r="AG40" s="37"/>
    </row>
    <row r="41" spans="1:33" ht="15.75" customHeight="1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6"/>
      <c r="V41" s="1"/>
      <c r="W41" s="31"/>
      <c r="X41" s="31"/>
      <c r="Y41" s="31"/>
      <c r="Z41" s="31"/>
      <c r="AA41" s="2"/>
      <c r="AB41" s="31"/>
      <c r="AC41" s="31"/>
      <c r="AD41" s="31"/>
      <c r="AE41" s="37"/>
      <c r="AF41" s="37"/>
      <c r="AG41" s="37"/>
    </row>
    <row r="42" spans="1:33" ht="15.75" customHeight="1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6"/>
      <c r="V42" s="1"/>
      <c r="W42" s="31"/>
      <c r="X42" s="31"/>
      <c r="Y42" s="31"/>
      <c r="Z42" s="31"/>
      <c r="AA42" s="2"/>
      <c r="AB42" s="31"/>
      <c r="AC42" s="31"/>
      <c r="AD42" s="31"/>
      <c r="AE42" s="37"/>
      <c r="AF42" s="37"/>
      <c r="AG42" s="37"/>
    </row>
    <row r="43" spans="1:33" ht="15.75" customHeight="1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6"/>
      <c r="V43" s="1"/>
      <c r="W43" s="31"/>
      <c r="X43" s="31"/>
      <c r="Y43" s="31"/>
      <c r="Z43" s="31"/>
      <c r="AA43" s="2"/>
      <c r="AB43" s="31"/>
      <c r="AC43" s="31"/>
      <c r="AD43" s="31"/>
      <c r="AE43" s="37"/>
      <c r="AF43" s="37"/>
      <c r="AG43" s="37"/>
    </row>
    <row r="44" spans="1:33" ht="15.75" customHeight="1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6"/>
      <c r="V44" s="1"/>
      <c r="W44" s="31"/>
      <c r="X44" s="31"/>
      <c r="Y44" s="31"/>
      <c r="Z44" s="31"/>
      <c r="AA44" s="2"/>
      <c r="AB44" s="31"/>
      <c r="AC44" s="31"/>
      <c r="AD44" s="31"/>
      <c r="AE44" s="37"/>
      <c r="AF44" s="37"/>
      <c r="AG44" s="37"/>
    </row>
    <row r="45" spans="1:33" ht="15.75" customHeight="1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6"/>
      <c r="V45" s="1"/>
      <c r="W45" s="31"/>
      <c r="X45" s="31"/>
      <c r="Y45" s="31"/>
      <c r="Z45" s="31"/>
      <c r="AA45" s="2"/>
      <c r="AB45" s="31"/>
      <c r="AC45" s="31"/>
      <c r="AD45" s="31"/>
      <c r="AE45" s="37"/>
      <c r="AF45" s="37"/>
      <c r="AG45" s="37"/>
    </row>
    <row r="46" spans="1:33" ht="15.75" customHeight="1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6"/>
      <c r="V46" s="1"/>
      <c r="W46" s="31"/>
      <c r="X46" s="31"/>
      <c r="Y46" s="31"/>
      <c r="Z46" s="31"/>
      <c r="AA46" s="2"/>
      <c r="AB46" s="31"/>
      <c r="AC46" s="31"/>
      <c r="AD46" s="31"/>
      <c r="AE46" s="37"/>
      <c r="AF46" s="37"/>
      <c r="AG46" s="37"/>
    </row>
    <row r="47" spans="1:33" ht="15.75" customHeight="1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6"/>
      <c r="V47" s="1"/>
      <c r="W47" s="31"/>
      <c r="X47" s="31"/>
      <c r="Y47" s="31"/>
      <c r="Z47" s="31"/>
      <c r="AA47" s="2"/>
      <c r="AB47" s="31"/>
      <c r="AC47" s="31"/>
      <c r="AD47" s="31"/>
      <c r="AE47" s="37"/>
      <c r="AF47" s="37"/>
      <c r="AG47" s="37"/>
    </row>
    <row r="48" spans="1:33" ht="15.75" customHeight="1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6"/>
      <c r="V48" s="1"/>
      <c r="W48" s="31"/>
      <c r="X48" s="31"/>
      <c r="Y48" s="31"/>
      <c r="Z48" s="31"/>
      <c r="AA48" s="2"/>
      <c r="AB48" s="31"/>
      <c r="AC48" s="31"/>
      <c r="AD48" s="31"/>
      <c r="AE48" s="37"/>
      <c r="AF48" s="37"/>
      <c r="AG48" s="37"/>
    </row>
    <row r="49" spans="1:33" ht="15.75" customHeight="1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6"/>
      <c r="V49" s="1"/>
      <c r="W49" s="31"/>
      <c r="X49" s="31"/>
      <c r="Y49" s="31"/>
      <c r="Z49" s="31"/>
      <c r="AA49" s="2"/>
      <c r="AB49" s="31"/>
      <c r="AC49" s="31"/>
      <c r="AD49" s="31"/>
      <c r="AE49" s="37"/>
      <c r="AF49" s="37"/>
      <c r="AG49" s="37"/>
    </row>
    <row r="50" spans="1:33" ht="15.75" customHeight="1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6"/>
      <c r="V50" s="1"/>
      <c r="W50" s="31"/>
      <c r="X50" s="31"/>
      <c r="Y50" s="31"/>
      <c r="Z50" s="31"/>
      <c r="AA50" s="2"/>
      <c r="AB50" s="31"/>
      <c r="AC50" s="31"/>
      <c r="AD50" s="31"/>
      <c r="AE50" s="37"/>
      <c r="AF50" s="37"/>
      <c r="AG50" s="37"/>
    </row>
    <row r="51" spans="1:33" ht="15.75" customHeight="1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6"/>
      <c r="V51" s="1"/>
      <c r="W51" s="31"/>
      <c r="X51" s="31"/>
      <c r="Y51" s="31"/>
      <c r="Z51" s="31"/>
      <c r="AA51" s="2"/>
      <c r="AB51" s="31"/>
      <c r="AC51" s="31"/>
      <c r="AD51" s="31"/>
      <c r="AE51" s="37"/>
      <c r="AF51" s="37"/>
      <c r="AG51" s="37"/>
    </row>
    <row r="52" spans="1:33" ht="15.75" customHeight="1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6"/>
      <c r="V52" s="1"/>
      <c r="W52" s="31"/>
      <c r="X52" s="31"/>
      <c r="Y52" s="31"/>
      <c r="Z52" s="31"/>
      <c r="AA52" s="2"/>
      <c r="AB52" s="31"/>
      <c r="AC52" s="31"/>
      <c r="AD52" s="31"/>
      <c r="AE52" s="37"/>
      <c r="AF52" s="37"/>
      <c r="AG52" s="37"/>
    </row>
    <row r="53" spans="1:33" ht="15.75" customHeight="1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6"/>
      <c r="V53" s="1"/>
      <c r="W53" s="31"/>
      <c r="X53" s="31"/>
      <c r="Y53" s="31"/>
      <c r="Z53" s="31"/>
      <c r="AA53" s="2"/>
      <c r="AB53" s="31"/>
      <c r="AC53" s="31"/>
      <c r="AD53" s="31"/>
      <c r="AE53" s="37"/>
      <c r="AF53" s="37"/>
      <c r="AG53" s="37"/>
    </row>
    <row r="54" spans="1:33" ht="15.75" customHeight="1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6"/>
      <c r="V54" s="1"/>
      <c r="W54" s="31"/>
      <c r="X54" s="31"/>
      <c r="Y54" s="31"/>
      <c r="Z54" s="31"/>
      <c r="AA54" s="2"/>
      <c r="AB54" s="31"/>
      <c r="AC54" s="31"/>
      <c r="AD54" s="31"/>
      <c r="AE54" s="37"/>
      <c r="AF54" s="37"/>
      <c r="AG54" s="37"/>
    </row>
    <row r="55" spans="1:33" ht="15.75" customHeight="1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6"/>
      <c r="V55" s="1"/>
      <c r="W55" s="31"/>
      <c r="X55" s="31"/>
      <c r="Y55" s="31"/>
      <c r="Z55" s="31"/>
      <c r="AA55" s="2"/>
      <c r="AB55" s="31"/>
      <c r="AC55" s="31"/>
      <c r="AD55" s="31"/>
      <c r="AE55" s="37"/>
      <c r="AF55" s="37"/>
      <c r="AG55" s="37"/>
    </row>
    <row r="56" spans="1:33" ht="15.75" customHeight="1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6"/>
      <c r="V56" s="1"/>
      <c r="W56" s="31"/>
      <c r="X56" s="31"/>
      <c r="Y56" s="31"/>
      <c r="Z56" s="31"/>
      <c r="AA56" s="2"/>
      <c r="AB56" s="31"/>
      <c r="AC56" s="31"/>
      <c r="AD56" s="31"/>
      <c r="AE56" s="37"/>
      <c r="AF56" s="37"/>
      <c r="AG56" s="37"/>
    </row>
    <row r="57" spans="1:33" ht="15.75" customHeight="1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6"/>
      <c r="V57" s="1"/>
      <c r="W57" s="31"/>
      <c r="X57" s="31"/>
      <c r="Y57" s="31"/>
      <c r="Z57" s="31"/>
      <c r="AA57" s="2"/>
      <c r="AB57" s="31"/>
      <c r="AC57" s="31"/>
      <c r="AD57" s="31"/>
      <c r="AE57" s="37"/>
      <c r="AF57" s="37"/>
      <c r="AG57" s="37"/>
    </row>
    <row r="58" spans="1:33" ht="15.75" customHeight="1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6"/>
      <c r="V58" s="1"/>
      <c r="W58" s="31"/>
      <c r="X58" s="31"/>
      <c r="Y58" s="31"/>
      <c r="Z58" s="31"/>
      <c r="AA58" s="2"/>
      <c r="AB58" s="31"/>
      <c r="AC58" s="31"/>
      <c r="AD58" s="31"/>
      <c r="AE58" s="37"/>
      <c r="AF58" s="37"/>
      <c r="AG58" s="37"/>
    </row>
    <row r="59" spans="1:33" ht="15.75" customHeight="1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6"/>
      <c r="V59" s="1"/>
      <c r="W59" s="31"/>
      <c r="X59" s="31"/>
      <c r="Y59" s="31"/>
      <c r="Z59" s="31"/>
      <c r="AA59" s="2"/>
      <c r="AB59" s="31"/>
      <c r="AC59" s="31"/>
      <c r="AD59" s="31"/>
      <c r="AE59" s="37"/>
      <c r="AF59" s="37"/>
      <c r="AG59" s="37"/>
    </row>
    <row r="60" spans="1:33" ht="15.75" customHeight="1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6"/>
      <c r="V60" s="1"/>
      <c r="W60" s="31"/>
      <c r="X60" s="31"/>
      <c r="Y60" s="31"/>
      <c r="Z60" s="31"/>
      <c r="AA60" s="2"/>
      <c r="AB60" s="31"/>
      <c r="AC60" s="31"/>
      <c r="AD60" s="31"/>
      <c r="AE60" s="37"/>
      <c r="AF60" s="37"/>
      <c r="AG60" s="37"/>
    </row>
    <row r="61" spans="1:33" ht="15.75" customHeight="1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6"/>
      <c r="V61" s="1"/>
      <c r="W61" s="31"/>
      <c r="X61" s="31"/>
      <c r="Y61" s="31"/>
      <c r="Z61" s="31"/>
      <c r="AA61" s="2"/>
      <c r="AB61" s="31"/>
      <c r="AC61" s="31"/>
      <c r="AD61" s="31"/>
      <c r="AE61" s="37"/>
      <c r="AF61" s="37"/>
      <c r="AG61" s="37"/>
    </row>
    <row r="62" spans="1:33" ht="15.75" customHeight="1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6"/>
      <c r="V62" s="1"/>
      <c r="W62" s="31"/>
      <c r="X62" s="31"/>
      <c r="Y62" s="31"/>
      <c r="Z62" s="31"/>
      <c r="AA62" s="2"/>
      <c r="AB62" s="31"/>
      <c r="AC62" s="31"/>
      <c r="AD62" s="31"/>
      <c r="AE62" s="37"/>
      <c r="AF62" s="37"/>
      <c r="AG62" s="37"/>
    </row>
    <row r="63" spans="1:33" ht="15.75" customHeight="1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6"/>
      <c r="V63" s="1"/>
      <c r="W63" s="31"/>
      <c r="X63" s="31"/>
      <c r="Y63" s="31"/>
      <c r="Z63" s="31"/>
      <c r="AA63" s="2"/>
      <c r="AB63" s="31"/>
      <c r="AC63" s="31"/>
      <c r="AD63" s="31"/>
      <c r="AE63" s="37"/>
      <c r="AF63" s="37"/>
      <c r="AG63" s="37"/>
    </row>
    <row r="64" spans="1:33" ht="15.75" customHeight="1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6"/>
      <c r="V64" s="1"/>
      <c r="W64" s="31"/>
      <c r="X64" s="31"/>
      <c r="Y64" s="31"/>
      <c r="Z64" s="31"/>
      <c r="AA64" s="2"/>
      <c r="AB64" s="31"/>
      <c r="AC64" s="31"/>
      <c r="AD64" s="31"/>
      <c r="AE64" s="37"/>
      <c r="AF64" s="37"/>
      <c r="AG64" s="37"/>
    </row>
    <row r="65" spans="1:33" ht="15.75" customHeight="1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6"/>
      <c r="V65" s="1"/>
      <c r="W65" s="31"/>
      <c r="X65" s="31"/>
      <c r="Y65" s="31"/>
      <c r="Z65" s="31"/>
      <c r="AA65" s="2"/>
      <c r="AB65" s="31"/>
      <c r="AC65" s="31"/>
      <c r="AD65" s="31"/>
      <c r="AE65" s="37"/>
      <c r="AF65" s="37"/>
      <c r="AG65" s="37"/>
    </row>
    <row r="66" spans="1:33" ht="15.75" customHeight="1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6"/>
      <c r="V66" s="1"/>
      <c r="W66" s="31"/>
      <c r="X66" s="31"/>
      <c r="Y66" s="31"/>
      <c r="Z66" s="31"/>
      <c r="AA66" s="2"/>
      <c r="AB66" s="31"/>
      <c r="AC66" s="31"/>
      <c r="AD66" s="31"/>
      <c r="AE66" s="37"/>
      <c r="AF66" s="37"/>
      <c r="AG66" s="37"/>
    </row>
    <row r="67" spans="1:33" ht="15.75" customHeight="1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6"/>
      <c r="V67" s="1"/>
      <c r="W67" s="31"/>
      <c r="X67" s="31"/>
      <c r="Y67" s="31"/>
      <c r="Z67" s="31"/>
      <c r="AA67" s="2"/>
      <c r="AB67" s="31"/>
      <c r="AC67" s="31"/>
      <c r="AD67" s="31"/>
      <c r="AE67" s="37"/>
      <c r="AF67" s="37"/>
      <c r="AG67" s="37"/>
    </row>
    <row r="68" spans="1:33" ht="15.75" customHeight="1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6"/>
      <c r="V68" s="1"/>
      <c r="W68" s="31"/>
      <c r="X68" s="31"/>
      <c r="Y68" s="31"/>
      <c r="Z68" s="31"/>
      <c r="AA68" s="2"/>
      <c r="AB68" s="31"/>
      <c r="AC68" s="31"/>
      <c r="AD68" s="31"/>
      <c r="AE68" s="37"/>
      <c r="AF68" s="37"/>
      <c r="AG68" s="37"/>
    </row>
    <row r="69" spans="1:33" ht="15.75" customHeight="1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6"/>
      <c r="V69" s="1"/>
      <c r="W69" s="31"/>
      <c r="X69" s="31"/>
      <c r="Y69" s="31"/>
      <c r="Z69" s="31"/>
      <c r="AA69" s="2"/>
      <c r="AB69" s="31"/>
      <c r="AC69" s="31"/>
      <c r="AD69" s="31"/>
      <c r="AE69" s="37"/>
      <c r="AF69" s="37"/>
      <c r="AG69" s="37"/>
    </row>
    <row r="70" spans="1:33" ht="15.75" customHeight="1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6"/>
      <c r="V70" s="1"/>
      <c r="W70" s="31"/>
      <c r="X70" s="31"/>
      <c r="Y70" s="31"/>
      <c r="Z70" s="31"/>
      <c r="AA70" s="2"/>
      <c r="AB70" s="31"/>
      <c r="AC70" s="31"/>
      <c r="AD70" s="31"/>
      <c r="AE70" s="37"/>
      <c r="AF70" s="37"/>
      <c r="AG70" s="37"/>
    </row>
    <row r="71" spans="1:33" ht="15.75" customHeight="1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6"/>
      <c r="V71" s="1"/>
      <c r="W71" s="31"/>
      <c r="X71" s="31"/>
      <c r="Y71" s="31"/>
      <c r="Z71" s="31"/>
      <c r="AA71" s="2"/>
      <c r="AB71" s="31"/>
      <c r="AC71" s="31"/>
      <c r="AD71" s="31"/>
      <c r="AE71" s="37"/>
      <c r="AF71" s="37"/>
      <c r="AG71" s="37"/>
    </row>
    <row r="72" spans="1:33" ht="15.75" customHeight="1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6"/>
      <c r="V72" s="1"/>
      <c r="W72" s="31"/>
      <c r="X72" s="31"/>
      <c r="Y72" s="31"/>
      <c r="Z72" s="31"/>
      <c r="AA72" s="2"/>
      <c r="AB72" s="31"/>
      <c r="AC72" s="31"/>
      <c r="AD72" s="31"/>
      <c r="AE72" s="37"/>
      <c r="AF72" s="37"/>
      <c r="AG72" s="37"/>
    </row>
    <row r="73" spans="1:33" ht="15.75" customHeight="1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6"/>
      <c r="V73" s="1"/>
      <c r="W73" s="31"/>
      <c r="X73" s="31"/>
      <c r="Y73" s="31"/>
      <c r="Z73" s="31"/>
      <c r="AA73" s="2"/>
      <c r="AB73" s="31"/>
      <c r="AC73" s="31"/>
      <c r="AD73" s="31"/>
      <c r="AE73" s="37"/>
      <c r="AF73" s="37"/>
      <c r="AG73" s="37"/>
    </row>
    <row r="74" spans="1:33" ht="15.75" customHeight="1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6"/>
      <c r="V74" s="1"/>
      <c r="W74" s="31"/>
      <c r="X74" s="31"/>
      <c r="Y74" s="31"/>
      <c r="Z74" s="31"/>
      <c r="AA74" s="2"/>
      <c r="AB74" s="31"/>
      <c r="AC74" s="31"/>
      <c r="AD74" s="31"/>
      <c r="AE74" s="37"/>
      <c r="AF74" s="37"/>
      <c r="AG74" s="37"/>
    </row>
    <row r="75" spans="1:33" ht="15.75" customHeight="1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6"/>
      <c r="V75" s="1"/>
      <c r="W75" s="31"/>
      <c r="X75" s="31"/>
      <c r="Y75" s="31"/>
      <c r="Z75" s="31"/>
      <c r="AA75" s="2"/>
      <c r="AB75" s="31"/>
      <c r="AC75" s="31"/>
      <c r="AD75" s="31"/>
      <c r="AE75" s="37"/>
      <c r="AF75" s="37"/>
      <c r="AG75" s="37"/>
    </row>
    <row r="76" spans="1:33" ht="15.75" customHeight="1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6"/>
      <c r="V76" s="1"/>
      <c r="W76" s="31"/>
      <c r="X76" s="31"/>
      <c r="Y76" s="31"/>
      <c r="Z76" s="31"/>
      <c r="AA76" s="2"/>
      <c r="AB76" s="31"/>
      <c r="AC76" s="31"/>
      <c r="AD76" s="31"/>
      <c r="AE76" s="37"/>
      <c r="AF76" s="37"/>
      <c r="AG76" s="37"/>
    </row>
    <row r="77" spans="1:33" ht="15.75" customHeight="1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6"/>
      <c r="V77" s="1"/>
      <c r="W77" s="31"/>
      <c r="X77" s="31"/>
      <c r="Y77" s="31"/>
      <c r="Z77" s="31"/>
      <c r="AA77" s="2"/>
      <c r="AB77" s="31"/>
      <c r="AC77" s="31"/>
      <c r="AD77" s="31"/>
      <c r="AE77" s="37"/>
      <c r="AF77" s="37"/>
      <c r="AG77" s="37"/>
    </row>
    <row r="78" spans="1:33" ht="15.75" customHeight="1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6"/>
      <c r="V78" s="1"/>
      <c r="W78" s="31"/>
      <c r="X78" s="31"/>
      <c r="Y78" s="31"/>
      <c r="Z78" s="31"/>
      <c r="AA78" s="2"/>
      <c r="AB78" s="31"/>
      <c r="AC78" s="31"/>
      <c r="AD78" s="31"/>
      <c r="AE78" s="37"/>
      <c r="AF78" s="37"/>
      <c r="AG78" s="37"/>
    </row>
    <row r="79" spans="1:33" ht="15.75" customHeight="1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6"/>
      <c r="V79" s="1"/>
      <c r="W79" s="31"/>
      <c r="X79" s="31"/>
      <c r="Y79" s="31"/>
      <c r="Z79" s="31"/>
      <c r="AA79" s="2"/>
      <c r="AB79" s="31"/>
      <c r="AC79" s="31"/>
      <c r="AD79" s="31"/>
      <c r="AE79" s="37"/>
      <c r="AF79" s="37"/>
      <c r="AG79" s="37"/>
    </row>
    <row r="80" spans="1:33" ht="15.75" customHeight="1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6"/>
      <c r="V80" s="1"/>
      <c r="W80" s="31"/>
      <c r="X80" s="31"/>
      <c r="Y80" s="31"/>
      <c r="Z80" s="31"/>
      <c r="AA80" s="2"/>
      <c r="AB80" s="31"/>
      <c r="AC80" s="31"/>
      <c r="AD80" s="31"/>
      <c r="AE80" s="37"/>
      <c r="AF80" s="37"/>
      <c r="AG80" s="37"/>
    </row>
    <row r="81" spans="1:33" ht="15.75" customHeight="1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6"/>
      <c r="V81" s="1"/>
      <c r="W81" s="31"/>
      <c r="X81" s="31"/>
      <c r="Y81" s="31"/>
      <c r="Z81" s="31"/>
      <c r="AA81" s="2"/>
      <c r="AB81" s="31"/>
      <c r="AC81" s="31"/>
      <c r="AD81" s="31"/>
      <c r="AE81" s="37"/>
      <c r="AF81" s="37"/>
      <c r="AG81" s="37"/>
    </row>
    <row r="82" spans="1:33" ht="15.75" customHeight="1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6"/>
      <c r="V82" s="1"/>
      <c r="W82" s="31"/>
      <c r="X82" s="31"/>
      <c r="Y82" s="31"/>
      <c r="Z82" s="31"/>
      <c r="AA82" s="2"/>
      <c r="AB82" s="31"/>
      <c r="AC82" s="31"/>
      <c r="AD82" s="31"/>
      <c r="AE82" s="37"/>
      <c r="AF82" s="37"/>
      <c r="AG82" s="37"/>
    </row>
    <row r="83" spans="1:33" ht="15.75" customHeight="1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6"/>
      <c r="V83" s="1"/>
      <c r="W83" s="31"/>
      <c r="X83" s="31"/>
      <c r="Y83" s="31"/>
      <c r="Z83" s="31"/>
      <c r="AA83" s="2"/>
      <c r="AB83" s="31"/>
      <c r="AC83" s="31"/>
      <c r="AD83" s="31"/>
      <c r="AE83" s="37"/>
      <c r="AF83" s="37"/>
      <c r="AG83" s="37"/>
    </row>
    <row r="84" spans="1:33" ht="15.75" customHeight="1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6"/>
      <c r="V84" s="1"/>
      <c r="W84" s="31"/>
      <c r="X84" s="31"/>
      <c r="Y84" s="31"/>
      <c r="Z84" s="31"/>
      <c r="AA84" s="2"/>
      <c r="AB84" s="31"/>
      <c r="AC84" s="31"/>
      <c r="AD84" s="31"/>
      <c r="AE84" s="37"/>
      <c r="AF84" s="37"/>
      <c r="AG84" s="37"/>
    </row>
    <row r="85" spans="1:33" ht="15.75" customHeight="1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6"/>
      <c r="V85" s="1"/>
      <c r="W85" s="31"/>
      <c r="X85" s="31"/>
      <c r="Y85" s="31"/>
      <c r="Z85" s="31"/>
      <c r="AA85" s="2"/>
      <c r="AB85" s="31"/>
      <c r="AC85" s="31"/>
      <c r="AD85" s="31"/>
      <c r="AE85" s="37"/>
      <c r="AF85" s="37"/>
      <c r="AG85" s="37"/>
    </row>
    <row r="86" spans="1:33" ht="15.75" customHeight="1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6"/>
      <c r="V86" s="1"/>
      <c r="W86" s="31"/>
      <c r="X86" s="31"/>
      <c r="Y86" s="31"/>
      <c r="Z86" s="31"/>
      <c r="AA86" s="2"/>
      <c r="AB86" s="31"/>
      <c r="AC86" s="31"/>
      <c r="AD86" s="31"/>
      <c r="AE86" s="37"/>
      <c r="AF86" s="37"/>
      <c r="AG86" s="37"/>
    </row>
    <row r="87" spans="1:33" ht="15.75" customHeight="1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6"/>
      <c r="V87" s="1"/>
      <c r="W87" s="31"/>
      <c r="X87" s="31"/>
      <c r="Y87" s="31"/>
      <c r="Z87" s="31"/>
      <c r="AA87" s="2"/>
      <c r="AB87" s="31"/>
      <c r="AC87" s="31"/>
      <c r="AD87" s="31"/>
      <c r="AE87" s="37"/>
      <c r="AF87" s="37"/>
      <c r="AG87" s="37"/>
    </row>
    <row r="88" spans="1:33" ht="15.75" customHeight="1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6"/>
      <c r="V88" s="1"/>
      <c r="W88" s="31"/>
      <c r="X88" s="31"/>
      <c r="Y88" s="31"/>
      <c r="Z88" s="31"/>
      <c r="AA88" s="2"/>
      <c r="AB88" s="31"/>
      <c r="AC88" s="31"/>
      <c r="AD88" s="31"/>
      <c r="AE88" s="37"/>
      <c r="AF88" s="37"/>
      <c r="AG88" s="37"/>
    </row>
    <row r="89" spans="1:33" ht="15.75" customHeight="1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6"/>
      <c r="V89" s="1"/>
      <c r="W89" s="31"/>
      <c r="X89" s="31"/>
      <c r="Y89" s="31"/>
      <c r="Z89" s="31"/>
      <c r="AA89" s="2"/>
      <c r="AB89" s="31"/>
      <c r="AC89" s="31"/>
      <c r="AD89" s="31"/>
      <c r="AE89" s="37"/>
      <c r="AF89" s="37"/>
      <c r="AG89" s="37"/>
    </row>
    <row r="90" spans="1:33" ht="15.75" customHeight="1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6"/>
      <c r="V90" s="1"/>
      <c r="W90" s="31"/>
      <c r="X90" s="31"/>
      <c r="Y90" s="31"/>
      <c r="Z90" s="31"/>
      <c r="AA90" s="2"/>
      <c r="AB90" s="31"/>
      <c r="AC90" s="31"/>
      <c r="AD90" s="31"/>
      <c r="AE90" s="37"/>
      <c r="AF90" s="37"/>
      <c r="AG90" s="37"/>
    </row>
    <row r="91" spans="1:33" ht="15.75" customHeight="1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6"/>
      <c r="V91" s="1"/>
      <c r="W91" s="31"/>
      <c r="X91" s="31"/>
      <c r="Y91" s="31"/>
      <c r="Z91" s="31"/>
      <c r="AA91" s="2"/>
      <c r="AB91" s="31"/>
      <c r="AC91" s="31"/>
      <c r="AD91" s="31"/>
      <c r="AE91" s="37"/>
      <c r="AF91" s="37"/>
      <c r="AG91" s="37"/>
    </row>
    <row r="92" spans="1:33" ht="15.75" customHeight="1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6"/>
      <c r="V92" s="1"/>
      <c r="W92" s="31"/>
      <c r="X92" s="31"/>
      <c r="Y92" s="31"/>
      <c r="Z92" s="31"/>
      <c r="AA92" s="2"/>
      <c r="AB92" s="31"/>
      <c r="AC92" s="31"/>
      <c r="AD92" s="31"/>
      <c r="AE92" s="37"/>
      <c r="AF92" s="37"/>
      <c r="AG92" s="37"/>
    </row>
    <row r="93" spans="1:33" ht="15.75" customHeight="1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6"/>
      <c r="V93" s="1"/>
      <c r="W93" s="31"/>
      <c r="X93" s="31"/>
      <c r="Y93" s="31"/>
      <c r="Z93" s="31"/>
      <c r="AA93" s="2"/>
      <c r="AB93" s="31"/>
      <c r="AC93" s="31"/>
      <c r="AD93" s="31"/>
      <c r="AE93" s="37"/>
      <c r="AF93" s="37"/>
      <c r="AG93" s="37"/>
    </row>
    <row r="94" spans="1:33" ht="15.75" customHeight="1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6"/>
      <c r="V94" s="1"/>
      <c r="W94" s="31"/>
      <c r="X94" s="31"/>
      <c r="Y94" s="31"/>
      <c r="Z94" s="31"/>
      <c r="AA94" s="2"/>
      <c r="AB94" s="31"/>
      <c r="AC94" s="31"/>
      <c r="AD94" s="31"/>
      <c r="AE94" s="37"/>
      <c r="AF94" s="37"/>
      <c r="AG94" s="37"/>
    </row>
    <row r="95" spans="1:33" ht="15.75" customHeight="1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6"/>
      <c r="V95" s="1"/>
      <c r="W95" s="31"/>
      <c r="X95" s="31"/>
      <c r="Y95" s="31"/>
      <c r="Z95" s="31"/>
      <c r="AA95" s="2"/>
      <c r="AB95" s="31"/>
      <c r="AC95" s="31"/>
      <c r="AD95" s="31"/>
      <c r="AE95" s="37"/>
      <c r="AF95" s="37"/>
      <c r="AG95" s="37"/>
    </row>
    <row r="96" spans="1:33" ht="15.75" customHeight="1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6"/>
      <c r="V96" s="1"/>
      <c r="W96" s="31"/>
      <c r="X96" s="31"/>
      <c r="Y96" s="31"/>
      <c r="Z96" s="31"/>
      <c r="AA96" s="2"/>
      <c r="AB96" s="31"/>
      <c r="AC96" s="31"/>
      <c r="AD96" s="31"/>
      <c r="AE96" s="37"/>
      <c r="AF96" s="37"/>
      <c r="AG96" s="37"/>
    </row>
    <row r="97" spans="1:33" ht="15.75" customHeight="1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8"/>
      <c r="R97" s="38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8"/>
      <c r="R98" s="38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8"/>
      <c r="R99" s="38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8"/>
      <c r="R100" s="38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8"/>
      <c r="R101" s="38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8"/>
      <c r="R102" s="38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8"/>
      <c r="R103" s="38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8"/>
      <c r="R104" s="38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8"/>
      <c r="R105" s="38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8"/>
      <c r="R106" s="38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8"/>
      <c r="R107" s="38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8"/>
      <c r="R108" s="38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8"/>
      <c r="R109" s="38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8"/>
      <c r="R110" s="38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8"/>
      <c r="R111" s="38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8"/>
      <c r="R112" s="38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8"/>
      <c r="R113" s="38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8"/>
      <c r="R114" s="38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>
      <c r="A115" s="31"/>
      <c r="B115" s="31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>
      <c r="A116" s="31"/>
      <c r="B116" s="31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>
      <c r="A117" s="31"/>
      <c r="B117" s="31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>
      <c r="A118" s="31"/>
      <c r="B118" s="31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>
      <c r="A119" s="31"/>
      <c r="B119" s="31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>
      <c r="A120" s="31"/>
      <c r="B120" s="31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>
      <c r="A121" s="31"/>
      <c r="B121" s="31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>
      <c r="A122" s="31"/>
      <c r="B122" s="31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>
      <c r="A123" s="31"/>
      <c r="B123" s="31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>
      <c r="A124" s="31"/>
      <c r="B124" s="31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>
      <c r="A125" s="31"/>
      <c r="B125" s="31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>
      <c r="A126" s="31"/>
      <c r="B126" s="31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>
      <c r="A127" s="31"/>
      <c r="B127" s="31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>
      <c r="A128" s="31"/>
      <c r="B128" s="31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>
      <c r="A129" s="31"/>
      <c r="B129" s="31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>
      <c r="A130" s="31"/>
      <c r="B130" s="31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>
      <c r="A131" s="31"/>
      <c r="B131" s="31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>
      <c r="A132" s="31"/>
      <c r="B132" s="31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>
      <c r="A133" s="31"/>
      <c r="B133" s="31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>
      <c r="A134" s="31"/>
      <c r="B134" s="31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>
      <c r="A135" s="31"/>
      <c r="B135" s="31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>
      <c r="A136" s="31"/>
      <c r="B136" s="31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>
      <c r="A137" s="31"/>
      <c r="B137" s="31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>
      <c r="A138" s="31"/>
      <c r="B138" s="31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>
      <c r="A139" s="31"/>
      <c r="B139" s="31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>
      <c r="A140" s="31"/>
      <c r="B140" s="31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>
      <c r="A141" s="31"/>
      <c r="B141" s="31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2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>
      <c r="A142" s="31"/>
      <c r="B142" s="31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2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>
      <c r="A143" s="31"/>
      <c r="B143" s="31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2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>
      <c r="A144" s="31"/>
      <c r="B144" s="31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2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>
      <c r="A145" s="31"/>
      <c r="B145" s="31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2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>
      <c r="A146" s="31"/>
      <c r="B146" s="31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2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>
      <c r="A147" s="31"/>
      <c r="B147" s="31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2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>
      <c r="A148" s="31"/>
      <c r="B148" s="31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2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</row>
    <row r="149" spans="1:33" ht="15.75" customHeight="1">
      <c r="A149" s="14"/>
      <c r="B149" s="14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>
      <c r="A150" s="14"/>
      <c r="B150" s="14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>
      <c r="A151" s="14"/>
      <c r="B151" s="14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>
      <c r="A152" s="14"/>
      <c r="B152" s="14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>
      <c r="A153" s="14"/>
      <c r="B153" s="14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>
      <c r="A154" s="14"/>
      <c r="B154" s="14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>
      <c r="A155" s="14"/>
      <c r="B155" s="14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>
      <c r="A156" s="14"/>
      <c r="B156" s="14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>
      <c r="A157" s="14"/>
      <c r="B157" s="14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>
      <c r="A158" s="14"/>
      <c r="B158" s="14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>
      <c r="A159" s="14"/>
      <c r="B159" s="14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>
      <c r="A160" s="14"/>
      <c r="B160" s="14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>
      <c r="A161" s="14"/>
      <c r="B161" s="14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>
      <c r="A162" s="14"/>
      <c r="B162" s="14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>
      <c r="A163" s="14"/>
      <c r="B163" s="14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>
      <c r="A164" s="14"/>
      <c r="B164" s="14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>
      <c r="A165" s="14"/>
      <c r="B165" s="14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>
      <c r="A166" s="14"/>
      <c r="B166" s="14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>
      <c r="A167" s="14"/>
      <c r="B167" s="14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>
      <c r="A168" s="14"/>
      <c r="B168" s="14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>
      <c r="A169" s="14"/>
      <c r="B169" s="14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>
      <c r="A170" s="14"/>
      <c r="B170" s="14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>
      <c r="A171" s="14"/>
      <c r="B171" s="14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>
      <c r="A172" s="14"/>
      <c r="B172" s="14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>
      <c r="A173" s="14"/>
      <c r="B173" s="14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>
      <c r="A174" s="14"/>
      <c r="B174" s="14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>
      <c r="A175" s="14"/>
      <c r="B175" s="14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>
      <c r="A176" s="14"/>
      <c r="B176" s="14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>
      <c r="A177" s="14"/>
      <c r="B177" s="14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>
      <c r="A178" s="14"/>
      <c r="B178" s="14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>
      <c r="A179" s="14"/>
      <c r="B179" s="14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>
      <c r="A180" s="14"/>
      <c r="B180" s="14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>
      <c r="A181" s="14"/>
      <c r="B181" s="14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>
      <c r="A182" s="14"/>
      <c r="B182" s="14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>
      <c r="A183" s="14"/>
      <c r="B183" s="14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>
      <c r="A184" s="14"/>
      <c r="B184" s="14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>
      <c r="A185" s="14"/>
      <c r="B185" s="14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>
      <c r="A186" s="14"/>
      <c r="B186" s="14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>
      <c r="A187" s="14"/>
      <c r="B187" s="14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>
      <c r="A188" s="14"/>
      <c r="B188" s="14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>
      <c r="A189" s="14"/>
      <c r="B189" s="14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>
      <c r="A190" s="14"/>
      <c r="B190" s="14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>
      <c r="A191" s="14"/>
      <c r="B191" s="14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>
      <c r="A192" s="14"/>
      <c r="B192" s="14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>
      <c r="A193" s="14"/>
      <c r="B193" s="14"/>
      <c r="C193" s="39"/>
      <c r="D193" s="39"/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>
      <c r="A194" s="14"/>
      <c r="B194" s="14"/>
      <c r="C194" s="39"/>
      <c r="D194" s="39"/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>
      <c r="A195" s="14"/>
      <c r="B195" s="14"/>
      <c r="C195" s="39"/>
      <c r="D195" s="39"/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>
      <c r="A196" s="14"/>
      <c r="B196" s="14"/>
      <c r="C196" s="39"/>
      <c r="D196" s="39"/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>
      <c r="A197" s="14"/>
      <c r="B197" s="14"/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>
      <c r="A198" s="14"/>
      <c r="B198" s="14"/>
      <c r="C198" s="39"/>
      <c r="D198" s="39"/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>
      <c r="A199" s="14"/>
      <c r="B199" s="14"/>
      <c r="C199" s="39"/>
      <c r="D199" s="39"/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>
      <c r="A200" s="14"/>
      <c r="B200" s="14"/>
      <c r="C200" s="39"/>
      <c r="D200" s="39"/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>
      <c r="A201" s="14"/>
      <c r="B201" s="14"/>
      <c r="C201" s="39"/>
      <c r="D201" s="39"/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>
      <c r="A202" s="14"/>
      <c r="B202" s="14"/>
      <c r="C202" s="39"/>
      <c r="D202" s="39"/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>
      <c r="A203" s="14"/>
      <c r="B203" s="14"/>
      <c r="C203" s="39"/>
      <c r="D203" s="39"/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>
      <c r="A204" s="14"/>
      <c r="B204" s="14"/>
      <c r="C204" s="39"/>
      <c r="D204" s="39"/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>
      <c r="A205" s="14"/>
      <c r="B205" s="14"/>
      <c r="C205" s="39"/>
      <c r="D205" s="39"/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>
      <c r="A206" s="14"/>
      <c r="B206" s="14"/>
      <c r="C206" s="39"/>
      <c r="D206" s="39"/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>
      <c r="A207" s="14"/>
      <c r="B207" s="14"/>
      <c r="C207" s="39"/>
      <c r="D207" s="39"/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>
      <c r="A208" s="14"/>
      <c r="B208" s="14"/>
      <c r="C208" s="39"/>
      <c r="D208" s="39"/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>
      <c r="A209" s="14"/>
      <c r="B209" s="14"/>
      <c r="C209" s="39"/>
      <c r="D209" s="39"/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>
      <c r="A210" s="14"/>
      <c r="B210" s="14"/>
      <c r="C210" s="39"/>
      <c r="D210" s="39"/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>
      <c r="A211" s="14"/>
      <c r="B211" s="14"/>
      <c r="C211" s="39"/>
      <c r="D211" s="39"/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>
      <c r="A212" s="14"/>
      <c r="B212" s="14"/>
      <c r="C212" s="39"/>
      <c r="D212" s="39"/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>
      <c r="A213" s="14"/>
      <c r="B213" s="14"/>
      <c r="C213" s="39"/>
      <c r="D213" s="39"/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>
      <c r="A214" s="14"/>
      <c r="B214" s="14"/>
      <c r="C214" s="39"/>
      <c r="D214" s="39"/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>
      <c r="A215" s="14"/>
      <c r="B215" s="14"/>
      <c r="C215" s="39"/>
      <c r="D215" s="39"/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>
      <c r="A216" s="14"/>
      <c r="B216" s="14"/>
      <c r="C216" s="39"/>
      <c r="D216" s="39"/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>
      <c r="A217" s="14"/>
      <c r="B217" s="14"/>
      <c r="C217" s="39"/>
      <c r="D217" s="39"/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>
      <c r="A218" s="14"/>
      <c r="B218" s="14"/>
      <c r="C218" s="39"/>
      <c r="D218" s="39"/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>
      <c r="A219" s="14"/>
      <c r="B219" s="14"/>
      <c r="C219" s="39"/>
      <c r="D219" s="39"/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>
      <c r="A220" s="14"/>
      <c r="B220" s="14"/>
      <c r="C220" s="39"/>
      <c r="D220" s="39"/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>
      <c r="R221" s="30"/>
      <c r="S221" s="40"/>
    </row>
    <row r="222" spans="1:33" ht="15.75" customHeight="1">
      <c r="R222" s="30"/>
      <c r="S222" s="40"/>
    </row>
    <row r="223" spans="1:33" ht="15.75" customHeight="1">
      <c r="R223" s="30"/>
      <c r="S223" s="40"/>
    </row>
    <row r="224" spans="1:33" ht="15.75" customHeight="1">
      <c r="R224" s="30"/>
      <c r="S224" s="40"/>
    </row>
    <row r="225" spans="18:18" ht="15.75" customHeight="1">
      <c r="R225" s="30"/>
    </row>
    <row r="226" spans="18:18" ht="15.75" customHeight="1">
      <c r="R226" s="30"/>
    </row>
    <row r="227" spans="18:18" ht="15.75" customHeight="1">
      <c r="R227" s="30"/>
    </row>
    <row r="228" spans="18:18" ht="15.75" customHeight="1">
      <c r="R228" s="30"/>
    </row>
    <row r="229" spans="18:18" ht="15.75" customHeight="1">
      <c r="R229" s="30"/>
    </row>
    <row r="230" spans="18:18" ht="15.75" customHeight="1">
      <c r="R230" s="30"/>
    </row>
    <row r="231" spans="18:18" ht="15.75" customHeight="1">
      <c r="R231" s="30"/>
    </row>
    <row r="232" spans="18:18" ht="15.75" customHeight="1">
      <c r="R232" s="30"/>
    </row>
    <row r="233" spans="18:18" ht="15.75" customHeight="1">
      <c r="R233" s="30"/>
    </row>
    <row r="234" spans="18:18" ht="15.75" customHeight="1">
      <c r="R234" s="30"/>
    </row>
    <row r="235" spans="18:18" ht="15.75" customHeight="1">
      <c r="R235" s="30"/>
    </row>
    <row r="236" spans="18:18" ht="15.75" customHeight="1">
      <c r="R236" s="30"/>
    </row>
    <row r="237" spans="18:18" ht="15.75" customHeight="1">
      <c r="R237" s="30"/>
    </row>
    <row r="238" spans="18:18" ht="15.75" customHeight="1">
      <c r="R238" s="30"/>
    </row>
    <row r="239" spans="18:18" ht="15.75" customHeight="1">
      <c r="R239" s="30"/>
    </row>
    <row r="240" spans="18:18" ht="15.75" customHeight="1">
      <c r="R240" s="30"/>
    </row>
    <row r="241" spans="18:18" ht="15.75" customHeight="1">
      <c r="R241" s="30"/>
    </row>
    <row r="242" spans="18:18" ht="15.75" customHeight="1">
      <c r="R242" s="30"/>
    </row>
    <row r="243" spans="18:18" ht="15.75" customHeight="1">
      <c r="R243" s="30"/>
    </row>
    <row r="244" spans="18:18" ht="15.75" customHeight="1">
      <c r="R244" s="30"/>
    </row>
    <row r="245" spans="18:18" ht="15.75" customHeight="1">
      <c r="R245" s="30"/>
    </row>
    <row r="246" spans="18:18" ht="15.75" customHeight="1">
      <c r="R246" s="30"/>
    </row>
    <row r="247" spans="18:18" ht="15.75" customHeight="1">
      <c r="R247" s="30"/>
    </row>
    <row r="248" spans="18:18" ht="15.75" customHeight="1">
      <c r="R248" s="30"/>
    </row>
    <row r="249" spans="18:18" ht="15.75" customHeight="1">
      <c r="R249" s="30"/>
    </row>
    <row r="250" spans="18:18" ht="15.75" customHeight="1">
      <c r="R250" s="30"/>
    </row>
    <row r="251" spans="18:18" ht="15.75" customHeight="1">
      <c r="R251" s="30"/>
    </row>
    <row r="252" spans="18:18" ht="15.75" customHeight="1">
      <c r="R252" s="30"/>
    </row>
    <row r="253" spans="18:18" ht="15.75" customHeight="1">
      <c r="R253" s="30"/>
    </row>
    <row r="254" spans="18:18" ht="15.75" customHeight="1">
      <c r="R254" s="30"/>
    </row>
    <row r="255" spans="18:18" ht="15.75" customHeight="1">
      <c r="R255" s="30"/>
    </row>
    <row r="256" spans="18:18" ht="15.75" customHeight="1">
      <c r="R256" s="30"/>
    </row>
    <row r="257" spans="18:18" ht="15.75" customHeight="1">
      <c r="R257" s="30"/>
    </row>
    <row r="258" spans="18:18" ht="15.75" customHeight="1">
      <c r="R258" s="30"/>
    </row>
    <row r="259" spans="18:18" ht="15.75" customHeight="1">
      <c r="R259" s="30"/>
    </row>
    <row r="260" spans="18:18" ht="15.75" customHeight="1">
      <c r="R260" s="30"/>
    </row>
    <row r="261" spans="18:18" ht="15.75" customHeight="1">
      <c r="R261" s="30"/>
    </row>
    <row r="262" spans="18:18" ht="15.75" customHeight="1">
      <c r="R262" s="30"/>
    </row>
    <row r="263" spans="18:18" ht="15.75" customHeight="1">
      <c r="R263" s="30"/>
    </row>
    <row r="264" spans="18:18" ht="15.75" customHeight="1">
      <c r="R264" s="30"/>
    </row>
    <row r="265" spans="18:18" ht="15.75" customHeight="1">
      <c r="R265" s="30"/>
    </row>
    <row r="266" spans="18:18" ht="15.75" customHeight="1">
      <c r="R266" s="30"/>
    </row>
    <row r="267" spans="18:18" ht="15.75" customHeight="1">
      <c r="R267" s="30"/>
    </row>
    <row r="268" spans="18:18" ht="15.75" customHeight="1">
      <c r="R268" s="30"/>
    </row>
    <row r="269" spans="18:18" ht="15.75" customHeight="1">
      <c r="R269" s="30"/>
    </row>
    <row r="270" spans="18:18" ht="15.75" customHeight="1">
      <c r="R270" s="30"/>
    </row>
    <row r="271" spans="18:18" ht="15.75" customHeight="1">
      <c r="R271" s="30"/>
    </row>
    <row r="272" spans="18:18" ht="15.75" customHeight="1">
      <c r="R272" s="30"/>
    </row>
    <row r="273" spans="18:18" ht="15.75" customHeight="1">
      <c r="R273" s="30"/>
    </row>
    <row r="274" spans="18:18" ht="15.75" customHeight="1">
      <c r="R274" s="30"/>
    </row>
    <row r="275" spans="18:18" ht="15.75" customHeight="1">
      <c r="R275" s="30"/>
    </row>
    <row r="276" spans="18:18" ht="15.75" customHeight="1">
      <c r="R276" s="30"/>
    </row>
    <row r="277" spans="18:18" ht="15.75" customHeight="1">
      <c r="R277" s="30"/>
    </row>
    <row r="278" spans="18:18" ht="15.75" customHeight="1">
      <c r="R278" s="30"/>
    </row>
    <row r="279" spans="18:18" ht="15.75" customHeight="1">
      <c r="R279" s="30"/>
    </row>
    <row r="280" spans="18:18" ht="15.75" customHeight="1">
      <c r="R280" s="30"/>
    </row>
    <row r="281" spans="18:18" ht="15.75" customHeight="1">
      <c r="R281" s="30"/>
    </row>
    <row r="282" spans="18:18" ht="15.75" customHeight="1">
      <c r="R282" s="30"/>
    </row>
    <row r="283" spans="18:18" ht="15.75" customHeight="1">
      <c r="R283" s="30"/>
    </row>
    <row r="284" spans="18:18" ht="15.75" customHeight="1">
      <c r="R284" s="30"/>
    </row>
    <row r="285" spans="18:18" ht="15.75" customHeight="1">
      <c r="R285" s="30"/>
    </row>
    <row r="286" spans="18:18" ht="15.75" customHeight="1">
      <c r="R286" s="30"/>
    </row>
    <row r="287" spans="18:18" ht="15.75" customHeight="1">
      <c r="R287" s="30"/>
    </row>
    <row r="288" spans="18:18" ht="15.75" customHeight="1">
      <c r="R288" s="30"/>
    </row>
    <row r="289" spans="18:18" ht="15.75" customHeight="1">
      <c r="R289" s="30"/>
    </row>
    <row r="290" spans="18:18" ht="15.75" customHeight="1">
      <c r="R290" s="30"/>
    </row>
    <row r="291" spans="18:18" ht="15.75" customHeight="1">
      <c r="R291" s="30"/>
    </row>
    <row r="292" spans="18:18" ht="15.75" customHeight="1">
      <c r="R292" s="30"/>
    </row>
    <row r="293" spans="18:18" ht="15.75" customHeight="1">
      <c r="R293" s="30"/>
    </row>
    <row r="294" spans="18:18" ht="15.75" customHeight="1">
      <c r="R294" s="30"/>
    </row>
    <row r="295" spans="18:18" ht="15.75" customHeight="1">
      <c r="R295" s="30"/>
    </row>
    <row r="296" spans="18:18" ht="15.75" customHeight="1">
      <c r="R296" s="30"/>
    </row>
    <row r="297" spans="18:18" ht="15.75" customHeight="1">
      <c r="R297" s="30"/>
    </row>
    <row r="298" spans="18:18" ht="15.75" customHeight="1">
      <c r="R298" s="30"/>
    </row>
    <row r="299" spans="18:18" ht="15.75" customHeight="1">
      <c r="R299" s="30"/>
    </row>
    <row r="300" spans="18:18" ht="15.75" customHeight="1">
      <c r="R300" s="30"/>
    </row>
    <row r="301" spans="18:18" ht="15.75" customHeight="1">
      <c r="R301" s="30"/>
    </row>
    <row r="302" spans="18:18" ht="15.75" customHeight="1">
      <c r="R302" s="30"/>
    </row>
    <row r="303" spans="18:18" ht="15.75" customHeight="1">
      <c r="R303" s="30"/>
    </row>
    <row r="304" spans="18:18" ht="15.75" customHeight="1">
      <c r="R304" s="30"/>
    </row>
    <row r="305" spans="18:18" ht="15.75" customHeight="1">
      <c r="R305" s="30"/>
    </row>
    <row r="306" spans="18:18" ht="15.75" customHeight="1">
      <c r="R306" s="30"/>
    </row>
    <row r="307" spans="18:18" ht="15.75" customHeight="1">
      <c r="R307" s="30"/>
    </row>
    <row r="308" spans="18:18" ht="15.75" customHeight="1">
      <c r="R308" s="30"/>
    </row>
    <row r="309" spans="18:18" ht="15.75" customHeight="1">
      <c r="R309" s="30"/>
    </row>
    <row r="310" spans="18:18" ht="15.75" customHeight="1">
      <c r="R310" s="30"/>
    </row>
    <row r="311" spans="18:18" ht="15.75" customHeight="1">
      <c r="R311" s="30"/>
    </row>
    <row r="312" spans="18:18" ht="15.75" customHeight="1">
      <c r="R312" s="30"/>
    </row>
    <row r="313" spans="18:18" ht="15.75" customHeight="1">
      <c r="R313" s="30"/>
    </row>
    <row r="314" spans="18:18" ht="15.75" customHeight="1">
      <c r="R314" s="30"/>
    </row>
    <row r="315" spans="18:18" ht="15.75" customHeight="1">
      <c r="R315" s="30"/>
    </row>
    <row r="316" spans="18:18" ht="15.75" customHeight="1">
      <c r="R316" s="30"/>
    </row>
    <row r="317" spans="18:18" ht="15.75" customHeight="1">
      <c r="R317" s="30"/>
    </row>
    <row r="318" spans="18:18" ht="15.75" customHeight="1">
      <c r="R318" s="30"/>
    </row>
    <row r="319" spans="18:18" ht="15.75" customHeight="1">
      <c r="R319" s="30"/>
    </row>
    <row r="320" spans="18:18" ht="15.75" customHeight="1">
      <c r="R320" s="30"/>
    </row>
    <row r="321" spans="18:18" ht="15.75" customHeight="1">
      <c r="R321" s="30"/>
    </row>
    <row r="322" spans="18:18" ht="15.75" customHeight="1">
      <c r="R322" s="30"/>
    </row>
    <row r="323" spans="18:18" ht="15.75" customHeight="1">
      <c r="R323" s="30"/>
    </row>
    <row r="324" spans="18:18" ht="15.75" customHeight="1">
      <c r="R324" s="30"/>
    </row>
    <row r="325" spans="18:18" ht="15.75" customHeight="1">
      <c r="R325" s="30"/>
    </row>
    <row r="326" spans="18:18" ht="15.75" customHeight="1">
      <c r="R326" s="30"/>
    </row>
    <row r="327" spans="18:18" ht="15.75" customHeight="1">
      <c r="R327" s="30"/>
    </row>
    <row r="328" spans="18:18" ht="15.75" customHeight="1">
      <c r="R328" s="30"/>
    </row>
    <row r="329" spans="18:18" ht="15.75" customHeight="1">
      <c r="R329" s="30"/>
    </row>
    <row r="330" spans="18:18" ht="15.75" customHeight="1">
      <c r="R330" s="30"/>
    </row>
    <row r="331" spans="18:18" ht="15.75" customHeight="1">
      <c r="R331" s="30"/>
    </row>
    <row r="332" spans="18:18" ht="15.75" customHeight="1">
      <c r="R332" s="30"/>
    </row>
    <row r="333" spans="18:18" ht="15.75" customHeight="1">
      <c r="R333" s="30"/>
    </row>
    <row r="334" spans="18:18" ht="15.75" customHeight="1">
      <c r="R334" s="30"/>
    </row>
    <row r="335" spans="18:18" ht="15.75" customHeight="1">
      <c r="R335" s="30"/>
    </row>
    <row r="336" spans="18:18" ht="15.75" customHeight="1">
      <c r="R336" s="30"/>
    </row>
    <row r="337" spans="18:18" ht="15.75" customHeight="1">
      <c r="R337" s="30"/>
    </row>
    <row r="338" spans="18:18" ht="15.75" customHeight="1">
      <c r="R338" s="30"/>
    </row>
    <row r="339" spans="18:18" ht="15.75" customHeight="1">
      <c r="R339" s="30"/>
    </row>
    <row r="340" spans="18:18" ht="15.75" customHeight="1">
      <c r="R340" s="30"/>
    </row>
    <row r="341" spans="18:18" ht="15.75" customHeight="1">
      <c r="R341" s="30"/>
    </row>
    <row r="342" spans="18:18" ht="15.75" customHeight="1">
      <c r="R342" s="30"/>
    </row>
    <row r="343" spans="18:18" ht="15.75" customHeight="1">
      <c r="R343" s="30"/>
    </row>
    <row r="344" spans="18:18" ht="15.75" customHeight="1">
      <c r="R344" s="30"/>
    </row>
    <row r="345" spans="18:18" ht="15.75" customHeight="1">
      <c r="R345" s="30"/>
    </row>
    <row r="346" spans="18:18" ht="15.75" customHeight="1">
      <c r="R346" s="30"/>
    </row>
    <row r="347" spans="18:18" ht="15.75" customHeight="1">
      <c r="R347" s="30"/>
    </row>
    <row r="348" spans="18:18" ht="15.75" customHeight="1">
      <c r="R348" s="30"/>
    </row>
    <row r="349" spans="18:18" ht="15.75" customHeight="1">
      <c r="R349" s="30"/>
    </row>
    <row r="350" spans="18:18" ht="15.75" customHeight="1">
      <c r="R350" s="30"/>
    </row>
    <row r="351" spans="18:18" ht="15.75" customHeight="1">
      <c r="R351" s="30"/>
    </row>
    <row r="352" spans="18:18" ht="15.75" customHeight="1">
      <c r="R352" s="30"/>
    </row>
    <row r="353" spans="18:18" ht="15.75" customHeight="1">
      <c r="R353" s="30"/>
    </row>
    <row r="354" spans="18:18" ht="15.75" customHeight="1">
      <c r="R354" s="30"/>
    </row>
    <row r="355" spans="18:18" ht="15.75" customHeight="1">
      <c r="R355" s="30"/>
    </row>
    <row r="356" spans="18:18" ht="15.75" customHeight="1">
      <c r="R356" s="30"/>
    </row>
    <row r="357" spans="18:18" ht="15.75" customHeight="1">
      <c r="R357" s="30"/>
    </row>
    <row r="358" spans="18:18" ht="15.75" customHeight="1">
      <c r="R358" s="30"/>
    </row>
    <row r="359" spans="18:18" ht="15.75" customHeight="1">
      <c r="R359" s="30"/>
    </row>
    <row r="360" spans="18:18" ht="15.75" customHeight="1">
      <c r="R360" s="30"/>
    </row>
    <row r="361" spans="18:18" ht="15.75" customHeight="1">
      <c r="R361" s="30"/>
    </row>
    <row r="362" spans="18:18" ht="15.75" customHeight="1">
      <c r="R362" s="30"/>
    </row>
    <row r="363" spans="18:18" ht="15.75" customHeight="1">
      <c r="R363" s="30"/>
    </row>
    <row r="364" spans="18:18" ht="15.75" customHeight="1">
      <c r="R364" s="30"/>
    </row>
    <row r="365" spans="18:18" ht="15.75" customHeight="1">
      <c r="R365" s="30"/>
    </row>
    <row r="366" spans="18:18" ht="15.75" customHeight="1">
      <c r="R366" s="30"/>
    </row>
    <row r="367" spans="18:18" ht="15.75" customHeight="1">
      <c r="R367" s="30"/>
    </row>
    <row r="368" spans="18:18" ht="15.75" customHeight="1">
      <c r="R368" s="30"/>
    </row>
    <row r="369" spans="18:18" ht="15.75" customHeight="1">
      <c r="R369" s="30"/>
    </row>
    <row r="370" spans="18:18" ht="15.75" customHeight="1">
      <c r="R370" s="30"/>
    </row>
    <row r="371" spans="18:18" ht="15.75" customHeight="1">
      <c r="R371" s="30"/>
    </row>
    <row r="372" spans="18:18" ht="15.75" customHeight="1">
      <c r="R372" s="30"/>
    </row>
    <row r="373" spans="18:18" ht="15.75" customHeight="1">
      <c r="R373" s="30"/>
    </row>
    <row r="374" spans="18:18" ht="15.75" customHeight="1">
      <c r="R374" s="30"/>
    </row>
    <row r="375" spans="18:18" ht="15.75" customHeight="1">
      <c r="R375" s="30"/>
    </row>
    <row r="376" spans="18:18" ht="15.75" customHeight="1">
      <c r="R376" s="30"/>
    </row>
    <row r="377" spans="18:18" ht="15.75" customHeight="1">
      <c r="R377" s="30"/>
    </row>
    <row r="378" spans="18:18" ht="15.75" customHeight="1">
      <c r="R378" s="30"/>
    </row>
    <row r="379" spans="18:18" ht="15.75" customHeight="1">
      <c r="R379" s="30"/>
    </row>
    <row r="380" spans="18:18" ht="15.75" customHeight="1">
      <c r="R380" s="30"/>
    </row>
    <row r="381" spans="18:18" ht="15.75" customHeight="1">
      <c r="R381" s="30"/>
    </row>
    <row r="382" spans="18:18" ht="15.75" customHeight="1">
      <c r="R382" s="30"/>
    </row>
    <row r="383" spans="18:18" ht="15.75" customHeight="1">
      <c r="R383" s="30"/>
    </row>
    <row r="384" spans="18:18" ht="15.75" customHeight="1">
      <c r="R384" s="30"/>
    </row>
    <row r="385" spans="18:18" ht="15.75" customHeight="1">
      <c r="R385" s="30"/>
    </row>
    <row r="386" spans="18:18" ht="15.75" customHeight="1">
      <c r="R386" s="30"/>
    </row>
    <row r="387" spans="18:18" ht="15.75" customHeight="1">
      <c r="R387" s="30"/>
    </row>
    <row r="388" spans="18:18" ht="15.75" customHeight="1">
      <c r="R388" s="30"/>
    </row>
    <row r="389" spans="18:18" ht="15.75" customHeight="1">
      <c r="R389" s="30"/>
    </row>
    <row r="390" spans="18:18" ht="15.75" customHeight="1">
      <c r="R390" s="30"/>
    </row>
    <row r="391" spans="18:18" ht="15.75" customHeight="1">
      <c r="R391" s="30"/>
    </row>
    <row r="392" spans="18:18" ht="15.75" customHeight="1">
      <c r="R392" s="30"/>
    </row>
    <row r="393" spans="18:18" ht="15.75" customHeight="1">
      <c r="R393" s="30"/>
    </row>
    <row r="394" spans="18:18" ht="15.75" customHeight="1">
      <c r="R394" s="30"/>
    </row>
    <row r="395" spans="18:18" ht="15.75" customHeight="1">
      <c r="R395" s="30"/>
    </row>
    <row r="396" spans="18:18" ht="15.75" customHeight="1">
      <c r="R396" s="30"/>
    </row>
    <row r="397" spans="18:18" ht="15.75" customHeight="1">
      <c r="R397" s="30"/>
    </row>
    <row r="398" spans="18:18" ht="15.75" customHeight="1">
      <c r="R398" s="30"/>
    </row>
    <row r="399" spans="18:18" ht="15.75" customHeight="1">
      <c r="R399" s="30"/>
    </row>
    <row r="400" spans="18:18" ht="15.75" customHeight="1">
      <c r="R400" s="30"/>
    </row>
    <row r="401" spans="18:18" ht="15.75" customHeight="1">
      <c r="R401" s="30"/>
    </row>
    <row r="402" spans="18:18" ht="15.75" customHeight="1">
      <c r="R402" s="30"/>
    </row>
    <row r="403" spans="18:18" ht="15.75" customHeight="1">
      <c r="R403" s="30"/>
    </row>
    <row r="404" spans="18:18" ht="15.75" customHeight="1">
      <c r="R404" s="30"/>
    </row>
    <row r="405" spans="18:18" ht="15.75" customHeight="1">
      <c r="R405" s="30"/>
    </row>
    <row r="406" spans="18:18" ht="15.75" customHeight="1">
      <c r="R406" s="30"/>
    </row>
    <row r="407" spans="18:18" ht="15.75" customHeight="1">
      <c r="R407" s="30"/>
    </row>
    <row r="408" spans="18:18" ht="15.75" customHeight="1">
      <c r="R408" s="30"/>
    </row>
    <row r="409" spans="18:18" ht="15.75" customHeight="1">
      <c r="R409" s="30"/>
    </row>
    <row r="410" spans="18:18" ht="15.75" customHeight="1">
      <c r="R410" s="30"/>
    </row>
    <row r="411" spans="18:18" ht="15.75" customHeight="1">
      <c r="R411" s="30"/>
    </row>
    <row r="412" spans="18:18" ht="15.75" customHeight="1">
      <c r="R412" s="30"/>
    </row>
    <row r="413" spans="18:18" ht="15.75" customHeight="1">
      <c r="R413" s="30"/>
    </row>
    <row r="414" spans="18:18" ht="15.75" customHeight="1">
      <c r="R414" s="30"/>
    </row>
    <row r="415" spans="18:18" ht="15.75" customHeight="1">
      <c r="R415" s="30"/>
    </row>
    <row r="416" spans="18:18" ht="15.75" customHeight="1">
      <c r="R416" s="30"/>
    </row>
    <row r="417" spans="18:18" ht="15.75" customHeight="1">
      <c r="R417" s="30"/>
    </row>
    <row r="418" spans="18:18" ht="15.75" customHeight="1">
      <c r="R418" s="30"/>
    </row>
    <row r="419" spans="18:18" ht="15.75" customHeight="1">
      <c r="R419" s="30"/>
    </row>
    <row r="420" spans="18:18" ht="15.75" customHeight="1">
      <c r="R420" s="30"/>
    </row>
    <row r="421" spans="18:18" ht="15.75" customHeight="1">
      <c r="R421" s="30"/>
    </row>
    <row r="422" spans="18:18" ht="15.75" customHeight="1">
      <c r="R422" s="30"/>
    </row>
    <row r="423" spans="18:18" ht="15.75" customHeight="1">
      <c r="R423" s="30"/>
    </row>
    <row r="424" spans="18:18" ht="15.75" customHeight="1">
      <c r="R424" s="30"/>
    </row>
    <row r="425" spans="18:18" ht="15.75" customHeight="1">
      <c r="R425" s="30"/>
    </row>
    <row r="426" spans="18:18" ht="15.75" customHeight="1">
      <c r="R426" s="30"/>
    </row>
    <row r="427" spans="18:18" ht="15.75" customHeight="1">
      <c r="R427" s="30"/>
    </row>
    <row r="428" spans="18:18" ht="15.75" customHeight="1">
      <c r="R428" s="30"/>
    </row>
    <row r="429" spans="18:18" ht="15.75" customHeight="1">
      <c r="R429" s="30"/>
    </row>
    <row r="430" spans="18:18" ht="15.75" customHeight="1">
      <c r="R430" s="30"/>
    </row>
    <row r="431" spans="18:18" ht="15.75" customHeight="1">
      <c r="R431" s="30"/>
    </row>
    <row r="432" spans="18:18" ht="15.75" customHeight="1">
      <c r="R432" s="30"/>
    </row>
    <row r="433" spans="18:18" ht="15.75" customHeight="1">
      <c r="R433" s="30"/>
    </row>
    <row r="434" spans="18:18" ht="15.75" customHeight="1">
      <c r="R434" s="30"/>
    </row>
    <row r="435" spans="18:18" ht="15.75" customHeight="1">
      <c r="R435" s="30"/>
    </row>
    <row r="436" spans="18:18" ht="15.75" customHeight="1">
      <c r="R436" s="30"/>
    </row>
    <row r="437" spans="18:18" ht="15.75" customHeight="1">
      <c r="R437" s="30"/>
    </row>
    <row r="438" spans="18:18" ht="15.75" customHeight="1">
      <c r="R438" s="30"/>
    </row>
    <row r="439" spans="18:18" ht="15.75" customHeight="1">
      <c r="R439" s="30"/>
    </row>
    <row r="440" spans="18:18" ht="15.75" customHeight="1">
      <c r="R440" s="30"/>
    </row>
    <row r="441" spans="18:18" ht="15.75" customHeight="1">
      <c r="R441" s="30"/>
    </row>
    <row r="442" spans="18:18" ht="15.75" customHeight="1">
      <c r="R442" s="30"/>
    </row>
    <row r="443" spans="18:18" ht="15.75" customHeight="1">
      <c r="R443" s="30"/>
    </row>
    <row r="444" spans="18:18" ht="15.75" customHeight="1">
      <c r="R444" s="30"/>
    </row>
    <row r="445" spans="18:18" ht="15.75" customHeight="1">
      <c r="R445" s="30"/>
    </row>
    <row r="446" spans="18:18" ht="15.75" customHeight="1">
      <c r="R446" s="30"/>
    </row>
    <row r="447" spans="18:18" ht="15.75" customHeight="1">
      <c r="R447" s="30"/>
    </row>
    <row r="448" spans="18:18" ht="15.75" customHeight="1">
      <c r="R448" s="30"/>
    </row>
    <row r="449" spans="18:18" ht="15.75" customHeight="1">
      <c r="R449" s="30"/>
    </row>
    <row r="450" spans="18:18" ht="15.75" customHeight="1">
      <c r="R450" s="30"/>
    </row>
    <row r="451" spans="18:18" ht="15.75" customHeight="1">
      <c r="R451" s="30"/>
    </row>
    <row r="452" spans="18:18" ht="15.75" customHeight="1">
      <c r="R452" s="30"/>
    </row>
    <row r="453" spans="18:18" ht="15.75" customHeight="1">
      <c r="R453" s="30"/>
    </row>
    <row r="454" spans="18:18" ht="15.75" customHeight="1">
      <c r="R454" s="30"/>
    </row>
    <row r="455" spans="18:18" ht="15.75" customHeight="1">
      <c r="R455" s="30"/>
    </row>
    <row r="456" spans="18:18" ht="15.75" customHeight="1">
      <c r="R456" s="30"/>
    </row>
    <row r="457" spans="18:18" ht="15.75" customHeight="1">
      <c r="R457" s="30"/>
    </row>
    <row r="458" spans="18:18" ht="15.75" customHeight="1">
      <c r="R458" s="30"/>
    </row>
    <row r="459" spans="18:18" ht="15.75" customHeight="1">
      <c r="R459" s="30"/>
    </row>
    <row r="460" spans="18:18" ht="15.75" customHeight="1">
      <c r="R460" s="30"/>
    </row>
    <row r="461" spans="18:18" ht="15.75" customHeight="1">
      <c r="R461" s="30"/>
    </row>
    <row r="462" spans="18:18" ht="15.75" customHeight="1">
      <c r="R462" s="30"/>
    </row>
    <row r="463" spans="18:18" ht="15.75" customHeight="1">
      <c r="R463" s="30"/>
    </row>
    <row r="464" spans="18:18" ht="15.75" customHeight="1">
      <c r="R464" s="30"/>
    </row>
    <row r="465" spans="18:18" ht="15.75" customHeight="1">
      <c r="R465" s="30"/>
    </row>
    <row r="466" spans="18:18" ht="15.75" customHeight="1">
      <c r="R466" s="30"/>
    </row>
    <row r="467" spans="18:18" ht="15.75" customHeight="1">
      <c r="R467" s="30"/>
    </row>
    <row r="468" spans="18:18" ht="15.75" customHeight="1">
      <c r="R468" s="30"/>
    </row>
    <row r="469" spans="18:18" ht="15.75" customHeight="1">
      <c r="R469" s="30"/>
    </row>
    <row r="470" spans="18:18" ht="15.75" customHeight="1">
      <c r="R470" s="30"/>
    </row>
    <row r="471" spans="18:18" ht="15.75" customHeight="1">
      <c r="R471" s="30"/>
    </row>
    <row r="472" spans="18:18" ht="15.75" customHeight="1">
      <c r="R472" s="30"/>
    </row>
    <row r="473" spans="18:18" ht="15.75" customHeight="1">
      <c r="R473" s="30"/>
    </row>
    <row r="474" spans="18:18" ht="15.75" customHeight="1">
      <c r="R474" s="30"/>
    </row>
    <row r="475" spans="18:18" ht="15.75" customHeight="1">
      <c r="R475" s="30"/>
    </row>
    <row r="476" spans="18:18" ht="15.75" customHeight="1">
      <c r="R476" s="30"/>
    </row>
    <row r="477" spans="18:18" ht="15.75" customHeight="1">
      <c r="R477" s="30"/>
    </row>
    <row r="478" spans="18:18" ht="15.75" customHeight="1">
      <c r="R478" s="30"/>
    </row>
    <row r="479" spans="18:18" ht="15.75" customHeight="1">
      <c r="R479" s="30"/>
    </row>
    <row r="480" spans="18:18" ht="15.75" customHeight="1">
      <c r="R480" s="30"/>
    </row>
    <row r="481" spans="18:18" ht="15.75" customHeight="1">
      <c r="R481" s="30"/>
    </row>
    <row r="482" spans="18:18" ht="15.75" customHeight="1">
      <c r="R482" s="30"/>
    </row>
    <row r="483" spans="18:18" ht="15.75" customHeight="1">
      <c r="R483" s="30"/>
    </row>
    <row r="484" spans="18:18" ht="15.75" customHeight="1">
      <c r="R484" s="30"/>
    </row>
    <row r="485" spans="18:18" ht="15.75" customHeight="1">
      <c r="R485" s="30"/>
    </row>
    <row r="486" spans="18:18" ht="15.75" customHeight="1">
      <c r="R486" s="30"/>
    </row>
    <row r="487" spans="18:18" ht="15.75" customHeight="1">
      <c r="R487" s="30"/>
    </row>
    <row r="488" spans="18:18" ht="15.75" customHeight="1">
      <c r="R488" s="30"/>
    </row>
    <row r="489" spans="18:18" ht="15.75" customHeight="1">
      <c r="R489" s="30"/>
    </row>
    <row r="490" spans="18:18" ht="15.75" customHeight="1">
      <c r="R490" s="30"/>
    </row>
    <row r="491" spans="18:18" ht="15.75" customHeight="1">
      <c r="R491" s="30"/>
    </row>
    <row r="492" spans="18:18" ht="15.75" customHeight="1">
      <c r="R492" s="30"/>
    </row>
    <row r="493" spans="18:18" ht="15.75" customHeight="1">
      <c r="R493" s="30"/>
    </row>
    <row r="494" spans="18:18" ht="15.75" customHeight="1">
      <c r="R494" s="30"/>
    </row>
    <row r="495" spans="18:18" ht="15.75" customHeight="1">
      <c r="R495" s="30"/>
    </row>
    <row r="496" spans="18:18" ht="15.75" customHeight="1">
      <c r="R496" s="30"/>
    </row>
    <row r="497" spans="18:18" ht="15.75" customHeight="1">
      <c r="R497" s="30"/>
    </row>
    <row r="498" spans="18:18" ht="15.75" customHeight="1">
      <c r="R498" s="30"/>
    </row>
    <row r="499" spans="18:18" ht="15.75" customHeight="1">
      <c r="R499" s="30"/>
    </row>
    <row r="500" spans="18:18" ht="15.75" customHeight="1">
      <c r="R500" s="30"/>
    </row>
    <row r="501" spans="18:18" ht="15.75" customHeight="1">
      <c r="R501" s="30"/>
    </row>
    <row r="502" spans="18:18" ht="15.75" customHeight="1">
      <c r="R502" s="30"/>
    </row>
    <row r="503" spans="18:18" ht="15.75" customHeight="1">
      <c r="R503" s="30"/>
    </row>
    <row r="504" spans="18:18" ht="15.75" customHeight="1">
      <c r="R504" s="30"/>
    </row>
    <row r="505" spans="18:18" ht="15.75" customHeight="1">
      <c r="R505" s="30"/>
    </row>
    <row r="506" spans="18:18" ht="15.75" customHeight="1">
      <c r="R506" s="30"/>
    </row>
    <row r="507" spans="18:18" ht="15.75" customHeight="1">
      <c r="R507" s="30"/>
    </row>
    <row r="508" spans="18:18" ht="15.75" customHeight="1">
      <c r="R508" s="30"/>
    </row>
    <row r="509" spans="18:18" ht="15.75" customHeight="1">
      <c r="R509" s="30"/>
    </row>
    <row r="510" spans="18:18" ht="15.75" customHeight="1">
      <c r="R510" s="30"/>
    </row>
    <row r="511" spans="18:18" ht="15.75" customHeight="1">
      <c r="R511" s="30"/>
    </row>
    <row r="512" spans="18:18" ht="15.75" customHeight="1">
      <c r="R512" s="30"/>
    </row>
    <row r="513" spans="18:18" ht="15.75" customHeight="1">
      <c r="R513" s="30"/>
    </row>
    <row r="514" spans="18:18" ht="15.75" customHeight="1">
      <c r="R514" s="30"/>
    </row>
    <row r="515" spans="18:18" ht="15.75" customHeight="1">
      <c r="R515" s="30"/>
    </row>
    <row r="516" spans="18:18" ht="15.75" customHeight="1">
      <c r="R516" s="30"/>
    </row>
    <row r="517" spans="18:18" ht="15.75" customHeight="1">
      <c r="R517" s="30"/>
    </row>
    <row r="518" spans="18:18" ht="15.75" customHeight="1">
      <c r="R518" s="30"/>
    </row>
    <row r="519" spans="18:18" ht="15.75" customHeight="1">
      <c r="R519" s="30"/>
    </row>
    <row r="520" spans="18:18" ht="15.75" customHeight="1">
      <c r="R520" s="30"/>
    </row>
    <row r="521" spans="18:18" ht="15.75" customHeight="1">
      <c r="R521" s="30"/>
    </row>
    <row r="522" spans="18:18" ht="15.75" customHeight="1">
      <c r="R522" s="30"/>
    </row>
    <row r="523" spans="18:18" ht="15.75" customHeight="1">
      <c r="R523" s="30"/>
    </row>
    <row r="524" spans="18:18" ht="15.75" customHeight="1">
      <c r="R524" s="30"/>
    </row>
    <row r="525" spans="18:18" ht="15.75" customHeight="1">
      <c r="R525" s="30"/>
    </row>
    <row r="526" spans="18:18" ht="15.75" customHeight="1">
      <c r="R526" s="30"/>
    </row>
    <row r="527" spans="18:18" ht="15.75" customHeight="1">
      <c r="R527" s="30"/>
    </row>
    <row r="528" spans="18:18" ht="15.75" customHeight="1">
      <c r="R528" s="30"/>
    </row>
    <row r="529" spans="18:18" ht="15.75" customHeight="1">
      <c r="R529" s="30"/>
    </row>
    <row r="530" spans="18:18" ht="15.75" customHeight="1">
      <c r="R530" s="30"/>
    </row>
    <row r="531" spans="18:18" ht="15.75" customHeight="1">
      <c r="R531" s="30"/>
    </row>
    <row r="532" spans="18:18" ht="15.75" customHeight="1">
      <c r="R532" s="30"/>
    </row>
    <row r="533" spans="18:18" ht="15.75" customHeight="1">
      <c r="R533" s="30"/>
    </row>
    <row r="534" spans="18:18" ht="15.75" customHeight="1">
      <c r="R534" s="30"/>
    </row>
    <row r="535" spans="18:18" ht="15.75" customHeight="1">
      <c r="R535" s="30"/>
    </row>
    <row r="536" spans="18:18" ht="15.75" customHeight="1">
      <c r="R536" s="30"/>
    </row>
    <row r="537" spans="18:18" ht="15.75" customHeight="1">
      <c r="R537" s="30"/>
    </row>
    <row r="538" spans="18:18" ht="15.75" customHeight="1">
      <c r="R538" s="30"/>
    </row>
    <row r="539" spans="18:18" ht="15.75" customHeight="1">
      <c r="R539" s="30"/>
    </row>
    <row r="540" spans="18:18" ht="15.75" customHeight="1">
      <c r="R540" s="30"/>
    </row>
    <row r="541" spans="18:18" ht="15.75" customHeight="1">
      <c r="R541" s="30"/>
    </row>
    <row r="542" spans="18:18" ht="15.75" customHeight="1">
      <c r="R542" s="30"/>
    </row>
    <row r="543" spans="18:18" ht="15.75" customHeight="1">
      <c r="R543" s="30"/>
    </row>
    <row r="544" spans="18:18" ht="15.75" customHeight="1">
      <c r="R544" s="30"/>
    </row>
    <row r="545" spans="18:18" ht="15.75" customHeight="1">
      <c r="R545" s="30"/>
    </row>
    <row r="546" spans="18:18" ht="15.75" customHeight="1">
      <c r="R546" s="30"/>
    </row>
    <row r="547" spans="18:18" ht="15.75" customHeight="1">
      <c r="R547" s="30"/>
    </row>
    <row r="548" spans="18:18" ht="15.75" customHeight="1">
      <c r="R548" s="30"/>
    </row>
    <row r="549" spans="18:18" ht="15.75" customHeight="1">
      <c r="R549" s="30"/>
    </row>
    <row r="550" spans="18:18" ht="15.75" customHeight="1">
      <c r="R550" s="30"/>
    </row>
    <row r="551" spans="18:18" ht="15.75" customHeight="1">
      <c r="R551" s="30"/>
    </row>
    <row r="552" spans="18:18" ht="15.75" customHeight="1">
      <c r="R552" s="30"/>
    </row>
    <row r="553" spans="18:18" ht="15.75" customHeight="1">
      <c r="R553" s="30"/>
    </row>
    <row r="554" spans="18:18" ht="15.75" customHeight="1">
      <c r="R554" s="30"/>
    </row>
    <row r="555" spans="18:18" ht="15.75" customHeight="1">
      <c r="R555" s="30"/>
    </row>
    <row r="556" spans="18:18" ht="15.75" customHeight="1">
      <c r="R556" s="30"/>
    </row>
    <row r="557" spans="18:18" ht="15.75" customHeight="1">
      <c r="R557" s="30"/>
    </row>
    <row r="558" spans="18:18" ht="15.75" customHeight="1">
      <c r="R558" s="30"/>
    </row>
    <row r="559" spans="18:18" ht="15.75" customHeight="1">
      <c r="R559" s="30"/>
    </row>
    <row r="560" spans="18:18" ht="15.75" customHeight="1">
      <c r="R560" s="30"/>
    </row>
    <row r="561" spans="18:18" ht="15.75" customHeight="1">
      <c r="R561" s="30"/>
    </row>
    <row r="562" spans="18:18" ht="15.75" customHeight="1">
      <c r="R562" s="30"/>
    </row>
    <row r="563" spans="18:18" ht="15.75" customHeight="1">
      <c r="R563" s="30"/>
    </row>
    <row r="564" spans="18:18" ht="15.75" customHeight="1">
      <c r="R564" s="30"/>
    </row>
    <row r="565" spans="18:18" ht="15.75" customHeight="1">
      <c r="R565" s="30"/>
    </row>
    <row r="566" spans="18:18" ht="15.75" customHeight="1">
      <c r="R566" s="30"/>
    </row>
    <row r="567" spans="18:18" ht="15.75" customHeight="1">
      <c r="R567" s="30"/>
    </row>
    <row r="568" spans="18:18" ht="15.75" customHeight="1">
      <c r="R568" s="30"/>
    </row>
    <row r="569" spans="18:18" ht="15.75" customHeight="1">
      <c r="R569" s="30"/>
    </row>
    <row r="570" spans="18:18" ht="15.75" customHeight="1">
      <c r="R570" s="30"/>
    </row>
    <row r="571" spans="18:18" ht="15.75" customHeight="1">
      <c r="R571" s="30"/>
    </row>
    <row r="572" spans="18:18" ht="15.75" customHeight="1">
      <c r="R572" s="30"/>
    </row>
    <row r="573" spans="18:18" ht="15.75" customHeight="1">
      <c r="R573" s="30"/>
    </row>
    <row r="574" spans="18:18" ht="15.75" customHeight="1">
      <c r="R574" s="30"/>
    </row>
    <row r="575" spans="18:18" ht="15.75" customHeight="1">
      <c r="R575" s="30"/>
    </row>
    <row r="576" spans="18:18" ht="15.75" customHeight="1">
      <c r="R576" s="30"/>
    </row>
    <row r="577" spans="18:18" ht="15.75" customHeight="1">
      <c r="R577" s="30"/>
    </row>
    <row r="578" spans="18:18" ht="15.75" customHeight="1">
      <c r="R578" s="30"/>
    </row>
    <row r="579" spans="18:18" ht="15.75" customHeight="1">
      <c r="R579" s="30"/>
    </row>
    <row r="580" spans="18:18" ht="15.75" customHeight="1">
      <c r="R580" s="30"/>
    </row>
    <row r="581" spans="18:18" ht="15.75" customHeight="1">
      <c r="R581" s="30"/>
    </row>
    <row r="582" spans="18:18" ht="15.75" customHeight="1">
      <c r="R582" s="30"/>
    </row>
    <row r="583" spans="18:18" ht="15.75" customHeight="1">
      <c r="R583" s="30"/>
    </row>
    <row r="584" spans="18:18" ht="15.75" customHeight="1">
      <c r="R584" s="30"/>
    </row>
    <row r="585" spans="18:18" ht="15.75" customHeight="1">
      <c r="R585" s="30"/>
    </row>
    <row r="586" spans="18:18" ht="15.75" customHeight="1">
      <c r="R586" s="30"/>
    </row>
    <row r="587" spans="18:18" ht="15.75" customHeight="1">
      <c r="R587" s="30"/>
    </row>
    <row r="588" spans="18:18" ht="15.75" customHeight="1">
      <c r="R588" s="30"/>
    </row>
    <row r="589" spans="18:18" ht="15.75" customHeight="1">
      <c r="R589" s="30"/>
    </row>
    <row r="590" spans="18:18" ht="15.75" customHeight="1">
      <c r="R590" s="30"/>
    </row>
    <row r="591" spans="18:18" ht="15.75" customHeight="1">
      <c r="R591" s="30"/>
    </row>
    <row r="592" spans="18:18" ht="15.75" customHeight="1">
      <c r="R592" s="30"/>
    </row>
    <row r="593" spans="18:18" ht="15.75" customHeight="1">
      <c r="R593" s="30"/>
    </row>
    <row r="594" spans="18:18" ht="15.75" customHeight="1">
      <c r="R594" s="30"/>
    </row>
    <row r="595" spans="18:18" ht="15.75" customHeight="1">
      <c r="R595" s="30"/>
    </row>
    <row r="596" spans="18:18" ht="15.75" customHeight="1">
      <c r="R596" s="30"/>
    </row>
    <row r="597" spans="18:18" ht="15.75" customHeight="1">
      <c r="R597" s="30"/>
    </row>
    <row r="598" spans="18:18" ht="15.75" customHeight="1">
      <c r="R598" s="30"/>
    </row>
    <row r="599" spans="18:18" ht="15.75" customHeight="1">
      <c r="R599" s="30"/>
    </row>
    <row r="600" spans="18:18" ht="15.75" customHeight="1">
      <c r="R600" s="30"/>
    </row>
    <row r="601" spans="18:18" ht="15.75" customHeight="1">
      <c r="R601" s="30"/>
    </row>
    <row r="602" spans="18:18" ht="15.75" customHeight="1">
      <c r="R602" s="30"/>
    </row>
    <row r="603" spans="18:18" ht="15.75" customHeight="1">
      <c r="R603" s="30"/>
    </row>
    <row r="604" spans="18:18" ht="15.75" customHeight="1">
      <c r="R604" s="30"/>
    </row>
    <row r="605" spans="18:18" ht="15.75" customHeight="1">
      <c r="R605" s="30"/>
    </row>
    <row r="606" spans="18:18" ht="15.75" customHeight="1">
      <c r="R606" s="30"/>
    </row>
    <row r="607" spans="18:18" ht="15.75" customHeight="1">
      <c r="R607" s="30"/>
    </row>
    <row r="608" spans="18:18" ht="15.75" customHeight="1">
      <c r="R608" s="30"/>
    </row>
    <row r="609" spans="18:18" ht="15.75" customHeight="1">
      <c r="R609" s="30"/>
    </row>
    <row r="610" spans="18:18" ht="15.75" customHeight="1">
      <c r="R610" s="30"/>
    </row>
    <row r="611" spans="18:18" ht="15.75" customHeight="1">
      <c r="R611" s="30"/>
    </row>
    <row r="612" spans="18:18" ht="15.75" customHeight="1">
      <c r="R612" s="30"/>
    </row>
    <row r="613" spans="18:18" ht="15.75" customHeight="1">
      <c r="R613" s="30"/>
    </row>
    <row r="614" spans="18:18" ht="15.75" customHeight="1">
      <c r="R614" s="30"/>
    </row>
    <row r="615" spans="18:18" ht="15.75" customHeight="1">
      <c r="R615" s="30"/>
    </row>
    <row r="616" spans="18:18" ht="15.75" customHeight="1">
      <c r="R616" s="30"/>
    </row>
    <row r="617" spans="18:18" ht="15.75" customHeight="1">
      <c r="R617" s="30"/>
    </row>
    <row r="618" spans="18:18" ht="15.75" customHeight="1">
      <c r="R618" s="30"/>
    </row>
    <row r="619" spans="18:18" ht="15.75" customHeight="1">
      <c r="R619" s="30"/>
    </row>
    <row r="620" spans="18:18" ht="15.75" customHeight="1">
      <c r="R620" s="30"/>
    </row>
    <row r="621" spans="18:18" ht="15.75" customHeight="1">
      <c r="R621" s="30"/>
    </row>
    <row r="622" spans="18:18" ht="15.75" customHeight="1">
      <c r="R622" s="30"/>
    </row>
    <row r="623" spans="18:18" ht="15.75" customHeight="1">
      <c r="R623" s="30"/>
    </row>
    <row r="624" spans="18:18" ht="15.75" customHeight="1">
      <c r="R624" s="30"/>
    </row>
    <row r="625" spans="18:18" ht="15.75" customHeight="1">
      <c r="R625" s="30"/>
    </row>
    <row r="626" spans="18:18" ht="15.75" customHeight="1">
      <c r="R626" s="30"/>
    </row>
    <row r="627" spans="18:18" ht="15.75" customHeight="1">
      <c r="R627" s="30"/>
    </row>
    <row r="628" spans="18:18" ht="15.75" customHeight="1">
      <c r="R628" s="30"/>
    </row>
    <row r="629" spans="18:18" ht="15.75" customHeight="1">
      <c r="R629" s="30"/>
    </row>
    <row r="630" spans="18:18" ht="15.75" customHeight="1">
      <c r="R630" s="30"/>
    </row>
    <row r="631" spans="18:18" ht="15.75" customHeight="1">
      <c r="R631" s="30"/>
    </row>
    <row r="632" spans="18:18" ht="15.75" customHeight="1">
      <c r="R632" s="30"/>
    </row>
    <row r="633" spans="18:18" ht="15.75" customHeight="1">
      <c r="R633" s="30"/>
    </row>
    <row r="634" spans="18:18" ht="15.75" customHeight="1">
      <c r="R634" s="30"/>
    </row>
    <row r="635" spans="18:18" ht="15.75" customHeight="1">
      <c r="R635" s="30"/>
    </row>
    <row r="636" spans="18:18" ht="15.75" customHeight="1">
      <c r="R636" s="30"/>
    </row>
    <row r="637" spans="18:18" ht="15.75" customHeight="1">
      <c r="R637" s="30"/>
    </row>
    <row r="638" spans="18:18" ht="15.75" customHeight="1">
      <c r="R638" s="30"/>
    </row>
    <row r="639" spans="18:18" ht="15.75" customHeight="1">
      <c r="R639" s="30"/>
    </row>
    <row r="640" spans="18:18" ht="15.75" customHeight="1">
      <c r="R640" s="30"/>
    </row>
    <row r="641" spans="18:18" ht="15.75" customHeight="1">
      <c r="R641" s="30"/>
    </row>
    <row r="642" spans="18:18" ht="15.75" customHeight="1">
      <c r="R642" s="30"/>
    </row>
    <row r="643" spans="18:18" ht="15.75" customHeight="1">
      <c r="R643" s="30"/>
    </row>
    <row r="644" spans="18:18" ht="15.75" customHeight="1">
      <c r="R644" s="30"/>
    </row>
    <row r="645" spans="18:18" ht="15.75" customHeight="1">
      <c r="R645" s="30"/>
    </row>
    <row r="646" spans="18:18" ht="15.75" customHeight="1">
      <c r="R646" s="30"/>
    </row>
    <row r="647" spans="18:18" ht="15.75" customHeight="1">
      <c r="R647" s="30"/>
    </row>
    <row r="648" spans="18:18" ht="15.75" customHeight="1">
      <c r="R648" s="30"/>
    </row>
    <row r="649" spans="18:18" ht="15.75" customHeight="1">
      <c r="R649" s="30"/>
    </row>
    <row r="650" spans="18:18" ht="15.75" customHeight="1">
      <c r="R650" s="30"/>
    </row>
    <row r="651" spans="18:18" ht="15.75" customHeight="1">
      <c r="R651" s="30"/>
    </row>
    <row r="652" spans="18:18" ht="15.75" customHeight="1">
      <c r="R652" s="30"/>
    </row>
    <row r="653" spans="18:18" ht="15.75" customHeight="1">
      <c r="R653" s="30"/>
    </row>
    <row r="654" spans="18:18" ht="15.75" customHeight="1">
      <c r="R654" s="30"/>
    </row>
    <row r="655" spans="18:18" ht="15.75" customHeight="1">
      <c r="R655" s="30"/>
    </row>
    <row r="656" spans="18:18" ht="15.75" customHeight="1">
      <c r="R656" s="30"/>
    </row>
    <row r="657" spans="18:18" ht="15.75" customHeight="1">
      <c r="R657" s="30"/>
    </row>
    <row r="658" spans="18:18" ht="15.75" customHeight="1">
      <c r="R658" s="30"/>
    </row>
    <row r="659" spans="18:18" ht="15.75" customHeight="1">
      <c r="R659" s="30"/>
    </row>
    <row r="660" spans="18:18" ht="15.75" customHeight="1">
      <c r="R660" s="30"/>
    </row>
    <row r="661" spans="18:18" ht="15.75" customHeight="1">
      <c r="R661" s="30"/>
    </row>
    <row r="662" spans="18:18" ht="15.75" customHeight="1">
      <c r="R662" s="30"/>
    </row>
    <row r="663" spans="18:18" ht="15.75" customHeight="1">
      <c r="R663" s="30"/>
    </row>
    <row r="664" spans="18:18" ht="15.75" customHeight="1">
      <c r="R664" s="30"/>
    </row>
    <row r="665" spans="18:18" ht="15.75" customHeight="1">
      <c r="R665" s="30"/>
    </row>
    <row r="666" spans="18:18" ht="15.75" customHeight="1">
      <c r="R666" s="30"/>
    </row>
    <row r="667" spans="18:18" ht="15.75" customHeight="1">
      <c r="R667" s="30"/>
    </row>
    <row r="668" spans="18:18" ht="15.75" customHeight="1">
      <c r="R668" s="30"/>
    </row>
    <row r="669" spans="18:18" ht="15.75" customHeight="1">
      <c r="R669" s="30"/>
    </row>
    <row r="670" spans="18:18" ht="15.75" customHeight="1">
      <c r="R670" s="30"/>
    </row>
    <row r="671" spans="18:18" ht="15.75" customHeight="1">
      <c r="R671" s="30"/>
    </row>
    <row r="672" spans="18:18" ht="15.75" customHeight="1">
      <c r="R672" s="30"/>
    </row>
    <row r="673" spans="18:18" ht="15.75" customHeight="1">
      <c r="R673" s="30"/>
    </row>
    <row r="674" spans="18:18" ht="15.75" customHeight="1">
      <c r="R674" s="30"/>
    </row>
    <row r="675" spans="18:18" ht="15.75" customHeight="1">
      <c r="R675" s="30"/>
    </row>
    <row r="676" spans="18:18" ht="15.75" customHeight="1">
      <c r="R676" s="30"/>
    </row>
    <row r="677" spans="18:18" ht="15.75" customHeight="1">
      <c r="R677" s="30"/>
    </row>
    <row r="678" spans="18:18" ht="15.75" customHeight="1">
      <c r="R678" s="30"/>
    </row>
    <row r="679" spans="18:18" ht="15.75" customHeight="1">
      <c r="R679" s="30"/>
    </row>
    <row r="680" spans="18:18" ht="15.75" customHeight="1">
      <c r="R680" s="30"/>
    </row>
    <row r="681" spans="18:18" ht="15.75" customHeight="1">
      <c r="R681" s="30"/>
    </row>
    <row r="682" spans="18:18" ht="15.75" customHeight="1">
      <c r="R682" s="30"/>
    </row>
    <row r="683" spans="18:18" ht="15.75" customHeight="1">
      <c r="R683" s="30"/>
    </row>
    <row r="684" spans="18:18" ht="15.75" customHeight="1">
      <c r="R684" s="30"/>
    </row>
    <row r="685" spans="18:18" ht="15.75" customHeight="1">
      <c r="R685" s="30"/>
    </row>
    <row r="686" spans="18:18" ht="15.75" customHeight="1">
      <c r="R686" s="30"/>
    </row>
    <row r="687" spans="18:18" ht="15.75" customHeight="1">
      <c r="R687" s="30"/>
    </row>
    <row r="688" spans="18:18" ht="15.75" customHeight="1">
      <c r="R688" s="30"/>
    </row>
    <row r="689" spans="18:18" ht="15.75" customHeight="1">
      <c r="R689" s="30"/>
    </row>
    <row r="690" spans="18:18" ht="15.75" customHeight="1">
      <c r="R690" s="30"/>
    </row>
    <row r="691" spans="18:18" ht="15.75" customHeight="1">
      <c r="R691" s="30"/>
    </row>
    <row r="692" spans="18:18" ht="15.75" customHeight="1">
      <c r="R692" s="30"/>
    </row>
    <row r="693" spans="18:18" ht="15.75" customHeight="1">
      <c r="R693" s="30"/>
    </row>
    <row r="694" spans="18:18" ht="15.75" customHeight="1">
      <c r="R694" s="30"/>
    </row>
    <row r="695" spans="18:18" ht="15.75" customHeight="1">
      <c r="R695" s="30"/>
    </row>
    <row r="696" spans="18:18" ht="15.75" customHeight="1">
      <c r="R696" s="30"/>
    </row>
    <row r="697" spans="18:18" ht="15.75" customHeight="1">
      <c r="R697" s="30"/>
    </row>
    <row r="698" spans="18:18" ht="15.75" customHeight="1">
      <c r="R698" s="30"/>
    </row>
    <row r="699" spans="18:18" ht="15.75" customHeight="1">
      <c r="R699" s="30"/>
    </row>
    <row r="700" spans="18:18" ht="15.75" customHeight="1">
      <c r="R700" s="30"/>
    </row>
    <row r="701" spans="18:18" ht="15.75" customHeight="1">
      <c r="R701" s="30"/>
    </row>
    <row r="702" spans="18:18" ht="15.75" customHeight="1">
      <c r="R702" s="30"/>
    </row>
    <row r="703" spans="18:18" ht="15.75" customHeight="1">
      <c r="R703" s="30"/>
    </row>
    <row r="704" spans="18:18" ht="15.75" customHeight="1">
      <c r="R704" s="30"/>
    </row>
    <row r="705" spans="18:18" ht="15.75" customHeight="1">
      <c r="R705" s="30"/>
    </row>
    <row r="706" spans="18:18" ht="15.75" customHeight="1">
      <c r="R706" s="30"/>
    </row>
    <row r="707" spans="18:18" ht="15.75" customHeight="1">
      <c r="R707" s="30"/>
    </row>
    <row r="708" spans="18:18" ht="15.75" customHeight="1">
      <c r="R708" s="30"/>
    </row>
    <row r="709" spans="18:18" ht="15.75" customHeight="1">
      <c r="R709" s="30"/>
    </row>
    <row r="710" spans="18:18" ht="15.75" customHeight="1">
      <c r="R710" s="30"/>
    </row>
    <row r="711" spans="18:18" ht="15.75" customHeight="1">
      <c r="R711" s="30"/>
    </row>
    <row r="712" spans="18:18" ht="15.75" customHeight="1">
      <c r="R712" s="30"/>
    </row>
    <row r="713" spans="18:18" ht="15.75" customHeight="1">
      <c r="R713" s="30"/>
    </row>
    <row r="714" spans="18:18" ht="15.75" customHeight="1">
      <c r="R714" s="30"/>
    </row>
    <row r="715" spans="18:18" ht="15.75" customHeight="1">
      <c r="R715" s="30"/>
    </row>
    <row r="716" spans="18:18" ht="15.75" customHeight="1">
      <c r="R716" s="30"/>
    </row>
    <row r="717" spans="18:18" ht="15.75" customHeight="1">
      <c r="R717" s="30"/>
    </row>
    <row r="718" spans="18:18" ht="15.75" customHeight="1">
      <c r="R718" s="30"/>
    </row>
    <row r="719" spans="18:18" ht="15.75" customHeight="1">
      <c r="R719" s="30"/>
    </row>
    <row r="720" spans="18:18" ht="15.75" customHeight="1">
      <c r="R720" s="30"/>
    </row>
    <row r="721" spans="18:18" ht="15.75" customHeight="1">
      <c r="R721" s="30"/>
    </row>
    <row r="722" spans="18:18" ht="15.75" customHeight="1">
      <c r="R722" s="30"/>
    </row>
    <row r="723" spans="18:18" ht="15.75" customHeight="1">
      <c r="R723" s="30"/>
    </row>
    <row r="724" spans="18:18" ht="15.75" customHeight="1">
      <c r="R724" s="30"/>
    </row>
    <row r="725" spans="18:18" ht="15.75" customHeight="1">
      <c r="R725" s="30"/>
    </row>
    <row r="726" spans="18:18" ht="15.75" customHeight="1">
      <c r="R726" s="30"/>
    </row>
    <row r="727" spans="18:18" ht="15.75" customHeight="1">
      <c r="R727" s="30"/>
    </row>
    <row r="728" spans="18:18" ht="15.75" customHeight="1">
      <c r="R728" s="30"/>
    </row>
    <row r="729" spans="18:18" ht="15.75" customHeight="1">
      <c r="R729" s="30"/>
    </row>
    <row r="730" spans="18:18" ht="15.75" customHeight="1">
      <c r="R730" s="30"/>
    </row>
    <row r="731" spans="18:18" ht="15.75" customHeight="1">
      <c r="R731" s="30"/>
    </row>
    <row r="732" spans="18:18" ht="15.75" customHeight="1">
      <c r="R732" s="30"/>
    </row>
    <row r="733" spans="18:18" ht="15.75" customHeight="1">
      <c r="R733" s="30"/>
    </row>
    <row r="734" spans="18:18" ht="15.75" customHeight="1">
      <c r="R734" s="30"/>
    </row>
    <row r="735" spans="18:18" ht="15.75" customHeight="1">
      <c r="R735" s="30"/>
    </row>
    <row r="736" spans="18:18" ht="15.75" customHeight="1">
      <c r="R736" s="30"/>
    </row>
    <row r="737" spans="18:18" ht="15.75" customHeight="1">
      <c r="R737" s="30"/>
    </row>
    <row r="738" spans="18:18" ht="15.75" customHeight="1">
      <c r="R738" s="30"/>
    </row>
    <row r="739" spans="18:18" ht="15.75" customHeight="1">
      <c r="R739" s="30"/>
    </row>
    <row r="740" spans="18:18" ht="15.75" customHeight="1">
      <c r="R740" s="30"/>
    </row>
    <row r="741" spans="18:18" ht="15.75" customHeight="1">
      <c r="R741" s="30"/>
    </row>
    <row r="742" spans="18:18" ht="15.75" customHeight="1">
      <c r="R742" s="30"/>
    </row>
    <row r="743" spans="18:18" ht="15.75" customHeight="1">
      <c r="R743" s="30"/>
    </row>
    <row r="744" spans="18:18" ht="15.75" customHeight="1">
      <c r="R744" s="30"/>
    </row>
    <row r="745" spans="18:18" ht="15.75" customHeight="1">
      <c r="R745" s="30"/>
    </row>
    <row r="746" spans="18:18" ht="15.75" customHeight="1">
      <c r="R746" s="30"/>
    </row>
    <row r="747" spans="18:18" ht="15.75" customHeight="1">
      <c r="R747" s="30"/>
    </row>
    <row r="748" spans="18:18" ht="15.75" customHeight="1">
      <c r="R748" s="30"/>
    </row>
    <row r="749" spans="18:18" ht="15.75" customHeight="1">
      <c r="R749" s="30"/>
    </row>
    <row r="750" spans="18:18" ht="15.75" customHeight="1">
      <c r="R750" s="30"/>
    </row>
    <row r="751" spans="18:18" ht="15.75" customHeight="1">
      <c r="R751" s="30"/>
    </row>
    <row r="752" spans="18:18" ht="15.75" customHeight="1">
      <c r="R752" s="30"/>
    </row>
    <row r="753" spans="18:18" ht="15.75" customHeight="1">
      <c r="R753" s="30"/>
    </row>
    <row r="754" spans="18:18" ht="15.75" customHeight="1">
      <c r="R754" s="30"/>
    </row>
    <row r="755" spans="18:18" ht="15.75" customHeight="1">
      <c r="R755" s="30"/>
    </row>
    <row r="756" spans="18:18" ht="15.75" customHeight="1">
      <c r="R756" s="30"/>
    </row>
    <row r="757" spans="18:18" ht="15.75" customHeight="1">
      <c r="R757" s="30"/>
    </row>
    <row r="758" spans="18:18" ht="15.75" customHeight="1">
      <c r="R758" s="30"/>
    </row>
    <row r="759" spans="18:18" ht="15.75" customHeight="1">
      <c r="R759" s="30"/>
    </row>
    <row r="760" spans="18:18" ht="15.75" customHeight="1">
      <c r="R760" s="30"/>
    </row>
    <row r="761" spans="18:18" ht="15.75" customHeight="1">
      <c r="R761" s="30"/>
    </row>
    <row r="762" spans="18:18" ht="15.75" customHeight="1">
      <c r="R762" s="30"/>
    </row>
    <row r="763" spans="18:18" ht="15.75" customHeight="1">
      <c r="R763" s="30"/>
    </row>
    <row r="764" spans="18:18" ht="15.75" customHeight="1">
      <c r="R764" s="30"/>
    </row>
    <row r="765" spans="18:18" ht="15.75" customHeight="1">
      <c r="R765" s="30"/>
    </row>
    <row r="766" spans="18:18" ht="15.75" customHeight="1">
      <c r="R766" s="30"/>
    </row>
    <row r="767" spans="18:18" ht="15.75" customHeight="1">
      <c r="R767" s="30"/>
    </row>
    <row r="768" spans="18:18" ht="15.75" customHeight="1">
      <c r="R768" s="30"/>
    </row>
    <row r="769" spans="18:18" ht="15.75" customHeight="1">
      <c r="R769" s="30"/>
    </row>
    <row r="770" spans="18:18" ht="15.75" customHeight="1">
      <c r="R770" s="30"/>
    </row>
    <row r="771" spans="18:18" ht="15.75" customHeight="1">
      <c r="R771" s="30"/>
    </row>
    <row r="772" spans="18:18" ht="15.75" customHeight="1">
      <c r="R772" s="30"/>
    </row>
    <row r="773" spans="18:18" ht="15.75" customHeight="1">
      <c r="R773" s="30"/>
    </row>
    <row r="774" spans="18:18" ht="15.75" customHeight="1">
      <c r="R774" s="30"/>
    </row>
    <row r="775" spans="18:18" ht="15.75" customHeight="1">
      <c r="R775" s="30"/>
    </row>
    <row r="776" spans="18:18" ht="15.75" customHeight="1">
      <c r="R776" s="30"/>
    </row>
    <row r="777" spans="18:18" ht="15.75" customHeight="1">
      <c r="R777" s="30"/>
    </row>
    <row r="778" spans="18:18" ht="15.75" customHeight="1">
      <c r="R778" s="30"/>
    </row>
    <row r="779" spans="18:18" ht="15.75" customHeight="1">
      <c r="R779" s="30"/>
    </row>
    <row r="780" spans="18:18" ht="15.75" customHeight="1">
      <c r="R780" s="30"/>
    </row>
    <row r="781" spans="18:18" ht="15.75" customHeight="1">
      <c r="R781" s="30"/>
    </row>
    <row r="782" spans="18:18" ht="15.75" customHeight="1">
      <c r="R782" s="30"/>
    </row>
    <row r="783" spans="18:18" ht="15.75" customHeight="1">
      <c r="R783" s="30"/>
    </row>
    <row r="784" spans="18:18" ht="15.75" customHeight="1">
      <c r="R784" s="30"/>
    </row>
    <row r="785" spans="18:18" ht="15.75" customHeight="1">
      <c r="R785" s="30"/>
    </row>
    <row r="786" spans="18:18" ht="15.75" customHeight="1">
      <c r="R786" s="30"/>
    </row>
    <row r="787" spans="18:18" ht="15.75" customHeight="1">
      <c r="R787" s="30"/>
    </row>
    <row r="788" spans="18:18" ht="15.75" customHeight="1">
      <c r="R788" s="30"/>
    </row>
    <row r="789" spans="18:18" ht="15.75" customHeight="1">
      <c r="R789" s="30"/>
    </row>
    <row r="790" spans="18:18" ht="15.75" customHeight="1">
      <c r="R790" s="30"/>
    </row>
    <row r="791" spans="18:18" ht="15.75" customHeight="1">
      <c r="R791" s="30"/>
    </row>
    <row r="792" spans="18:18" ht="15.75" customHeight="1">
      <c r="R792" s="30"/>
    </row>
    <row r="793" spans="18:18" ht="15.75" customHeight="1">
      <c r="R793" s="30"/>
    </row>
    <row r="794" spans="18:18" ht="15.75" customHeight="1">
      <c r="R794" s="30"/>
    </row>
    <row r="795" spans="18:18" ht="15.75" customHeight="1">
      <c r="R795" s="30"/>
    </row>
    <row r="796" spans="18:18" ht="15.75" customHeight="1">
      <c r="R796" s="30"/>
    </row>
    <row r="797" spans="18:18" ht="15.75" customHeight="1">
      <c r="R797" s="30"/>
    </row>
    <row r="798" spans="18:18" ht="15.75" customHeight="1">
      <c r="R798" s="30"/>
    </row>
    <row r="799" spans="18:18" ht="15.75" customHeight="1">
      <c r="R799" s="30"/>
    </row>
    <row r="800" spans="18:18" ht="15.75" customHeight="1">
      <c r="R800" s="30"/>
    </row>
    <row r="801" spans="18:18" ht="15.75" customHeight="1">
      <c r="R801" s="30"/>
    </row>
    <row r="802" spans="18:18" ht="15.75" customHeight="1">
      <c r="R802" s="30"/>
    </row>
    <row r="803" spans="18:18" ht="15.75" customHeight="1">
      <c r="R803" s="30"/>
    </row>
    <row r="804" spans="18:18" ht="15.75" customHeight="1">
      <c r="R804" s="30"/>
    </row>
    <row r="805" spans="18:18" ht="15.75" customHeight="1">
      <c r="R805" s="30"/>
    </row>
    <row r="806" spans="18:18" ht="15.75" customHeight="1">
      <c r="R806" s="30"/>
    </row>
    <row r="807" spans="18:18" ht="15.75" customHeight="1">
      <c r="R807" s="30"/>
    </row>
    <row r="808" spans="18:18" ht="15.75" customHeight="1">
      <c r="R808" s="30"/>
    </row>
    <row r="809" spans="18:18" ht="15.75" customHeight="1">
      <c r="R809" s="30"/>
    </row>
    <row r="810" spans="18:18" ht="15.75" customHeight="1">
      <c r="R810" s="30"/>
    </row>
    <row r="811" spans="18:18" ht="15.75" customHeight="1">
      <c r="R811" s="30"/>
    </row>
    <row r="812" spans="18:18" ht="15.75" customHeight="1">
      <c r="R812" s="30"/>
    </row>
    <row r="813" spans="18:18" ht="15.75" customHeight="1">
      <c r="R813" s="30"/>
    </row>
    <row r="814" spans="18:18" ht="15.75" customHeight="1">
      <c r="R814" s="30"/>
    </row>
    <row r="815" spans="18:18" ht="15.75" customHeight="1">
      <c r="R815" s="30"/>
    </row>
    <row r="816" spans="18:18" ht="15.75" customHeight="1">
      <c r="R816" s="30"/>
    </row>
    <row r="817" spans="18:18" ht="15.75" customHeight="1">
      <c r="R817" s="30"/>
    </row>
    <row r="818" spans="18:18" ht="15.75" customHeight="1">
      <c r="R818" s="30"/>
    </row>
    <row r="819" spans="18:18" ht="15.75" customHeight="1">
      <c r="R819" s="30"/>
    </row>
    <row r="820" spans="18:18" ht="15.75" customHeight="1">
      <c r="R820" s="30"/>
    </row>
    <row r="821" spans="18:18" ht="15.75" customHeight="1">
      <c r="R821" s="30"/>
    </row>
    <row r="822" spans="18:18" ht="15.75" customHeight="1">
      <c r="R822" s="30"/>
    </row>
    <row r="823" spans="18:18" ht="15.75" customHeight="1">
      <c r="R823" s="30"/>
    </row>
    <row r="824" spans="18:18" ht="15.75" customHeight="1">
      <c r="R824" s="30"/>
    </row>
    <row r="825" spans="18:18" ht="15.75" customHeight="1">
      <c r="R825" s="30"/>
    </row>
    <row r="826" spans="18:18" ht="15.75" customHeight="1">
      <c r="R826" s="30"/>
    </row>
    <row r="827" spans="18:18" ht="15.75" customHeight="1">
      <c r="R827" s="30"/>
    </row>
    <row r="828" spans="18:18" ht="15.75" customHeight="1">
      <c r="R828" s="30"/>
    </row>
    <row r="829" spans="18:18" ht="15.75" customHeight="1">
      <c r="R829" s="30"/>
    </row>
    <row r="830" spans="18:18" ht="15.75" customHeight="1">
      <c r="R830" s="30"/>
    </row>
    <row r="831" spans="18:18" ht="15.75" customHeight="1">
      <c r="R831" s="30"/>
    </row>
    <row r="832" spans="18:18" ht="15.75" customHeight="1">
      <c r="R832" s="30"/>
    </row>
    <row r="833" spans="18:18" ht="15.75" customHeight="1">
      <c r="R833" s="30"/>
    </row>
    <row r="834" spans="18:18" ht="15.75" customHeight="1">
      <c r="R834" s="30"/>
    </row>
    <row r="835" spans="18:18" ht="15.75" customHeight="1">
      <c r="R835" s="30"/>
    </row>
    <row r="836" spans="18:18" ht="15.75" customHeight="1">
      <c r="R836" s="30"/>
    </row>
    <row r="837" spans="18:18" ht="15.75" customHeight="1">
      <c r="R837" s="30"/>
    </row>
    <row r="838" spans="18:18" ht="15.75" customHeight="1">
      <c r="R838" s="30"/>
    </row>
    <row r="839" spans="18:18" ht="15.75" customHeight="1">
      <c r="R839" s="30"/>
    </row>
    <row r="840" spans="18:18" ht="15.75" customHeight="1">
      <c r="R840" s="30"/>
    </row>
    <row r="841" spans="18:18" ht="15.75" customHeight="1">
      <c r="R841" s="30"/>
    </row>
    <row r="842" spans="18:18" ht="15.75" customHeight="1">
      <c r="R842" s="30"/>
    </row>
    <row r="843" spans="18:18" ht="15.75" customHeight="1">
      <c r="R843" s="30"/>
    </row>
    <row r="844" spans="18:18" ht="15.75" customHeight="1">
      <c r="R844" s="30"/>
    </row>
    <row r="845" spans="18:18" ht="15.75" customHeight="1">
      <c r="R845" s="30"/>
    </row>
    <row r="846" spans="18:18" ht="15.75" customHeight="1">
      <c r="R846" s="30"/>
    </row>
    <row r="847" spans="18:18" ht="15.75" customHeight="1">
      <c r="R847" s="30"/>
    </row>
    <row r="848" spans="18:18" ht="15.75" customHeight="1">
      <c r="R848" s="30"/>
    </row>
    <row r="849" spans="18:18" ht="15.75" customHeight="1">
      <c r="R849" s="30"/>
    </row>
    <row r="850" spans="18:18" ht="15.75" customHeight="1">
      <c r="R850" s="30"/>
    </row>
    <row r="851" spans="18:18" ht="15.75" customHeight="1">
      <c r="R851" s="30"/>
    </row>
    <row r="852" spans="18:18" ht="15.75" customHeight="1">
      <c r="R852" s="30"/>
    </row>
    <row r="853" spans="18:18" ht="15.75" customHeight="1">
      <c r="R853" s="30"/>
    </row>
    <row r="854" spans="18:18" ht="15.75" customHeight="1">
      <c r="R854" s="30"/>
    </row>
    <row r="855" spans="18:18" ht="15.75" customHeight="1">
      <c r="R855" s="30"/>
    </row>
    <row r="856" spans="18:18" ht="15.75" customHeight="1">
      <c r="R856" s="30"/>
    </row>
    <row r="857" spans="18:18" ht="15.75" customHeight="1">
      <c r="R857" s="30"/>
    </row>
    <row r="858" spans="18:18" ht="15.75" customHeight="1">
      <c r="R858" s="30"/>
    </row>
    <row r="859" spans="18:18" ht="15.75" customHeight="1">
      <c r="R859" s="30"/>
    </row>
    <row r="860" spans="18:18" ht="15.75" customHeight="1">
      <c r="R860" s="30"/>
    </row>
    <row r="861" spans="18:18" ht="15.75" customHeight="1">
      <c r="R861" s="30"/>
    </row>
    <row r="862" spans="18:18" ht="15.75" customHeight="1">
      <c r="R862" s="30"/>
    </row>
    <row r="863" spans="18:18" ht="15.75" customHeight="1">
      <c r="R863" s="30"/>
    </row>
    <row r="864" spans="18:18" ht="15.75" customHeight="1">
      <c r="R864" s="30"/>
    </row>
    <row r="865" spans="18:18" ht="15.75" customHeight="1">
      <c r="R865" s="30"/>
    </row>
    <row r="866" spans="18:18" ht="15.75" customHeight="1">
      <c r="R866" s="30"/>
    </row>
    <row r="867" spans="18:18" ht="15.75" customHeight="1">
      <c r="R867" s="30"/>
    </row>
    <row r="868" spans="18:18" ht="15.75" customHeight="1">
      <c r="R868" s="30"/>
    </row>
    <row r="869" spans="18:18" ht="15.75" customHeight="1">
      <c r="R869" s="30"/>
    </row>
    <row r="870" spans="18:18" ht="15.75" customHeight="1">
      <c r="R870" s="30"/>
    </row>
    <row r="871" spans="18:18" ht="15.75" customHeight="1">
      <c r="R871" s="30"/>
    </row>
    <row r="872" spans="18:18" ht="15.75" customHeight="1">
      <c r="R872" s="30"/>
    </row>
    <row r="873" spans="18:18" ht="15.75" customHeight="1">
      <c r="R873" s="30"/>
    </row>
    <row r="874" spans="18:18" ht="15.75" customHeight="1">
      <c r="R874" s="30"/>
    </row>
    <row r="875" spans="18:18" ht="15.75" customHeight="1">
      <c r="R875" s="30"/>
    </row>
    <row r="876" spans="18:18" ht="15.75" customHeight="1">
      <c r="R876" s="30"/>
    </row>
    <row r="877" spans="18:18" ht="15.75" customHeight="1">
      <c r="R877" s="30"/>
    </row>
    <row r="878" spans="18:18" ht="15.75" customHeight="1">
      <c r="R878" s="30"/>
    </row>
    <row r="879" spans="18:18" ht="15.75" customHeight="1">
      <c r="R879" s="30"/>
    </row>
    <row r="880" spans="18:18" ht="15.75" customHeight="1">
      <c r="R880" s="30"/>
    </row>
    <row r="881" spans="18:18" ht="15.75" customHeight="1">
      <c r="R881" s="30"/>
    </row>
    <row r="882" spans="18:18" ht="15.75" customHeight="1">
      <c r="R882" s="30"/>
    </row>
    <row r="883" spans="18:18" ht="15.75" customHeight="1">
      <c r="R883" s="30"/>
    </row>
    <row r="884" spans="18:18" ht="15.75" customHeight="1">
      <c r="R884" s="30"/>
    </row>
    <row r="885" spans="18:18" ht="15.75" customHeight="1">
      <c r="R885" s="30"/>
    </row>
    <row r="886" spans="18:18" ht="15.75" customHeight="1">
      <c r="R886" s="30"/>
    </row>
    <row r="887" spans="18:18" ht="15.75" customHeight="1">
      <c r="R887" s="30"/>
    </row>
    <row r="888" spans="18:18" ht="15.75" customHeight="1">
      <c r="R888" s="30"/>
    </row>
    <row r="889" spans="18:18" ht="15.75" customHeight="1">
      <c r="R889" s="30"/>
    </row>
    <row r="890" spans="18:18" ht="15.75" customHeight="1">
      <c r="R890" s="30"/>
    </row>
    <row r="891" spans="18:18" ht="15.75" customHeight="1">
      <c r="R891" s="30"/>
    </row>
    <row r="892" spans="18:18" ht="15.75" customHeight="1">
      <c r="R892" s="30"/>
    </row>
    <row r="893" spans="18:18" ht="15.75" customHeight="1">
      <c r="R893" s="30"/>
    </row>
    <row r="894" spans="18:18" ht="15.75" customHeight="1">
      <c r="R894" s="30"/>
    </row>
    <row r="895" spans="18:18" ht="15.75" customHeight="1">
      <c r="R895" s="30"/>
    </row>
    <row r="896" spans="18:18" ht="15.75" customHeight="1">
      <c r="R896" s="30"/>
    </row>
    <row r="897" spans="18:18" ht="15.75" customHeight="1">
      <c r="R897" s="30"/>
    </row>
    <row r="898" spans="18:18" ht="15.75" customHeight="1">
      <c r="R898" s="30"/>
    </row>
    <row r="899" spans="18:18" ht="15.75" customHeight="1">
      <c r="R899" s="30"/>
    </row>
    <row r="900" spans="18:18" ht="15.75" customHeight="1">
      <c r="R900" s="30"/>
    </row>
    <row r="901" spans="18:18" ht="15.75" customHeight="1">
      <c r="R901" s="30"/>
    </row>
    <row r="902" spans="18:18" ht="15.75" customHeight="1">
      <c r="R902" s="30"/>
    </row>
    <row r="903" spans="18:18" ht="15.75" customHeight="1">
      <c r="R903" s="30"/>
    </row>
    <row r="904" spans="18:18" ht="15.75" customHeight="1">
      <c r="R904" s="30"/>
    </row>
    <row r="905" spans="18:18" ht="15.75" customHeight="1">
      <c r="R905" s="30"/>
    </row>
    <row r="906" spans="18:18" ht="15.75" customHeight="1">
      <c r="R906" s="30"/>
    </row>
    <row r="907" spans="18:18" ht="15.75" customHeight="1">
      <c r="R907" s="30"/>
    </row>
    <row r="908" spans="18:18" ht="15.75" customHeight="1">
      <c r="R908" s="30"/>
    </row>
    <row r="909" spans="18:18" ht="15.75" customHeight="1">
      <c r="R909" s="30"/>
    </row>
    <row r="910" spans="18:18" ht="15.75" customHeight="1">
      <c r="R910" s="30"/>
    </row>
    <row r="911" spans="18:18" ht="15.75" customHeight="1">
      <c r="R911" s="30"/>
    </row>
    <row r="912" spans="18:18" ht="15.75" customHeight="1">
      <c r="R912" s="30"/>
    </row>
    <row r="913" spans="18:18" ht="15.75" customHeight="1">
      <c r="R913" s="30"/>
    </row>
    <row r="914" spans="18:18" ht="15.75" customHeight="1">
      <c r="R914" s="30"/>
    </row>
    <row r="915" spans="18:18" ht="15.75" customHeight="1">
      <c r="R915" s="30"/>
    </row>
    <row r="916" spans="18:18" ht="15.75" customHeight="1">
      <c r="R916" s="30"/>
    </row>
    <row r="917" spans="18:18" ht="15.75" customHeight="1">
      <c r="R917" s="30"/>
    </row>
    <row r="918" spans="18:18" ht="15.75" customHeight="1">
      <c r="R918" s="30"/>
    </row>
    <row r="919" spans="18:18" ht="15.75" customHeight="1">
      <c r="R919" s="30"/>
    </row>
    <row r="920" spans="18:18" ht="15.75" customHeight="1">
      <c r="R920" s="30"/>
    </row>
    <row r="921" spans="18:18" ht="15.75" customHeight="1">
      <c r="R921" s="30"/>
    </row>
    <row r="922" spans="18:18" ht="15.75" customHeight="1">
      <c r="R922" s="30"/>
    </row>
    <row r="923" spans="18:18" ht="15.75" customHeight="1">
      <c r="R923" s="30"/>
    </row>
    <row r="924" spans="18:18" ht="15.75" customHeight="1">
      <c r="R924" s="30"/>
    </row>
    <row r="925" spans="18:18" ht="15.75" customHeight="1">
      <c r="R925" s="30"/>
    </row>
    <row r="926" spans="18:18" ht="15.75" customHeight="1">
      <c r="R926" s="30"/>
    </row>
    <row r="927" spans="18:18" ht="15.75" customHeight="1">
      <c r="R927" s="30"/>
    </row>
    <row r="928" spans="18:18" ht="15.75" customHeight="1">
      <c r="R928" s="30"/>
    </row>
    <row r="929" spans="18:18" ht="15.75" customHeight="1">
      <c r="R929" s="30"/>
    </row>
    <row r="930" spans="18:18" ht="15.75" customHeight="1">
      <c r="R930" s="30"/>
    </row>
    <row r="931" spans="18:18" ht="15.75" customHeight="1">
      <c r="R931" s="30"/>
    </row>
    <row r="932" spans="18:18" ht="15.75" customHeight="1">
      <c r="R932" s="30"/>
    </row>
    <row r="933" spans="18:18" ht="15.75" customHeight="1">
      <c r="R933" s="30"/>
    </row>
    <row r="934" spans="18:18" ht="15.75" customHeight="1">
      <c r="R934" s="30"/>
    </row>
    <row r="935" spans="18:18" ht="15.75" customHeight="1">
      <c r="R935" s="30"/>
    </row>
    <row r="936" spans="18:18" ht="15.75" customHeight="1">
      <c r="R936" s="30"/>
    </row>
    <row r="937" spans="18:18" ht="15.75" customHeight="1">
      <c r="R937" s="30"/>
    </row>
    <row r="938" spans="18:18" ht="15.75" customHeight="1">
      <c r="R938" s="30"/>
    </row>
    <row r="939" spans="18:18" ht="15.75" customHeight="1">
      <c r="R939" s="30"/>
    </row>
    <row r="940" spans="18:18" ht="15.75" customHeight="1">
      <c r="R940" s="30"/>
    </row>
    <row r="941" spans="18:18" ht="15.75" customHeight="1">
      <c r="R941" s="30"/>
    </row>
    <row r="942" spans="18:18" ht="15.75" customHeight="1">
      <c r="R942" s="30"/>
    </row>
    <row r="943" spans="18:18" ht="15.75" customHeight="1">
      <c r="R943" s="30"/>
    </row>
    <row r="944" spans="18:18" ht="15.75" customHeight="1">
      <c r="R944" s="30"/>
    </row>
    <row r="945" spans="18:18" ht="15.75" customHeight="1">
      <c r="R945" s="30"/>
    </row>
    <row r="946" spans="18:18" ht="15.75" customHeight="1">
      <c r="R946" s="30"/>
    </row>
    <row r="947" spans="18:18" ht="15.75" customHeight="1">
      <c r="R947" s="30"/>
    </row>
    <row r="948" spans="18:18" ht="15.75" customHeight="1">
      <c r="R948" s="30"/>
    </row>
    <row r="949" spans="18:18" ht="15.75" customHeight="1">
      <c r="R949" s="30"/>
    </row>
    <row r="950" spans="18:18" ht="15.75" customHeight="1">
      <c r="R950" s="30"/>
    </row>
    <row r="951" spans="18:18" ht="15.75" customHeight="1">
      <c r="R951" s="30"/>
    </row>
    <row r="952" spans="18:18" ht="15.75" customHeight="1">
      <c r="R952" s="30"/>
    </row>
    <row r="953" spans="18:18" ht="15.75" customHeight="1">
      <c r="R953" s="30"/>
    </row>
    <row r="954" spans="18:18" ht="15.75" customHeight="1">
      <c r="R954" s="30"/>
    </row>
    <row r="955" spans="18:18" ht="15.75" customHeight="1">
      <c r="R955" s="30"/>
    </row>
    <row r="956" spans="18:18" ht="15.75" customHeight="1">
      <c r="R956" s="30"/>
    </row>
    <row r="957" spans="18:18" ht="15.75" customHeight="1">
      <c r="R957" s="30"/>
    </row>
    <row r="958" spans="18:18" ht="15.75" customHeight="1">
      <c r="R958" s="30"/>
    </row>
    <row r="959" spans="18:18" ht="15.75" customHeight="1">
      <c r="R959" s="30"/>
    </row>
    <row r="960" spans="18:18" ht="15.75" customHeight="1">
      <c r="R960" s="30"/>
    </row>
    <row r="961" spans="18:18" ht="15.75" customHeight="1">
      <c r="R961" s="30"/>
    </row>
    <row r="962" spans="18:18" ht="15.75" customHeight="1">
      <c r="R962" s="30"/>
    </row>
    <row r="963" spans="18:18" ht="15.75" customHeight="1">
      <c r="R963" s="30"/>
    </row>
    <row r="964" spans="18:18" ht="15.75" customHeight="1">
      <c r="R964" s="30"/>
    </row>
    <row r="965" spans="18:18" ht="15.75" customHeight="1">
      <c r="R965" s="30"/>
    </row>
    <row r="966" spans="18:18" ht="15.75" customHeight="1">
      <c r="R966" s="30"/>
    </row>
    <row r="967" spans="18:18" ht="15.75" customHeight="1">
      <c r="R967" s="30"/>
    </row>
    <row r="968" spans="18:18" ht="15.75" customHeight="1">
      <c r="R968" s="30"/>
    </row>
    <row r="969" spans="18:18" ht="15.75" customHeight="1">
      <c r="R969" s="30"/>
    </row>
    <row r="970" spans="18:18" ht="15.75" customHeight="1">
      <c r="R970" s="30"/>
    </row>
    <row r="971" spans="18:18" ht="15.75" customHeight="1">
      <c r="R971" s="30"/>
    </row>
    <row r="972" spans="18:18" ht="15.75" customHeight="1">
      <c r="R972" s="30"/>
    </row>
    <row r="973" spans="18:18" ht="15.75" customHeight="1">
      <c r="R973" s="30"/>
    </row>
    <row r="974" spans="18:18" ht="15.75" customHeight="1">
      <c r="R974" s="30"/>
    </row>
    <row r="975" spans="18:18" ht="15.75" customHeight="1">
      <c r="R975" s="30"/>
    </row>
    <row r="976" spans="18:18" ht="15.75" customHeight="1">
      <c r="R976" s="30"/>
    </row>
    <row r="977" spans="18:18" ht="15.75" customHeight="1">
      <c r="R977" s="30"/>
    </row>
    <row r="978" spans="18:18" ht="15.75" customHeight="1">
      <c r="R978" s="30"/>
    </row>
    <row r="979" spans="18:18" ht="15.75" customHeight="1">
      <c r="R979" s="30"/>
    </row>
    <row r="980" spans="18:18" ht="15.75" customHeight="1">
      <c r="R980" s="30"/>
    </row>
    <row r="981" spans="18:18" ht="15.75" customHeight="1">
      <c r="R981" s="30"/>
    </row>
    <row r="982" spans="18:18" ht="15.75" customHeight="1">
      <c r="R982" s="30"/>
    </row>
    <row r="983" spans="18:18" ht="15.75" customHeight="1">
      <c r="R983" s="30"/>
    </row>
    <row r="984" spans="18:18" ht="15.75" customHeight="1">
      <c r="R984" s="30"/>
    </row>
    <row r="985" spans="18:18" ht="15.75" customHeight="1">
      <c r="R985" s="30"/>
    </row>
    <row r="986" spans="18:18" ht="15.75" customHeight="1">
      <c r="R986" s="30"/>
    </row>
    <row r="987" spans="18:18" ht="15.75" customHeight="1">
      <c r="R987" s="30"/>
    </row>
    <row r="988" spans="18:18" ht="15.75" customHeight="1">
      <c r="R988" s="30"/>
    </row>
    <row r="989" spans="18:18" ht="15.75" customHeight="1">
      <c r="R989" s="30"/>
    </row>
    <row r="990" spans="18:18" ht="15.75" customHeight="1">
      <c r="R990" s="30"/>
    </row>
    <row r="991" spans="18:18" ht="15.75" customHeight="1">
      <c r="R991" s="30"/>
    </row>
    <row r="992" spans="18:18" ht="15.75" customHeight="1">
      <c r="R992" s="30"/>
    </row>
    <row r="993" spans="18:18" ht="15.75" customHeight="1">
      <c r="R993" s="30"/>
    </row>
    <row r="994" spans="18:18" ht="15.75" customHeight="1">
      <c r="R994" s="30"/>
    </row>
    <row r="995" spans="18:18" ht="15.75" customHeight="1">
      <c r="R995" s="30"/>
    </row>
    <row r="996" spans="18:18" ht="15.75" customHeight="1">
      <c r="R996" s="30"/>
    </row>
    <row r="997" spans="18:18" ht="15.75" customHeight="1">
      <c r="R997" s="30"/>
    </row>
    <row r="998" spans="18:18" ht="15.75" customHeight="1">
      <c r="R998" s="30"/>
    </row>
    <row r="999" spans="18:18" ht="15.75" customHeight="1">
      <c r="R999" s="30"/>
    </row>
    <row r="1000" spans="18:18" ht="15.75" customHeight="1">
      <c r="R1000" s="3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2.6640625" defaultRowHeight="15" customHeight="1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8.6640625" customWidth="1"/>
    <col min="6" max="6" width="10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16.33203125" customWidth="1"/>
    <col min="16" max="16" width="10" customWidth="1"/>
    <col min="17" max="18" width="7.33203125" customWidth="1"/>
    <col min="19" max="19" width="7.1640625" customWidth="1"/>
    <col min="20" max="20" width="11.1640625" customWidth="1"/>
    <col min="21" max="21" width="28.5" customWidth="1"/>
    <col min="22" max="22" width="64.6640625" customWidth="1"/>
    <col min="23" max="24" width="7.6640625" customWidth="1"/>
    <col min="25" max="25" width="8.1640625" customWidth="1"/>
    <col min="26" max="26" width="11.1640625" customWidth="1"/>
    <col min="27" max="27" width="10.6640625" customWidth="1"/>
    <col min="28" max="28" width="9.6640625" customWidth="1"/>
    <col min="29" max="29" width="7.1640625" customWidth="1"/>
    <col min="30" max="30" width="10.83203125" customWidth="1"/>
    <col min="31" max="31" width="7.6640625" customWidth="1"/>
    <col min="32" max="32" width="10.1640625" customWidth="1"/>
    <col min="33" max="33" width="8.83203125" customWidth="1"/>
  </cols>
  <sheetData>
    <row r="1" spans="1:33" ht="18.75" customHeight="1">
      <c r="A1" s="46" t="str">
        <f ca="1">IFERROR(__xludf.DUMMYFUNCTION("IFERROR(VLOOKUP(B2,IMPORTRANGE(""https://docs.google.com/spreadsheets/d/1x0DhHglkXKoEBOD2MBsuK_EyIr1ouxD2ftIpqOYFa-k/edit?usp=sharing"",""Ubiquitty-SKU-Specific Info!B1:BJ5000""),3,FALSE),"""")"),"10 Foot Lighted Outdoor Extension Cord with 3 Electrical Power Outlets - 12/3 SJTW Heavy Duty Yellow Extension Cable with 3 Prong Grounded Plug for Safety")</f>
        <v>10 Foot Lighted Outdoor Extension Cord with 3 Electrical Power Outlets - 12/3 SJTW Heavy Duty Yellow Extension Cable with 3 Prong Grounded Plug for Safety</v>
      </c>
      <c r="B1" s="47"/>
      <c r="C1" s="48" t="s">
        <v>0</v>
      </c>
      <c r="D1" s="50" t="s">
        <v>1</v>
      </c>
      <c r="E1" s="50" t="s">
        <v>2</v>
      </c>
      <c r="F1" s="52" t="s">
        <v>3</v>
      </c>
      <c r="G1" s="52" t="s">
        <v>4</v>
      </c>
      <c r="H1" s="53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58" t="s">
        <v>10</v>
      </c>
      <c r="N1" s="59" t="s">
        <v>11</v>
      </c>
      <c r="O1" s="50" t="s">
        <v>12</v>
      </c>
      <c r="P1" s="50" t="s">
        <v>13</v>
      </c>
      <c r="Q1" s="57" t="s">
        <v>14</v>
      </c>
      <c r="R1" s="57" t="s">
        <v>15</v>
      </c>
      <c r="S1" s="60" t="s">
        <v>16</v>
      </c>
      <c r="T1" s="62" t="s">
        <v>2006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Info!B1:BJ5000""),2,FALSE),"""")"),"B08FXNZ1J4")</f>
        <v>B08FXNZ1J4</v>
      </c>
      <c r="B2" s="3" t="s">
        <v>297</v>
      </c>
      <c r="C2" s="49"/>
      <c r="D2" s="49"/>
      <c r="E2" s="51"/>
      <c r="F2" s="49"/>
      <c r="G2" s="49"/>
      <c r="H2" s="54"/>
      <c r="I2" s="49"/>
      <c r="J2" s="49"/>
      <c r="K2" s="54"/>
      <c r="L2" s="54"/>
      <c r="M2" s="54"/>
      <c r="N2" s="49"/>
      <c r="O2" s="49"/>
      <c r="P2" s="51"/>
      <c r="Q2" s="49"/>
      <c r="R2" s="49"/>
      <c r="S2" s="61"/>
      <c r="T2" s="47"/>
      <c r="U2" s="63"/>
      <c r="V2" s="63"/>
      <c r="W2" s="47"/>
      <c r="X2" s="47"/>
      <c r="Y2" s="47"/>
      <c r="Z2" s="47"/>
      <c r="AA2" s="63"/>
      <c r="AB2" s="63"/>
      <c r="AC2" s="63"/>
      <c r="AD2" s="63"/>
      <c r="AE2" s="47"/>
      <c r="AF2" s="47"/>
      <c r="AG2" s="47"/>
    </row>
    <row r="3" spans="1:33" ht="139.5" customHeight="1">
      <c r="A3" s="55" t="s">
        <v>31</v>
      </c>
      <c r="B3" s="56"/>
      <c r="C3" s="4">
        <f>((AE32+AF32)/0.85)*-1</f>
        <v>16.69701416470587</v>
      </c>
      <c r="D3" s="5">
        <f>SUM(D4:D99765)</f>
        <v>627</v>
      </c>
      <c r="E3" s="5"/>
      <c r="F3" s="6">
        <f t="shared" ref="F3:G3" si="0">SUM(F4:F99765)</f>
        <v>18597.940000000002</v>
      </c>
      <c r="G3" s="6">
        <f t="shared" si="0"/>
        <v>-232.22</v>
      </c>
      <c r="H3" s="7">
        <f t="shared" ref="H3:H32" si="1">G3/F3*-1</f>
        <v>1.2486329131075806E-2</v>
      </c>
      <c r="I3" s="8">
        <f t="shared" ref="I3:I32" si="2">J3/F3</f>
        <v>0.36649142566879461</v>
      </c>
      <c r="J3" s="6">
        <f>SUM(J4:J99765)</f>
        <v>6815.9855451027033</v>
      </c>
      <c r="K3" s="6">
        <f t="shared" ref="K3:K32" si="3">J3/D3</f>
        <v>10.870790343066512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Sheet!a1:g5000""),2,FALSE),"""")"),"5 - March
5 - April
5 - May
2 - June
5 - July
5 - Aug
5 - Sept
5 - Oct
5 - Nov
4 - Dec
3.5 - Jan
4.5 - Feb")</f>
        <v>5 - March
5 - April
5 - May
2 - June
5 - July
5 - Aug
5 - Sept
5 - Oct
5 - Nov
4 - Dec
3.5 - Jan
4.5 -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QTY-0")</f>
        <v>US QTY-0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31</v>
      </c>
      <c r="X3" s="7">
        <f>W3/D3</f>
        <v>4.9441786283891544E-2</v>
      </c>
      <c r="Y3" s="6"/>
      <c r="Z3" s="5"/>
      <c r="AA3" s="5"/>
      <c r="AB3" s="5"/>
      <c r="AC3" s="5"/>
      <c r="AD3" s="6">
        <f>SUM(AD4:AD99765)</f>
        <v>-103.72923384499227</v>
      </c>
      <c r="AE3" s="6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Info!B2:BZ3000""),37,FALSE)),"""")*-1"),-8.51246203999999)</f>
        <v>-8.5124620399999902</v>
      </c>
      <c r="AG3" s="6">
        <f>SUM(AG4:AG99765)</f>
        <v>0</v>
      </c>
    </row>
    <row r="4" spans="1:33" ht="15.75" customHeight="1">
      <c r="A4" s="14" t="s">
        <v>181</v>
      </c>
      <c r="B4" s="14" t="s">
        <v>298</v>
      </c>
      <c r="C4" s="15">
        <f t="shared" ref="C4:C32" si="4">IFERROR(F4/D4," - ")</f>
        <v>39.99</v>
      </c>
      <c r="D4" s="16">
        <v>13</v>
      </c>
      <c r="E4" s="16">
        <v>0</v>
      </c>
      <c r="F4" s="17">
        <v>519.87</v>
      </c>
      <c r="G4" s="17">
        <v>-21.24</v>
      </c>
      <c r="H4" s="18">
        <f t="shared" si="1"/>
        <v>4.0856367938138377E-2</v>
      </c>
      <c r="I4" s="18">
        <f t="shared" si="2"/>
        <v>0.47518338056469256</v>
      </c>
      <c r="J4" s="17">
        <f t="shared" ref="J4:J32" si="5">F4*0.85+G4+AF4*D4+D4*AE4+AG4+AD4</f>
        <v>247.03358405416671</v>
      </c>
      <c r="K4" s="17">
        <f t="shared" si="3"/>
        <v>19.002583388782053</v>
      </c>
      <c r="L4" s="16">
        <v>55</v>
      </c>
      <c r="M4" s="19">
        <f t="shared" ref="M4:M32" si="6">IFERROR(D4/L4,"-")</f>
        <v>0.23636363636363636</v>
      </c>
      <c r="N4" s="16">
        <v>77</v>
      </c>
      <c r="O4" s="20">
        <f t="shared" ref="O4:P4" si="7">D4/7</f>
        <v>1.8571428571428572</v>
      </c>
      <c r="P4" s="20">
        <f t="shared" si="7"/>
        <v>0</v>
      </c>
      <c r="Q4" s="16">
        <f t="shared" ref="Q4:Q32" si="8">ROUNDDOWN(N4/(O4+P4),0)</f>
        <v>41</v>
      </c>
      <c r="R4" s="16"/>
      <c r="S4" s="21">
        <v>0.6</v>
      </c>
      <c r="T4" s="14">
        <v>272</v>
      </c>
      <c r="U4" s="22">
        <v>80</v>
      </c>
      <c r="V4" s="23" t="s">
        <v>299</v>
      </c>
      <c r="W4" s="14">
        <v>4</v>
      </c>
      <c r="X4" s="24">
        <f t="shared" ref="X4:X32" si="9">IFERROR(W4/D4,0)</f>
        <v>0.30769230769230771</v>
      </c>
      <c r="Y4" s="25">
        <f t="shared" ref="Y4:Y32" si="10">IFERROR(G4/(W4+Z4)*-1,0)</f>
        <v>2.1239999999999997</v>
      </c>
      <c r="Z4" s="14">
        <v>6</v>
      </c>
      <c r="AA4" s="26" t="s">
        <v>35</v>
      </c>
      <c r="AB4" s="27">
        <f t="shared" ref="AB4:AB32" si="11">IF(OR(AA4="UsLargeStandardSize",AA4="UsSmallStandardSize"),-0.69,-0.48)</f>
        <v>-0.69</v>
      </c>
      <c r="AC4" s="28">
        <v>0.12514395833333333</v>
      </c>
      <c r="AD4" s="25">
        <f t="shared" ref="AD4:AD32" si="12">IFERROR(AB4*AC4*D4*2,0)</f>
        <v>-2.2450826125000001</v>
      </c>
      <c r="AE4" s="25">
        <v>-5.8</v>
      </c>
      <c r="AF4" s="25">
        <v>-7.3823717948717951</v>
      </c>
      <c r="AG4" s="25">
        <v>0</v>
      </c>
    </row>
    <row r="5" spans="1:33" ht="15.75" customHeight="1">
      <c r="A5" s="14" t="s">
        <v>183</v>
      </c>
      <c r="B5" s="14" t="s">
        <v>260</v>
      </c>
      <c r="C5" s="15">
        <f t="shared" si="4"/>
        <v>36.944761904761911</v>
      </c>
      <c r="D5" s="16">
        <v>21</v>
      </c>
      <c r="E5" s="16">
        <v>0</v>
      </c>
      <c r="F5" s="29">
        <v>775.84000000000015</v>
      </c>
      <c r="G5" s="29">
        <v>-37.739999999999995</v>
      </c>
      <c r="H5" s="18">
        <f t="shared" si="1"/>
        <v>4.864405031965352E-2</v>
      </c>
      <c r="I5" s="18">
        <f t="shared" si="2"/>
        <v>0.4398630104072575</v>
      </c>
      <c r="J5" s="17">
        <f t="shared" si="5"/>
        <v>341.26331799436673</v>
      </c>
      <c r="K5" s="17">
        <f t="shared" si="3"/>
        <v>16.25063419020794</v>
      </c>
      <c r="L5" s="16">
        <v>70</v>
      </c>
      <c r="M5" s="19">
        <f t="shared" si="6"/>
        <v>0.3</v>
      </c>
      <c r="N5" s="16">
        <v>74</v>
      </c>
      <c r="O5" s="20">
        <f t="shared" ref="O5:P5" si="13">D5/7</f>
        <v>3</v>
      </c>
      <c r="P5" s="20">
        <f t="shared" si="13"/>
        <v>0</v>
      </c>
      <c r="Q5" s="16">
        <f t="shared" si="8"/>
        <v>24</v>
      </c>
      <c r="R5" s="16"/>
      <c r="S5" s="21">
        <v>1.2375</v>
      </c>
      <c r="T5" s="14">
        <v>272</v>
      </c>
      <c r="U5" s="22">
        <v>80</v>
      </c>
      <c r="V5" s="23" t="s">
        <v>300</v>
      </c>
      <c r="W5" s="14">
        <v>4</v>
      </c>
      <c r="X5" s="24">
        <f t="shared" si="9"/>
        <v>0.19047619047619047</v>
      </c>
      <c r="Y5" s="25">
        <f t="shared" si="10"/>
        <v>4.7174999999999994</v>
      </c>
      <c r="Z5" s="14">
        <v>4</v>
      </c>
      <c r="AA5" s="14" t="s">
        <v>35</v>
      </c>
      <c r="AB5" s="27">
        <f t="shared" si="11"/>
        <v>-0.69</v>
      </c>
      <c r="AC5" s="28">
        <v>0.12528896871378911</v>
      </c>
      <c r="AD5" s="25">
        <f t="shared" si="12"/>
        <v>-3.6308743133256085</v>
      </c>
      <c r="AE5" s="25">
        <v>-5.8</v>
      </c>
      <c r="AF5" s="25">
        <v>-7.3823717948717951</v>
      </c>
      <c r="AG5" s="25">
        <v>0</v>
      </c>
    </row>
    <row r="6" spans="1:33" ht="15.75" customHeight="1">
      <c r="A6" s="14" t="s">
        <v>185</v>
      </c>
      <c r="B6" s="14" t="s">
        <v>66</v>
      </c>
      <c r="C6" s="15">
        <f t="shared" si="4"/>
        <v>38.505172413793105</v>
      </c>
      <c r="D6" s="16">
        <v>29</v>
      </c>
      <c r="E6" s="16">
        <v>0</v>
      </c>
      <c r="F6" s="29">
        <v>1116.6500000000001</v>
      </c>
      <c r="G6" s="29">
        <v>-35.659999999999989</v>
      </c>
      <c r="H6" s="18">
        <f t="shared" si="1"/>
        <v>3.1934804997089498E-2</v>
      </c>
      <c r="I6" s="18">
        <f t="shared" si="2"/>
        <v>0.47122684523907926</v>
      </c>
      <c r="J6" s="17">
        <f t="shared" si="5"/>
        <v>526.19545673621792</v>
      </c>
      <c r="K6" s="17">
        <f t="shared" si="3"/>
        <v>18.144670921938548</v>
      </c>
      <c r="L6" s="16">
        <v>90</v>
      </c>
      <c r="M6" s="19">
        <f t="shared" si="6"/>
        <v>0.32222222222222224</v>
      </c>
      <c r="N6" s="16">
        <v>42</v>
      </c>
      <c r="O6" s="20">
        <f t="shared" ref="O6:P6" si="14">D6/7</f>
        <v>4.1428571428571432</v>
      </c>
      <c r="P6" s="20">
        <f t="shared" si="14"/>
        <v>0</v>
      </c>
      <c r="Q6" s="16">
        <f t="shared" si="8"/>
        <v>10</v>
      </c>
      <c r="R6" s="16"/>
      <c r="S6" s="21">
        <v>4.8148148148148104</v>
      </c>
      <c r="T6" s="14">
        <v>192</v>
      </c>
      <c r="U6" s="22">
        <v>120</v>
      </c>
      <c r="V6" s="23" t="s">
        <v>301</v>
      </c>
      <c r="W6" s="14">
        <v>3</v>
      </c>
      <c r="X6" s="24">
        <f t="shared" si="9"/>
        <v>0.10344827586206896</v>
      </c>
      <c r="Y6" s="25">
        <f t="shared" si="10"/>
        <v>8.9149999999999974</v>
      </c>
      <c r="Z6" s="14">
        <v>1</v>
      </c>
      <c r="AA6" s="14" t="s">
        <v>35</v>
      </c>
      <c r="AB6" s="27">
        <f t="shared" si="11"/>
        <v>-0.69</v>
      </c>
      <c r="AC6" s="28">
        <v>0.12514395833333333</v>
      </c>
      <c r="AD6" s="25">
        <f t="shared" si="12"/>
        <v>-5.0082612124999999</v>
      </c>
      <c r="AE6" s="25">
        <v>-5.8</v>
      </c>
      <c r="AF6" s="25">
        <v>-7.3823717948717951</v>
      </c>
      <c r="AG6" s="25">
        <v>0</v>
      </c>
    </row>
    <row r="7" spans="1:33" ht="15.75" customHeight="1">
      <c r="A7" s="14" t="s">
        <v>187</v>
      </c>
      <c r="B7" s="14" t="s">
        <v>68</v>
      </c>
      <c r="C7" s="15">
        <f t="shared" si="4"/>
        <v>39.881428571428572</v>
      </c>
      <c r="D7" s="16">
        <v>21</v>
      </c>
      <c r="E7" s="16">
        <v>0</v>
      </c>
      <c r="F7" s="29">
        <v>837.51</v>
      </c>
      <c r="G7" s="29">
        <v>-5.57</v>
      </c>
      <c r="H7" s="18">
        <f t="shared" si="1"/>
        <v>6.6506668577091619E-3</v>
      </c>
      <c r="I7" s="18">
        <f t="shared" si="2"/>
        <v>0.50847992309965528</v>
      </c>
      <c r="J7" s="17">
        <f t="shared" si="5"/>
        <v>425.85702039519225</v>
      </c>
      <c r="K7" s="17">
        <f t="shared" si="3"/>
        <v>20.278905733104391</v>
      </c>
      <c r="L7" s="16">
        <v>72</v>
      </c>
      <c r="M7" s="19">
        <f t="shared" si="6"/>
        <v>0.29166666666666669</v>
      </c>
      <c r="N7" s="16">
        <v>22</v>
      </c>
      <c r="O7" s="20">
        <f t="shared" ref="O7:P7" si="15">D7/7</f>
        <v>3</v>
      </c>
      <c r="P7" s="20">
        <f t="shared" si="15"/>
        <v>0</v>
      </c>
      <c r="Q7" s="16">
        <f t="shared" si="8"/>
        <v>7</v>
      </c>
      <c r="R7" s="16"/>
      <c r="S7" s="21">
        <v>2.4551724137930999</v>
      </c>
      <c r="T7" s="14">
        <v>192</v>
      </c>
      <c r="U7" s="22">
        <v>120</v>
      </c>
      <c r="V7" s="23" t="s">
        <v>302</v>
      </c>
      <c r="W7" s="14">
        <v>0</v>
      </c>
      <c r="X7" s="24">
        <f t="shared" si="9"/>
        <v>0</v>
      </c>
      <c r="Y7" s="25">
        <f t="shared" si="10"/>
        <v>0</v>
      </c>
      <c r="Z7" s="14">
        <v>0</v>
      </c>
      <c r="AA7" s="14" t="s">
        <v>35</v>
      </c>
      <c r="AB7" s="27">
        <f t="shared" si="11"/>
        <v>-0.69</v>
      </c>
      <c r="AC7" s="28">
        <v>0.12514395833333333</v>
      </c>
      <c r="AD7" s="25">
        <f t="shared" si="12"/>
        <v>-3.6266719125</v>
      </c>
      <c r="AE7" s="25">
        <v>-5.8</v>
      </c>
      <c r="AF7" s="25">
        <v>-7.3823717948717951</v>
      </c>
      <c r="AG7" s="25">
        <v>0</v>
      </c>
    </row>
    <row r="8" spans="1:33" ht="15.75" customHeight="1">
      <c r="A8" s="14" t="s">
        <v>189</v>
      </c>
      <c r="B8" s="14" t="s">
        <v>64</v>
      </c>
      <c r="C8" s="15">
        <f t="shared" si="4"/>
        <v>37.864375000000003</v>
      </c>
      <c r="D8" s="16">
        <v>16</v>
      </c>
      <c r="E8" s="16">
        <v>0</v>
      </c>
      <c r="F8" s="29">
        <v>605.83000000000004</v>
      </c>
      <c r="G8" s="29">
        <v>0</v>
      </c>
      <c r="H8" s="18">
        <f t="shared" si="1"/>
        <v>0</v>
      </c>
      <c r="I8" s="18">
        <f t="shared" si="2"/>
        <v>0.49735457372530251</v>
      </c>
      <c r="J8" s="17">
        <f t="shared" si="5"/>
        <v>301.31232140000003</v>
      </c>
      <c r="K8" s="17">
        <f t="shared" si="3"/>
        <v>18.832020087500002</v>
      </c>
      <c r="L8" s="16">
        <v>55</v>
      </c>
      <c r="M8" s="19">
        <f t="shared" si="6"/>
        <v>0.29090909090909089</v>
      </c>
      <c r="N8" s="16">
        <v>125</v>
      </c>
      <c r="O8" s="20">
        <f t="shared" ref="O8:P8" si="16">D8/7</f>
        <v>2.2857142857142856</v>
      </c>
      <c r="P8" s="20">
        <f t="shared" si="16"/>
        <v>0</v>
      </c>
      <c r="Q8" s="16">
        <f t="shared" si="8"/>
        <v>54</v>
      </c>
      <c r="R8" s="16"/>
      <c r="S8" s="21">
        <v>1.9388646288209599</v>
      </c>
      <c r="T8" s="14">
        <v>72</v>
      </c>
      <c r="U8" s="22">
        <v>72</v>
      </c>
      <c r="V8" s="23" t="s">
        <v>303</v>
      </c>
      <c r="W8" s="14">
        <v>0</v>
      </c>
      <c r="X8" s="24">
        <f t="shared" si="9"/>
        <v>0</v>
      </c>
      <c r="Y8" s="25">
        <f t="shared" si="10"/>
        <v>0</v>
      </c>
      <c r="Z8" s="14">
        <v>0</v>
      </c>
      <c r="AA8" s="14" t="s">
        <v>35</v>
      </c>
      <c r="AB8" s="27">
        <f t="shared" si="11"/>
        <v>-0.69</v>
      </c>
      <c r="AC8" s="28">
        <v>0.12514395833333333</v>
      </c>
      <c r="AD8" s="25">
        <f t="shared" si="12"/>
        <v>-2.7631785999999998</v>
      </c>
      <c r="AE8" s="25">
        <v>-5.8</v>
      </c>
      <c r="AF8" s="25">
        <v>-7.38</v>
      </c>
      <c r="AG8" s="25">
        <v>0</v>
      </c>
    </row>
    <row r="9" spans="1:33" ht="15.75" customHeight="1">
      <c r="A9" s="14" t="s">
        <v>191</v>
      </c>
      <c r="B9" s="14" t="s">
        <v>304</v>
      </c>
      <c r="C9" s="15">
        <f t="shared" si="4"/>
        <v>37.151176470588233</v>
      </c>
      <c r="D9" s="16">
        <v>17</v>
      </c>
      <c r="E9" s="16">
        <v>0</v>
      </c>
      <c r="F9" s="29">
        <v>631.56999999999994</v>
      </c>
      <c r="G9" s="29">
        <v>-38.249999999999993</v>
      </c>
      <c r="H9" s="18">
        <f t="shared" si="1"/>
        <v>6.0563357980904724E-2</v>
      </c>
      <c r="I9" s="18">
        <f t="shared" si="2"/>
        <v>0.42638415892192549</v>
      </c>
      <c r="J9" s="17">
        <f t="shared" si="5"/>
        <v>269.29144325032047</v>
      </c>
      <c r="K9" s="17">
        <f t="shared" si="3"/>
        <v>15.840673132371792</v>
      </c>
      <c r="L9" s="16">
        <v>72</v>
      </c>
      <c r="M9" s="19">
        <f t="shared" si="6"/>
        <v>0.2361111111111111</v>
      </c>
      <c r="N9" s="16">
        <v>114</v>
      </c>
      <c r="O9" s="20">
        <f t="shared" ref="O9:P9" si="17">D9/7</f>
        <v>2.4285714285714284</v>
      </c>
      <c r="P9" s="20">
        <f t="shared" si="17"/>
        <v>0</v>
      </c>
      <c r="Q9" s="16">
        <f t="shared" si="8"/>
        <v>46</v>
      </c>
      <c r="R9" s="16"/>
      <c r="S9" s="21">
        <v>2.53266331658291</v>
      </c>
      <c r="T9" s="14">
        <v>72</v>
      </c>
      <c r="U9" s="22">
        <v>72</v>
      </c>
      <c r="V9" s="23" t="s">
        <v>305</v>
      </c>
      <c r="W9" s="14">
        <v>2</v>
      </c>
      <c r="X9" s="24">
        <f t="shared" si="9"/>
        <v>0.11764705882352941</v>
      </c>
      <c r="Y9" s="25">
        <f t="shared" si="10"/>
        <v>12.749999999999998</v>
      </c>
      <c r="Z9" s="14">
        <v>1</v>
      </c>
      <c r="AA9" s="14" t="s">
        <v>35</v>
      </c>
      <c r="AB9" s="27">
        <f t="shared" si="11"/>
        <v>-0.69</v>
      </c>
      <c r="AC9" s="28">
        <v>0.12514395833333333</v>
      </c>
      <c r="AD9" s="25">
        <f t="shared" si="12"/>
        <v>-2.9358772625</v>
      </c>
      <c r="AE9" s="25">
        <v>-5.8</v>
      </c>
      <c r="AF9" s="25">
        <v>-7.5151282051281996</v>
      </c>
      <c r="AG9" s="25">
        <v>0</v>
      </c>
    </row>
    <row r="10" spans="1:33" ht="15.75" customHeight="1">
      <c r="A10" s="14" t="s">
        <v>192</v>
      </c>
      <c r="B10" s="14" t="s">
        <v>306</v>
      </c>
      <c r="C10" s="15">
        <f t="shared" si="4"/>
        <v>35.621818181818178</v>
      </c>
      <c r="D10" s="16">
        <v>22</v>
      </c>
      <c r="E10" s="16">
        <v>0</v>
      </c>
      <c r="F10" s="29">
        <v>783.68</v>
      </c>
      <c r="G10" s="29">
        <v>-4.34</v>
      </c>
      <c r="H10" s="18">
        <f t="shared" si="1"/>
        <v>5.5379746835443038E-3</v>
      </c>
      <c r="I10" s="18">
        <f t="shared" si="2"/>
        <v>0.46582254097613757</v>
      </c>
      <c r="J10" s="17">
        <f t="shared" si="5"/>
        <v>365.05580891217949</v>
      </c>
      <c r="K10" s="17">
        <f t="shared" si="3"/>
        <v>16.593445859644522</v>
      </c>
      <c r="L10" s="16">
        <v>69</v>
      </c>
      <c r="M10" s="19">
        <f t="shared" si="6"/>
        <v>0.3188405797101449</v>
      </c>
      <c r="N10" s="16">
        <v>66</v>
      </c>
      <c r="O10" s="20">
        <f t="shared" ref="O10:P10" si="18">D10/7</f>
        <v>3.1428571428571428</v>
      </c>
      <c r="P10" s="20">
        <f t="shared" si="18"/>
        <v>0</v>
      </c>
      <c r="Q10" s="16">
        <f t="shared" si="8"/>
        <v>21</v>
      </c>
      <c r="R10" s="16"/>
      <c r="S10" s="21">
        <v>4.7619047619047601</v>
      </c>
      <c r="T10" s="14">
        <v>72</v>
      </c>
      <c r="U10" s="22">
        <v>72</v>
      </c>
      <c r="V10" s="23" t="s">
        <v>307</v>
      </c>
      <c r="W10" s="14">
        <v>0</v>
      </c>
      <c r="X10" s="24">
        <f t="shared" si="9"/>
        <v>0</v>
      </c>
      <c r="Y10" s="25">
        <f t="shared" si="10"/>
        <v>0</v>
      </c>
      <c r="Z10" s="14">
        <v>0</v>
      </c>
      <c r="AA10" s="14" t="s">
        <v>35</v>
      </c>
      <c r="AB10" s="27">
        <f t="shared" si="11"/>
        <v>-0.69</v>
      </c>
      <c r="AC10" s="28">
        <v>0.12514395833333333</v>
      </c>
      <c r="AD10" s="25">
        <f t="shared" si="12"/>
        <v>-3.7993705749999998</v>
      </c>
      <c r="AE10" s="25">
        <v>-5.8</v>
      </c>
      <c r="AF10" s="25">
        <v>-7.5151282051281996</v>
      </c>
      <c r="AG10" s="25">
        <v>0</v>
      </c>
    </row>
    <row r="11" spans="1:33" ht="15.75" customHeight="1">
      <c r="A11" s="14" t="s">
        <v>193</v>
      </c>
      <c r="B11" s="14" t="s">
        <v>308</v>
      </c>
      <c r="C11" s="15">
        <f t="shared" si="4"/>
        <v>30.838437500000005</v>
      </c>
      <c r="D11" s="16">
        <v>32</v>
      </c>
      <c r="E11" s="16">
        <v>0</v>
      </c>
      <c r="F11" s="29">
        <v>986.83000000000015</v>
      </c>
      <c r="G11" s="29">
        <v>0</v>
      </c>
      <c r="H11" s="18">
        <f t="shared" si="1"/>
        <v>0</v>
      </c>
      <c r="I11" s="18">
        <f t="shared" si="2"/>
        <v>0.41262936902596969</v>
      </c>
      <c r="J11" s="17">
        <f t="shared" si="5"/>
        <v>407.19504023589775</v>
      </c>
      <c r="K11" s="17">
        <f t="shared" si="3"/>
        <v>12.724845007371805</v>
      </c>
      <c r="L11" s="16">
        <v>98</v>
      </c>
      <c r="M11" s="19">
        <f t="shared" si="6"/>
        <v>0.32653061224489793</v>
      </c>
      <c r="N11" s="16">
        <v>134</v>
      </c>
      <c r="O11" s="20">
        <f t="shared" ref="O11:P11" si="19">D11/7</f>
        <v>4.5714285714285712</v>
      </c>
      <c r="P11" s="20">
        <f t="shared" si="19"/>
        <v>0</v>
      </c>
      <c r="Q11" s="16">
        <f t="shared" si="8"/>
        <v>29</v>
      </c>
      <c r="R11" s="16"/>
      <c r="S11" s="21">
        <v>2.22818791946308</v>
      </c>
      <c r="T11" s="14">
        <v>680</v>
      </c>
      <c r="U11" s="22">
        <v>72</v>
      </c>
      <c r="V11" s="23" t="s">
        <v>309</v>
      </c>
      <c r="W11" s="14">
        <v>0</v>
      </c>
      <c r="X11" s="24">
        <f t="shared" si="9"/>
        <v>0</v>
      </c>
      <c r="Y11" s="25">
        <f t="shared" si="10"/>
        <v>0</v>
      </c>
      <c r="Z11" s="14">
        <v>0</v>
      </c>
      <c r="AA11" s="14" t="s">
        <v>35</v>
      </c>
      <c r="AB11" s="27">
        <f t="shared" si="11"/>
        <v>-0.69</v>
      </c>
      <c r="AC11" s="28">
        <v>0.12514395833333333</v>
      </c>
      <c r="AD11" s="25">
        <f t="shared" si="12"/>
        <v>-5.5263571999999996</v>
      </c>
      <c r="AE11" s="25">
        <v>-5.8</v>
      </c>
      <c r="AF11" s="25">
        <v>-7.5151282051281996</v>
      </c>
      <c r="AG11" s="25">
        <v>0</v>
      </c>
    </row>
    <row r="12" spans="1:33" ht="15.75" customHeight="1">
      <c r="A12" s="14" t="s">
        <v>195</v>
      </c>
      <c r="B12" s="14" t="s">
        <v>68</v>
      </c>
      <c r="C12" s="15">
        <f t="shared" si="4"/>
        <v>32.171290322580653</v>
      </c>
      <c r="D12" s="16">
        <v>31</v>
      </c>
      <c r="E12" s="16">
        <v>0</v>
      </c>
      <c r="F12" s="29">
        <v>997.31000000000017</v>
      </c>
      <c r="G12" s="29">
        <v>-0.06</v>
      </c>
      <c r="H12" s="18">
        <f t="shared" si="1"/>
        <v>6.0161835337056669E-5</v>
      </c>
      <c r="I12" s="18">
        <f t="shared" si="2"/>
        <v>0.43068942164775853</v>
      </c>
      <c r="J12" s="17">
        <f t="shared" si="5"/>
        <v>429.53086710352613</v>
      </c>
      <c r="K12" s="17">
        <f t="shared" si="3"/>
        <v>13.855834422694391</v>
      </c>
      <c r="L12" s="16">
        <v>119</v>
      </c>
      <c r="M12" s="19">
        <f t="shared" si="6"/>
        <v>0.26050420168067229</v>
      </c>
      <c r="N12" s="16">
        <v>116</v>
      </c>
      <c r="O12" s="20">
        <f t="shared" ref="O12:P12" si="20">D12/7</f>
        <v>4.4285714285714288</v>
      </c>
      <c r="P12" s="20">
        <f t="shared" si="20"/>
        <v>0</v>
      </c>
      <c r="Q12" s="16">
        <f t="shared" si="8"/>
        <v>26</v>
      </c>
      <c r="R12" s="16"/>
      <c r="S12" s="21">
        <v>3.3388429752066102</v>
      </c>
      <c r="T12" s="14">
        <v>608</v>
      </c>
      <c r="U12" s="22" t="s">
        <v>34</v>
      </c>
      <c r="V12" s="23" t="s">
        <v>34</v>
      </c>
      <c r="W12" s="14">
        <v>0</v>
      </c>
      <c r="X12" s="24">
        <f t="shared" si="9"/>
        <v>0</v>
      </c>
      <c r="Y12" s="25">
        <f t="shared" si="10"/>
        <v>0</v>
      </c>
      <c r="Z12" s="14">
        <v>0</v>
      </c>
      <c r="AA12" s="14" t="s">
        <v>35</v>
      </c>
      <c r="AB12" s="27">
        <f t="shared" si="11"/>
        <v>-0.69</v>
      </c>
      <c r="AC12" s="28">
        <v>0.12514395833333333</v>
      </c>
      <c r="AD12" s="25">
        <f t="shared" si="12"/>
        <v>-5.3536585374999994</v>
      </c>
      <c r="AE12" s="25">
        <v>-5.8</v>
      </c>
      <c r="AF12" s="25">
        <v>-7.5151282051281996</v>
      </c>
      <c r="AG12" s="25">
        <v>0</v>
      </c>
    </row>
    <row r="13" spans="1:33" ht="15.75" customHeight="1">
      <c r="A13" s="14" t="s">
        <v>197</v>
      </c>
      <c r="B13" s="14" t="s">
        <v>310</v>
      </c>
      <c r="C13" s="15">
        <f t="shared" si="4"/>
        <v>33.211071428571429</v>
      </c>
      <c r="D13" s="16">
        <v>28</v>
      </c>
      <c r="E13" s="16">
        <v>0</v>
      </c>
      <c r="F13" s="17">
        <v>929.91000000000008</v>
      </c>
      <c r="G13" s="29">
        <v>0</v>
      </c>
      <c r="H13" s="18">
        <f t="shared" si="1"/>
        <v>0</v>
      </c>
      <c r="I13" s="18">
        <f t="shared" si="2"/>
        <v>0.44177171710165508</v>
      </c>
      <c r="J13" s="17">
        <f t="shared" si="5"/>
        <v>410.80793745000011</v>
      </c>
      <c r="K13" s="17">
        <f t="shared" si="3"/>
        <v>14.671712051785718</v>
      </c>
      <c r="L13" s="16">
        <v>43</v>
      </c>
      <c r="M13" s="19">
        <f t="shared" si="6"/>
        <v>0.65116279069767447</v>
      </c>
      <c r="N13" s="16">
        <v>156</v>
      </c>
      <c r="O13" s="20">
        <f t="shared" ref="O13:P13" si="21">D13/7</f>
        <v>4</v>
      </c>
      <c r="P13" s="20">
        <f t="shared" si="21"/>
        <v>0</v>
      </c>
      <c r="Q13" s="16">
        <f t="shared" si="8"/>
        <v>39</v>
      </c>
      <c r="R13" s="16"/>
      <c r="S13" s="21">
        <v>2.2079207920792001</v>
      </c>
      <c r="T13" s="14">
        <v>608</v>
      </c>
      <c r="U13" s="22" t="s">
        <v>34</v>
      </c>
      <c r="V13" s="23" t="s">
        <v>34</v>
      </c>
      <c r="W13" s="14">
        <v>0</v>
      </c>
      <c r="X13" s="24">
        <f t="shared" si="9"/>
        <v>0</v>
      </c>
      <c r="Y13" s="25">
        <f t="shared" si="10"/>
        <v>0</v>
      </c>
      <c r="Z13" s="14">
        <v>0</v>
      </c>
      <c r="AA13" s="14" t="s">
        <v>35</v>
      </c>
      <c r="AB13" s="27">
        <f t="shared" si="11"/>
        <v>-0.69</v>
      </c>
      <c r="AC13" s="28">
        <v>0.12514395833333333</v>
      </c>
      <c r="AD13" s="25">
        <f t="shared" si="12"/>
        <v>-4.8355625499999997</v>
      </c>
      <c r="AE13" s="25">
        <v>-5.8</v>
      </c>
      <c r="AF13" s="25">
        <v>-7.585</v>
      </c>
      <c r="AG13" s="25">
        <v>0</v>
      </c>
    </row>
    <row r="14" spans="1:33" ht="15.75" customHeight="1">
      <c r="A14" s="14" t="s">
        <v>32</v>
      </c>
      <c r="B14" s="14" t="s">
        <v>143</v>
      </c>
      <c r="C14" s="15">
        <f t="shared" si="4"/>
        <v>34.771250000000002</v>
      </c>
      <c r="D14" s="16">
        <v>24</v>
      </c>
      <c r="E14" s="16">
        <v>0</v>
      </c>
      <c r="F14" s="17">
        <v>834.5100000000001</v>
      </c>
      <c r="G14" s="29">
        <v>0</v>
      </c>
      <c r="H14" s="18">
        <f t="shared" si="1"/>
        <v>0</v>
      </c>
      <c r="I14" s="18">
        <f t="shared" si="2"/>
        <v>0.46008883308768028</v>
      </c>
      <c r="J14" s="17">
        <f t="shared" si="5"/>
        <v>383.94873210000014</v>
      </c>
      <c r="K14" s="17">
        <f t="shared" si="3"/>
        <v>15.997863837500006</v>
      </c>
      <c r="L14" s="16">
        <v>65</v>
      </c>
      <c r="M14" s="19">
        <f t="shared" si="6"/>
        <v>0.36923076923076925</v>
      </c>
      <c r="N14" s="16">
        <v>133</v>
      </c>
      <c r="O14" s="20">
        <f t="shared" ref="O14:P14" si="22">D14/7</f>
        <v>3.4285714285714284</v>
      </c>
      <c r="P14" s="20">
        <f t="shared" si="22"/>
        <v>0</v>
      </c>
      <c r="Q14" s="16">
        <f t="shared" si="8"/>
        <v>38</v>
      </c>
      <c r="R14" s="16"/>
      <c r="S14" s="21">
        <v>3.4266666666666601</v>
      </c>
      <c r="T14" s="14">
        <v>608</v>
      </c>
      <c r="U14" s="22" t="s">
        <v>34</v>
      </c>
      <c r="V14" s="23" t="s">
        <v>34</v>
      </c>
      <c r="W14" s="14">
        <v>0</v>
      </c>
      <c r="X14" s="24">
        <f t="shared" si="9"/>
        <v>0</v>
      </c>
      <c r="Y14" s="25">
        <f t="shared" si="10"/>
        <v>0</v>
      </c>
      <c r="Z14" s="14">
        <v>0</v>
      </c>
      <c r="AA14" s="14" t="s">
        <v>35</v>
      </c>
      <c r="AB14" s="27">
        <f t="shared" si="11"/>
        <v>-0.69</v>
      </c>
      <c r="AC14" s="28">
        <v>0.12514395833333333</v>
      </c>
      <c r="AD14" s="25">
        <f t="shared" si="12"/>
        <v>-4.1447678999999997</v>
      </c>
      <c r="AE14" s="25">
        <v>-5.8</v>
      </c>
      <c r="AF14" s="25">
        <v>-7.585</v>
      </c>
      <c r="AG14" s="25">
        <v>0</v>
      </c>
    </row>
    <row r="15" spans="1:33" ht="15.75" customHeight="1">
      <c r="A15" s="14" t="s">
        <v>36</v>
      </c>
      <c r="B15" s="14" t="s">
        <v>68</v>
      </c>
      <c r="C15" s="15">
        <f t="shared" si="4"/>
        <v>39.99</v>
      </c>
      <c r="D15" s="16">
        <v>11</v>
      </c>
      <c r="E15" s="16">
        <v>0</v>
      </c>
      <c r="F15" s="17">
        <v>439.89000000000004</v>
      </c>
      <c r="G15" s="29">
        <v>0</v>
      </c>
      <c r="H15" s="18">
        <f t="shared" si="1"/>
        <v>0</v>
      </c>
      <c r="I15" s="18">
        <f t="shared" si="2"/>
        <v>0.50297077613153296</v>
      </c>
      <c r="J15" s="17">
        <f t="shared" si="5"/>
        <v>221.25181471250005</v>
      </c>
      <c r="K15" s="17">
        <f t="shared" si="3"/>
        <v>20.113801337500004</v>
      </c>
      <c r="L15" s="16">
        <v>59</v>
      </c>
      <c r="M15" s="19">
        <f t="shared" si="6"/>
        <v>0.1864406779661017</v>
      </c>
      <c r="N15" s="16">
        <v>120</v>
      </c>
      <c r="O15" s="20">
        <f t="shared" ref="O15:P15" si="23">D15/7</f>
        <v>1.5714285714285714</v>
      </c>
      <c r="P15" s="20">
        <f t="shared" si="23"/>
        <v>0</v>
      </c>
      <c r="Q15" s="16">
        <f t="shared" si="8"/>
        <v>76</v>
      </c>
      <c r="R15" s="16"/>
      <c r="S15" s="21">
        <v>3.1906158357771202</v>
      </c>
      <c r="T15" s="14">
        <v>608</v>
      </c>
      <c r="U15" s="22" t="s">
        <v>34</v>
      </c>
      <c r="V15" s="23" t="s">
        <v>34</v>
      </c>
      <c r="W15" s="14">
        <v>0</v>
      </c>
      <c r="X15" s="24">
        <f t="shared" si="9"/>
        <v>0</v>
      </c>
      <c r="Y15" s="25">
        <f t="shared" si="10"/>
        <v>0</v>
      </c>
      <c r="Z15" s="14">
        <v>0</v>
      </c>
      <c r="AA15" s="14" t="s">
        <v>35</v>
      </c>
      <c r="AB15" s="27">
        <f t="shared" si="11"/>
        <v>-0.69</v>
      </c>
      <c r="AC15" s="28">
        <v>0.12514395833333333</v>
      </c>
      <c r="AD15" s="25">
        <f t="shared" si="12"/>
        <v>-1.8996852874999999</v>
      </c>
      <c r="AE15" s="25">
        <v>-5.8</v>
      </c>
      <c r="AF15" s="25">
        <v>-7.9050000000000002</v>
      </c>
      <c r="AG15" s="25">
        <v>0</v>
      </c>
    </row>
    <row r="16" spans="1:33" ht="15.75" customHeight="1">
      <c r="A16" s="14" t="s">
        <v>38</v>
      </c>
      <c r="B16" s="14" t="s">
        <v>311</v>
      </c>
      <c r="C16" s="15">
        <f t="shared" si="4"/>
        <v>39.99</v>
      </c>
      <c r="D16" s="16">
        <v>2</v>
      </c>
      <c r="E16" s="16">
        <v>1</v>
      </c>
      <c r="F16" s="17">
        <v>79.98</v>
      </c>
      <c r="G16" s="29">
        <v>0</v>
      </c>
      <c r="H16" s="18">
        <f t="shared" si="1"/>
        <v>0</v>
      </c>
      <c r="I16" s="18">
        <f t="shared" si="2"/>
        <v>0.50297077613153285</v>
      </c>
      <c r="J16" s="17">
        <f t="shared" si="5"/>
        <v>40.227602675</v>
      </c>
      <c r="K16" s="17">
        <f t="shared" si="3"/>
        <v>20.1138013375</v>
      </c>
      <c r="L16" s="16">
        <v>39</v>
      </c>
      <c r="M16" s="19">
        <f t="shared" si="6"/>
        <v>5.128205128205128E-2</v>
      </c>
      <c r="N16" s="16">
        <v>117</v>
      </c>
      <c r="O16" s="20">
        <f t="shared" ref="O16:P16" si="24">D16/7</f>
        <v>0.2857142857142857</v>
      </c>
      <c r="P16" s="20">
        <f t="shared" si="24"/>
        <v>0.14285714285714285</v>
      </c>
      <c r="Q16" s="16">
        <f t="shared" si="8"/>
        <v>273</v>
      </c>
      <c r="R16" s="16"/>
      <c r="S16" s="21">
        <v>2.82666666666666</v>
      </c>
      <c r="T16" s="14">
        <v>608</v>
      </c>
      <c r="U16" s="22" t="s">
        <v>34</v>
      </c>
      <c r="V16" s="23" t="s">
        <v>34</v>
      </c>
      <c r="W16" s="14">
        <v>0</v>
      </c>
      <c r="X16" s="24">
        <f t="shared" si="9"/>
        <v>0</v>
      </c>
      <c r="Y16" s="25">
        <f t="shared" si="10"/>
        <v>0</v>
      </c>
      <c r="Z16" s="14">
        <v>0</v>
      </c>
      <c r="AA16" s="14" t="s">
        <v>35</v>
      </c>
      <c r="AB16" s="27">
        <f t="shared" si="11"/>
        <v>-0.69</v>
      </c>
      <c r="AC16" s="28">
        <v>0.12514395833333333</v>
      </c>
      <c r="AD16" s="25">
        <f t="shared" si="12"/>
        <v>-0.34539732499999998</v>
      </c>
      <c r="AE16" s="25">
        <v>-5.8</v>
      </c>
      <c r="AF16" s="25">
        <v>-7.9050000000000002</v>
      </c>
      <c r="AG16" s="25">
        <v>0</v>
      </c>
    </row>
    <row r="17" spans="1:33" ht="15.75" customHeight="1">
      <c r="A17" s="14" t="s">
        <v>40</v>
      </c>
      <c r="B17" s="14" t="s">
        <v>312</v>
      </c>
      <c r="C17" s="15">
        <f t="shared" si="4"/>
        <v>37.015000000000001</v>
      </c>
      <c r="D17" s="16">
        <v>4</v>
      </c>
      <c r="E17" s="16">
        <v>0</v>
      </c>
      <c r="F17" s="17">
        <v>148.06</v>
      </c>
      <c r="G17" s="29">
        <v>0</v>
      </c>
      <c r="H17" s="18">
        <f t="shared" si="1"/>
        <v>0</v>
      </c>
      <c r="I17" s="18">
        <f t="shared" si="2"/>
        <v>0.47507905815210044</v>
      </c>
      <c r="J17" s="17">
        <f t="shared" si="5"/>
        <v>70.340205349999991</v>
      </c>
      <c r="K17" s="17">
        <f t="shared" si="3"/>
        <v>17.585051337499998</v>
      </c>
      <c r="L17" s="16">
        <v>30</v>
      </c>
      <c r="M17" s="19">
        <f t="shared" si="6"/>
        <v>0.13333333333333333</v>
      </c>
      <c r="N17" s="16">
        <v>115</v>
      </c>
      <c r="O17" s="20">
        <f t="shared" ref="O17:P17" si="25">D17/7</f>
        <v>0.5714285714285714</v>
      </c>
      <c r="P17" s="20">
        <f t="shared" si="25"/>
        <v>0</v>
      </c>
      <c r="Q17" s="16">
        <f t="shared" si="8"/>
        <v>201</v>
      </c>
      <c r="R17" s="16"/>
      <c r="S17" s="21">
        <v>2.0155642023346299</v>
      </c>
      <c r="T17" s="14">
        <v>608</v>
      </c>
      <c r="U17" s="22" t="s">
        <v>34</v>
      </c>
      <c r="V17" s="23" t="s">
        <v>34</v>
      </c>
      <c r="W17" s="14">
        <v>0</v>
      </c>
      <c r="X17" s="24">
        <f t="shared" si="9"/>
        <v>0</v>
      </c>
      <c r="Y17" s="25">
        <f t="shared" si="10"/>
        <v>0</v>
      </c>
      <c r="Z17" s="14">
        <v>0</v>
      </c>
      <c r="AA17" s="14" t="s">
        <v>35</v>
      </c>
      <c r="AB17" s="27">
        <f t="shared" si="11"/>
        <v>-0.69</v>
      </c>
      <c r="AC17" s="28">
        <v>0.12514395833333333</v>
      </c>
      <c r="AD17" s="25">
        <f t="shared" si="12"/>
        <v>-0.69079464999999995</v>
      </c>
      <c r="AE17" s="25">
        <v>-5.8</v>
      </c>
      <c r="AF17" s="25">
        <v>-7.9050000000000002</v>
      </c>
      <c r="AG17" s="25">
        <v>0</v>
      </c>
    </row>
    <row r="18" spans="1:33" ht="15.75" customHeight="1">
      <c r="A18" s="14" t="s">
        <v>42</v>
      </c>
      <c r="B18" s="14" t="s">
        <v>313</v>
      </c>
      <c r="C18" s="15">
        <f t="shared" si="4"/>
        <v>34.589999999999996</v>
      </c>
      <c r="D18" s="16">
        <v>5</v>
      </c>
      <c r="E18" s="16">
        <v>0</v>
      </c>
      <c r="F18" s="17">
        <v>172.95</v>
      </c>
      <c r="G18" s="29">
        <v>0</v>
      </c>
      <c r="H18" s="18">
        <f t="shared" si="1"/>
        <v>0</v>
      </c>
      <c r="I18" s="18">
        <f t="shared" si="2"/>
        <v>0.44879448793003757</v>
      </c>
      <c r="J18" s="17">
        <f t="shared" si="5"/>
        <v>77.61900668749999</v>
      </c>
      <c r="K18" s="17">
        <f t="shared" si="3"/>
        <v>15.523801337499998</v>
      </c>
      <c r="L18" s="16">
        <v>30</v>
      </c>
      <c r="M18" s="19">
        <f t="shared" si="6"/>
        <v>0.16666666666666666</v>
      </c>
      <c r="N18" s="16">
        <v>110</v>
      </c>
      <c r="O18" s="20">
        <f t="shared" ref="O18:P18" si="26">D18/7</f>
        <v>0.7142857142857143</v>
      </c>
      <c r="P18" s="20">
        <f t="shared" si="26"/>
        <v>0</v>
      </c>
      <c r="Q18" s="16">
        <f t="shared" si="8"/>
        <v>154</v>
      </c>
      <c r="R18" s="16"/>
      <c r="S18" s="21">
        <v>2.17040358744394</v>
      </c>
      <c r="T18" s="14">
        <v>608</v>
      </c>
      <c r="U18" s="22">
        <v>0</v>
      </c>
      <c r="V18" s="23" t="s">
        <v>314</v>
      </c>
      <c r="W18" s="14">
        <v>0</v>
      </c>
      <c r="X18" s="24">
        <f t="shared" si="9"/>
        <v>0</v>
      </c>
      <c r="Y18" s="25">
        <f t="shared" si="10"/>
        <v>0</v>
      </c>
      <c r="Z18" s="14">
        <v>0</v>
      </c>
      <c r="AA18" s="14" t="s">
        <v>35</v>
      </c>
      <c r="AB18" s="27">
        <f t="shared" si="11"/>
        <v>-0.69</v>
      </c>
      <c r="AC18" s="28">
        <v>0.12514395833333333</v>
      </c>
      <c r="AD18" s="25">
        <f t="shared" si="12"/>
        <v>-0.86349331249999994</v>
      </c>
      <c r="AE18" s="25">
        <v>-5.8</v>
      </c>
      <c r="AF18" s="25">
        <v>-7.9050000000000002</v>
      </c>
      <c r="AG18" s="25">
        <v>0</v>
      </c>
    </row>
    <row r="19" spans="1:33" ht="15.75" customHeight="1">
      <c r="A19" s="14" t="s">
        <v>44</v>
      </c>
      <c r="B19" s="14" t="s">
        <v>315</v>
      </c>
      <c r="C19" s="15">
        <f t="shared" si="4"/>
        <v>33.300000000000004</v>
      </c>
      <c r="D19" s="16">
        <v>12</v>
      </c>
      <c r="E19" s="16">
        <v>0</v>
      </c>
      <c r="F19" s="17">
        <v>399.6</v>
      </c>
      <c r="G19" s="29">
        <v>0</v>
      </c>
      <c r="H19" s="18">
        <f t="shared" si="1"/>
        <v>0</v>
      </c>
      <c r="I19" s="18">
        <f t="shared" si="2"/>
        <v>0.42220124136636644</v>
      </c>
      <c r="J19" s="17">
        <f t="shared" si="5"/>
        <v>168.71161605000003</v>
      </c>
      <c r="K19" s="17">
        <f t="shared" si="3"/>
        <v>14.059301337500003</v>
      </c>
      <c r="L19" s="16">
        <v>37</v>
      </c>
      <c r="M19" s="19">
        <f t="shared" si="6"/>
        <v>0.32432432432432434</v>
      </c>
      <c r="N19" s="16">
        <v>99</v>
      </c>
      <c r="O19" s="20">
        <f t="shared" ref="O19:P19" si="27">D19/7</f>
        <v>1.7142857142857142</v>
      </c>
      <c r="P19" s="20">
        <f t="shared" si="27"/>
        <v>0</v>
      </c>
      <c r="Q19" s="16">
        <f t="shared" si="8"/>
        <v>57</v>
      </c>
      <c r="R19" s="16"/>
      <c r="S19" s="21">
        <v>2.5882352941176401</v>
      </c>
      <c r="T19" s="14">
        <v>608</v>
      </c>
      <c r="U19" s="22">
        <v>304</v>
      </c>
      <c r="V19" s="23" t="s">
        <v>314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14" t="s">
        <v>35</v>
      </c>
      <c r="AB19" s="27">
        <f t="shared" si="11"/>
        <v>-0.69</v>
      </c>
      <c r="AC19" s="28">
        <v>0.12514395833333333</v>
      </c>
      <c r="AD19" s="25">
        <f t="shared" si="12"/>
        <v>-2.0723839499999999</v>
      </c>
      <c r="AE19" s="25">
        <v>-5.8</v>
      </c>
      <c r="AF19" s="25">
        <v>-8.2730000000000015</v>
      </c>
      <c r="AG19" s="25">
        <v>0</v>
      </c>
    </row>
    <row r="20" spans="1:33" ht="15.75" customHeight="1">
      <c r="A20" s="14" t="s">
        <v>46</v>
      </c>
      <c r="B20" s="14" t="s">
        <v>316</v>
      </c>
      <c r="C20" s="15">
        <f t="shared" si="4"/>
        <v>29.318333333333339</v>
      </c>
      <c r="D20" s="16">
        <v>12</v>
      </c>
      <c r="E20" s="16">
        <v>0</v>
      </c>
      <c r="F20" s="17">
        <v>351.82000000000005</v>
      </c>
      <c r="G20" s="29">
        <v>0</v>
      </c>
      <c r="H20" s="18">
        <f t="shared" si="1"/>
        <v>0</v>
      </c>
      <c r="I20" s="18">
        <f t="shared" si="2"/>
        <v>0.36410271175601161</v>
      </c>
      <c r="J20" s="17">
        <f t="shared" si="5"/>
        <v>128.09861605000003</v>
      </c>
      <c r="K20" s="17">
        <f t="shared" si="3"/>
        <v>10.674884670833336</v>
      </c>
      <c r="L20" s="16">
        <v>34</v>
      </c>
      <c r="M20" s="19">
        <f t="shared" si="6"/>
        <v>0.35294117647058826</v>
      </c>
      <c r="N20" s="16">
        <v>89</v>
      </c>
      <c r="O20" s="20">
        <f t="shared" ref="O20:P20" si="28">D20/7</f>
        <v>1.7142857142857142</v>
      </c>
      <c r="P20" s="20">
        <f t="shared" si="28"/>
        <v>0</v>
      </c>
      <c r="Q20" s="16">
        <f t="shared" si="8"/>
        <v>51</v>
      </c>
      <c r="R20" s="16"/>
      <c r="S20" s="21">
        <v>2.2395833333333299</v>
      </c>
      <c r="T20" s="14">
        <v>304</v>
      </c>
      <c r="U20" s="22">
        <v>304</v>
      </c>
      <c r="V20" s="23" t="s">
        <v>317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14" t="s">
        <v>35</v>
      </c>
      <c r="AB20" s="27">
        <f t="shared" si="11"/>
        <v>-0.69</v>
      </c>
      <c r="AC20" s="28">
        <v>0.12514395833333333</v>
      </c>
      <c r="AD20" s="25">
        <f t="shared" si="12"/>
        <v>-2.0723839499999999</v>
      </c>
      <c r="AE20" s="25">
        <v>-5.8</v>
      </c>
      <c r="AF20" s="25">
        <v>-8.2730000000000015</v>
      </c>
      <c r="AG20" s="25">
        <v>0</v>
      </c>
    </row>
    <row r="21" spans="1:33" ht="15.75" customHeight="1">
      <c r="A21" s="14" t="s">
        <v>47</v>
      </c>
      <c r="B21" s="14" t="s">
        <v>318</v>
      </c>
      <c r="C21" s="15">
        <f t="shared" si="4"/>
        <v>26.88315789473684</v>
      </c>
      <c r="D21" s="16">
        <v>19</v>
      </c>
      <c r="E21" s="16">
        <v>0</v>
      </c>
      <c r="F21" s="17">
        <v>510.78</v>
      </c>
      <c r="G21" s="29">
        <v>0</v>
      </c>
      <c r="H21" s="18">
        <f t="shared" si="1"/>
        <v>0</v>
      </c>
      <c r="I21" s="18">
        <f t="shared" si="2"/>
        <v>0.32008834608344083</v>
      </c>
      <c r="J21" s="17">
        <f t="shared" si="5"/>
        <v>163.49472541249989</v>
      </c>
      <c r="K21" s="17">
        <f t="shared" si="3"/>
        <v>8.6049855480263098</v>
      </c>
      <c r="L21" s="16">
        <v>19</v>
      </c>
      <c r="M21" s="19">
        <f t="shared" si="6"/>
        <v>1</v>
      </c>
      <c r="N21" s="16">
        <v>69</v>
      </c>
      <c r="O21" s="20">
        <f t="shared" ref="O21:P21" si="29">D21/7</f>
        <v>2.7142857142857144</v>
      </c>
      <c r="P21" s="20">
        <f t="shared" si="29"/>
        <v>0</v>
      </c>
      <c r="Q21" s="16">
        <f t="shared" si="8"/>
        <v>25</v>
      </c>
      <c r="R21" s="16"/>
      <c r="S21" s="21">
        <v>1.7325349301397199</v>
      </c>
      <c r="T21" s="14">
        <v>608</v>
      </c>
      <c r="U21" s="22">
        <v>304</v>
      </c>
      <c r="V21" s="23" t="s">
        <v>319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14" t="s">
        <v>35</v>
      </c>
      <c r="AB21" s="27">
        <f t="shared" si="11"/>
        <v>-0.69</v>
      </c>
      <c r="AC21" s="28">
        <v>0.12514395833333333</v>
      </c>
      <c r="AD21" s="25">
        <f t="shared" si="12"/>
        <v>-3.2812745874999996</v>
      </c>
      <c r="AE21" s="25">
        <v>-5.8</v>
      </c>
      <c r="AF21" s="25">
        <v>-8.2730000000000015</v>
      </c>
      <c r="AG21" s="25">
        <v>0</v>
      </c>
    </row>
    <row r="22" spans="1:33" ht="15.75" customHeight="1">
      <c r="A22" s="14" t="s">
        <v>48</v>
      </c>
      <c r="B22" s="14" t="s">
        <v>320</v>
      </c>
      <c r="C22" s="15">
        <f t="shared" si="4"/>
        <v>26.887777777777778</v>
      </c>
      <c r="D22" s="16">
        <v>9</v>
      </c>
      <c r="E22" s="16">
        <v>2</v>
      </c>
      <c r="F22" s="29">
        <v>241.99</v>
      </c>
      <c r="G22" s="29">
        <v>0</v>
      </c>
      <c r="H22" s="18">
        <f t="shared" si="1"/>
        <v>0</v>
      </c>
      <c r="I22" s="18">
        <f t="shared" si="2"/>
        <v>0.3201793959977684</v>
      </c>
      <c r="J22" s="17">
        <f t="shared" si="5"/>
        <v>77.480212037499982</v>
      </c>
      <c r="K22" s="17">
        <f t="shared" si="3"/>
        <v>8.6089124486111093</v>
      </c>
      <c r="L22" s="16">
        <v>41</v>
      </c>
      <c r="M22" s="19">
        <f t="shared" si="6"/>
        <v>0.21951219512195122</v>
      </c>
      <c r="N22" s="16">
        <v>58</v>
      </c>
      <c r="O22" s="20">
        <f t="shared" ref="O22:P22" si="30">D22/7</f>
        <v>1.2857142857142858</v>
      </c>
      <c r="P22" s="20">
        <f t="shared" si="30"/>
        <v>0.2857142857142857</v>
      </c>
      <c r="Q22" s="16">
        <f t="shared" si="8"/>
        <v>36</v>
      </c>
      <c r="R22" s="16"/>
      <c r="S22" s="21">
        <v>1.8844444444444399</v>
      </c>
      <c r="T22" s="14">
        <v>416</v>
      </c>
      <c r="U22" s="22">
        <v>304</v>
      </c>
      <c r="V22" s="23" t="s">
        <v>321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35</v>
      </c>
      <c r="AB22" s="27">
        <f t="shared" si="11"/>
        <v>-0.69</v>
      </c>
      <c r="AC22" s="28">
        <v>0.12514395833333333</v>
      </c>
      <c r="AD22" s="25">
        <f t="shared" si="12"/>
        <v>-1.5542879624999999</v>
      </c>
      <c r="AE22" s="25">
        <v>-5.8</v>
      </c>
      <c r="AF22" s="25">
        <v>-8.2730000000000015</v>
      </c>
      <c r="AG22" s="25">
        <v>0</v>
      </c>
    </row>
    <row r="23" spans="1:33" ht="15.75" customHeight="1">
      <c r="A23" s="14" t="s">
        <v>49</v>
      </c>
      <c r="B23" s="14" t="s">
        <v>322</v>
      </c>
      <c r="C23" s="15">
        <f t="shared" si="4"/>
        <v>26.772222222222226</v>
      </c>
      <c r="D23" s="16">
        <v>9</v>
      </c>
      <c r="E23" s="16">
        <v>0</v>
      </c>
      <c r="F23" s="17">
        <v>240.95000000000002</v>
      </c>
      <c r="G23" s="29">
        <v>0</v>
      </c>
      <c r="H23" s="18">
        <f t="shared" si="1"/>
        <v>0</v>
      </c>
      <c r="I23" s="18">
        <f t="shared" si="2"/>
        <v>0.3178925587777548</v>
      </c>
      <c r="J23" s="17">
        <f t="shared" si="5"/>
        <v>76.596212037500024</v>
      </c>
      <c r="K23" s="17">
        <f t="shared" si="3"/>
        <v>8.5106902263888919</v>
      </c>
      <c r="L23" s="16">
        <v>35</v>
      </c>
      <c r="M23" s="19">
        <f t="shared" si="6"/>
        <v>0.25714285714285712</v>
      </c>
      <c r="N23" s="16">
        <v>49</v>
      </c>
      <c r="O23" s="20">
        <f t="shared" ref="O23:P23" si="31">D23/7</f>
        <v>1.2857142857142858</v>
      </c>
      <c r="P23" s="20">
        <f t="shared" si="31"/>
        <v>0</v>
      </c>
      <c r="Q23" s="16">
        <f t="shared" si="8"/>
        <v>38</v>
      </c>
      <c r="R23" s="16"/>
      <c r="S23" s="21">
        <v>2.0354430379746802</v>
      </c>
      <c r="T23" s="14">
        <v>608</v>
      </c>
      <c r="U23" s="22">
        <v>304</v>
      </c>
      <c r="V23" s="23" t="s">
        <v>321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35</v>
      </c>
      <c r="AB23" s="27">
        <f t="shared" si="11"/>
        <v>-0.69</v>
      </c>
      <c r="AC23" s="28">
        <v>0.12514395833333333</v>
      </c>
      <c r="AD23" s="25">
        <f t="shared" si="12"/>
        <v>-1.5542879624999999</v>
      </c>
      <c r="AE23" s="25">
        <v>-5.8</v>
      </c>
      <c r="AF23" s="25">
        <v>-8.2730000000000015</v>
      </c>
      <c r="AG23" s="25">
        <v>0</v>
      </c>
    </row>
    <row r="24" spans="1:33" ht="15.75" customHeight="1">
      <c r="A24" s="14" t="s">
        <v>50</v>
      </c>
      <c r="B24" s="14" t="s">
        <v>323</v>
      </c>
      <c r="C24" s="15">
        <f t="shared" si="4"/>
        <v>26.012142857142855</v>
      </c>
      <c r="D24" s="16">
        <v>14</v>
      </c>
      <c r="E24" s="16">
        <v>0</v>
      </c>
      <c r="F24" s="17">
        <v>364.16999999999996</v>
      </c>
      <c r="G24" s="17">
        <v>0</v>
      </c>
      <c r="H24" s="18">
        <f t="shared" si="1"/>
        <v>0</v>
      </c>
      <c r="I24" s="18">
        <f t="shared" si="2"/>
        <v>0.30234428625367271</v>
      </c>
      <c r="J24" s="17">
        <f t="shared" si="5"/>
        <v>110.10471872499997</v>
      </c>
      <c r="K24" s="17">
        <f t="shared" si="3"/>
        <v>7.8646227660714265</v>
      </c>
      <c r="L24" s="16">
        <v>48</v>
      </c>
      <c r="M24" s="19">
        <f t="shared" si="6"/>
        <v>0.29166666666666669</v>
      </c>
      <c r="N24" s="16">
        <v>39</v>
      </c>
      <c r="O24" s="20">
        <f t="shared" ref="O24:P24" si="32">D24/7</f>
        <v>2</v>
      </c>
      <c r="P24" s="20">
        <f t="shared" si="32"/>
        <v>0</v>
      </c>
      <c r="Q24" s="16">
        <f t="shared" si="8"/>
        <v>19</v>
      </c>
      <c r="R24" s="16"/>
      <c r="S24" s="21">
        <v>1.8095238095238</v>
      </c>
      <c r="T24" s="14">
        <v>608</v>
      </c>
      <c r="U24" s="22">
        <v>304</v>
      </c>
      <c r="V24" s="23" t="s">
        <v>324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14" t="s">
        <v>35</v>
      </c>
      <c r="AB24" s="27">
        <f t="shared" si="11"/>
        <v>-0.69</v>
      </c>
      <c r="AC24" s="28">
        <v>0.12514395833333333</v>
      </c>
      <c r="AD24" s="25">
        <f t="shared" si="12"/>
        <v>-2.4177812749999998</v>
      </c>
      <c r="AE24" s="25">
        <v>-5.8</v>
      </c>
      <c r="AF24" s="25">
        <v>-8.2730000000000015</v>
      </c>
      <c r="AG24" s="25">
        <v>0</v>
      </c>
    </row>
    <row r="25" spans="1:33" ht="15.75" customHeight="1">
      <c r="A25" s="14" t="s">
        <v>51</v>
      </c>
      <c r="B25" s="14"/>
      <c r="C25" s="15">
        <f t="shared" si="4"/>
        <v>24.235882352941175</v>
      </c>
      <c r="D25" s="16">
        <v>17</v>
      </c>
      <c r="E25" s="16">
        <v>0</v>
      </c>
      <c r="F25" s="17">
        <v>412.01</v>
      </c>
      <c r="G25" s="17">
        <v>0</v>
      </c>
      <c r="H25" s="18">
        <f t="shared" si="1"/>
        <v>0</v>
      </c>
      <c r="I25" s="18">
        <f t="shared" si="2"/>
        <v>0.26301135740502513</v>
      </c>
      <c r="J25" s="17">
        <f t="shared" si="5"/>
        <v>108.3633093644444</v>
      </c>
      <c r="K25" s="17">
        <f t="shared" si="3"/>
        <v>6.374312315555553</v>
      </c>
      <c r="L25" s="16">
        <v>59</v>
      </c>
      <c r="M25" s="19">
        <f t="shared" si="6"/>
        <v>0.28813559322033899</v>
      </c>
      <c r="N25" s="16">
        <v>17</v>
      </c>
      <c r="O25" s="20">
        <f t="shared" ref="O25:P25" si="33">D25/7</f>
        <v>2.4285714285714284</v>
      </c>
      <c r="P25" s="20">
        <f t="shared" si="33"/>
        <v>0</v>
      </c>
      <c r="Q25" s="16">
        <f t="shared" si="8"/>
        <v>7</v>
      </c>
      <c r="R25" s="16"/>
      <c r="S25" s="21">
        <v>1.942196531791907</v>
      </c>
      <c r="T25" s="14">
        <v>608</v>
      </c>
      <c r="U25" s="22">
        <v>304</v>
      </c>
      <c r="V25" s="23" t="s">
        <v>325</v>
      </c>
      <c r="W25" s="30">
        <v>0</v>
      </c>
      <c r="X25" s="24">
        <f t="shared" si="9"/>
        <v>0</v>
      </c>
      <c r="Y25" s="25">
        <f t="shared" si="10"/>
        <v>0</v>
      </c>
      <c r="Z25" s="30">
        <v>0</v>
      </c>
      <c r="AA25" s="14" t="s">
        <v>35</v>
      </c>
      <c r="AB25" s="27">
        <f t="shared" si="11"/>
        <v>-0.69</v>
      </c>
      <c r="AC25" s="28">
        <v>0.11317948148148146</v>
      </c>
      <c r="AD25" s="25">
        <f t="shared" si="12"/>
        <v>-2.655190635555555</v>
      </c>
      <c r="AE25" s="25">
        <v>-5.8</v>
      </c>
      <c r="AF25" s="25">
        <v>-8.27</v>
      </c>
      <c r="AG25" s="25">
        <v>0</v>
      </c>
    </row>
    <row r="26" spans="1:33" ht="15.75" customHeight="1">
      <c r="A26" s="14" t="s">
        <v>52</v>
      </c>
      <c r="B26" s="14" t="s">
        <v>45</v>
      </c>
      <c r="C26" s="15">
        <f t="shared" si="4"/>
        <v>21.832857142857144</v>
      </c>
      <c r="D26" s="16">
        <v>14</v>
      </c>
      <c r="E26" s="16">
        <v>1</v>
      </c>
      <c r="F26" s="17">
        <v>305.66000000000003</v>
      </c>
      <c r="G26" s="17">
        <v>0</v>
      </c>
      <c r="H26" s="18">
        <f t="shared" si="1"/>
        <v>0</v>
      </c>
      <c r="I26" s="18">
        <f t="shared" si="2"/>
        <v>0.19826726564737879</v>
      </c>
      <c r="J26" s="17">
        <f t="shared" si="5"/>
        <v>60.602372417777808</v>
      </c>
      <c r="K26" s="17">
        <f t="shared" si="3"/>
        <v>4.3287408869841295</v>
      </c>
      <c r="L26" s="16">
        <v>31</v>
      </c>
      <c r="M26" s="19">
        <f t="shared" si="6"/>
        <v>0.45161290322580644</v>
      </c>
      <c r="N26" s="16">
        <v>0</v>
      </c>
      <c r="O26" s="20">
        <f t="shared" ref="O26:P26" si="34">D26/7</f>
        <v>2</v>
      </c>
      <c r="P26" s="20">
        <f t="shared" si="34"/>
        <v>0.14285714285714285</v>
      </c>
      <c r="Q26" s="16">
        <f t="shared" si="8"/>
        <v>0</v>
      </c>
      <c r="R26" s="16"/>
      <c r="S26" s="21">
        <v>1.802816901408451</v>
      </c>
      <c r="T26" s="14">
        <v>608</v>
      </c>
      <c r="U26" s="22">
        <v>304</v>
      </c>
      <c r="V26" s="23" t="s">
        <v>326</v>
      </c>
      <c r="W26" s="30">
        <v>0</v>
      </c>
      <c r="X26" s="24">
        <f t="shared" si="9"/>
        <v>0</v>
      </c>
      <c r="Y26" s="25">
        <f t="shared" si="10"/>
        <v>0</v>
      </c>
      <c r="Z26" s="30">
        <v>0</v>
      </c>
      <c r="AA26" s="14" t="s">
        <v>35</v>
      </c>
      <c r="AB26" s="27">
        <f t="shared" si="11"/>
        <v>-0.69</v>
      </c>
      <c r="AC26" s="28">
        <v>0.11317948148148146</v>
      </c>
      <c r="AD26" s="25">
        <f t="shared" si="12"/>
        <v>-2.1866275822222221</v>
      </c>
      <c r="AE26" s="25">
        <v>-5.8</v>
      </c>
      <c r="AF26" s="25">
        <v>-8.2729999999999997</v>
      </c>
      <c r="AG26" s="25">
        <v>0</v>
      </c>
    </row>
    <row r="27" spans="1:33" ht="15.75" customHeight="1">
      <c r="A27" s="14" t="s">
        <v>53</v>
      </c>
      <c r="B27" s="14" t="s">
        <v>64</v>
      </c>
      <c r="C27" s="15">
        <f t="shared" si="4"/>
        <v>20.766666666666666</v>
      </c>
      <c r="D27" s="16">
        <v>12</v>
      </c>
      <c r="E27" s="16">
        <v>0</v>
      </c>
      <c r="F27" s="17">
        <v>249.2</v>
      </c>
      <c r="G27" s="17">
        <v>0</v>
      </c>
      <c r="H27" s="18">
        <f t="shared" si="1"/>
        <v>0</v>
      </c>
      <c r="I27" s="18">
        <f t="shared" si="2"/>
        <v>0.15315308100588546</v>
      </c>
      <c r="J27" s="17">
        <f t="shared" si="5"/>
        <v>38.165747786666657</v>
      </c>
      <c r="K27" s="17">
        <f t="shared" si="3"/>
        <v>3.1804789822222213</v>
      </c>
      <c r="L27" s="16">
        <v>36</v>
      </c>
      <c r="M27" s="19">
        <f t="shared" si="6"/>
        <v>0.33333333333333331</v>
      </c>
      <c r="N27" s="16">
        <v>298</v>
      </c>
      <c r="O27" s="20">
        <f t="shared" ref="O27:P27" si="35">D27/7</f>
        <v>1.7142857142857142</v>
      </c>
      <c r="P27" s="20">
        <f t="shared" si="35"/>
        <v>0</v>
      </c>
      <c r="Q27" s="16">
        <f t="shared" si="8"/>
        <v>173</v>
      </c>
      <c r="R27" s="16"/>
      <c r="S27" s="21">
        <v>0.91542288557213936</v>
      </c>
      <c r="T27" s="14">
        <v>304</v>
      </c>
      <c r="U27" s="22">
        <v>112</v>
      </c>
      <c r="V27" s="23" t="s">
        <v>327</v>
      </c>
      <c r="W27" s="30">
        <v>0</v>
      </c>
      <c r="X27" s="24">
        <f t="shared" si="9"/>
        <v>0</v>
      </c>
      <c r="Y27" s="25">
        <f t="shared" si="10"/>
        <v>0</v>
      </c>
      <c r="Z27" s="30">
        <v>0</v>
      </c>
      <c r="AA27" s="14" t="s">
        <v>35</v>
      </c>
      <c r="AB27" s="27">
        <f t="shared" si="11"/>
        <v>-0.69</v>
      </c>
      <c r="AC27" s="28">
        <v>0.11317948148148146</v>
      </c>
      <c r="AD27" s="25">
        <f t="shared" si="12"/>
        <v>-1.874252213333333</v>
      </c>
      <c r="AE27" s="25">
        <v>-5.68</v>
      </c>
      <c r="AF27" s="25">
        <v>-8.6349999999999998</v>
      </c>
      <c r="AG27" s="25">
        <v>0</v>
      </c>
    </row>
    <row r="28" spans="1:33" ht="15.75" customHeight="1">
      <c r="A28" s="14" t="s">
        <v>54</v>
      </c>
      <c r="B28" s="14" t="s">
        <v>328</v>
      </c>
      <c r="C28" s="15">
        <f t="shared" si="4"/>
        <v>20.114772727272726</v>
      </c>
      <c r="D28" s="16">
        <v>44</v>
      </c>
      <c r="E28" s="16">
        <v>1</v>
      </c>
      <c r="F28" s="17">
        <v>885.05</v>
      </c>
      <c r="G28" s="17">
        <v>-41.52</v>
      </c>
      <c r="H28" s="18">
        <f t="shared" si="1"/>
        <v>4.6912603807694485E-2</v>
      </c>
      <c r="I28" s="18">
        <f t="shared" si="2"/>
        <v>8.3656563905366244E-2</v>
      </c>
      <c r="J28" s="17">
        <f t="shared" si="5"/>
        <v>74.040241884444384</v>
      </c>
      <c r="K28" s="17">
        <f t="shared" si="3"/>
        <v>1.6827327701010086</v>
      </c>
      <c r="L28" s="16">
        <v>88</v>
      </c>
      <c r="M28" s="19">
        <f t="shared" si="6"/>
        <v>0.5</v>
      </c>
      <c r="N28" s="16">
        <v>250</v>
      </c>
      <c r="O28" s="20">
        <f t="shared" ref="O28:P28" si="36">D28/7</f>
        <v>6.2857142857142856</v>
      </c>
      <c r="P28" s="20">
        <f t="shared" si="36"/>
        <v>0.14285714285714285</v>
      </c>
      <c r="Q28" s="16">
        <f t="shared" si="8"/>
        <v>38</v>
      </c>
      <c r="R28" s="16"/>
      <c r="S28" s="21">
        <v>1.233644859813084</v>
      </c>
      <c r="T28" s="14">
        <v>304</v>
      </c>
      <c r="U28" s="22">
        <v>44384</v>
      </c>
      <c r="V28" s="23" t="s">
        <v>327</v>
      </c>
      <c r="W28" s="30">
        <v>7</v>
      </c>
      <c r="X28" s="24">
        <f t="shared" si="9"/>
        <v>0.15909090909090909</v>
      </c>
      <c r="Y28" s="25">
        <f t="shared" si="10"/>
        <v>2.5950000000000002</v>
      </c>
      <c r="Z28" s="30">
        <v>9</v>
      </c>
      <c r="AA28" s="14" t="s">
        <v>35</v>
      </c>
      <c r="AB28" s="27">
        <f t="shared" si="11"/>
        <v>-0.69</v>
      </c>
      <c r="AC28" s="28">
        <v>0.11317948148148146</v>
      </c>
      <c r="AD28" s="25">
        <f t="shared" si="12"/>
        <v>-6.8722581155555549</v>
      </c>
      <c r="AE28" s="25">
        <v>-5.68</v>
      </c>
      <c r="AF28" s="25">
        <v>-8.6349999999999998</v>
      </c>
      <c r="AG28" s="25">
        <v>0</v>
      </c>
    </row>
    <row r="29" spans="1:33" ht="15.75" customHeight="1">
      <c r="A29" s="14" t="s">
        <v>55</v>
      </c>
      <c r="B29" s="14" t="s">
        <v>329</v>
      </c>
      <c r="C29" s="15">
        <f t="shared" si="4"/>
        <v>21.78018181818182</v>
      </c>
      <c r="D29" s="16">
        <v>55</v>
      </c>
      <c r="E29" s="16">
        <v>0</v>
      </c>
      <c r="F29" s="17">
        <v>1197.9100000000001</v>
      </c>
      <c r="G29" s="17">
        <v>-42.060000000000009</v>
      </c>
      <c r="H29" s="18">
        <f t="shared" si="1"/>
        <v>3.5111151922932446E-2</v>
      </c>
      <c r="I29" s="18">
        <f t="shared" si="2"/>
        <v>0.15046888109754117</v>
      </c>
      <c r="J29" s="17">
        <f t="shared" si="5"/>
        <v>180.24817735555555</v>
      </c>
      <c r="K29" s="17">
        <f t="shared" si="3"/>
        <v>3.2772395882828285</v>
      </c>
      <c r="L29" s="16">
        <v>116</v>
      </c>
      <c r="M29" s="19">
        <f t="shared" si="6"/>
        <v>0.47413793103448276</v>
      </c>
      <c r="N29" s="16">
        <v>180</v>
      </c>
      <c r="O29" s="20">
        <f t="shared" ref="O29:P29" si="37">D29/7</f>
        <v>7.8571428571428568</v>
      </c>
      <c r="P29" s="20">
        <f t="shared" si="37"/>
        <v>0</v>
      </c>
      <c r="Q29" s="16">
        <f t="shared" si="8"/>
        <v>22</v>
      </c>
      <c r="R29" s="16"/>
      <c r="S29" s="21">
        <v>1.949425287356322</v>
      </c>
      <c r="T29" s="14">
        <v>304</v>
      </c>
      <c r="U29" s="22">
        <v>44386</v>
      </c>
      <c r="V29" s="23" t="s">
        <v>330</v>
      </c>
      <c r="W29" s="30">
        <v>10</v>
      </c>
      <c r="X29" s="24">
        <f t="shared" si="9"/>
        <v>0.18181818181818182</v>
      </c>
      <c r="Y29" s="25">
        <f t="shared" si="10"/>
        <v>3.5050000000000008</v>
      </c>
      <c r="Z29" s="30">
        <v>2</v>
      </c>
      <c r="AA29" s="14" t="s">
        <v>35</v>
      </c>
      <c r="AB29" s="27">
        <f t="shared" si="11"/>
        <v>-0.69</v>
      </c>
      <c r="AC29" s="28">
        <v>0.11317948148148146</v>
      </c>
      <c r="AD29" s="25">
        <f t="shared" si="12"/>
        <v>-8.5903226444444432</v>
      </c>
      <c r="AE29" s="25">
        <v>-5.68</v>
      </c>
      <c r="AF29" s="25">
        <v>-8.6349999999999998</v>
      </c>
      <c r="AG29" s="25">
        <v>0</v>
      </c>
    </row>
    <row r="30" spans="1:33" ht="15.75" customHeight="1">
      <c r="A30" s="14" t="s">
        <v>57</v>
      </c>
      <c r="B30" s="14" t="s">
        <v>331</v>
      </c>
      <c r="C30" s="15">
        <f t="shared" si="4"/>
        <v>23.83539682539686</v>
      </c>
      <c r="D30" s="16">
        <v>63</v>
      </c>
      <c r="E30" s="16">
        <v>3</v>
      </c>
      <c r="F30" s="17">
        <v>1501.6300000000022</v>
      </c>
      <c r="G30" s="17">
        <v>-5.78</v>
      </c>
      <c r="H30" s="18">
        <f t="shared" si="1"/>
        <v>3.8491505896925287E-3</v>
      </c>
      <c r="I30" s="18">
        <f t="shared" si="2"/>
        <v>0.24416172250154966</v>
      </c>
      <c r="J30" s="17">
        <f t="shared" si="5"/>
        <v>366.64056736000254</v>
      </c>
      <c r="K30" s="17">
        <f t="shared" si="3"/>
        <v>5.8196915453968661</v>
      </c>
      <c r="L30" s="16">
        <v>107</v>
      </c>
      <c r="M30" s="19">
        <f t="shared" si="6"/>
        <v>0.58878504672897192</v>
      </c>
      <c r="N30" s="16">
        <v>121</v>
      </c>
      <c r="O30" s="20">
        <f t="shared" ref="O30:P30" si="38">D30/7</f>
        <v>9</v>
      </c>
      <c r="P30" s="20">
        <f t="shared" si="38"/>
        <v>0.42857142857142855</v>
      </c>
      <c r="Q30" s="16">
        <f t="shared" si="8"/>
        <v>12</v>
      </c>
      <c r="R30" s="16"/>
      <c r="S30" s="21">
        <v>2.737400530503979</v>
      </c>
      <c r="T30" s="14">
        <v>192</v>
      </c>
      <c r="U30" s="22" t="s">
        <v>34</v>
      </c>
      <c r="V30" s="23" t="s">
        <v>34</v>
      </c>
      <c r="W30" s="30">
        <v>1</v>
      </c>
      <c r="X30" s="24">
        <f t="shared" si="9"/>
        <v>1.5873015873015872E-2</v>
      </c>
      <c r="Y30" s="25">
        <f t="shared" si="10"/>
        <v>2.89</v>
      </c>
      <c r="Z30" s="30">
        <v>1</v>
      </c>
      <c r="AA30" s="14" t="s">
        <v>35</v>
      </c>
      <c r="AB30" s="27">
        <f t="shared" si="11"/>
        <v>-0.69</v>
      </c>
      <c r="AC30" s="28">
        <v>0.11317948148148146</v>
      </c>
      <c r="AD30" s="25">
        <f t="shared" si="12"/>
        <v>-9.8398241199999976</v>
      </c>
      <c r="AE30" s="25">
        <v>-5.68</v>
      </c>
      <c r="AF30" s="25">
        <v>-8.5124620399999902</v>
      </c>
      <c r="AG30" s="25">
        <v>0</v>
      </c>
    </row>
    <row r="31" spans="1:33" ht="15.75" customHeight="1">
      <c r="A31" s="14" t="s">
        <v>58</v>
      </c>
      <c r="B31" s="14" t="s">
        <v>332</v>
      </c>
      <c r="C31" s="15">
        <f t="shared" si="4"/>
        <v>27.602941176470576</v>
      </c>
      <c r="D31" s="16">
        <v>51</v>
      </c>
      <c r="E31" s="16">
        <v>5</v>
      </c>
      <c r="F31" s="17">
        <v>1407.7499999999993</v>
      </c>
      <c r="G31" s="17">
        <v>0</v>
      </c>
      <c r="H31" s="18">
        <f t="shared" si="1"/>
        <v>0</v>
      </c>
      <c r="I31" s="18">
        <f t="shared" si="2"/>
        <v>0.33017678142662621</v>
      </c>
      <c r="J31" s="17">
        <f t="shared" si="5"/>
        <v>464.8063640533328</v>
      </c>
      <c r="K31" s="17">
        <f t="shared" si="3"/>
        <v>9.1138502755555457</v>
      </c>
      <c r="L31" s="16">
        <v>103</v>
      </c>
      <c r="M31" s="19">
        <f t="shared" si="6"/>
        <v>0.49514563106796117</v>
      </c>
      <c r="N31" s="16">
        <v>74</v>
      </c>
      <c r="O31" s="20">
        <f t="shared" ref="O31:P31" si="39">D31/7</f>
        <v>7.2857142857142856</v>
      </c>
      <c r="P31" s="20">
        <f t="shared" si="39"/>
        <v>0.7142857142857143</v>
      </c>
      <c r="Q31" s="16">
        <f t="shared" si="8"/>
        <v>9</v>
      </c>
      <c r="R31" s="16"/>
      <c r="S31" s="21">
        <v>4.7794117647058796</v>
      </c>
      <c r="T31" s="14">
        <v>192</v>
      </c>
      <c r="U31" s="22" t="s">
        <v>34</v>
      </c>
      <c r="V31" s="23" t="s">
        <v>333</v>
      </c>
      <c r="W31" s="30">
        <v>0</v>
      </c>
      <c r="X31" s="24">
        <f t="shared" si="9"/>
        <v>0</v>
      </c>
      <c r="Y31" s="25">
        <f t="shared" si="10"/>
        <v>0</v>
      </c>
      <c r="Z31" s="30">
        <v>0</v>
      </c>
      <c r="AA31" s="14" t="s">
        <v>35</v>
      </c>
      <c r="AB31" s="27">
        <f t="shared" si="11"/>
        <v>-0.69</v>
      </c>
      <c r="AC31" s="28">
        <v>0.11317948148148146</v>
      </c>
      <c r="AD31" s="25">
        <f t="shared" si="12"/>
        <v>-7.965571906666665</v>
      </c>
      <c r="AE31" s="25">
        <v>-5.68</v>
      </c>
      <c r="AF31" s="25">
        <v>-8.5124620399999991</v>
      </c>
      <c r="AG31" s="25">
        <v>0</v>
      </c>
    </row>
    <row r="32" spans="1:33" ht="15.75" customHeight="1">
      <c r="A32" s="14" t="s">
        <v>60</v>
      </c>
      <c r="B32" s="14"/>
      <c r="C32" s="15">
        <f t="shared" si="4"/>
        <v>33.451499999999996</v>
      </c>
      <c r="D32" s="16">
        <v>20</v>
      </c>
      <c r="E32" s="16">
        <v>2</v>
      </c>
      <c r="F32" s="17">
        <v>669.03</v>
      </c>
      <c r="G32" s="17">
        <v>0</v>
      </c>
      <c r="H32" s="18">
        <f t="shared" si="1"/>
        <v>0</v>
      </c>
      <c r="I32" s="18">
        <f t="shared" si="2"/>
        <v>0.42106109667893998</v>
      </c>
      <c r="J32" s="17">
        <f t="shared" si="5"/>
        <v>281.70250551111121</v>
      </c>
      <c r="K32" s="17">
        <f t="shared" si="3"/>
        <v>14.08512527555556</v>
      </c>
      <c r="L32" s="16">
        <v>81</v>
      </c>
      <c r="M32" s="19">
        <f t="shared" si="6"/>
        <v>0.24691358024691357</v>
      </c>
      <c r="N32" s="16">
        <v>52</v>
      </c>
      <c r="O32" s="20">
        <f t="shared" ref="O32:P32" si="40">D32/7</f>
        <v>2.8571428571428572</v>
      </c>
      <c r="P32" s="20">
        <f t="shared" si="40"/>
        <v>0.2857142857142857</v>
      </c>
      <c r="Q32" s="16">
        <f t="shared" si="8"/>
        <v>16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2.927835051546392</v>
      </c>
      <c r="T32" s="14">
        <f ca="1">IFERROR(__xludf.DUMMYFUNCTION("IFERROR(VLOOKUP($B$2,IMPORTRANGE(""https://docs.google.com/spreadsheets/d/1KiWZV1ko8G7lnRucBRBd29jj3Be6ltMfljMDqzOkQmI/edit#gid=1381463014"",""Lookup!A:D""),4,FALSE),"""")"),192)</f>
        <v>192</v>
      </c>
      <c r="U32" s="22">
        <f ca="1">IFERROR(__xludf.DUMMYFUNCTION("IFERROR(VLOOKUP($B$2,IMPORTRANGE(""https://docs.google.com/spreadsheets/d/1KiWZV1ko8G7lnRucBRBd29jj3Be6ltMfljMDqzOkQmI/edit#gid=1381463014"",""Lookup!A:D""),3,FALSE),"""")"),304)</f>
        <v>304</v>
      </c>
      <c r="V32" s="23" t="str">
        <f ca="1">IFERROR(__xludf.DUMMYFUNCTION("IFERROR(VLOOKUP($B$2,IMPORTRANGE(""https://docs.google.com/spreadsheets/d/1KiWZV1ko8G7lnRucBRBd29jj3Be6ltMfljMDqzOkQmI/edit#gid=1381463014"",""Lookup!A:D""),2,FALSE),"""")"),"| 410  - 304 units 07/20")</f>
        <v>| 410  - 304 units 07/20</v>
      </c>
      <c r="W32" s="30">
        <v>0</v>
      </c>
      <c r="X32" s="24">
        <f t="shared" si="9"/>
        <v>0</v>
      </c>
      <c r="Y32" s="25">
        <f t="shared" si="10"/>
        <v>0</v>
      </c>
      <c r="Z32" s="30">
        <v>0</v>
      </c>
      <c r="AA32" s="14" t="s">
        <v>35</v>
      </c>
      <c r="AB32" s="27">
        <f t="shared" si="11"/>
        <v>-0.69</v>
      </c>
      <c r="AC32" s="28">
        <v>0.11317948148148146</v>
      </c>
      <c r="AD32" s="25">
        <f t="shared" si="12"/>
        <v>-3.1237536888888884</v>
      </c>
      <c r="AE32" s="25">
        <v>-5.68</v>
      </c>
      <c r="AF32" s="25">
        <v>-8.5124620399999902</v>
      </c>
      <c r="AG32" s="25">
        <v>0</v>
      </c>
    </row>
    <row r="33" spans="1:33" ht="15.75" customHeight="1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16"/>
      <c r="S33" s="21"/>
      <c r="T33" s="31"/>
      <c r="U33" s="36"/>
      <c r="V33" s="1"/>
      <c r="W33" s="31"/>
      <c r="X33" s="31"/>
      <c r="Y33" s="31"/>
      <c r="Z33" s="31"/>
      <c r="AA33" s="2"/>
      <c r="AB33" s="31"/>
      <c r="AC33" s="31"/>
      <c r="AD33" s="31"/>
      <c r="AE33" s="37"/>
      <c r="AF33" s="37"/>
      <c r="AG33" s="37"/>
    </row>
    <row r="34" spans="1:33" ht="15.75" customHeight="1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6"/>
      <c r="V34" s="1"/>
      <c r="W34" s="31"/>
      <c r="X34" s="31"/>
      <c r="Y34" s="31"/>
      <c r="Z34" s="31"/>
      <c r="AA34" s="2"/>
      <c r="AB34" s="31"/>
      <c r="AC34" s="31"/>
      <c r="AD34" s="31"/>
      <c r="AE34" s="37"/>
      <c r="AF34" s="37"/>
      <c r="AG34" s="37"/>
    </row>
    <row r="35" spans="1:33" ht="15.75" customHeight="1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6"/>
      <c r="V35" s="1"/>
      <c r="W35" s="31"/>
      <c r="X35" s="31"/>
      <c r="Y35" s="31"/>
      <c r="Z35" s="31"/>
      <c r="AA35" s="2"/>
      <c r="AB35" s="31"/>
      <c r="AC35" s="31"/>
      <c r="AD35" s="31"/>
      <c r="AE35" s="37"/>
      <c r="AF35" s="37"/>
      <c r="AG35" s="37"/>
    </row>
    <row r="36" spans="1:33" ht="15.75" customHeight="1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6"/>
      <c r="V36" s="1"/>
      <c r="W36" s="31"/>
      <c r="X36" s="31"/>
      <c r="Y36" s="31"/>
      <c r="Z36" s="31"/>
      <c r="AA36" s="2"/>
      <c r="AB36" s="31"/>
      <c r="AC36" s="31"/>
      <c r="AD36" s="31"/>
      <c r="AE36" s="37"/>
      <c r="AF36" s="37"/>
      <c r="AG36" s="37"/>
    </row>
    <row r="37" spans="1:33" ht="15.75" customHeight="1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6"/>
      <c r="V37" s="1"/>
      <c r="W37" s="31"/>
      <c r="X37" s="31"/>
      <c r="Y37" s="31"/>
      <c r="Z37" s="31"/>
      <c r="AA37" s="2"/>
      <c r="AB37" s="31"/>
      <c r="AC37" s="31"/>
      <c r="AD37" s="31"/>
      <c r="AE37" s="37"/>
      <c r="AF37" s="37"/>
      <c r="AG37" s="37"/>
    </row>
    <row r="38" spans="1:33" ht="15.75" customHeight="1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6"/>
      <c r="V38" s="1"/>
      <c r="W38" s="31"/>
      <c r="X38" s="31"/>
      <c r="Y38" s="31"/>
      <c r="Z38" s="31"/>
      <c r="AA38" s="2"/>
      <c r="AB38" s="31"/>
      <c r="AC38" s="31"/>
      <c r="AD38" s="31"/>
      <c r="AE38" s="37"/>
      <c r="AF38" s="37"/>
      <c r="AG38" s="37"/>
    </row>
    <row r="39" spans="1:33" ht="15.75" customHeight="1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6"/>
      <c r="V39" s="1"/>
      <c r="W39" s="31"/>
      <c r="X39" s="31"/>
      <c r="Y39" s="31"/>
      <c r="Z39" s="31"/>
      <c r="AA39" s="2"/>
      <c r="AB39" s="31"/>
      <c r="AC39" s="31"/>
      <c r="AD39" s="31"/>
      <c r="AE39" s="37"/>
      <c r="AF39" s="37"/>
      <c r="AG39" s="37"/>
    </row>
    <row r="40" spans="1:33" ht="15.75" customHeight="1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6"/>
      <c r="V40" s="1"/>
      <c r="W40" s="31"/>
      <c r="X40" s="31"/>
      <c r="Y40" s="31"/>
      <c r="Z40" s="31"/>
      <c r="AA40" s="2"/>
      <c r="AB40" s="31"/>
      <c r="AC40" s="31"/>
      <c r="AD40" s="31"/>
      <c r="AE40" s="37"/>
      <c r="AF40" s="37"/>
      <c r="AG40" s="37"/>
    </row>
    <row r="41" spans="1:33" ht="15.75" customHeight="1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6"/>
      <c r="V41" s="1"/>
      <c r="W41" s="31"/>
      <c r="X41" s="31"/>
      <c r="Y41" s="31"/>
      <c r="Z41" s="31"/>
      <c r="AA41" s="2"/>
      <c r="AB41" s="31"/>
      <c r="AC41" s="31"/>
      <c r="AD41" s="31"/>
      <c r="AE41" s="37"/>
      <c r="AF41" s="37"/>
      <c r="AG41" s="37"/>
    </row>
    <row r="42" spans="1:33" ht="15.75" customHeight="1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6"/>
      <c r="V42" s="1"/>
      <c r="W42" s="31"/>
      <c r="X42" s="31"/>
      <c r="Y42" s="31"/>
      <c r="Z42" s="31"/>
      <c r="AA42" s="2"/>
      <c r="AB42" s="31"/>
      <c r="AC42" s="31"/>
      <c r="AD42" s="31"/>
      <c r="AE42" s="37"/>
      <c r="AF42" s="37"/>
      <c r="AG42" s="37"/>
    </row>
    <row r="43" spans="1:33" ht="15.75" customHeight="1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6"/>
      <c r="V43" s="1"/>
      <c r="W43" s="31"/>
      <c r="X43" s="31"/>
      <c r="Y43" s="31"/>
      <c r="Z43" s="31"/>
      <c r="AA43" s="2"/>
      <c r="AB43" s="31"/>
      <c r="AC43" s="31"/>
      <c r="AD43" s="31"/>
      <c r="AE43" s="37"/>
      <c r="AF43" s="37"/>
      <c r="AG43" s="37"/>
    </row>
    <row r="44" spans="1:33" ht="15.75" customHeight="1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6"/>
      <c r="V44" s="1"/>
      <c r="W44" s="31"/>
      <c r="X44" s="31"/>
      <c r="Y44" s="31"/>
      <c r="Z44" s="31"/>
      <c r="AA44" s="2"/>
      <c r="AB44" s="31"/>
      <c r="AC44" s="31"/>
      <c r="AD44" s="31"/>
      <c r="AE44" s="37"/>
      <c r="AF44" s="37"/>
      <c r="AG44" s="37"/>
    </row>
    <row r="45" spans="1:33" ht="15.75" customHeight="1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6"/>
      <c r="V45" s="1"/>
      <c r="W45" s="31"/>
      <c r="X45" s="31"/>
      <c r="Y45" s="31"/>
      <c r="Z45" s="31"/>
      <c r="AA45" s="2"/>
      <c r="AB45" s="31"/>
      <c r="AC45" s="31"/>
      <c r="AD45" s="31"/>
      <c r="AE45" s="37"/>
      <c r="AF45" s="37"/>
      <c r="AG45" s="37"/>
    </row>
    <row r="46" spans="1:33" ht="15.75" customHeight="1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6"/>
      <c r="V46" s="1"/>
      <c r="W46" s="31"/>
      <c r="X46" s="31"/>
      <c r="Y46" s="31"/>
      <c r="Z46" s="31"/>
      <c r="AA46" s="2"/>
      <c r="AB46" s="31"/>
      <c r="AC46" s="31"/>
      <c r="AD46" s="31"/>
      <c r="AE46" s="37"/>
      <c r="AF46" s="37"/>
      <c r="AG46" s="37"/>
    </row>
    <row r="47" spans="1:33" ht="15.75" customHeight="1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6"/>
      <c r="V47" s="1"/>
      <c r="W47" s="31"/>
      <c r="X47" s="31"/>
      <c r="Y47" s="31"/>
      <c r="Z47" s="31"/>
      <c r="AA47" s="2"/>
      <c r="AB47" s="31"/>
      <c r="AC47" s="31"/>
      <c r="AD47" s="31"/>
      <c r="AE47" s="37"/>
      <c r="AF47" s="37"/>
      <c r="AG47" s="37"/>
    </row>
    <row r="48" spans="1:33" ht="15.75" customHeight="1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6"/>
      <c r="V48" s="1"/>
      <c r="W48" s="31"/>
      <c r="X48" s="31"/>
      <c r="Y48" s="31"/>
      <c r="Z48" s="31"/>
      <c r="AA48" s="2"/>
      <c r="AB48" s="31"/>
      <c r="AC48" s="31"/>
      <c r="AD48" s="31"/>
      <c r="AE48" s="37"/>
      <c r="AF48" s="37"/>
      <c r="AG48" s="37"/>
    </row>
    <row r="49" spans="1:33" ht="15.75" customHeight="1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6"/>
      <c r="V49" s="1"/>
      <c r="W49" s="31"/>
      <c r="X49" s="31"/>
      <c r="Y49" s="31"/>
      <c r="Z49" s="31"/>
      <c r="AA49" s="2"/>
      <c r="AB49" s="31"/>
      <c r="AC49" s="31"/>
      <c r="AD49" s="31"/>
      <c r="AE49" s="37"/>
      <c r="AF49" s="37"/>
      <c r="AG49" s="37"/>
    </row>
    <row r="50" spans="1:33" ht="15.75" customHeight="1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6"/>
      <c r="V50" s="1"/>
      <c r="W50" s="31"/>
      <c r="X50" s="31"/>
      <c r="Y50" s="31"/>
      <c r="Z50" s="31"/>
      <c r="AA50" s="2"/>
      <c r="AB50" s="31"/>
      <c r="AC50" s="31"/>
      <c r="AD50" s="31"/>
      <c r="AE50" s="37"/>
      <c r="AF50" s="37"/>
      <c r="AG50" s="37"/>
    </row>
    <row r="51" spans="1:33" ht="15.75" customHeight="1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6"/>
      <c r="V51" s="1"/>
      <c r="W51" s="31"/>
      <c r="X51" s="31"/>
      <c r="Y51" s="31"/>
      <c r="Z51" s="31"/>
      <c r="AA51" s="2"/>
      <c r="AB51" s="31"/>
      <c r="AC51" s="31"/>
      <c r="AD51" s="31"/>
      <c r="AE51" s="37"/>
      <c r="AF51" s="37"/>
      <c r="AG51" s="37"/>
    </row>
    <row r="52" spans="1:33" ht="15.75" customHeight="1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6"/>
      <c r="V52" s="1"/>
      <c r="W52" s="31"/>
      <c r="X52" s="31"/>
      <c r="Y52" s="31"/>
      <c r="Z52" s="31"/>
      <c r="AA52" s="2"/>
      <c r="AB52" s="31"/>
      <c r="AC52" s="31"/>
      <c r="AD52" s="31"/>
      <c r="AE52" s="37"/>
      <c r="AF52" s="37"/>
      <c r="AG52" s="37"/>
    </row>
    <row r="53" spans="1:33" ht="15.75" customHeight="1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6"/>
      <c r="V53" s="1"/>
      <c r="W53" s="31"/>
      <c r="X53" s="31"/>
      <c r="Y53" s="31"/>
      <c r="Z53" s="31"/>
      <c r="AA53" s="2"/>
      <c r="AB53" s="31"/>
      <c r="AC53" s="31"/>
      <c r="AD53" s="31"/>
      <c r="AE53" s="37"/>
      <c r="AF53" s="37"/>
      <c r="AG53" s="37"/>
    </row>
    <row r="54" spans="1:33" ht="15.75" customHeight="1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6"/>
      <c r="V54" s="1"/>
      <c r="W54" s="31"/>
      <c r="X54" s="31"/>
      <c r="Y54" s="31"/>
      <c r="Z54" s="31"/>
      <c r="AA54" s="2"/>
      <c r="AB54" s="31"/>
      <c r="AC54" s="31"/>
      <c r="AD54" s="31"/>
      <c r="AE54" s="37"/>
      <c r="AF54" s="37"/>
      <c r="AG54" s="37"/>
    </row>
    <row r="55" spans="1:33" ht="15.75" customHeight="1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6"/>
      <c r="V55" s="1"/>
      <c r="W55" s="31"/>
      <c r="X55" s="31"/>
      <c r="Y55" s="31"/>
      <c r="Z55" s="31"/>
      <c r="AA55" s="2"/>
      <c r="AB55" s="31"/>
      <c r="AC55" s="31"/>
      <c r="AD55" s="31"/>
      <c r="AE55" s="37"/>
      <c r="AF55" s="37"/>
      <c r="AG55" s="37"/>
    </row>
    <row r="56" spans="1:33" ht="15.75" customHeight="1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6"/>
      <c r="V56" s="1"/>
      <c r="W56" s="31"/>
      <c r="X56" s="31"/>
      <c r="Y56" s="31"/>
      <c r="Z56" s="31"/>
      <c r="AA56" s="2"/>
      <c r="AB56" s="31"/>
      <c r="AC56" s="31"/>
      <c r="AD56" s="31"/>
      <c r="AE56" s="37"/>
      <c r="AF56" s="37"/>
      <c r="AG56" s="37"/>
    </row>
    <row r="57" spans="1:33" ht="15.75" customHeight="1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6"/>
      <c r="V57" s="1"/>
      <c r="W57" s="31"/>
      <c r="X57" s="31"/>
      <c r="Y57" s="31"/>
      <c r="Z57" s="31"/>
      <c r="AA57" s="2"/>
      <c r="AB57" s="31"/>
      <c r="AC57" s="31"/>
      <c r="AD57" s="31"/>
      <c r="AE57" s="37"/>
      <c r="AF57" s="37"/>
      <c r="AG57" s="37"/>
    </row>
    <row r="58" spans="1:33" ht="15.75" customHeight="1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6"/>
      <c r="V58" s="1"/>
      <c r="W58" s="31"/>
      <c r="X58" s="31"/>
      <c r="Y58" s="31"/>
      <c r="Z58" s="31"/>
      <c r="AA58" s="2"/>
      <c r="AB58" s="31"/>
      <c r="AC58" s="31"/>
      <c r="AD58" s="31"/>
      <c r="AE58" s="37"/>
      <c r="AF58" s="37"/>
      <c r="AG58" s="37"/>
    </row>
    <row r="59" spans="1:33" ht="15.75" customHeight="1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6"/>
      <c r="V59" s="1"/>
      <c r="W59" s="31"/>
      <c r="X59" s="31"/>
      <c r="Y59" s="31"/>
      <c r="Z59" s="31"/>
      <c r="AA59" s="2"/>
      <c r="AB59" s="31"/>
      <c r="AC59" s="31"/>
      <c r="AD59" s="31"/>
      <c r="AE59" s="37"/>
      <c r="AF59" s="37"/>
      <c r="AG59" s="37"/>
    </row>
    <row r="60" spans="1:33" ht="15.75" customHeight="1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6"/>
      <c r="V60" s="1"/>
      <c r="W60" s="31"/>
      <c r="X60" s="31"/>
      <c r="Y60" s="31"/>
      <c r="Z60" s="31"/>
      <c r="AA60" s="2"/>
      <c r="AB60" s="31"/>
      <c r="AC60" s="31"/>
      <c r="AD60" s="31"/>
      <c r="AE60" s="37"/>
      <c r="AF60" s="37"/>
      <c r="AG60" s="37"/>
    </row>
    <row r="61" spans="1:33" ht="15.75" customHeight="1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6"/>
      <c r="V61" s="1"/>
      <c r="W61" s="31"/>
      <c r="X61" s="31"/>
      <c r="Y61" s="31"/>
      <c r="Z61" s="31"/>
      <c r="AA61" s="2"/>
      <c r="AB61" s="31"/>
      <c r="AC61" s="31"/>
      <c r="AD61" s="31"/>
      <c r="AE61" s="37"/>
      <c r="AF61" s="37"/>
      <c r="AG61" s="37"/>
    </row>
    <row r="62" spans="1:33" ht="15.75" customHeight="1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6"/>
      <c r="V62" s="1"/>
      <c r="W62" s="31"/>
      <c r="X62" s="31"/>
      <c r="Y62" s="31"/>
      <c r="Z62" s="31"/>
      <c r="AA62" s="2"/>
      <c r="AB62" s="31"/>
      <c r="AC62" s="31"/>
      <c r="AD62" s="31"/>
      <c r="AE62" s="37"/>
      <c r="AF62" s="37"/>
      <c r="AG62" s="37"/>
    </row>
    <row r="63" spans="1:33" ht="15.75" customHeight="1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6"/>
      <c r="V63" s="1"/>
      <c r="W63" s="31"/>
      <c r="X63" s="31"/>
      <c r="Y63" s="31"/>
      <c r="Z63" s="31"/>
      <c r="AA63" s="2"/>
      <c r="AB63" s="31"/>
      <c r="AC63" s="31"/>
      <c r="AD63" s="31"/>
      <c r="AE63" s="37"/>
      <c r="AF63" s="37"/>
      <c r="AG63" s="37"/>
    </row>
    <row r="64" spans="1:33" ht="15.75" customHeight="1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6"/>
      <c r="V64" s="1"/>
      <c r="W64" s="31"/>
      <c r="X64" s="31"/>
      <c r="Y64" s="31"/>
      <c r="Z64" s="31"/>
      <c r="AA64" s="2"/>
      <c r="AB64" s="31"/>
      <c r="AC64" s="31"/>
      <c r="AD64" s="31"/>
      <c r="AE64" s="37"/>
      <c r="AF64" s="37"/>
      <c r="AG64" s="37"/>
    </row>
    <row r="65" spans="1:33" ht="15.75" customHeight="1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6"/>
      <c r="V65" s="1"/>
      <c r="W65" s="31"/>
      <c r="X65" s="31"/>
      <c r="Y65" s="31"/>
      <c r="Z65" s="31"/>
      <c r="AA65" s="2"/>
      <c r="AB65" s="31"/>
      <c r="AC65" s="31"/>
      <c r="AD65" s="31"/>
      <c r="AE65" s="37"/>
      <c r="AF65" s="37"/>
      <c r="AG65" s="37"/>
    </row>
    <row r="66" spans="1:33" ht="15.75" customHeight="1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6"/>
      <c r="V66" s="1"/>
      <c r="W66" s="31"/>
      <c r="X66" s="31"/>
      <c r="Y66" s="31"/>
      <c r="Z66" s="31"/>
      <c r="AA66" s="2"/>
      <c r="AB66" s="31"/>
      <c r="AC66" s="31"/>
      <c r="AD66" s="31"/>
      <c r="AE66" s="37"/>
      <c r="AF66" s="37"/>
      <c r="AG66" s="37"/>
    </row>
    <row r="67" spans="1:33" ht="15.75" customHeight="1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6"/>
      <c r="V67" s="1"/>
      <c r="W67" s="31"/>
      <c r="X67" s="31"/>
      <c r="Y67" s="31"/>
      <c r="Z67" s="31"/>
      <c r="AA67" s="2"/>
      <c r="AB67" s="31"/>
      <c r="AC67" s="31"/>
      <c r="AD67" s="31"/>
      <c r="AE67" s="37"/>
      <c r="AF67" s="37"/>
      <c r="AG67" s="37"/>
    </row>
    <row r="68" spans="1:33" ht="15.75" customHeight="1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6"/>
      <c r="V68" s="1"/>
      <c r="W68" s="31"/>
      <c r="X68" s="31"/>
      <c r="Y68" s="31"/>
      <c r="Z68" s="31"/>
      <c r="AA68" s="2"/>
      <c r="AB68" s="31"/>
      <c r="AC68" s="31"/>
      <c r="AD68" s="31"/>
      <c r="AE68" s="37"/>
      <c r="AF68" s="37"/>
      <c r="AG68" s="37"/>
    </row>
    <row r="69" spans="1:33" ht="15.75" customHeight="1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6"/>
      <c r="V69" s="1"/>
      <c r="W69" s="31"/>
      <c r="X69" s="31"/>
      <c r="Y69" s="31"/>
      <c r="Z69" s="31"/>
      <c r="AA69" s="2"/>
      <c r="AB69" s="31"/>
      <c r="AC69" s="31"/>
      <c r="AD69" s="31"/>
      <c r="AE69" s="37"/>
      <c r="AF69" s="37"/>
      <c r="AG69" s="37"/>
    </row>
    <row r="70" spans="1:33" ht="15.75" customHeight="1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6"/>
      <c r="V70" s="1"/>
      <c r="W70" s="31"/>
      <c r="X70" s="31"/>
      <c r="Y70" s="31"/>
      <c r="Z70" s="31"/>
      <c r="AA70" s="2"/>
      <c r="AB70" s="31"/>
      <c r="AC70" s="31"/>
      <c r="AD70" s="31"/>
      <c r="AE70" s="37"/>
      <c r="AF70" s="37"/>
      <c r="AG70" s="37"/>
    </row>
    <row r="71" spans="1:33" ht="15.75" customHeight="1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6"/>
      <c r="V71" s="1"/>
      <c r="W71" s="31"/>
      <c r="X71" s="31"/>
      <c r="Y71" s="31"/>
      <c r="Z71" s="31"/>
      <c r="AA71" s="2"/>
      <c r="AB71" s="31"/>
      <c r="AC71" s="31"/>
      <c r="AD71" s="31"/>
      <c r="AE71" s="37"/>
      <c r="AF71" s="37"/>
      <c r="AG71" s="37"/>
    </row>
    <row r="72" spans="1:33" ht="15.75" customHeight="1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6"/>
      <c r="V72" s="1"/>
      <c r="W72" s="31"/>
      <c r="X72" s="31"/>
      <c r="Y72" s="31"/>
      <c r="Z72" s="31"/>
      <c r="AA72" s="2"/>
      <c r="AB72" s="31"/>
      <c r="AC72" s="31"/>
      <c r="AD72" s="31"/>
      <c r="AE72" s="37"/>
      <c r="AF72" s="37"/>
      <c r="AG72" s="37"/>
    </row>
    <row r="73" spans="1:33" ht="15.75" customHeight="1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6"/>
      <c r="V73" s="1"/>
      <c r="W73" s="31"/>
      <c r="X73" s="31"/>
      <c r="Y73" s="31"/>
      <c r="Z73" s="31"/>
      <c r="AA73" s="2"/>
      <c r="AB73" s="31"/>
      <c r="AC73" s="31"/>
      <c r="AD73" s="31"/>
      <c r="AE73" s="37"/>
      <c r="AF73" s="37"/>
      <c r="AG73" s="37"/>
    </row>
    <row r="74" spans="1:33" ht="15.75" customHeight="1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6"/>
      <c r="V74" s="1"/>
      <c r="W74" s="31"/>
      <c r="X74" s="31"/>
      <c r="Y74" s="31"/>
      <c r="Z74" s="31"/>
      <c r="AA74" s="2"/>
      <c r="AB74" s="31"/>
      <c r="AC74" s="31"/>
      <c r="AD74" s="31"/>
      <c r="AE74" s="37"/>
      <c r="AF74" s="37"/>
      <c r="AG74" s="37"/>
    </row>
    <row r="75" spans="1:33" ht="15.75" customHeight="1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6"/>
      <c r="V75" s="1"/>
      <c r="W75" s="31"/>
      <c r="X75" s="31"/>
      <c r="Y75" s="31"/>
      <c r="Z75" s="31"/>
      <c r="AA75" s="2"/>
      <c r="AB75" s="31"/>
      <c r="AC75" s="31"/>
      <c r="AD75" s="31"/>
      <c r="AE75" s="37"/>
      <c r="AF75" s="37"/>
      <c r="AG75" s="37"/>
    </row>
    <row r="76" spans="1:33" ht="15.75" customHeight="1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6"/>
      <c r="V76" s="1"/>
      <c r="W76" s="31"/>
      <c r="X76" s="31"/>
      <c r="Y76" s="31"/>
      <c r="Z76" s="31"/>
      <c r="AA76" s="2"/>
      <c r="AB76" s="31"/>
      <c r="AC76" s="31"/>
      <c r="AD76" s="31"/>
      <c r="AE76" s="37"/>
      <c r="AF76" s="37"/>
      <c r="AG76" s="37"/>
    </row>
    <row r="77" spans="1:33" ht="15.75" customHeight="1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6"/>
      <c r="V77" s="1"/>
      <c r="W77" s="31"/>
      <c r="X77" s="31"/>
      <c r="Y77" s="31"/>
      <c r="Z77" s="31"/>
      <c r="AA77" s="2"/>
      <c r="AB77" s="31"/>
      <c r="AC77" s="31"/>
      <c r="AD77" s="31"/>
      <c r="AE77" s="37"/>
      <c r="AF77" s="37"/>
      <c r="AG77" s="37"/>
    </row>
    <row r="78" spans="1:33" ht="15.75" customHeight="1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6"/>
      <c r="V78" s="1"/>
      <c r="W78" s="31"/>
      <c r="X78" s="31"/>
      <c r="Y78" s="31"/>
      <c r="Z78" s="31"/>
      <c r="AA78" s="2"/>
      <c r="AB78" s="31"/>
      <c r="AC78" s="31"/>
      <c r="AD78" s="31"/>
      <c r="AE78" s="37"/>
      <c r="AF78" s="37"/>
      <c r="AG78" s="37"/>
    </row>
    <row r="79" spans="1:33" ht="15.75" customHeight="1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6"/>
      <c r="V79" s="1"/>
      <c r="W79" s="31"/>
      <c r="X79" s="31"/>
      <c r="Y79" s="31"/>
      <c r="Z79" s="31"/>
      <c r="AA79" s="2"/>
      <c r="AB79" s="31"/>
      <c r="AC79" s="31"/>
      <c r="AD79" s="31"/>
      <c r="AE79" s="37"/>
      <c r="AF79" s="37"/>
      <c r="AG79" s="37"/>
    </row>
    <row r="80" spans="1:33" ht="15.75" customHeight="1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6"/>
      <c r="V80" s="1"/>
      <c r="W80" s="31"/>
      <c r="X80" s="31"/>
      <c r="Y80" s="31"/>
      <c r="Z80" s="31"/>
      <c r="AA80" s="2"/>
      <c r="AB80" s="31"/>
      <c r="AC80" s="31"/>
      <c r="AD80" s="31"/>
      <c r="AE80" s="37"/>
      <c r="AF80" s="37"/>
      <c r="AG80" s="37"/>
    </row>
    <row r="81" spans="1:33" ht="15.75" customHeight="1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6"/>
      <c r="V81" s="1"/>
      <c r="W81" s="31"/>
      <c r="X81" s="31"/>
      <c r="Y81" s="31"/>
      <c r="Z81" s="31"/>
      <c r="AA81" s="2"/>
      <c r="AB81" s="31"/>
      <c r="AC81" s="31"/>
      <c r="AD81" s="31"/>
      <c r="AE81" s="37"/>
      <c r="AF81" s="37"/>
      <c r="AG81" s="37"/>
    </row>
    <row r="82" spans="1:33" ht="15.75" customHeight="1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6"/>
      <c r="V82" s="1"/>
      <c r="W82" s="31"/>
      <c r="X82" s="31"/>
      <c r="Y82" s="31"/>
      <c r="Z82" s="31"/>
      <c r="AA82" s="2"/>
      <c r="AB82" s="31"/>
      <c r="AC82" s="31"/>
      <c r="AD82" s="31"/>
      <c r="AE82" s="37"/>
      <c r="AF82" s="37"/>
      <c r="AG82" s="37"/>
    </row>
    <row r="83" spans="1:33" ht="15.75" customHeight="1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6"/>
      <c r="V83" s="1"/>
      <c r="W83" s="31"/>
      <c r="X83" s="31"/>
      <c r="Y83" s="31"/>
      <c r="Z83" s="31"/>
      <c r="AA83" s="2"/>
      <c r="AB83" s="31"/>
      <c r="AC83" s="31"/>
      <c r="AD83" s="31"/>
      <c r="AE83" s="37"/>
      <c r="AF83" s="37"/>
      <c r="AG83" s="37"/>
    </row>
    <row r="84" spans="1:33" ht="15.75" customHeight="1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6"/>
      <c r="V84" s="1"/>
      <c r="W84" s="31"/>
      <c r="X84" s="31"/>
      <c r="Y84" s="31"/>
      <c r="Z84" s="31"/>
      <c r="AA84" s="2"/>
      <c r="AB84" s="31"/>
      <c r="AC84" s="31"/>
      <c r="AD84" s="31"/>
      <c r="AE84" s="37"/>
      <c r="AF84" s="37"/>
      <c r="AG84" s="37"/>
    </row>
    <row r="85" spans="1:33" ht="15.75" customHeight="1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6"/>
      <c r="V85" s="1"/>
      <c r="W85" s="31"/>
      <c r="X85" s="31"/>
      <c r="Y85" s="31"/>
      <c r="Z85" s="31"/>
      <c r="AA85" s="2"/>
      <c r="AB85" s="31"/>
      <c r="AC85" s="31"/>
      <c r="AD85" s="31"/>
      <c r="AE85" s="37"/>
      <c r="AF85" s="37"/>
      <c r="AG85" s="37"/>
    </row>
    <row r="86" spans="1:33" ht="15.75" customHeight="1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6"/>
      <c r="V86" s="1"/>
      <c r="W86" s="31"/>
      <c r="X86" s="31"/>
      <c r="Y86" s="31"/>
      <c r="Z86" s="31"/>
      <c r="AA86" s="2"/>
      <c r="AB86" s="31"/>
      <c r="AC86" s="31"/>
      <c r="AD86" s="31"/>
      <c r="AE86" s="37"/>
      <c r="AF86" s="37"/>
      <c r="AG86" s="37"/>
    </row>
    <row r="87" spans="1:33" ht="15.75" customHeight="1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6"/>
      <c r="V87" s="1"/>
      <c r="W87" s="31"/>
      <c r="X87" s="31"/>
      <c r="Y87" s="31"/>
      <c r="Z87" s="31"/>
      <c r="AA87" s="2"/>
      <c r="AB87" s="31"/>
      <c r="AC87" s="31"/>
      <c r="AD87" s="31"/>
      <c r="AE87" s="37"/>
      <c r="AF87" s="37"/>
      <c r="AG87" s="37"/>
    </row>
    <row r="88" spans="1:33" ht="15.75" customHeight="1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6"/>
      <c r="V88" s="1"/>
      <c r="W88" s="31"/>
      <c r="X88" s="31"/>
      <c r="Y88" s="31"/>
      <c r="Z88" s="31"/>
      <c r="AA88" s="2"/>
      <c r="AB88" s="31"/>
      <c r="AC88" s="31"/>
      <c r="AD88" s="31"/>
      <c r="AE88" s="37"/>
      <c r="AF88" s="37"/>
      <c r="AG88" s="37"/>
    </row>
    <row r="89" spans="1:33" ht="15.75" customHeight="1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6"/>
      <c r="V89" s="1"/>
      <c r="W89" s="31"/>
      <c r="X89" s="31"/>
      <c r="Y89" s="31"/>
      <c r="Z89" s="31"/>
      <c r="AA89" s="2"/>
      <c r="AB89" s="31"/>
      <c r="AC89" s="31"/>
      <c r="AD89" s="31"/>
      <c r="AE89" s="37"/>
      <c r="AF89" s="37"/>
      <c r="AG89" s="37"/>
    </row>
    <row r="90" spans="1:33" ht="15.75" customHeight="1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6"/>
      <c r="V90" s="1"/>
      <c r="W90" s="31"/>
      <c r="X90" s="31"/>
      <c r="Y90" s="31"/>
      <c r="Z90" s="31"/>
      <c r="AA90" s="2"/>
      <c r="AB90" s="31"/>
      <c r="AC90" s="31"/>
      <c r="AD90" s="31"/>
      <c r="AE90" s="37"/>
      <c r="AF90" s="37"/>
      <c r="AG90" s="37"/>
    </row>
    <row r="91" spans="1:33" ht="15.75" customHeight="1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6"/>
      <c r="V91" s="1"/>
      <c r="W91" s="31"/>
      <c r="X91" s="31"/>
      <c r="Y91" s="31"/>
      <c r="Z91" s="31"/>
      <c r="AA91" s="2"/>
      <c r="AB91" s="31"/>
      <c r="AC91" s="31"/>
      <c r="AD91" s="31"/>
      <c r="AE91" s="37"/>
      <c r="AF91" s="37"/>
      <c r="AG91" s="37"/>
    </row>
    <row r="92" spans="1:33" ht="15.75" customHeight="1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6"/>
      <c r="V92" s="1"/>
      <c r="W92" s="31"/>
      <c r="X92" s="31"/>
      <c r="Y92" s="31"/>
      <c r="Z92" s="31"/>
      <c r="AA92" s="2"/>
      <c r="AB92" s="31"/>
      <c r="AC92" s="31"/>
      <c r="AD92" s="31"/>
      <c r="AE92" s="37"/>
      <c r="AF92" s="37"/>
      <c r="AG92" s="37"/>
    </row>
    <row r="93" spans="1:33" ht="15.75" customHeight="1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6"/>
      <c r="V93" s="1"/>
      <c r="W93" s="31"/>
      <c r="X93" s="31"/>
      <c r="Y93" s="31"/>
      <c r="Z93" s="31"/>
      <c r="AA93" s="2"/>
      <c r="AB93" s="31"/>
      <c r="AC93" s="31"/>
      <c r="AD93" s="31"/>
      <c r="AE93" s="37"/>
      <c r="AF93" s="37"/>
      <c r="AG93" s="37"/>
    </row>
    <row r="94" spans="1:33" ht="15.75" customHeight="1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6"/>
      <c r="V94" s="1"/>
      <c r="W94" s="31"/>
      <c r="X94" s="31"/>
      <c r="Y94" s="31"/>
      <c r="Z94" s="31"/>
      <c r="AA94" s="2"/>
      <c r="AB94" s="31"/>
      <c r="AC94" s="31"/>
      <c r="AD94" s="31"/>
      <c r="AE94" s="37"/>
      <c r="AF94" s="37"/>
      <c r="AG94" s="37"/>
    </row>
    <row r="95" spans="1:33" ht="15.75" customHeight="1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6"/>
      <c r="V95" s="1"/>
      <c r="W95" s="31"/>
      <c r="X95" s="31"/>
      <c r="Y95" s="31"/>
      <c r="Z95" s="31"/>
      <c r="AA95" s="2"/>
      <c r="AB95" s="31"/>
      <c r="AC95" s="31"/>
      <c r="AD95" s="31"/>
      <c r="AE95" s="37"/>
      <c r="AF95" s="37"/>
      <c r="AG95" s="37"/>
    </row>
    <row r="96" spans="1:33" ht="15.75" customHeight="1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6"/>
      <c r="V96" s="1"/>
      <c r="W96" s="31"/>
      <c r="X96" s="31"/>
      <c r="Y96" s="31"/>
      <c r="Z96" s="31"/>
      <c r="AA96" s="2"/>
      <c r="AB96" s="31"/>
      <c r="AC96" s="31"/>
      <c r="AD96" s="31"/>
      <c r="AE96" s="37"/>
      <c r="AF96" s="37"/>
      <c r="AG96" s="37"/>
    </row>
    <row r="97" spans="1:33" ht="15.75" customHeight="1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8"/>
      <c r="R97" s="38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8"/>
      <c r="R98" s="38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8"/>
      <c r="R99" s="38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8"/>
      <c r="R100" s="38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8"/>
      <c r="R101" s="38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8"/>
      <c r="R102" s="38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8"/>
      <c r="R103" s="38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8"/>
      <c r="R104" s="38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8"/>
      <c r="R105" s="38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8"/>
      <c r="R106" s="38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8"/>
      <c r="R107" s="38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8"/>
      <c r="R108" s="38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8"/>
      <c r="R109" s="38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8"/>
      <c r="R110" s="38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8"/>
      <c r="R111" s="38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8"/>
      <c r="R112" s="38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8"/>
      <c r="R113" s="38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8"/>
      <c r="R114" s="38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>
      <c r="A115" s="31"/>
      <c r="B115" s="31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>
      <c r="A116" s="31"/>
      <c r="B116" s="31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>
      <c r="A117" s="31"/>
      <c r="B117" s="31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>
      <c r="A118" s="31"/>
      <c r="B118" s="31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>
      <c r="A119" s="31"/>
      <c r="B119" s="31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>
      <c r="A120" s="31"/>
      <c r="B120" s="31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>
      <c r="A121" s="31"/>
      <c r="B121" s="31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>
      <c r="A122" s="31"/>
      <c r="B122" s="31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>
      <c r="A123" s="31"/>
      <c r="B123" s="31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>
      <c r="A124" s="31"/>
      <c r="B124" s="31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>
      <c r="A125" s="31"/>
      <c r="B125" s="31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>
      <c r="A126" s="31"/>
      <c r="B126" s="31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>
      <c r="A127" s="31"/>
      <c r="B127" s="31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>
      <c r="A128" s="31"/>
      <c r="B128" s="31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>
      <c r="A129" s="31"/>
      <c r="B129" s="31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>
      <c r="A130" s="31"/>
      <c r="B130" s="31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>
      <c r="A131" s="31"/>
      <c r="B131" s="31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>
      <c r="A132" s="31"/>
      <c r="B132" s="31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>
      <c r="A133" s="31"/>
      <c r="B133" s="31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>
      <c r="A134" s="31"/>
      <c r="B134" s="31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>
      <c r="A135" s="31"/>
      <c r="B135" s="31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>
      <c r="A136" s="31"/>
      <c r="B136" s="31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>
      <c r="A137" s="31"/>
      <c r="B137" s="31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>
      <c r="A138" s="31"/>
      <c r="B138" s="31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>
      <c r="A139" s="31"/>
      <c r="B139" s="31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>
      <c r="A140" s="31"/>
      <c r="B140" s="31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>
      <c r="A141" s="31"/>
      <c r="B141" s="31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2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>
      <c r="A142" s="31"/>
      <c r="B142" s="31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2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>
      <c r="A143" s="31"/>
      <c r="B143" s="31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2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>
      <c r="A144" s="31"/>
      <c r="B144" s="31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2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>
      <c r="A145" s="31"/>
      <c r="B145" s="31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2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>
      <c r="A146" s="31"/>
      <c r="B146" s="31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2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>
      <c r="A147" s="31"/>
      <c r="B147" s="31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2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>
      <c r="A148" s="31"/>
      <c r="B148" s="31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2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</row>
    <row r="149" spans="1:33" ht="15.75" customHeight="1">
      <c r="A149" s="14"/>
      <c r="B149" s="14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>
      <c r="A150" s="14"/>
      <c r="B150" s="14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>
      <c r="A151" s="14"/>
      <c r="B151" s="14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>
      <c r="A152" s="14"/>
      <c r="B152" s="14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>
      <c r="A153" s="14"/>
      <c r="B153" s="14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>
      <c r="A154" s="14"/>
      <c r="B154" s="14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>
      <c r="A155" s="14"/>
      <c r="B155" s="14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>
      <c r="A156" s="14"/>
      <c r="B156" s="14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>
      <c r="A157" s="14"/>
      <c r="B157" s="14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>
      <c r="A158" s="14"/>
      <c r="B158" s="14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>
      <c r="A159" s="14"/>
      <c r="B159" s="14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>
      <c r="A160" s="14"/>
      <c r="B160" s="14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>
      <c r="A161" s="14"/>
      <c r="B161" s="14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>
      <c r="A162" s="14"/>
      <c r="B162" s="14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>
      <c r="A163" s="14"/>
      <c r="B163" s="14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>
      <c r="A164" s="14"/>
      <c r="B164" s="14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>
      <c r="A165" s="14"/>
      <c r="B165" s="14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>
      <c r="A166" s="14"/>
      <c r="B166" s="14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>
      <c r="A167" s="14"/>
      <c r="B167" s="14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>
      <c r="A168" s="14"/>
      <c r="B168" s="14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>
      <c r="A169" s="14"/>
      <c r="B169" s="14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>
      <c r="A170" s="14"/>
      <c r="B170" s="14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>
      <c r="A171" s="14"/>
      <c r="B171" s="14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>
      <c r="A172" s="14"/>
      <c r="B172" s="14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>
      <c r="A173" s="14"/>
      <c r="B173" s="14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>
      <c r="A174" s="14"/>
      <c r="B174" s="14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>
      <c r="A175" s="14"/>
      <c r="B175" s="14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>
      <c r="A176" s="14"/>
      <c r="B176" s="14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>
      <c r="A177" s="14"/>
      <c r="B177" s="14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>
      <c r="A178" s="14"/>
      <c r="B178" s="14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>
      <c r="A179" s="14"/>
      <c r="B179" s="14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>
      <c r="A180" s="14"/>
      <c r="B180" s="14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>
      <c r="A181" s="14"/>
      <c r="B181" s="14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>
      <c r="A182" s="14"/>
      <c r="B182" s="14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>
      <c r="A183" s="14"/>
      <c r="B183" s="14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>
      <c r="A184" s="14"/>
      <c r="B184" s="14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>
      <c r="A185" s="14"/>
      <c r="B185" s="14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>
      <c r="A186" s="14"/>
      <c r="B186" s="14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>
      <c r="A187" s="14"/>
      <c r="B187" s="14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>
      <c r="A188" s="14"/>
      <c r="B188" s="14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>
      <c r="A189" s="14"/>
      <c r="B189" s="14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>
      <c r="A190" s="14"/>
      <c r="B190" s="14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>
      <c r="A191" s="14"/>
      <c r="B191" s="14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>
      <c r="A192" s="14"/>
      <c r="B192" s="14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>
      <c r="A193" s="14"/>
      <c r="B193" s="14"/>
      <c r="C193" s="39"/>
      <c r="D193" s="39"/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>
      <c r="A194" s="14"/>
      <c r="B194" s="14"/>
      <c r="C194" s="39"/>
      <c r="D194" s="39"/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>
      <c r="A195" s="14"/>
      <c r="B195" s="14"/>
      <c r="C195" s="39"/>
      <c r="D195" s="39"/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>
      <c r="A196" s="14"/>
      <c r="B196" s="14"/>
      <c r="C196" s="39"/>
      <c r="D196" s="39"/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>
      <c r="A197" s="14"/>
      <c r="B197" s="14"/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>
      <c r="A198" s="14"/>
      <c r="B198" s="14"/>
      <c r="C198" s="39"/>
      <c r="D198" s="39"/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>
      <c r="A199" s="14"/>
      <c r="B199" s="14"/>
      <c r="C199" s="39"/>
      <c r="D199" s="39"/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>
      <c r="A200" s="14"/>
      <c r="B200" s="14"/>
      <c r="C200" s="39"/>
      <c r="D200" s="39"/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>
      <c r="A201" s="14"/>
      <c r="B201" s="14"/>
      <c r="C201" s="39"/>
      <c r="D201" s="39"/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>
      <c r="A202" s="14"/>
      <c r="B202" s="14"/>
      <c r="C202" s="39"/>
      <c r="D202" s="39"/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>
      <c r="A203" s="14"/>
      <c r="B203" s="14"/>
      <c r="C203" s="39"/>
      <c r="D203" s="39"/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>
      <c r="A204" s="14"/>
      <c r="B204" s="14"/>
      <c r="C204" s="39"/>
      <c r="D204" s="39"/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>
      <c r="A205" s="14"/>
      <c r="B205" s="14"/>
      <c r="C205" s="39"/>
      <c r="D205" s="39"/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>
      <c r="A206" s="14"/>
      <c r="B206" s="14"/>
      <c r="C206" s="39"/>
      <c r="D206" s="39"/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>
      <c r="A207" s="14"/>
      <c r="B207" s="14"/>
      <c r="C207" s="39"/>
      <c r="D207" s="39"/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>
      <c r="A208" s="14"/>
      <c r="B208" s="14"/>
      <c r="C208" s="39"/>
      <c r="D208" s="39"/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>
      <c r="A209" s="14"/>
      <c r="B209" s="14"/>
      <c r="C209" s="39"/>
      <c r="D209" s="39"/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>
      <c r="A210" s="14"/>
      <c r="B210" s="14"/>
      <c r="C210" s="39"/>
      <c r="D210" s="39"/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>
      <c r="A211" s="14"/>
      <c r="B211" s="14"/>
      <c r="C211" s="39"/>
      <c r="D211" s="39"/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>
      <c r="A212" s="14"/>
      <c r="B212" s="14"/>
      <c r="C212" s="39"/>
      <c r="D212" s="39"/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>
      <c r="A213" s="14"/>
      <c r="B213" s="14"/>
      <c r="C213" s="39"/>
      <c r="D213" s="39"/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>
      <c r="A214" s="14"/>
      <c r="B214" s="14"/>
      <c r="C214" s="39"/>
      <c r="D214" s="39"/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>
      <c r="A215" s="14"/>
      <c r="B215" s="14"/>
      <c r="C215" s="39"/>
      <c r="D215" s="39"/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>
      <c r="A216" s="14"/>
      <c r="B216" s="14"/>
      <c r="C216" s="39"/>
      <c r="D216" s="39"/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>
      <c r="A217" s="14"/>
      <c r="B217" s="14"/>
      <c r="C217" s="39"/>
      <c r="D217" s="39"/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>
      <c r="A218" s="14"/>
      <c r="B218" s="14"/>
      <c r="C218" s="39"/>
      <c r="D218" s="39"/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>
      <c r="A219" s="14"/>
      <c r="B219" s="14"/>
      <c r="C219" s="39"/>
      <c r="D219" s="39"/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>
      <c r="A220" s="14"/>
      <c r="B220" s="14"/>
      <c r="C220" s="39"/>
      <c r="D220" s="39"/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>
      <c r="R221" s="30"/>
      <c r="S221" s="40"/>
    </row>
    <row r="222" spans="1:33" ht="15.75" customHeight="1">
      <c r="R222" s="30"/>
      <c r="S222" s="40"/>
    </row>
    <row r="223" spans="1:33" ht="15.75" customHeight="1">
      <c r="R223" s="30"/>
      <c r="S223" s="40"/>
    </row>
    <row r="224" spans="1:33" ht="15.75" customHeight="1">
      <c r="R224" s="30"/>
      <c r="S224" s="40"/>
    </row>
    <row r="225" spans="18:18" ht="15.75" customHeight="1">
      <c r="R225" s="30"/>
    </row>
    <row r="226" spans="18:18" ht="15.75" customHeight="1">
      <c r="R226" s="30"/>
    </row>
    <row r="227" spans="18:18" ht="15.75" customHeight="1">
      <c r="R227" s="30"/>
    </row>
    <row r="228" spans="18:18" ht="15.75" customHeight="1">
      <c r="R228" s="30"/>
    </row>
    <row r="229" spans="18:18" ht="15.75" customHeight="1">
      <c r="R229" s="30"/>
    </row>
    <row r="230" spans="18:18" ht="15.75" customHeight="1">
      <c r="R230" s="30"/>
    </row>
    <row r="231" spans="18:18" ht="15.75" customHeight="1">
      <c r="R231" s="30"/>
    </row>
    <row r="232" spans="18:18" ht="15.75" customHeight="1">
      <c r="R232" s="30"/>
    </row>
    <row r="233" spans="18:18" ht="15.75" customHeight="1">
      <c r="R233" s="30"/>
    </row>
    <row r="234" spans="18:18" ht="15.75" customHeight="1">
      <c r="R234" s="30"/>
    </row>
    <row r="235" spans="18:18" ht="15.75" customHeight="1">
      <c r="R235" s="30"/>
    </row>
    <row r="236" spans="18:18" ht="15.75" customHeight="1">
      <c r="R236" s="30"/>
    </row>
    <row r="237" spans="18:18" ht="15.75" customHeight="1">
      <c r="R237" s="30"/>
    </row>
    <row r="238" spans="18:18" ht="15.75" customHeight="1">
      <c r="R238" s="30"/>
    </row>
    <row r="239" spans="18:18" ht="15.75" customHeight="1">
      <c r="R239" s="30"/>
    </row>
    <row r="240" spans="18:18" ht="15.75" customHeight="1">
      <c r="R240" s="30"/>
    </row>
    <row r="241" spans="18:18" ht="15.75" customHeight="1">
      <c r="R241" s="30"/>
    </row>
    <row r="242" spans="18:18" ht="15.75" customHeight="1">
      <c r="R242" s="30"/>
    </row>
    <row r="243" spans="18:18" ht="15.75" customHeight="1">
      <c r="R243" s="30"/>
    </row>
    <row r="244" spans="18:18" ht="15.75" customHeight="1">
      <c r="R244" s="30"/>
    </row>
    <row r="245" spans="18:18" ht="15.75" customHeight="1">
      <c r="R245" s="30"/>
    </row>
    <row r="246" spans="18:18" ht="15.75" customHeight="1">
      <c r="R246" s="30"/>
    </row>
    <row r="247" spans="18:18" ht="15.75" customHeight="1">
      <c r="R247" s="30"/>
    </row>
    <row r="248" spans="18:18" ht="15.75" customHeight="1">
      <c r="R248" s="30"/>
    </row>
    <row r="249" spans="18:18" ht="15.75" customHeight="1">
      <c r="R249" s="30"/>
    </row>
    <row r="250" spans="18:18" ht="15.75" customHeight="1">
      <c r="R250" s="30"/>
    </row>
    <row r="251" spans="18:18" ht="15.75" customHeight="1">
      <c r="R251" s="30"/>
    </row>
    <row r="252" spans="18:18" ht="15.75" customHeight="1">
      <c r="R252" s="30"/>
    </row>
    <row r="253" spans="18:18" ht="15.75" customHeight="1">
      <c r="R253" s="30"/>
    </row>
    <row r="254" spans="18:18" ht="15.75" customHeight="1">
      <c r="R254" s="30"/>
    </row>
    <row r="255" spans="18:18" ht="15.75" customHeight="1">
      <c r="R255" s="30"/>
    </row>
    <row r="256" spans="18:18" ht="15.75" customHeight="1">
      <c r="R256" s="30"/>
    </row>
    <row r="257" spans="18:18" ht="15.75" customHeight="1">
      <c r="R257" s="30"/>
    </row>
    <row r="258" spans="18:18" ht="15.75" customHeight="1">
      <c r="R258" s="30"/>
    </row>
    <row r="259" spans="18:18" ht="15.75" customHeight="1">
      <c r="R259" s="30"/>
    </row>
    <row r="260" spans="18:18" ht="15.75" customHeight="1">
      <c r="R260" s="30"/>
    </row>
    <row r="261" spans="18:18" ht="15.75" customHeight="1">
      <c r="R261" s="30"/>
    </row>
    <row r="262" spans="18:18" ht="15.75" customHeight="1">
      <c r="R262" s="30"/>
    </row>
    <row r="263" spans="18:18" ht="15.75" customHeight="1">
      <c r="R263" s="30"/>
    </row>
    <row r="264" spans="18:18" ht="15.75" customHeight="1">
      <c r="R264" s="30"/>
    </row>
    <row r="265" spans="18:18" ht="15.75" customHeight="1">
      <c r="R265" s="30"/>
    </row>
    <row r="266" spans="18:18" ht="15.75" customHeight="1">
      <c r="R266" s="30"/>
    </row>
    <row r="267" spans="18:18" ht="15.75" customHeight="1">
      <c r="R267" s="30"/>
    </row>
    <row r="268" spans="18:18" ht="15.75" customHeight="1">
      <c r="R268" s="30"/>
    </row>
    <row r="269" spans="18:18" ht="15.75" customHeight="1">
      <c r="R269" s="30"/>
    </row>
    <row r="270" spans="18:18" ht="15.75" customHeight="1">
      <c r="R270" s="30"/>
    </row>
    <row r="271" spans="18:18" ht="15.75" customHeight="1">
      <c r="R271" s="30"/>
    </row>
    <row r="272" spans="18:18" ht="15.75" customHeight="1">
      <c r="R272" s="30"/>
    </row>
    <row r="273" spans="18:18" ht="15.75" customHeight="1">
      <c r="R273" s="30"/>
    </row>
    <row r="274" spans="18:18" ht="15.75" customHeight="1">
      <c r="R274" s="30"/>
    </row>
    <row r="275" spans="18:18" ht="15.75" customHeight="1">
      <c r="R275" s="30"/>
    </row>
    <row r="276" spans="18:18" ht="15.75" customHeight="1">
      <c r="R276" s="30"/>
    </row>
    <row r="277" spans="18:18" ht="15.75" customHeight="1">
      <c r="R277" s="30"/>
    </row>
    <row r="278" spans="18:18" ht="15.75" customHeight="1">
      <c r="R278" s="30"/>
    </row>
    <row r="279" spans="18:18" ht="15.75" customHeight="1">
      <c r="R279" s="30"/>
    </row>
    <row r="280" spans="18:18" ht="15.75" customHeight="1">
      <c r="R280" s="30"/>
    </row>
    <row r="281" spans="18:18" ht="15.75" customHeight="1">
      <c r="R281" s="30"/>
    </row>
    <row r="282" spans="18:18" ht="15.75" customHeight="1">
      <c r="R282" s="30"/>
    </row>
    <row r="283" spans="18:18" ht="15.75" customHeight="1">
      <c r="R283" s="30"/>
    </row>
    <row r="284" spans="18:18" ht="15.75" customHeight="1">
      <c r="R284" s="30"/>
    </row>
    <row r="285" spans="18:18" ht="15.75" customHeight="1">
      <c r="R285" s="30"/>
    </row>
    <row r="286" spans="18:18" ht="15.75" customHeight="1">
      <c r="R286" s="30"/>
    </row>
    <row r="287" spans="18:18" ht="15.75" customHeight="1">
      <c r="R287" s="30"/>
    </row>
    <row r="288" spans="18:18" ht="15.75" customHeight="1">
      <c r="R288" s="30"/>
    </row>
    <row r="289" spans="18:18" ht="15.75" customHeight="1">
      <c r="R289" s="30"/>
    </row>
    <row r="290" spans="18:18" ht="15.75" customHeight="1">
      <c r="R290" s="30"/>
    </row>
    <row r="291" spans="18:18" ht="15.75" customHeight="1">
      <c r="R291" s="30"/>
    </row>
    <row r="292" spans="18:18" ht="15.75" customHeight="1">
      <c r="R292" s="30"/>
    </row>
    <row r="293" spans="18:18" ht="15.75" customHeight="1">
      <c r="R293" s="30"/>
    </row>
    <row r="294" spans="18:18" ht="15.75" customHeight="1">
      <c r="R294" s="30"/>
    </row>
    <row r="295" spans="18:18" ht="15.75" customHeight="1">
      <c r="R295" s="30"/>
    </row>
    <row r="296" spans="18:18" ht="15.75" customHeight="1">
      <c r="R296" s="30"/>
    </row>
    <row r="297" spans="18:18" ht="15.75" customHeight="1">
      <c r="R297" s="30"/>
    </row>
    <row r="298" spans="18:18" ht="15.75" customHeight="1">
      <c r="R298" s="30"/>
    </row>
    <row r="299" spans="18:18" ht="15.75" customHeight="1">
      <c r="R299" s="30"/>
    </row>
    <row r="300" spans="18:18" ht="15.75" customHeight="1">
      <c r="R300" s="30"/>
    </row>
    <row r="301" spans="18:18" ht="15.75" customHeight="1">
      <c r="R301" s="30"/>
    </row>
    <row r="302" spans="18:18" ht="15.75" customHeight="1">
      <c r="R302" s="30"/>
    </row>
    <row r="303" spans="18:18" ht="15.75" customHeight="1">
      <c r="R303" s="30"/>
    </row>
    <row r="304" spans="18:18" ht="15.75" customHeight="1">
      <c r="R304" s="30"/>
    </row>
    <row r="305" spans="18:18" ht="15.75" customHeight="1">
      <c r="R305" s="30"/>
    </row>
    <row r="306" spans="18:18" ht="15.75" customHeight="1">
      <c r="R306" s="30"/>
    </row>
    <row r="307" spans="18:18" ht="15.75" customHeight="1">
      <c r="R307" s="30"/>
    </row>
    <row r="308" spans="18:18" ht="15.75" customHeight="1">
      <c r="R308" s="30"/>
    </row>
    <row r="309" spans="18:18" ht="15.75" customHeight="1">
      <c r="R309" s="30"/>
    </row>
    <row r="310" spans="18:18" ht="15.75" customHeight="1">
      <c r="R310" s="30"/>
    </row>
    <row r="311" spans="18:18" ht="15.75" customHeight="1">
      <c r="R311" s="30"/>
    </row>
    <row r="312" spans="18:18" ht="15.75" customHeight="1">
      <c r="R312" s="30"/>
    </row>
    <row r="313" spans="18:18" ht="15.75" customHeight="1">
      <c r="R313" s="30"/>
    </row>
    <row r="314" spans="18:18" ht="15.75" customHeight="1">
      <c r="R314" s="30"/>
    </row>
    <row r="315" spans="18:18" ht="15.75" customHeight="1">
      <c r="R315" s="30"/>
    </row>
    <row r="316" spans="18:18" ht="15.75" customHeight="1">
      <c r="R316" s="30"/>
    </row>
    <row r="317" spans="18:18" ht="15.75" customHeight="1">
      <c r="R317" s="30"/>
    </row>
    <row r="318" spans="18:18" ht="15.75" customHeight="1">
      <c r="R318" s="30"/>
    </row>
    <row r="319" spans="18:18" ht="15.75" customHeight="1">
      <c r="R319" s="30"/>
    </row>
    <row r="320" spans="18:18" ht="15.75" customHeight="1">
      <c r="R320" s="30"/>
    </row>
    <row r="321" spans="18:18" ht="15.75" customHeight="1">
      <c r="R321" s="30"/>
    </row>
    <row r="322" spans="18:18" ht="15.75" customHeight="1">
      <c r="R322" s="30"/>
    </row>
    <row r="323" spans="18:18" ht="15.75" customHeight="1">
      <c r="R323" s="30"/>
    </row>
    <row r="324" spans="18:18" ht="15.75" customHeight="1">
      <c r="R324" s="30"/>
    </row>
    <row r="325" spans="18:18" ht="15.75" customHeight="1">
      <c r="R325" s="30"/>
    </row>
    <row r="326" spans="18:18" ht="15.75" customHeight="1">
      <c r="R326" s="30"/>
    </row>
    <row r="327" spans="18:18" ht="15.75" customHeight="1">
      <c r="R327" s="30"/>
    </row>
    <row r="328" spans="18:18" ht="15.75" customHeight="1">
      <c r="R328" s="30"/>
    </row>
    <row r="329" spans="18:18" ht="15.75" customHeight="1">
      <c r="R329" s="30"/>
    </row>
    <row r="330" spans="18:18" ht="15.75" customHeight="1">
      <c r="R330" s="30"/>
    </row>
    <row r="331" spans="18:18" ht="15.75" customHeight="1">
      <c r="R331" s="30"/>
    </row>
    <row r="332" spans="18:18" ht="15.75" customHeight="1">
      <c r="R332" s="30"/>
    </row>
    <row r="333" spans="18:18" ht="15.75" customHeight="1">
      <c r="R333" s="30"/>
    </row>
    <row r="334" spans="18:18" ht="15.75" customHeight="1">
      <c r="R334" s="30"/>
    </row>
    <row r="335" spans="18:18" ht="15.75" customHeight="1">
      <c r="R335" s="30"/>
    </row>
    <row r="336" spans="18:18" ht="15.75" customHeight="1">
      <c r="R336" s="30"/>
    </row>
    <row r="337" spans="18:18" ht="15.75" customHeight="1">
      <c r="R337" s="30"/>
    </row>
    <row r="338" spans="18:18" ht="15.75" customHeight="1">
      <c r="R338" s="30"/>
    </row>
    <row r="339" spans="18:18" ht="15.75" customHeight="1">
      <c r="R339" s="30"/>
    </row>
    <row r="340" spans="18:18" ht="15.75" customHeight="1">
      <c r="R340" s="30"/>
    </row>
    <row r="341" spans="18:18" ht="15.75" customHeight="1">
      <c r="R341" s="30"/>
    </row>
    <row r="342" spans="18:18" ht="15.75" customHeight="1">
      <c r="R342" s="30"/>
    </row>
    <row r="343" spans="18:18" ht="15.75" customHeight="1">
      <c r="R343" s="30"/>
    </row>
    <row r="344" spans="18:18" ht="15.75" customHeight="1">
      <c r="R344" s="30"/>
    </row>
    <row r="345" spans="18:18" ht="15.75" customHeight="1">
      <c r="R345" s="30"/>
    </row>
    <row r="346" spans="18:18" ht="15.75" customHeight="1">
      <c r="R346" s="30"/>
    </row>
    <row r="347" spans="18:18" ht="15.75" customHeight="1">
      <c r="R347" s="30"/>
    </row>
    <row r="348" spans="18:18" ht="15.75" customHeight="1">
      <c r="R348" s="30"/>
    </row>
    <row r="349" spans="18:18" ht="15.75" customHeight="1">
      <c r="R349" s="30"/>
    </row>
    <row r="350" spans="18:18" ht="15.75" customHeight="1">
      <c r="R350" s="30"/>
    </row>
    <row r="351" spans="18:18" ht="15.75" customHeight="1">
      <c r="R351" s="30"/>
    </row>
    <row r="352" spans="18:18" ht="15.75" customHeight="1">
      <c r="R352" s="30"/>
    </row>
    <row r="353" spans="18:18" ht="15.75" customHeight="1">
      <c r="R353" s="30"/>
    </row>
    <row r="354" spans="18:18" ht="15.75" customHeight="1">
      <c r="R354" s="30"/>
    </row>
    <row r="355" spans="18:18" ht="15.75" customHeight="1">
      <c r="R355" s="30"/>
    </row>
    <row r="356" spans="18:18" ht="15.75" customHeight="1">
      <c r="R356" s="30"/>
    </row>
    <row r="357" spans="18:18" ht="15.75" customHeight="1">
      <c r="R357" s="30"/>
    </row>
    <row r="358" spans="18:18" ht="15.75" customHeight="1">
      <c r="R358" s="30"/>
    </row>
    <row r="359" spans="18:18" ht="15.75" customHeight="1">
      <c r="R359" s="30"/>
    </row>
    <row r="360" spans="18:18" ht="15.75" customHeight="1">
      <c r="R360" s="30"/>
    </row>
    <row r="361" spans="18:18" ht="15.75" customHeight="1">
      <c r="R361" s="30"/>
    </row>
    <row r="362" spans="18:18" ht="15.75" customHeight="1">
      <c r="R362" s="30"/>
    </row>
    <row r="363" spans="18:18" ht="15.75" customHeight="1">
      <c r="R363" s="30"/>
    </row>
    <row r="364" spans="18:18" ht="15.75" customHeight="1">
      <c r="R364" s="30"/>
    </row>
    <row r="365" spans="18:18" ht="15.75" customHeight="1">
      <c r="R365" s="30"/>
    </row>
    <row r="366" spans="18:18" ht="15.75" customHeight="1">
      <c r="R366" s="30"/>
    </row>
    <row r="367" spans="18:18" ht="15.75" customHeight="1">
      <c r="R367" s="30"/>
    </row>
    <row r="368" spans="18:18" ht="15.75" customHeight="1">
      <c r="R368" s="30"/>
    </row>
    <row r="369" spans="18:18" ht="15.75" customHeight="1">
      <c r="R369" s="30"/>
    </row>
    <row r="370" spans="18:18" ht="15.75" customHeight="1">
      <c r="R370" s="30"/>
    </row>
    <row r="371" spans="18:18" ht="15.75" customHeight="1">
      <c r="R371" s="30"/>
    </row>
    <row r="372" spans="18:18" ht="15.75" customHeight="1">
      <c r="R372" s="30"/>
    </row>
    <row r="373" spans="18:18" ht="15.75" customHeight="1">
      <c r="R373" s="30"/>
    </row>
    <row r="374" spans="18:18" ht="15.75" customHeight="1">
      <c r="R374" s="30"/>
    </row>
    <row r="375" spans="18:18" ht="15.75" customHeight="1">
      <c r="R375" s="30"/>
    </row>
    <row r="376" spans="18:18" ht="15.75" customHeight="1">
      <c r="R376" s="30"/>
    </row>
    <row r="377" spans="18:18" ht="15.75" customHeight="1">
      <c r="R377" s="30"/>
    </row>
    <row r="378" spans="18:18" ht="15.75" customHeight="1">
      <c r="R378" s="30"/>
    </row>
    <row r="379" spans="18:18" ht="15.75" customHeight="1">
      <c r="R379" s="30"/>
    </row>
    <row r="380" spans="18:18" ht="15.75" customHeight="1">
      <c r="R380" s="30"/>
    </row>
    <row r="381" spans="18:18" ht="15.75" customHeight="1">
      <c r="R381" s="30"/>
    </row>
    <row r="382" spans="18:18" ht="15.75" customHeight="1">
      <c r="R382" s="30"/>
    </row>
    <row r="383" spans="18:18" ht="15.75" customHeight="1">
      <c r="R383" s="30"/>
    </row>
    <row r="384" spans="18:18" ht="15.75" customHeight="1">
      <c r="R384" s="30"/>
    </row>
    <row r="385" spans="18:18" ht="15.75" customHeight="1">
      <c r="R385" s="30"/>
    </row>
    <row r="386" spans="18:18" ht="15.75" customHeight="1">
      <c r="R386" s="30"/>
    </row>
    <row r="387" spans="18:18" ht="15.75" customHeight="1">
      <c r="R387" s="30"/>
    </row>
    <row r="388" spans="18:18" ht="15.75" customHeight="1">
      <c r="R388" s="30"/>
    </row>
    <row r="389" spans="18:18" ht="15.75" customHeight="1">
      <c r="R389" s="30"/>
    </row>
    <row r="390" spans="18:18" ht="15.75" customHeight="1">
      <c r="R390" s="30"/>
    </row>
    <row r="391" spans="18:18" ht="15.75" customHeight="1">
      <c r="R391" s="30"/>
    </row>
    <row r="392" spans="18:18" ht="15.75" customHeight="1">
      <c r="R392" s="30"/>
    </row>
    <row r="393" spans="18:18" ht="15.75" customHeight="1">
      <c r="R393" s="30"/>
    </row>
    <row r="394" spans="18:18" ht="15.75" customHeight="1">
      <c r="R394" s="30"/>
    </row>
    <row r="395" spans="18:18" ht="15.75" customHeight="1">
      <c r="R395" s="30"/>
    </row>
    <row r="396" spans="18:18" ht="15.75" customHeight="1">
      <c r="R396" s="30"/>
    </row>
    <row r="397" spans="18:18" ht="15.75" customHeight="1">
      <c r="R397" s="30"/>
    </row>
    <row r="398" spans="18:18" ht="15.75" customHeight="1">
      <c r="R398" s="30"/>
    </row>
    <row r="399" spans="18:18" ht="15.75" customHeight="1">
      <c r="R399" s="30"/>
    </row>
    <row r="400" spans="18:18" ht="15.75" customHeight="1">
      <c r="R400" s="30"/>
    </row>
    <row r="401" spans="18:18" ht="15.75" customHeight="1">
      <c r="R401" s="30"/>
    </row>
    <row r="402" spans="18:18" ht="15.75" customHeight="1">
      <c r="R402" s="30"/>
    </row>
    <row r="403" spans="18:18" ht="15.75" customHeight="1">
      <c r="R403" s="30"/>
    </row>
    <row r="404" spans="18:18" ht="15.75" customHeight="1">
      <c r="R404" s="30"/>
    </row>
    <row r="405" spans="18:18" ht="15.75" customHeight="1">
      <c r="R405" s="30"/>
    </row>
    <row r="406" spans="18:18" ht="15.75" customHeight="1">
      <c r="R406" s="30"/>
    </row>
    <row r="407" spans="18:18" ht="15.75" customHeight="1">
      <c r="R407" s="30"/>
    </row>
    <row r="408" spans="18:18" ht="15.75" customHeight="1">
      <c r="R408" s="30"/>
    </row>
    <row r="409" spans="18:18" ht="15.75" customHeight="1">
      <c r="R409" s="30"/>
    </row>
    <row r="410" spans="18:18" ht="15.75" customHeight="1">
      <c r="R410" s="30"/>
    </row>
    <row r="411" spans="18:18" ht="15.75" customHeight="1">
      <c r="R411" s="30"/>
    </row>
    <row r="412" spans="18:18" ht="15.75" customHeight="1">
      <c r="R412" s="30"/>
    </row>
    <row r="413" spans="18:18" ht="15.75" customHeight="1">
      <c r="R413" s="30"/>
    </row>
    <row r="414" spans="18:18" ht="15.75" customHeight="1">
      <c r="R414" s="30"/>
    </row>
    <row r="415" spans="18:18" ht="15.75" customHeight="1">
      <c r="R415" s="30"/>
    </row>
    <row r="416" spans="18:18" ht="15.75" customHeight="1">
      <c r="R416" s="30"/>
    </row>
    <row r="417" spans="18:18" ht="15.75" customHeight="1">
      <c r="R417" s="30"/>
    </row>
    <row r="418" spans="18:18" ht="15.75" customHeight="1">
      <c r="R418" s="30"/>
    </row>
    <row r="419" spans="18:18" ht="15.75" customHeight="1">
      <c r="R419" s="30"/>
    </row>
    <row r="420" spans="18:18" ht="15.75" customHeight="1">
      <c r="R420" s="30"/>
    </row>
    <row r="421" spans="18:18" ht="15.75" customHeight="1">
      <c r="R421" s="30"/>
    </row>
    <row r="422" spans="18:18" ht="15.75" customHeight="1">
      <c r="R422" s="30"/>
    </row>
    <row r="423" spans="18:18" ht="15.75" customHeight="1">
      <c r="R423" s="30"/>
    </row>
    <row r="424" spans="18:18" ht="15.75" customHeight="1">
      <c r="R424" s="30"/>
    </row>
    <row r="425" spans="18:18" ht="15.75" customHeight="1">
      <c r="R425" s="30"/>
    </row>
    <row r="426" spans="18:18" ht="15.75" customHeight="1">
      <c r="R426" s="30"/>
    </row>
    <row r="427" spans="18:18" ht="15.75" customHeight="1">
      <c r="R427" s="30"/>
    </row>
    <row r="428" spans="18:18" ht="15.75" customHeight="1">
      <c r="R428" s="30"/>
    </row>
    <row r="429" spans="18:18" ht="15.75" customHeight="1">
      <c r="R429" s="30"/>
    </row>
    <row r="430" spans="18:18" ht="15.75" customHeight="1">
      <c r="R430" s="30"/>
    </row>
    <row r="431" spans="18:18" ht="15.75" customHeight="1">
      <c r="R431" s="30"/>
    </row>
    <row r="432" spans="18:18" ht="15.75" customHeight="1">
      <c r="R432" s="30"/>
    </row>
    <row r="433" spans="18:18" ht="15.75" customHeight="1">
      <c r="R433" s="30"/>
    </row>
    <row r="434" spans="18:18" ht="15.75" customHeight="1">
      <c r="R434" s="30"/>
    </row>
    <row r="435" spans="18:18" ht="15.75" customHeight="1">
      <c r="R435" s="30"/>
    </row>
    <row r="436" spans="18:18" ht="15.75" customHeight="1">
      <c r="R436" s="30"/>
    </row>
    <row r="437" spans="18:18" ht="15.75" customHeight="1">
      <c r="R437" s="30"/>
    </row>
    <row r="438" spans="18:18" ht="15.75" customHeight="1">
      <c r="R438" s="30"/>
    </row>
    <row r="439" spans="18:18" ht="15.75" customHeight="1">
      <c r="R439" s="30"/>
    </row>
    <row r="440" spans="18:18" ht="15.75" customHeight="1">
      <c r="R440" s="30"/>
    </row>
    <row r="441" spans="18:18" ht="15.75" customHeight="1">
      <c r="R441" s="30"/>
    </row>
    <row r="442" spans="18:18" ht="15.75" customHeight="1">
      <c r="R442" s="30"/>
    </row>
    <row r="443" spans="18:18" ht="15.75" customHeight="1">
      <c r="R443" s="30"/>
    </row>
    <row r="444" spans="18:18" ht="15.75" customHeight="1">
      <c r="R444" s="30"/>
    </row>
    <row r="445" spans="18:18" ht="15.75" customHeight="1">
      <c r="R445" s="30"/>
    </row>
    <row r="446" spans="18:18" ht="15.75" customHeight="1">
      <c r="R446" s="30"/>
    </row>
    <row r="447" spans="18:18" ht="15.75" customHeight="1">
      <c r="R447" s="30"/>
    </row>
    <row r="448" spans="18:18" ht="15.75" customHeight="1">
      <c r="R448" s="30"/>
    </row>
    <row r="449" spans="18:18" ht="15.75" customHeight="1">
      <c r="R449" s="30"/>
    </row>
    <row r="450" spans="18:18" ht="15.75" customHeight="1">
      <c r="R450" s="30"/>
    </row>
    <row r="451" spans="18:18" ht="15.75" customHeight="1">
      <c r="R451" s="30"/>
    </row>
    <row r="452" spans="18:18" ht="15.75" customHeight="1">
      <c r="R452" s="30"/>
    </row>
    <row r="453" spans="18:18" ht="15.75" customHeight="1">
      <c r="R453" s="30"/>
    </row>
    <row r="454" spans="18:18" ht="15.75" customHeight="1">
      <c r="R454" s="30"/>
    </row>
    <row r="455" spans="18:18" ht="15.75" customHeight="1">
      <c r="R455" s="30"/>
    </row>
    <row r="456" spans="18:18" ht="15.75" customHeight="1">
      <c r="R456" s="30"/>
    </row>
    <row r="457" spans="18:18" ht="15.75" customHeight="1">
      <c r="R457" s="30"/>
    </row>
    <row r="458" spans="18:18" ht="15.75" customHeight="1">
      <c r="R458" s="30"/>
    </row>
    <row r="459" spans="18:18" ht="15.75" customHeight="1">
      <c r="R459" s="30"/>
    </row>
    <row r="460" spans="18:18" ht="15.75" customHeight="1">
      <c r="R460" s="30"/>
    </row>
    <row r="461" spans="18:18" ht="15.75" customHeight="1">
      <c r="R461" s="30"/>
    </row>
    <row r="462" spans="18:18" ht="15.75" customHeight="1">
      <c r="R462" s="30"/>
    </row>
    <row r="463" spans="18:18" ht="15.75" customHeight="1">
      <c r="R463" s="30"/>
    </row>
    <row r="464" spans="18:18" ht="15.75" customHeight="1">
      <c r="R464" s="30"/>
    </row>
    <row r="465" spans="18:18" ht="15.75" customHeight="1">
      <c r="R465" s="30"/>
    </row>
    <row r="466" spans="18:18" ht="15.75" customHeight="1">
      <c r="R466" s="30"/>
    </row>
    <row r="467" spans="18:18" ht="15.75" customHeight="1">
      <c r="R467" s="30"/>
    </row>
    <row r="468" spans="18:18" ht="15.75" customHeight="1">
      <c r="R468" s="30"/>
    </row>
    <row r="469" spans="18:18" ht="15.75" customHeight="1">
      <c r="R469" s="30"/>
    </row>
    <row r="470" spans="18:18" ht="15.75" customHeight="1">
      <c r="R470" s="30"/>
    </row>
    <row r="471" spans="18:18" ht="15.75" customHeight="1">
      <c r="R471" s="30"/>
    </row>
    <row r="472" spans="18:18" ht="15.75" customHeight="1">
      <c r="R472" s="30"/>
    </row>
    <row r="473" spans="18:18" ht="15.75" customHeight="1">
      <c r="R473" s="30"/>
    </row>
    <row r="474" spans="18:18" ht="15.75" customHeight="1">
      <c r="R474" s="30"/>
    </row>
    <row r="475" spans="18:18" ht="15.75" customHeight="1">
      <c r="R475" s="30"/>
    </row>
    <row r="476" spans="18:18" ht="15.75" customHeight="1">
      <c r="R476" s="30"/>
    </row>
    <row r="477" spans="18:18" ht="15.75" customHeight="1">
      <c r="R477" s="30"/>
    </row>
    <row r="478" spans="18:18" ht="15.75" customHeight="1">
      <c r="R478" s="30"/>
    </row>
    <row r="479" spans="18:18" ht="15.75" customHeight="1">
      <c r="R479" s="30"/>
    </row>
    <row r="480" spans="18:18" ht="15.75" customHeight="1">
      <c r="R480" s="30"/>
    </row>
    <row r="481" spans="18:18" ht="15.75" customHeight="1">
      <c r="R481" s="30"/>
    </row>
    <row r="482" spans="18:18" ht="15.75" customHeight="1">
      <c r="R482" s="30"/>
    </row>
    <row r="483" spans="18:18" ht="15.75" customHeight="1">
      <c r="R483" s="30"/>
    </row>
    <row r="484" spans="18:18" ht="15.75" customHeight="1">
      <c r="R484" s="30"/>
    </row>
    <row r="485" spans="18:18" ht="15.75" customHeight="1">
      <c r="R485" s="30"/>
    </row>
    <row r="486" spans="18:18" ht="15.75" customHeight="1">
      <c r="R486" s="30"/>
    </row>
    <row r="487" spans="18:18" ht="15.75" customHeight="1">
      <c r="R487" s="30"/>
    </row>
    <row r="488" spans="18:18" ht="15.75" customHeight="1">
      <c r="R488" s="30"/>
    </row>
    <row r="489" spans="18:18" ht="15.75" customHeight="1">
      <c r="R489" s="30"/>
    </row>
    <row r="490" spans="18:18" ht="15.75" customHeight="1">
      <c r="R490" s="30"/>
    </row>
    <row r="491" spans="18:18" ht="15.75" customHeight="1">
      <c r="R491" s="30"/>
    </row>
    <row r="492" spans="18:18" ht="15.75" customHeight="1">
      <c r="R492" s="30"/>
    </row>
    <row r="493" spans="18:18" ht="15.75" customHeight="1">
      <c r="R493" s="30"/>
    </row>
    <row r="494" spans="18:18" ht="15.75" customHeight="1">
      <c r="R494" s="30"/>
    </row>
    <row r="495" spans="18:18" ht="15.75" customHeight="1">
      <c r="R495" s="30"/>
    </row>
    <row r="496" spans="18:18" ht="15.75" customHeight="1">
      <c r="R496" s="30"/>
    </row>
    <row r="497" spans="18:18" ht="15.75" customHeight="1">
      <c r="R497" s="30"/>
    </row>
    <row r="498" spans="18:18" ht="15.75" customHeight="1">
      <c r="R498" s="30"/>
    </row>
    <row r="499" spans="18:18" ht="15.75" customHeight="1">
      <c r="R499" s="30"/>
    </row>
    <row r="500" spans="18:18" ht="15.75" customHeight="1">
      <c r="R500" s="30"/>
    </row>
    <row r="501" spans="18:18" ht="15.75" customHeight="1">
      <c r="R501" s="30"/>
    </row>
    <row r="502" spans="18:18" ht="15.75" customHeight="1">
      <c r="R502" s="30"/>
    </row>
    <row r="503" spans="18:18" ht="15.75" customHeight="1">
      <c r="R503" s="30"/>
    </row>
    <row r="504" spans="18:18" ht="15.75" customHeight="1">
      <c r="R504" s="30"/>
    </row>
    <row r="505" spans="18:18" ht="15.75" customHeight="1">
      <c r="R505" s="30"/>
    </row>
    <row r="506" spans="18:18" ht="15.75" customHeight="1">
      <c r="R506" s="30"/>
    </row>
    <row r="507" spans="18:18" ht="15.75" customHeight="1">
      <c r="R507" s="30"/>
    </row>
    <row r="508" spans="18:18" ht="15.75" customHeight="1">
      <c r="R508" s="30"/>
    </row>
    <row r="509" spans="18:18" ht="15.75" customHeight="1">
      <c r="R509" s="30"/>
    </row>
    <row r="510" spans="18:18" ht="15.75" customHeight="1">
      <c r="R510" s="30"/>
    </row>
    <row r="511" spans="18:18" ht="15.75" customHeight="1">
      <c r="R511" s="30"/>
    </row>
    <row r="512" spans="18:18" ht="15.75" customHeight="1">
      <c r="R512" s="30"/>
    </row>
    <row r="513" spans="18:18" ht="15.75" customHeight="1">
      <c r="R513" s="30"/>
    </row>
    <row r="514" spans="18:18" ht="15.75" customHeight="1">
      <c r="R514" s="30"/>
    </row>
    <row r="515" spans="18:18" ht="15.75" customHeight="1">
      <c r="R515" s="30"/>
    </row>
    <row r="516" spans="18:18" ht="15.75" customHeight="1">
      <c r="R516" s="30"/>
    </row>
    <row r="517" spans="18:18" ht="15.75" customHeight="1">
      <c r="R517" s="30"/>
    </row>
    <row r="518" spans="18:18" ht="15.75" customHeight="1">
      <c r="R518" s="30"/>
    </row>
    <row r="519" spans="18:18" ht="15.75" customHeight="1">
      <c r="R519" s="30"/>
    </row>
    <row r="520" spans="18:18" ht="15.75" customHeight="1">
      <c r="R520" s="30"/>
    </row>
    <row r="521" spans="18:18" ht="15.75" customHeight="1">
      <c r="R521" s="30"/>
    </row>
    <row r="522" spans="18:18" ht="15.75" customHeight="1">
      <c r="R522" s="30"/>
    </row>
    <row r="523" spans="18:18" ht="15.75" customHeight="1">
      <c r="R523" s="30"/>
    </row>
    <row r="524" spans="18:18" ht="15.75" customHeight="1">
      <c r="R524" s="30"/>
    </row>
    <row r="525" spans="18:18" ht="15.75" customHeight="1">
      <c r="R525" s="30"/>
    </row>
    <row r="526" spans="18:18" ht="15.75" customHeight="1">
      <c r="R526" s="30"/>
    </row>
    <row r="527" spans="18:18" ht="15.75" customHeight="1">
      <c r="R527" s="30"/>
    </row>
    <row r="528" spans="18:18" ht="15.75" customHeight="1">
      <c r="R528" s="30"/>
    </row>
    <row r="529" spans="18:18" ht="15.75" customHeight="1">
      <c r="R529" s="30"/>
    </row>
    <row r="530" spans="18:18" ht="15.75" customHeight="1">
      <c r="R530" s="30"/>
    </row>
    <row r="531" spans="18:18" ht="15.75" customHeight="1">
      <c r="R531" s="30"/>
    </row>
    <row r="532" spans="18:18" ht="15.75" customHeight="1">
      <c r="R532" s="30"/>
    </row>
    <row r="533" spans="18:18" ht="15.75" customHeight="1">
      <c r="R533" s="30"/>
    </row>
    <row r="534" spans="18:18" ht="15.75" customHeight="1">
      <c r="R534" s="30"/>
    </row>
    <row r="535" spans="18:18" ht="15.75" customHeight="1">
      <c r="R535" s="30"/>
    </row>
    <row r="536" spans="18:18" ht="15.75" customHeight="1">
      <c r="R536" s="30"/>
    </row>
    <row r="537" spans="18:18" ht="15.75" customHeight="1">
      <c r="R537" s="30"/>
    </row>
    <row r="538" spans="18:18" ht="15.75" customHeight="1">
      <c r="R538" s="30"/>
    </row>
    <row r="539" spans="18:18" ht="15.75" customHeight="1">
      <c r="R539" s="30"/>
    </row>
    <row r="540" spans="18:18" ht="15.75" customHeight="1">
      <c r="R540" s="30"/>
    </row>
    <row r="541" spans="18:18" ht="15.75" customHeight="1">
      <c r="R541" s="30"/>
    </row>
    <row r="542" spans="18:18" ht="15.75" customHeight="1">
      <c r="R542" s="30"/>
    </row>
    <row r="543" spans="18:18" ht="15.75" customHeight="1">
      <c r="R543" s="30"/>
    </row>
    <row r="544" spans="18:18" ht="15.75" customHeight="1">
      <c r="R544" s="30"/>
    </row>
    <row r="545" spans="18:18" ht="15.75" customHeight="1">
      <c r="R545" s="30"/>
    </row>
    <row r="546" spans="18:18" ht="15.75" customHeight="1">
      <c r="R546" s="30"/>
    </row>
    <row r="547" spans="18:18" ht="15.75" customHeight="1">
      <c r="R547" s="30"/>
    </row>
    <row r="548" spans="18:18" ht="15.75" customHeight="1">
      <c r="R548" s="30"/>
    </row>
    <row r="549" spans="18:18" ht="15.75" customHeight="1">
      <c r="R549" s="30"/>
    </row>
    <row r="550" spans="18:18" ht="15.75" customHeight="1">
      <c r="R550" s="30"/>
    </row>
    <row r="551" spans="18:18" ht="15.75" customHeight="1">
      <c r="R551" s="30"/>
    </row>
    <row r="552" spans="18:18" ht="15.75" customHeight="1">
      <c r="R552" s="30"/>
    </row>
    <row r="553" spans="18:18" ht="15.75" customHeight="1">
      <c r="R553" s="30"/>
    </row>
    <row r="554" spans="18:18" ht="15.75" customHeight="1">
      <c r="R554" s="30"/>
    </row>
    <row r="555" spans="18:18" ht="15.75" customHeight="1">
      <c r="R555" s="30"/>
    </row>
    <row r="556" spans="18:18" ht="15.75" customHeight="1">
      <c r="R556" s="30"/>
    </row>
    <row r="557" spans="18:18" ht="15.75" customHeight="1">
      <c r="R557" s="30"/>
    </row>
    <row r="558" spans="18:18" ht="15.75" customHeight="1">
      <c r="R558" s="30"/>
    </row>
    <row r="559" spans="18:18" ht="15.75" customHeight="1">
      <c r="R559" s="30"/>
    </row>
    <row r="560" spans="18:18" ht="15.75" customHeight="1">
      <c r="R560" s="30"/>
    </row>
    <row r="561" spans="18:18" ht="15.75" customHeight="1">
      <c r="R561" s="30"/>
    </row>
    <row r="562" spans="18:18" ht="15.75" customHeight="1">
      <c r="R562" s="30"/>
    </row>
    <row r="563" spans="18:18" ht="15.75" customHeight="1">
      <c r="R563" s="30"/>
    </row>
    <row r="564" spans="18:18" ht="15.75" customHeight="1">
      <c r="R564" s="30"/>
    </row>
    <row r="565" spans="18:18" ht="15.75" customHeight="1">
      <c r="R565" s="30"/>
    </row>
    <row r="566" spans="18:18" ht="15.75" customHeight="1">
      <c r="R566" s="30"/>
    </row>
    <row r="567" spans="18:18" ht="15.75" customHeight="1">
      <c r="R567" s="30"/>
    </row>
    <row r="568" spans="18:18" ht="15.75" customHeight="1">
      <c r="R568" s="30"/>
    </row>
    <row r="569" spans="18:18" ht="15.75" customHeight="1">
      <c r="R569" s="30"/>
    </row>
    <row r="570" spans="18:18" ht="15.75" customHeight="1">
      <c r="R570" s="30"/>
    </row>
    <row r="571" spans="18:18" ht="15.75" customHeight="1">
      <c r="R571" s="30"/>
    </row>
    <row r="572" spans="18:18" ht="15.75" customHeight="1">
      <c r="R572" s="30"/>
    </row>
    <row r="573" spans="18:18" ht="15.75" customHeight="1">
      <c r="R573" s="30"/>
    </row>
    <row r="574" spans="18:18" ht="15.75" customHeight="1">
      <c r="R574" s="30"/>
    </row>
    <row r="575" spans="18:18" ht="15.75" customHeight="1">
      <c r="R575" s="30"/>
    </row>
    <row r="576" spans="18:18" ht="15.75" customHeight="1">
      <c r="R576" s="30"/>
    </row>
    <row r="577" spans="18:18" ht="15.75" customHeight="1">
      <c r="R577" s="30"/>
    </row>
    <row r="578" spans="18:18" ht="15.75" customHeight="1">
      <c r="R578" s="30"/>
    </row>
    <row r="579" spans="18:18" ht="15.75" customHeight="1">
      <c r="R579" s="30"/>
    </row>
    <row r="580" spans="18:18" ht="15.75" customHeight="1">
      <c r="R580" s="30"/>
    </row>
    <row r="581" spans="18:18" ht="15.75" customHeight="1">
      <c r="R581" s="30"/>
    </row>
    <row r="582" spans="18:18" ht="15.75" customHeight="1">
      <c r="R582" s="30"/>
    </row>
    <row r="583" spans="18:18" ht="15.75" customHeight="1">
      <c r="R583" s="30"/>
    </row>
    <row r="584" spans="18:18" ht="15.75" customHeight="1">
      <c r="R584" s="30"/>
    </row>
    <row r="585" spans="18:18" ht="15.75" customHeight="1">
      <c r="R585" s="30"/>
    </row>
    <row r="586" spans="18:18" ht="15.75" customHeight="1">
      <c r="R586" s="30"/>
    </row>
    <row r="587" spans="18:18" ht="15.75" customHeight="1">
      <c r="R587" s="30"/>
    </row>
    <row r="588" spans="18:18" ht="15.75" customHeight="1">
      <c r="R588" s="30"/>
    </row>
    <row r="589" spans="18:18" ht="15.75" customHeight="1">
      <c r="R589" s="30"/>
    </row>
    <row r="590" spans="18:18" ht="15.75" customHeight="1">
      <c r="R590" s="30"/>
    </row>
    <row r="591" spans="18:18" ht="15.75" customHeight="1">
      <c r="R591" s="30"/>
    </row>
    <row r="592" spans="18:18" ht="15.75" customHeight="1">
      <c r="R592" s="30"/>
    </row>
    <row r="593" spans="18:18" ht="15.75" customHeight="1">
      <c r="R593" s="30"/>
    </row>
    <row r="594" spans="18:18" ht="15.75" customHeight="1">
      <c r="R594" s="30"/>
    </row>
    <row r="595" spans="18:18" ht="15.75" customHeight="1">
      <c r="R595" s="30"/>
    </row>
    <row r="596" spans="18:18" ht="15.75" customHeight="1">
      <c r="R596" s="30"/>
    </row>
    <row r="597" spans="18:18" ht="15.75" customHeight="1">
      <c r="R597" s="30"/>
    </row>
    <row r="598" spans="18:18" ht="15.75" customHeight="1">
      <c r="R598" s="30"/>
    </row>
    <row r="599" spans="18:18" ht="15.75" customHeight="1">
      <c r="R599" s="30"/>
    </row>
    <row r="600" spans="18:18" ht="15.75" customHeight="1">
      <c r="R600" s="30"/>
    </row>
    <row r="601" spans="18:18" ht="15.75" customHeight="1">
      <c r="R601" s="30"/>
    </row>
    <row r="602" spans="18:18" ht="15.75" customHeight="1">
      <c r="R602" s="30"/>
    </row>
    <row r="603" spans="18:18" ht="15.75" customHeight="1">
      <c r="R603" s="30"/>
    </row>
    <row r="604" spans="18:18" ht="15.75" customHeight="1">
      <c r="R604" s="30"/>
    </row>
    <row r="605" spans="18:18" ht="15.75" customHeight="1">
      <c r="R605" s="30"/>
    </row>
    <row r="606" spans="18:18" ht="15.75" customHeight="1">
      <c r="R606" s="30"/>
    </row>
    <row r="607" spans="18:18" ht="15.75" customHeight="1">
      <c r="R607" s="30"/>
    </row>
    <row r="608" spans="18:18" ht="15.75" customHeight="1">
      <c r="R608" s="30"/>
    </row>
    <row r="609" spans="18:18" ht="15.75" customHeight="1">
      <c r="R609" s="30"/>
    </row>
    <row r="610" spans="18:18" ht="15.75" customHeight="1">
      <c r="R610" s="30"/>
    </row>
    <row r="611" spans="18:18" ht="15.75" customHeight="1">
      <c r="R611" s="30"/>
    </row>
    <row r="612" spans="18:18" ht="15.75" customHeight="1">
      <c r="R612" s="30"/>
    </row>
    <row r="613" spans="18:18" ht="15.75" customHeight="1">
      <c r="R613" s="30"/>
    </row>
    <row r="614" spans="18:18" ht="15.75" customHeight="1">
      <c r="R614" s="30"/>
    </row>
    <row r="615" spans="18:18" ht="15.75" customHeight="1">
      <c r="R615" s="30"/>
    </row>
    <row r="616" spans="18:18" ht="15.75" customHeight="1">
      <c r="R616" s="30"/>
    </row>
    <row r="617" spans="18:18" ht="15.75" customHeight="1">
      <c r="R617" s="30"/>
    </row>
    <row r="618" spans="18:18" ht="15.75" customHeight="1">
      <c r="R618" s="30"/>
    </row>
    <row r="619" spans="18:18" ht="15.75" customHeight="1">
      <c r="R619" s="30"/>
    </row>
    <row r="620" spans="18:18" ht="15.75" customHeight="1">
      <c r="R620" s="30"/>
    </row>
    <row r="621" spans="18:18" ht="15.75" customHeight="1">
      <c r="R621" s="30"/>
    </row>
    <row r="622" spans="18:18" ht="15.75" customHeight="1">
      <c r="R622" s="30"/>
    </row>
    <row r="623" spans="18:18" ht="15.75" customHeight="1">
      <c r="R623" s="30"/>
    </row>
    <row r="624" spans="18:18" ht="15.75" customHeight="1">
      <c r="R624" s="30"/>
    </row>
    <row r="625" spans="18:18" ht="15.75" customHeight="1">
      <c r="R625" s="30"/>
    </row>
    <row r="626" spans="18:18" ht="15.75" customHeight="1">
      <c r="R626" s="30"/>
    </row>
    <row r="627" spans="18:18" ht="15.75" customHeight="1">
      <c r="R627" s="30"/>
    </row>
    <row r="628" spans="18:18" ht="15.75" customHeight="1">
      <c r="R628" s="30"/>
    </row>
    <row r="629" spans="18:18" ht="15.75" customHeight="1">
      <c r="R629" s="30"/>
    </row>
    <row r="630" spans="18:18" ht="15.75" customHeight="1">
      <c r="R630" s="30"/>
    </row>
    <row r="631" spans="18:18" ht="15.75" customHeight="1">
      <c r="R631" s="30"/>
    </row>
    <row r="632" spans="18:18" ht="15.75" customHeight="1">
      <c r="R632" s="30"/>
    </row>
    <row r="633" spans="18:18" ht="15.75" customHeight="1">
      <c r="R633" s="30"/>
    </row>
    <row r="634" spans="18:18" ht="15.75" customHeight="1">
      <c r="R634" s="30"/>
    </row>
    <row r="635" spans="18:18" ht="15.75" customHeight="1">
      <c r="R635" s="30"/>
    </row>
    <row r="636" spans="18:18" ht="15.75" customHeight="1">
      <c r="R636" s="30"/>
    </row>
    <row r="637" spans="18:18" ht="15.75" customHeight="1">
      <c r="R637" s="30"/>
    </row>
    <row r="638" spans="18:18" ht="15.75" customHeight="1">
      <c r="R638" s="30"/>
    </row>
    <row r="639" spans="18:18" ht="15.75" customHeight="1">
      <c r="R639" s="30"/>
    </row>
    <row r="640" spans="18:18" ht="15.75" customHeight="1">
      <c r="R640" s="30"/>
    </row>
    <row r="641" spans="18:18" ht="15.75" customHeight="1">
      <c r="R641" s="30"/>
    </row>
    <row r="642" spans="18:18" ht="15.75" customHeight="1">
      <c r="R642" s="30"/>
    </row>
    <row r="643" spans="18:18" ht="15.75" customHeight="1">
      <c r="R643" s="30"/>
    </row>
    <row r="644" spans="18:18" ht="15.75" customHeight="1">
      <c r="R644" s="30"/>
    </row>
    <row r="645" spans="18:18" ht="15.75" customHeight="1">
      <c r="R645" s="30"/>
    </row>
    <row r="646" spans="18:18" ht="15.75" customHeight="1">
      <c r="R646" s="30"/>
    </row>
    <row r="647" spans="18:18" ht="15.75" customHeight="1">
      <c r="R647" s="30"/>
    </row>
    <row r="648" spans="18:18" ht="15.75" customHeight="1">
      <c r="R648" s="30"/>
    </row>
    <row r="649" spans="18:18" ht="15.75" customHeight="1">
      <c r="R649" s="30"/>
    </row>
    <row r="650" spans="18:18" ht="15.75" customHeight="1">
      <c r="R650" s="30"/>
    </row>
    <row r="651" spans="18:18" ht="15.75" customHeight="1">
      <c r="R651" s="30"/>
    </row>
    <row r="652" spans="18:18" ht="15.75" customHeight="1">
      <c r="R652" s="30"/>
    </row>
    <row r="653" spans="18:18" ht="15.75" customHeight="1">
      <c r="R653" s="30"/>
    </row>
    <row r="654" spans="18:18" ht="15.75" customHeight="1">
      <c r="R654" s="30"/>
    </row>
    <row r="655" spans="18:18" ht="15.75" customHeight="1">
      <c r="R655" s="30"/>
    </row>
    <row r="656" spans="18:18" ht="15.75" customHeight="1">
      <c r="R656" s="30"/>
    </row>
    <row r="657" spans="18:18" ht="15.75" customHeight="1">
      <c r="R657" s="30"/>
    </row>
    <row r="658" spans="18:18" ht="15.75" customHeight="1">
      <c r="R658" s="30"/>
    </row>
    <row r="659" spans="18:18" ht="15.75" customHeight="1">
      <c r="R659" s="30"/>
    </row>
    <row r="660" spans="18:18" ht="15.75" customHeight="1">
      <c r="R660" s="30"/>
    </row>
    <row r="661" spans="18:18" ht="15.75" customHeight="1">
      <c r="R661" s="30"/>
    </row>
    <row r="662" spans="18:18" ht="15.75" customHeight="1">
      <c r="R662" s="30"/>
    </row>
    <row r="663" spans="18:18" ht="15.75" customHeight="1">
      <c r="R663" s="30"/>
    </row>
    <row r="664" spans="18:18" ht="15.75" customHeight="1">
      <c r="R664" s="30"/>
    </row>
    <row r="665" spans="18:18" ht="15.75" customHeight="1">
      <c r="R665" s="30"/>
    </row>
    <row r="666" spans="18:18" ht="15.75" customHeight="1">
      <c r="R666" s="30"/>
    </row>
    <row r="667" spans="18:18" ht="15.75" customHeight="1">
      <c r="R667" s="30"/>
    </row>
    <row r="668" spans="18:18" ht="15.75" customHeight="1">
      <c r="R668" s="30"/>
    </row>
    <row r="669" spans="18:18" ht="15.75" customHeight="1">
      <c r="R669" s="30"/>
    </row>
    <row r="670" spans="18:18" ht="15.75" customHeight="1">
      <c r="R670" s="30"/>
    </row>
    <row r="671" spans="18:18" ht="15.75" customHeight="1">
      <c r="R671" s="30"/>
    </row>
    <row r="672" spans="18:18" ht="15.75" customHeight="1">
      <c r="R672" s="30"/>
    </row>
    <row r="673" spans="18:18" ht="15.75" customHeight="1">
      <c r="R673" s="30"/>
    </row>
    <row r="674" spans="18:18" ht="15.75" customHeight="1">
      <c r="R674" s="30"/>
    </row>
    <row r="675" spans="18:18" ht="15.75" customHeight="1">
      <c r="R675" s="30"/>
    </row>
    <row r="676" spans="18:18" ht="15.75" customHeight="1">
      <c r="R676" s="30"/>
    </row>
    <row r="677" spans="18:18" ht="15.75" customHeight="1">
      <c r="R677" s="30"/>
    </row>
    <row r="678" spans="18:18" ht="15.75" customHeight="1">
      <c r="R678" s="30"/>
    </row>
    <row r="679" spans="18:18" ht="15.75" customHeight="1">
      <c r="R679" s="30"/>
    </row>
    <row r="680" spans="18:18" ht="15.75" customHeight="1">
      <c r="R680" s="30"/>
    </row>
    <row r="681" spans="18:18" ht="15.75" customHeight="1">
      <c r="R681" s="30"/>
    </row>
    <row r="682" spans="18:18" ht="15.75" customHeight="1">
      <c r="R682" s="30"/>
    </row>
    <row r="683" spans="18:18" ht="15.75" customHeight="1">
      <c r="R683" s="30"/>
    </row>
    <row r="684" spans="18:18" ht="15.75" customHeight="1">
      <c r="R684" s="30"/>
    </row>
    <row r="685" spans="18:18" ht="15.75" customHeight="1">
      <c r="R685" s="30"/>
    </row>
    <row r="686" spans="18:18" ht="15.75" customHeight="1">
      <c r="R686" s="30"/>
    </row>
    <row r="687" spans="18:18" ht="15.75" customHeight="1">
      <c r="R687" s="30"/>
    </row>
    <row r="688" spans="18:18" ht="15.75" customHeight="1">
      <c r="R688" s="30"/>
    </row>
    <row r="689" spans="18:18" ht="15.75" customHeight="1">
      <c r="R689" s="30"/>
    </row>
    <row r="690" spans="18:18" ht="15.75" customHeight="1">
      <c r="R690" s="30"/>
    </row>
    <row r="691" spans="18:18" ht="15.75" customHeight="1">
      <c r="R691" s="30"/>
    </row>
    <row r="692" spans="18:18" ht="15.75" customHeight="1">
      <c r="R692" s="30"/>
    </row>
    <row r="693" spans="18:18" ht="15.75" customHeight="1">
      <c r="R693" s="30"/>
    </row>
    <row r="694" spans="18:18" ht="15.75" customHeight="1">
      <c r="R694" s="30"/>
    </row>
    <row r="695" spans="18:18" ht="15.75" customHeight="1">
      <c r="R695" s="30"/>
    </row>
    <row r="696" spans="18:18" ht="15.75" customHeight="1">
      <c r="R696" s="30"/>
    </row>
    <row r="697" spans="18:18" ht="15.75" customHeight="1">
      <c r="R697" s="30"/>
    </row>
    <row r="698" spans="18:18" ht="15.75" customHeight="1">
      <c r="R698" s="30"/>
    </row>
    <row r="699" spans="18:18" ht="15.75" customHeight="1">
      <c r="R699" s="30"/>
    </row>
    <row r="700" spans="18:18" ht="15.75" customHeight="1">
      <c r="R700" s="30"/>
    </row>
    <row r="701" spans="18:18" ht="15.75" customHeight="1">
      <c r="R701" s="30"/>
    </row>
    <row r="702" spans="18:18" ht="15.75" customHeight="1">
      <c r="R702" s="30"/>
    </row>
    <row r="703" spans="18:18" ht="15.75" customHeight="1">
      <c r="R703" s="30"/>
    </row>
    <row r="704" spans="18:18" ht="15.75" customHeight="1">
      <c r="R704" s="30"/>
    </row>
    <row r="705" spans="18:18" ht="15.75" customHeight="1">
      <c r="R705" s="30"/>
    </row>
    <row r="706" spans="18:18" ht="15.75" customHeight="1">
      <c r="R706" s="30"/>
    </row>
    <row r="707" spans="18:18" ht="15.75" customHeight="1">
      <c r="R707" s="30"/>
    </row>
    <row r="708" spans="18:18" ht="15.75" customHeight="1">
      <c r="R708" s="30"/>
    </row>
    <row r="709" spans="18:18" ht="15.75" customHeight="1">
      <c r="R709" s="30"/>
    </row>
    <row r="710" spans="18:18" ht="15.75" customHeight="1">
      <c r="R710" s="30"/>
    </row>
    <row r="711" spans="18:18" ht="15.75" customHeight="1">
      <c r="R711" s="30"/>
    </row>
    <row r="712" spans="18:18" ht="15.75" customHeight="1">
      <c r="R712" s="30"/>
    </row>
    <row r="713" spans="18:18" ht="15.75" customHeight="1">
      <c r="R713" s="30"/>
    </row>
    <row r="714" spans="18:18" ht="15.75" customHeight="1">
      <c r="R714" s="30"/>
    </row>
    <row r="715" spans="18:18" ht="15.75" customHeight="1">
      <c r="R715" s="30"/>
    </row>
    <row r="716" spans="18:18" ht="15.75" customHeight="1">
      <c r="R716" s="30"/>
    </row>
    <row r="717" spans="18:18" ht="15.75" customHeight="1">
      <c r="R717" s="30"/>
    </row>
    <row r="718" spans="18:18" ht="15.75" customHeight="1">
      <c r="R718" s="30"/>
    </row>
    <row r="719" spans="18:18" ht="15.75" customHeight="1">
      <c r="R719" s="30"/>
    </row>
    <row r="720" spans="18:18" ht="15.75" customHeight="1">
      <c r="R720" s="30"/>
    </row>
    <row r="721" spans="18:18" ht="15.75" customHeight="1">
      <c r="R721" s="30"/>
    </row>
    <row r="722" spans="18:18" ht="15.75" customHeight="1">
      <c r="R722" s="30"/>
    </row>
    <row r="723" spans="18:18" ht="15.75" customHeight="1">
      <c r="R723" s="30"/>
    </row>
    <row r="724" spans="18:18" ht="15.75" customHeight="1">
      <c r="R724" s="30"/>
    </row>
    <row r="725" spans="18:18" ht="15.75" customHeight="1">
      <c r="R725" s="30"/>
    </row>
    <row r="726" spans="18:18" ht="15.75" customHeight="1">
      <c r="R726" s="30"/>
    </row>
    <row r="727" spans="18:18" ht="15.75" customHeight="1">
      <c r="R727" s="30"/>
    </row>
    <row r="728" spans="18:18" ht="15.75" customHeight="1">
      <c r="R728" s="30"/>
    </row>
    <row r="729" spans="18:18" ht="15.75" customHeight="1">
      <c r="R729" s="30"/>
    </row>
    <row r="730" spans="18:18" ht="15.75" customHeight="1">
      <c r="R730" s="30"/>
    </row>
    <row r="731" spans="18:18" ht="15.75" customHeight="1">
      <c r="R731" s="30"/>
    </row>
    <row r="732" spans="18:18" ht="15.75" customHeight="1">
      <c r="R732" s="30"/>
    </row>
    <row r="733" spans="18:18" ht="15.75" customHeight="1">
      <c r="R733" s="30"/>
    </row>
    <row r="734" spans="18:18" ht="15.75" customHeight="1">
      <c r="R734" s="30"/>
    </row>
    <row r="735" spans="18:18" ht="15.75" customHeight="1">
      <c r="R735" s="30"/>
    </row>
    <row r="736" spans="18:18" ht="15.75" customHeight="1">
      <c r="R736" s="30"/>
    </row>
    <row r="737" spans="18:18" ht="15.75" customHeight="1">
      <c r="R737" s="30"/>
    </row>
    <row r="738" spans="18:18" ht="15.75" customHeight="1">
      <c r="R738" s="30"/>
    </row>
    <row r="739" spans="18:18" ht="15.75" customHeight="1">
      <c r="R739" s="30"/>
    </row>
    <row r="740" spans="18:18" ht="15.75" customHeight="1">
      <c r="R740" s="30"/>
    </row>
    <row r="741" spans="18:18" ht="15.75" customHeight="1">
      <c r="R741" s="30"/>
    </row>
    <row r="742" spans="18:18" ht="15.75" customHeight="1">
      <c r="R742" s="30"/>
    </row>
    <row r="743" spans="18:18" ht="15.75" customHeight="1">
      <c r="R743" s="30"/>
    </row>
    <row r="744" spans="18:18" ht="15.75" customHeight="1">
      <c r="R744" s="30"/>
    </row>
    <row r="745" spans="18:18" ht="15.75" customHeight="1">
      <c r="R745" s="30"/>
    </row>
    <row r="746" spans="18:18" ht="15.75" customHeight="1">
      <c r="R746" s="30"/>
    </row>
    <row r="747" spans="18:18" ht="15.75" customHeight="1">
      <c r="R747" s="30"/>
    </row>
    <row r="748" spans="18:18" ht="15.75" customHeight="1">
      <c r="R748" s="30"/>
    </row>
    <row r="749" spans="18:18" ht="15.75" customHeight="1">
      <c r="R749" s="30"/>
    </row>
    <row r="750" spans="18:18" ht="15.75" customHeight="1">
      <c r="R750" s="30"/>
    </row>
    <row r="751" spans="18:18" ht="15.75" customHeight="1">
      <c r="R751" s="30"/>
    </row>
    <row r="752" spans="18:18" ht="15.75" customHeight="1">
      <c r="R752" s="30"/>
    </row>
    <row r="753" spans="18:18" ht="15.75" customHeight="1">
      <c r="R753" s="30"/>
    </row>
    <row r="754" spans="18:18" ht="15.75" customHeight="1">
      <c r="R754" s="30"/>
    </row>
    <row r="755" spans="18:18" ht="15.75" customHeight="1">
      <c r="R755" s="30"/>
    </row>
    <row r="756" spans="18:18" ht="15.75" customHeight="1">
      <c r="R756" s="30"/>
    </row>
    <row r="757" spans="18:18" ht="15.75" customHeight="1">
      <c r="R757" s="30"/>
    </row>
    <row r="758" spans="18:18" ht="15.75" customHeight="1">
      <c r="R758" s="30"/>
    </row>
    <row r="759" spans="18:18" ht="15.75" customHeight="1">
      <c r="R759" s="30"/>
    </row>
    <row r="760" spans="18:18" ht="15.75" customHeight="1">
      <c r="R760" s="30"/>
    </row>
    <row r="761" spans="18:18" ht="15.75" customHeight="1">
      <c r="R761" s="30"/>
    </row>
    <row r="762" spans="18:18" ht="15.75" customHeight="1">
      <c r="R762" s="30"/>
    </row>
    <row r="763" spans="18:18" ht="15.75" customHeight="1">
      <c r="R763" s="30"/>
    </row>
    <row r="764" spans="18:18" ht="15.75" customHeight="1">
      <c r="R764" s="30"/>
    </row>
    <row r="765" spans="18:18" ht="15.75" customHeight="1">
      <c r="R765" s="30"/>
    </row>
    <row r="766" spans="18:18" ht="15.75" customHeight="1">
      <c r="R766" s="30"/>
    </row>
    <row r="767" spans="18:18" ht="15.75" customHeight="1">
      <c r="R767" s="30"/>
    </row>
    <row r="768" spans="18:18" ht="15.75" customHeight="1">
      <c r="R768" s="30"/>
    </row>
    <row r="769" spans="18:18" ht="15.75" customHeight="1">
      <c r="R769" s="30"/>
    </row>
    <row r="770" spans="18:18" ht="15.75" customHeight="1">
      <c r="R770" s="30"/>
    </row>
    <row r="771" spans="18:18" ht="15.75" customHeight="1">
      <c r="R771" s="30"/>
    </row>
    <row r="772" spans="18:18" ht="15.75" customHeight="1">
      <c r="R772" s="30"/>
    </row>
    <row r="773" spans="18:18" ht="15.75" customHeight="1">
      <c r="R773" s="30"/>
    </row>
    <row r="774" spans="18:18" ht="15.75" customHeight="1">
      <c r="R774" s="30"/>
    </row>
    <row r="775" spans="18:18" ht="15.75" customHeight="1">
      <c r="R775" s="30"/>
    </row>
    <row r="776" spans="18:18" ht="15.75" customHeight="1">
      <c r="R776" s="30"/>
    </row>
    <row r="777" spans="18:18" ht="15.75" customHeight="1">
      <c r="R777" s="30"/>
    </row>
    <row r="778" spans="18:18" ht="15.75" customHeight="1">
      <c r="R778" s="30"/>
    </row>
    <row r="779" spans="18:18" ht="15.75" customHeight="1">
      <c r="R779" s="30"/>
    </row>
    <row r="780" spans="18:18" ht="15.75" customHeight="1">
      <c r="R780" s="30"/>
    </row>
    <row r="781" spans="18:18" ht="15.75" customHeight="1">
      <c r="R781" s="30"/>
    </row>
    <row r="782" spans="18:18" ht="15.75" customHeight="1">
      <c r="R782" s="30"/>
    </row>
    <row r="783" spans="18:18" ht="15.75" customHeight="1">
      <c r="R783" s="30"/>
    </row>
    <row r="784" spans="18:18" ht="15.75" customHeight="1">
      <c r="R784" s="30"/>
    </row>
    <row r="785" spans="18:18" ht="15.75" customHeight="1">
      <c r="R785" s="30"/>
    </row>
    <row r="786" spans="18:18" ht="15.75" customHeight="1">
      <c r="R786" s="30"/>
    </row>
    <row r="787" spans="18:18" ht="15.75" customHeight="1">
      <c r="R787" s="30"/>
    </row>
    <row r="788" spans="18:18" ht="15.75" customHeight="1">
      <c r="R788" s="30"/>
    </row>
    <row r="789" spans="18:18" ht="15.75" customHeight="1">
      <c r="R789" s="30"/>
    </row>
    <row r="790" spans="18:18" ht="15.75" customHeight="1">
      <c r="R790" s="30"/>
    </row>
    <row r="791" spans="18:18" ht="15.75" customHeight="1">
      <c r="R791" s="30"/>
    </row>
    <row r="792" spans="18:18" ht="15.75" customHeight="1">
      <c r="R792" s="30"/>
    </row>
    <row r="793" spans="18:18" ht="15.75" customHeight="1">
      <c r="R793" s="30"/>
    </row>
    <row r="794" spans="18:18" ht="15.75" customHeight="1">
      <c r="R794" s="30"/>
    </row>
    <row r="795" spans="18:18" ht="15.75" customHeight="1">
      <c r="R795" s="30"/>
    </row>
    <row r="796" spans="18:18" ht="15.75" customHeight="1">
      <c r="R796" s="30"/>
    </row>
    <row r="797" spans="18:18" ht="15.75" customHeight="1">
      <c r="R797" s="30"/>
    </row>
    <row r="798" spans="18:18" ht="15.75" customHeight="1">
      <c r="R798" s="30"/>
    </row>
    <row r="799" spans="18:18" ht="15.75" customHeight="1">
      <c r="R799" s="30"/>
    </row>
    <row r="800" spans="18:18" ht="15.75" customHeight="1">
      <c r="R800" s="30"/>
    </row>
    <row r="801" spans="18:18" ht="15.75" customHeight="1">
      <c r="R801" s="30"/>
    </row>
    <row r="802" spans="18:18" ht="15.75" customHeight="1">
      <c r="R802" s="30"/>
    </row>
    <row r="803" spans="18:18" ht="15.75" customHeight="1">
      <c r="R803" s="30"/>
    </row>
    <row r="804" spans="18:18" ht="15.75" customHeight="1">
      <c r="R804" s="30"/>
    </row>
    <row r="805" spans="18:18" ht="15.75" customHeight="1">
      <c r="R805" s="30"/>
    </row>
    <row r="806" spans="18:18" ht="15.75" customHeight="1">
      <c r="R806" s="30"/>
    </row>
    <row r="807" spans="18:18" ht="15.75" customHeight="1">
      <c r="R807" s="30"/>
    </row>
    <row r="808" spans="18:18" ht="15.75" customHeight="1">
      <c r="R808" s="30"/>
    </row>
    <row r="809" spans="18:18" ht="15.75" customHeight="1">
      <c r="R809" s="30"/>
    </row>
    <row r="810" spans="18:18" ht="15.75" customHeight="1">
      <c r="R810" s="30"/>
    </row>
    <row r="811" spans="18:18" ht="15.75" customHeight="1">
      <c r="R811" s="30"/>
    </row>
    <row r="812" spans="18:18" ht="15.75" customHeight="1">
      <c r="R812" s="30"/>
    </row>
    <row r="813" spans="18:18" ht="15.75" customHeight="1">
      <c r="R813" s="30"/>
    </row>
    <row r="814" spans="18:18" ht="15.75" customHeight="1">
      <c r="R814" s="30"/>
    </row>
    <row r="815" spans="18:18" ht="15.75" customHeight="1">
      <c r="R815" s="30"/>
    </row>
    <row r="816" spans="18:18" ht="15.75" customHeight="1">
      <c r="R816" s="30"/>
    </row>
    <row r="817" spans="18:18" ht="15.75" customHeight="1">
      <c r="R817" s="30"/>
    </row>
    <row r="818" spans="18:18" ht="15.75" customHeight="1">
      <c r="R818" s="30"/>
    </row>
    <row r="819" spans="18:18" ht="15.75" customHeight="1">
      <c r="R819" s="30"/>
    </row>
    <row r="820" spans="18:18" ht="15.75" customHeight="1">
      <c r="R820" s="30"/>
    </row>
    <row r="821" spans="18:18" ht="15.75" customHeight="1">
      <c r="R821" s="30"/>
    </row>
    <row r="822" spans="18:18" ht="15.75" customHeight="1">
      <c r="R822" s="30"/>
    </row>
    <row r="823" spans="18:18" ht="15.75" customHeight="1">
      <c r="R823" s="30"/>
    </row>
    <row r="824" spans="18:18" ht="15.75" customHeight="1">
      <c r="R824" s="30"/>
    </row>
    <row r="825" spans="18:18" ht="15.75" customHeight="1">
      <c r="R825" s="30"/>
    </row>
    <row r="826" spans="18:18" ht="15.75" customHeight="1">
      <c r="R826" s="30"/>
    </row>
    <row r="827" spans="18:18" ht="15.75" customHeight="1">
      <c r="R827" s="30"/>
    </row>
    <row r="828" spans="18:18" ht="15.75" customHeight="1">
      <c r="R828" s="30"/>
    </row>
    <row r="829" spans="18:18" ht="15.75" customHeight="1">
      <c r="R829" s="30"/>
    </row>
    <row r="830" spans="18:18" ht="15.75" customHeight="1">
      <c r="R830" s="30"/>
    </row>
    <row r="831" spans="18:18" ht="15.75" customHeight="1">
      <c r="R831" s="30"/>
    </row>
    <row r="832" spans="18:18" ht="15.75" customHeight="1">
      <c r="R832" s="30"/>
    </row>
    <row r="833" spans="18:18" ht="15.75" customHeight="1">
      <c r="R833" s="30"/>
    </row>
    <row r="834" spans="18:18" ht="15.75" customHeight="1">
      <c r="R834" s="30"/>
    </row>
    <row r="835" spans="18:18" ht="15.75" customHeight="1">
      <c r="R835" s="30"/>
    </row>
    <row r="836" spans="18:18" ht="15.75" customHeight="1">
      <c r="R836" s="30"/>
    </row>
    <row r="837" spans="18:18" ht="15.75" customHeight="1">
      <c r="R837" s="30"/>
    </row>
    <row r="838" spans="18:18" ht="15.75" customHeight="1">
      <c r="R838" s="30"/>
    </row>
    <row r="839" spans="18:18" ht="15.75" customHeight="1">
      <c r="R839" s="30"/>
    </row>
    <row r="840" spans="18:18" ht="15.75" customHeight="1">
      <c r="R840" s="30"/>
    </row>
    <row r="841" spans="18:18" ht="15.75" customHeight="1">
      <c r="R841" s="30"/>
    </row>
    <row r="842" spans="18:18" ht="15.75" customHeight="1">
      <c r="R842" s="30"/>
    </row>
    <row r="843" spans="18:18" ht="15.75" customHeight="1">
      <c r="R843" s="30"/>
    </row>
    <row r="844" spans="18:18" ht="15.75" customHeight="1">
      <c r="R844" s="30"/>
    </row>
    <row r="845" spans="18:18" ht="15.75" customHeight="1">
      <c r="R845" s="30"/>
    </row>
    <row r="846" spans="18:18" ht="15.75" customHeight="1">
      <c r="R846" s="30"/>
    </row>
    <row r="847" spans="18:18" ht="15.75" customHeight="1">
      <c r="R847" s="30"/>
    </row>
    <row r="848" spans="18:18" ht="15.75" customHeight="1">
      <c r="R848" s="30"/>
    </row>
    <row r="849" spans="18:18" ht="15.75" customHeight="1">
      <c r="R849" s="30"/>
    </row>
    <row r="850" spans="18:18" ht="15.75" customHeight="1">
      <c r="R850" s="30"/>
    </row>
    <row r="851" spans="18:18" ht="15.75" customHeight="1">
      <c r="R851" s="30"/>
    </row>
    <row r="852" spans="18:18" ht="15.75" customHeight="1">
      <c r="R852" s="30"/>
    </row>
    <row r="853" spans="18:18" ht="15.75" customHeight="1">
      <c r="R853" s="30"/>
    </row>
    <row r="854" spans="18:18" ht="15.75" customHeight="1">
      <c r="R854" s="30"/>
    </row>
    <row r="855" spans="18:18" ht="15.75" customHeight="1">
      <c r="R855" s="30"/>
    </row>
    <row r="856" spans="18:18" ht="15.75" customHeight="1">
      <c r="R856" s="30"/>
    </row>
    <row r="857" spans="18:18" ht="15.75" customHeight="1">
      <c r="R857" s="30"/>
    </row>
    <row r="858" spans="18:18" ht="15.75" customHeight="1">
      <c r="R858" s="30"/>
    </row>
    <row r="859" spans="18:18" ht="15.75" customHeight="1">
      <c r="R859" s="30"/>
    </row>
    <row r="860" spans="18:18" ht="15.75" customHeight="1">
      <c r="R860" s="30"/>
    </row>
    <row r="861" spans="18:18" ht="15.75" customHeight="1">
      <c r="R861" s="30"/>
    </row>
    <row r="862" spans="18:18" ht="15.75" customHeight="1">
      <c r="R862" s="30"/>
    </row>
    <row r="863" spans="18:18" ht="15.75" customHeight="1">
      <c r="R863" s="30"/>
    </row>
    <row r="864" spans="18:18" ht="15.75" customHeight="1">
      <c r="R864" s="30"/>
    </row>
    <row r="865" spans="18:18" ht="15.75" customHeight="1">
      <c r="R865" s="30"/>
    </row>
    <row r="866" spans="18:18" ht="15.75" customHeight="1">
      <c r="R866" s="30"/>
    </row>
    <row r="867" spans="18:18" ht="15.75" customHeight="1">
      <c r="R867" s="30"/>
    </row>
    <row r="868" spans="18:18" ht="15.75" customHeight="1">
      <c r="R868" s="30"/>
    </row>
    <row r="869" spans="18:18" ht="15.75" customHeight="1">
      <c r="R869" s="30"/>
    </row>
    <row r="870" spans="18:18" ht="15.75" customHeight="1">
      <c r="R870" s="30"/>
    </row>
    <row r="871" spans="18:18" ht="15.75" customHeight="1">
      <c r="R871" s="30"/>
    </row>
    <row r="872" spans="18:18" ht="15.75" customHeight="1">
      <c r="R872" s="30"/>
    </row>
    <row r="873" spans="18:18" ht="15.75" customHeight="1">
      <c r="R873" s="30"/>
    </row>
    <row r="874" spans="18:18" ht="15.75" customHeight="1">
      <c r="R874" s="30"/>
    </row>
    <row r="875" spans="18:18" ht="15.75" customHeight="1">
      <c r="R875" s="30"/>
    </row>
    <row r="876" spans="18:18" ht="15.75" customHeight="1">
      <c r="R876" s="30"/>
    </row>
    <row r="877" spans="18:18" ht="15.75" customHeight="1">
      <c r="R877" s="30"/>
    </row>
    <row r="878" spans="18:18" ht="15.75" customHeight="1">
      <c r="R878" s="30"/>
    </row>
    <row r="879" spans="18:18" ht="15.75" customHeight="1">
      <c r="R879" s="30"/>
    </row>
    <row r="880" spans="18:18" ht="15.75" customHeight="1">
      <c r="R880" s="30"/>
    </row>
    <row r="881" spans="18:18" ht="15.75" customHeight="1">
      <c r="R881" s="30"/>
    </row>
    <row r="882" spans="18:18" ht="15.75" customHeight="1">
      <c r="R882" s="30"/>
    </row>
    <row r="883" spans="18:18" ht="15.75" customHeight="1">
      <c r="R883" s="30"/>
    </row>
    <row r="884" spans="18:18" ht="15.75" customHeight="1">
      <c r="R884" s="30"/>
    </row>
    <row r="885" spans="18:18" ht="15.75" customHeight="1">
      <c r="R885" s="30"/>
    </row>
    <row r="886" spans="18:18" ht="15.75" customHeight="1">
      <c r="R886" s="30"/>
    </row>
    <row r="887" spans="18:18" ht="15.75" customHeight="1">
      <c r="R887" s="30"/>
    </row>
    <row r="888" spans="18:18" ht="15.75" customHeight="1">
      <c r="R888" s="30"/>
    </row>
    <row r="889" spans="18:18" ht="15.75" customHeight="1">
      <c r="R889" s="30"/>
    </row>
    <row r="890" spans="18:18" ht="15.75" customHeight="1">
      <c r="R890" s="30"/>
    </row>
    <row r="891" spans="18:18" ht="15.75" customHeight="1">
      <c r="R891" s="30"/>
    </row>
    <row r="892" spans="18:18" ht="15.75" customHeight="1">
      <c r="R892" s="30"/>
    </row>
    <row r="893" spans="18:18" ht="15.75" customHeight="1">
      <c r="R893" s="30"/>
    </row>
    <row r="894" spans="18:18" ht="15.75" customHeight="1">
      <c r="R894" s="30"/>
    </row>
    <row r="895" spans="18:18" ht="15.75" customHeight="1">
      <c r="R895" s="30"/>
    </row>
    <row r="896" spans="18:18" ht="15.75" customHeight="1">
      <c r="R896" s="30"/>
    </row>
    <row r="897" spans="18:18" ht="15.75" customHeight="1">
      <c r="R897" s="30"/>
    </row>
    <row r="898" spans="18:18" ht="15.75" customHeight="1">
      <c r="R898" s="30"/>
    </row>
    <row r="899" spans="18:18" ht="15.75" customHeight="1">
      <c r="R899" s="30"/>
    </row>
    <row r="900" spans="18:18" ht="15.75" customHeight="1">
      <c r="R900" s="30"/>
    </row>
    <row r="901" spans="18:18" ht="15.75" customHeight="1">
      <c r="R901" s="30"/>
    </row>
    <row r="902" spans="18:18" ht="15.75" customHeight="1">
      <c r="R902" s="30"/>
    </row>
    <row r="903" spans="18:18" ht="15.75" customHeight="1">
      <c r="R903" s="30"/>
    </row>
    <row r="904" spans="18:18" ht="15.75" customHeight="1">
      <c r="R904" s="30"/>
    </row>
    <row r="905" spans="18:18" ht="15.75" customHeight="1">
      <c r="R905" s="30"/>
    </row>
    <row r="906" spans="18:18" ht="15.75" customHeight="1">
      <c r="R906" s="30"/>
    </row>
    <row r="907" spans="18:18" ht="15.75" customHeight="1">
      <c r="R907" s="30"/>
    </row>
    <row r="908" spans="18:18" ht="15.75" customHeight="1">
      <c r="R908" s="30"/>
    </row>
    <row r="909" spans="18:18" ht="15.75" customHeight="1">
      <c r="R909" s="30"/>
    </row>
    <row r="910" spans="18:18" ht="15.75" customHeight="1">
      <c r="R910" s="30"/>
    </row>
    <row r="911" spans="18:18" ht="15.75" customHeight="1">
      <c r="R911" s="30"/>
    </row>
    <row r="912" spans="18:18" ht="15.75" customHeight="1">
      <c r="R912" s="30"/>
    </row>
    <row r="913" spans="18:18" ht="15.75" customHeight="1">
      <c r="R913" s="30"/>
    </row>
    <row r="914" spans="18:18" ht="15.75" customHeight="1">
      <c r="R914" s="30"/>
    </row>
    <row r="915" spans="18:18" ht="15.75" customHeight="1">
      <c r="R915" s="30"/>
    </row>
    <row r="916" spans="18:18" ht="15.75" customHeight="1">
      <c r="R916" s="30"/>
    </row>
    <row r="917" spans="18:18" ht="15.75" customHeight="1">
      <c r="R917" s="30"/>
    </row>
    <row r="918" spans="18:18" ht="15.75" customHeight="1">
      <c r="R918" s="30"/>
    </row>
    <row r="919" spans="18:18" ht="15.75" customHeight="1">
      <c r="R919" s="30"/>
    </row>
    <row r="920" spans="18:18" ht="15.75" customHeight="1">
      <c r="R920" s="30"/>
    </row>
    <row r="921" spans="18:18" ht="15.75" customHeight="1">
      <c r="R921" s="30"/>
    </row>
    <row r="922" spans="18:18" ht="15.75" customHeight="1">
      <c r="R922" s="30"/>
    </row>
    <row r="923" spans="18:18" ht="15.75" customHeight="1">
      <c r="R923" s="30"/>
    </row>
    <row r="924" spans="18:18" ht="15.75" customHeight="1">
      <c r="R924" s="30"/>
    </row>
    <row r="925" spans="18:18" ht="15.75" customHeight="1">
      <c r="R925" s="30"/>
    </row>
    <row r="926" spans="18:18" ht="15.75" customHeight="1">
      <c r="R926" s="30"/>
    </row>
    <row r="927" spans="18:18" ht="15.75" customHeight="1">
      <c r="R927" s="30"/>
    </row>
    <row r="928" spans="18:18" ht="15.75" customHeight="1">
      <c r="R928" s="30"/>
    </row>
    <row r="929" spans="18:18" ht="15.75" customHeight="1">
      <c r="R929" s="30"/>
    </row>
    <row r="930" spans="18:18" ht="15.75" customHeight="1">
      <c r="R930" s="30"/>
    </row>
    <row r="931" spans="18:18" ht="15.75" customHeight="1">
      <c r="R931" s="30"/>
    </row>
    <row r="932" spans="18:18" ht="15.75" customHeight="1">
      <c r="R932" s="30"/>
    </row>
    <row r="933" spans="18:18" ht="15.75" customHeight="1">
      <c r="R933" s="30"/>
    </row>
    <row r="934" spans="18:18" ht="15.75" customHeight="1">
      <c r="R934" s="30"/>
    </row>
    <row r="935" spans="18:18" ht="15.75" customHeight="1">
      <c r="R935" s="30"/>
    </row>
    <row r="936" spans="18:18" ht="15.75" customHeight="1">
      <c r="R936" s="30"/>
    </row>
    <row r="937" spans="18:18" ht="15.75" customHeight="1">
      <c r="R937" s="30"/>
    </row>
    <row r="938" spans="18:18" ht="15.75" customHeight="1">
      <c r="R938" s="30"/>
    </row>
    <row r="939" spans="18:18" ht="15.75" customHeight="1">
      <c r="R939" s="30"/>
    </row>
    <row r="940" spans="18:18" ht="15.75" customHeight="1">
      <c r="R940" s="30"/>
    </row>
    <row r="941" spans="18:18" ht="15.75" customHeight="1">
      <c r="R941" s="30"/>
    </row>
    <row r="942" spans="18:18" ht="15.75" customHeight="1">
      <c r="R942" s="30"/>
    </row>
    <row r="943" spans="18:18" ht="15.75" customHeight="1">
      <c r="R943" s="30"/>
    </row>
    <row r="944" spans="18:18" ht="15.75" customHeight="1">
      <c r="R944" s="30"/>
    </row>
    <row r="945" spans="18:18" ht="15.75" customHeight="1">
      <c r="R945" s="30"/>
    </row>
    <row r="946" spans="18:18" ht="15.75" customHeight="1">
      <c r="R946" s="30"/>
    </row>
    <row r="947" spans="18:18" ht="15.75" customHeight="1">
      <c r="R947" s="30"/>
    </row>
    <row r="948" spans="18:18" ht="15.75" customHeight="1">
      <c r="R948" s="30"/>
    </row>
    <row r="949" spans="18:18" ht="15.75" customHeight="1">
      <c r="R949" s="30"/>
    </row>
    <row r="950" spans="18:18" ht="15.75" customHeight="1">
      <c r="R950" s="30"/>
    </row>
    <row r="951" spans="18:18" ht="15.75" customHeight="1">
      <c r="R951" s="30"/>
    </row>
    <row r="952" spans="18:18" ht="15.75" customHeight="1">
      <c r="R952" s="30"/>
    </row>
    <row r="953" spans="18:18" ht="15.75" customHeight="1">
      <c r="R953" s="30"/>
    </row>
    <row r="954" spans="18:18" ht="15.75" customHeight="1">
      <c r="R954" s="30"/>
    </row>
    <row r="955" spans="18:18" ht="15.75" customHeight="1">
      <c r="R955" s="30"/>
    </row>
    <row r="956" spans="18:18" ht="15.75" customHeight="1">
      <c r="R956" s="30"/>
    </row>
    <row r="957" spans="18:18" ht="15.75" customHeight="1">
      <c r="R957" s="30"/>
    </row>
    <row r="958" spans="18:18" ht="15.75" customHeight="1">
      <c r="R958" s="30"/>
    </row>
    <row r="959" spans="18:18" ht="15.75" customHeight="1">
      <c r="R959" s="30"/>
    </row>
    <row r="960" spans="18:18" ht="15.75" customHeight="1">
      <c r="R960" s="30"/>
    </row>
    <row r="961" spans="18:18" ht="15.75" customHeight="1">
      <c r="R961" s="30"/>
    </row>
    <row r="962" spans="18:18" ht="15.75" customHeight="1">
      <c r="R962" s="30"/>
    </row>
    <row r="963" spans="18:18" ht="15.75" customHeight="1">
      <c r="R963" s="30"/>
    </row>
    <row r="964" spans="18:18" ht="15.75" customHeight="1">
      <c r="R964" s="30"/>
    </row>
    <row r="965" spans="18:18" ht="15.75" customHeight="1">
      <c r="R965" s="30"/>
    </row>
    <row r="966" spans="18:18" ht="15.75" customHeight="1">
      <c r="R966" s="30"/>
    </row>
    <row r="967" spans="18:18" ht="15.75" customHeight="1">
      <c r="R967" s="30"/>
    </row>
    <row r="968" spans="18:18" ht="15.75" customHeight="1">
      <c r="R968" s="30"/>
    </row>
    <row r="969" spans="18:18" ht="15.75" customHeight="1">
      <c r="R969" s="30"/>
    </row>
    <row r="970" spans="18:18" ht="15.75" customHeight="1">
      <c r="R970" s="30"/>
    </row>
    <row r="971" spans="18:18" ht="15.75" customHeight="1">
      <c r="R971" s="30"/>
    </row>
    <row r="972" spans="18:18" ht="15.75" customHeight="1">
      <c r="R972" s="30"/>
    </row>
    <row r="973" spans="18:18" ht="15.75" customHeight="1">
      <c r="R973" s="30"/>
    </row>
    <row r="974" spans="18:18" ht="15.75" customHeight="1">
      <c r="R974" s="30"/>
    </row>
    <row r="975" spans="18:18" ht="15.75" customHeight="1">
      <c r="R975" s="30"/>
    </row>
    <row r="976" spans="18:18" ht="15.75" customHeight="1">
      <c r="R976" s="30"/>
    </row>
    <row r="977" spans="18:18" ht="15.75" customHeight="1">
      <c r="R977" s="30"/>
    </row>
    <row r="978" spans="18:18" ht="15.75" customHeight="1">
      <c r="R978" s="30"/>
    </row>
    <row r="979" spans="18:18" ht="15.75" customHeight="1">
      <c r="R979" s="30"/>
    </row>
    <row r="980" spans="18:18" ht="15.75" customHeight="1">
      <c r="R980" s="30"/>
    </row>
    <row r="981" spans="18:18" ht="15.75" customHeight="1">
      <c r="R981" s="30"/>
    </row>
    <row r="982" spans="18:18" ht="15.75" customHeight="1">
      <c r="R982" s="30"/>
    </row>
    <row r="983" spans="18:18" ht="15.75" customHeight="1">
      <c r="R983" s="30"/>
    </row>
    <row r="984" spans="18:18" ht="15.75" customHeight="1">
      <c r="R984" s="30"/>
    </row>
    <row r="985" spans="18:18" ht="15.75" customHeight="1">
      <c r="R985" s="30"/>
    </row>
    <row r="986" spans="18:18" ht="15.75" customHeight="1">
      <c r="R986" s="30"/>
    </row>
    <row r="987" spans="18:18" ht="15.75" customHeight="1">
      <c r="R987" s="30"/>
    </row>
    <row r="988" spans="18:18" ht="15.75" customHeight="1">
      <c r="R988" s="30"/>
    </row>
    <row r="989" spans="18:18" ht="15.75" customHeight="1">
      <c r="R989" s="30"/>
    </row>
    <row r="990" spans="18:18" ht="15.75" customHeight="1">
      <c r="R990" s="30"/>
    </row>
    <row r="991" spans="18:18" ht="15.75" customHeight="1">
      <c r="R991" s="30"/>
    </row>
    <row r="992" spans="18:18" ht="15.75" customHeight="1">
      <c r="R992" s="30"/>
    </row>
    <row r="993" spans="18:18" ht="15.75" customHeight="1">
      <c r="R993" s="30"/>
    </row>
    <row r="994" spans="18:18" ht="15.75" customHeight="1">
      <c r="R994" s="30"/>
    </row>
    <row r="995" spans="18:18" ht="15.75" customHeight="1">
      <c r="R995" s="30"/>
    </row>
    <row r="996" spans="18:18" ht="15.75" customHeight="1">
      <c r="R996" s="30"/>
    </row>
    <row r="997" spans="18:18" ht="15.75" customHeight="1">
      <c r="R997" s="30"/>
    </row>
    <row r="998" spans="18:18" ht="15.75" customHeight="1">
      <c r="R998" s="30"/>
    </row>
    <row r="999" spans="18:18" ht="15.75" customHeight="1">
      <c r="R999" s="30"/>
    </row>
    <row r="1000" spans="18:18" ht="15.75" customHeight="1">
      <c r="R1000" s="3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2.6640625" defaultRowHeight="15" customHeight="1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8.6640625" customWidth="1"/>
    <col min="6" max="6" width="10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16.33203125" customWidth="1"/>
    <col min="16" max="16" width="10" customWidth="1"/>
    <col min="17" max="18" width="7.33203125" customWidth="1"/>
    <col min="19" max="19" width="7.1640625" customWidth="1"/>
    <col min="20" max="20" width="11.1640625" customWidth="1"/>
    <col min="21" max="21" width="28.5" customWidth="1"/>
    <col min="22" max="22" width="64.6640625" customWidth="1"/>
    <col min="23" max="24" width="7.6640625" customWidth="1"/>
    <col min="25" max="25" width="8.1640625" customWidth="1"/>
    <col min="26" max="26" width="11.1640625" customWidth="1"/>
    <col min="27" max="27" width="10.6640625" customWidth="1"/>
    <col min="28" max="28" width="9.6640625" customWidth="1"/>
    <col min="29" max="29" width="7.1640625" customWidth="1"/>
    <col min="30" max="30" width="10.83203125" customWidth="1"/>
    <col min="31" max="31" width="7.6640625" customWidth="1"/>
    <col min="32" max="32" width="10.1640625" customWidth="1"/>
    <col min="33" max="33" width="8.83203125" customWidth="1"/>
  </cols>
  <sheetData>
    <row r="1" spans="1:33" ht="18.75" customHeight="1">
      <c r="A1" s="46" t="str">
        <f ca="1">IFERROR(__xludf.DUMMYFUNCTION("IFERROR(VLOOKUP(B2,IMPORTRANGE(""https://docs.google.com/spreadsheets/d/1x0DhHglkXKoEBOD2MBsuK_EyIr1ouxD2ftIpqOYFa-k/edit?usp=sharing"",""Ubiquitty-SKU-Specific Info!B1:BJ5000""),3,FALSE),"""")"),"2 Pack of 10 Foot Outdoor Extension Cords with 3 Electrical Power Outlets - 10/3 SJTW Yellow 10 Gauge Lighted Extension Cable with 3 Prong Grounded Plug for Safety")</f>
        <v>2 Pack of 10 Foot Outdoor Extension Cords with 3 Electrical Power Outlets - 10/3 SJTW Yellow 10 Gauge Lighted Extension Cable with 3 Prong Grounded Plug for Safety</v>
      </c>
      <c r="B1" s="47"/>
      <c r="C1" s="48" t="s">
        <v>0</v>
      </c>
      <c r="D1" s="50" t="s">
        <v>1</v>
      </c>
      <c r="E1" s="50" t="s">
        <v>2</v>
      </c>
      <c r="F1" s="52" t="s">
        <v>3</v>
      </c>
      <c r="G1" s="52" t="s">
        <v>4</v>
      </c>
      <c r="H1" s="53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58" t="s">
        <v>10</v>
      </c>
      <c r="N1" s="59" t="s">
        <v>11</v>
      </c>
      <c r="O1" s="50" t="s">
        <v>12</v>
      </c>
      <c r="P1" s="50" t="s">
        <v>13</v>
      </c>
      <c r="Q1" s="57" t="s">
        <v>14</v>
      </c>
      <c r="R1" s="57" t="s">
        <v>15</v>
      </c>
      <c r="S1" s="60" t="s">
        <v>16</v>
      </c>
      <c r="T1" s="62" t="s">
        <v>2006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Info!B1:BJ5000""),2,FALSE),"""")"),"B08NFHHGY3")</f>
        <v>B08NFHHGY3</v>
      </c>
      <c r="B2" s="3" t="s">
        <v>334</v>
      </c>
      <c r="C2" s="49"/>
      <c r="D2" s="49"/>
      <c r="E2" s="51"/>
      <c r="F2" s="49"/>
      <c r="G2" s="49"/>
      <c r="H2" s="54"/>
      <c r="I2" s="49"/>
      <c r="J2" s="49"/>
      <c r="K2" s="54"/>
      <c r="L2" s="54"/>
      <c r="M2" s="54"/>
      <c r="N2" s="49"/>
      <c r="O2" s="49"/>
      <c r="P2" s="51"/>
      <c r="Q2" s="49"/>
      <c r="R2" s="49"/>
      <c r="S2" s="61"/>
      <c r="T2" s="47"/>
      <c r="U2" s="63"/>
      <c r="V2" s="63"/>
      <c r="W2" s="47"/>
      <c r="X2" s="47"/>
      <c r="Y2" s="47"/>
      <c r="Z2" s="47"/>
      <c r="AA2" s="63"/>
      <c r="AB2" s="63"/>
      <c r="AC2" s="63"/>
      <c r="AD2" s="63"/>
      <c r="AE2" s="47"/>
      <c r="AF2" s="47"/>
      <c r="AG2" s="47"/>
    </row>
    <row r="3" spans="1:33" ht="139.5" customHeight="1">
      <c r="A3" s="55" t="s">
        <v>31</v>
      </c>
      <c r="B3" s="56"/>
      <c r="C3" s="4">
        <f>((AE32+AF32)/0.85)*-1</f>
        <v>27.134092423529417</v>
      </c>
      <c r="D3" s="5">
        <f>SUM(D4:D99765)</f>
        <v>91</v>
      </c>
      <c r="E3" s="5"/>
      <c r="F3" s="6">
        <f t="shared" ref="F3:G3" si="0">SUM(F4:F99765)</f>
        <v>3104.81</v>
      </c>
      <c r="G3" s="6">
        <f t="shared" si="0"/>
        <v>-284.38</v>
      </c>
      <c r="H3" s="7">
        <f>G3/F3*-1</f>
        <v>9.1593366421777817E-2</v>
      </c>
      <c r="I3" s="8">
        <f>J3/F3</f>
        <v>6.4015096581258826E-2</v>
      </c>
      <c r="J3" s="6">
        <f>SUM(J4:J99765)</f>
        <v>198.75471201645823</v>
      </c>
      <c r="K3" s="6">
        <f>J3/D3</f>
        <v>2.184117714466574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1 - April
1 - May
1 - June
1 - July
1 - Aug
1 - Sept
1 - Oct
1 - Nov
1 - Dec
 - Jan
 - Feb")</f>
        <v xml:space="preserve"> - March
1 - April
1 - May
1 - June
1 - July
1 - Aug
1 - Sept
1 - Oct
1 - Nov
1 -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20</v>
      </c>
      <c r="X3" s="7">
        <f>W3/D3</f>
        <v>0.21978021978021978</v>
      </c>
      <c r="Y3" s="6"/>
      <c r="Z3" s="5"/>
      <c r="AA3" s="5"/>
      <c r="AB3" s="5"/>
      <c r="AC3" s="5"/>
      <c r="AD3" s="6">
        <f>SUM(AD4:AD99765)</f>
        <v>-34.255330863541673</v>
      </c>
      <c r="AE3" s="6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Info!B2:BZ3000""),37,FALSE)),"""")*-1"),-16.48397856)</f>
        <v>-16.483978560000001</v>
      </c>
      <c r="AG3" s="6">
        <f>SUM(AG4:AG99765)</f>
        <v>0</v>
      </c>
    </row>
    <row r="4" spans="1:33" ht="15.75" hidden="1" customHeight="1">
      <c r="A4" s="14"/>
      <c r="B4" s="14"/>
      <c r="C4" s="15"/>
      <c r="D4" s="16"/>
      <c r="E4" s="16"/>
      <c r="F4" s="17"/>
      <c r="G4" s="17"/>
      <c r="H4" s="18"/>
      <c r="I4" s="18"/>
      <c r="J4" s="17"/>
      <c r="K4" s="17"/>
      <c r="L4" s="16"/>
      <c r="M4" s="19"/>
      <c r="N4" s="16"/>
      <c r="O4" s="20"/>
      <c r="P4" s="20"/>
      <c r="Q4" s="16"/>
      <c r="R4" s="16"/>
      <c r="S4" s="21"/>
      <c r="T4" s="14"/>
      <c r="U4" s="22"/>
      <c r="V4" s="23"/>
      <c r="W4" s="14"/>
      <c r="X4" s="24"/>
      <c r="Y4" s="25"/>
      <c r="Z4" s="14"/>
      <c r="AA4" s="26"/>
      <c r="AB4" s="27"/>
      <c r="AC4" s="28"/>
      <c r="AD4" s="25"/>
      <c r="AE4" s="25"/>
      <c r="AF4" s="25"/>
      <c r="AG4" s="25"/>
    </row>
    <row r="5" spans="1:33" ht="15.75" hidden="1" customHeight="1">
      <c r="A5" s="14"/>
      <c r="B5" s="14"/>
      <c r="C5" s="15"/>
      <c r="D5" s="16"/>
      <c r="E5" s="16"/>
      <c r="F5" s="29"/>
      <c r="G5" s="29"/>
      <c r="H5" s="18"/>
      <c r="I5" s="18"/>
      <c r="J5" s="17"/>
      <c r="K5" s="17"/>
      <c r="L5" s="16"/>
      <c r="M5" s="19"/>
      <c r="N5" s="16"/>
      <c r="O5" s="20"/>
      <c r="P5" s="20"/>
      <c r="Q5" s="16"/>
      <c r="R5" s="16"/>
      <c r="S5" s="21"/>
      <c r="T5" s="14"/>
      <c r="U5" s="22"/>
      <c r="V5" s="23"/>
      <c r="W5" s="14"/>
      <c r="X5" s="24"/>
      <c r="Y5" s="25"/>
      <c r="Z5" s="14"/>
      <c r="AA5" s="14"/>
      <c r="AB5" s="27"/>
      <c r="AC5" s="28"/>
      <c r="AD5" s="25"/>
      <c r="AE5" s="25"/>
      <c r="AF5" s="25"/>
      <c r="AG5" s="25"/>
    </row>
    <row r="6" spans="1:33" ht="15.75" hidden="1" customHeight="1">
      <c r="A6" s="14"/>
      <c r="B6" s="14"/>
      <c r="C6" s="15"/>
      <c r="D6" s="16"/>
      <c r="E6" s="16"/>
      <c r="F6" s="29"/>
      <c r="G6" s="29"/>
      <c r="H6" s="18"/>
      <c r="I6" s="18"/>
      <c r="J6" s="17"/>
      <c r="K6" s="17"/>
      <c r="L6" s="16"/>
      <c r="M6" s="19"/>
      <c r="N6" s="16"/>
      <c r="O6" s="20"/>
      <c r="P6" s="20"/>
      <c r="Q6" s="16"/>
      <c r="R6" s="16"/>
      <c r="S6" s="21"/>
      <c r="T6" s="14"/>
      <c r="U6" s="22"/>
      <c r="V6" s="23"/>
      <c r="W6" s="14"/>
      <c r="X6" s="24"/>
      <c r="Y6" s="25"/>
      <c r="Z6" s="14"/>
      <c r="AA6" s="14"/>
      <c r="AB6" s="27"/>
      <c r="AC6" s="28"/>
      <c r="AD6" s="25"/>
      <c r="AE6" s="25"/>
      <c r="AF6" s="25"/>
      <c r="AG6" s="25"/>
    </row>
    <row r="7" spans="1:33" ht="15.75" hidden="1" customHeight="1">
      <c r="A7" s="14"/>
      <c r="B7" s="14"/>
      <c r="C7" s="15"/>
      <c r="D7" s="16"/>
      <c r="E7" s="16"/>
      <c r="F7" s="29"/>
      <c r="G7" s="29"/>
      <c r="H7" s="18"/>
      <c r="I7" s="18"/>
      <c r="J7" s="17"/>
      <c r="K7" s="17"/>
      <c r="L7" s="16"/>
      <c r="M7" s="19"/>
      <c r="N7" s="16"/>
      <c r="O7" s="20"/>
      <c r="P7" s="20"/>
      <c r="Q7" s="16"/>
      <c r="R7" s="16"/>
      <c r="S7" s="21"/>
      <c r="T7" s="14"/>
      <c r="U7" s="22"/>
      <c r="V7" s="23"/>
      <c r="W7" s="14"/>
      <c r="X7" s="24"/>
      <c r="Y7" s="25"/>
      <c r="Z7" s="14"/>
      <c r="AA7" s="14"/>
      <c r="AB7" s="27"/>
      <c r="AC7" s="28"/>
      <c r="AD7" s="25"/>
      <c r="AE7" s="25"/>
      <c r="AF7" s="25"/>
      <c r="AG7" s="25"/>
    </row>
    <row r="8" spans="1:33" ht="15.75" hidden="1" customHeight="1">
      <c r="A8" s="14"/>
      <c r="B8" s="14"/>
      <c r="C8" s="15"/>
      <c r="D8" s="16"/>
      <c r="E8" s="16"/>
      <c r="F8" s="29"/>
      <c r="G8" s="29"/>
      <c r="H8" s="18"/>
      <c r="I8" s="18"/>
      <c r="J8" s="17"/>
      <c r="K8" s="17"/>
      <c r="L8" s="16"/>
      <c r="M8" s="19"/>
      <c r="N8" s="16"/>
      <c r="O8" s="20"/>
      <c r="P8" s="20"/>
      <c r="Q8" s="16"/>
      <c r="R8" s="16"/>
      <c r="S8" s="21"/>
      <c r="T8" s="14"/>
      <c r="U8" s="22"/>
      <c r="V8" s="23"/>
      <c r="W8" s="14"/>
      <c r="X8" s="24"/>
      <c r="Y8" s="25"/>
      <c r="Z8" s="14"/>
      <c r="AA8" s="14"/>
      <c r="AB8" s="27"/>
      <c r="AC8" s="28"/>
      <c r="AD8" s="25"/>
      <c r="AE8" s="25"/>
      <c r="AF8" s="25"/>
      <c r="AG8" s="25"/>
    </row>
    <row r="9" spans="1:33" ht="15.75" hidden="1" customHeight="1">
      <c r="A9" s="14"/>
      <c r="B9" s="14"/>
      <c r="C9" s="15"/>
      <c r="D9" s="16"/>
      <c r="E9" s="16"/>
      <c r="F9" s="29"/>
      <c r="G9" s="29"/>
      <c r="H9" s="18"/>
      <c r="I9" s="18"/>
      <c r="J9" s="17"/>
      <c r="K9" s="17"/>
      <c r="L9" s="16"/>
      <c r="M9" s="19"/>
      <c r="N9" s="16"/>
      <c r="O9" s="20"/>
      <c r="P9" s="20"/>
      <c r="Q9" s="16"/>
      <c r="R9" s="16"/>
      <c r="S9" s="21"/>
      <c r="T9" s="14"/>
      <c r="U9" s="22"/>
      <c r="V9" s="23"/>
      <c r="W9" s="14"/>
      <c r="X9" s="24"/>
      <c r="Y9" s="25"/>
      <c r="Z9" s="14"/>
      <c r="AA9" s="14"/>
      <c r="AB9" s="27"/>
      <c r="AC9" s="28"/>
      <c r="AD9" s="25"/>
      <c r="AE9" s="25"/>
      <c r="AF9" s="25"/>
      <c r="AG9" s="25"/>
    </row>
    <row r="10" spans="1:33" ht="15.75" hidden="1" customHeight="1">
      <c r="A10" s="14"/>
      <c r="B10" s="14"/>
      <c r="C10" s="15"/>
      <c r="D10" s="16"/>
      <c r="E10" s="16"/>
      <c r="F10" s="29"/>
      <c r="G10" s="29"/>
      <c r="H10" s="18"/>
      <c r="I10" s="18"/>
      <c r="J10" s="17"/>
      <c r="K10" s="17"/>
      <c r="L10" s="16"/>
      <c r="M10" s="19"/>
      <c r="N10" s="16"/>
      <c r="O10" s="20"/>
      <c r="P10" s="20"/>
      <c r="Q10" s="16"/>
      <c r="R10" s="16"/>
      <c r="S10" s="21"/>
      <c r="T10" s="14"/>
      <c r="U10" s="22"/>
      <c r="V10" s="23"/>
      <c r="W10" s="14"/>
      <c r="X10" s="24"/>
      <c r="Y10" s="25"/>
      <c r="Z10" s="14"/>
      <c r="AA10" s="14"/>
      <c r="AB10" s="27"/>
      <c r="AC10" s="28"/>
      <c r="AD10" s="25"/>
      <c r="AE10" s="25"/>
      <c r="AF10" s="25"/>
      <c r="AG10" s="25"/>
    </row>
    <row r="11" spans="1:33" ht="15.75" hidden="1" customHeight="1">
      <c r="A11" s="14"/>
      <c r="B11" s="14"/>
      <c r="C11" s="15"/>
      <c r="D11" s="16"/>
      <c r="E11" s="16"/>
      <c r="F11" s="29"/>
      <c r="G11" s="29"/>
      <c r="H11" s="18"/>
      <c r="I11" s="18"/>
      <c r="J11" s="17"/>
      <c r="K11" s="17"/>
      <c r="L11" s="16"/>
      <c r="M11" s="19"/>
      <c r="N11" s="16"/>
      <c r="O11" s="20"/>
      <c r="P11" s="20"/>
      <c r="Q11" s="16"/>
      <c r="R11" s="16"/>
      <c r="S11" s="21"/>
      <c r="T11" s="14"/>
      <c r="U11" s="22"/>
      <c r="V11" s="23"/>
      <c r="W11" s="14"/>
      <c r="X11" s="24"/>
      <c r="Y11" s="25"/>
      <c r="Z11" s="14"/>
      <c r="AA11" s="14"/>
      <c r="AB11" s="27"/>
      <c r="AC11" s="28"/>
      <c r="AD11" s="25"/>
      <c r="AE11" s="25"/>
      <c r="AF11" s="25"/>
      <c r="AG11" s="25"/>
    </row>
    <row r="12" spans="1:33" ht="15.75" hidden="1" customHeight="1">
      <c r="A12" s="14"/>
      <c r="B12" s="14"/>
      <c r="C12" s="15"/>
      <c r="D12" s="16"/>
      <c r="E12" s="16"/>
      <c r="F12" s="29"/>
      <c r="G12" s="29"/>
      <c r="H12" s="18"/>
      <c r="I12" s="18"/>
      <c r="J12" s="17"/>
      <c r="K12" s="17"/>
      <c r="L12" s="16"/>
      <c r="M12" s="19"/>
      <c r="N12" s="16"/>
      <c r="O12" s="20"/>
      <c r="P12" s="20"/>
      <c r="Q12" s="16"/>
      <c r="R12" s="16"/>
      <c r="S12" s="21"/>
      <c r="T12" s="14"/>
      <c r="U12" s="22"/>
      <c r="V12" s="23"/>
      <c r="W12" s="14"/>
      <c r="X12" s="24"/>
      <c r="Y12" s="25"/>
      <c r="Z12" s="14"/>
      <c r="AA12" s="14"/>
      <c r="AB12" s="27"/>
      <c r="AC12" s="28"/>
      <c r="AD12" s="25"/>
      <c r="AE12" s="25"/>
      <c r="AF12" s="25"/>
      <c r="AG12" s="25"/>
    </row>
    <row r="13" spans="1:33" ht="15.75" hidden="1" customHeight="1">
      <c r="A13" s="14"/>
      <c r="B13" s="14"/>
      <c r="C13" s="15"/>
      <c r="D13" s="16"/>
      <c r="E13" s="16"/>
      <c r="F13" s="17"/>
      <c r="G13" s="29"/>
      <c r="H13" s="18"/>
      <c r="I13" s="18"/>
      <c r="J13" s="17"/>
      <c r="K13" s="17"/>
      <c r="L13" s="16"/>
      <c r="M13" s="19"/>
      <c r="N13" s="16"/>
      <c r="O13" s="20"/>
      <c r="P13" s="20"/>
      <c r="Q13" s="16"/>
      <c r="R13" s="16"/>
      <c r="S13" s="21"/>
      <c r="T13" s="14"/>
      <c r="U13" s="22"/>
      <c r="V13" s="23"/>
      <c r="W13" s="14"/>
      <c r="X13" s="24"/>
      <c r="Y13" s="25"/>
      <c r="Z13" s="14"/>
      <c r="AA13" s="14"/>
      <c r="AB13" s="27"/>
      <c r="AC13" s="28"/>
      <c r="AD13" s="25"/>
      <c r="AE13" s="25"/>
      <c r="AF13" s="25"/>
      <c r="AG13" s="25"/>
    </row>
    <row r="14" spans="1:33" ht="15.75" hidden="1" customHeight="1">
      <c r="A14" s="14"/>
      <c r="B14" s="14"/>
      <c r="C14" s="15"/>
      <c r="D14" s="16"/>
      <c r="E14" s="16"/>
      <c r="F14" s="17"/>
      <c r="G14" s="29"/>
      <c r="H14" s="18"/>
      <c r="I14" s="18"/>
      <c r="J14" s="17"/>
      <c r="K14" s="17"/>
      <c r="L14" s="16"/>
      <c r="M14" s="19"/>
      <c r="N14" s="16"/>
      <c r="O14" s="20"/>
      <c r="P14" s="20"/>
      <c r="Q14" s="16"/>
      <c r="R14" s="16"/>
      <c r="S14" s="21"/>
      <c r="T14" s="14"/>
      <c r="U14" s="22"/>
      <c r="V14" s="23"/>
      <c r="W14" s="14"/>
      <c r="X14" s="24"/>
      <c r="Y14" s="25"/>
      <c r="Z14" s="14"/>
      <c r="AA14" s="14"/>
      <c r="AB14" s="27"/>
      <c r="AC14" s="28"/>
      <c r="AD14" s="25"/>
      <c r="AE14" s="25"/>
      <c r="AF14" s="25"/>
      <c r="AG14" s="25"/>
    </row>
    <row r="15" spans="1:33" ht="15.75" hidden="1" customHeight="1">
      <c r="A15" s="14"/>
      <c r="B15" s="14"/>
      <c r="C15" s="15"/>
      <c r="D15" s="16"/>
      <c r="E15" s="16"/>
      <c r="F15" s="17"/>
      <c r="G15" s="29"/>
      <c r="H15" s="18"/>
      <c r="I15" s="18"/>
      <c r="J15" s="17"/>
      <c r="K15" s="17"/>
      <c r="L15" s="16"/>
      <c r="M15" s="19"/>
      <c r="N15" s="16"/>
      <c r="O15" s="20"/>
      <c r="P15" s="20"/>
      <c r="Q15" s="16"/>
      <c r="R15" s="16"/>
      <c r="S15" s="21"/>
      <c r="T15" s="14"/>
      <c r="U15" s="22"/>
      <c r="V15" s="23"/>
      <c r="W15" s="14"/>
      <c r="X15" s="24"/>
      <c r="Y15" s="25"/>
      <c r="Z15" s="14"/>
      <c r="AA15" s="14"/>
      <c r="AB15" s="27"/>
      <c r="AC15" s="28"/>
      <c r="AD15" s="25"/>
      <c r="AE15" s="25"/>
      <c r="AF15" s="25"/>
      <c r="AG15" s="25"/>
    </row>
    <row r="16" spans="1:33" ht="15.75" customHeight="1">
      <c r="A16" s="14" t="s">
        <v>38</v>
      </c>
      <c r="B16" s="14" t="s">
        <v>335</v>
      </c>
      <c r="C16" s="15">
        <f t="shared" ref="C16:C32" si="1">IFERROR(F16/D16," - ")</f>
        <v>49.99</v>
      </c>
      <c r="D16" s="16">
        <v>6</v>
      </c>
      <c r="E16" s="16">
        <v>0</v>
      </c>
      <c r="F16" s="17">
        <v>299.94</v>
      </c>
      <c r="G16" s="29">
        <v>-68.669999999999987</v>
      </c>
      <c r="H16" s="18">
        <f t="shared" ref="H16:H32" si="2">G16/F16*-1</f>
        <v>0.22894578915783154</v>
      </c>
      <c r="I16" s="18">
        <f t="shared" ref="I16:I32" si="3">J16/F16</f>
        <v>0.16023340253467358</v>
      </c>
      <c r="J16" s="17">
        <f t="shared" ref="J16:J32" si="4">F16*0.85+G16+AF16*D16+D16*AE16+AG16+AD16</f>
        <v>48.060406756249989</v>
      </c>
      <c r="K16" s="17">
        <f t="shared" ref="K16:K32" si="5">J16/D16</f>
        <v>8.0100677927083321</v>
      </c>
      <c r="L16" s="16">
        <v>39</v>
      </c>
      <c r="M16" s="19">
        <f t="shared" ref="M16:M32" si="6">IFERROR(D16/L16,"-")</f>
        <v>0.15384615384615385</v>
      </c>
      <c r="N16" s="16">
        <v>92</v>
      </c>
      <c r="O16" s="20">
        <f t="shared" ref="O16:P16" si="7">D16/7</f>
        <v>0.8571428571428571</v>
      </c>
      <c r="P16" s="20">
        <f t="shared" si="7"/>
        <v>0</v>
      </c>
      <c r="Q16" s="16">
        <f t="shared" ref="Q16:Q32" si="8">ROUNDDOWN(N16/(O16+P16),0)</f>
        <v>107</v>
      </c>
      <c r="R16" s="16"/>
      <c r="S16" s="21">
        <v>9.6774193548387094E-2</v>
      </c>
      <c r="T16" s="14">
        <v>0</v>
      </c>
      <c r="U16" s="22" t="s">
        <v>34</v>
      </c>
      <c r="V16" s="23" t="s">
        <v>34</v>
      </c>
      <c r="W16" s="14">
        <v>3</v>
      </c>
      <c r="X16" s="24">
        <f t="shared" ref="X16:X32" si="9">IFERROR(W16/D16,0)</f>
        <v>0.5</v>
      </c>
      <c r="Y16" s="25">
        <f t="shared" ref="Y16:Y32" si="10">IFERROR(G16/(W16+Z16)*-1,0)</f>
        <v>5.7224999999999993</v>
      </c>
      <c r="Z16" s="14">
        <v>9</v>
      </c>
      <c r="AA16" s="14" t="s">
        <v>35</v>
      </c>
      <c r="AB16" s="27">
        <f t="shared" ref="AB16:AB32" si="11">IF(OR(AA16="UsLargeStandardSize",AA16="UsSmallStandardSize"),-0.69,-0.48)</f>
        <v>-0.69</v>
      </c>
      <c r="AC16" s="28">
        <v>0.27277696180555561</v>
      </c>
      <c r="AD16" s="25">
        <f t="shared" ref="AD16:AD32" si="12">IFERROR(AB16*AC16*D16*2,0)</f>
        <v>-2.25859324375</v>
      </c>
      <c r="AE16" s="25">
        <v>-6.56</v>
      </c>
      <c r="AF16" s="25">
        <v>-16.100000000000001</v>
      </c>
      <c r="AG16" s="25">
        <v>0</v>
      </c>
    </row>
    <row r="17" spans="1:33" ht="15.75" customHeight="1">
      <c r="A17" s="14" t="s">
        <v>40</v>
      </c>
      <c r="B17" s="14" t="s">
        <v>260</v>
      </c>
      <c r="C17" s="15">
        <f t="shared" si="1"/>
        <v>51.665999999999997</v>
      </c>
      <c r="D17" s="16">
        <v>5</v>
      </c>
      <c r="E17" s="16">
        <v>0</v>
      </c>
      <c r="F17" s="17">
        <v>258.33</v>
      </c>
      <c r="G17" s="29">
        <v>-57.55</v>
      </c>
      <c r="H17" s="18">
        <f t="shared" si="2"/>
        <v>0.22277706809120118</v>
      </c>
      <c r="I17" s="18">
        <f t="shared" si="3"/>
        <v>0.18135074890079214</v>
      </c>
      <c r="J17" s="17">
        <f t="shared" si="4"/>
        <v>46.848338963541629</v>
      </c>
      <c r="K17" s="17">
        <f t="shared" si="5"/>
        <v>9.3696677927083254</v>
      </c>
      <c r="L17" s="16">
        <v>41</v>
      </c>
      <c r="M17" s="19">
        <f t="shared" si="6"/>
        <v>0.12195121951219512</v>
      </c>
      <c r="N17" s="16">
        <v>91</v>
      </c>
      <c r="O17" s="20">
        <f t="shared" ref="O17:P17" si="13">D17/7</f>
        <v>0.7142857142857143</v>
      </c>
      <c r="P17" s="20">
        <f t="shared" si="13"/>
        <v>0</v>
      </c>
      <c r="Q17" s="16">
        <f t="shared" si="8"/>
        <v>127</v>
      </c>
      <c r="R17" s="16"/>
      <c r="S17" s="21">
        <v>0.225806451612903</v>
      </c>
      <c r="T17" s="14">
        <v>0</v>
      </c>
      <c r="U17" s="22" t="s">
        <v>34</v>
      </c>
      <c r="V17" s="23" t="s">
        <v>34</v>
      </c>
      <c r="W17" s="14">
        <v>1</v>
      </c>
      <c r="X17" s="24">
        <f t="shared" si="9"/>
        <v>0.2</v>
      </c>
      <c r="Y17" s="25">
        <f t="shared" si="10"/>
        <v>6.3944444444444439</v>
      </c>
      <c r="Z17" s="14">
        <v>8</v>
      </c>
      <c r="AA17" s="14" t="s">
        <v>35</v>
      </c>
      <c r="AB17" s="27">
        <f t="shared" si="11"/>
        <v>-0.69</v>
      </c>
      <c r="AC17" s="28">
        <v>0.27277696180555561</v>
      </c>
      <c r="AD17" s="25">
        <f t="shared" si="12"/>
        <v>-1.8821610364583337</v>
      </c>
      <c r="AE17" s="25">
        <v>-6.56</v>
      </c>
      <c r="AF17" s="25">
        <v>-16.100000000000001</v>
      </c>
      <c r="AG17" s="25">
        <v>0</v>
      </c>
    </row>
    <row r="18" spans="1:33" ht="15.75" customHeight="1">
      <c r="A18" s="14" t="s">
        <v>42</v>
      </c>
      <c r="B18" s="14" t="s">
        <v>336</v>
      </c>
      <c r="C18" s="15">
        <f t="shared" si="1"/>
        <v>51.715000000000003</v>
      </c>
      <c r="D18" s="16">
        <v>2</v>
      </c>
      <c r="E18" s="16">
        <v>0</v>
      </c>
      <c r="F18" s="17">
        <v>103.43</v>
      </c>
      <c r="G18" s="29">
        <v>-30.08</v>
      </c>
      <c r="H18" s="18">
        <f t="shared" si="2"/>
        <v>0.29082471236585128</v>
      </c>
      <c r="I18" s="18">
        <f t="shared" si="3"/>
        <v>0.11372556884285676</v>
      </c>
      <c r="J18" s="17">
        <f t="shared" si="4"/>
        <v>11.762635585416675</v>
      </c>
      <c r="K18" s="17">
        <f t="shared" si="5"/>
        <v>5.8813177927083373</v>
      </c>
      <c r="L18" s="16">
        <v>23</v>
      </c>
      <c r="M18" s="19">
        <f t="shared" si="6"/>
        <v>8.6956521739130432E-2</v>
      </c>
      <c r="N18" s="16">
        <v>87</v>
      </c>
      <c r="O18" s="20">
        <f t="shared" ref="O18:P18" si="14">D18/7</f>
        <v>0.2857142857142857</v>
      </c>
      <c r="P18" s="20">
        <f t="shared" si="14"/>
        <v>0</v>
      </c>
      <c r="Q18" s="16">
        <f t="shared" si="8"/>
        <v>304</v>
      </c>
      <c r="R18" s="16"/>
      <c r="S18" s="21">
        <v>0.20855614973261999</v>
      </c>
      <c r="T18" s="14">
        <v>0</v>
      </c>
      <c r="U18" s="22">
        <v>0</v>
      </c>
      <c r="V18" s="23" t="s">
        <v>34</v>
      </c>
      <c r="W18" s="14">
        <v>0</v>
      </c>
      <c r="X18" s="24">
        <f t="shared" si="9"/>
        <v>0</v>
      </c>
      <c r="Y18" s="25">
        <f t="shared" si="10"/>
        <v>5.0133333333333328</v>
      </c>
      <c r="Z18" s="14">
        <v>6</v>
      </c>
      <c r="AA18" s="14" t="s">
        <v>35</v>
      </c>
      <c r="AB18" s="27">
        <f t="shared" si="11"/>
        <v>-0.69</v>
      </c>
      <c r="AC18" s="28">
        <v>0.27277696180555561</v>
      </c>
      <c r="AD18" s="25">
        <f t="shared" si="12"/>
        <v>-0.75286441458333342</v>
      </c>
      <c r="AE18" s="25">
        <v>-6.56</v>
      </c>
      <c r="AF18" s="25">
        <v>-16.100000000000001</v>
      </c>
      <c r="AG18" s="25">
        <v>0</v>
      </c>
    </row>
    <row r="19" spans="1:33" ht="15.75" customHeight="1">
      <c r="A19" s="14" t="s">
        <v>44</v>
      </c>
      <c r="B19" s="14" t="s">
        <v>337</v>
      </c>
      <c r="C19" s="15" t="str">
        <f t="shared" si="1"/>
        <v xml:space="preserve"> - </v>
      </c>
      <c r="D19" s="16">
        <v>0</v>
      </c>
      <c r="E19" s="16">
        <v>1</v>
      </c>
      <c r="F19" s="17">
        <v>0</v>
      </c>
      <c r="G19" s="29">
        <v>0</v>
      </c>
      <c r="H19" s="18" t="e">
        <f t="shared" si="2"/>
        <v>#DIV/0!</v>
      </c>
      <c r="I19" s="18" t="e">
        <f t="shared" si="3"/>
        <v>#DIV/0!</v>
      </c>
      <c r="J19" s="17">
        <f t="shared" si="4"/>
        <v>0</v>
      </c>
      <c r="K19" s="17" t="e">
        <f t="shared" si="5"/>
        <v>#DIV/0!</v>
      </c>
      <c r="L19" s="16">
        <v>0</v>
      </c>
      <c r="M19" s="19" t="str">
        <f t="shared" si="6"/>
        <v>-</v>
      </c>
      <c r="N19" s="16">
        <v>86</v>
      </c>
      <c r="O19" s="20">
        <f t="shared" ref="O19:P19" si="15">D19/7</f>
        <v>0</v>
      </c>
      <c r="P19" s="20">
        <f t="shared" si="15"/>
        <v>0.14285714285714285</v>
      </c>
      <c r="Q19" s="16">
        <f t="shared" si="8"/>
        <v>602</v>
      </c>
      <c r="R19" s="16"/>
      <c r="S19" s="21">
        <v>0.225806451612903</v>
      </c>
      <c r="T19" s="14">
        <v>0</v>
      </c>
      <c r="U19" s="22" t="s">
        <v>34</v>
      </c>
      <c r="V19" s="23" t="s">
        <v>34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14" t="s">
        <v>35</v>
      </c>
      <c r="AB19" s="27">
        <f t="shared" si="11"/>
        <v>-0.69</v>
      </c>
      <c r="AC19" s="28">
        <v>0.27277696180555561</v>
      </c>
      <c r="AD19" s="25">
        <f t="shared" si="12"/>
        <v>0</v>
      </c>
      <c r="AE19" s="25">
        <v>-6.56</v>
      </c>
      <c r="AF19" s="25">
        <v>-16.849500000000003</v>
      </c>
      <c r="AG19" s="25">
        <v>0</v>
      </c>
    </row>
    <row r="20" spans="1:33" ht="15.75" customHeight="1">
      <c r="A20" s="14" t="s">
        <v>46</v>
      </c>
      <c r="B20" s="14" t="s">
        <v>337</v>
      </c>
      <c r="C20" s="15" t="str">
        <f t="shared" si="1"/>
        <v xml:space="preserve"> - </v>
      </c>
      <c r="D20" s="16">
        <v>0</v>
      </c>
      <c r="E20" s="16">
        <v>0</v>
      </c>
      <c r="F20" s="17">
        <v>0</v>
      </c>
      <c r="G20" s="29">
        <v>0</v>
      </c>
      <c r="H20" s="18" t="e">
        <f t="shared" si="2"/>
        <v>#DIV/0!</v>
      </c>
      <c r="I20" s="18" t="e">
        <f t="shared" si="3"/>
        <v>#DIV/0!</v>
      </c>
      <c r="J20" s="17">
        <f t="shared" si="4"/>
        <v>0</v>
      </c>
      <c r="K20" s="17" t="e">
        <f t="shared" si="5"/>
        <v>#DIV/0!</v>
      </c>
      <c r="L20" s="16">
        <v>0</v>
      </c>
      <c r="M20" s="19" t="str">
        <f t="shared" si="6"/>
        <v>-</v>
      </c>
      <c r="N20" s="16">
        <v>86</v>
      </c>
      <c r="O20" s="20">
        <f t="shared" ref="O20:P20" si="16">D20/7</f>
        <v>0</v>
      </c>
      <c r="P20" s="20">
        <f t="shared" si="16"/>
        <v>0</v>
      </c>
      <c r="Q20" s="16" t="e">
        <f t="shared" si="8"/>
        <v>#DIV/0!</v>
      </c>
      <c r="R20" s="16"/>
      <c r="S20" s="21">
        <v>0.302702702702702</v>
      </c>
      <c r="T20" s="14">
        <v>0</v>
      </c>
      <c r="U20" s="22" t="s">
        <v>34</v>
      </c>
      <c r="V20" s="23" t="s">
        <v>34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14" t="s">
        <v>35</v>
      </c>
      <c r="AB20" s="27">
        <f t="shared" si="11"/>
        <v>-0.69</v>
      </c>
      <c r="AC20" s="28">
        <v>0.27277696180555561</v>
      </c>
      <c r="AD20" s="25">
        <f t="shared" si="12"/>
        <v>0</v>
      </c>
      <c r="AE20" s="25">
        <v>-6.56</v>
      </c>
      <c r="AF20" s="25">
        <v>-16.849500000000003</v>
      </c>
      <c r="AG20" s="25">
        <v>0</v>
      </c>
    </row>
    <row r="21" spans="1:33" ht="15.75" customHeight="1">
      <c r="A21" s="14" t="s">
        <v>47</v>
      </c>
      <c r="B21" s="14" t="s">
        <v>338</v>
      </c>
      <c r="C21" s="15">
        <f t="shared" si="1"/>
        <v>39.99</v>
      </c>
      <c r="D21" s="16">
        <v>1</v>
      </c>
      <c r="E21" s="16">
        <v>0</v>
      </c>
      <c r="F21" s="17">
        <v>39.99</v>
      </c>
      <c r="G21" s="29">
        <v>-6.25</v>
      </c>
      <c r="H21" s="18">
        <f t="shared" si="2"/>
        <v>0.15628907226806701</v>
      </c>
      <c r="I21" s="18">
        <f t="shared" si="3"/>
        <v>9.8913923298532949E-2</v>
      </c>
      <c r="J21" s="17">
        <f t="shared" si="4"/>
        <v>3.955567792708333</v>
      </c>
      <c r="K21" s="17">
        <f t="shared" si="5"/>
        <v>3.955567792708333</v>
      </c>
      <c r="L21" s="16">
        <v>0</v>
      </c>
      <c r="M21" s="19" t="str">
        <f t="shared" si="6"/>
        <v>-</v>
      </c>
      <c r="N21" s="16">
        <v>85</v>
      </c>
      <c r="O21" s="20">
        <f t="shared" ref="O21:P21" si="17">D21/7</f>
        <v>0.14285714285714285</v>
      </c>
      <c r="P21" s="20">
        <f t="shared" si="17"/>
        <v>0</v>
      </c>
      <c r="Q21" s="16">
        <f t="shared" si="8"/>
        <v>595</v>
      </c>
      <c r="R21" s="16"/>
      <c r="S21" s="21">
        <v>0.33707865168539303</v>
      </c>
      <c r="T21" s="14">
        <v>200</v>
      </c>
      <c r="U21" s="22" t="s">
        <v>34</v>
      </c>
      <c r="V21" s="23" t="s">
        <v>34</v>
      </c>
      <c r="W21" s="14">
        <v>1</v>
      </c>
      <c r="X21" s="24">
        <f t="shared" si="9"/>
        <v>1</v>
      </c>
      <c r="Y21" s="25">
        <f t="shared" si="10"/>
        <v>3.125</v>
      </c>
      <c r="Z21" s="14">
        <v>1</v>
      </c>
      <c r="AA21" s="14" t="s">
        <v>35</v>
      </c>
      <c r="AB21" s="27">
        <f t="shared" si="11"/>
        <v>-0.69</v>
      </c>
      <c r="AC21" s="28">
        <v>0.27277696180555561</v>
      </c>
      <c r="AD21" s="25">
        <f t="shared" si="12"/>
        <v>-0.37643220729166671</v>
      </c>
      <c r="AE21" s="25">
        <v>-6.56</v>
      </c>
      <c r="AF21" s="25">
        <v>-16.849500000000003</v>
      </c>
      <c r="AG21" s="25">
        <v>0</v>
      </c>
    </row>
    <row r="22" spans="1:33" ht="15.75" customHeight="1">
      <c r="A22" s="14" t="s">
        <v>48</v>
      </c>
      <c r="B22" s="14" t="s">
        <v>66</v>
      </c>
      <c r="C22" s="15">
        <f t="shared" si="1"/>
        <v>38.268571428571427</v>
      </c>
      <c r="D22" s="16">
        <v>7</v>
      </c>
      <c r="E22" s="16">
        <v>0</v>
      </c>
      <c r="F22" s="29">
        <v>267.88</v>
      </c>
      <c r="G22" s="29">
        <v>-9.7299999999999986</v>
      </c>
      <c r="H22" s="18">
        <f t="shared" si="2"/>
        <v>3.6322233836045985E-2</v>
      </c>
      <c r="I22" s="18">
        <f t="shared" si="3"/>
        <v>0.19212511030669821</v>
      </c>
      <c r="J22" s="17">
        <f t="shared" si="4"/>
        <v>51.466474548958317</v>
      </c>
      <c r="K22" s="17">
        <f t="shared" si="5"/>
        <v>7.3523535069940449</v>
      </c>
      <c r="L22" s="16">
        <v>26</v>
      </c>
      <c r="M22" s="19">
        <f t="shared" si="6"/>
        <v>0.26923076923076922</v>
      </c>
      <c r="N22" s="16">
        <v>81</v>
      </c>
      <c r="O22" s="20">
        <f t="shared" ref="O22:P22" si="18">D22/7</f>
        <v>1</v>
      </c>
      <c r="P22" s="20">
        <f t="shared" si="18"/>
        <v>0</v>
      </c>
      <c r="Q22" s="16">
        <f t="shared" si="8"/>
        <v>81</v>
      </c>
      <c r="R22" s="16"/>
      <c r="S22" s="21">
        <v>0.44970414201183401</v>
      </c>
      <c r="T22" s="14">
        <v>200</v>
      </c>
      <c r="U22" s="22" t="s">
        <v>34</v>
      </c>
      <c r="V22" s="23" t="s">
        <v>34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35</v>
      </c>
      <c r="AB22" s="27">
        <f t="shared" si="11"/>
        <v>-0.69</v>
      </c>
      <c r="AC22" s="28">
        <v>0.27277696180555561</v>
      </c>
      <c r="AD22" s="25">
        <f t="shared" si="12"/>
        <v>-2.6350254510416669</v>
      </c>
      <c r="AE22" s="25">
        <v>-6.56</v>
      </c>
      <c r="AF22" s="25">
        <v>-16.849500000000003</v>
      </c>
      <c r="AG22" s="25">
        <v>0</v>
      </c>
    </row>
    <row r="23" spans="1:33" ht="15.75" customHeight="1">
      <c r="A23" s="14" t="s">
        <v>49</v>
      </c>
      <c r="B23" s="14" t="s">
        <v>339</v>
      </c>
      <c r="C23" s="15">
        <f t="shared" si="1"/>
        <v>35.99</v>
      </c>
      <c r="D23" s="16">
        <v>3</v>
      </c>
      <c r="E23" s="16">
        <v>0</v>
      </c>
      <c r="F23" s="17">
        <v>107.97</v>
      </c>
      <c r="G23" s="29">
        <v>-3.2199999999999998</v>
      </c>
      <c r="H23" s="18">
        <f t="shared" si="2"/>
        <v>2.9823099008983976E-2</v>
      </c>
      <c r="I23" s="18">
        <f t="shared" si="3"/>
        <v>0.15927297747638233</v>
      </c>
      <c r="J23" s="17">
        <f t="shared" si="4"/>
        <v>17.196703378125001</v>
      </c>
      <c r="K23" s="17">
        <f t="shared" si="5"/>
        <v>5.7322344593750003</v>
      </c>
      <c r="L23" s="16">
        <v>15</v>
      </c>
      <c r="M23" s="19">
        <f t="shared" si="6"/>
        <v>0.2</v>
      </c>
      <c r="N23" s="16">
        <v>74</v>
      </c>
      <c r="O23" s="20">
        <f t="shared" ref="O23:P23" si="19">D23/7</f>
        <v>0.42857142857142855</v>
      </c>
      <c r="P23" s="20">
        <f t="shared" si="19"/>
        <v>0</v>
      </c>
      <c r="Q23" s="16">
        <f t="shared" si="8"/>
        <v>172</v>
      </c>
      <c r="R23" s="16"/>
      <c r="S23" s="21">
        <v>0.36641221374045801</v>
      </c>
      <c r="T23" s="14">
        <v>400</v>
      </c>
      <c r="U23" s="22" t="s">
        <v>34</v>
      </c>
      <c r="V23" s="23" t="s">
        <v>34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35</v>
      </c>
      <c r="AB23" s="27">
        <f t="shared" si="11"/>
        <v>-0.69</v>
      </c>
      <c r="AC23" s="28">
        <v>0.27277696180555561</v>
      </c>
      <c r="AD23" s="25">
        <f t="shared" si="12"/>
        <v>-1.129296621875</v>
      </c>
      <c r="AE23" s="25">
        <v>-6.56</v>
      </c>
      <c r="AF23" s="25">
        <v>-16.849500000000003</v>
      </c>
      <c r="AG23" s="25">
        <v>0</v>
      </c>
    </row>
    <row r="24" spans="1:33" ht="15.75" customHeight="1">
      <c r="A24" s="14" t="s">
        <v>50</v>
      </c>
      <c r="B24" s="14" t="s">
        <v>340</v>
      </c>
      <c r="C24" s="15">
        <f t="shared" si="1"/>
        <v>35.838888888888889</v>
      </c>
      <c r="D24" s="16">
        <v>9</v>
      </c>
      <c r="E24" s="16">
        <v>0</v>
      </c>
      <c r="F24" s="17">
        <v>322.55</v>
      </c>
      <c r="G24" s="17">
        <v>-25.72</v>
      </c>
      <c r="H24" s="18">
        <f t="shared" si="2"/>
        <v>7.9739575259649656E-2</v>
      </c>
      <c r="I24" s="18">
        <f t="shared" si="3"/>
        <v>0.10656986555379008</v>
      </c>
      <c r="J24" s="17">
        <f t="shared" si="4"/>
        <v>34.374110134374995</v>
      </c>
      <c r="K24" s="17">
        <f t="shared" si="5"/>
        <v>3.8193455704861106</v>
      </c>
      <c r="L24" s="16">
        <v>20</v>
      </c>
      <c r="M24" s="19">
        <f t="shared" si="6"/>
        <v>0.45</v>
      </c>
      <c r="N24" s="16">
        <v>66</v>
      </c>
      <c r="O24" s="20">
        <f t="shared" ref="O24:P24" si="20">D24/7</f>
        <v>1.2857142857142858</v>
      </c>
      <c r="P24" s="20">
        <f t="shared" si="20"/>
        <v>0</v>
      </c>
      <c r="Q24" s="16">
        <f t="shared" si="8"/>
        <v>51</v>
      </c>
      <c r="R24" s="16"/>
      <c r="S24" s="21">
        <v>0.50393700787401496</v>
      </c>
      <c r="T24" s="14">
        <v>400</v>
      </c>
      <c r="U24" s="22" t="s">
        <v>34</v>
      </c>
      <c r="V24" s="23" t="s">
        <v>34</v>
      </c>
      <c r="W24" s="14">
        <v>2</v>
      </c>
      <c r="X24" s="24">
        <f t="shared" si="9"/>
        <v>0.22222222222222221</v>
      </c>
      <c r="Y24" s="25">
        <f t="shared" si="10"/>
        <v>6.43</v>
      </c>
      <c r="Z24" s="14">
        <v>2</v>
      </c>
      <c r="AA24" s="14" t="s">
        <v>35</v>
      </c>
      <c r="AB24" s="27">
        <f t="shared" si="11"/>
        <v>-0.69</v>
      </c>
      <c r="AC24" s="28">
        <v>0.27277696180555561</v>
      </c>
      <c r="AD24" s="25">
        <f t="shared" si="12"/>
        <v>-3.3878898656250005</v>
      </c>
      <c r="AE24" s="25">
        <v>-6.56</v>
      </c>
      <c r="AF24" s="25">
        <v>-16.849500000000003</v>
      </c>
      <c r="AG24" s="25">
        <v>0</v>
      </c>
    </row>
    <row r="25" spans="1:33" ht="15.75" customHeight="1">
      <c r="A25" s="14" t="s">
        <v>51</v>
      </c>
      <c r="B25" s="14"/>
      <c r="C25" s="15">
        <f t="shared" si="1"/>
        <v>32.888999999999996</v>
      </c>
      <c r="D25" s="16">
        <v>10</v>
      </c>
      <c r="E25" s="16">
        <v>3</v>
      </c>
      <c r="F25" s="17">
        <v>328.89</v>
      </c>
      <c r="G25" s="17">
        <v>-20.11</v>
      </c>
      <c r="H25" s="18">
        <f t="shared" si="2"/>
        <v>6.1145063699109124E-2</v>
      </c>
      <c r="I25" s="18">
        <f t="shared" si="3"/>
        <v>6.56212652469923E-2</v>
      </c>
      <c r="J25" s="17">
        <f t="shared" si="4"/>
        <v>21.582177927083297</v>
      </c>
      <c r="K25" s="17">
        <f t="shared" si="5"/>
        <v>2.1582177927083297</v>
      </c>
      <c r="L25" s="16">
        <v>29</v>
      </c>
      <c r="M25" s="19">
        <f t="shared" si="6"/>
        <v>0.34482758620689657</v>
      </c>
      <c r="N25" s="16">
        <v>54</v>
      </c>
      <c r="O25" s="20">
        <f t="shared" ref="O25:P25" si="21">D25/7</f>
        <v>1.4285714285714286</v>
      </c>
      <c r="P25" s="20">
        <f t="shared" si="21"/>
        <v>0.42857142857142855</v>
      </c>
      <c r="Q25" s="16">
        <f t="shared" si="8"/>
        <v>29</v>
      </c>
      <c r="R25" s="16"/>
      <c r="S25" s="21">
        <v>0.66945606694560666</v>
      </c>
      <c r="T25" s="14">
        <v>400</v>
      </c>
      <c r="U25" s="22" t="s">
        <v>34</v>
      </c>
      <c r="V25" s="23" t="s">
        <v>34</v>
      </c>
      <c r="W25" s="30">
        <v>2</v>
      </c>
      <c r="X25" s="24">
        <f t="shared" si="9"/>
        <v>0.2</v>
      </c>
      <c r="Y25" s="25">
        <f t="shared" si="10"/>
        <v>5.0274999999999999</v>
      </c>
      <c r="Z25" s="30">
        <v>2</v>
      </c>
      <c r="AA25" s="14" t="s">
        <v>35</v>
      </c>
      <c r="AB25" s="27">
        <f t="shared" si="11"/>
        <v>-0.69</v>
      </c>
      <c r="AC25" s="28">
        <v>0.27277696180555561</v>
      </c>
      <c r="AD25" s="25">
        <f t="shared" si="12"/>
        <v>-3.7643220729166673</v>
      </c>
      <c r="AE25" s="25">
        <v>-6.56</v>
      </c>
      <c r="AF25" s="25">
        <v>-16.850000000000001</v>
      </c>
      <c r="AG25" s="25">
        <v>0</v>
      </c>
    </row>
    <row r="26" spans="1:33" ht="15.75" customHeight="1">
      <c r="A26" s="14" t="s">
        <v>52</v>
      </c>
      <c r="B26" s="14" t="s">
        <v>341</v>
      </c>
      <c r="C26" s="15">
        <f t="shared" si="1"/>
        <v>28.350344827586206</v>
      </c>
      <c r="D26" s="16">
        <v>29</v>
      </c>
      <c r="E26" s="16">
        <v>1</v>
      </c>
      <c r="F26" s="17">
        <v>822.16</v>
      </c>
      <c r="G26" s="17">
        <v>-33.15</v>
      </c>
      <c r="H26" s="18">
        <f t="shared" si="2"/>
        <v>4.0320618857643278E-2</v>
      </c>
      <c r="I26" s="18">
        <f t="shared" si="3"/>
        <v>-3.0025827103554524E-2</v>
      </c>
      <c r="J26" s="17">
        <f t="shared" si="4"/>
        <v>-24.686034011458386</v>
      </c>
      <c r="K26" s="17">
        <f t="shared" si="5"/>
        <v>-0.8512425521192547</v>
      </c>
      <c r="L26" s="16">
        <v>35</v>
      </c>
      <c r="M26" s="19">
        <f t="shared" si="6"/>
        <v>0.82857142857142863</v>
      </c>
      <c r="N26" s="16">
        <v>21</v>
      </c>
      <c r="O26" s="20">
        <f t="shared" ref="O26:P26" si="22">D26/7</f>
        <v>4.1428571428571432</v>
      </c>
      <c r="P26" s="20">
        <f t="shared" si="22"/>
        <v>0.14285714285714285</v>
      </c>
      <c r="Q26" s="16">
        <f t="shared" si="8"/>
        <v>4</v>
      </c>
      <c r="R26" s="16"/>
      <c r="S26" s="21">
        <v>1.1184834123222751</v>
      </c>
      <c r="T26" s="14">
        <v>400</v>
      </c>
      <c r="U26" s="22" t="s">
        <v>34</v>
      </c>
      <c r="V26" s="23" t="s">
        <v>34</v>
      </c>
      <c r="W26" s="30">
        <v>5</v>
      </c>
      <c r="X26" s="24">
        <f t="shared" si="9"/>
        <v>0.17241379310344829</v>
      </c>
      <c r="Y26" s="25">
        <f t="shared" si="10"/>
        <v>4.1437499999999998</v>
      </c>
      <c r="Z26" s="30">
        <v>3</v>
      </c>
      <c r="AA26" s="14" t="s">
        <v>35</v>
      </c>
      <c r="AB26" s="27">
        <f t="shared" si="11"/>
        <v>-0.69</v>
      </c>
      <c r="AC26" s="28">
        <v>0.27277696180555561</v>
      </c>
      <c r="AD26" s="25">
        <f t="shared" si="12"/>
        <v>-10.916534011458335</v>
      </c>
      <c r="AE26" s="25">
        <v>-6.58</v>
      </c>
      <c r="AF26" s="25">
        <v>-16.849499999999999</v>
      </c>
      <c r="AG26" s="25">
        <v>0</v>
      </c>
    </row>
    <row r="27" spans="1:33" ht="15.75" customHeight="1">
      <c r="A27" s="14" t="s">
        <v>53</v>
      </c>
      <c r="B27" s="14" t="s">
        <v>45</v>
      </c>
      <c r="C27" s="15">
        <f t="shared" si="1"/>
        <v>29.162941176470586</v>
      </c>
      <c r="D27" s="16">
        <v>17</v>
      </c>
      <c r="E27" s="16">
        <v>6</v>
      </c>
      <c r="F27" s="17">
        <v>495.77</v>
      </c>
      <c r="G27" s="17">
        <v>-29.9</v>
      </c>
      <c r="H27" s="18">
        <f t="shared" si="2"/>
        <v>6.0310224499263772E-2</v>
      </c>
      <c r="I27" s="18">
        <f t="shared" si="3"/>
        <v>-2.8520982560377425E-2</v>
      </c>
      <c r="J27" s="17">
        <f t="shared" si="4"/>
        <v>-14.139847523958316</v>
      </c>
      <c r="K27" s="17">
        <f t="shared" si="5"/>
        <v>-0.83175573670343039</v>
      </c>
      <c r="L27" s="16">
        <v>43</v>
      </c>
      <c r="M27" s="19">
        <f t="shared" si="6"/>
        <v>0.39534883720930231</v>
      </c>
      <c r="N27" s="16">
        <v>6</v>
      </c>
      <c r="O27" s="20">
        <f t="shared" ref="O27:P27" si="23">D27/7</f>
        <v>2.4285714285714284</v>
      </c>
      <c r="P27" s="20">
        <f t="shared" si="23"/>
        <v>0.8571428571428571</v>
      </c>
      <c r="Q27" s="16">
        <f t="shared" si="8"/>
        <v>1</v>
      </c>
      <c r="R27" s="16"/>
      <c r="S27" s="21">
        <v>1.3284132841328411</v>
      </c>
      <c r="T27" s="14">
        <v>400</v>
      </c>
      <c r="U27" s="22" t="s">
        <v>34</v>
      </c>
      <c r="V27" s="23" t="s">
        <v>34</v>
      </c>
      <c r="W27" s="30">
        <v>6</v>
      </c>
      <c r="X27" s="24">
        <f t="shared" si="9"/>
        <v>0.35294117647058826</v>
      </c>
      <c r="Y27" s="25">
        <f t="shared" si="10"/>
        <v>3.7374999999999998</v>
      </c>
      <c r="Z27" s="30">
        <v>2</v>
      </c>
      <c r="AA27" s="14" t="s">
        <v>35</v>
      </c>
      <c r="AB27" s="27">
        <f t="shared" si="11"/>
        <v>-0.69</v>
      </c>
      <c r="AC27" s="28">
        <v>0.27277696180555561</v>
      </c>
      <c r="AD27" s="25">
        <f t="shared" si="12"/>
        <v>-6.3993475239583342</v>
      </c>
      <c r="AE27" s="25">
        <v>-6.58</v>
      </c>
      <c r="AF27" s="25">
        <v>-16.905000000000001</v>
      </c>
      <c r="AG27" s="25">
        <v>0</v>
      </c>
    </row>
    <row r="28" spans="1:33" ht="15.75" customHeight="1">
      <c r="A28" s="14" t="s">
        <v>54</v>
      </c>
      <c r="B28" s="14"/>
      <c r="C28" s="15" t="str">
        <f t="shared" si="1"/>
        <v xml:space="preserve"> - </v>
      </c>
      <c r="D28" s="16">
        <v>0</v>
      </c>
      <c r="E28" s="16">
        <v>0</v>
      </c>
      <c r="F28" s="17">
        <v>0</v>
      </c>
      <c r="G28" s="17">
        <v>0</v>
      </c>
      <c r="H28" s="18" t="e">
        <f t="shared" si="2"/>
        <v>#DIV/0!</v>
      </c>
      <c r="I28" s="18" t="e">
        <f t="shared" si="3"/>
        <v>#DIV/0!</v>
      </c>
      <c r="J28" s="17">
        <f t="shared" si="4"/>
        <v>0</v>
      </c>
      <c r="K28" s="17" t="e">
        <f t="shared" si="5"/>
        <v>#DIV/0!</v>
      </c>
      <c r="L28" s="16">
        <v>0</v>
      </c>
      <c r="M28" s="19" t="str">
        <f t="shared" si="6"/>
        <v>-</v>
      </c>
      <c r="N28" s="16">
        <v>0</v>
      </c>
      <c r="O28" s="20">
        <f t="shared" ref="O28:P28" si="24">D28/7</f>
        <v>0</v>
      </c>
      <c r="P28" s="20">
        <f t="shared" si="24"/>
        <v>0</v>
      </c>
      <c r="Q28" s="16" t="e">
        <f t="shared" si="8"/>
        <v>#DIV/0!</v>
      </c>
      <c r="R28" s="16"/>
      <c r="S28" s="21">
        <v>1.53125</v>
      </c>
      <c r="T28" s="14">
        <v>100</v>
      </c>
      <c r="U28" s="22" t="s">
        <v>34</v>
      </c>
      <c r="V28" s="23" t="s">
        <v>34</v>
      </c>
      <c r="W28" s="30">
        <v>0</v>
      </c>
      <c r="X28" s="24">
        <f t="shared" si="9"/>
        <v>0</v>
      </c>
      <c r="Y28" s="25">
        <f t="shared" si="10"/>
        <v>0</v>
      </c>
      <c r="Z28" s="30">
        <v>0</v>
      </c>
      <c r="AA28" s="14" t="s">
        <v>35</v>
      </c>
      <c r="AB28" s="27">
        <f t="shared" si="11"/>
        <v>-0.69</v>
      </c>
      <c r="AC28" s="28">
        <v>0.27277696180555561</v>
      </c>
      <c r="AD28" s="25">
        <f t="shared" si="12"/>
        <v>0</v>
      </c>
      <c r="AE28" s="25">
        <v>-6.58</v>
      </c>
      <c r="AF28" s="25">
        <v>-16.905000000000001</v>
      </c>
      <c r="AG28" s="25">
        <v>0</v>
      </c>
    </row>
    <row r="29" spans="1:33" ht="15.75" customHeight="1">
      <c r="A29" s="14" t="s">
        <v>55</v>
      </c>
      <c r="B29" s="14" t="s">
        <v>45</v>
      </c>
      <c r="C29" s="15" t="str">
        <f t="shared" si="1"/>
        <v xml:space="preserve"> - </v>
      </c>
      <c r="D29" s="16">
        <v>0</v>
      </c>
      <c r="E29" s="16">
        <v>0</v>
      </c>
      <c r="F29" s="17">
        <v>0</v>
      </c>
      <c r="G29" s="17">
        <v>0</v>
      </c>
      <c r="H29" s="18" t="e">
        <f t="shared" si="2"/>
        <v>#DIV/0!</v>
      </c>
      <c r="I29" s="18" t="e">
        <f t="shared" si="3"/>
        <v>#DIV/0!</v>
      </c>
      <c r="J29" s="17">
        <f t="shared" si="4"/>
        <v>0</v>
      </c>
      <c r="K29" s="17" t="e">
        <f t="shared" si="5"/>
        <v>#DIV/0!</v>
      </c>
      <c r="L29" s="16">
        <v>0</v>
      </c>
      <c r="M29" s="19" t="str">
        <f t="shared" si="6"/>
        <v>-</v>
      </c>
      <c r="N29" s="16">
        <v>1</v>
      </c>
      <c r="O29" s="20">
        <f t="shared" ref="O29:P29" si="25">D29/7</f>
        <v>0</v>
      </c>
      <c r="P29" s="20">
        <f t="shared" si="25"/>
        <v>0</v>
      </c>
      <c r="Q29" s="16" t="e">
        <f t="shared" si="8"/>
        <v>#DIV/0!</v>
      </c>
      <c r="R29" s="16"/>
      <c r="S29" s="21">
        <v>1.5144032921810699</v>
      </c>
      <c r="T29" s="14">
        <v>100</v>
      </c>
      <c r="U29" s="22" t="s">
        <v>34</v>
      </c>
      <c r="V29" s="23" t="s">
        <v>34</v>
      </c>
      <c r="W29" s="30">
        <v>0</v>
      </c>
      <c r="X29" s="24">
        <f t="shared" si="9"/>
        <v>0</v>
      </c>
      <c r="Y29" s="25">
        <f t="shared" si="10"/>
        <v>0</v>
      </c>
      <c r="Z29" s="30">
        <v>0</v>
      </c>
      <c r="AA29" s="14" t="s">
        <v>35</v>
      </c>
      <c r="AB29" s="27">
        <f t="shared" si="11"/>
        <v>-0.69</v>
      </c>
      <c r="AC29" s="28">
        <v>0.27277696180555561</v>
      </c>
      <c r="AD29" s="25">
        <f t="shared" si="12"/>
        <v>0</v>
      </c>
      <c r="AE29" s="25">
        <v>-6.58</v>
      </c>
      <c r="AF29" s="25">
        <v>-16.905000000000001</v>
      </c>
      <c r="AG29" s="25">
        <v>0</v>
      </c>
    </row>
    <row r="30" spans="1:33" ht="15.75" customHeight="1">
      <c r="A30" s="14" t="s">
        <v>57</v>
      </c>
      <c r="B30" s="14" t="s">
        <v>45</v>
      </c>
      <c r="C30" s="15">
        <f t="shared" si="1"/>
        <v>28.95</v>
      </c>
      <c r="D30" s="16">
        <v>2</v>
      </c>
      <c r="E30" s="16">
        <v>0</v>
      </c>
      <c r="F30" s="17">
        <v>57.9</v>
      </c>
      <c r="G30" s="17">
        <v>0</v>
      </c>
      <c r="H30" s="18">
        <f t="shared" si="2"/>
        <v>0</v>
      </c>
      <c r="I30" s="18">
        <f t="shared" si="3"/>
        <v>4.031396313327567E-2</v>
      </c>
      <c r="J30" s="17">
        <f t="shared" si="4"/>
        <v>2.3341784654166613</v>
      </c>
      <c r="K30" s="17">
        <f t="shared" si="5"/>
        <v>1.1670892327083306</v>
      </c>
      <c r="L30" s="16">
        <v>11</v>
      </c>
      <c r="M30" s="19">
        <f t="shared" si="6"/>
        <v>0.18181818181818182</v>
      </c>
      <c r="N30" s="16">
        <v>0</v>
      </c>
      <c r="O30" s="20">
        <f t="shared" ref="O30:P30" si="26">D30/7</f>
        <v>0.2857142857142857</v>
      </c>
      <c r="P30" s="20">
        <f t="shared" si="26"/>
        <v>0</v>
      </c>
      <c r="Q30" s="16">
        <f t="shared" si="8"/>
        <v>0</v>
      </c>
      <c r="R30" s="16"/>
      <c r="S30" s="21">
        <v>1.535864978902953</v>
      </c>
      <c r="T30" s="14">
        <v>200</v>
      </c>
      <c r="U30" s="22" t="s">
        <v>34</v>
      </c>
      <c r="V30" s="23" t="s">
        <v>34</v>
      </c>
      <c r="W30" s="30">
        <v>0</v>
      </c>
      <c r="X30" s="24">
        <f t="shared" si="9"/>
        <v>0</v>
      </c>
      <c r="Y30" s="25">
        <f t="shared" si="10"/>
        <v>0</v>
      </c>
      <c r="Z30" s="30">
        <v>0</v>
      </c>
      <c r="AA30" s="14" t="s">
        <v>35</v>
      </c>
      <c r="AB30" s="27">
        <f t="shared" si="11"/>
        <v>-0.69</v>
      </c>
      <c r="AC30" s="28">
        <v>0.27277696180555561</v>
      </c>
      <c r="AD30" s="25">
        <f t="shared" si="12"/>
        <v>-0.75286441458333342</v>
      </c>
      <c r="AE30" s="25">
        <v>-6.58</v>
      </c>
      <c r="AF30" s="25">
        <v>-16.483978560000001</v>
      </c>
      <c r="AG30" s="25">
        <v>0</v>
      </c>
    </row>
    <row r="31" spans="1:33" ht="15.75" customHeight="1">
      <c r="A31" s="14" t="s">
        <v>58</v>
      </c>
      <c r="B31" s="14"/>
      <c r="C31" s="15" t="str">
        <f t="shared" si="1"/>
        <v xml:space="preserve"> - </v>
      </c>
      <c r="D31" s="16">
        <v>0</v>
      </c>
      <c r="E31" s="16">
        <v>0</v>
      </c>
      <c r="F31" s="17">
        <v>0</v>
      </c>
      <c r="G31" s="17">
        <v>0</v>
      </c>
      <c r="H31" s="18" t="e">
        <f t="shared" si="2"/>
        <v>#DIV/0!</v>
      </c>
      <c r="I31" s="18" t="e">
        <f t="shared" si="3"/>
        <v>#DIV/0!</v>
      </c>
      <c r="J31" s="17">
        <f t="shared" si="4"/>
        <v>0</v>
      </c>
      <c r="K31" s="17" t="e">
        <f t="shared" si="5"/>
        <v>#DIV/0!</v>
      </c>
      <c r="L31" s="16">
        <v>0</v>
      </c>
      <c r="M31" s="19" t="str">
        <f t="shared" si="6"/>
        <v>-</v>
      </c>
      <c r="N31" s="16">
        <v>0</v>
      </c>
      <c r="O31" s="20">
        <f t="shared" ref="O31:P31" si="27">D31/7</f>
        <v>0</v>
      </c>
      <c r="P31" s="20">
        <f t="shared" si="27"/>
        <v>0</v>
      </c>
      <c r="Q31" s="16" t="e">
        <f t="shared" si="8"/>
        <v>#DIV/0!</v>
      </c>
      <c r="R31" s="16"/>
      <c r="S31" s="21" t="e">
        <v>#N/A</v>
      </c>
      <c r="T31" s="14">
        <v>200</v>
      </c>
      <c r="U31" s="22" t="s">
        <v>34</v>
      </c>
      <c r="V31" s="23" t="s">
        <v>84</v>
      </c>
      <c r="W31" s="30">
        <v>0</v>
      </c>
      <c r="X31" s="24">
        <f t="shared" si="9"/>
        <v>0</v>
      </c>
      <c r="Y31" s="25">
        <f t="shared" si="10"/>
        <v>0</v>
      </c>
      <c r="Z31" s="30">
        <v>0</v>
      </c>
      <c r="AA31" s="14" t="s">
        <v>35</v>
      </c>
      <c r="AB31" s="27">
        <f t="shared" si="11"/>
        <v>-0.69</v>
      </c>
      <c r="AC31" s="28">
        <v>0.27277696180555561</v>
      </c>
      <c r="AD31" s="25">
        <f t="shared" si="12"/>
        <v>0</v>
      </c>
      <c r="AE31" s="25">
        <v>-6.58</v>
      </c>
      <c r="AF31" s="25">
        <v>-16.483978560000001</v>
      </c>
      <c r="AG31" s="25">
        <v>0</v>
      </c>
    </row>
    <row r="32" spans="1:33" ht="15.75" customHeight="1">
      <c r="A32" s="14" t="s">
        <v>60</v>
      </c>
      <c r="B32" s="14"/>
      <c r="C32" s="15" t="str">
        <f t="shared" si="1"/>
        <v xml:space="preserve"> - </v>
      </c>
      <c r="D32" s="16">
        <v>0</v>
      </c>
      <c r="E32" s="16">
        <v>0</v>
      </c>
      <c r="F32" s="17">
        <v>0</v>
      </c>
      <c r="G32" s="17">
        <v>0</v>
      </c>
      <c r="H32" s="18" t="e">
        <f t="shared" si="2"/>
        <v>#DIV/0!</v>
      </c>
      <c r="I32" s="18" t="e">
        <f t="shared" si="3"/>
        <v>#DIV/0!</v>
      </c>
      <c r="J32" s="17">
        <f t="shared" si="4"/>
        <v>0</v>
      </c>
      <c r="K32" s="17" t="e">
        <f t="shared" si="5"/>
        <v>#DIV/0!</v>
      </c>
      <c r="L32" s="16">
        <v>0</v>
      </c>
      <c r="M32" s="19" t="str">
        <f t="shared" si="6"/>
        <v>-</v>
      </c>
      <c r="N32" s="16">
        <v>0</v>
      </c>
      <c r="O32" s="20">
        <f t="shared" ref="O32:P32" si="28">D32/7</f>
        <v>0</v>
      </c>
      <c r="P32" s="20">
        <f t="shared" si="28"/>
        <v>0</v>
      </c>
      <c r="Q32" s="16" t="e">
        <f t="shared" si="8"/>
        <v>#DIV/0!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0</v>
      </c>
      <c r="T32" s="14">
        <f ca="1">IFERROR(__xludf.DUMMYFUNCTION("IFERROR(VLOOKUP($B$2,IMPORTRANGE(""https://docs.google.com/spreadsheets/d/1KiWZV1ko8G7lnRucBRBd29jj3Be6ltMfljMDqzOkQmI/edit#gid=1381463014"",""Lookup!A:D""),4,FALSE),"""")"),200)</f>
        <v>200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23" t="str">
        <f ca="1">IFERROR(__xludf.DUMMYFUNCTION("IFERROR(VLOOKUP($B$2,IMPORTRANGE(""https://docs.google.com/spreadsheets/d/1KiWZV1ko8G7lnRucBRBd29jj3Be6ltMfljMDqzOkQmI/edit#gid=1381463014"",""Lookup!A:D""),2,FALSE),"""")"),"No Transit, But 200 At Factory 50-75 days from Earliest Arrival")</f>
        <v>No Transit, But 200 At Factory 50-75 days from Earliest Arrival</v>
      </c>
      <c r="W32" s="30">
        <v>0</v>
      </c>
      <c r="X32" s="24">
        <f t="shared" si="9"/>
        <v>0</v>
      </c>
      <c r="Y32" s="25">
        <f t="shared" si="10"/>
        <v>0</v>
      </c>
      <c r="Z32" s="30">
        <v>0</v>
      </c>
      <c r="AA32" s="14" t="s">
        <v>35</v>
      </c>
      <c r="AB32" s="27">
        <f t="shared" si="11"/>
        <v>-0.69</v>
      </c>
      <c r="AC32" s="28">
        <v>0.27277696180555561</v>
      </c>
      <c r="AD32" s="25">
        <f t="shared" si="12"/>
        <v>0</v>
      </c>
      <c r="AE32" s="25">
        <v>-6.58</v>
      </c>
      <c r="AF32" s="25">
        <v>-16.483978560000001</v>
      </c>
      <c r="AG32" s="25">
        <v>0</v>
      </c>
    </row>
    <row r="33" spans="1:33" ht="15.75" customHeight="1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16"/>
      <c r="S33" s="21"/>
      <c r="T33" s="31"/>
      <c r="U33" s="36"/>
      <c r="V33" s="1"/>
      <c r="W33" s="31"/>
      <c r="X33" s="31"/>
      <c r="Y33" s="31"/>
      <c r="Z33" s="31"/>
      <c r="AA33" s="2"/>
      <c r="AB33" s="31"/>
      <c r="AC33" s="31"/>
      <c r="AD33" s="31"/>
      <c r="AE33" s="37"/>
      <c r="AF33" s="37"/>
      <c r="AG33" s="37"/>
    </row>
    <row r="34" spans="1:33" ht="15.75" customHeight="1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6"/>
      <c r="V34" s="1"/>
      <c r="W34" s="31"/>
      <c r="X34" s="31"/>
      <c r="Y34" s="31"/>
      <c r="Z34" s="31"/>
      <c r="AA34" s="2"/>
      <c r="AB34" s="31"/>
      <c r="AC34" s="31"/>
      <c r="AD34" s="31"/>
      <c r="AE34" s="37"/>
      <c r="AF34" s="37"/>
      <c r="AG34" s="37"/>
    </row>
    <row r="35" spans="1:33" ht="15.75" customHeight="1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6"/>
      <c r="V35" s="1"/>
      <c r="W35" s="31"/>
      <c r="X35" s="31"/>
      <c r="Y35" s="31"/>
      <c r="Z35" s="31"/>
      <c r="AA35" s="2"/>
      <c r="AB35" s="31"/>
      <c r="AC35" s="31"/>
      <c r="AD35" s="31"/>
      <c r="AE35" s="37"/>
      <c r="AF35" s="37"/>
      <c r="AG35" s="37"/>
    </row>
    <row r="36" spans="1:33" ht="15.75" customHeight="1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6"/>
      <c r="V36" s="1"/>
      <c r="W36" s="31"/>
      <c r="X36" s="31"/>
      <c r="Y36" s="31"/>
      <c r="Z36" s="31"/>
      <c r="AA36" s="2"/>
      <c r="AB36" s="31"/>
      <c r="AC36" s="31"/>
      <c r="AD36" s="31"/>
      <c r="AE36" s="37"/>
      <c r="AF36" s="37"/>
      <c r="AG36" s="37"/>
    </row>
    <row r="37" spans="1:33" ht="15.75" customHeight="1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6"/>
      <c r="V37" s="1"/>
      <c r="W37" s="31"/>
      <c r="X37" s="31"/>
      <c r="Y37" s="31"/>
      <c r="Z37" s="31"/>
      <c r="AA37" s="2"/>
      <c r="AB37" s="31"/>
      <c r="AC37" s="31"/>
      <c r="AD37" s="31"/>
      <c r="AE37" s="37"/>
      <c r="AF37" s="37"/>
      <c r="AG37" s="37"/>
    </row>
    <row r="38" spans="1:33" ht="15.75" customHeight="1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6"/>
      <c r="V38" s="1"/>
      <c r="W38" s="31"/>
      <c r="X38" s="31"/>
      <c r="Y38" s="31"/>
      <c r="Z38" s="31"/>
      <c r="AA38" s="2"/>
      <c r="AB38" s="31"/>
      <c r="AC38" s="31"/>
      <c r="AD38" s="31"/>
      <c r="AE38" s="37"/>
      <c r="AF38" s="37"/>
      <c r="AG38" s="37"/>
    </row>
    <row r="39" spans="1:33" ht="15.75" customHeight="1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6"/>
      <c r="V39" s="1"/>
      <c r="W39" s="31"/>
      <c r="X39" s="31"/>
      <c r="Y39" s="31"/>
      <c r="Z39" s="31"/>
      <c r="AA39" s="2"/>
      <c r="AB39" s="31"/>
      <c r="AC39" s="31"/>
      <c r="AD39" s="31"/>
      <c r="AE39" s="37"/>
      <c r="AF39" s="37"/>
      <c r="AG39" s="37"/>
    </row>
    <row r="40" spans="1:33" ht="15.75" customHeight="1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6"/>
      <c r="V40" s="1"/>
      <c r="W40" s="31"/>
      <c r="X40" s="31"/>
      <c r="Y40" s="31"/>
      <c r="Z40" s="31"/>
      <c r="AA40" s="2"/>
      <c r="AB40" s="31"/>
      <c r="AC40" s="31"/>
      <c r="AD40" s="31"/>
      <c r="AE40" s="37"/>
      <c r="AF40" s="37"/>
      <c r="AG40" s="37"/>
    </row>
    <row r="41" spans="1:33" ht="15.75" customHeight="1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6"/>
      <c r="V41" s="1"/>
      <c r="W41" s="31"/>
      <c r="X41" s="31"/>
      <c r="Y41" s="31"/>
      <c r="Z41" s="31"/>
      <c r="AA41" s="2"/>
      <c r="AB41" s="31"/>
      <c r="AC41" s="31"/>
      <c r="AD41" s="31"/>
      <c r="AE41" s="37"/>
      <c r="AF41" s="37"/>
      <c r="AG41" s="37"/>
    </row>
    <row r="42" spans="1:33" ht="15.75" customHeight="1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6"/>
      <c r="V42" s="1"/>
      <c r="W42" s="31"/>
      <c r="X42" s="31"/>
      <c r="Y42" s="31"/>
      <c r="Z42" s="31"/>
      <c r="AA42" s="2"/>
      <c r="AB42" s="31"/>
      <c r="AC42" s="31"/>
      <c r="AD42" s="31"/>
      <c r="AE42" s="37"/>
      <c r="AF42" s="37"/>
      <c r="AG42" s="37"/>
    </row>
    <row r="43" spans="1:33" ht="15.75" customHeight="1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6"/>
      <c r="V43" s="1"/>
      <c r="W43" s="31"/>
      <c r="X43" s="31"/>
      <c r="Y43" s="31"/>
      <c r="Z43" s="31"/>
      <c r="AA43" s="2"/>
      <c r="AB43" s="31"/>
      <c r="AC43" s="31"/>
      <c r="AD43" s="31"/>
      <c r="AE43" s="37"/>
      <c r="AF43" s="37"/>
      <c r="AG43" s="37"/>
    </row>
    <row r="44" spans="1:33" ht="15.75" customHeight="1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6"/>
      <c r="V44" s="1"/>
      <c r="W44" s="31"/>
      <c r="X44" s="31"/>
      <c r="Y44" s="31"/>
      <c r="Z44" s="31"/>
      <c r="AA44" s="2"/>
      <c r="AB44" s="31"/>
      <c r="AC44" s="31"/>
      <c r="AD44" s="31"/>
      <c r="AE44" s="37"/>
      <c r="AF44" s="37"/>
      <c r="AG44" s="37"/>
    </row>
    <row r="45" spans="1:33" ht="15.75" customHeight="1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6"/>
      <c r="V45" s="1"/>
      <c r="W45" s="31"/>
      <c r="X45" s="31"/>
      <c r="Y45" s="31"/>
      <c r="Z45" s="31"/>
      <c r="AA45" s="2"/>
      <c r="AB45" s="31"/>
      <c r="AC45" s="31"/>
      <c r="AD45" s="31"/>
      <c r="AE45" s="37"/>
      <c r="AF45" s="37"/>
      <c r="AG45" s="37"/>
    </row>
    <row r="46" spans="1:33" ht="15.75" customHeight="1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6"/>
      <c r="V46" s="1"/>
      <c r="W46" s="31"/>
      <c r="X46" s="31"/>
      <c r="Y46" s="31"/>
      <c r="Z46" s="31"/>
      <c r="AA46" s="2"/>
      <c r="AB46" s="31"/>
      <c r="AC46" s="31"/>
      <c r="AD46" s="31"/>
      <c r="AE46" s="37"/>
      <c r="AF46" s="37"/>
      <c r="AG46" s="37"/>
    </row>
    <row r="47" spans="1:33" ht="15.75" customHeight="1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6"/>
      <c r="V47" s="1"/>
      <c r="W47" s="31"/>
      <c r="X47" s="31"/>
      <c r="Y47" s="31"/>
      <c r="Z47" s="31"/>
      <c r="AA47" s="2"/>
      <c r="AB47" s="31"/>
      <c r="AC47" s="31"/>
      <c r="AD47" s="31"/>
      <c r="AE47" s="37"/>
      <c r="AF47" s="37"/>
      <c r="AG47" s="37"/>
    </row>
    <row r="48" spans="1:33" ht="15.75" customHeight="1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6"/>
      <c r="V48" s="1"/>
      <c r="W48" s="31"/>
      <c r="X48" s="31"/>
      <c r="Y48" s="31"/>
      <c r="Z48" s="31"/>
      <c r="AA48" s="2"/>
      <c r="AB48" s="31"/>
      <c r="AC48" s="31"/>
      <c r="AD48" s="31"/>
      <c r="AE48" s="37"/>
      <c r="AF48" s="37"/>
      <c r="AG48" s="37"/>
    </row>
    <row r="49" spans="1:33" ht="15.75" customHeight="1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6"/>
      <c r="V49" s="1"/>
      <c r="W49" s="31"/>
      <c r="X49" s="31"/>
      <c r="Y49" s="31"/>
      <c r="Z49" s="31"/>
      <c r="AA49" s="2"/>
      <c r="AB49" s="31"/>
      <c r="AC49" s="31"/>
      <c r="AD49" s="31"/>
      <c r="AE49" s="37"/>
      <c r="AF49" s="37"/>
      <c r="AG49" s="37"/>
    </row>
    <row r="50" spans="1:33" ht="15.75" customHeight="1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6"/>
      <c r="V50" s="1"/>
      <c r="W50" s="31"/>
      <c r="X50" s="31"/>
      <c r="Y50" s="31"/>
      <c r="Z50" s="31"/>
      <c r="AA50" s="2"/>
      <c r="AB50" s="31"/>
      <c r="AC50" s="31"/>
      <c r="AD50" s="31"/>
      <c r="AE50" s="37"/>
      <c r="AF50" s="37"/>
      <c r="AG50" s="37"/>
    </row>
    <row r="51" spans="1:33" ht="15.75" customHeight="1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6"/>
      <c r="V51" s="1"/>
      <c r="W51" s="31"/>
      <c r="X51" s="31"/>
      <c r="Y51" s="31"/>
      <c r="Z51" s="31"/>
      <c r="AA51" s="2"/>
      <c r="AB51" s="31"/>
      <c r="AC51" s="31"/>
      <c r="AD51" s="31"/>
      <c r="AE51" s="37"/>
      <c r="AF51" s="37"/>
      <c r="AG51" s="37"/>
    </row>
    <row r="52" spans="1:33" ht="15.75" customHeight="1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6"/>
      <c r="V52" s="1"/>
      <c r="W52" s="31"/>
      <c r="X52" s="31"/>
      <c r="Y52" s="31"/>
      <c r="Z52" s="31"/>
      <c r="AA52" s="2"/>
      <c r="AB52" s="31"/>
      <c r="AC52" s="31"/>
      <c r="AD52" s="31"/>
      <c r="AE52" s="37"/>
      <c r="AF52" s="37"/>
      <c r="AG52" s="37"/>
    </row>
    <row r="53" spans="1:33" ht="15.75" customHeight="1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6"/>
      <c r="V53" s="1"/>
      <c r="W53" s="31"/>
      <c r="X53" s="31"/>
      <c r="Y53" s="31"/>
      <c r="Z53" s="31"/>
      <c r="AA53" s="2"/>
      <c r="AB53" s="31"/>
      <c r="AC53" s="31"/>
      <c r="AD53" s="31"/>
      <c r="AE53" s="37"/>
      <c r="AF53" s="37"/>
      <c r="AG53" s="37"/>
    </row>
    <row r="54" spans="1:33" ht="15.75" customHeight="1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6"/>
      <c r="V54" s="1"/>
      <c r="W54" s="31"/>
      <c r="X54" s="31"/>
      <c r="Y54" s="31"/>
      <c r="Z54" s="31"/>
      <c r="AA54" s="2"/>
      <c r="AB54" s="31"/>
      <c r="AC54" s="31"/>
      <c r="AD54" s="31"/>
      <c r="AE54" s="37"/>
      <c r="AF54" s="37"/>
      <c r="AG54" s="37"/>
    </row>
    <row r="55" spans="1:33" ht="15.75" customHeight="1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6"/>
      <c r="V55" s="1"/>
      <c r="W55" s="31"/>
      <c r="X55" s="31"/>
      <c r="Y55" s="31"/>
      <c r="Z55" s="31"/>
      <c r="AA55" s="2"/>
      <c r="AB55" s="31"/>
      <c r="AC55" s="31"/>
      <c r="AD55" s="31"/>
      <c r="AE55" s="37"/>
      <c r="AF55" s="37"/>
      <c r="AG55" s="37"/>
    </row>
    <row r="56" spans="1:33" ht="15.75" customHeight="1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6"/>
      <c r="V56" s="1"/>
      <c r="W56" s="31"/>
      <c r="X56" s="31"/>
      <c r="Y56" s="31"/>
      <c r="Z56" s="31"/>
      <c r="AA56" s="2"/>
      <c r="AB56" s="31"/>
      <c r="AC56" s="31"/>
      <c r="AD56" s="31"/>
      <c r="AE56" s="37"/>
      <c r="AF56" s="37"/>
      <c r="AG56" s="37"/>
    </row>
    <row r="57" spans="1:33" ht="15.75" customHeight="1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6"/>
      <c r="V57" s="1"/>
      <c r="W57" s="31"/>
      <c r="X57" s="31"/>
      <c r="Y57" s="31"/>
      <c r="Z57" s="31"/>
      <c r="AA57" s="2"/>
      <c r="AB57" s="31"/>
      <c r="AC57" s="31"/>
      <c r="AD57" s="31"/>
      <c r="AE57" s="37"/>
      <c r="AF57" s="37"/>
      <c r="AG57" s="37"/>
    </row>
    <row r="58" spans="1:33" ht="15.75" customHeight="1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6"/>
      <c r="V58" s="1"/>
      <c r="W58" s="31"/>
      <c r="X58" s="31"/>
      <c r="Y58" s="31"/>
      <c r="Z58" s="31"/>
      <c r="AA58" s="2"/>
      <c r="AB58" s="31"/>
      <c r="AC58" s="31"/>
      <c r="AD58" s="31"/>
      <c r="AE58" s="37"/>
      <c r="AF58" s="37"/>
      <c r="AG58" s="37"/>
    </row>
    <row r="59" spans="1:33" ht="15.75" customHeight="1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6"/>
      <c r="V59" s="1"/>
      <c r="W59" s="31"/>
      <c r="X59" s="31"/>
      <c r="Y59" s="31"/>
      <c r="Z59" s="31"/>
      <c r="AA59" s="2"/>
      <c r="AB59" s="31"/>
      <c r="AC59" s="31"/>
      <c r="AD59" s="31"/>
      <c r="AE59" s="37"/>
      <c r="AF59" s="37"/>
      <c r="AG59" s="37"/>
    </row>
    <row r="60" spans="1:33" ht="15.75" customHeight="1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6"/>
      <c r="V60" s="1"/>
      <c r="W60" s="31"/>
      <c r="X60" s="31"/>
      <c r="Y60" s="31"/>
      <c r="Z60" s="31"/>
      <c r="AA60" s="2"/>
      <c r="AB60" s="31"/>
      <c r="AC60" s="31"/>
      <c r="AD60" s="31"/>
      <c r="AE60" s="37"/>
      <c r="AF60" s="37"/>
      <c r="AG60" s="37"/>
    </row>
    <row r="61" spans="1:33" ht="15.75" customHeight="1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6"/>
      <c r="V61" s="1"/>
      <c r="W61" s="31"/>
      <c r="X61" s="31"/>
      <c r="Y61" s="31"/>
      <c r="Z61" s="31"/>
      <c r="AA61" s="2"/>
      <c r="AB61" s="31"/>
      <c r="AC61" s="31"/>
      <c r="AD61" s="31"/>
      <c r="AE61" s="37"/>
      <c r="AF61" s="37"/>
      <c r="AG61" s="37"/>
    </row>
    <row r="62" spans="1:33" ht="15.75" customHeight="1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6"/>
      <c r="V62" s="1"/>
      <c r="W62" s="31"/>
      <c r="X62" s="31"/>
      <c r="Y62" s="31"/>
      <c r="Z62" s="31"/>
      <c r="AA62" s="2"/>
      <c r="AB62" s="31"/>
      <c r="AC62" s="31"/>
      <c r="AD62" s="31"/>
      <c r="AE62" s="37"/>
      <c r="AF62" s="37"/>
      <c r="AG62" s="37"/>
    </row>
    <row r="63" spans="1:33" ht="15.75" customHeight="1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6"/>
      <c r="V63" s="1"/>
      <c r="W63" s="31"/>
      <c r="X63" s="31"/>
      <c r="Y63" s="31"/>
      <c r="Z63" s="31"/>
      <c r="AA63" s="2"/>
      <c r="AB63" s="31"/>
      <c r="AC63" s="31"/>
      <c r="AD63" s="31"/>
      <c r="AE63" s="37"/>
      <c r="AF63" s="37"/>
      <c r="AG63" s="37"/>
    </row>
    <row r="64" spans="1:33" ht="15.75" customHeight="1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6"/>
      <c r="V64" s="1"/>
      <c r="W64" s="31"/>
      <c r="X64" s="31"/>
      <c r="Y64" s="31"/>
      <c r="Z64" s="31"/>
      <c r="AA64" s="2"/>
      <c r="AB64" s="31"/>
      <c r="AC64" s="31"/>
      <c r="AD64" s="31"/>
      <c r="AE64" s="37"/>
      <c r="AF64" s="37"/>
      <c r="AG64" s="37"/>
    </row>
    <row r="65" spans="1:33" ht="15.75" customHeight="1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6"/>
      <c r="V65" s="1"/>
      <c r="W65" s="31"/>
      <c r="X65" s="31"/>
      <c r="Y65" s="31"/>
      <c r="Z65" s="31"/>
      <c r="AA65" s="2"/>
      <c r="AB65" s="31"/>
      <c r="AC65" s="31"/>
      <c r="AD65" s="31"/>
      <c r="AE65" s="37"/>
      <c r="AF65" s="37"/>
      <c r="AG65" s="37"/>
    </row>
    <row r="66" spans="1:33" ht="15.75" customHeight="1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6"/>
      <c r="V66" s="1"/>
      <c r="W66" s="31"/>
      <c r="X66" s="31"/>
      <c r="Y66" s="31"/>
      <c r="Z66" s="31"/>
      <c r="AA66" s="2"/>
      <c r="AB66" s="31"/>
      <c r="AC66" s="31"/>
      <c r="AD66" s="31"/>
      <c r="AE66" s="37"/>
      <c r="AF66" s="37"/>
      <c r="AG66" s="37"/>
    </row>
    <row r="67" spans="1:33" ht="15.75" customHeight="1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6"/>
      <c r="V67" s="1"/>
      <c r="W67" s="31"/>
      <c r="X67" s="31"/>
      <c r="Y67" s="31"/>
      <c r="Z67" s="31"/>
      <c r="AA67" s="2"/>
      <c r="AB67" s="31"/>
      <c r="AC67" s="31"/>
      <c r="AD67" s="31"/>
      <c r="AE67" s="37"/>
      <c r="AF67" s="37"/>
      <c r="AG67" s="37"/>
    </row>
    <row r="68" spans="1:33" ht="15.75" customHeight="1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6"/>
      <c r="V68" s="1"/>
      <c r="W68" s="31"/>
      <c r="X68" s="31"/>
      <c r="Y68" s="31"/>
      <c r="Z68" s="31"/>
      <c r="AA68" s="2"/>
      <c r="AB68" s="31"/>
      <c r="AC68" s="31"/>
      <c r="AD68" s="31"/>
      <c r="AE68" s="37"/>
      <c r="AF68" s="37"/>
      <c r="AG68" s="37"/>
    </row>
    <row r="69" spans="1:33" ht="15.75" customHeight="1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6"/>
      <c r="V69" s="1"/>
      <c r="W69" s="31"/>
      <c r="X69" s="31"/>
      <c r="Y69" s="31"/>
      <c r="Z69" s="31"/>
      <c r="AA69" s="2"/>
      <c r="AB69" s="31"/>
      <c r="AC69" s="31"/>
      <c r="AD69" s="31"/>
      <c r="AE69" s="37"/>
      <c r="AF69" s="37"/>
      <c r="AG69" s="37"/>
    </row>
    <row r="70" spans="1:33" ht="15.75" customHeight="1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6"/>
      <c r="V70" s="1"/>
      <c r="W70" s="31"/>
      <c r="X70" s="31"/>
      <c r="Y70" s="31"/>
      <c r="Z70" s="31"/>
      <c r="AA70" s="2"/>
      <c r="AB70" s="31"/>
      <c r="AC70" s="31"/>
      <c r="AD70" s="31"/>
      <c r="AE70" s="37"/>
      <c r="AF70" s="37"/>
      <c r="AG70" s="37"/>
    </row>
    <row r="71" spans="1:33" ht="15.75" customHeight="1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6"/>
      <c r="V71" s="1"/>
      <c r="W71" s="31"/>
      <c r="X71" s="31"/>
      <c r="Y71" s="31"/>
      <c r="Z71" s="31"/>
      <c r="AA71" s="2"/>
      <c r="AB71" s="31"/>
      <c r="AC71" s="31"/>
      <c r="AD71" s="31"/>
      <c r="AE71" s="37"/>
      <c r="AF71" s="37"/>
      <c r="AG71" s="37"/>
    </row>
    <row r="72" spans="1:33" ht="15.75" customHeight="1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6"/>
      <c r="V72" s="1"/>
      <c r="W72" s="31"/>
      <c r="X72" s="31"/>
      <c r="Y72" s="31"/>
      <c r="Z72" s="31"/>
      <c r="AA72" s="2"/>
      <c r="AB72" s="31"/>
      <c r="AC72" s="31"/>
      <c r="AD72" s="31"/>
      <c r="AE72" s="37"/>
      <c r="AF72" s="37"/>
      <c r="AG72" s="37"/>
    </row>
    <row r="73" spans="1:33" ht="15.75" customHeight="1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6"/>
      <c r="V73" s="1"/>
      <c r="W73" s="31"/>
      <c r="X73" s="31"/>
      <c r="Y73" s="31"/>
      <c r="Z73" s="31"/>
      <c r="AA73" s="2"/>
      <c r="AB73" s="31"/>
      <c r="AC73" s="31"/>
      <c r="AD73" s="31"/>
      <c r="AE73" s="37"/>
      <c r="AF73" s="37"/>
      <c r="AG73" s="37"/>
    </row>
    <row r="74" spans="1:33" ht="15.75" customHeight="1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6"/>
      <c r="V74" s="1"/>
      <c r="W74" s="31"/>
      <c r="X74" s="31"/>
      <c r="Y74" s="31"/>
      <c r="Z74" s="31"/>
      <c r="AA74" s="2"/>
      <c r="AB74" s="31"/>
      <c r="AC74" s="31"/>
      <c r="AD74" s="31"/>
      <c r="AE74" s="37"/>
      <c r="AF74" s="37"/>
      <c r="AG74" s="37"/>
    </row>
    <row r="75" spans="1:33" ht="15.75" customHeight="1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6"/>
      <c r="V75" s="1"/>
      <c r="W75" s="31"/>
      <c r="X75" s="31"/>
      <c r="Y75" s="31"/>
      <c r="Z75" s="31"/>
      <c r="AA75" s="2"/>
      <c r="AB75" s="31"/>
      <c r="AC75" s="31"/>
      <c r="AD75" s="31"/>
      <c r="AE75" s="37"/>
      <c r="AF75" s="37"/>
      <c r="AG75" s="37"/>
    </row>
    <row r="76" spans="1:33" ht="15.75" customHeight="1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6"/>
      <c r="V76" s="1"/>
      <c r="W76" s="31"/>
      <c r="X76" s="31"/>
      <c r="Y76" s="31"/>
      <c r="Z76" s="31"/>
      <c r="AA76" s="2"/>
      <c r="AB76" s="31"/>
      <c r="AC76" s="31"/>
      <c r="AD76" s="31"/>
      <c r="AE76" s="37"/>
      <c r="AF76" s="37"/>
      <c r="AG76" s="37"/>
    </row>
    <row r="77" spans="1:33" ht="15.75" customHeight="1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6"/>
      <c r="V77" s="1"/>
      <c r="W77" s="31"/>
      <c r="X77" s="31"/>
      <c r="Y77" s="31"/>
      <c r="Z77" s="31"/>
      <c r="AA77" s="2"/>
      <c r="AB77" s="31"/>
      <c r="AC77" s="31"/>
      <c r="AD77" s="31"/>
      <c r="AE77" s="37"/>
      <c r="AF77" s="37"/>
      <c r="AG77" s="37"/>
    </row>
    <row r="78" spans="1:33" ht="15.75" customHeight="1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6"/>
      <c r="V78" s="1"/>
      <c r="W78" s="31"/>
      <c r="X78" s="31"/>
      <c r="Y78" s="31"/>
      <c r="Z78" s="31"/>
      <c r="AA78" s="2"/>
      <c r="AB78" s="31"/>
      <c r="AC78" s="31"/>
      <c r="AD78" s="31"/>
      <c r="AE78" s="37"/>
      <c r="AF78" s="37"/>
      <c r="AG78" s="37"/>
    </row>
    <row r="79" spans="1:33" ht="15.75" customHeight="1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6"/>
      <c r="V79" s="1"/>
      <c r="W79" s="31"/>
      <c r="X79" s="31"/>
      <c r="Y79" s="31"/>
      <c r="Z79" s="31"/>
      <c r="AA79" s="2"/>
      <c r="AB79" s="31"/>
      <c r="AC79" s="31"/>
      <c r="AD79" s="31"/>
      <c r="AE79" s="37"/>
      <c r="AF79" s="37"/>
      <c r="AG79" s="37"/>
    </row>
    <row r="80" spans="1:33" ht="15.75" customHeight="1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6"/>
      <c r="V80" s="1"/>
      <c r="W80" s="31"/>
      <c r="X80" s="31"/>
      <c r="Y80" s="31"/>
      <c r="Z80" s="31"/>
      <c r="AA80" s="2"/>
      <c r="AB80" s="31"/>
      <c r="AC80" s="31"/>
      <c r="AD80" s="31"/>
      <c r="AE80" s="37"/>
      <c r="AF80" s="37"/>
      <c r="AG80" s="37"/>
    </row>
    <row r="81" spans="1:33" ht="15.75" customHeight="1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6"/>
      <c r="V81" s="1"/>
      <c r="W81" s="31"/>
      <c r="X81" s="31"/>
      <c r="Y81" s="31"/>
      <c r="Z81" s="31"/>
      <c r="AA81" s="2"/>
      <c r="AB81" s="31"/>
      <c r="AC81" s="31"/>
      <c r="AD81" s="31"/>
      <c r="AE81" s="37"/>
      <c r="AF81" s="37"/>
      <c r="AG81" s="37"/>
    </row>
    <row r="82" spans="1:33" ht="15.75" customHeight="1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6"/>
      <c r="V82" s="1"/>
      <c r="W82" s="31"/>
      <c r="X82" s="31"/>
      <c r="Y82" s="31"/>
      <c r="Z82" s="31"/>
      <c r="AA82" s="2"/>
      <c r="AB82" s="31"/>
      <c r="AC82" s="31"/>
      <c r="AD82" s="31"/>
      <c r="AE82" s="37"/>
      <c r="AF82" s="37"/>
      <c r="AG82" s="37"/>
    </row>
    <row r="83" spans="1:33" ht="15.75" customHeight="1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6"/>
      <c r="V83" s="1"/>
      <c r="W83" s="31"/>
      <c r="X83" s="31"/>
      <c r="Y83" s="31"/>
      <c r="Z83" s="31"/>
      <c r="AA83" s="2"/>
      <c r="AB83" s="31"/>
      <c r="AC83" s="31"/>
      <c r="AD83" s="31"/>
      <c r="AE83" s="37"/>
      <c r="AF83" s="37"/>
      <c r="AG83" s="37"/>
    </row>
    <row r="84" spans="1:33" ht="15.75" customHeight="1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6"/>
      <c r="V84" s="1"/>
      <c r="W84" s="31"/>
      <c r="X84" s="31"/>
      <c r="Y84" s="31"/>
      <c r="Z84" s="31"/>
      <c r="AA84" s="2"/>
      <c r="AB84" s="31"/>
      <c r="AC84" s="31"/>
      <c r="AD84" s="31"/>
      <c r="AE84" s="37"/>
      <c r="AF84" s="37"/>
      <c r="AG84" s="37"/>
    </row>
    <row r="85" spans="1:33" ht="15.75" customHeight="1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6"/>
      <c r="V85" s="1"/>
      <c r="W85" s="31"/>
      <c r="X85" s="31"/>
      <c r="Y85" s="31"/>
      <c r="Z85" s="31"/>
      <c r="AA85" s="2"/>
      <c r="AB85" s="31"/>
      <c r="AC85" s="31"/>
      <c r="AD85" s="31"/>
      <c r="AE85" s="37"/>
      <c r="AF85" s="37"/>
      <c r="AG85" s="37"/>
    </row>
    <row r="86" spans="1:33" ht="15.75" customHeight="1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6"/>
      <c r="V86" s="1"/>
      <c r="W86" s="31"/>
      <c r="X86" s="31"/>
      <c r="Y86" s="31"/>
      <c r="Z86" s="31"/>
      <c r="AA86" s="2"/>
      <c r="AB86" s="31"/>
      <c r="AC86" s="31"/>
      <c r="AD86" s="31"/>
      <c r="AE86" s="37"/>
      <c r="AF86" s="37"/>
      <c r="AG86" s="37"/>
    </row>
    <row r="87" spans="1:33" ht="15.75" customHeight="1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6"/>
      <c r="V87" s="1"/>
      <c r="W87" s="31"/>
      <c r="X87" s="31"/>
      <c r="Y87" s="31"/>
      <c r="Z87" s="31"/>
      <c r="AA87" s="2"/>
      <c r="AB87" s="31"/>
      <c r="AC87" s="31"/>
      <c r="AD87" s="31"/>
      <c r="AE87" s="37"/>
      <c r="AF87" s="37"/>
      <c r="AG87" s="37"/>
    </row>
    <row r="88" spans="1:33" ht="15.75" customHeight="1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6"/>
      <c r="V88" s="1"/>
      <c r="W88" s="31"/>
      <c r="X88" s="31"/>
      <c r="Y88" s="31"/>
      <c r="Z88" s="31"/>
      <c r="AA88" s="2"/>
      <c r="AB88" s="31"/>
      <c r="AC88" s="31"/>
      <c r="AD88" s="31"/>
      <c r="AE88" s="37"/>
      <c r="AF88" s="37"/>
      <c r="AG88" s="37"/>
    </row>
    <row r="89" spans="1:33" ht="15.75" customHeight="1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6"/>
      <c r="V89" s="1"/>
      <c r="W89" s="31"/>
      <c r="X89" s="31"/>
      <c r="Y89" s="31"/>
      <c r="Z89" s="31"/>
      <c r="AA89" s="2"/>
      <c r="AB89" s="31"/>
      <c r="AC89" s="31"/>
      <c r="AD89" s="31"/>
      <c r="AE89" s="37"/>
      <c r="AF89" s="37"/>
      <c r="AG89" s="37"/>
    </row>
    <row r="90" spans="1:33" ht="15.75" customHeight="1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6"/>
      <c r="V90" s="1"/>
      <c r="W90" s="31"/>
      <c r="X90" s="31"/>
      <c r="Y90" s="31"/>
      <c r="Z90" s="31"/>
      <c r="AA90" s="2"/>
      <c r="AB90" s="31"/>
      <c r="AC90" s="31"/>
      <c r="AD90" s="31"/>
      <c r="AE90" s="37"/>
      <c r="AF90" s="37"/>
      <c r="AG90" s="37"/>
    </row>
    <row r="91" spans="1:33" ht="15.75" customHeight="1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6"/>
      <c r="V91" s="1"/>
      <c r="W91" s="31"/>
      <c r="X91" s="31"/>
      <c r="Y91" s="31"/>
      <c r="Z91" s="31"/>
      <c r="AA91" s="2"/>
      <c r="AB91" s="31"/>
      <c r="AC91" s="31"/>
      <c r="AD91" s="31"/>
      <c r="AE91" s="37"/>
      <c r="AF91" s="37"/>
      <c r="AG91" s="37"/>
    </row>
    <row r="92" spans="1:33" ht="15.75" customHeight="1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6"/>
      <c r="V92" s="1"/>
      <c r="W92" s="31"/>
      <c r="X92" s="31"/>
      <c r="Y92" s="31"/>
      <c r="Z92" s="31"/>
      <c r="AA92" s="2"/>
      <c r="AB92" s="31"/>
      <c r="AC92" s="31"/>
      <c r="AD92" s="31"/>
      <c r="AE92" s="37"/>
      <c r="AF92" s="37"/>
      <c r="AG92" s="37"/>
    </row>
    <row r="93" spans="1:33" ht="15.75" customHeight="1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6"/>
      <c r="V93" s="1"/>
      <c r="W93" s="31"/>
      <c r="X93" s="31"/>
      <c r="Y93" s="31"/>
      <c r="Z93" s="31"/>
      <c r="AA93" s="2"/>
      <c r="AB93" s="31"/>
      <c r="AC93" s="31"/>
      <c r="AD93" s="31"/>
      <c r="AE93" s="37"/>
      <c r="AF93" s="37"/>
      <c r="AG93" s="37"/>
    </row>
    <row r="94" spans="1:33" ht="15.75" customHeight="1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6"/>
      <c r="V94" s="1"/>
      <c r="W94" s="31"/>
      <c r="X94" s="31"/>
      <c r="Y94" s="31"/>
      <c r="Z94" s="31"/>
      <c r="AA94" s="2"/>
      <c r="AB94" s="31"/>
      <c r="AC94" s="31"/>
      <c r="AD94" s="31"/>
      <c r="AE94" s="37"/>
      <c r="AF94" s="37"/>
      <c r="AG94" s="37"/>
    </row>
    <row r="95" spans="1:33" ht="15.75" customHeight="1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6"/>
      <c r="V95" s="1"/>
      <c r="W95" s="31"/>
      <c r="X95" s="31"/>
      <c r="Y95" s="31"/>
      <c r="Z95" s="31"/>
      <c r="AA95" s="2"/>
      <c r="AB95" s="31"/>
      <c r="AC95" s="31"/>
      <c r="AD95" s="31"/>
      <c r="AE95" s="37"/>
      <c r="AF95" s="37"/>
      <c r="AG95" s="37"/>
    </row>
    <row r="96" spans="1:33" ht="15.75" customHeight="1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6"/>
      <c r="V96" s="1"/>
      <c r="W96" s="31"/>
      <c r="X96" s="31"/>
      <c r="Y96" s="31"/>
      <c r="Z96" s="31"/>
      <c r="AA96" s="2"/>
      <c r="AB96" s="31"/>
      <c r="AC96" s="31"/>
      <c r="AD96" s="31"/>
      <c r="AE96" s="37"/>
      <c r="AF96" s="37"/>
      <c r="AG96" s="37"/>
    </row>
    <row r="97" spans="1:33" ht="15.75" customHeight="1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8"/>
      <c r="R97" s="38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8"/>
      <c r="R98" s="38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8"/>
      <c r="R99" s="38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8"/>
      <c r="R100" s="38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8"/>
      <c r="R101" s="38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8"/>
      <c r="R102" s="38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8"/>
      <c r="R103" s="38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8"/>
      <c r="R104" s="38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8"/>
      <c r="R105" s="38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8"/>
      <c r="R106" s="38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8"/>
      <c r="R107" s="38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8"/>
      <c r="R108" s="38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8"/>
      <c r="R109" s="38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8"/>
      <c r="R110" s="38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8"/>
      <c r="R111" s="38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8"/>
      <c r="R112" s="38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8"/>
      <c r="R113" s="38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8"/>
      <c r="R114" s="38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>
      <c r="A115" s="31"/>
      <c r="B115" s="31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>
      <c r="A116" s="31"/>
      <c r="B116" s="31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>
      <c r="A117" s="31"/>
      <c r="B117" s="31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>
      <c r="A118" s="31"/>
      <c r="B118" s="31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>
      <c r="A119" s="31"/>
      <c r="B119" s="31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>
      <c r="A120" s="31"/>
      <c r="B120" s="31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>
      <c r="A121" s="31"/>
      <c r="B121" s="31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>
      <c r="A122" s="31"/>
      <c r="B122" s="31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>
      <c r="A123" s="31"/>
      <c r="B123" s="31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>
      <c r="A124" s="31"/>
      <c r="B124" s="31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>
      <c r="A125" s="31"/>
      <c r="B125" s="31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>
      <c r="A126" s="31"/>
      <c r="B126" s="31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>
      <c r="A127" s="31"/>
      <c r="B127" s="31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>
      <c r="A128" s="31"/>
      <c r="B128" s="31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>
      <c r="A129" s="31"/>
      <c r="B129" s="31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>
      <c r="A130" s="31"/>
      <c r="B130" s="31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>
      <c r="A131" s="31"/>
      <c r="B131" s="31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>
      <c r="A132" s="31"/>
      <c r="B132" s="31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>
      <c r="A133" s="31"/>
      <c r="B133" s="31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>
      <c r="A134" s="31"/>
      <c r="B134" s="31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>
      <c r="A135" s="31"/>
      <c r="B135" s="31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>
      <c r="A136" s="31"/>
      <c r="B136" s="31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>
      <c r="A137" s="31"/>
      <c r="B137" s="31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>
      <c r="A138" s="31"/>
      <c r="B138" s="31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>
      <c r="A139" s="31"/>
      <c r="B139" s="31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>
      <c r="A140" s="31"/>
      <c r="B140" s="31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>
      <c r="A141" s="31"/>
      <c r="B141" s="31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2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>
      <c r="A142" s="31"/>
      <c r="B142" s="31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2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>
      <c r="A143" s="31"/>
      <c r="B143" s="31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2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>
      <c r="A144" s="31"/>
      <c r="B144" s="31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2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>
      <c r="A145" s="31"/>
      <c r="B145" s="31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2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>
      <c r="A146" s="31"/>
      <c r="B146" s="31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2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>
      <c r="A147" s="31"/>
      <c r="B147" s="31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2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>
      <c r="A148" s="31"/>
      <c r="B148" s="31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2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</row>
    <row r="149" spans="1:33" ht="15.75" customHeight="1">
      <c r="A149" s="14"/>
      <c r="B149" s="14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>
      <c r="A150" s="14"/>
      <c r="B150" s="14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>
      <c r="A151" s="14"/>
      <c r="B151" s="14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>
      <c r="A152" s="14"/>
      <c r="B152" s="14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>
      <c r="A153" s="14"/>
      <c r="B153" s="14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>
      <c r="A154" s="14"/>
      <c r="B154" s="14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>
      <c r="A155" s="14"/>
      <c r="B155" s="14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>
      <c r="A156" s="14"/>
      <c r="B156" s="14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>
      <c r="A157" s="14"/>
      <c r="B157" s="14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>
      <c r="A158" s="14"/>
      <c r="B158" s="14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>
      <c r="A159" s="14"/>
      <c r="B159" s="14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>
      <c r="A160" s="14"/>
      <c r="B160" s="14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>
      <c r="A161" s="14"/>
      <c r="B161" s="14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>
      <c r="A162" s="14"/>
      <c r="B162" s="14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>
      <c r="A163" s="14"/>
      <c r="B163" s="14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>
      <c r="A164" s="14"/>
      <c r="B164" s="14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>
      <c r="A165" s="14"/>
      <c r="B165" s="14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>
      <c r="A166" s="14"/>
      <c r="B166" s="14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>
      <c r="A167" s="14"/>
      <c r="B167" s="14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>
      <c r="A168" s="14"/>
      <c r="B168" s="14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>
      <c r="A169" s="14"/>
      <c r="B169" s="14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>
      <c r="A170" s="14"/>
      <c r="B170" s="14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>
      <c r="A171" s="14"/>
      <c r="B171" s="14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>
      <c r="A172" s="14"/>
      <c r="B172" s="14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>
      <c r="A173" s="14"/>
      <c r="B173" s="14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>
      <c r="A174" s="14"/>
      <c r="B174" s="14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>
      <c r="A175" s="14"/>
      <c r="B175" s="14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>
      <c r="A176" s="14"/>
      <c r="B176" s="14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>
      <c r="A177" s="14"/>
      <c r="B177" s="14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>
      <c r="A178" s="14"/>
      <c r="B178" s="14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>
      <c r="A179" s="14"/>
      <c r="B179" s="14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>
      <c r="A180" s="14"/>
      <c r="B180" s="14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>
      <c r="A181" s="14"/>
      <c r="B181" s="14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>
      <c r="A182" s="14"/>
      <c r="B182" s="14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>
      <c r="A183" s="14"/>
      <c r="B183" s="14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>
      <c r="A184" s="14"/>
      <c r="B184" s="14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>
      <c r="A185" s="14"/>
      <c r="B185" s="14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>
      <c r="A186" s="14"/>
      <c r="B186" s="14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>
      <c r="A187" s="14"/>
      <c r="B187" s="14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>
      <c r="A188" s="14"/>
      <c r="B188" s="14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>
      <c r="A189" s="14"/>
      <c r="B189" s="14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>
      <c r="A190" s="14"/>
      <c r="B190" s="14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>
      <c r="A191" s="14"/>
      <c r="B191" s="14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>
      <c r="A192" s="14"/>
      <c r="B192" s="14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>
      <c r="A193" s="14"/>
      <c r="B193" s="14"/>
      <c r="C193" s="39"/>
      <c r="D193" s="39"/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>
      <c r="A194" s="14"/>
      <c r="B194" s="14"/>
      <c r="C194" s="39"/>
      <c r="D194" s="39"/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>
      <c r="A195" s="14"/>
      <c r="B195" s="14"/>
      <c r="C195" s="39"/>
      <c r="D195" s="39"/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>
      <c r="A196" s="14"/>
      <c r="B196" s="14"/>
      <c r="C196" s="39"/>
      <c r="D196" s="39"/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>
      <c r="A197" s="14"/>
      <c r="B197" s="14"/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>
      <c r="A198" s="14"/>
      <c r="B198" s="14"/>
      <c r="C198" s="39"/>
      <c r="D198" s="39"/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>
      <c r="A199" s="14"/>
      <c r="B199" s="14"/>
      <c r="C199" s="39"/>
      <c r="D199" s="39"/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>
      <c r="A200" s="14"/>
      <c r="B200" s="14"/>
      <c r="C200" s="39"/>
      <c r="D200" s="39"/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>
      <c r="A201" s="14"/>
      <c r="B201" s="14"/>
      <c r="C201" s="39"/>
      <c r="D201" s="39"/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>
      <c r="A202" s="14"/>
      <c r="B202" s="14"/>
      <c r="C202" s="39"/>
      <c r="D202" s="39"/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>
      <c r="A203" s="14"/>
      <c r="B203" s="14"/>
      <c r="C203" s="39"/>
      <c r="D203" s="39"/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>
      <c r="A204" s="14"/>
      <c r="B204" s="14"/>
      <c r="C204" s="39"/>
      <c r="D204" s="39"/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>
      <c r="A205" s="14"/>
      <c r="B205" s="14"/>
      <c r="C205" s="39"/>
      <c r="D205" s="39"/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>
      <c r="A206" s="14"/>
      <c r="B206" s="14"/>
      <c r="C206" s="39"/>
      <c r="D206" s="39"/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>
      <c r="A207" s="14"/>
      <c r="B207" s="14"/>
      <c r="C207" s="39"/>
      <c r="D207" s="39"/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>
      <c r="A208" s="14"/>
      <c r="B208" s="14"/>
      <c r="C208" s="39"/>
      <c r="D208" s="39"/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>
      <c r="A209" s="14"/>
      <c r="B209" s="14"/>
      <c r="C209" s="39"/>
      <c r="D209" s="39"/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>
      <c r="A210" s="14"/>
      <c r="B210" s="14"/>
      <c r="C210" s="39"/>
      <c r="D210" s="39"/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>
      <c r="A211" s="14"/>
      <c r="B211" s="14"/>
      <c r="C211" s="39"/>
      <c r="D211" s="39"/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>
      <c r="A212" s="14"/>
      <c r="B212" s="14"/>
      <c r="C212" s="39"/>
      <c r="D212" s="39"/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>
      <c r="A213" s="14"/>
      <c r="B213" s="14"/>
      <c r="C213" s="39"/>
      <c r="D213" s="39"/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>
      <c r="A214" s="14"/>
      <c r="B214" s="14"/>
      <c r="C214" s="39"/>
      <c r="D214" s="39"/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>
      <c r="A215" s="14"/>
      <c r="B215" s="14"/>
      <c r="C215" s="39"/>
      <c r="D215" s="39"/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>
      <c r="A216" s="14"/>
      <c r="B216" s="14"/>
      <c r="C216" s="39"/>
      <c r="D216" s="39"/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>
      <c r="A217" s="14"/>
      <c r="B217" s="14"/>
      <c r="C217" s="39"/>
      <c r="D217" s="39"/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>
      <c r="A218" s="14"/>
      <c r="B218" s="14"/>
      <c r="C218" s="39"/>
      <c r="D218" s="39"/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>
      <c r="A219" s="14"/>
      <c r="B219" s="14"/>
      <c r="C219" s="39"/>
      <c r="D219" s="39"/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>
      <c r="A220" s="14"/>
      <c r="B220" s="14"/>
      <c r="C220" s="39"/>
      <c r="D220" s="39"/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>
      <c r="R221" s="30"/>
      <c r="S221" s="40"/>
    </row>
    <row r="222" spans="1:33" ht="15.75" customHeight="1">
      <c r="R222" s="30"/>
      <c r="S222" s="40"/>
    </row>
    <row r="223" spans="1:33" ht="15.75" customHeight="1">
      <c r="R223" s="30"/>
      <c r="S223" s="40"/>
    </row>
    <row r="224" spans="1:33" ht="15.75" customHeight="1">
      <c r="R224" s="30"/>
      <c r="S224" s="40"/>
    </row>
    <row r="225" spans="18:18" ht="15.75" customHeight="1">
      <c r="R225" s="30"/>
    </row>
    <row r="226" spans="18:18" ht="15.75" customHeight="1">
      <c r="R226" s="30"/>
    </row>
    <row r="227" spans="18:18" ht="15.75" customHeight="1">
      <c r="R227" s="30"/>
    </row>
    <row r="228" spans="18:18" ht="15.75" customHeight="1">
      <c r="R228" s="30"/>
    </row>
    <row r="229" spans="18:18" ht="15.75" customHeight="1">
      <c r="R229" s="30"/>
    </row>
    <row r="230" spans="18:18" ht="15.75" customHeight="1">
      <c r="R230" s="30"/>
    </row>
    <row r="231" spans="18:18" ht="15.75" customHeight="1">
      <c r="R231" s="30"/>
    </row>
    <row r="232" spans="18:18" ht="15.75" customHeight="1">
      <c r="R232" s="30"/>
    </row>
    <row r="233" spans="18:18" ht="15.75" customHeight="1">
      <c r="R233" s="30"/>
    </row>
    <row r="234" spans="18:18" ht="15.75" customHeight="1">
      <c r="R234" s="30"/>
    </row>
    <row r="235" spans="18:18" ht="15.75" customHeight="1">
      <c r="R235" s="30"/>
    </row>
    <row r="236" spans="18:18" ht="15.75" customHeight="1">
      <c r="R236" s="30"/>
    </row>
    <row r="237" spans="18:18" ht="15.75" customHeight="1">
      <c r="R237" s="30"/>
    </row>
    <row r="238" spans="18:18" ht="15.75" customHeight="1">
      <c r="R238" s="30"/>
    </row>
    <row r="239" spans="18:18" ht="15.75" customHeight="1">
      <c r="R239" s="30"/>
    </row>
    <row r="240" spans="18:18" ht="15.75" customHeight="1">
      <c r="R240" s="30"/>
    </row>
    <row r="241" spans="18:18" ht="15.75" customHeight="1">
      <c r="R241" s="30"/>
    </row>
    <row r="242" spans="18:18" ht="15.75" customHeight="1">
      <c r="R242" s="30"/>
    </row>
    <row r="243" spans="18:18" ht="15.75" customHeight="1">
      <c r="R243" s="30"/>
    </row>
    <row r="244" spans="18:18" ht="15.75" customHeight="1">
      <c r="R244" s="30"/>
    </row>
    <row r="245" spans="18:18" ht="15.75" customHeight="1">
      <c r="R245" s="30"/>
    </row>
    <row r="246" spans="18:18" ht="15.75" customHeight="1">
      <c r="R246" s="30"/>
    </row>
    <row r="247" spans="18:18" ht="15.75" customHeight="1">
      <c r="R247" s="30"/>
    </row>
    <row r="248" spans="18:18" ht="15.75" customHeight="1">
      <c r="R248" s="30"/>
    </row>
    <row r="249" spans="18:18" ht="15.75" customHeight="1">
      <c r="R249" s="30"/>
    </row>
    <row r="250" spans="18:18" ht="15.75" customHeight="1">
      <c r="R250" s="30"/>
    </row>
    <row r="251" spans="18:18" ht="15.75" customHeight="1">
      <c r="R251" s="30"/>
    </row>
    <row r="252" spans="18:18" ht="15.75" customHeight="1">
      <c r="R252" s="30"/>
    </row>
    <row r="253" spans="18:18" ht="15.75" customHeight="1">
      <c r="R253" s="30"/>
    </row>
    <row r="254" spans="18:18" ht="15.75" customHeight="1">
      <c r="R254" s="30"/>
    </row>
    <row r="255" spans="18:18" ht="15.75" customHeight="1">
      <c r="R255" s="30"/>
    </row>
    <row r="256" spans="18:18" ht="15.75" customHeight="1">
      <c r="R256" s="30"/>
    </row>
    <row r="257" spans="18:18" ht="15.75" customHeight="1">
      <c r="R257" s="30"/>
    </row>
    <row r="258" spans="18:18" ht="15.75" customHeight="1">
      <c r="R258" s="30"/>
    </row>
    <row r="259" spans="18:18" ht="15.75" customHeight="1">
      <c r="R259" s="30"/>
    </row>
    <row r="260" spans="18:18" ht="15.75" customHeight="1">
      <c r="R260" s="30"/>
    </row>
    <row r="261" spans="18:18" ht="15.75" customHeight="1">
      <c r="R261" s="30"/>
    </row>
    <row r="262" spans="18:18" ht="15.75" customHeight="1">
      <c r="R262" s="30"/>
    </row>
    <row r="263" spans="18:18" ht="15.75" customHeight="1">
      <c r="R263" s="30"/>
    </row>
    <row r="264" spans="18:18" ht="15.75" customHeight="1">
      <c r="R264" s="30"/>
    </row>
    <row r="265" spans="18:18" ht="15.75" customHeight="1">
      <c r="R265" s="30"/>
    </row>
    <row r="266" spans="18:18" ht="15.75" customHeight="1">
      <c r="R266" s="30"/>
    </row>
    <row r="267" spans="18:18" ht="15.75" customHeight="1">
      <c r="R267" s="30"/>
    </row>
    <row r="268" spans="18:18" ht="15.75" customHeight="1">
      <c r="R268" s="30"/>
    </row>
    <row r="269" spans="18:18" ht="15.75" customHeight="1">
      <c r="R269" s="30"/>
    </row>
    <row r="270" spans="18:18" ht="15.75" customHeight="1">
      <c r="R270" s="30"/>
    </row>
    <row r="271" spans="18:18" ht="15.75" customHeight="1">
      <c r="R271" s="30"/>
    </row>
    <row r="272" spans="18:18" ht="15.75" customHeight="1">
      <c r="R272" s="30"/>
    </row>
    <row r="273" spans="18:18" ht="15.75" customHeight="1">
      <c r="R273" s="30"/>
    </row>
    <row r="274" spans="18:18" ht="15.75" customHeight="1">
      <c r="R274" s="30"/>
    </row>
    <row r="275" spans="18:18" ht="15.75" customHeight="1">
      <c r="R275" s="30"/>
    </row>
    <row r="276" spans="18:18" ht="15.75" customHeight="1">
      <c r="R276" s="30"/>
    </row>
    <row r="277" spans="18:18" ht="15.75" customHeight="1">
      <c r="R277" s="30"/>
    </row>
    <row r="278" spans="18:18" ht="15.75" customHeight="1">
      <c r="R278" s="30"/>
    </row>
    <row r="279" spans="18:18" ht="15.75" customHeight="1">
      <c r="R279" s="30"/>
    </row>
    <row r="280" spans="18:18" ht="15.75" customHeight="1">
      <c r="R280" s="30"/>
    </row>
    <row r="281" spans="18:18" ht="15.75" customHeight="1">
      <c r="R281" s="30"/>
    </row>
    <row r="282" spans="18:18" ht="15.75" customHeight="1">
      <c r="R282" s="30"/>
    </row>
    <row r="283" spans="18:18" ht="15.75" customHeight="1">
      <c r="R283" s="30"/>
    </row>
    <row r="284" spans="18:18" ht="15.75" customHeight="1">
      <c r="R284" s="30"/>
    </row>
    <row r="285" spans="18:18" ht="15.75" customHeight="1">
      <c r="R285" s="30"/>
    </row>
    <row r="286" spans="18:18" ht="15.75" customHeight="1">
      <c r="R286" s="30"/>
    </row>
    <row r="287" spans="18:18" ht="15.75" customHeight="1">
      <c r="R287" s="30"/>
    </row>
    <row r="288" spans="18:18" ht="15.75" customHeight="1">
      <c r="R288" s="30"/>
    </row>
    <row r="289" spans="18:18" ht="15.75" customHeight="1">
      <c r="R289" s="30"/>
    </row>
    <row r="290" spans="18:18" ht="15.75" customHeight="1">
      <c r="R290" s="30"/>
    </row>
    <row r="291" spans="18:18" ht="15.75" customHeight="1">
      <c r="R291" s="30"/>
    </row>
    <row r="292" spans="18:18" ht="15.75" customHeight="1">
      <c r="R292" s="30"/>
    </row>
    <row r="293" spans="18:18" ht="15.75" customHeight="1">
      <c r="R293" s="30"/>
    </row>
    <row r="294" spans="18:18" ht="15.75" customHeight="1">
      <c r="R294" s="30"/>
    </row>
    <row r="295" spans="18:18" ht="15.75" customHeight="1">
      <c r="R295" s="30"/>
    </row>
    <row r="296" spans="18:18" ht="15.75" customHeight="1">
      <c r="R296" s="30"/>
    </row>
    <row r="297" spans="18:18" ht="15.75" customHeight="1">
      <c r="R297" s="30"/>
    </row>
    <row r="298" spans="18:18" ht="15.75" customHeight="1">
      <c r="R298" s="30"/>
    </row>
    <row r="299" spans="18:18" ht="15.75" customHeight="1">
      <c r="R299" s="30"/>
    </row>
    <row r="300" spans="18:18" ht="15.75" customHeight="1">
      <c r="R300" s="30"/>
    </row>
    <row r="301" spans="18:18" ht="15.75" customHeight="1">
      <c r="R301" s="30"/>
    </row>
    <row r="302" spans="18:18" ht="15.75" customHeight="1">
      <c r="R302" s="30"/>
    </row>
    <row r="303" spans="18:18" ht="15.75" customHeight="1">
      <c r="R303" s="30"/>
    </row>
    <row r="304" spans="18:18" ht="15.75" customHeight="1">
      <c r="R304" s="30"/>
    </row>
    <row r="305" spans="18:18" ht="15.75" customHeight="1">
      <c r="R305" s="30"/>
    </row>
    <row r="306" spans="18:18" ht="15.75" customHeight="1">
      <c r="R306" s="30"/>
    </row>
    <row r="307" spans="18:18" ht="15.75" customHeight="1">
      <c r="R307" s="30"/>
    </row>
    <row r="308" spans="18:18" ht="15.75" customHeight="1">
      <c r="R308" s="30"/>
    </row>
    <row r="309" spans="18:18" ht="15.75" customHeight="1">
      <c r="R309" s="30"/>
    </row>
    <row r="310" spans="18:18" ht="15.75" customHeight="1">
      <c r="R310" s="30"/>
    </row>
    <row r="311" spans="18:18" ht="15.75" customHeight="1">
      <c r="R311" s="30"/>
    </row>
    <row r="312" spans="18:18" ht="15.75" customHeight="1">
      <c r="R312" s="30"/>
    </row>
    <row r="313" spans="18:18" ht="15.75" customHeight="1">
      <c r="R313" s="30"/>
    </row>
    <row r="314" spans="18:18" ht="15.75" customHeight="1">
      <c r="R314" s="30"/>
    </row>
    <row r="315" spans="18:18" ht="15.75" customHeight="1">
      <c r="R315" s="30"/>
    </row>
    <row r="316" spans="18:18" ht="15.75" customHeight="1">
      <c r="R316" s="30"/>
    </row>
    <row r="317" spans="18:18" ht="15.75" customHeight="1">
      <c r="R317" s="30"/>
    </row>
    <row r="318" spans="18:18" ht="15.75" customHeight="1">
      <c r="R318" s="30"/>
    </row>
    <row r="319" spans="18:18" ht="15.75" customHeight="1">
      <c r="R319" s="30"/>
    </row>
    <row r="320" spans="18:18" ht="15.75" customHeight="1">
      <c r="R320" s="30"/>
    </row>
    <row r="321" spans="18:18" ht="15.75" customHeight="1">
      <c r="R321" s="30"/>
    </row>
    <row r="322" spans="18:18" ht="15.75" customHeight="1">
      <c r="R322" s="30"/>
    </row>
    <row r="323" spans="18:18" ht="15.75" customHeight="1">
      <c r="R323" s="30"/>
    </row>
    <row r="324" spans="18:18" ht="15.75" customHeight="1">
      <c r="R324" s="30"/>
    </row>
    <row r="325" spans="18:18" ht="15.75" customHeight="1">
      <c r="R325" s="30"/>
    </row>
    <row r="326" spans="18:18" ht="15.75" customHeight="1">
      <c r="R326" s="30"/>
    </row>
    <row r="327" spans="18:18" ht="15.75" customHeight="1">
      <c r="R327" s="30"/>
    </row>
    <row r="328" spans="18:18" ht="15.75" customHeight="1">
      <c r="R328" s="30"/>
    </row>
    <row r="329" spans="18:18" ht="15.75" customHeight="1">
      <c r="R329" s="30"/>
    </row>
    <row r="330" spans="18:18" ht="15.75" customHeight="1">
      <c r="R330" s="30"/>
    </row>
    <row r="331" spans="18:18" ht="15.75" customHeight="1">
      <c r="R331" s="30"/>
    </row>
    <row r="332" spans="18:18" ht="15.75" customHeight="1">
      <c r="R332" s="30"/>
    </row>
    <row r="333" spans="18:18" ht="15.75" customHeight="1">
      <c r="R333" s="30"/>
    </row>
    <row r="334" spans="18:18" ht="15.75" customHeight="1">
      <c r="R334" s="30"/>
    </row>
    <row r="335" spans="18:18" ht="15.75" customHeight="1">
      <c r="R335" s="30"/>
    </row>
    <row r="336" spans="18:18" ht="15.75" customHeight="1">
      <c r="R336" s="30"/>
    </row>
    <row r="337" spans="18:18" ht="15.75" customHeight="1">
      <c r="R337" s="30"/>
    </row>
    <row r="338" spans="18:18" ht="15.75" customHeight="1">
      <c r="R338" s="30"/>
    </row>
    <row r="339" spans="18:18" ht="15.75" customHeight="1">
      <c r="R339" s="30"/>
    </row>
    <row r="340" spans="18:18" ht="15.75" customHeight="1">
      <c r="R340" s="30"/>
    </row>
    <row r="341" spans="18:18" ht="15.75" customHeight="1">
      <c r="R341" s="30"/>
    </row>
    <row r="342" spans="18:18" ht="15.75" customHeight="1">
      <c r="R342" s="30"/>
    </row>
    <row r="343" spans="18:18" ht="15.75" customHeight="1">
      <c r="R343" s="30"/>
    </row>
    <row r="344" spans="18:18" ht="15.75" customHeight="1">
      <c r="R344" s="30"/>
    </row>
    <row r="345" spans="18:18" ht="15.75" customHeight="1">
      <c r="R345" s="30"/>
    </row>
    <row r="346" spans="18:18" ht="15.75" customHeight="1">
      <c r="R346" s="30"/>
    </row>
    <row r="347" spans="18:18" ht="15.75" customHeight="1">
      <c r="R347" s="30"/>
    </row>
    <row r="348" spans="18:18" ht="15.75" customHeight="1">
      <c r="R348" s="30"/>
    </row>
    <row r="349" spans="18:18" ht="15.75" customHeight="1">
      <c r="R349" s="30"/>
    </row>
    <row r="350" spans="18:18" ht="15.75" customHeight="1">
      <c r="R350" s="30"/>
    </row>
    <row r="351" spans="18:18" ht="15.75" customHeight="1">
      <c r="R351" s="30"/>
    </row>
    <row r="352" spans="18:18" ht="15.75" customHeight="1">
      <c r="R352" s="30"/>
    </row>
    <row r="353" spans="18:18" ht="15.75" customHeight="1">
      <c r="R353" s="30"/>
    </row>
    <row r="354" spans="18:18" ht="15.75" customHeight="1">
      <c r="R354" s="30"/>
    </row>
    <row r="355" spans="18:18" ht="15.75" customHeight="1">
      <c r="R355" s="30"/>
    </row>
    <row r="356" spans="18:18" ht="15.75" customHeight="1">
      <c r="R356" s="30"/>
    </row>
    <row r="357" spans="18:18" ht="15.75" customHeight="1">
      <c r="R357" s="30"/>
    </row>
    <row r="358" spans="18:18" ht="15.75" customHeight="1">
      <c r="R358" s="30"/>
    </row>
    <row r="359" spans="18:18" ht="15.75" customHeight="1">
      <c r="R359" s="30"/>
    </row>
    <row r="360" spans="18:18" ht="15.75" customHeight="1">
      <c r="R360" s="30"/>
    </row>
    <row r="361" spans="18:18" ht="15.75" customHeight="1">
      <c r="R361" s="30"/>
    </row>
    <row r="362" spans="18:18" ht="15.75" customHeight="1">
      <c r="R362" s="30"/>
    </row>
    <row r="363" spans="18:18" ht="15.75" customHeight="1">
      <c r="R363" s="30"/>
    </row>
    <row r="364" spans="18:18" ht="15.75" customHeight="1">
      <c r="R364" s="30"/>
    </row>
    <row r="365" spans="18:18" ht="15.75" customHeight="1">
      <c r="R365" s="30"/>
    </row>
    <row r="366" spans="18:18" ht="15.75" customHeight="1">
      <c r="R366" s="30"/>
    </row>
    <row r="367" spans="18:18" ht="15.75" customHeight="1">
      <c r="R367" s="30"/>
    </row>
    <row r="368" spans="18:18" ht="15.75" customHeight="1">
      <c r="R368" s="30"/>
    </row>
    <row r="369" spans="18:18" ht="15.75" customHeight="1">
      <c r="R369" s="30"/>
    </row>
    <row r="370" spans="18:18" ht="15.75" customHeight="1">
      <c r="R370" s="30"/>
    </row>
    <row r="371" spans="18:18" ht="15.75" customHeight="1">
      <c r="R371" s="30"/>
    </row>
    <row r="372" spans="18:18" ht="15.75" customHeight="1">
      <c r="R372" s="30"/>
    </row>
    <row r="373" spans="18:18" ht="15.75" customHeight="1">
      <c r="R373" s="30"/>
    </row>
    <row r="374" spans="18:18" ht="15.75" customHeight="1">
      <c r="R374" s="30"/>
    </row>
    <row r="375" spans="18:18" ht="15.75" customHeight="1">
      <c r="R375" s="30"/>
    </row>
    <row r="376" spans="18:18" ht="15.75" customHeight="1">
      <c r="R376" s="30"/>
    </row>
    <row r="377" spans="18:18" ht="15.75" customHeight="1">
      <c r="R377" s="30"/>
    </row>
    <row r="378" spans="18:18" ht="15.75" customHeight="1">
      <c r="R378" s="30"/>
    </row>
    <row r="379" spans="18:18" ht="15.75" customHeight="1">
      <c r="R379" s="30"/>
    </row>
    <row r="380" spans="18:18" ht="15.75" customHeight="1">
      <c r="R380" s="30"/>
    </row>
    <row r="381" spans="18:18" ht="15.75" customHeight="1">
      <c r="R381" s="30"/>
    </row>
    <row r="382" spans="18:18" ht="15.75" customHeight="1">
      <c r="R382" s="30"/>
    </row>
    <row r="383" spans="18:18" ht="15.75" customHeight="1">
      <c r="R383" s="30"/>
    </row>
    <row r="384" spans="18:18" ht="15.75" customHeight="1">
      <c r="R384" s="30"/>
    </row>
    <row r="385" spans="18:18" ht="15.75" customHeight="1">
      <c r="R385" s="30"/>
    </row>
    <row r="386" spans="18:18" ht="15.75" customHeight="1">
      <c r="R386" s="30"/>
    </row>
    <row r="387" spans="18:18" ht="15.75" customHeight="1">
      <c r="R387" s="30"/>
    </row>
    <row r="388" spans="18:18" ht="15.75" customHeight="1">
      <c r="R388" s="30"/>
    </row>
    <row r="389" spans="18:18" ht="15.75" customHeight="1">
      <c r="R389" s="30"/>
    </row>
    <row r="390" spans="18:18" ht="15.75" customHeight="1">
      <c r="R390" s="30"/>
    </row>
    <row r="391" spans="18:18" ht="15.75" customHeight="1">
      <c r="R391" s="30"/>
    </row>
    <row r="392" spans="18:18" ht="15.75" customHeight="1">
      <c r="R392" s="30"/>
    </row>
    <row r="393" spans="18:18" ht="15.75" customHeight="1">
      <c r="R393" s="30"/>
    </row>
    <row r="394" spans="18:18" ht="15.75" customHeight="1">
      <c r="R394" s="30"/>
    </row>
    <row r="395" spans="18:18" ht="15.75" customHeight="1">
      <c r="R395" s="30"/>
    </row>
    <row r="396" spans="18:18" ht="15.75" customHeight="1">
      <c r="R396" s="30"/>
    </row>
    <row r="397" spans="18:18" ht="15.75" customHeight="1">
      <c r="R397" s="30"/>
    </row>
    <row r="398" spans="18:18" ht="15.75" customHeight="1">
      <c r="R398" s="30"/>
    </row>
    <row r="399" spans="18:18" ht="15.75" customHeight="1">
      <c r="R399" s="30"/>
    </row>
    <row r="400" spans="18:18" ht="15.75" customHeight="1">
      <c r="R400" s="30"/>
    </row>
    <row r="401" spans="18:18" ht="15.75" customHeight="1">
      <c r="R401" s="30"/>
    </row>
    <row r="402" spans="18:18" ht="15.75" customHeight="1">
      <c r="R402" s="30"/>
    </row>
    <row r="403" spans="18:18" ht="15.75" customHeight="1">
      <c r="R403" s="30"/>
    </row>
    <row r="404" spans="18:18" ht="15.75" customHeight="1">
      <c r="R404" s="30"/>
    </row>
    <row r="405" spans="18:18" ht="15.75" customHeight="1">
      <c r="R405" s="30"/>
    </row>
    <row r="406" spans="18:18" ht="15.75" customHeight="1">
      <c r="R406" s="30"/>
    </row>
    <row r="407" spans="18:18" ht="15.75" customHeight="1">
      <c r="R407" s="30"/>
    </row>
    <row r="408" spans="18:18" ht="15.75" customHeight="1">
      <c r="R408" s="30"/>
    </row>
    <row r="409" spans="18:18" ht="15.75" customHeight="1">
      <c r="R409" s="30"/>
    </row>
    <row r="410" spans="18:18" ht="15.75" customHeight="1">
      <c r="R410" s="30"/>
    </row>
    <row r="411" spans="18:18" ht="15.75" customHeight="1">
      <c r="R411" s="30"/>
    </row>
    <row r="412" spans="18:18" ht="15.75" customHeight="1">
      <c r="R412" s="30"/>
    </row>
    <row r="413" spans="18:18" ht="15.75" customHeight="1">
      <c r="R413" s="30"/>
    </row>
    <row r="414" spans="18:18" ht="15.75" customHeight="1">
      <c r="R414" s="30"/>
    </row>
    <row r="415" spans="18:18" ht="15.75" customHeight="1">
      <c r="R415" s="30"/>
    </row>
    <row r="416" spans="18:18" ht="15.75" customHeight="1">
      <c r="R416" s="30"/>
    </row>
    <row r="417" spans="18:18" ht="15.75" customHeight="1">
      <c r="R417" s="30"/>
    </row>
    <row r="418" spans="18:18" ht="15.75" customHeight="1">
      <c r="R418" s="30"/>
    </row>
    <row r="419" spans="18:18" ht="15.75" customHeight="1">
      <c r="R419" s="30"/>
    </row>
    <row r="420" spans="18:18" ht="15.75" customHeight="1">
      <c r="R420" s="30"/>
    </row>
    <row r="421" spans="18:18" ht="15.75" customHeight="1">
      <c r="R421" s="30"/>
    </row>
    <row r="422" spans="18:18" ht="15.75" customHeight="1">
      <c r="R422" s="30"/>
    </row>
    <row r="423" spans="18:18" ht="15.75" customHeight="1">
      <c r="R423" s="30"/>
    </row>
    <row r="424" spans="18:18" ht="15.75" customHeight="1">
      <c r="R424" s="30"/>
    </row>
    <row r="425" spans="18:18" ht="15.75" customHeight="1">
      <c r="R425" s="30"/>
    </row>
    <row r="426" spans="18:18" ht="15.75" customHeight="1">
      <c r="R426" s="30"/>
    </row>
    <row r="427" spans="18:18" ht="15.75" customHeight="1">
      <c r="R427" s="30"/>
    </row>
    <row r="428" spans="18:18" ht="15.75" customHeight="1">
      <c r="R428" s="30"/>
    </row>
    <row r="429" spans="18:18" ht="15.75" customHeight="1">
      <c r="R429" s="30"/>
    </row>
    <row r="430" spans="18:18" ht="15.75" customHeight="1">
      <c r="R430" s="30"/>
    </row>
    <row r="431" spans="18:18" ht="15.75" customHeight="1">
      <c r="R431" s="30"/>
    </row>
    <row r="432" spans="18:18" ht="15.75" customHeight="1">
      <c r="R432" s="30"/>
    </row>
    <row r="433" spans="18:18" ht="15.75" customHeight="1">
      <c r="R433" s="30"/>
    </row>
    <row r="434" spans="18:18" ht="15.75" customHeight="1">
      <c r="R434" s="30"/>
    </row>
    <row r="435" spans="18:18" ht="15.75" customHeight="1">
      <c r="R435" s="30"/>
    </row>
    <row r="436" spans="18:18" ht="15.75" customHeight="1">
      <c r="R436" s="30"/>
    </row>
    <row r="437" spans="18:18" ht="15.75" customHeight="1">
      <c r="R437" s="30"/>
    </row>
    <row r="438" spans="18:18" ht="15.75" customHeight="1">
      <c r="R438" s="30"/>
    </row>
    <row r="439" spans="18:18" ht="15.75" customHeight="1">
      <c r="R439" s="30"/>
    </row>
    <row r="440" spans="18:18" ht="15.75" customHeight="1">
      <c r="R440" s="30"/>
    </row>
    <row r="441" spans="18:18" ht="15.75" customHeight="1">
      <c r="R441" s="30"/>
    </row>
    <row r="442" spans="18:18" ht="15.75" customHeight="1">
      <c r="R442" s="30"/>
    </row>
    <row r="443" spans="18:18" ht="15.75" customHeight="1">
      <c r="R443" s="30"/>
    </row>
    <row r="444" spans="18:18" ht="15.75" customHeight="1">
      <c r="R444" s="30"/>
    </row>
    <row r="445" spans="18:18" ht="15.75" customHeight="1">
      <c r="R445" s="30"/>
    </row>
    <row r="446" spans="18:18" ht="15.75" customHeight="1">
      <c r="R446" s="30"/>
    </row>
    <row r="447" spans="18:18" ht="15.75" customHeight="1">
      <c r="R447" s="30"/>
    </row>
    <row r="448" spans="18:18" ht="15.75" customHeight="1">
      <c r="R448" s="30"/>
    </row>
    <row r="449" spans="18:18" ht="15.75" customHeight="1">
      <c r="R449" s="30"/>
    </row>
    <row r="450" spans="18:18" ht="15.75" customHeight="1">
      <c r="R450" s="30"/>
    </row>
    <row r="451" spans="18:18" ht="15.75" customHeight="1">
      <c r="R451" s="30"/>
    </row>
    <row r="452" spans="18:18" ht="15.75" customHeight="1">
      <c r="R452" s="30"/>
    </row>
    <row r="453" spans="18:18" ht="15.75" customHeight="1">
      <c r="R453" s="30"/>
    </row>
    <row r="454" spans="18:18" ht="15.75" customHeight="1">
      <c r="R454" s="30"/>
    </row>
    <row r="455" spans="18:18" ht="15.75" customHeight="1">
      <c r="R455" s="30"/>
    </row>
    <row r="456" spans="18:18" ht="15.75" customHeight="1">
      <c r="R456" s="30"/>
    </row>
    <row r="457" spans="18:18" ht="15.75" customHeight="1">
      <c r="R457" s="30"/>
    </row>
    <row r="458" spans="18:18" ht="15.75" customHeight="1">
      <c r="R458" s="30"/>
    </row>
    <row r="459" spans="18:18" ht="15.75" customHeight="1">
      <c r="R459" s="30"/>
    </row>
    <row r="460" spans="18:18" ht="15.75" customHeight="1">
      <c r="R460" s="30"/>
    </row>
    <row r="461" spans="18:18" ht="15.75" customHeight="1">
      <c r="R461" s="30"/>
    </row>
    <row r="462" spans="18:18" ht="15.75" customHeight="1">
      <c r="R462" s="30"/>
    </row>
    <row r="463" spans="18:18" ht="15.75" customHeight="1">
      <c r="R463" s="30"/>
    </row>
    <row r="464" spans="18:18" ht="15.75" customHeight="1">
      <c r="R464" s="30"/>
    </row>
    <row r="465" spans="18:18" ht="15.75" customHeight="1">
      <c r="R465" s="30"/>
    </row>
    <row r="466" spans="18:18" ht="15.75" customHeight="1">
      <c r="R466" s="30"/>
    </row>
    <row r="467" spans="18:18" ht="15.75" customHeight="1">
      <c r="R467" s="30"/>
    </row>
    <row r="468" spans="18:18" ht="15.75" customHeight="1">
      <c r="R468" s="30"/>
    </row>
    <row r="469" spans="18:18" ht="15.75" customHeight="1">
      <c r="R469" s="30"/>
    </row>
    <row r="470" spans="18:18" ht="15.75" customHeight="1">
      <c r="R470" s="30"/>
    </row>
    <row r="471" spans="18:18" ht="15.75" customHeight="1">
      <c r="R471" s="30"/>
    </row>
    <row r="472" spans="18:18" ht="15.75" customHeight="1">
      <c r="R472" s="30"/>
    </row>
    <row r="473" spans="18:18" ht="15.75" customHeight="1">
      <c r="R473" s="30"/>
    </row>
    <row r="474" spans="18:18" ht="15.75" customHeight="1">
      <c r="R474" s="30"/>
    </row>
    <row r="475" spans="18:18" ht="15.75" customHeight="1">
      <c r="R475" s="30"/>
    </row>
    <row r="476" spans="18:18" ht="15.75" customHeight="1">
      <c r="R476" s="30"/>
    </row>
    <row r="477" spans="18:18" ht="15.75" customHeight="1">
      <c r="R477" s="30"/>
    </row>
    <row r="478" spans="18:18" ht="15.75" customHeight="1">
      <c r="R478" s="30"/>
    </row>
    <row r="479" spans="18:18" ht="15.75" customHeight="1">
      <c r="R479" s="30"/>
    </row>
    <row r="480" spans="18:18" ht="15.75" customHeight="1">
      <c r="R480" s="30"/>
    </row>
    <row r="481" spans="18:18" ht="15.75" customHeight="1">
      <c r="R481" s="30"/>
    </row>
    <row r="482" spans="18:18" ht="15.75" customHeight="1">
      <c r="R482" s="30"/>
    </row>
    <row r="483" spans="18:18" ht="15.75" customHeight="1">
      <c r="R483" s="30"/>
    </row>
    <row r="484" spans="18:18" ht="15.75" customHeight="1">
      <c r="R484" s="30"/>
    </row>
    <row r="485" spans="18:18" ht="15.75" customHeight="1">
      <c r="R485" s="30"/>
    </row>
    <row r="486" spans="18:18" ht="15.75" customHeight="1">
      <c r="R486" s="30"/>
    </row>
    <row r="487" spans="18:18" ht="15.75" customHeight="1">
      <c r="R487" s="30"/>
    </row>
    <row r="488" spans="18:18" ht="15.75" customHeight="1">
      <c r="R488" s="30"/>
    </row>
    <row r="489" spans="18:18" ht="15.75" customHeight="1">
      <c r="R489" s="30"/>
    </row>
    <row r="490" spans="18:18" ht="15.75" customHeight="1">
      <c r="R490" s="30"/>
    </row>
    <row r="491" spans="18:18" ht="15.75" customHeight="1">
      <c r="R491" s="30"/>
    </row>
    <row r="492" spans="18:18" ht="15.75" customHeight="1">
      <c r="R492" s="30"/>
    </row>
    <row r="493" spans="18:18" ht="15.75" customHeight="1">
      <c r="R493" s="30"/>
    </row>
    <row r="494" spans="18:18" ht="15.75" customHeight="1">
      <c r="R494" s="30"/>
    </row>
    <row r="495" spans="18:18" ht="15.75" customHeight="1">
      <c r="R495" s="30"/>
    </row>
    <row r="496" spans="18:18" ht="15.75" customHeight="1">
      <c r="R496" s="30"/>
    </row>
    <row r="497" spans="18:18" ht="15.75" customHeight="1">
      <c r="R497" s="30"/>
    </row>
    <row r="498" spans="18:18" ht="15.75" customHeight="1">
      <c r="R498" s="30"/>
    </row>
    <row r="499" spans="18:18" ht="15.75" customHeight="1">
      <c r="R499" s="30"/>
    </row>
    <row r="500" spans="18:18" ht="15.75" customHeight="1">
      <c r="R500" s="30"/>
    </row>
    <row r="501" spans="18:18" ht="15.75" customHeight="1">
      <c r="R501" s="30"/>
    </row>
    <row r="502" spans="18:18" ht="15.75" customHeight="1">
      <c r="R502" s="30"/>
    </row>
    <row r="503" spans="18:18" ht="15.75" customHeight="1">
      <c r="R503" s="30"/>
    </row>
    <row r="504" spans="18:18" ht="15.75" customHeight="1">
      <c r="R504" s="30"/>
    </row>
    <row r="505" spans="18:18" ht="15.75" customHeight="1">
      <c r="R505" s="30"/>
    </row>
    <row r="506" spans="18:18" ht="15.75" customHeight="1">
      <c r="R506" s="30"/>
    </row>
    <row r="507" spans="18:18" ht="15.75" customHeight="1">
      <c r="R507" s="30"/>
    </row>
    <row r="508" spans="18:18" ht="15.75" customHeight="1">
      <c r="R508" s="30"/>
    </row>
    <row r="509" spans="18:18" ht="15.75" customHeight="1">
      <c r="R509" s="30"/>
    </row>
    <row r="510" spans="18:18" ht="15.75" customHeight="1">
      <c r="R510" s="30"/>
    </row>
    <row r="511" spans="18:18" ht="15.75" customHeight="1">
      <c r="R511" s="30"/>
    </row>
    <row r="512" spans="18:18" ht="15.75" customHeight="1">
      <c r="R512" s="30"/>
    </row>
    <row r="513" spans="18:18" ht="15.75" customHeight="1">
      <c r="R513" s="30"/>
    </row>
    <row r="514" spans="18:18" ht="15.75" customHeight="1">
      <c r="R514" s="30"/>
    </row>
    <row r="515" spans="18:18" ht="15.75" customHeight="1">
      <c r="R515" s="30"/>
    </row>
    <row r="516" spans="18:18" ht="15.75" customHeight="1">
      <c r="R516" s="30"/>
    </row>
    <row r="517" spans="18:18" ht="15.75" customHeight="1">
      <c r="R517" s="30"/>
    </row>
    <row r="518" spans="18:18" ht="15.75" customHeight="1">
      <c r="R518" s="30"/>
    </row>
    <row r="519" spans="18:18" ht="15.75" customHeight="1">
      <c r="R519" s="30"/>
    </row>
    <row r="520" spans="18:18" ht="15.75" customHeight="1">
      <c r="R520" s="30"/>
    </row>
    <row r="521" spans="18:18" ht="15.75" customHeight="1">
      <c r="R521" s="30"/>
    </row>
    <row r="522" spans="18:18" ht="15.75" customHeight="1">
      <c r="R522" s="30"/>
    </row>
    <row r="523" spans="18:18" ht="15.75" customHeight="1">
      <c r="R523" s="30"/>
    </row>
    <row r="524" spans="18:18" ht="15.75" customHeight="1">
      <c r="R524" s="30"/>
    </row>
    <row r="525" spans="18:18" ht="15.75" customHeight="1">
      <c r="R525" s="30"/>
    </row>
    <row r="526" spans="18:18" ht="15.75" customHeight="1">
      <c r="R526" s="30"/>
    </row>
    <row r="527" spans="18:18" ht="15.75" customHeight="1">
      <c r="R527" s="30"/>
    </row>
    <row r="528" spans="18:18" ht="15.75" customHeight="1">
      <c r="R528" s="30"/>
    </row>
    <row r="529" spans="18:18" ht="15.75" customHeight="1">
      <c r="R529" s="30"/>
    </row>
    <row r="530" spans="18:18" ht="15.75" customHeight="1">
      <c r="R530" s="30"/>
    </row>
    <row r="531" spans="18:18" ht="15.75" customHeight="1">
      <c r="R531" s="30"/>
    </row>
    <row r="532" spans="18:18" ht="15.75" customHeight="1">
      <c r="R532" s="30"/>
    </row>
    <row r="533" spans="18:18" ht="15.75" customHeight="1">
      <c r="R533" s="30"/>
    </row>
    <row r="534" spans="18:18" ht="15.75" customHeight="1">
      <c r="R534" s="30"/>
    </row>
    <row r="535" spans="18:18" ht="15.75" customHeight="1">
      <c r="R535" s="30"/>
    </row>
    <row r="536" spans="18:18" ht="15.75" customHeight="1">
      <c r="R536" s="30"/>
    </row>
    <row r="537" spans="18:18" ht="15.75" customHeight="1">
      <c r="R537" s="30"/>
    </row>
    <row r="538" spans="18:18" ht="15.75" customHeight="1">
      <c r="R538" s="30"/>
    </row>
    <row r="539" spans="18:18" ht="15.75" customHeight="1">
      <c r="R539" s="30"/>
    </row>
    <row r="540" spans="18:18" ht="15.75" customHeight="1">
      <c r="R540" s="30"/>
    </row>
    <row r="541" spans="18:18" ht="15.75" customHeight="1">
      <c r="R541" s="30"/>
    </row>
    <row r="542" spans="18:18" ht="15.75" customHeight="1">
      <c r="R542" s="30"/>
    </row>
    <row r="543" spans="18:18" ht="15.75" customHeight="1">
      <c r="R543" s="30"/>
    </row>
    <row r="544" spans="18:18" ht="15.75" customHeight="1">
      <c r="R544" s="30"/>
    </row>
    <row r="545" spans="18:18" ht="15.75" customHeight="1">
      <c r="R545" s="30"/>
    </row>
    <row r="546" spans="18:18" ht="15.75" customHeight="1">
      <c r="R546" s="30"/>
    </row>
    <row r="547" spans="18:18" ht="15.75" customHeight="1">
      <c r="R547" s="30"/>
    </row>
    <row r="548" spans="18:18" ht="15.75" customHeight="1">
      <c r="R548" s="30"/>
    </row>
    <row r="549" spans="18:18" ht="15.75" customHeight="1">
      <c r="R549" s="30"/>
    </row>
    <row r="550" spans="18:18" ht="15.75" customHeight="1">
      <c r="R550" s="30"/>
    </row>
    <row r="551" spans="18:18" ht="15.75" customHeight="1">
      <c r="R551" s="30"/>
    </row>
    <row r="552" spans="18:18" ht="15.75" customHeight="1">
      <c r="R552" s="30"/>
    </row>
    <row r="553" spans="18:18" ht="15.75" customHeight="1">
      <c r="R553" s="30"/>
    </row>
    <row r="554" spans="18:18" ht="15.75" customHeight="1">
      <c r="R554" s="30"/>
    </row>
    <row r="555" spans="18:18" ht="15.75" customHeight="1">
      <c r="R555" s="30"/>
    </row>
    <row r="556" spans="18:18" ht="15.75" customHeight="1">
      <c r="R556" s="30"/>
    </row>
    <row r="557" spans="18:18" ht="15.75" customHeight="1">
      <c r="R557" s="30"/>
    </row>
    <row r="558" spans="18:18" ht="15.75" customHeight="1">
      <c r="R558" s="30"/>
    </row>
    <row r="559" spans="18:18" ht="15.75" customHeight="1">
      <c r="R559" s="30"/>
    </row>
    <row r="560" spans="18:18" ht="15.75" customHeight="1">
      <c r="R560" s="30"/>
    </row>
    <row r="561" spans="18:18" ht="15.75" customHeight="1">
      <c r="R561" s="30"/>
    </row>
    <row r="562" spans="18:18" ht="15.75" customHeight="1">
      <c r="R562" s="30"/>
    </row>
    <row r="563" spans="18:18" ht="15.75" customHeight="1">
      <c r="R563" s="30"/>
    </row>
    <row r="564" spans="18:18" ht="15.75" customHeight="1">
      <c r="R564" s="30"/>
    </row>
    <row r="565" spans="18:18" ht="15.75" customHeight="1">
      <c r="R565" s="30"/>
    </row>
    <row r="566" spans="18:18" ht="15.75" customHeight="1">
      <c r="R566" s="30"/>
    </row>
    <row r="567" spans="18:18" ht="15.75" customHeight="1">
      <c r="R567" s="30"/>
    </row>
    <row r="568" spans="18:18" ht="15.75" customHeight="1">
      <c r="R568" s="30"/>
    </row>
    <row r="569" spans="18:18" ht="15.75" customHeight="1">
      <c r="R569" s="30"/>
    </row>
    <row r="570" spans="18:18" ht="15.75" customHeight="1">
      <c r="R570" s="30"/>
    </row>
    <row r="571" spans="18:18" ht="15.75" customHeight="1">
      <c r="R571" s="30"/>
    </row>
    <row r="572" spans="18:18" ht="15.75" customHeight="1">
      <c r="R572" s="30"/>
    </row>
    <row r="573" spans="18:18" ht="15.75" customHeight="1">
      <c r="R573" s="30"/>
    </row>
    <row r="574" spans="18:18" ht="15.75" customHeight="1">
      <c r="R574" s="30"/>
    </row>
    <row r="575" spans="18:18" ht="15.75" customHeight="1">
      <c r="R575" s="30"/>
    </row>
    <row r="576" spans="18:18" ht="15.75" customHeight="1">
      <c r="R576" s="30"/>
    </row>
    <row r="577" spans="18:18" ht="15.75" customHeight="1">
      <c r="R577" s="30"/>
    </row>
    <row r="578" spans="18:18" ht="15.75" customHeight="1">
      <c r="R578" s="30"/>
    </row>
    <row r="579" spans="18:18" ht="15.75" customHeight="1">
      <c r="R579" s="30"/>
    </row>
    <row r="580" spans="18:18" ht="15.75" customHeight="1">
      <c r="R580" s="30"/>
    </row>
    <row r="581" spans="18:18" ht="15.75" customHeight="1">
      <c r="R581" s="30"/>
    </row>
    <row r="582" spans="18:18" ht="15.75" customHeight="1">
      <c r="R582" s="30"/>
    </row>
    <row r="583" spans="18:18" ht="15.75" customHeight="1">
      <c r="R583" s="30"/>
    </row>
    <row r="584" spans="18:18" ht="15.75" customHeight="1">
      <c r="R584" s="30"/>
    </row>
    <row r="585" spans="18:18" ht="15.75" customHeight="1">
      <c r="R585" s="30"/>
    </row>
    <row r="586" spans="18:18" ht="15.75" customHeight="1">
      <c r="R586" s="30"/>
    </row>
    <row r="587" spans="18:18" ht="15.75" customHeight="1">
      <c r="R587" s="30"/>
    </row>
    <row r="588" spans="18:18" ht="15.75" customHeight="1">
      <c r="R588" s="30"/>
    </row>
    <row r="589" spans="18:18" ht="15.75" customHeight="1">
      <c r="R589" s="30"/>
    </row>
    <row r="590" spans="18:18" ht="15.75" customHeight="1">
      <c r="R590" s="30"/>
    </row>
    <row r="591" spans="18:18" ht="15.75" customHeight="1">
      <c r="R591" s="30"/>
    </row>
    <row r="592" spans="18:18" ht="15.75" customHeight="1">
      <c r="R592" s="30"/>
    </row>
    <row r="593" spans="18:18" ht="15.75" customHeight="1">
      <c r="R593" s="30"/>
    </row>
    <row r="594" spans="18:18" ht="15.75" customHeight="1">
      <c r="R594" s="30"/>
    </row>
    <row r="595" spans="18:18" ht="15.75" customHeight="1">
      <c r="R595" s="30"/>
    </row>
    <row r="596" spans="18:18" ht="15.75" customHeight="1">
      <c r="R596" s="30"/>
    </row>
    <row r="597" spans="18:18" ht="15.75" customHeight="1">
      <c r="R597" s="30"/>
    </row>
    <row r="598" spans="18:18" ht="15.75" customHeight="1">
      <c r="R598" s="30"/>
    </row>
    <row r="599" spans="18:18" ht="15.75" customHeight="1">
      <c r="R599" s="30"/>
    </row>
    <row r="600" spans="18:18" ht="15.75" customHeight="1">
      <c r="R600" s="30"/>
    </row>
    <row r="601" spans="18:18" ht="15.75" customHeight="1">
      <c r="R601" s="30"/>
    </row>
    <row r="602" spans="18:18" ht="15.75" customHeight="1">
      <c r="R602" s="30"/>
    </row>
    <row r="603" spans="18:18" ht="15.75" customHeight="1">
      <c r="R603" s="30"/>
    </row>
    <row r="604" spans="18:18" ht="15.75" customHeight="1">
      <c r="R604" s="30"/>
    </row>
    <row r="605" spans="18:18" ht="15.75" customHeight="1">
      <c r="R605" s="30"/>
    </row>
    <row r="606" spans="18:18" ht="15.75" customHeight="1">
      <c r="R606" s="30"/>
    </row>
    <row r="607" spans="18:18" ht="15.75" customHeight="1">
      <c r="R607" s="30"/>
    </row>
    <row r="608" spans="18:18" ht="15.75" customHeight="1">
      <c r="R608" s="30"/>
    </row>
    <row r="609" spans="18:18" ht="15.75" customHeight="1">
      <c r="R609" s="30"/>
    </row>
    <row r="610" spans="18:18" ht="15.75" customHeight="1">
      <c r="R610" s="30"/>
    </row>
    <row r="611" spans="18:18" ht="15.75" customHeight="1">
      <c r="R611" s="30"/>
    </row>
    <row r="612" spans="18:18" ht="15.75" customHeight="1">
      <c r="R612" s="30"/>
    </row>
    <row r="613" spans="18:18" ht="15.75" customHeight="1">
      <c r="R613" s="30"/>
    </row>
    <row r="614" spans="18:18" ht="15.75" customHeight="1">
      <c r="R614" s="30"/>
    </row>
    <row r="615" spans="18:18" ht="15.75" customHeight="1">
      <c r="R615" s="30"/>
    </row>
    <row r="616" spans="18:18" ht="15.75" customHeight="1">
      <c r="R616" s="30"/>
    </row>
    <row r="617" spans="18:18" ht="15.75" customHeight="1">
      <c r="R617" s="30"/>
    </row>
    <row r="618" spans="18:18" ht="15.75" customHeight="1">
      <c r="R618" s="30"/>
    </row>
    <row r="619" spans="18:18" ht="15.75" customHeight="1">
      <c r="R619" s="30"/>
    </row>
    <row r="620" spans="18:18" ht="15.75" customHeight="1">
      <c r="R620" s="30"/>
    </row>
    <row r="621" spans="18:18" ht="15.75" customHeight="1">
      <c r="R621" s="30"/>
    </row>
    <row r="622" spans="18:18" ht="15.75" customHeight="1">
      <c r="R622" s="30"/>
    </row>
    <row r="623" spans="18:18" ht="15.75" customHeight="1">
      <c r="R623" s="30"/>
    </row>
    <row r="624" spans="18:18" ht="15.75" customHeight="1">
      <c r="R624" s="30"/>
    </row>
    <row r="625" spans="18:18" ht="15.75" customHeight="1">
      <c r="R625" s="30"/>
    </row>
    <row r="626" spans="18:18" ht="15.75" customHeight="1">
      <c r="R626" s="30"/>
    </row>
    <row r="627" spans="18:18" ht="15.75" customHeight="1">
      <c r="R627" s="30"/>
    </row>
    <row r="628" spans="18:18" ht="15.75" customHeight="1">
      <c r="R628" s="30"/>
    </row>
    <row r="629" spans="18:18" ht="15.75" customHeight="1">
      <c r="R629" s="30"/>
    </row>
    <row r="630" spans="18:18" ht="15.75" customHeight="1">
      <c r="R630" s="30"/>
    </row>
    <row r="631" spans="18:18" ht="15.75" customHeight="1">
      <c r="R631" s="30"/>
    </row>
    <row r="632" spans="18:18" ht="15.75" customHeight="1">
      <c r="R632" s="30"/>
    </row>
    <row r="633" spans="18:18" ht="15.75" customHeight="1">
      <c r="R633" s="30"/>
    </row>
    <row r="634" spans="18:18" ht="15.75" customHeight="1">
      <c r="R634" s="30"/>
    </row>
    <row r="635" spans="18:18" ht="15.75" customHeight="1">
      <c r="R635" s="30"/>
    </row>
    <row r="636" spans="18:18" ht="15.75" customHeight="1">
      <c r="R636" s="30"/>
    </row>
    <row r="637" spans="18:18" ht="15.75" customHeight="1">
      <c r="R637" s="30"/>
    </row>
    <row r="638" spans="18:18" ht="15.75" customHeight="1">
      <c r="R638" s="30"/>
    </row>
    <row r="639" spans="18:18" ht="15.75" customHeight="1">
      <c r="R639" s="30"/>
    </row>
    <row r="640" spans="18:18" ht="15.75" customHeight="1">
      <c r="R640" s="30"/>
    </row>
    <row r="641" spans="18:18" ht="15.75" customHeight="1">
      <c r="R641" s="30"/>
    </row>
    <row r="642" spans="18:18" ht="15.75" customHeight="1">
      <c r="R642" s="30"/>
    </row>
    <row r="643" spans="18:18" ht="15.75" customHeight="1">
      <c r="R643" s="30"/>
    </row>
    <row r="644" spans="18:18" ht="15.75" customHeight="1">
      <c r="R644" s="30"/>
    </row>
    <row r="645" spans="18:18" ht="15.75" customHeight="1">
      <c r="R645" s="30"/>
    </row>
    <row r="646" spans="18:18" ht="15.75" customHeight="1">
      <c r="R646" s="30"/>
    </row>
    <row r="647" spans="18:18" ht="15.75" customHeight="1">
      <c r="R647" s="30"/>
    </row>
    <row r="648" spans="18:18" ht="15.75" customHeight="1">
      <c r="R648" s="30"/>
    </row>
    <row r="649" spans="18:18" ht="15.75" customHeight="1">
      <c r="R649" s="30"/>
    </row>
    <row r="650" spans="18:18" ht="15.75" customHeight="1">
      <c r="R650" s="30"/>
    </row>
    <row r="651" spans="18:18" ht="15.75" customHeight="1">
      <c r="R651" s="30"/>
    </row>
    <row r="652" spans="18:18" ht="15.75" customHeight="1">
      <c r="R652" s="30"/>
    </row>
    <row r="653" spans="18:18" ht="15.75" customHeight="1">
      <c r="R653" s="30"/>
    </row>
    <row r="654" spans="18:18" ht="15.75" customHeight="1">
      <c r="R654" s="30"/>
    </row>
    <row r="655" spans="18:18" ht="15.75" customHeight="1">
      <c r="R655" s="30"/>
    </row>
    <row r="656" spans="18:18" ht="15.75" customHeight="1">
      <c r="R656" s="30"/>
    </row>
    <row r="657" spans="18:18" ht="15.75" customHeight="1">
      <c r="R657" s="30"/>
    </row>
    <row r="658" spans="18:18" ht="15.75" customHeight="1">
      <c r="R658" s="30"/>
    </row>
    <row r="659" spans="18:18" ht="15.75" customHeight="1">
      <c r="R659" s="30"/>
    </row>
    <row r="660" spans="18:18" ht="15.75" customHeight="1">
      <c r="R660" s="30"/>
    </row>
    <row r="661" spans="18:18" ht="15.75" customHeight="1">
      <c r="R661" s="30"/>
    </row>
    <row r="662" spans="18:18" ht="15.75" customHeight="1">
      <c r="R662" s="30"/>
    </row>
    <row r="663" spans="18:18" ht="15.75" customHeight="1">
      <c r="R663" s="30"/>
    </row>
    <row r="664" spans="18:18" ht="15.75" customHeight="1">
      <c r="R664" s="30"/>
    </row>
    <row r="665" spans="18:18" ht="15.75" customHeight="1">
      <c r="R665" s="30"/>
    </row>
    <row r="666" spans="18:18" ht="15.75" customHeight="1">
      <c r="R666" s="30"/>
    </row>
    <row r="667" spans="18:18" ht="15.75" customHeight="1">
      <c r="R667" s="30"/>
    </row>
    <row r="668" spans="18:18" ht="15.75" customHeight="1">
      <c r="R668" s="30"/>
    </row>
    <row r="669" spans="18:18" ht="15.75" customHeight="1">
      <c r="R669" s="30"/>
    </row>
    <row r="670" spans="18:18" ht="15.75" customHeight="1">
      <c r="R670" s="30"/>
    </row>
    <row r="671" spans="18:18" ht="15.75" customHeight="1">
      <c r="R671" s="30"/>
    </row>
    <row r="672" spans="18:18" ht="15.75" customHeight="1">
      <c r="R672" s="30"/>
    </row>
    <row r="673" spans="18:18" ht="15.75" customHeight="1">
      <c r="R673" s="30"/>
    </row>
    <row r="674" spans="18:18" ht="15.75" customHeight="1">
      <c r="R674" s="30"/>
    </row>
    <row r="675" spans="18:18" ht="15.75" customHeight="1">
      <c r="R675" s="30"/>
    </row>
    <row r="676" spans="18:18" ht="15.75" customHeight="1">
      <c r="R676" s="30"/>
    </row>
    <row r="677" spans="18:18" ht="15.75" customHeight="1">
      <c r="R677" s="30"/>
    </row>
    <row r="678" spans="18:18" ht="15.75" customHeight="1">
      <c r="R678" s="30"/>
    </row>
    <row r="679" spans="18:18" ht="15.75" customHeight="1">
      <c r="R679" s="30"/>
    </row>
    <row r="680" spans="18:18" ht="15.75" customHeight="1">
      <c r="R680" s="30"/>
    </row>
    <row r="681" spans="18:18" ht="15.75" customHeight="1">
      <c r="R681" s="30"/>
    </row>
    <row r="682" spans="18:18" ht="15.75" customHeight="1">
      <c r="R682" s="30"/>
    </row>
    <row r="683" spans="18:18" ht="15.75" customHeight="1">
      <c r="R683" s="30"/>
    </row>
    <row r="684" spans="18:18" ht="15.75" customHeight="1">
      <c r="R684" s="30"/>
    </row>
    <row r="685" spans="18:18" ht="15.75" customHeight="1">
      <c r="R685" s="30"/>
    </row>
    <row r="686" spans="18:18" ht="15.75" customHeight="1">
      <c r="R686" s="30"/>
    </row>
    <row r="687" spans="18:18" ht="15.75" customHeight="1">
      <c r="R687" s="30"/>
    </row>
    <row r="688" spans="18:18" ht="15.75" customHeight="1">
      <c r="R688" s="30"/>
    </row>
    <row r="689" spans="18:18" ht="15.75" customHeight="1">
      <c r="R689" s="30"/>
    </row>
    <row r="690" spans="18:18" ht="15.75" customHeight="1">
      <c r="R690" s="30"/>
    </row>
    <row r="691" spans="18:18" ht="15.75" customHeight="1">
      <c r="R691" s="30"/>
    </row>
    <row r="692" spans="18:18" ht="15.75" customHeight="1">
      <c r="R692" s="30"/>
    </row>
    <row r="693" spans="18:18" ht="15.75" customHeight="1">
      <c r="R693" s="30"/>
    </row>
    <row r="694" spans="18:18" ht="15.75" customHeight="1">
      <c r="R694" s="30"/>
    </row>
    <row r="695" spans="18:18" ht="15.75" customHeight="1">
      <c r="R695" s="30"/>
    </row>
    <row r="696" spans="18:18" ht="15.75" customHeight="1">
      <c r="R696" s="30"/>
    </row>
    <row r="697" spans="18:18" ht="15.75" customHeight="1">
      <c r="R697" s="30"/>
    </row>
    <row r="698" spans="18:18" ht="15.75" customHeight="1">
      <c r="R698" s="30"/>
    </row>
    <row r="699" spans="18:18" ht="15.75" customHeight="1">
      <c r="R699" s="30"/>
    </row>
    <row r="700" spans="18:18" ht="15.75" customHeight="1">
      <c r="R700" s="30"/>
    </row>
    <row r="701" spans="18:18" ht="15.75" customHeight="1">
      <c r="R701" s="30"/>
    </row>
    <row r="702" spans="18:18" ht="15.75" customHeight="1">
      <c r="R702" s="30"/>
    </row>
    <row r="703" spans="18:18" ht="15.75" customHeight="1">
      <c r="R703" s="30"/>
    </row>
    <row r="704" spans="18:18" ht="15.75" customHeight="1">
      <c r="R704" s="30"/>
    </row>
    <row r="705" spans="18:18" ht="15.75" customHeight="1">
      <c r="R705" s="30"/>
    </row>
    <row r="706" spans="18:18" ht="15.75" customHeight="1">
      <c r="R706" s="30"/>
    </row>
    <row r="707" spans="18:18" ht="15.75" customHeight="1">
      <c r="R707" s="30"/>
    </row>
    <row r="708" spans="18:18" ht="15.75" customHeight="1">
      <c r="R708" s="30"/>
    </row>
    <row r="709" spans="18:18" ht="15.75" customHeight="1">
      <c r="R709" s="30"/>
    </row>
    <row r="710" spans="18:18" ht="15.75" customHeight="1">
      <c r="R710" s="30"/>
    </row>
    <row r="711" spans="18:18" ht="15.75" customHeight="1">
      <c r="R711" s="30"/>
    </row>
    <row r="712" spans="18:18" ht="15.75" customHeight="1">
      <c r="R712" s="30"/>
    </row>
    <row r="713" spans="18:18" ht="15.75" customHeight="1">
      <c r="R713" s="30"/>
    </row>
    <row r="714" spans="18:18" ht="15.75" customHeight="1">
      <c r="R714" s="30"/>
    </row>
    <row r="715" spans="18:18" ht="15.75" customHeight="1">
      <c r="R715" s="30"/>
    </row>
    <row r="716" spans="18:18" ht="15.75" customHeight="1">
      <c r="R716" s="30"/>
    </row>
    <row r="717" spans="18:18" ht="15.75" customHeight="1">
      <c r="R717" s="30"/>
    </row>
    <row r="718" spans="18:18" ht="15.75" customHeight="1">
      <c r="R718" s="30"/>
    </row>
    <row r="719" spans="18:18" ht="15.75" customHeight="1">
      <c r="R719" s="30"/>
    </row>
    <row r="720" spans="18:18" ht="15.75" customHeight="1">
      <c r="R720" s="30"/>
    </row>
    <row r="721" spans="18:18" ht="15.75" customHeight="1">
      <c r="R721" s="30"/>
    </row>
    <row r="722" spans="18:18" ht="15.75" customHeight="1">
      <c r="R722" s="30"/>
    </row>
    <row r="723" spans="18:18" ht="15.75" customHeight="1">
      <c r="R723" s="30"/>
    </row>
    <row r="724" spans="18:18" ht="15.75" customHeight="1">
      <c r="R724" s="30"/>
    </row>
    <row r="725" spans="18:18" ht="15.75" customHeight="1">
      <c r="R725" s="30"/>
    </row>
    <row r="726" spans="18:18" ht="15.75" customHeight="1">
      <c r="R726" s="30"/>
    </row>
    <row r="727" spans="18:18" ht="15.75" customHeight="1">
      <c r="R727" s="30"/>
    </row>
    <row r="728" spans="18:18" ht="15.75" customHeight="1">
      <c r="R728" s="30"/>
    </row>
    <row r="729" spans="18:18" ht="15.75" customHeight="1">
      <c r="R729" s="30"/>
    </row>
    <row r="730" spans="18:18" ht="15.75" customHeight="1">
      <c r="R730" s="30"/>
    </row>
    <row r="731" spans="18:18" ht="15.75" customHeight="1">
      <c r="R731" s="30"/>
    </row>
    <row r="732" spans="18:18" ht="15.75" customHeight="1">
      <c r="R732" s="30"/>
    </row>
    <row r="733" spans="18:18" ht="15.75" customHeight="1">
      <c r="R733" s="30"/>
    </row>
    <row r="734" spans="18:18" ht="15.75" customHeight="1">
      <c r="R734" s="30"/>
    </row>
    <row r="735" spans="18:18" ht="15.75" customHeight="1">
      <c r="R735" s="30"/>
    </row>
    <row r="736" spans="18:18" ht="15.75" customHeight="1">
      <c r="R736" s="30"/>
    </row>
    <row r="737" spans="18:18" ht="15.75" customHeight="1">
      <c r="R737" s="30"/>
    </row>
    <row r="738" spans="18:18" ht="15.75" customHeight="1">
      <c r="R738" s="30"/>
    </row>
    <row r="739" spans="18:18" ht="15.75" customHeight="1">
      <c r="R739" s="30"/>
    </row>
    <row r="740" spans="18:18" ht="15.75" customHeight="1">
      <c r="R740" s="30"/>
    </row>
    <row r="741" spans="18:18" ht="15.75" customHeight="1">
      <c r="R741" s="30"/>
    </row>
    <row r="742" spans="18:18" ht="15.75" customHeight="1">
      <c r="R742" s="30"/>
    </row>
    <row r="743" spans="18:18" ht="15.75" customHeight="1">
      <c r="R743" s="30"/>
    </row>
    <row r="744" spans="18:18" ht="15.75" customHeight="1">
      <c r="R744" s="30"/>
    </row>
    <row r="745" spans="18:18" ht="15.75" customHeight="1">
      <c r="R745" s="30"/>
    </row>
    <row r="746" spans="18:18" ht="15.75" customHeight="1">
      <c r="R746" s="30"/>
    </row>
    <row r="747" spans="18:18" ht="15.75" customHeight="1">
      <c r="R747" s="30"/>
    </row>
    <row r="748" spans="18:18" ht="15.75" customHeight="1">
      <c r="R748" s="30"/>
    </row>
    <row r="749" spans="18:18" ht="15.75" customHeight="1">
      <c r="R749" s="30"/>
    </row>
    <row r="750" spans="18:18" ht="15.75" customHeight="1">
      <c r="R750" s="30"/>
    </row>
    <row r="751" spans="18:18" ht="15.75" customHeight="1">
      <c r="R751" s="30"/>
    </row>
    <row r="752" spans="18:18" ht="15.75" customHeight="1">
      <c r="R752" s="30"/>
    </row>
    <row r="753" spans="18:18" ht="15.75" customHeight="1">
      <c r="R753" s="30"/>
    </row>
    <row r="754" spans="18:18" ht="15.75" customHeight="1">
      <c r="R754" s="30"/>
    </row>
    <row r="755" spans="18:18" ht="15.75" customHeight="1">
      <c r="R755" s="30"/>
    </row>
    <row r="756" spans="18:18" ht="15.75" customHeight="1">
      <c r="R756" s="30"/>
    </row>
    <row r="757" spans="18:18" ht="15.75" customHeight="1">
      <c r="R757" s="30"/>
    </row>
    <row r="758" spans="18:18" ht="15.75" customHeight="1">
      <c r="R758" s="30"/>
    </row>
    <row r="759" spans="18:18" ht="15.75" customHeight="1">
      <c r="R759" s="30"/>
    </row>
    <row r="760" spans="18:18" ht="15.75" customHeight="1">
      <c r="R760" s="30"/>
    </row>
    <row r="761" spans="18:18" ht="15.75" customHeight="1">
      <c r="R761" s="30"/>
    </row>
    <row r="762" spans="18:18" ht="15.75" customHeight="1">
      <c r="R762" s="30"/>
    </row>
    <row r="763" spans="18:18" ht="15.75" customHeight="1">
      <c r="R763" s="30"/>
    </row>
    <row r="764" spans="18:18" ht="15.75" customHeight="1">
      <c r="R764" s="30"/>
    </row>
    <row r="765" spans="18:18" ht="15.75" customHeight="1">
      <c r="R765" s="30"/>
    </row>
    <row r="766" spans="18:18" ht="15.75" customHeight="1">
      <c r="R766" s="30"/>
    </row>
    <row r="767" spans="18:18" ht="15.75" customHeight="1">
      <c r="R767" s="30"/>
    </row>
    <row r="768" spans="18:18" ht="15.75" customHeight="1">
      <c r="R768" s="30"/>
    </row>
    <row r="769" spans="18:18" ht="15.75" customHeight="1">
      <c r="R769" s="30"/>
    </row>
    <row r="770" spans="18:18" ht="15.75" customHeight="1">
      <c r="R770" s="30"/>
    </row>
    <row r="771" spans="18:18" ht="15.75" customHeight="1">
      <c r="R771" s="30"/>
    </row>
    <row r="772" spans="18:18" ht="15.75" customHeight="1">
      <c r="R772" s="30"/>
    </row>
    <row r="773" spans="18:18" ht="15.75" customHeight="1">
      <c r="R773" s="30"/>
    </row>
    <row r="774" spans="18:18" ht="15.75" customHeight="1">
      <c r="R774" s="30"/>
    </row>
    <row r="775" spans="18:18" ht="15.75" customHeight="1">
      <c r="R775" s="30"/>
    </row>
    <row r="776" spans="18:18" ht="15.75" customHeight="1">
      <c r="R776" s="30"/>
    </row>
    <row r="777" spans="18:18" ht="15.75" customHeight="1">
      <c r="R777" s="30"/>
    </row>
    <row r="778" spans="18:18" ht="15.75" customHeight="1">
      <c r="R778" s="30"/>
    </row>
    <row r="779" spans="18:18" ht="15.75" customHeight="1">
      <c r="R779" s="30"/>
    </row>
    <row r="780" spans="18:18" ht="15.75" customHeight="1">
      <c r="R780" s="30"/>
    </row>
    <row r="781" spans="18:18" ht="15.75" customHeight="1">
      <c r="R781" s="30"/>
    </row>
    <row r="782" spans="18:18" ht="15.75" customHeight="1">
      <c r="R782" s="30"/>
    </row>
    <row r="783" spans="18:18" ht="15.75" customHeight="1">
      <c r="R783" s="30"/>
    </row>
    <row r="784" spans="18:18" ht="15.75" customHeight="1">
      <c r="R784" s="30"/>
    </row>
    <row r="785" spans="18:18" ht="15.75" customHeight="1">
      <c r="R785" s="30"/>
    </row>
    <row r="786" spans="18:18" ht="15.75" customHeight="1">
      <c r="R786" s="30"/>
    </row>
    <row r="787" spans="18:18" ht="15.75" customHeight="1">
      <c r="R787" s="30"/>
    </row>
    <row r="788" spans="18:18" ht="15.75" customHeight="1">
      <c r="R788" s="30"/>
    </row>
    <row r="789" spans="18:18" ht="15.75" customHeight="1">
      <c r="R789" s="30"/>
    </row>
    <row r="790" spans="18:18" ht="15.75" customHeight="1">
      <c r="R790" s="30"/>
    </row>
    <row r="791" spans="18:18" ht="15.75" customHeight="1">
      <c r="R791" s="30"/>
    </row>
    <row r="792" spans="18:18" ht="15.75" customHeight="1">
      <c r="R792" s="30"/>
    </row>
    <row r="793" spans="18:18" ht="15.75" customHeight="1">
      <c r="R793" s="30"/>
    </row>
    <row r="794" spans="18:18" ht="15.75" customHeight="1">
      <c r="R794" s="30"/>
    </row>
    <row r="795" spans="18:18" ht="15.75" customHeight="1">
      <c r="R795" s="30"/>
    </row>
    <row r="796" spans="18:18" ht="15.75" customHeight="1">
      <c r="R796" s="30"/>
    </row>
    <row r="797" spans="18:18" ht="15.75" customHeight="1">
      <c r="R797" s="30"/>
    </row>
    <row r="798" spans="18:18" ht="15.75" customHeight="1">
      <c r="R798" s="30"/>
    </row>
    <row r="799" spans="18:18" ht="15.75" customHeight="1">
      <c r="R799" s="30"/>
    </row>
    <row r="800" spans="18:18" ht="15.75" customHeight="1">
      <c r="R800" s="30"/>
    </row>
    <row r="801" spans="18:18" ht="15.75" customHeight="1">
      <c r="R801" s="30"/>
    </row>
    <row r="802" spans="18:18" ht="15.75" customHeight="1">
      <c r="R802" s="30"/>
    </row>
    <row r="803" spans="18:18" ht="15.75" customHeight="1">
      <c r="R803" s="30"/>
    </row>
    <row r="804" spans="18:18" ht="15.75" customHeight="1">
      <c r="R804" s="30"/>
    </row>
    <row r="805" spans="18:18" ht="15.75" customHeight="1">
      <c r="R805" s="30"/>
    </row>
    <row r="806" spans="18:18" ht="15.75" customHeight="1">
      <c r="R806" s="30"/>
    </row>
    <row r="807" spans="18:18" ht="15.75" customHeight="1">
      <c r="R807" s="30"/>
    </row>
    <row r="808" spans="18:18" ht="15.75" customHeight="1">
      <c r="R808" s="30"/>
    </row>
    <row r="809" spans="18:18" ht="15.75" customHeight="1">
      <c r="R809" s="30"/>
    </row>
    <row r="810" spans="18:18" ht="15.75" customHeight="1">
      <c r="R810" s="30"/>
    </row>
    <row r="811" spans="18:18" ht="15.75" customHeight="1">
      <c r="R811" s="30"/>
    </row>
    <row r="812" spans="18:18" ht="15.75" customHeight="1">
      <c r="R812" s="30"/>
    </row>
    <row r="813" spans="18:18" ht="15.75" customHeight="1">
      <c r="R813" s="30"/>
    </row>
    <row r="814" spans="18:18" ht="15.75" customHeight="1">
      <c r="R814" s="30"/>
    </row>
    <row r="815" spans="18:18" ht="15.75" customHeight="1">
      <c r="R815" s="30"/>
    </row>
    <row r="816" spans="18:18" ht="15.75" customHeight="1">
      <c r="R816" s="30"/>
    </row>
    <row r="817" spans="18:18" ht="15.75" customHeight="1">
      <c r="R817" s="30"/>
    </row>
    <row r="818" spans="18:18" ht="15.75" customHeight="1">
      <c r="R818" s="30"/>
    </row>
    <row r="819" spans="18:18" ht="15.75" customHeight="1">
      <c r="R819" s="30"/>
    </row>
    <row r="820" spans="18:18" ht="15.75" customHeight="1">
      <c r="R820" s="30"/>
    </row>
    <row r="821" spans="18:18" ht="15.75" customHeight="1">
      <c r="R821" s="30"/>
    </row>
    <row r="822" spans="18:18" ht="15.75" customHeight="1">
      <c r="R822" s="30"/>
    </row>
    <row r="823" spans="18:18" ht="15.75" customHeight="1">
      <c r="R823" s="30"/>
    </row>
    <row r="824" spans="18:18" ht="15.75" customHeight="1">
      <c r="R824" s="30"/>
    </row>
    <row r="825" spans="18:18" ht="15.75" customHeight="1">
      <c r="R825" s="30"/>
    </row>
    <row r="826" spans="18:18" ht="15.75" customHeight="1">
      <c r="R826" s="30"/>
    </row>
    <row r="827" spans="18:18" ht="15.75" customHeight="1">
      <c r="R827" s="30"/>
    </row>
    <row r="828" spans="18:18" ht="15.75" customHeight="1">
      <c r="R828" s="30"/>
    </row>
    <row r="829" spans="18:18" ht="15.75" customHeight="1">
      <c r="R829" s="30"/>
    </row>
    <row r="830" spans="18:18" ht="15.75" customHeight="1">
      <c r="R830" s="30"/>
    </row>
    <row r="831" spans="18:18" ht="15.75" customHeight="1">
      <c r="R831" s="30"/>
    </row>
    <row r="832" spans="18:18" ht="15.75" customHeight="1">
      <c r="R832" s="30"/>
    </row>
    <row r="833" spans="18:18" ht="15.75" customHeight="1">
      <c r="R833" s="30"/>
    </row>
    <row r="834" spans="18:18" ht="15.75" customHeight="1">
      <c r="R834" s="30"/>
    </row>
    <row r="835" spans="18:18" ht="15.75" customHeight="1">
      <c r="R835" s="30"/>
    </row>
    <row r="836" spans="18:18" ht="15.75" customHeight="1">
      <c r="R836" s="30"/>
    </row>
    <row r="837" spans="18:18" ht="15.75" customHeight="1">
      <c r="R837" s="30"/>
    </row>
    <row r="838" spans="18:18" ht="15.75" customHeight="1">
      <c r="R838" s="30"/>
    </row>
    <row r="839" spans="18:18" ht="15.75" customHeight="1">
      <c r="R839" s="30"/>
    </row>
    <row r="840" spans="18:18" ht="15.75" customHeight="1">
      <c r="R840" s="30"/>
    </row>
    <row r="841" spans="18:18" ht="15.75" customHeight="1">
      <c r="R841" s="30"/>
    </row>
    <row r="842" spans="18:18" ht="15.75" customHeight="1">
      <c r="R842" s="30"/>
    </row>
    <row r="843" spans="18:18" ht="15.75" customHeight="1">
      <c r="R843" s="30"/>
    </row>
    <row r="844" spans="18:18" ht="15.75" customHeight="1">
      <c r="R844" s="30"/>
    </row>
    <row r="845" spans="18:18" ht="15.75" customHeight="1">
      <c r="R845" s="30"/>
    </row>
    <row r="846" spans="18:18" ht="15.75" customHeight="1">
      <c r="R846" s="30"/>
    </row>
    <row r="847" spans="18:18" ht="15.75" customHeight="1">
      <c r="R847" s="30"/>
    </row>
    <row r="848" spans="18:18" ht="15.75" customHeight="1">
      <c r="R848" s="30"/>
    </row>
    <row r="849" spans="18:18" ht="15.75" customHeight="1">
      <c r="R849" s="30"/>
    </row>
    <row r="850" spans="18:18" ht="15.75" customHeight="1">
      <c r="R850" s="30"/>
    </row>
    <row r="851" spans="18:18" ht="15.75" customHeight="1">
      <c r="R851" s="30"/>
    </row>
    <row r="852" spans="18:18" ht="15.75" customHeight="1">
      <c r="R852" s="30"/>
    </row>
    <row r="853" spans="18:18" ht="15.75" customHeight="1">
      <c r="R853" s="30"/>
    </row>
    <row r="854" spans="18:18" ht="15.75" customHeight="1">
      <c r="R854" s="30"/>
    </row>
    <row r="855" spans="18:18" ht="15.75" customHeight="1">
      <c r="R855" s="30"/>
    </row>
    <row r="856" spans="18:18" ht="15.75" customHeight="1">
      <c r="R856" s="30"/>
    </row>
    <row r="857" spans="18:18" ht="15.75" customHeight="1">
      <c r="R857" s="30"/>
    </row>
    <row r="858" spans="18:18" ht="15.75" customHeight="1">
      <c r="R858" s="30"/>
    </row>
    <row r="859" spans="18:18" ht="15.75" customHeight="1">
      <c r="R859" s="30"/>
    </row>
    <row r="860" spans="18:18" ht="15.75" customHeight="1">
      <c r="R860" s="30"/>
    </row>
    <row r="861" spans="18:18" ht="15.75" customHeight="1">
      <c r="R861" s="30"/>
    </row>
    <row r="862" spans="18:18" ht="15.75" customHeight="1">
      <c r="R862" s="30"/>
    </row>
    <row r="863" spans="18:18" ht="15.75" customHeight="1">
      <c r="R863" s="30"/>
    </row>
    <row r="864" spans="18:18" ht="15.75" customHeight="1">
      <c r="R864" s="30"/>
    </row>
    <row r="865" spans="18:18" ht="15.75" customHeight="1">
      <c r="R865" s="30"/>
    </row>
    <row r="866" spans="18:18" ht="15.75" customHeight="1">
      <c r="R866" s="30"/>
    </row>
    <row r="867" spans="18:18" ht="15.75" customHeight="1">
      <c r="R867" s="30"/>
    </row>
    <row r="868" spans="18:18" ht="15.75" customHeight="1">
      <c r="R868" s="30"/>
    </row>
    <row r="869" spans="18:18" ht="15.75" customHeight="1">
      <c r="R869" s="30"/>
    </row>
    <row r="870" spans="18:18" ht="15.75" customHeight="1">
      <c r="R870" s="30"/>
    </row>
    <row r="871" spans="18:18" ht="15.75" customHeight="1">
      <c r="R871" s="30"/>
    </row>
    <row r="872" spans="18:18" ht="15.75" customHeight="1">
      <c r="R872" s="30"/>
    </row>
    <row r="873" spans="18:18" ht="15.75" customHeight="1">
      <c r="R873" s="30"/>
    </row>
    <row r="874" spans="18:18" ht="15.75" customHeight="1">
      <c r="R874" s="30"/>
    </row>
    <row r="875" spans="18:18" ht="15.75" customHeight="1">
      <c r="R875" s="30"/>
    </row>
    <row r="876" spans="18:18" ht="15.75" customHeight="1">
      <c r="R876" s="30"/>
    </row>
    <row r="877" spans="18:18" ht="15.75" customHeight="1">
      <c r="R877" s="30"/>
    </row>
    <row r="878" spans="18:18" ht="15.75" customHeight="1">
      <c r="R878" s="30"/>
    </row>
    <row r="879" spans="18:18" ht="15.75" customHeight="1">
      <c r="R879" s="30"/>
    </row>
    <row r="880" spans="18:18" ht="15.75" customHeight="1">
      <c r="R880" s="30"/>
    </row>
    <row r="881" spans="18:18" ht="15.75" customHeight="1">
      <c r="R881" s="30"/>
    </row>
    <row r="882" spans="18:18" ht="15.75" customHeight="1">
      <c r="R882" s="30"/>
    </row>
    <row r="883" spans="18:18" ht="15.75" customHeight="1">
      <c r="R883" s="30"/>
    </row>
    <row r="884" spans="18:18" ht="15.75" customHeight="1">
      <c r="R884" s="30"/>
    </row>
    <row r="885" spans="18:18" ht="15.75" customHeight="1">
      <c r="R885" s="30"/>
    </row>
    <row r="886" spans="18:18" ht="15.75" customHeight="1">
      <c r="R886" s="30"/>
    </row>
    <row r="887" spans="18:18" ht="15.75" customHeight="1">
      <c r="R887" s="30"/>
    </row>
    <row r="888" spans="18:18" ht="15.75" customHeight="1">
      <c r="R888" s="30"/>
    </row>
    <row r="889" spans="18:18" ht="15.75" customHeight="1">
      <c r="R889" s="30"/>
    </row>
    <row r="890" spans="18:18" ht="15.75" customHeight="1">
      <c r="R890" s="30"/>
    </row>
    <row r="891" spans="18:18" ht="15.75" customHeight="1">
      <c r="R891" s="30"/>
    </row>
    <row r="892" spans="18:18" ht="15.75" customHeight="1">
      <c r="R892" s="30"/>
    </row>
    <row r="893" spans="18:18" ht="15.75" customHeight="1">
      <c r="R893" s="30"/>
    </row>
    <row r="894" spans="18:18" ht="15.75" customHeight="1">
      <c r="R894" s="30"/>
    </row>
    <row r="895" spans="18:18" ht="15.75" customHeight="1">
      <c r="R895" s="30"/>
    </row>
    <row r="896" spans="18:18" ht="15.75" customHeight="1">
      <c r="R896" s="30"/>
    </row>
    <row r="897" spans="18:18" ht="15.75" customHeight="1">
      <c r="R897" s="30"/>
    </row>
    <row r="898" spans="18:18" ht="15.75" customHeight="1">
      <c r="R898" s="30"/>
    </row>
    <row r="899" spans="18:18" ht="15.75" customHeight="1">
      <c r="R899" s="30"/>
    </row>
    <row r="900" spans="18:18" ht="15.75" customHeight="1">
      <c r="R900" s="30"/>
    </row>
    <row r="901" spans="18:18" ht="15.75" customHeight="1">
      <c r="R901" s="30"/>
    </row>
    <row r="902" spans="18:18" ht="15.75" customHeight="1">
      <c r="R902" s="30"/>
    </row>
    <row r="903" spans="18:18" ht="15.75" customHeight="1">
      <c r="R903" s="30"/>
    </row>
    <row r="904" spans="18:18" ht="15.75" customHeight="1">
      <c r="R904" s="30"/>
    </row>
    <row r="905" spans="18:18" ht="15.75" customHeight="1">
      <c r="R905" s="30"/>
    </row>
    <row r="906" spans="18:18" ht="15.75" customHeight="1">
      <c r="R906" s="30"/>
    </row>
    <row r="907" spans="18:18" ht="15.75" customHeight="1">
      <c r="R907" s="30"/>
    </row>
    <row r="908" spans="18:18" ht="15.75" customHeight="1">
      <c r="R908" s="30"/>
    </row>
    <row r="909" spans="18:18" ht="15.75" customHeight="1">
      <c r="R909" s="30"/>
    </row>
    <row r="910" spans="18:18" ht="15.75" customHeight="1">
      <c r="R910" s="30"/>
    </row>
    <row r="911" spans="18:18" ht="15.75" customHeight="1">
      <c r="R911" s="30"/>
    </row>
    <row r="912" spans="18:18" ht="15.75" customHeight="1">
      <c r="R912" s="30"/>
    </row>
    <row r="913" spans="18:18" ht="15.75" customHeight="1">
      <c r="R913" s="30"/>
    </row>
    <row r="914" spans="18:18" ht="15.75" customHeight="1">
      <c r="R914" s="30"/>
    </row>
    <row r="915" spans="18:18" ht="15.75" customHeight="1">
      <c r="R915" s="30"/>
    </row>
    <row r="916" spans="18:18" ht="15.75" customHeight="1">
      <c r="R916" s="30"/>
    </row>
    <row r="917" spans="18:18" ht="15.75" customHeight="1">
      <c r="R917" s="30"/>
    </row>
    <row r="918" spans="18:18" ht="15.75" customHeight="1">
      <c r="R918" s="30"/>
    </row>
    <row r="919" spans="18:18" ht="15.75" customHeight="1">
      <c r="R919" s="30"/>
    </row>
    <row r="920" spans="18:18" ht="15.75" customHeight="1">
      <c r="R920" s="30"/>
    </row>
    <row r="921" spans="18:18" ht="15.75" customHeight="1">
      <c r="R921" s="30"/>
    </row>
    <row r="922" spans="18:18" ht="15.75" customHeight="1">
      <c r="R922" s="30"/>
    </row>
    <row r="923" spans="18:18" ht="15.75" customHeight="1">
      <c r="R923" s="30"/>
    </row>
    <row r="924" spans="18:18" ht="15.75" customHeight="1">
      <c r="R924" s="30"/>
    </row>
    <row r="925" spans="18:18" ht="15.75" customHeight="1">
      <c r="R925" s="30"/>
    </row>
    <row r="926" spans="18:18" ht="15.75" customHeight="1">
      <c r="R926" s="30"/>
    </row>
    <row r="927" spans="18:18" ht="15.75" customHeight="1">
      <c r="R927" s="30"/>
    </row>
    <row r="928" spans="18:18" ht="15.75" customHeight="1">
      <c r="R928" s="30"/>
    </row>
    <row r="929" spans="18:18" ht="15.75" customHeight="1">
      <c r="R929" s="30"/>
    </row>
    <row r="930" spans="18:18" ht="15.75" customHeight="1">
      <c r="R930" s="30"/>
    </row>
    <row r="931" spans="18:18" ht="15.75" customHeight="1">
      <c r="R931" s="30"/>
    </row>
    <row r="932" spans="18:18" ht="15.75" customHeight="1">
      <c r="R932" s="30"/>
    </row>
    <row r="933" spans="18:18" ht="15.75" customHeight="1">
      <c r="R933" s="30"/>
    </row>
    <row r="934" spans="18:18" ht="15.75" customHeight="1">
      <c r="R934" s="30"/>
    </row>
    <row r="935" spans="18:18" ht="15.75" customHeight="1">
      <c r="R935" s="30"/>
    </row>
    <row r="936" spans="18:18" ht="15.75" customHeight="1">
      <c r="R936" s="30"/>
    </row>
    <row r="937" spans="18:18" ht="15.75" customHeight="1">
      <c r="R937" s="30"/>
    </row>
    <row r="938" spans="18:18" ht="15.75" customHeight="1">
      <c r="R938" s="30"/>
    </row>
    <row r="939" spans="18:18" ht="15.75" customHeight="1">
      <c r="R939" s="30"/>
    </row>
    <row r="940" spans="18:18" ht="15.75" customHeight="1">
      <c r="R940" s="30"/>
    </row>
    <row r="941" spans="18:18" ht="15.75" customHeight="1">
      <c r="R941" s="30"/>
    </row>
    <row r="942" spans="18:18" ht="15.75" customHeight="1">
      <c r="R942" s="30"/>
    </row>
    <row r="943" spans="18:18" ht="15.75" customHeight="1">
      <c r="R943" s="30"/>
    </row>
    <row r="944" spans="18:18" ht="15.75" customHeight="1">
      <c r="R944" s="30"/>
    </row>
    <row r="945" spans="18:18" ht="15.75" customHeight="1">
      <c r="R945" s="30"/>
    </row>
    <row r="946" spans="18:18" ht="15.75" customHeight="1">
      <c r="R946" s="30"/>
    </row>
    <row r="947" spans="18:18" ht="15.75" customHeight="1">
      <c r="R947" s="30"/>
    </row>
    <row r="948" spans="18:18" ht="15.75" customHeight="1">
      <c r="R948" s="30"/>
    </row>
    <row r="949" spans="18:18" ht="15.75" customHeight="1">
      <c r="R949" s="30"/>
    </row>
    <row r="950" spans="18:18" ht="15.75" customHeight="1">
      <c r="R950" s="30"/>
    </row>
    <row r="951" spans="18:18" ht="15.75" customHeight="1">
      <c r="R951" s="30"/>
    </row>
    <row r="952" spans="18:18" ht="15.75" customHeight="1">
      <c r="R952" s="30"/>
    </row>
    <row r="953" spans="18:18" ht="15.75" customHeight="1">
      <c r="R953" s="30"/>
    </row>
    <row r="954" spans="18:18" ht="15.75" customHeight="1">
      <c r="R954" s="30"/>
    </row>
    <row r="955" spans="18:18" ht="15.75" customHeight="1">
      <c r="R955" s="30"/>
    </row>
    <row r="956" spans="18:18" ht="15.75" customHeight="1">
      <c r="R956" s="30"/>
    </row>
    <row r="957" spans="18:18" ht="15.75" customHeight="1">
      <c r="R957" s="30"/>
    </row>
    <row r="958" spans="18:18" ht="15.75" customHeight="1">
      <c r="R958" s="30"/>
    </row>
    <row r="959" spans="18:18" ht="15.75" customHeight="1">
      <c r="R959" s="30"/>
    </row>
    <row r="960" spans="18:18" ht="15.75" customHeight="1">
      <c r="R960" s="30"/>
    </row>
    <row r="961" spans="18:18" ht="15.75" customHeight="1">
      <c r="R961" s="30"/>
    </row>
    <row r="962" spans="18:18" ht="15.75" customHeight="1">
      <c r="R962" s="30"/>
    </row>
    <row r="963" spans="18:18" ht="15.75" customHeight="1">
      <c r="R963" s="30"/>
    </row>
    <row r="964" spans="18:18" ht="15.75" customHeight="1">
      <c r="R964" s="30"/>
    </row>
    <row r="965" spans="18:18" ht="15.75" customHeight="1">
      <c r="R965" s="30"/>
    </row>
    <row r="966" spans="18:18" ht="15.75" customHeight="1">
      <c r="R966" s="30"/>
    </row>
    <row r="967" spans="18:18" ht="15.75" customHeight="1">
      <c r="R967" s="30"/>
    </row>
    <row r="968" spans="18:18" ht="15.75" customHeight="1">
      <c r="R968" s="30"/>
    </row>
    <row r="969" spans="18:18" ht="15.75" customHeight="1">
      <c r="R969" s="30"/>
    </row>
    <row r="970" spans="18:18" ht="15.75" customHeight="1">
      <c r="R970" s="30"/>
    </row>
    <row r="971" spans="18:18" ht="15.75" customHeight="1">
      <c r="R971" s="30"/>
    </row>
    <row r="972" spans="18:18" ht="15.75" customHeight="1">
      <c r="R972" s="30"/>
    </row>
    <row r="973" spans="18:18" ht="15.75" customHeight="1">
      <c r="R973" s="30"/>
    </row>
    <row r="974" spans="18:18" ht="15.75" customHeight="1">
      <c r="R974" s="30"/>
    </row>
    <row r="975" spans="18:18" ht="15.75" customHeight="1">
      <c r="R975" s="30"/>
    </row>
    <row r="976" spans="18:18" ht="15.75" customHeight="1">
      <c r="R976" s="30"/>
    </row>
    <row r="977" spans="18:18" ht="15.75" customHeight="1">
      <c r="R977" s="30"/>
    </row>
    <row r="978" spans="18:18" ht="15.75" customHeight="1">
      <c r="R978" s="30"/>
    </row>
    <row r="979" spans="18:18" ht="15.75" customHeight="1">
      <c r="R979" s="30"/>
    </row>
    <row r="980" spans="18:18" ht="15.75" customHeight="1">
      <c r="R980" s="30"/>
    </row>
    <row r="981" spans="18:18" ht="15.75" customHeight="1">
      <c r="R981" s="30"/>
    </row>
    <row r="982" spans="18:18" ht="15.75" customHeight="1">
      <c r="R982" s="30"/>
    </row>
    <row r="983" spans="18:18" ht="15.75" customHeight="1">
      <c r="R983" s="30"/>
    </row>
    <row r="984" spans="18:18" ht="15.75" customHeight="1">
      <c r="R984" s="30"/>
    </row>
    <row r="985" spans="18:18" ht="15.75" customHeight="1">
      <c r="R985" s="30"/>
    </row>
    <row r="986" spans="18:18" ht="15.75" customHeight="1">
      <c r="R986" s="30"/>
    </row>
    <row r="987" spans="18:18" ht="15.75" customHeight="1">
      <c r="R987" s="30"/>
    </row>
    <row r="988" spans="18:18" ht="15.75" customHeight="1">
      <c r="R988" s="30"/>
    </row>
    <row r="989" spans="18:18" ht="15.75" customHeight="1">
      <c r="R989" s="30"/>
    </row>
    <row r="990" spans="18:18" ht="15.75" customHeight="1">
      <c r="R990" s="30"/>
    </row>
    <row r="991" spans="18:18" ht="15.75" customHeight="1">
      <c r="R991" s="30"/>
    </row>
    <row r="992" spans="18:18" ht="15.75" customHeight="1">
      <c r="R992" s="30"/>
    </row>
    <row r="993" spans="18:18" ht="15.75" customHeight="1">
      <c r="R993" s="30"/>
    </row>
    <row r="994" spans="18:18" ht="15.75" customHeight="1">
      <c r="R994" s="30"/>
    </row>
    <row r="995" spans="18:18" ht="15.75" customHeight="1">
      <c r="R995" s="30"/>
    </row>
    <row r="996" spans="18:18" ht="15.75" customHeight="1">
      <c r="R996" s="30"/>
    </row>
    <row r="997" spans="18:18" ht="15.75" customHeight="1">
      <c r="R997" s="30"/>
    </row>
    <row r="998" spans="18:18" ht="15.75" customHeight="1">
      <c r="R998" s="30"/>
    </row>
    <row r="999" spans="18:18" ht="15.75" customHeight="1">
      <c r="R999" s="30"/>
    </row>
    <row r="1000" spans="18:18" ht="15.75" customHeight="1">
      <c r="R1000" s="3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2.6640625" defaultRowHeight="15" customHeight="1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8.6640625" customWidth="1"/>
    <col min="6" max="6" width="10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16.33203125" customWidth="1"/>
    <col min="16" max="16" width="10" customWidth="1"/>
    <col min="17" max="18" width="7.33203125" customWidth="1"/>
    <col min="19" max="19" width="7.1640625" customWidth="1"/>
    <col min="20" max="20" width="11.1640625" customWidth="1"/>
    <col min="21" max="21" width="22.1640625" customWidth="1"/>
    <col min="22" max="22" width="65.1640625" customWidth="1"/>
    <col min="23" max="24" width="7.6640625" customWidth="1"/>
    <col min="25" max="25" width="8.1640625" customWidth="1"/>
    <col min="26" max="26" width="11.1640625" customWidth="1"/>
    <col min="27" max="27" width="10.6640625" customWidth="1"/>
    <col min="28" max="28" width="9.6640625" customWidth="1"/>
    <col min="29" max="29" width="7.1640625" customWidth="1"/>
    <col min="30" max="30" width="10.83203125" customWidth="1"/>
    <col min="31" max="31" width="8.6640625" customWidth="1"/>
    <col min="32" max="32" width="10.1640625" customWidth="1"/>
    <col min="33" max="33" width="8.83203125" customWidth="1"/>
  </cols>
  <sheetData>
    <row r="1" spans="1:33" ht="18.75" customHeight="1">
      <c r="A1" s="46" t="str">
        <f ca="1">IFERROR(__xludf.DUMMYFUNCTION("IFERROR(VLOOKUP(B2,IMPORTRANGE(""https://docs.google.com/spreadsheets/d/1x0DhHglkXKoEBOD2MBsuK_EyIr1ouxD2ftIpqOYFa-k/edit?usp=sharing"",""Ubiquitty-SKU-Specific Info!B1:BJ5000""),3,FALSE),"""")"),"200 Foot Lighted Outdoor Extension Cord - 10/3 SJTW Yellow 10 Gauge Extension Cable with 3 Prong Grounded Plug for Safety - Great for Garden and Major Appliances")</f>
        <v>200 Foot Lighted Outdoor Extension Cord - 10/3 SJTW Yellow 10 Gauge Extension Cable with 3 Prong Grounded Plug for Safety - Great for Garden and Major Appliances</v>
      </c>
      <c r="B1" s="47"/>
      <c r="C1" s="48" t="s">
        <v>0</v>
      </c>
      <c r="D1" s="50" t="s">
        <v>1</v>
      </c>
      <c r="E1" s="50" t="s">
        <v>2</v>
      </c>
      <c r="F1" s="52" t="s">
        <v>3</v>
      </c>
      <c r="G1" s="52" t="s">
        <v>4</v>
      </c>
      <c r="H1" s="53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58" t="s">
        <v>10</v>
      </c>
      <c r="N1" s="59" t="s">
        <v>11</v>
      </c>
      <c r="O1" s="50" t="s">
        <v>12</v>
      </c>
      <c r="P1" s="50" t="s">
        <v>13</v>
      </c>
      <c r="Q1" s="57" t="s">
        <v>14</v>
      </c>
      <c r="R1" s="57" t="s">
        <v>15</v>
      </c>
      <c r="S1" s="60" t="s">
        <v>16</v>
      </c>
      <c r="T1" s="62" t="s">
        <v>2006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Info!B1:BJ5000""),2,FALSE),"""")"),"B081HCPDNH")</f>
        <v>B081HCPDNH</v>
      </c>
      <c r="B2" s="3" t="s">
        <v>342</v>
      </c>
      <c r="C2" s="49"/>
      <c r="D2" s="49"/>
      <c r="E2" s="51"/>
      <c r="F2" s="49"/>
      <c r="G2" s="49"/>
      <c r="H2" s="54"/>
      <c r="I2" s="49"/>
      <c r="J2" s="49"/>
      <c r="K2" s="54"/>
      <c r="L2" s="54"/>
      <c r="M2" s="54"/>
      <c r="N2" s="49"/>
      <c r="O2" s="49"/>
      <c r="P2" s="51"/>
      <c r="Q2" s="49"/>
      <c r="R2" s="49"/>
      <c r="S2" s="61"/>
      <c r="T2" s="47"/>
      <c r="U2" s="63"/>
      <c r="V2" s="63"/>
      <c r="W2" s="47"/>
      <c r="X2" s="47"/>
      <c r="Y2" s="47"/>
      <c r="Z2" s="47"/>
      <c r="AA2" s="63"/>
      <c r="AB2" s="63"/>
      <c r="AC2" s="63"/>
      <c r="AD2" s="63"/>
      <c r="AE2" s="47"/>
      <c r="AF2" s="47"/>
      <c r="AG2" s="47"/>
    </row>
    <row r="3" spans="1:33" ht="125.25" customHeight="1">
      <c r="A3" s="55" t="s">
        <v>31</v>
      </c>
      <c r="B3" s="56"/>
      <c r="C3" s="4">
        <f>((AE32+AF32)/0.85)*-1</f>
        <v>204.06782696470592</v>
      </c>
      <c r="D3" s="5">
        <f>SUM(D4:D99765)</f>
        <v>92</v>
      </c>
      <c r="E3" s="5"/>
      <c r="F3" s="6">
        <f t="shared" ref="F3:G3" si="0">SUM(F4:F99765)</f>
        <v>24559.520000000004</v>
      </c>
      <c r="G3" s="6">
        <f t="shared" si="0"/>
        <v>-0.18</v>
      </c>
      <c r="H3" s="7">
        <f t="shared" ref="H3:H32" si="1">G3/F3*-1</f>
        <v>7.3291334684065476E-6</v>
      </c>
      <c r="I3" s="8">
        <f t="shared" ref="I3:I32" si="2">J3/F3</f>
        <v>0.24278458131736999</v>
      </c>
      <c r="J3" s="6">
        <f>SUM(J4:J99765)</f>
        <v>5962.6727805555756</v>
      </c>
      <c r="K3" s="6">
        <f t="shared" ref="K3:K32" si="3">J3/D3</f>
        <v>64.811660658212773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Sheet!a1:g5000""),2,FALSE),"""")"),"1 - March
1 - April
1 - May
1 - June
2 - July
1 - Aug
1 - Sept
1 - Oct
1.5 - Nov
1.5 - Dec
1 - Jan
1 - Feb")</f>
        <v>1 - March
1 - April
1 - May
1 - June
2 - July
1 - Aug
1 - Sept
1 - Oct
1.5 - Nov
1.5 - Dec
1 - Jan
1 -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2</v>
      </c>
      <c r="X3" s="7">
        <f>W3/D3</f>
        <v>2.1739130434782608E-2</v>
      </c>
      <c r="Y3" s="6"/>
      <c r="Z3" s="5"/>
      <c r="AA3" s="5"/>
      <c r="AB3" s="5"/>
      <c r="AC3" s="5"/>
      <c r="AD3" s="6">
        <f>SUM(AD4:AD99765)</f>
        <v>-121.87904444444443</v>
      </c>
      <c r="AE3" s="6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Info!B2:BZ3000""),37,FALSE)),"""")*-1"),-145.43765292)</f>
        <v>-145.43765292</v>
      </c>
      <c r="AG3" s="6">
        <f>SUM(AG4:AG99765)</f>
        <v>0</v>
      </c>
    </row>
    <row r="4" spans="1:33" ht="15.75" customHeight="1">
      <c r="A4" s="14" t="s">
        <v>181</v>
      </c>
      <c r="B4" s="14" t="s">
        <v>343</v>
      </c>
      <c r="C4" s="15" t="str">
        <f t="shared" ref="C4:C32" si="4">IFERROR(F4/D4," - ")</f>
        <v xml:space="preserve"> - </v>
      </c>
      <c r="D4" s="16">
        <v>0</v>
      </c>
      <c r="E4" s="16">
        <v>0</v>
      </c>
      <c r="F4" s="17">
        <v>0</v>
      </c>
      <c r="G4" s="17">
        <v>0</v>
      </c>
      <c r="H4" s="18" t="e">
        <f t="shared" si="1"/>
        <v>#DIV/0!</v>
      </c>
      <c r="I4" s="18" t="e">
        <f t="shared" si="2"/>
        <v>#DIV/0!</v>
      </c>
      <c r="J4" s="17">
        <f t="shared" ref="J4:J32" si="5">F4*0.85+G4+AF4*D4+D4*AE4+AG4+AD4</f>
        <v>0</v>
      </c>
      <c r="K4" s="17" t="e">
        <f t="shared" si="3"/>
        <v>#DIV/0!</v>
      </c>
      <c r="L4" s="16">
        <v>0</v>
      </c>
      <c r="M4" s="19" t="str">
        <f t="shared" ref="M4:M32" si="6">IFERROR(D4/L4,"-")</f>
        <v>-</v>
      </c>
      <c r="N4" s="16">
        <v>20</v>
      </c>
      <c r="O4" s="20">
        <f t="shared" ref="O4:P4" si="7">D4/7</f>
        <v>0</v>
      </c>
      <c r="P4" s="20">
        <f t="shared" si="7"/>
        <v>0</v>
      </c>
      <c r="Q4" s="16" t="e">
        <f t="shared" ref="Q4:Q32" si="8">ROUNDDOWN(N4/(O4+P4),0)</f>
        <v>#DIV/0!</v>
      </c>
      <c r="R4" s="16"/>
      <c r="S4" s="21" t="e">
        <v>#N/A</v>
      </c>
      <c r="T4" s="14">
        <v>82</v>
      </c>
      <c r="U4" s="22">
        <v>80</v>
      </c>
      <c r="V4" s="23" t="s">
        <v>344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26" t="e">
        <v>#N/A</v>
      </c>
      <c r="AB4" s="27" t="e">
        <f t="shared" ref="AB4:AB32" si="11">IF(OR(AA4="UsLargeStandardSize",AA4="UsSmallStandardSize"),-0.69,-0.48)</f>
        <v>#N/A</v>
      </c>
      <c r="AC4" s="28" t="e">
        <v>#N/A</v>
      </c>
      <c r="AD4" s="25">
        <f t="shared" ref="AD4:AD32" si="12">IFERROR(AB4*AC4*D4*2,0)</f>
        <v>0</v>
      </c>
      <c r="AE4" s="25">
        <v>0</v>
      </c>
      <c r="AF4" s="25">
        <v>-131.27392500000002</v>
      </c>
      <c r="AG4" s="25">
        <v>0</v>
      </c>
    </row>
    <row r="5" spans="1:33" ht="15.75" customHeight="1">
      <c r="A5" s="14" t="s">
        <v>183</v>
      </c>
      <c r="B5" s="14" t="s">
        <v>345</v>
      </c>
      <c r="C5" s="15" t="str">
        <f t="shared" si="4"/>
        <v xml:space="preserve"> - </v>
      </c>
      <c r="D5" s="16">
        <v>0</v>
      </c>
      <c r="E5" s="16">
        <v>0</v>
      </c>
      <c r="F5" s="29">
        <v>0</v>
      </c>
      <c r="G5" s="29">
        <v>0</v>
      </c>
      <c r="H5" s="18" t="e">
        <f t="shared" si="1"/>
        <v>#DIV/0!</v>
      </c>
      <c r="I5" s="18" t="e">
        <f t="shared" si="2"/>
        <v>#DIV/0!</v>
      </c>
      <c r="J5" s="17">
        <f t="shared" si="5"/>
        <v>0</v>
      </c>
      <c r="K5" s="17" t="e">
        <f t="shared" si="3"/>
        <v>#DIV/0!</v>
      </c>
      <c r="L5" s="16">
        <v>0</v>
      </c>
      <c r="M5" s="19" t="str">
        <f t="shared" si="6"/>
        <v>-</v>
      </c>
      <c r="N5" s="16">
        <v>98</v>
      </c>
      <c r="O5" s="20">
        <f t="shared" ref="O5:P5" si="13">D5/7</f>
        <v>0</v>
      </c>
      <c r="P5" s="20">
        <f t="shared" si="13"/>
        <v>0</v>
      </c>
      <c r="Q5" s="16" t="e">
        <f t="shared" si="8"/>
        <v>#DIV/0!</v>
      </c>
      <c r="R5" s="16"/>
      <c r="S5" s="21">
        <v>0.52525252525252497</v>
      </c>
      <c r="T5" s="14">
        <v>2</v>
      </c>
      <c r="U5" s="22" t="s">
        <v>34</v>
      </c>
      <c r="V5" s="23" t="s">
        <v>34</v>
      </c>
      <c r="W5" s="14">
        <v>0</v>
      </c>
      <c r="X5" s="24">
        <f t="shared" si="9"/>
        <v>0</v>
      </c>
      <c r="Y5" s="25">
        <f t="shared" si="10"/>
        <v>0</v>
      </c>
      <c r="Z5" s="14">
        <v>0</v>
      </c>
      <c r="AA5" s="14" t="e">
        <v>#N/A</v>
      </c>
      <c r="AB5" s="27" t="e">
        <f t="shared" si="11"/>
        <v>#N/A</v>
      </c>
      <c r="AC5" s="28" t="e">
        <v>#N/A</v>
      </c>
      <c r="AD5" s="25">
        <f t="shared" si="12"/>
        <v>0</v>
      </c>
      <c r="AE5" s="25">
        <v>0</v>
      </c>
      <c r="AF5" s="25">
        <v>-131.27392500000002</v>
      </c>
      <c r="AG5" s="25">
        <v>0</v>
      </c>
    </row>
    <row r="6" spans="1:33" ht="15.75" customHeight="1">
      <c r="A6" s="14" t="s">
        <v>185</v>
      </c>
      <c r="B6" s="14" t="s">
        <v>83</v>
      </c>
      <c r="C6" s="15">
        <f t="shared" si="4"/>
        <v>229.99</v>
      </c>
      <c r="D6" s="16">
        <v>3</v>
      </c>
      <c r="E6" s="16">
        <v>0</v>
      </c>
      <c r="F6" s="29">
        <v>689.97</v>
      </c>
      <c r="G6" s="29">
        <v>-0.08</v>
      </c>
      <c r="H6" s="18">
        <f t="shared" si="1"/>
        <v>1.1594707016247082E-4</v>
      </c>
      <c r="I6" s="18">
        <f t="shared" si="2"/>
        <v>0.15151152707122523</v>
      </c>
      <c r="J6" s="17">
        <f t="shared" si="5"/>
        <v>104.53840833333327</v>
      </c>
      <c r="K6" s="17">
        <f t="shared" si="3"/>
        <v>34.846136111111086</v>
      </c>
      <c r="L6" s="16">
        <v>61</v>
      </c>
      <c r="M6" s="19">
        <f t="shared" si="6"/>
        <v>4.9180327868852458E-2</v>
      </c>
      <c r="N6" s="16">
        <v>98</v>
      </c>
      <c r="O6" s="20">
        <f t="shared" ref="O6:P6" si="14">D6/7</f>
        <v>0.42857142857142855</v>
      </c>
      <c r="P6" s="20">
        <f t="shared" si="14"/>
        <v>0</v>
      </c>
      <c r="Q6" s="16">
        <f t="shared" si="8"/>
        <v>228</v>
      </c>
      <c r="R6" s="16"/>
      <c r="S6" s="21">
        <v>0.36559139784946199</v>
      </c>
      <c r="T6" s="14">
        <v>2</v>
      </c>
      <c r="U6" s="22" t="s">
        <v>34</v>
      </c>
      <c r="V6" s="23" t="s">
        <v>186</v>
      </c>
      <c r="W6" s="14">
        <v>1</v>
      </c>
      <c r="X6" s="24">
        <f t="shared" si="9"/>
        <v>0.33333333333333331</v>
      </c>
      <c r="Y6" s="25">
        <f t="shared" si="10"/>
        <v>0.08</v>
      </c>
      <c r="Z6" s="14">
        <v>0</v>
      </c>
      <c r="AA6" s="14" t="s">
        <v>63</v>
      </c>
      <c r="AB6" s="27">
        <f t="shared" si="11"/>
        <v>-0.48</v>
      </c>
      <c r="AC6" s="28">
        <v>1.3799710648148147</v>
      </c>
      <c r="AD6" s="25">
        <f t="shared" si="12"/>
        <v>-3.9743166666666658</v>
      </c>
      <c r="AE6" s="25">
        <v>-28.02</v>
      </c>
      <c r="AF6" s="25">
        <v>-131.27392500000002</v>
      </c>
      <c r="AG6" s="25">
        <v>0</v>
      </c>
    </row>
    <row r="7" spans="1:33" ht="15.75" customHeight="1">
      <c r="A7" s="14" t="s">
        <v>187</v>
      </c>
      <c r="B7" s="14" t="s">
        <v>346</v>
      </c>
      <c r="C7" s="15">
        <f t="shared" si="4"/>
        <v>229.98999999999995</v>
      </c>
      <c r="D7" s="16">
        <v>11</v>
      </c>
      <c r="E7" s="16">
        <v>0</v>
      </c>
      <c r="F7" s="29">
        <v>2529.8899999999994</v>
      </c>
      <c r="G7" s="29">
        <v>0</v>
      </c>
      <c r="H7" s="18">
        <f t="shared" si="1"/>
        <v>0</v>
      </c>
      <c r="I7" s="18">
        <f t="shared" si="2"/>
        <v>0.15162747414138758</v>
      </c>
      <c r="J7" s="17">
        <f t="shared" si="5"/>
        <v>383.60083055555492</v>
      </c>
      <c r="K7" s="17">
        <f t="shared" si="3"/>
        <v>34.872802777777721</v>
      </c>
      <c r="L7" s="16">
        <v>44</v>
      </c>
      <c r="M7" s="19">
        <f t="shared" si="6"/>
        <v>0.25</v>
      </c>
      <c r="N7" s="16">
        <v>86</v>
      </c>
      <c r="O7" s="20">
        <f t="shared" ref="O7:P7" si="15">D7/7</f>
        <v>1.5714285714285714</v>
      </c>
      <c r="P7" s="20">
        <f t="shared" si="15"/>
        <v>0</v>
      </c>
      <c r="Q7" s="16">
        <f t="shared" si="8"/>
        <v>54</v>
      </c>
      <c r="R7" s="16"/>
      <c r="S7" s="21">
        <v>0.40718562874251402</v>
      </c>
      <c r="T7" s="14">
        <v>2</v>
      </c>
      <c r="U7" s="22" t="s">
        <v>34</v>
      </c>
      <c r="V7" s="23" t="s">
        <v>186</v>
      </c>
      <c r="W7" s="14">
        <v>0</v>
      </c>
      <c r="X7" s="24">
        <f t="shared" si="9"/>
        <v>0</v>
      </c>
      <c r="Y7" s="25">
        <f t="shared" si="10"/>
        <v>0</v>
      </c>
      <c r="Z7" s="14">
        <v>0</v>
      </c>
      <c r="AA7" s="14" t="s">
        <v>63</v>
      </c>
      <c r="AB7" s="27">
        <f t="shared" si="11"/>
        <v>-0.48</v>
      </c>
      <c r="AC7" s="28">
        <v>1.3799710648148147</v>
      </c>
      <c r="AD7" s="25">
        <f t="shared" si="12"/>
        <v>-14.572494444444443</v>
      </c>
      <c r="AE7" s="25">
        <v>-28.02</v>
      </c>
      <c r="AF7" s="25">
        <v>-131.27392500000002</v>
      </c>
      <c r="AG7" s="25">
        <v>0</v>
      </c>
    </row>
    <row r="8" spans="1:33" ht="15.75" customHeight="1">
      <c r="A8" s="14" t="s">
        <v>189</v>
      </c>
      <c r="B8" s="14" t="s">
        <v>347</v>
      </c>
      <c r="C8" s="15">
        <f t="shared" si="4"/>
        <v>239.99</v>
      </c>
      <c r="D8" s="16">
        <v>4</v>
      </c>
      <c r="E8" s="16">
        <v>0</v>
      </c>
      <c r="F8" s="29">
        <v>959.96</v>
      </c>
      <c r="G8" s="29">
        <v>0</v>
      </c>
      <c r="H8" s="18">
        <f t="shared" si="1"/>
        <v>0</v>
      </c>
      <c r="I8" s="18">
        <f t="shared" si="2"/>
        <v>0.18074389673643806</v>
      </c>
      <c r="J8" s="17">
        <f t="shared" si="5"/>
        <v>173.50691111111109</v>
      </c>
      <c r="K8" s="17">
        <f t="shared" si="3"/>
        <v>43.376727777777774</v>
      </c>
      <c r="L8" s="16">
        <v>46</v>
      </c>
      <c r="M8" s="19">
        <f t="shared" si="6"/>
        <v>8.6956521739130432E-2</v>
      </c>
      <c r="N8" s="16">
        <v>81</v>
      </c>
      <c r="O8" s="20">
        <f t="shared" ref="O8:P8" si="16">D8/7</f>
        <v>0.5714285714285714</v>
      </c>
      <c r="P8" s="20">
        <f t="shared" si="16"/>
        <v>0</v>
      </c>
      <c r="Q8" s="16">
        <f t="shared" si="8"/>
        <v>141</v>
      </c>
      <c r="R8" s="16"/>
      <c r="S8" s="21">
        <v>0.69333333333333302</v>
      </c>
      <c r="T8" s="14">
        <v>2</v>
      </c>
      <c r="U8" s="22" t="s">
        <v>34</v>
      </c>
      <c r="V8" s="23" t="s">
        <v>34</v>
      </c>
      <c r="W8" s="14">
        <v>0</v>
      </c>
      <c r="X8" s="24">
        <f t="shared" si="9"/>
        <v>0</v>
      </c>
      <c r="Y8" s="25">
        <f t="shared" si="10"/>
        <v>0</v>
      </c>
      <c r="Z8" s="14">
        <v>0</v>
      </c>
      <c r="AA8" s="14" t="s">
        <v>63</v>
      </c>
      <c r="AB8" s="27">
        <f t="shared" si="11"/>
        <v>-0.48</v>
      </c>
      <c r="AC8" s="28">
        <v>1.3799710648148147</v>
      </c>
      <c r="AD8" s="25">
        <f t="shared" si="12"/>
        <v>-5.2990888888888881</v>
      </c>
      <c r="AE8" s="25">
        <v>-28.02</v>
      </c>
      <c r="AF8" s="25">
        <v>-131.27000000000001</v>
      </c>
      <c r="AG8" s="25">
        <v>0</v>
      </c>
    </row>
    <row r="9" spans="1:33" ht="15.75" customHeight="1">
      <c r="A9" s="14" t="s">
        <v>191</v>
      </c>
      <c r="B9" s="14" t="s">
        <v>348</v>
      </c>
      <c r="C9" s="15">
        <f t="shared" si="4"/>
        <v>235.99</v>
      </c>
      <c r="D9" s="16">
        <v>7</v>
      </c>
      <c r="E9" s="16">
        <v>0</v>
      </c>
      <c r="F9" s="29">
        <v>1651.93</v>
      </c>
      <c r="G9" s="29">
        <v>0</v>
      </c>
      <c r="H9" s="18">
        <f t="shared" si="1"/>
        <v>0</v>
      </c>
      <c r="I9" s="18">
        <f t="shared" si="2"/>
        <v>0.17109474525032742</v>
      </c>
      <c r="J9" s="17">
        <f t="shared" si="5"/>
        <v>282.63654252137337</v>
      </c>
      <c r="K9" s="17">
        <f t="shared" si="3"/>
        <v>40.376648931624764</v>
      </c>
      <c r="L9" s="16">
        <v>70</v>
      </c>
      <c r="M9" s="19">
        <f t="shared" si="6"/>
        <v>0.1</v>
      </c>
      <c r="N9" s="16">
        <v>74</v>
      </c>
      <c r="O9" s="20">
        <f t="shared" ref="O9:P9" si="17">D9/7</f>
        <v>1</v>
      </c>
      <c r="P9" s="20">
        <f t="shared" si="17"/>
        <v>0</v>
      </c>
      <c r="Q9" s="16">
        <f t="shared" si="8"/>
        <v>74</v>
      </c>
      <c r="R9" s="16"/>
      <c r="S9" s="21">
        <v>0.78832116788321105</v>
      </c>
      <c r="T9" s="14">
        <v>2</v>
      </c>
      <c r="U9" s="22" t="s">
        <v>34</v>
      </c>
      <c r="V9" s="23" t="s">
        <v>34</v>
      </c>
      <c r="W9" s="14">
        <v>0</v>
      </c>
      <c r="X9" s="24">
        <f t="shared" si="9"/>
        <v>0</v>
      </c>
      <c r="Y9" s="25">
        <f t="shared" si="10"/>
        <v>0</v>
      </c>
      <c r="Z9" s="14">
        <v>0</v>
      </c>
      <c r="AA9" s="14" t="s">
        <v>63</v>
      </c>
      <c r="AB9" s="27">
        <f t="shared" si="11"/>
        <v>-0.48</v>
      </c>
      <c r="AC9" s="28">
        <v>1.3799710648148147</v>
      </c>
      <c r="AD9" s="25">
        <f t="shared" si="12"/>
        <v>-9.2734055555555539</v>
      </c>
      <c r="AE9" s="25">
        <v>-28.02</v>
      </c>
      <c r="AF9" s="25">
        <v>-130.87007884615301</v>
      </c>
      <c r="AG9" s="25">
        <v>0</v>
      </c>
    </row>
    <row r="10" spans="1:33" ht="15.75" customHeight="1">
      <c r="A10" s="14" t="s">
        <v>192</v>
      </c>
      <c r="B10" s="14" t="s">
        <v>349</v>
      </c>
      <c r="C10" s="15">
        <f t="shared" si="4"/>
        <v>236.71727272727273</v>
      </c>
      <c r="D10" s="16">
        <v>11</v>
      </c>
      <c r="E10" s="16">
        <v>4</v>
      </c>
      <c r="F10" s="29">
        <v>2603.89</v>
      </c>
      <c r="G10" s="29">
        <v>-0.1</v>
      </c>
      <c r="H10" s="18">
        <f t="shared" si="1"/>
        <v>3.840408004946446E-5</v>
      </c>
      <c r="I10" s="18">
        <f t="shared" si="2"/>
        <v>0.17314215971023059</v>
      </c>
      <c r="J10" s="17">
        <f t="shared" si="5"/>
        <v>450.84313824787228</v>
      </c>
      <c r="K10" s="17">
        <f t="shared" si="3"/>
        <v>40.985739840715659</v>
      </c>
      <c r="L10" s="16">
        <v>73</v>
      </c>
      <c r="M10" s="19">
        <f t="shared" si="6"/>
        <v>0.15068493150684931</v>
      </c>
      <c r="N10" s="16">
        <v>62</v>
      </c>
      <c r="O10" s="20">
        <f t="shared" ref="O10:P10" si="18">D10/7</f>
        <v>1.5714285714285714</v>
      </c>
      <c r="P10" s="20">
        <f t="shared" si="18"/>
        <v>0.5714285714285714</v>
      </c>
      <c r="Q10" s="16">
        <f t="shared" si="8"/>
        <v>28</v>
      </c>
      <c r="R10" s="16"/>
      <c r="S10" s="21">
        <v>0.68292682926829196</v>
      </c>
      <c r="T10" s="14">
        <v>2</v>
      </c>
      <c r="U10" s="22" t="s">
        <v>34</v>
      </c>
      <c r="V10" s="23" t="s">
        <v>34</v>
      </c>
      <c r="W10" s="14">
        <v>1</v>
      </c>
      <c r="X10" s="24">
        <f t="shared" si="9"/>
        <v>9.0909090909090912E-2</v>
      </c>
      <c r="Y10" s="25">
        <f t="shared" si="10"/>
        <v>0.1</v>
      </c>
      <c r="Z10" s="14">
        <v>0</v>
      </c>
      <c r="AA10" s="14" t="s">
        <v>63</v>
      </c>
      <c r="AB10" s="27">
        <f t="shared" si="11"/>
        <v>-0.48</v>
      </c>
      <c r="AC10" s="28">
        <v>1.3799710648148147</v>
      </c>
      <c r="AD10" s="25">
        <f t="shared" si="12"/>
        <v>-14.572494444444443</v>
      </c>
      <c r="AE10" s="25">
        <v>-28.02</v>
      </c>
      <c r="AF10" s="25">
        <v>-130.87007884615301</v>
      </c>
      <c r="AG10" s="25">
        <v>0</v>
      </c>
    </row>
    <row r="11" spans="1:33" ht="15.75" customHeight="1">
      <c r="A11" s="14" t="s">
        <v>193</v>
      </c>
      <c r="B11" s="14" t="s">
        <v>350</v>
      </c>
      <c r="C11" s="15">
        <f t="shared" si="4"/>
        <v>260.66000000000003</v>
      </c>
      <c r="D11" s="16">
        <v>2</v>
      </c>
      <c r="E11" s="16">
        <v>3</v>
      </c>
      <c r="F11" s="29">
        <v>521.32000000000005</v>
      </c>
      <c r="G11" s="29">
        <v>0</v>
      </c>
      <c r="H11" s="18">
        <f t="shared" si="1"/>
        <v>0</v>
      </c>
      <c r="I11" s="18">
        <f t="shared" si="2"/>
        <v>0.23534930151010811</v>
      </c>
      <c r="J11" s="17">
        <f t="shared" si="5"/>
        <v>122.69229786324956</v>
      </c>
      <c r="K11" s="17">
        <f t="shared" si="3"/>
        <v>61.346148931624782</v>
      </c>
      <c r="L11" s="16">
        <v>61</v>
      </c>
      <c r="M11" s="19">
        <f t="shared" si="6"/>
        <v>3.2786885245901641E-2</v>
      </c>
      <c r="N11" s="16">
        <v>54</v>
      </c>
      <c r="O11" s="20">
        <f t="shared" ref="O11:P11" si="19">D11/7</f>
        <v>0.2857142857142857</v>
      </c>
      <c r="P11" s="20">
        <f t="shared" si="19"/>
        <v>0.42857142857142855</v>
      </c>
      <c r="Q11" s="16">
        <f t="shared" si="8"/>
        <v>75</v>
      </c>
      <c r="R11" s="16"/>
      <c r="S11" s="21">
        <v>0.952380952380952</v>
      </c>
      <c r="T11" s="14">
        <v>2</v>
      </c>
      <c r="U11" s="22" t="s">
        <v>34</v>
      </c>
      <c r="V11" s="23" t="s">
        <v>34</v>
      </c>
      <c r="W11" s="14">
        <v>0</v>
      </c>
      <c r="X11" s="24">
        <f t="shared" si="9"/>
        <v>0</v>
      </c>
      <c r="Y11" s="25">
        <f t="shared" si="10"/>
        <v>0</v>
      </c>
      <c r="Z11" s="14">
        <v>0</v>
      </c>
      <c r="AA11" s="14" t="s">
        <v>63</v>
      </c>
      <c r="AB11" s="27">
        <f t="shared" si="11"/>
        <v>-0.48</v>
      </c>
      <c r="AC11" s="28">
        <v>1.3799710648148147</v>
      </c>
      <c r="AD11" s="25">
        <f t="shared" si="12"/>
        <v>-2.649544444444444</v>
      </c>
      <c r="AE11" s="25">
        <v>-28.02</v>
      </c>
      <c r="AF11" s="25">
        <v>-130.87007884615301</v>
      </c>
      <c r="AG11" s="25">
        <v>0</v>
      </c>
    </row>
    <row r="12" spans="1:33" ht="15.75" customHeight="1">
      <c r="A12" s="14" t="s">
        <v>195</v>
      </c>
      <c r="B12" s="14" t="s">
        <v>351</v>
      </c>
      <c r="C12" s="15">
        <f t="shared" si="4"/>
        <v>259.29833333333335</v>
      </c>
      <c r="D12" s="16">
        <v>6</v>
      </c>
      <c r="E12" s="16">
        <v>0</v>
      </c>
      <c r="F12" s="29">
        <v>1555.79</v>
      </c>
      <c r="G12" s="29">
        <v>0</v>
      </c>
      <c r="H12" s="18">
        <f t="shared" si="1"/>
        <v>0</v>
      </c>
      <c r="I12" s="18">
        <f t="shared" si="2"/>
        <v>0.23212155470195112</v>
      </c>
      <c r="J12" s="17">
        <f t="shared" si="5"/>
        <v>361.13239358974852</v>
      </c>
      <c r="K12" s="17">
        <f t="shared" si="3"/>
        <v>60.188732264958084</v>
      </c>
      <c r="L12" s="16">
        <v>48</v>
      </c>
      <c r="M12" s="19">
        <f t="shared" si="6"/>
        <v>0.125</v>
      </c>
      <c r="N12" s="16">
        <v>50</v>
      </c>
      <c r="O12" s="20">
        <f t="shared" ref="O12:P12" si="20">D12/7</f>
        <v>0.8571428571428571</v>
      </c>
      <c r="P12" s="20">
        <f t="shared" si="20"/>
        <v>0</v>
      </c>
      <c r="Q12" s="16">
        <f t="shared" si="8"/>
        <v>58</v>
      </c>
      <c r="R12" s="16"/>
      <c r="S12" s="21">
        <v>1.0971428571428501</v>
      </c>
      <c r="T12" s="14">
        <v>2</v>
      </c>
      <c r="U12" s="22" t="s">
        <v>34</v>
      </c>
      <c r="V12" s="23" t="s">
        <v>34</v>
      </c>
      <c r="W12" s="14">
        <v>0</v>
      </c>
      <c r="X12" s="24">
        <f t="shared" si="9"/>
        <v>0</v>
      </c>
      <c r="Y12" s="25">
        <f t="shared" si="10"/>
        <v>0</v>
      </c>
      <c r="Z12" s="14">
        <v>0</v>
      </c>
      <c r="AA12" s="14" t="s">
        <v>63</v>
      </c>
      <c r="AB12" s="27">
        <f t="shared" si="11"/>
        <v>-0.48</v>
      </c>
      <c r="AC12" s="28">
        <v>1.3799710648148147</v>
      </c>
      <c r="AD12" s="25">
        <f t="shared" si="12"/>
        <v>-7.9486333333333317</v>
      </c>
      <c r="AE12" s="25">
        <v>-28.02</v>
      </c>
      <c r="AF12" s="25">
        <v>-130.87007884615301</v>
      </c>
      <c r="AG12" s="25">
        <v>0</v>
      </c>
    </row>
    <row r="13" spans="1:33" ht="15.75" customHeight="1">
      <c r="A13" s="14" t="s">
        <v>197</v>
      </c>
      <c r="B13" s="14" t="s">
        <v>352</v>
      </c>
      <c r="C13" s="15">
        <f t="shared" si="4"/>
        <v>277.64666666666665</v>
      </c>
      <c r="D13" s="16">
        <v>9</v>
      </c>
      <c r="E13" s="16">
        <v>0</v>
      </c>
      <c r="F13" s="17">
        <v>2498.8199999999997</v>
      </c>
      <c r="G13" s="29">
        <v>0</v>
      </c>
      <c r="H13" s="18">
        <f t="shared" si="1"/>
        <v>0</v>
      </c>
      <c r="I13" s="18">
        <f t="shared" si="2"/>
        <v>0.26879836282725444</v>
      </c>
      <c r="J13" s="17">
        <f t="shared" si="5"/>
        <v>671.67872499999987</v>
      </c>
      <c r="K13" s="17">
        <f t="shared" si="3"/>
        <v>74.630969444444432</v>
      </c>
      <c r="L13" s="16">
        <v>37</v>
      </c>
      <c r="M13" s="19">
        <f t="shared" si="6"/>
        <v>0.24324324324324326</v>
      </c>
      <c r="N13" s="16">
        <v>42</v>
      </c>
      <c r="O13" s="20">
        <f t="shared" ref="O13:P13" si="21">D13/7</f>
        <v>1.2857142857142858</v>
      </c>
      <c r="P13" s="20">
        <f t="shared" si="21"/>
        <v>0</v>
      </c>
      <c r="Q13" s="16">
        <f t="shared" si="8"/>
        <v>32</v>
      </c>
      <c r="R13" s="16"/>
      <c r="S13" s="21">
        <v>1.2380952380952299</v>
      </c>
      <c r="T13" s="14">
        <v>2</v>
      </c>
      <c r="U13" s="22" t="s">
        <v>34</v>
      </c>
      <c r="V13" s="23" t="s">
        <v>34</v>
      </c>
      <c r="W13" s="14">
        <v>0</v>
      </c>
      <c r="X13" s="24">
        <f t="shared" si="9"/>
        <v>0</v>
      </c>
      <c r="Y13" s="25">
        <f t="shared" si="10"/>
        <v>0</v>
      </c>
      <c r="Z13" s="14">
        <v>0</v>
      </c>
      <c r="AA13" s="14" t="s">
        <v>63</v>
      </c>
      <c r="AB13" s="27">
        <f t="shared" si="11"/>
        <v>-0.48</v>
      </c>
      <c r="AC13" s="28">
        <v>1.3799710648148147</v>
      </c>
      <c r="AD13" s="25">
        <f t="shared" si="12"/>
        <v>-11.922949999999998</v>
      </c>
      <c r="AE13" s="25">
        <v>-28.02</v>
      </c>
      <c r="AF13" s="25">
        <v>-132.02392499999999</v>
      </c>
      <c r="AG13" s="25">
        <v>0</v>
      </c>
    </row>
    <row r="14" spans="1:33" ht="15.75" customHeight="1">
      <c r="A14" s="14" t="s">
        <v>32</v>
      </c>
      <c r="B14" s="14" t="s">
        <v>353</v>
      </c>
      <c r="C14" s="15">
        <f t="shared" si="4"/>
        <v>296.625</v>
      </c>
      <c r="D14" s="16">
        <v>2</v>
      </c>
      <c r="E14" s="16">
        <v>0</v>
      </c>
      <c r="F14" s="17">
        <v>593.25</v>
      </c>
      <c r="G14" s="29">
        <v>0</v>
      </c>
      <c r="H14" s="18">
        <f t="shared" si="1"/>
        <v>0</v>
      </c>
      <c r="I14" s="18">
        <f t="shared" si="2"/>
        <v>0.30598416444257154</v>
      </c>
      <c r="J14" s="17">
        <f t="shared" si="5"/>
        <v>181.52510555555557</v>
      </c>
      <c r="K14" s="17">
        <f t="shared" si="3"/>
        <v>90.762552777777785</v>
      </c>
      <c r="L14" s="16">
        <v>40</v>
      </c>
      <c r="M14" s="19">
        <f t="shared" si="6"/>
        <v>0.05</v>
      </c>
      <c r="N14" s="16">
        <v>39</v>
      </c>
      <c r="O14" s="20">
        <f t="shared" ref="O14:P14" si="22">D14/7</f>
        <v>0.2857142857142857</v>
      </c>
      <c r="P14" s="20">
        <f t="shared" si="22"/>
        <v>0</v>
      </c>
      <c r="Q14" s="16">
        <f t="shared" si="8"/>
        <v>136</v>
      </c>
      <c r="R14" s="16"/>
      <c r="S14" s="21">
        <v>1.09417040358744</v>
      </c>
      <c r="T14" s="14">
        <v>2</v>
      </c>
      <c r="U14" s="22" t="s">
        <v>34</v>
      </c>
      <c r="V14" s="23" t="s">
        <v>34</v>
      </c>
      <c r="W14" s="14">
        <v>0</v>
      </c>
      <c r="X14" s="24">
        <f t="shared" si="9"/>
        <v>0</v>
      </c>
      <c r="Y14" s="25">
        <f t="shared" si="10"/>
        <v>0</v>
      </c>
      <c r="Z14" s="14">
        <v>0</v>
      </c>
      <c r="AA14" s="14" t="s">
        <v>63</v>
      </c>
      <c r="AB14" s="27">
        <f t="shared" si="11"/>
        <v>-0.48</v>
      </c>
      <c r="AC14" s="28">
        <v>1.3799710648148147</v>
      </c>
      <c r="AD14" s="25">
        <f t="shared" si="12"/>
        <v>-2.649544444444444</v>
      </c>
      <c r="AE14" s="25">
        <v>-28.02</v>
      </c>
      <c r="AF14" s="25">
        <v>-132.02392499999999</v>
      </c>
      <c r="AG14" s="25">
        <v>0</v>
      </c>
    </row>
    <row r="15" spans="1:33" ht="15.75" customHeight="1">
      <c r="A15" s="14" t="s">
        <v>36</v>
      </c>
      <c r="B15" s="14" t="s">
        <v>352</v>
      </c>
      <c r="C15" s="15">
        <f t="shared" si="4"/>
        <v>283.42</v>
      </c>
      <c r="D15" s="16">
        <v>4</v>
      </c>
      <c r="E15" s="16">
        <v>0</v>
      </c>
      <c r="F15" s="17">
        <v>1133.68</v>
      </c>
      <c r="G15" s="29">
        <v>0</v>
      </c>
      <c r="H15" s="18">
        <f t="shared" si="1"/>
        <v>0</v>
      </c>
      <c r="I15" s="18">
        <f t="shared" si="2"/>
        <v>0.2818157779189111</v>
      </c>
      <c r="J15" s="17">
        <f t="shared" si="5"/>
        <v>319.48891111111118</v>
      </c>
      <c r="K15" s="17">
        <f t="shared" si="3"/>
        <v>79.872227777777795</v>
      </c>
      <c r="L15" s="16">
        <v>47</v>
      </c>
      <c r="M15" s="19">
        <f t="shared" si="6"/>
        <v>8.5106382978723402E-2</v>
      </c>
      <c r="N15" s="16">
        <v>34</v>
      </c>
      <c r="O15" s="20">
        <f t="shared" ref="O15:P15" si="23">D15/7</f>
        <v>0.5714285714285714</v>
      </c>
      <c r="P15" s="20">
        <f t="shared" si="23"/>
        <v>0</v>
      </c>
      <c r="Q15" s="16">
        <f t="shared" si="8"/>
        <v>59</v>
      </c>
      <c r="R15" s="16"/>
      <c r="S15" s="21">
        <v>1.2367149758454099</v>
      </c>
      <c r="T15" s="14">
        <v>2</v>
      </c>
      <c r="U15" s="22" t="s">
        <v>34</v>
      </c>
      <c r="V15" s="23" t="s">
        <v>34</v>
      </c>
      <c r="W15" s="14">
        <v>0</v>
      </c>
      <c r="X15" s="24">
        <f t="shared" si="9"/>
        <v>0</v>
      </c>
      <c r="Y15" s="25">
        <f t="shared" si="10"/>
        <v>0</v>
      </c>
      <c r="Z15" s="14">
        <v>0</v>
      </c>
      <c r="AA15" s="14" t="s">
        <v>63</v>
      </c>
      <c r="AB15" s="27">
        <f t="shared" si="11"/>
        <v>-0.48</v>
      </c>
      <c r="AC15" s="28">
        <v>1.3799710648148147</v>
      </c>
      <c r="AD15" s="25">
        <f t="shared" si="12"/>
        <v>-5.2990888888888881</v>
      </c>
      <c r="AE15" s="25">
        <v>-28.02</v>
      </c>
      <c r="AF15" s="25">
        <v>-131.69</v>
      </c>
      <c r="AG15" s="25">
        <v>0</v>
      </c>
    </row>
    <row r="16" spans="1:33" ht="15.75" customHeight="1">
      <c r="A16" s="14" t="s">
        <v>38</v>
      </c>
      <c r="B16" s="14" t="s">
        <v>354</v>
      </c>
      <c r="C16" s="15">
        <f t="shared" si="4"/>
        <v>282.935</v>
      </c>
      <c r="D16" s="16">
        <v>8</v>
      </c>
      <c r="E16" s="16">
        <v>1</v>
      </c>
      <c r="F16" s="17">
        <v>2263.48</v>
      </c>
      <c r="G16" s="29">
        <v>0</v>
      </c>
      <c r="H16" s="18">
        <f t="shared" si="1"/>
        <v>0</v>
      </c>
      <c r="I16" s="18">
        <f t="shared" si="2"/>
        <v>0.28084181093812277</v>
      </c>
      <c r="J16" s="17">
        <f t="shared" si="5"/>
        <v>635.67982222222213</v>
      </c>
      <c r="K16" s="17">
        <f t="shared" si="3"/>
        <v>79.459977777777766</v>
      </c>
      <c r="L16" s="16">
        <v>65</v>
      </c>
      <c r="M16" s="19">
        <f t="shared" si="6"/>
        <v>0.12307692307692308</v>
      </c>
      <c r="N16" s="16">
        <v>27</v>
      </c>
      <c r="O16" s="20">
        <f t="shared" ref="O16:P16" si="24">D16/7</f>
        <v>1.1428571428571428</v>
      </c>
      <c r="P16" s="20">
        <f t="shared" si="24"/>
        <v>0.14285714285714285</v>
      </c>
      <c r="Q16" s="16">
        <f t="shared" si="8"/>
        <v>21</v>
      </c>
      <c r="R16" s="16"/>
      <c r="S16" s="21">
        <v>1.43157894736842</v>
      </c>
      <c r="T16" s="14">
        <v>2</v>
      </c>
      <c r="U16" s="22" t="s">
        <v>34</v>
      </c>
      <c r="V16" s="23" t="s">
        <v>34</v>
      </c>
      <c r="W16" s="14">
        <v>0</v>
      </c>
      <c r="X16" s="24">
        <f t="shared" si="9"/>
        <v>0</v>
      </c>
      <c r="Y16" s="25">
        <f t="shared" si="10"/>
        <v>0</v>
      </c>
      <c r="Z16" s="14">
        <v>0</v>
      </c>
      <c r="AA16" s="14" t="s">
        <v>63</v>
      </c>
      <c r="AB16" s="27">
        <f t="shared" si="11"/>
        <v>-0.48</v>
      </c>
      <c r="AC16" s="28">
        <v>1.3799710648148147</v>
      </c>
      <c r="AD16" s="25">
        <f t="shared" si="12"/>
        <v>-10.598177777777776</v>
      </c>
      <c r="AE16" s="25">
        <v>-28.02</v>
      </c>
      <c r="AF16" s="25">
        <v>-131.69</v>
      </c>
      <c r="AG16" s="25">
        <v>0</v>
      </c>
    </row>
    <row r="17" spans="1:33" ht="15.75" customHeight="1">
      <c r="A17" s="14" t="s">
        <v>40</v>
      </c>
      <c r="B17" s="14" t="s">
        <v>355</v>
      </c>
      <c r="C17" s="15">
        <f t="shared" si="4"/>
        <v>281.99</v>
      </c>
      <c r="D17" s="16">
        <v>5</v>
      </c>
      <c r="E17" s="16">
        <v>0</v>
      </c>
      <c r="F17" s="17">
        <v>1409.95</v>
      </c>
      <c r="G17" s="29">
        <v>0</v>
      </c>
      <c r="H17" s="18">
        <f t="shared" si="1"/>
        <v>0</v>
      </c>
      <c r="I17" s="18">
        <f t="shared" si="2"/>
        <v>0.27893445788069704</v>
      </c>
      <c r="J17" s="17">
        <f t="shared" si="5"/>
        <v>393.28363888888879</v>
      </c>
      <c r="K17" s="17">
        <f t="shared" si="3"/>
        <v>78.65672777777776</v>
      </c>
      <c r="L17" s="16">
        <v>36</v>
      </c>
      <c r="M17" s="19">
        <f t="shared" si="6"/>
        <v>0.1388888888888889</v>
      </c>
      <c r="N17" s="16">
        <v>20</v>
      </c>
      <c r="O17" s="20">
        <f t="shared" ref="O17:P17" si="25">D17/7</f>
        <v>0.7142857142857143</v>
      </c>
      <c r="P17" s="20">
        <f t="shared" si="25"/>
        <v>0</v>
      </c>
      <c r="Q17" s="16">
        <f t="shared" si="8"/>
        <v>28</v>
      </c>
      <c r="R17" s="16"/>
      <c r="S17" s="21" t="e">
        <v>#N/A</v>
      </c>
      <c r="T17" s="14">
        <v>2</v>
      </c>
      <c r="U17" s="22" t="s">
        <v>34</v>
      </c>
      <c r="V17" s="23" t="s">
        <v>34</v>
      </c>
      <c r="W17" s="14">
        <v>0</v>
      </c>
      <c r="X17" s="24">
        <f t="shared" si="9"/>
        <v>0</v>
      </c>
      <c r="Y17" s="25">
        <f t="shared" si="10"/>
        <v>0</v>
      </c>
      <c r="Z17" s="14">
        <v>0</v>
      </c>
      <c r="AA17" s="14" t="s">
        <v>63</v>
      </c>
      <c r="AB17" s="27">
        <f t="shared" si="11"/>
        <v>-0.48</v>
      </c>
      <c r="AC17" s="28">
        <v>1.3799710648148147</v>
      </c>
      <c r="AD17" s="25">
        <f t="shared" si="12"/>
        <v>-6.6238611111111103</v>
      </c>
      <c r="AE17" s="25">
        <v>-28.02</v>
      </c>
      <c r="AF17" s="25">
        <v>-131.69</v>
      </c>
      <c r="AG17" s="25">
        <v>0</v>
      </c>
    </row>
    <row r="18" spans="1:33" ht="15.75" customHeight="1">
      <c r="A18" s="14" t="s">
        <v>42</v>
      </c>
      <c r="B18" s="14" t="s">
        <v>356</v>
      </c>
      <c r="C18" s="15" t="str">
        <f t="shared" si="4"/>
        <v xml:space="preserve"> - </v>
      </c>
      <c r="D18" s="16">
        <v>0</v>
      </c>
      <c r="E18" s="16">
        <v>0</v>
      </c>
      <c r="F18" s="17">
        <v>0</v>
      </c>
      <c r="G18" s="29">
        <v>0</v>
      </c>
      <c r="H18" s="18" t="e">
        <f t="shared" si="1"/>
        <v>#DIV/0!</v>
      </c>
      <c r="I18" s="18" t="e">
        <f t="shared" si="2"/>
        <v>#DIV/0!</v>
      </c>
      <c r="J18" s="17">
        <f t="shared" si="5"/>
        <v>0</v>
      </c>
      <c r="K18" s="17" t="e">
        <f t="shared" si="3"/>
        <v>#DIV/0!</v>
      </c>
      <c r="L18" s="16">
        <v>0</v>
      </c>
      <c r="M18" s="19" t="str">
        <f t="shared" si="6"/>
        <v>-</v>
      </c>
      <c r="N18" s="16">
        <v>20</v>
      </c>
      <c r="O18" s="20">
        <f t="shared" ref="O18:P18" si="26">D18/7</f>
        <v>0</v>
      </c>
      <c r="P18" s="20">
        <f t="shared" si="26"/>
        <v>0</v>
      </c>
      <c r="Q18" s="16" t="e">
        <f t="shared" si="8"/>
        <v>#DIV/0!</v>
      </c>
      <c r="R18" s="16"/>
      <c r="S18" s="21" t="e">
        <v>#N/A</v>
      </c>
      <c r="T18" s="14">
        <v>2</v>
      </c>
      <c r="U18" s="22">
        <v>0</v>
      </c>
      <c r="V18" s="23" t="s">
        <v>34</v>
      </c>
      <c r="W18" s="14">
        <v>0</v>
      </c>
      <c r="X18" s="24">
        <f t="shared" si="9"/>
        <v>0</v>
      </c>
      <c r="Y18" s="25">
        <f t="shared" si="10"/>
        <v>0</v>
      </c>
      <c r="Z18" s="14">
        <v>0</v>
      </c>
      <c r="AA18" s="14" t="e">
        <v>#N/A</v>
      </c>
      <c r="AB18" s="27" t="e">
        <f t="shared" si="11"/>
        <v>#N/A</v>
      </c>
      <c r="AC18" s="28" t="e">
        <v>#N/A</v>
      </c>
      <c r="AD18" s="25">
        <f t="shared" si="12"/>
        <v>0</v>
      </c>
      <c r="AE18" s="25">
        <v>0</v>
      </c>
      <c r="AF18" s="25">
        <v>-131.69</v>
      </c>
      <c r="AG18" s="25">
        <v>0</v>
      </c>
    </row>
    <row r="19" spans="1:33" ht="15.75" customHeight="1">
      <c r="A19" s="14" t="s">
        <v>44</v>
      </c>
      <c r="B19" s="14" t="s">
        <v>357</v>
      </c>
      <c r="C19" s="15" t="str">
        <f t="shared" si="4"/>
        <v xml:space="preserve"> - </v>
      </c>
      <c r="D19" s="16">
        <v>0</v>
      </c>
      <c r="E19" s="16">
        <v>0</v>
      </c>
      <c r="F19" s="17">
        <v>0</v>
      </c>
      <c r="G19" s="29">
        <v>0</v>
      </c>
      <c r="H19" s="18" t="e">
        <f t="shared" si="1"/>
        <v>#DIV/0!</v>
      </c>
      <c r="I19" s="18" t="e">
        <f t="shared" si="2"/>
        <v>#DIV/0!</v>
      </c>
      <c r="J19" s="17">
        <f t="shared" si="5"/>
        <v>0</v>
      </c>
      <c r="K19" s="17" t="e">
        <f t="shared" si="3"/>
        <v>#DIV/0!</v>
      </c>
      <c r="L19" s="16">
        <v>0</v>
      </c>
      <c r="M19" s="19" t="str">
        <f t="shared" si="6"/>
        <v>-</v>
      </c>
      <c r="N19" s="16">
        <v>20</v>
      </c>
      <c r="O19" s="20">
        <f t="shared" ref="O19:P19" si="27">D19/7</f>
        <v>0</v>
      </c>
      <c r="P19" s="20">
        <f t="shared" si="27"/>
        <v>0</v>
      </c>
      <c r="Q19" s="16" t="e">
        <f t="shared" si="8"/>
        <v>#DIV/0!</v>
      </c>
      <c r="R19" s="16"/>
      <c r="S19" s="21" t="e">
        <v>#N/A</v>
      </c>
      <c r="T19" s="14">
        <v>2</v>
      </c>
      <c r="U19" s="22" t="s">
        <v>34</v>
      </c>
      <c r="V19" s="23" t="s">
        <v>34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14" t="e">
        <v>#N/A</v>
      </c>
      <c r="AB19" s="27" t="e">
        <f t="shared" si="11"/>
        <v>#N/A</v>
      </c>
      <c r="AC19" s="28" t="e">
        <v>#N/A</v>
      </c>
      <c r="AD19" s="25">
        <f t="shared" si="12"/>
        <v>0</v>
      </c>
      <c r="AE19" s="25">
        <v>0</v>
      </c>
      <c r="AF19" s="25">
        <v>-137.8245</v>
      </c>
      <c r="AG19" s="25">
        <v>0</v>
      </c>
    </row>
    <row r="20" spans="1:33" ht="15.75" customHeight="1">
      <c r="A20" s="14" t="s">
        <v>46</v>
      </c>
      <c r="B20" s="14" t="s">
        <v>357</v>
      </c>
      <c r="C20" s="15" t="str">
        <f t="shared" si="4"/>
        <v xml:space="preserve"> - </v>
      </c>
      <c r="D20" s="16">
        <v>0</v>
      </c>
      <c r="E20" s="16">
        <v>0</v>
      </c>
      <c r="F20" s="17">
        <v>0</v>
      </c>
      <c r="G20" s="29">
        <v>0</v>
      </c>
      <c r="H20" s="18" t="e">
        <f t="shared" si="1"/>
        <v>#DIV/0!</v>
      </c>
      <c r="I20" s="18" t="e">
        <f t="shared" si="2"/>
        <v>#DIV/0!</v>
      </c>
      <c r="J20" s="17">
        <f t="shared" si="5"/>
        <v>0</v>
      </c>
      <c r="K20" s="17" t="e">
        <f t="shared" si="3"/>
        <v>#DIV/0!</v>
      </c>
      <c r="L20" s="16">
        <v>0</v>
      </c>
      <c r="M20" s="19" t="str">
        <f t="shared" si="6"/>
        <v>-</v>
      </c>
      <c r="N20" s="16">
        <v>20</v>
      </c>
      <c r="O20" s="20">
        <f t="shared" ref="O20:P20" si="28">D20/7</f>
        <v>0</v>
      </c>
      <c r="P20" s="20">
        <f t="shared" si="28"/>
        <v>0</v>
      </c>
      <c r="Q20" s="16" t="e">
        <f t="shared" si="8"/>
        <v>#DIV/0!</v>
      </c>
      <c r="R20" s="16"/>
      <c r="S20" s="21" t="e">
        <v>#N/A</v>
      </c>
      <c r="T20" s="14">
        <v>2</v>
      </c>
      <c r="U20" s="22" t="s">
        <v>34</v>
      </c>
      <c r="V20" s="23" t="s">
        <v>34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14" t="e">
        <v>#N/A</v>
      </c>
      <c r="AB20" s="27" t="e">
        <f t="shared" si="11"/>
        <v>#N/A</v>
      </c>
      <c r="AC20" s="28" t="e">
        <v>#N/A</v>
      </c>
      <c r="AD20" s="25">
        <f t="shared" si="12"/>
        <v>0</v>
      </c>
      <c r="AE20" s="25">
        <v>0</v>
      </c>
      <c r="AF20" s="25">
        <v>-137.8245</v>
      </c>
      <c r="AG20" s="25">
        <v>0</v>
      </c>
    </row>
    <row r="21" spans="1:33" ht="15.75" customHeight="1">
      <c r="A21" s="14" t="s">
        <v>47</v>
      </c>
      <c r="B21" s="14" t="s">
        <v>358</v>
      </c>
      <c r="C21" s="15">
        <f t="shared" si="4"/>
        <v>296.02600000000001</v>
      </c>
      <c r="D21" s="16">
        <v>5</v>
      </c>
      <c r="E21" s="16">
        <v>0</v>
      </c>
      <c r="F21" s="17">
        <v>1480.13</v>
      </c>
      <c r="G21" s="29">
        <v>0</v>
      </c>
      <c r="H21" s="18">
        <f t="shared" si="1"/>
        <v>0</v>
      </c>
      <c r="I21" s="18">
        <f t="shared" si="2"/>
        <v>0.28528854822812111</v>
      </c>
      <c r="J21" s="17">
        <f t="shared" si="5"/>
        <v>422.26413888888891</v>
      </c>
      <c r="K21" s="17">
        <f t="shared" si="3"/>
        <v>84.452827777777784</v>
      </c>
      <c r="L21" s="16">
        <v>0</v>
      </c>
      <c r="M21" s="19" t="str">
        <f t="shared" si="6"/>
        <v>-</v>
      </c>
      <c r="N21" s="16">
        <v>19</v>
      </c>
      <c r="O21" s="20">
        <f t="shared" ref="O21:P21" si="29">D21/7</f>
        <v>0.7142857142857143</v>
      </c>
      <c r="P21" s="20">
        <f t="shared" si="29"/>
        <v>0</v>
      </c>
      <c r="Q21" s="16">
        <f t="shared" si="8"/>
        <v>26</v>
      </c>
      <c r="R21" s="16"/>
      <c r="S21" s="21">
        <v>1.4911242603550201</v>
      </c>
      <c r="T21" s="14">
        <v>2</v>
      </c>
      <c r="U21" s="22" t="s">
        <v>34</v>
      </c>
      <c r="V21" s="23" t="s">
        <v>34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14" t="s">
        <v>63</v>
      </c>
      <c r="AB21" s="27">
        <f t="shared" si="11"/>
        <v>-0.48</v>
      </c>
      <c r="AC21" s="28">
        <v>1.3799710648148147</v>
      </c>
      <c r="AD21" s="25">
        <f t="shared" si="12"/>
        <v>-6.6238611111111103</v>
      </c>
      <c r="AE21" s="25">
        <v>-28.02</v>
      </c>
      <c r="AF21" s="25">
        <v>-137.8245</v>
      </c>
      <c r="AG21" s="25">
        <v>0</v>
      </c>
    </row>
    <row r="22" spans="1:33" ht="15.75" customHeight="1">
      <c r="A22" s="14" t="s">
        <v>48</v>
      </c>
      <c r="B22" s="14" t="s">
        <v>359</v>
      </c>
      <c r="C22" s="15">
        <f t="shared" si="4"/>
        <v>305.61727272727273</v>
      </c>
      <c r="D22" s="16">
        <v>11</v>
      </c>
      <c r="E22" s="16">
        <v>0</v>
      </c>
      <c r="F22" s="29">
        <v>3361.79</v>
      </c>
      <c r="G22" s="29">
        <v>0</v>
      </c>
      <c r="H22" s="18">
        <f t="shared" si="1"/>
        <v>0</v>
      </c>
      <c r="I22" s="18">
        <f t="shared" si="2"/>
        <v>0.30301104636385834</v>
      </c>
      <c r="J22" s="17">
        <f t="shared" si="5"/>
        <v>1018.6595055555553</v>
      </c>
      <c r="K22" s="17">
        <f t="shared" si="3"/>
        <v>92.605409595959571</v>
      </c>
      <c r="L22" s="16">
        <v>114</v>
      </c>
      <c r="M22" s="19">
        <f t="shared" si="6"/>
        <v>9.6491228070175433E-2</v>
      </c>
      <c r="N22" s="16">
        <v>11</v>
      </c>
      <c r="O22" s="20">
        <f t="shared" ref="O22:P22" si="30">D22/7</f>
        <v>1.5714285714285714</v>
      </c>
      <c r="P22" s="20">
        <f t="shared" si="30"/>
        <v>0</v>
      </c>
      <c r="Q22" s="16">
        <f t="shared" si="8"/>
        <v>7</v>
      </c>
      <c r="R22" s="16"/>
      <c r="S22" s="21">
        <v>1.7181208053691199</v>
      </c>
      <c r="T22" s="14">
        <v>2</v>
      </c>
      <c r="U22" s="22" t="s">
        <v>34</v>
      </c>
      <c r="V22" s="23" t="s">
        <v>34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63</v>
      </c>
      <c r="AB22" s="27">
        <f t="shared" si="11"/>
        <v>-0.48</v>
      </c>
      <c r="AC22" s="28">
        <v>1.3799710648148147</v>
      </c>
      <c r="AD22" s="25">
        <f t="shared" si="12"/>
        <v>-14.572494444444443</v>
      </c>
      <c r="AE22" s="25">
        <v>-28.02</v>
      </c>
      <c r="AF22" s="25">
        <v>-137.8245</v>
      </c>
      <c r="AG22" s="25">
        <v>0</v>
      </c>
    </row>
    <row r="23" spans="1:33" ht="15.75" customHeight="1">
      <c r="A23" s="14" t="s">
        <v>49</v>
      </c>
      <c r="B23" s="14" t="s">
        <v>45</v>
      </c>
      <c r="C23" s="15">
        <f t="shared" si="4"/>
        <v>326.41750000000002</v>
      </c>
      <c r="D23" s="16">
        <v>4</v>
      </c>
      <c r="E23" s="16">
        <v>0</v>
      </c>
      <c r="F23" s="17">
        <v>1305.67</v>
      </c>
      <c r="G23" s="29">
        <v>0</v>
      </c>
      <c r="H23" s="18">
        <f t="shared" si="1"/>
        <v>0</v>
      </c>
      <c r="I23" s="18">
        <f t="shared" si="2"/>
        <v>0.33786669764267474</v>
      </c>
      <c r="J23" s="17">
        <f t="shared" si="5"/>
        <v>441.14241111111119</v>
      </c>
      <c r="K23" s="17">
        <f t="shared" si="3"/>
        <v>110.2856027777778</v>
      </c>
      <c r="L23" s="16">
        <v>35</v>
      </c>
      <c r="M23" s="19">
        <f t="shared" si="6"/>
        <v>0.11428571428571428</v>
      </c>
      <c r="N23" s="16">
        <v>3</v>
      </c>
      <c r="O23" s="20">
        <f t="shared" ref="O23:P23" si="31">D23/7</f>
        <v>0.5714285714285714</v>
      </c>
      <c r="P23" s="20">
        <f t="shared" si="31"/>
        <v>0</v>
      </c>
      <c r="Q23" s="16">
        <f t="shared" si="8"/>
        <v>5</v>
      </c>
      <c r="R23" s="16"/>
      <c r="S23" s="21">
        <v>1.93846153846153</v>
      </c>
      <c r="T23" s="14">
        <v>122</v>
      </c>
      <c r="U23" s="22" t="s">
        <v>34</v>
      </c>
      <c r="V23" s="23" t="s">
        <v>34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63</v>
      </c>
      <c r="AB23" s="27">
        <f t="shared" si="11"/>
        <v>-0.48</v>
      </c>
      <c r="AC23" s="28">
        <v>1.3799710648148147</v>
      </c>
      <c r="AD23" s="25">
        <f t="shared" si="12"/>
        <v>-5.2990888888888881</v>
      </c>
      <c r="AE23" s="25">
        <v>-28.02</v>
      </c>
      <c r="AF23" s="25">
        <v>-137.8245</v>
      </c>
      <c r="AG23" s="25">
        <v>0</v>
      </c>
    </row>
    <row r="24" spans="1:33" ht="15.75" customHeight="1">
      <c r="A24" s="14" t="s">
        <v>50</v>
      </c>
      <c r="B24" s="14" t="s">
        <v>45</v>
      </c>
      <c r="C24" s="15" t="str">
        <f t="shared" si="4"/>
        <v xml:space="preserve"> - </v>
      </c>
      <c r="D24" s="16">
        <v>0</v>
      </c>
      <c r="E24" s="16">
        <v>0</v>
      </c>
      <c r="F24" s="17">
        <v>0</v>
      </c>
      <c r="G24" s="17">
        <v>0</v>
      </c>
      <c r="H24" s="18" t="e">
        <f t="shared" si="1"/>
        <v>#DIV/0!</v>
      </c>
      <c r="I24" s="18" t="e">
        <f t="shared" si="2"/>
        <v>#DIV/0!</v>
      </c>
      <c r="J24" s="17">
        <f t="shared" si="5"/>
        <v>0</v>
      </c>
      <c r="K24" s="17" t="e">
        <f t="shared" si="3"/>
        <v>#DIV/0!</v>
      </c>
      <c r="L24" s="16">
        <v>0</v>
      </c>
      <c r="M24" s="19" t="str">
        <f t="shared" si="6"/>
        <v>-</v>
      </c>
      <c r="N24" s="16">
        <v>1</v>
      </c>
      <c r="O24" s="20">
        <f t="shared" ref="O24:P24" si="32">D24/7</f>
        <v>0</v>
      </c>
      <c r="P24" s="20">
        <f t="shared" si="32"/>
        <v>0</v>
      </c>
      <c r="Q24" s="16" t="e">
        <f t="shared" si="8"/>
        <v>#DIV/0!</v>
      </c>
      <c r="R24" s="16"/>
      <c r="S24" s="21" t="e">
        <v>#N/A</v>
      </c>
      <c r="T24" s="14">
        <v>122</v>
      </c>
      <c r="U24" s="22" t="s">
        <v>34</v>
      </c>
      <c r="V24" s="23" t="s">
        <v>34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14" t="s">
        <v>63</v>
      </c>
      <c r="AB24" s="27">
        <f t="shared" si="11"/>
        <v>-0.48</v>
      </c>
      <c r="AC24" s="28">
        <v>1.3799710648148147</v>
      </c>
      <c r="AD24" s="25">
        <f t="shared" si="12"/>
        <v>0</v>
      </c>
      <c r="AE24" s="25">
        <v>-28.02</v>
      </c>
      <c r="AF24" s="25">
        <v>-137.8245</v>
      </c>
      <c r="AG24" s="25">
        <v>0</v>
      </c>
    </row>
    <row r="25" spans="1:33" ht="15.75" customHeight="1">
      <c r="A25" s="14" t="s">
        <v>51</v>
      </c>
      <c r="B25" s="14"/>
      <c r="C25" s="15" t="str">
        <f t="shared" si="4"/>
        <v xml:space="preserve"> - </v>
      </c>
      <c r="D25" s="16">
        <v>0</v>
      </c>
      <c r="E25" s="16">
        <v>0</v>
      </c>
      <c r="F25" s="17">
        <v>0</v>
      </c>
      <c r="G25" s="17">
        <v>0</v>
      </c>
      <c r="H25" s="18" t="e">
        <f t="shared" si="1"/>
        <v>#DIV/0!</v>
      </c>
      <c r="I25" s="18" t="e">
        <f t="shared" si="2"/>
        <v>#DIV/0!</v>
      </c>
      <c r="J25" s="17">
        <f t="shared" si="5"/>
        <v>0</v>
      </c>
      <c r="K25" s="17" t="e">
        <f t="shared" si="3"/>
        <v>#DIV/0!</v>
      </c>
      <c r="L25" s="16">
        <v>0</v>
      </c>
      <c r="M25" s="19" t="str">
        <f t="shared" si="6"/>
        <v>-</v>
      </c>
      <c r="N25" s="16">
        <v>1</v>
      </c>
      <c r="O25" s="20">
        <f t="shared" ref="O25:P25" si="33">D25/7</f>
        <v>0</v>
      </c>
      <c r="P25" s="20">
        <f t="shared" si="33"/>
        <v>0</v>
      </c>
      <c r="Q25" s="16" t="e">
        <f t="shared" si="8"/>
        <v>#DIV/0!</v>
      </c>
      <c r="R25" s="16"/>
      <c r="S25" s="21">
        <v>0</v>
      </c>
      <c r="T25" s="14">
        <v>122</v>
      </c>
      <c r="U25" s="22" t="s">
        <v>34</v>
      </c>
      <c r="V25" s="23" t="s">
        <v>34</v>
      </c>
      <c r="W25" s="30">
        <v>0</v>
      </c>
      <c r="X25" s="24">
        <f t="shared" si="9"/>
        <v>0</v>
      </c>
      <c r="Y25" s="25">
        <f t="shared" si="10"/>
        <v>0</v>
      </c>
      <c r="Z25" s="30">
        <v>0</v>
      </c>
      <c r="AA25" s="14" t="s">
        <v>63</v>
      </c>
      <c r="AB25" s="27">
        <f t="shared" si="11"/>
        <v>-0.48</v>
      </c>
      <c r="AC25" s="28">
        <v>1.3799710648148147</v>
      </c>
      <c r="AD25" s="25">
        <f t="shared" si="12"/>
        <v>0</v>
      </c>
      <c r="AE25" s="25">
        <v>-28.02</v>
      </c>
      <c r="AF25" s="25">
        <v>-137.82</v>
      </c>
      <c r="AG25" s="25">
        <v>0</v>
      </c>
    </row>
    <row r="26" spans="1:33" ht="15.75" customHeight="1">
      <c r="A26" s="14" t="s">
        <v>52</v>
      </c>
      <c r="B26" s="14" t="s">
        <v>45</v>
      </c>
      <c r="C26" s="15" t="str">
        <f t="shared" si="4"/>
        <v xml:space="preserve"> - </v>
      </c>
      <c r="D26" s="16">
        <v>0</v>
      </c>
      <c r="E26" s="16">
        <v>0</v>
      </c>
      <c r="F26" s="17">
        <v>0</v>
      </c>
      <c r="G26" s="17">
        <v>0</v>
      </c>
      <c r="H26" s="18" t="e">
        <f t="shared" si="1"/>
        <v>#DIV/0!</v>
      </c>
      <c r="I26" s="18" t="e">
        <f t="shared" si="2"/>
        <v>#DIV/0!</v>
      </c>
      <c r="J26" s="17">
        <f t="shared" si="5"/>
        <v>0</v>
      </c>
      <c r="K26" s="17" t="e">
        <f t="shared" si="3"/>
        <v>#DIV/0!</v>
      </c>
      <c r="L26" s="16">
        <v>0</v>
      </c>
      <c r="M26" s="19" t="str">
        <f t="shared" si="6"/>
        <v>-</v>
      </c>
      <c r="N26" s="16">
        <v>1</v>
      </c>
      <c r="O26" s="20">
        <f t="shared" ref="O26:P26" si="34">D26/7</f>
        <v>0</v>
      </c>
      <c r="P26" s="20">
        <f t="shared" si="34"/>
        <v>0</v>
      </c>
      <c r="Q26" s="16" t="e">
        <f t="shared" si="8"/>
        <v>#DIV/0!</v>
      </c>
      <c r="R26" s="16"/>
      <c r="S26" s="21">
        <v>0</v>
      </c>
      <c r="T26" s="14">
        <v>122</v>
      </c>
      <c r="U26" s="22" t="s">
        <v>34</v>
      </c>
      <c r="V26" s="23" t="s">
        <v>34</v>
      </c>
      <c r="W26" s="30">
        <v>0</v>
      </c>
      <c r="X26" s="24">
        <f t="shared" si="9"/>
        <v>0</v>
      </c>
      <c r="Y26" s="25">
        <f t="shared" si="10"/>
        <v>0</v>
      </c>
      <c r="Z26" s="30">
        <v>0</v>
      </c>
      <c r="AA26" s="14" t="s">
        <v>63</v>
      </c>
      <c r="AB26" s="27">
        <f t="shared" si="11"/>
        <v>-0.48</v>
      </c>
      <c r="AC26" s="28">
        <v>1.3799710648148147</v>
      </c>
      <c r="AD26" s="25">
        <f t="shared" si="12"/>
        <v>0</v>
      </c>
      <c r="AE26" s="25">
        <v>-28.02</v>
      </c>
      <c r="AF26" s="25">
        <v>-137.8245</v>
      </c>
      <c r="AG26" s="25">
        <v>0</v>
      </c>
    </row>
    <row r="27" spans="1:33" ht="15.75" customHeight="1">
      <c r="A27" s="14" t="s">
        <v>53</v>
      </c>
      <c r="B27" s="14"/>
      <c r="C27" s="15" t="str">
        <f t="shared" si="4"/>
        <v xml:space="preserve"> - </v>
      </c>
      <c r="D27" s="16">
        <v>0</v>
      </c>
      <c r="E27" s="16">
        <v>0</v>
      </c>
      <c r="F27" s="17">
        <v>0</v>
      </c>
      <c r="G27" s="17">
        <v>0</v>
      </c>
      <c r="H27" s="18" t="e">
        <f t="shared" si="1"/>
        <v>#DIV/0!</v>
      </c>
      <c r="I27" s="18" t="e">
        <f t="shared" si="2"/>
        <v>#DIV/0!</v>
      </c>
      <c r="J27" s="17">
        <f t="shared" si="5"/>
        <v>0</v>
      </c>
      <c r="K27" s="17" t="e">
        <f t="shared" si="3"/>
        <v>#DIV/0!</v>
      </c>
      <c r="L27" s="16">
        <v>0</v>
      </c>
      <c r="M27" s="19" t="str">
        <f t="shared" si="6"/>
        <v>-</v>
      </c>
      <c r="N27" s="16">
        <v>1</v>
      </c>
      <c r="O27" s="20">
        <f t="shared" ref="O27:P27" si="35">D27/7</f>
        <v>0</v>
      </c>
      <c r="P27" s="20">
        <f t="shared" si="35"/>
        <v>0</v>
      </c>
      <c r="Q27" s="16" t="e">
        <f t="shared" si="8"/>
        <v>#DIV/0!</v>
      </c>
      <c r="R27" s="16"/>
      <c r="S27" s="21">
        <v>0</v>
      </c>
      <c r="T27" s="14">
        <v>122</v>
      </c>
      <c r="U27" s="22" t="s">
        <v>34</v>
      </c>
      <c r="V27" s="23" t="s">
        <v>34</v>
      </c>
      <c r="W27" s="30">
        <v>0</v>
      </c>
      <c r="X27" s="24">
        <f t="shared" si="9"/>
        <v>0</v>
      </c>
      <c r="Y27" s="25">
        <f t="shared" si="10"/>
        <v>0</v>
      </c>
      <c r="Z27" s="30">
        <v>0</v>
      </c>
      <c r="AA27" s="14" t="s">
        <v>63</v>
      </c>
      <c r="AB27" s="27">
        <f t="shared" si="11"/>
        <v>-0.48</v>
      </c>
      <c r="AC27" s="28">
        <v>1.3799710648148147</v>
      </c>
      <c r="AD27" s="25">
        <f t="shared" si="12"/>
        <v>0</v>
      </c>
      <c r="AE27" s="25">
        <v>-28.02</v>
      </c>
      <c r="AF27" s="25">
        <v>-138.27449999999999</v>
      </c>
      <c r="AG27" s="25">
        <v>0</v>
      </c>
    </row>
    <row r="28" spans="1:33" ht="15.75" customHeight="1">
      <c r="A28" s="14" t="s">
        <v>54</v>
      </c>
      <c r="B28" s="14"/>
      <c r="C28" s="15" t="str">
        <f t="shared" si="4"/>
        <v xml:space="preserve"> - </v>
      </c>
      <c r="D28" s="16">
        <v>0</v>
      </c>
      <c r="E28" s="16">
        <v>0</v>
      </c>
      <c r="F28" s="17">
        <v>0</v>
      </c>
      <c r="G28" s="17">
        <v>0</v>
      </c>
      <c r="H28" s="18" t="e">
        <f t="shared" si="1"/>
        <v>#DIV/0!</v>
      </c>
      <c r="I28" s="18" t="e">
        <f t="shared" si="2"/>
        <v>#DIV/0!</v>
      </c>
      <c r="J28" s="17">
        <f t="shared" si="5"/>
        <v>0</v>
      </c>
      <c r="K28" s="17" t="e">
        <f t="shared" si="3"/>
        <v>#DIV/0!</v>
      </c>
      <c r="L28" s="16">
        <v>0</v>
      </c>
      <c r="M28" s="19" t="str">
        <f t="shared" si="6"/>
        <v>-</v>
      </c>
      <c r="N28" s="16">
        <v>1</v>
      </c>
      <c r="O28" s="20">
        <f t="shared" ref="O28:P28" si="36">D28/7</f>
        <v>0</v>
      </c>
      <c r="P28" s="20">
        <f t="shared" si="36"/>
        <v>0</v>
      </c>
      <c r="Q28" s="16" t="e">
        <f t="shared" si="8"/>
        <v>#DIV/0!</v>
      </c>
      <c r="R28" s="16"/>
      <c r="S28" s="21">
        <v>0</v>
      </c>
      <c r="T28" s="14">
        <v>122</v>
      </c>
      <c r="U28" s="22" t="s">
        <v>34</v>
      </c>
      <c r="V28" s="23" t="s">
        <v>34</v>
      </c>
      <c r="W28" s="30">
        <v>0</v>
      </c>
      <c r="X28" s="24">
        <f t="shared" si="9"/>
        <v>0</v>
      </c>
      <c r="Y28" s="25">
        <f t="shared" si="10"/>
        <v>0</v>
      </c>
      <c r="Z28" s="30">
        <v>0</v>
      </c>
      <c r="AA28" s="14" t="s">
        <v>63</v>
      </c>
      <c r="AB28" s="27">
        <f t="shared" si="11"/>
        <v>-0.48</v>
      </c>
      <c r="AC28" s="28">
        <v>1.3799710648148147</v>
      </c>
      <c r="AD28" s="25">
        <f t="shared" si="12"/>
        <v>0</v>
      </c>
      <c r="AE28" s="25">
        <v>-28.02</v>
      </c>
      <c r="AF28" s="25">
        <v>-138.27449999999999</v>
      </c>
      <c r="AG28" s="25">
        <v>0</v>
      </c>
    </row>
    <row r="29" spans="1:33" ht="15.75" customHeight="1">
      <c r="A29" s="14" t="s">
        <v>55</v>
      </c>
      <c r="B29" s="14" t="s">
        <v>45</v>
      </c>
      <c r="C29" s="15" t="str">
        <f t="shared" si="4"/>
        <v xml:space="preserve"> - </v>
      </c>
      <c r="D29" s="16">
        <v>0</v>
      </c>
      <c r="E29" s="16">
        <v>0</v>
      </c>
      <c r="F29" s="17">
        <v>0</v>
      </c>
      <c r="G29" s="17">
        <v>0</v>
      </c>
      <c r="H29" s="18" t="e">
        <f t="shared" si="1"/>
        <v>#DIV/0!</v>
      </c>
      <c r="I29" s="18" t="e">
        <f t="shared" si="2"/>
        <v>#DIV/0!</v>
      </c>
      <c r="J29" s="17">
        <f t="shared" si="5"/>
        <v>0</v>
      </c>
      <c r="K29" s="17" t="e">
        <f t="shared" si="3"/>
        <v>#DIV/0!</v>
      </c>
      <c r="L29" s="16">
        <v>0</v>
      </c>
      <c r="M29" s="19" t="str">
        <f t="shared" si="6"/>
        <v>-</v>
      </c>
      <c r="N29" s="16">
        <v>1</v>
      </c>
      <c r="O29" s="20">
        <f t="shared" ref="O29:P29" si="37">D29/7</f>
        <v>0</v>
      </c>
      <c r="P29" s="20">
        <f t="shared" si="37"/>
        <v>0</v>
      </c>
      <c r="Q29" s="16" t="e">
        <f t="shared" si="8"/>
        <v>#DIV/0!</v>
      </c>
      <c r="R29" s="16"/>
      <c r="S29" s="21">
        <v>0</v>
      </c>
      <c r="T29" s="14">
        <v>122</v>
      </c>
      <c r="U29" s="22" t="s">
        <v>34</v>
      </c>
      <c r="V29" s="23" t="s">
        <v>34</v>
      </c>
      <c r="W29" s="30">
        <v>0</v>
      </c>
      <c r="X29" s="24">
        <f t="shared" si="9"/>
        <v>0</v>
      </c>
      <c r="Y29" s="25">
        <f t="shared" si="10"/>
        <v>0</v>
      </c>
      <c r="Z29" s="30">
        <v>0</v>
      </c>
      <c r="AA29" s="14" t="s">
        <v>63</v>
      </c>
      <c r="AB29" s="27">
        <f t="shared" si="11"/>
        <v>-0.48</v>
      </c>
      <c r="AC29" s="28">
        <v>1.3799710648148147</v>
      </c>
      <c r="AD29" s="25">
        <f t="shared" si="12"/>
        <v>0</v>
      </c>
      <c r="AE29" s="25">
        <v>-28.02</v>
      </c>
      <c r="AF29" s="25">
        <v>-138.27449999999999</v>
      </c>
      <c r="AG29" s="25">
        <v>0</v>
      </c>
    </row>
    <row r="30" spans="1:33" ht="15.75" customHeight="1">
      <c r="A30" s="14" t="s">
        <v>57</v>
      </c>
      <c r="B30" s="14" t="s">
        <v>45</v>
      </c>
      <c r="C30" s="15" t="str">
        <f t="shared" si="4"/>
        <v xml:space="preserve"> - </v>
      </c>
      <c r="D30" s="16">
        <v>0</v>
      </c>
      <c r="E30" s="16">
        <v>0</v>
      </c>
      <c r="F30" s="17">
        <v>0</v>
      </c>
      <c r="G30" s="17">
        <v>0</v>
      </c>
      <c r="H30" s="18" t="e">
        <f t="shared" si="1"/>
        <v>#DIV/0!</v>
      </c>
      <c r="I30" s="18" t="e">
        <f t="shared" si="2"/>
        <v>#DIV/0!</v>
      </c>
      <c r="J30" s="17">
        <f t="shared" si="5"/>
        <v>0</v>
      </c>
      <c r="K30" s="17" t="e">
        <f t="shared" si="3"/>
        <v>#DIV/0!</v>
      </c>
      <c r="L30" s="16">
        <v>0</v>
      </c>
      <c r="M30" s="19" t="str">
        <f t="shared" si="6"/>
        <v>-</v>
      </c>
      <c r="N30" s="16">
        <v>1</v>
      </c>
      <c r="O30" s="20">
        <f t="shared" ref="O30:P30" si="38">D30/7</f>
        <v>0</v>
      </c>
      <c r="P30" s="20">
        <f t="shared" si="38"/>
        <v>0</v>
      </c>
      <c r="Q30" s="16" t="e">
        <f t="shared" si="8"/>
        <v>#DIV/0!</v>
      </c>
      <c r="R30" s="16"/>
      <c r="S30" s="21">
        <v>0</v>
      </c>
      <c r="T30" s="14">
        <v>122</v>
      </c>
      <c r="U30" s="22" t="s">
        <v>34</v>
      </c>
      <c r="V30" s="23" t="s">
        <v>34</v>
      </c>
      <c r="W30" s="30">
        <v>0</v>
      </c>
      <c r="X30" s="24">
        <f t="shared" si="9"/>
        <v>0</v>
      </c>
      <c r="Y30" s="25">
        <f t="shared" si="10"/>
        <v>0</v>
      </c>
      <c r="Z30" s="30">
        <v>0</v>
      </c>
      <c r="AA30" s="14" t="s">
        <v>63</v>
      </c>
      <c r="AB30" s="27">
        <f t="shared" si="11"/>
        <v>-0.48</v>
      </c>
      <c r="AC30" s="28">
        <v>1.3799710648148147</v>
      </c>
      <c r="AD30" s="25">
        <f t="shared" si="12"/>
        <v>0</v>
      </c>
      <c r="AE30" s="25">
        <v>-28.02</v>
      </c>
      <c r="AF30" s="25">
        <v>-145.43765292</v>
      </c>
      <c r="AG30" s="25">
        <v>0</v>
      </c>
    </row>
    <row r="31" spans="1:33" ht="15.75" customHeight="1">
      <c r="A31" s="14" t="s">
        <v>58</v>
      </c>
      <c r="B31" s="14" t="s">
        <v>45</v>
      </c>
      <c r="C31" s="15" t="str">
        <f t="shared" si="4"/>
        <v xml:space="preserve"> - </v>
      </c>
      <c r="D31" s="16">
        <v>0</v>
      </c>
      <c r="E31" s="16">
        <v>0</v>
      </c>
      <c r="F31" s="17">
        <v>0</v>
      </c>
      <c r="G31" s="17">
        <v>0</v>
      </c>
      <c r="H31" s="18" t="e">
        <f t="shared" si="1"/>
        <v>#DIV/0!</v>
      </c>
      <c r="I31" s="18" t="e">
        <f t="shared" si="2"/>
        <v>#DIV/0!</v>
      </c>
      <c r="J31" s="17">
        <f t="shared" si="5"/>
        <v>0</v>
      </c>
      <c r="K31" s="17" t="e">
        <f t="shared" si="3"/>
        <v>#DIV/0!</v>
      </c>
      <c r="L31" s="16">
        <v>0</v>
      </c>
      <c r="M31" s="19" t="str">
        <f t="shared" si="6"/>
        <v>-</v>
      </c>
      <c r="N31" s="16">
        <v>1</v>
      </c>
      <c r="O31" s="20">
        <f t="shared" ref="O31:P31" si="39">D31/7</f>
        <v>0</v>
      </c>
      <c r="P31" s="20">
        <f t="shared" si="39"/>
        <v>0</v>
      </c>
      <c r="Q31" s="16" t="e">
        <f t="shared" si="8"/>
        <v>#DIV/0!</v>
      </c>
      <c r="R31" s="16"/>
      <c r="S31" s="21" t="e">
        <v>#N/A</v>
      </c>
      <c r="T31" s="14">
        <v>120</v>
      </c>
      <c r="U31" s="22" t="s">
        <v>34</v>
      </c>
      <c r="V31" s="23" t="s">
        <v>360</v>
      </c>
      <c r="W31" s="30">
        <v>0</v>
      </c>
      <c r="X31" s="24">
        <f t="shared" si="9"/>
        <v>0</v>
      </c>
      <c r="Y31" s="25">
        <f t="shared" si="10"/>
        <v>0</v>
      </c>
      <c r="Z31" s="30">
        <v>0</v>
      </c>
      <c r="AA31" s="14" t="s">
        <v>63</v>
      </c>
      <c r="AB31" s="27">
        <f t="shared" si="11"/>
        <v>-0.48</v>
      </c>
      <c r="AC31" s="28">
        <v>1.3799710648148147</v>
      </c>
      <c r="AD31" s="25">
        <f t="shared" si="12"/>
        <v>0</v>
      </c>
      <c r="AE31" s="25">
        <v>-28.02</v>
      </c>
      <c r="AF31" s="25">
        <v>-145.43765292</v>
      </c>
      <c r="AG31" s="25">
        <v>0</v>
      </c>
    </row>
    <row r="32" spans="1:33" ht="15.75" customHeight="1">
      <c r="A32" s="14" t="s">
        <v>60</v>
      </c>
      <c r="B32" s="14"/>
      <c r="C32" s="15" t="str">
        <f t="shared" si="4"/>
        <v xml:space="preserve"> - </v>
      </c>
      <c r="D32" s="16">
        <v>0</v>
      </c>
      <c r="E32" s="16">
        <v>0</v>
      </c>
      <c r="F32" s="17">
        <v>0</v>
      </c>
      <c r="G32" s="17">
        <v>0</v>
      </c>
      <c r="H32" s="18" t="e">
        <f t="shared" si="1"/>
        <v>#DIV/0!</v>
      </c>
      <c r="I32" s="18" t="e">
        <f t="shared" si="2"/>
        <v>#DIV/0!</v>
      </c>
      <c r="J32" s="17">
        <f t="shared" si="5"/>
        <v>0</v>
      </c>
      <c r="K32" s="17" t="e">
        <f t="shared" si="3"/>
        <v>#DIV/0!</v>
      </c>
      <c r="L32" s="16">
        <v>0</v>
      </c>
      <c r="M32" s="19" t="str">
        <f t="shared" si="6"/>
        <v>-</v>
      </c>
      <c r="N32" s="16">
        <v>1</v>
      </c>
      <c r="O32" s="20">
        <f t="shared" ref="O32:P32" si="40">D32/7</f>
        <v>0</v>
      </c>
      <c r="P32" s="20">
        <f t="shared" si="40"/>
        <v>0</v>
      </c>
      <c r="Q32" s="16" t="e">
        <f t="shared" si="8"/>
        <v>#DIV/0!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0</v>
      </c>
      <c r="T32" s="14">
        <f ca="1">IFERROR(__xludf.DUMMYFUNCTION("IFERROR(VLOOKUP($B$2,IMPORTRANGE(""https://docs.google.com/spreadsheets/d/1KiWZV1ko8G7lnRucBRBd29jj3Be6ltMfljMDqzOkQmI/edit#gid=1381463014"",""Lookup!A:D""),4,FALSE),"""")"),120)</f>
        <v>120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23" t="str">
        <f ca="1">IFERROR(__xludf.DUMMYFUNCTION("IFERROR(VLOOKUP($B$2,IMPORTRANGE(""https://docs.google.com/spreadsheets/d/1KiWZV1ko8G7lnRucBRBd29jj3Be6ltMfljMDqzOkQmI/edit#gid=1381463014"",""Lookup!A:D""),2,FALSE),"""")"),"No Transit, But 120 At Factory 50-75 days from Earliest Arrival")</f>
        <v>No Transit, But 120 At Factory 50-75 days from Earliest Arrival</v>
      </c>
      <c r="W32" s="30">
        <v>0</v>
      </c>
      <c r="X32" s="24">
        <f t="shared" si="9"/>
        <v>0</v>
      </c>
      <c r="Y32" s="25">
        <f t="shared" si="10"/>
        <v>0</v>
      </c>
      <c r="Z32" s="30">
        <v>0</v>
      </c>
      <c r="AA32" s="14" t="s">
        <v>63</v>
      </c>
      <c r="AB32" s="27">
        <f t="shared" si="11"/>
        <v>-0.48</v>
      </c>
      <c r="AC32" s="28">
        <v>1.3799710648148147</v>
      </c>
      <c r="AD32" s="25">
        <f t="shared" si="12"/>
        <v>0</v>
      </c>
      <c r="AE32" s="25">
        <v>-28.02</v>
      </c>
      <c r="AF32" s="25">
        <v>-145.43765292</v>
      </c>
      <c r="AG32" s="25">
        <v>0</v>
      </c>
    </row>
    <row r="33" spans="1:33" ht="15.75" customHeight="1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16"/>
      <c r="S33" s="21"/>
      <c r="T33" s="31"/>
      <c r="U33" s="36"/>
      <c r="V33" s="1"/>
      <c r="W33" s="31"/>
      <c r="X33" s="31"/>
      <c r="Y33" s="31"/>
      <c r="Z33" s="31"/>
      <c r="AA33" s="2"/>
      <c r="AB33" s="31"/>
      <c r="AC33" s="31"/>
      <c r="AD33" s="31"/>
      <c r="AE33" s="37"/>
      <c r="AF33" s="37"/>
      <c r="AG33" s="37"/>
    </row>
    <row r="34" spans="1:33" ht="15.75" customHeight="1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6"/>
      <c r="V34" s="1"/>
      <c r="W34" s="31"/>
      <c r="X34" s="31"/>
      <c r="Y34" s="31"/>
      <c r="Z34" s="31"/>
      <c r="AA34" s="2"/>
      <c r="AB34" s="31"/>
      <c r="AC34" s="31"/>
      <c r="AD34" s="31"/>
      <c r="AE34" s="37"/>
      <c r="AF34" s="37"/>
      <c r="AG34" s="37"/>
    </row>
    <row r="35" spans="1:33" ht="15.75" customHeight="1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6"/>
      <c r="V35" s="1"/>
      <c r="W35" s="31"/>
      <c r="X35" s="31"/>
      <c r="Y35" s="31"/>
      <c r="Z35" s="31"/>
      <c r="AA35" s="2"/>
      <c r="AB35" s="31"/>
      <c r="AC35" s="31"/>
      <c r="AD35" s="31"/>
      <c r="AE35" s="37"/>
      <c r="AF35" s="37"/>
      <c r="AG35" s="37"/>
    </row>
    <row r="36" spans="1:33" ht="15.75" customHeight="1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6"/>
      <c r="V36" s="1"/>
      <c r="W36" s="31"/>
      <c r="X36" s="31"/>
      <c r="Y36" s="31"/>
      <c r="Z36" s="31"/>
      <c r="AA36" s="2"/>
      <c r="AB36" s="31"/>
      <c r="AC36" s="31"/>
      <c r="AD36" s="31"/>
      <c r="AE36" s="37"/>
      <c r="AF36" s="37"/>
      <c r="AG36" s="37"/>
    </row>
    <row r="37" spans="1:33" ht="15.75" customHeight="1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6"/>
      <c r="V37" s="1"/>
      <c r="W37" s="31"/>
      <c r="X37" s="31"/>
      <c r="Y37" s="31"/>
      <c r="Z37" s="31"/>
      <c r="AA37" s="2"/>
      <c r="AB37" s="31"/>
      <c r="AC37" s="31"/>
      <c r="AD37" s="31"/>
      <c r="AE37" s="37"/>
      <c r="AF37" s="37"/>
      <c r="AG37" s="37"/>
    </row>
    <row r="38" spans="1:33" ht="15.75" customHeight="1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6"/>
      <c r="V38" s="1"/>
      <c r="W38" s="31"/>
      <c r="X38" s="31"/>
      <c r="Y38" s="31"/>
      <c r="Z38" s="31"/>
      <c r="AA38" s="2"/>
      <c r="AB38" s="31"/>
      <c r="AC38" s="31"/>
      <c r="AD38" s="31"/>
      <c r="AE38" s="37"/>
      <c r="AF38" s="37"/>
      <c r="AG38" s="37"/>
    </row>
    <row r="39" spans="1:33" ht="15.75" customHeight="1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6"/>
      <c r="V39" s="1"/>
      <c r="W39" s="31"/>
      <c r="X39" s="31"/>
      <c r="Y39" s="31"/>
      <c r="Z39" s="31"/>
      <c r="AA39" s="2"/>
      <c r="AB39" s="31"/>
      <c r="AC39" s="31"/>
      <c r="AD39" s="31"/>
      <c r="AE39" s="37"/>
      <c r="AF39" s="37"/>
      <c r="AG39" s="37"/>
    </row>
    <row r="40" spans="1:33" ht="15.75" customHeight="1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6"/>
      <c r="V40" s="1"/>
      <c r="W40" s="31"/>
      <c r="X40" s="31"/>
      <c r="Y40" s="31"/>
      <c r="Z40" s="31"/>
      <c r="AA40" s="2"/>
      <c r="AB40" s="31"/>
      <c r="AC40" s="31"/>
      <c r="AD40" s="31"/>
      <c r="AE40" s="37"/>
      <c r="AF40" s="37"/>
      <c r="AG40" s="37"/>
    </row>
    <row r="41" spans="1:33" ht="15.75" customHeight="1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6"/>
      <c r="V41" s="1"/>
      <c r="W41" s="31"/>
      <c r="X41" s="31"/>
      <c r="Y41" s="31"/>
      <c r="Z41" s="31"/>
      <c r="AA41" s="2"/>
      <c r="AB41" s="31"/>
      <c r="AC41" s="31"/>
      <c r="AD41" s="31"/>
      <c r="AE41" s="37"/>
      <c r="AF41" s="37"/>
      <c r="AG41" s="37"/>
    </row>
    <row r="42" spans="1:33" ht="15.75" customHeight="1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6"/>
      <c r="V42" s="1"/>
      <c r="W42" s="31"/>
      <c r="X42" s="31"/>
      <c r="Y42" s="31"/>
      <c r="Z42" s="31"/>
      <c r="AA42" s="2"/>
      <c r="AB42" s="31"/>
      <c r="AC42" s="31"/>
      <c r="AD42" s="31"/>
      <c r="AE42" s="37"/>
      <c r="AF42" s="37"/>
      <c r="AG42" s="37"/>
    </row>
    <row r="43" spans="1:33" ht="15.75" customHeight="1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6"/>
      <c r="V43" s="1"/>
      <c r="W43" s="31"/>
      <c r="X43" s="31"/>
      <c r="Y43" s="31"/>
      <c r="Z43" s="31"/>
      <c r="AA43" s="2"/>
      <c r="AB43" s="31"/>
      <c r="AC43" s="31"/>
      <c r="AD43" s="31"/>
      <c r="AE43" s="37"/>
      <c r="AF43" s="37"/>
      <c r="AG43" s="37"/>
    </row>
    <row r="44" spans="1:33" ht="15.75" customHeight="1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6"/>
      <c r="V44" s="1"/>
      <c r="W44" s="31"/>
      <c r="X44" s="31"/>
      <c r="Y44" s="31"/>
      <c r="Z44" s="31"/>
      <c r="AA44" s="2"/>
      <c r="AB44" s="31"/>
      <c r="AC44" s="31"/>
      <c r="AD44" s="31"/>
      <c r="AE44" s="37"/>
      <c r="AF44" s="37"/>
      <c r="AG44" s="37"/>
    </row>
    <row r="45" spans="1:33" ht="15.75" customHeight="1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6"/>
      <c r="V45" s="1"/>
      <c r="W45" s="31"/>
      <c r="X45" s="31"/>
      <c r="Y45" s="31"/>
      <c r="Z45" s="31"/>
      <c r="AA45" s="2"/>
      <c r="AB45" s="31"/>
      <c r="AC45" s="31"/>
      <c r="AD45" s="31"/>
      <c r="AE45" s="37"/>
      <c r="AF45" s="37"/>
      <c r="AG45" s="37"/>
    </row>
    <row r="46" spans="1:33" ht="15.75" customHeight="1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6"/>
      <c r="V46" s="1"/>
      <c r="W46" s="31"/>
      <c r="X46" s="31"/>
      <c r="Y46" s="31"/>
      <c r="Z46" s="31"/>
      <c r="AA46" s="2"/>
      <c r="AB46" s="31"/>
      <c r="AC46" s="31"/>
      <c r="AD46" s="31"/>
      <c r="AE46" s="37"/>
      <c r="AF46" s="37"/>
      <c r="AG46" s="37"/>
    </row>
    <row r="47" spans="1:33" ht="15.75" customHeight="1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6"/>
      <c r="V47" s="1"/>
      <c r="W47" s="31"/>
      <c r="X47" s="31"/>
      <c r="Y47" s="31"/>
      <c r="Z47" s="31"/>
      <c r="AA47" s="2"/>
      <c r="AB47" s="31"/>
      <c r="AC47" s="31"/>
      <c r="AD47" s="31"/>
      <c r="AE47" s="37"/>
      <c r="AF47" s="37"/>
      <c r="AG47" s="37"/>
    </row>
    <row r="48" spans="1:33" ht="15.75" customHeight="1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6"/>
      <c r="V48" s="1"/>
      <c r="W48" s="31"/>
      <c r="X48" s="31"/>
      <c r="Y48" s="31"/>
      <c r="Z48" s="31"/>
      <c r="AA48" s="2"/>
      <c r="AB48" s="31"/>
      <c r="AC48" s="31"/>
      <c r="AD48" s="31"/>
      <c r="AE48" s="37"/>
      <c r="AF48" s="37"/>
      <c r="AG48" s="37"/>
    </row>
    <row r="49" spans="1:33" ht="15.75" customHeight="1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6"/>
      <c r="V49" s="1"/>
      <c r="W49" s="31"/>
      <c r="X49" s="31"/>
      <c r="Y49" s="31"/>
      <c r="Z49" s="31"/>
      <c r="AA49" s="2"/>
      <c r="AB49" s="31"/>
      <c r="AC49" s="31"/>
      <c r="AD49" s="31"/>
      <c r="AE49" s="37"/>
      <c r="AF49" s="37"/>
      <c r="AG49" s="37"/>
    </row>
    <row r="50" spans="1:33" ht="15.75" customHeight="1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6"/>
      <c r="V50" s="1"/>
      <c r="W50" s="31"/>
      <c r="X50" s="31"/>
      <c r="Y50" s="31"/>
      <c r="Z50" s="31"/>
      <c r="AA50" s="2"/>
      <c r="AB50" s="31"/>
      <c r="AC50" s="31"/>
      <c r="AD50" s="31"/>
      <c r="AE50" s="37"/>
      <c r="AF50" s="37"/>
      <c r="AG50" s="37"/>
    </row>
    <row r="51" spans="1:33" ht="15.75" customHeight="1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6"/>
      <c r="V51" s="1"/>
      <c r="W51" s="31"/>
      <c r="X51" s="31"/>
      <c r="Y51" s="31"/>
      <c r="Z51" s="31"/>
      <c r="AA51" s="2"/>
      <c r="AB51" s="31"/>
      <c r="AC51" s="31"/>
      <c r="AD51" s="31"/>
      <c r="AE51" s="37"/>
      <c r="AF51" s="37"/>
      <c r="AG51" s="37"/>
    </row>
    <row r="52" spans="1:33" ht="15.75" customHeight="1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6"/>
      <c r="V52" s="1"/>
      <c r="W52" s="31"/>
      <c r="X52" s="31"/>
      <c r="Y52" s="31"/>
      <c r="Z52" s="31"/>
      <c r="AA52" s="2"/>
      <c r="AB52" s="31"/>
      <c r="AC52" s="31"/>
      <c r="AD52" s="31"/>
      <c r="AE52" s="37"/>
      <c r="AF52" s="37"/>
      <c r="AG52" s="37"/>
    </row>
    <row r="53" spans="1:33" ht="15.75" customHeight="1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6"/>
      <c r="V53" s="1"/>
      <c r="W53" s="31"/>
      <c r="X53" s="31"/>
      <c r="Y53" s="31"/>
      <c r="Z53" s="31"/>
      <c r="AA53" s="2"/>
      <c r="AB53" s="31"/>
      <c r="AC53" s="31"/>
      <c r="AD53" s="31"/>
      <c r="AE53" s="37"/>
      <c r="AF53" s="37"/>
      <c r="AG53" s="37"/>
    </row>
    <row r="54" spans="1:33" ht="15.75" customHeight="1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6"/>
      <c r="V54" s="1"/>
      <c r="W54" s="31"/>
      <c r="X54" s="31"/>
      <c r="Y54" s="31"/>
      <c r="Z54" s="31"/>
      <c r="AA54" s="2"/>
      <c r="AB54" s="31"/>
      <c r="AC54" s="31"/>
      <c r="AD54" s="31"/>
      <c r="AE54" s="37"/>
      <c r="AF54" s="37"/>
      <c r="AG54" s="37"/>
    </row>
    <row r="55" spans="1:33" ht="15.75" customHeight="1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6"/>
      <c r="V55" s="1"/>
      <c r="W55" s="31"/>
      <c r="X55" s="31"/>
      <c r="Y55" s="31"/>
      <c r="Z55" s="31"/>
      <c r="AA55" s="2"/>
      <c r="AB55" s="31"/>
      <c r="AC55" s="31"/>
      <c r="AD55" s="31"/>
      <c r="AE55" s="37"/>
      <c r="AF55" s="37"/>
      <c r="AG55" s="37"/>
    </row>
    <row r="56" spans="1:33" ht="15.75" customHeight="1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6"/>
      <c r="V56" s="1"/>
      <c r="W56" s="31"/>
      <c r="X56" s="31"/>
      <c r="Y56" s="31"/>
      <c r="Z56" s="31"/>
      <c r="AA56" s="2"/>
      <c r="AB56" s="31"/>
      <c r="AC56" s="31"/>
      <c r="AD56" s="31"/>
      <c r="AE56" s="37"/>
      <c r="AF56" s="37"/>
      <c r="AG56" s="37"/>
    </row>
    <row r="57" spans="1:33" ht="15.75" customHeight="1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6"/>
      <c r="V57" s="1"/>
      <c r="W57" s="31"/>
      <c r="X57" s="31"/>
      <c r="Y57" s="31"/>
      <c r="Z57" s="31"/>
      <c r="AA57" s="2"/>
      <c r="AB57" s="31"/>
      <c r="AC57" s="31"/>
      <c r="AD57" s="31"/>
      <c r="AE57" s="37"/>
      <c r="AF57" s="37"/>
      <c r="AG57" s="37"/>
    </row>
    <row r="58" spans="1:33" ht="15.75" customHeight="1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6"/>
      <c r="V58" s="1"/>
      <c r="W58" s="31"/>
      <c r="X58" s="31"/>
      <c r="Y58" s="31"/>
      <c r="Z58" s="31"/>
      <c r="AA58" s="2"/>
      <c r="AB58" s="31"/>
      <c r="AC58" s="31"/>
      <c r="AD58" s="31"/>
      <c r="AE58" s="37"/>
      <c r="AF58" s="37"/>
      <c r="AG58" s="37"/>
    </row>
    <row r="59" spans="1:33" ht="15.75" customHeight="1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6"/>
      <c r="V59" s="1"/>
      <c r="W59" s="31"/>
      <c r="X59" s="31"/>
      <c r="Y59" s="31"/>
      <c r="Z59" s="31"/>
      <c r="AA59" s="2"/>
      <c r="AB59" s="31"/>
      <c r="AC59" s="31"/>
      <c r="AD59" s="31"/>
      <c r="AE59" s="37"/>
      <c r="AF59" s="37"/>
      <c r="AG59" s="37"/>
    </row>
    <row r="60" spans="1:33" ht="15.75" customHeight="1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6"/>
      <c r="V60" s="1"/>
      <c r="W60" s="31"/>
      <c r="X60" s="31"/>
      <c r="Y60" s="31"/>
      <c r="Z60" s="31"/>
      <c r="AA60" s="2"/>
      <c r="AB60" s="31"/>
      <c r="AC60" s="31"/>
      <c r="AD60" s="31"/>
      <c r="AE60" s="37"/>
      <c r="AF60" s="37"/>
      <c r="AG60" s="37"/>
    </row>
    <row r="61" spans="1:33" ht="15.75" customHeight="1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6"/>
      <c r="V61" s="1"/>
      <c r="W61" s="31"/>
      <c r="X61" s="31"/>
      <c r="Y61" s="31"/>
      <c r="Z61" s="31"/>
      <c r="AA61" s="2"/>
      <c r="AB61" s="31"/>
      <c r="AC61" s="31"/>
      <c r="AD61" s="31"/>
      <c r="AE61" s="37"/>
      <c r="AF61" s="37"/>
      <c r="AG61" s="37"/>
    </row>
    <row r="62" spans="1:33" ht="15.75" customHeight="1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6"/>
      <c r="V62" s="1"/>
      <c r="W62" s="31"/>
      <c r="X62" s="31"/>
      <c r="Y62" s="31"/>
      <c r="Z62" s="31"/>
      <c r="AA62" s="2"/>
      <c r="AB62" s="31"/>
      <c r="AC62" s="31"/>
      <c r="AD62" s="31"/>
      <c r="AE62" s="37"/>
      <c r="AF62" s="37"/>
      <c r="AG62" s="37"/>
    </row>
    <row r="63" spans="1:33" ht="15.75" customHeight="1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6"/>
      <c r="V63" s="1"/>
      <c r="W63" s="31"/>
      <c r="X63" s="31"/>
      <c r="Y63" s="31"/>
      <c r="Z63" s="31"/>
      <c r="AA63" s="2"/>
      <c r="AB63" s="31"/>
      <c r="AC63" s="31"/>
      <c r="AD63" s="31"/>
      <c r="AE63" s="37"/>
      <c r="AF63" s="37"/>
      <c r="AG63" s="37"/>
    </row>
    <row r="64" spans="1:33" ht="15.75" customHeight="1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6"/>
      <c r="V64" s="1"/>
      <c r="W64" s="31"/>
      <c r="X64" s="31"/>
      <c r="Y64" s="31"/>
      <c r="Z64" s="31"/>
      <c r="AA64" s="2"/>
      <c r="AB64" s="31"/>
      <c r="AC64" s="31"/>
      <c r="AD64" s="31"/>
      <c r="AE64" s="37"/>
      <c r="AF64" s="37"/>
      <c r="AG64" s="37"/>
    </row>
    <row r="65" spans="1:33" ht="15.75" customHeight="1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6"/>
      <c r="V65" s="1"/>
      <c r="W65" s="31"/>
      <c r="X65" s="31"/>
      <c r="Y65" s="31"/>
      <c r="Z65" s="31"/>
      <c r="AA65" s="2"/>
      <c r="AB65" s="31"/>
      <c r="AC65" s="31"/>
      <c r="AD65" s="31"/>
      <c r="AE65" s="37"/>
      <c r="AF65" s="37"/>
      <c r="AG65" s="37"/>
    </row>
    <row r="66" spans="1:33" ht="15.75" customHeight="1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6"/>
      <c r="V66" s="1"/>
      <c r="W66" s="31"/>
      <c r="X66" s="31"/>
      <c r="Y66" s="31"/>
      <c r="Z66" s="31"/>
      <c r="AA66" s="2"/>
      <c r="AB66" s="31"/>
      <c r="AC66" s="31"/>
      <c r="AD66" s="31"/>
      <c r="AE66" s="37"/>
      <c r="AF66" s="37"/>
      <c r="AG66" s="37"/>
    </row>
    <row r="67" spans="1:33" ht="15.75" customHeight="1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6"/>
      <c r="V67" s="1"/>
      <c r="W67" s="31"/>
      <c r="X67" s="31"/>
      <c r="Y67" s="31"/>
      <c r="Z67" s="31"/>
      <c r="AA67" s="2"/>
      <c r="AB67" s="31"/>
      <c r="AC67" s="31"/>
      <c r="AD67" s="31"/>
      <c r="AE67" s="37"/>
      <c r="AF67" s="37"/>
      <c r="AG67" s="37"/>
    </row>
    <row r="68" spans="1:33" ht="15.75" customHeight="1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6"/>
      <c r="V68" s="1"/>
      <c r="W68" s="31"/>
      <c r="X68" s="31"/>
      <c r="Y68" s="31"/>
      <c r="Z68" s="31"/>
      <c r="AA68" s="2"/>
      <c r="AB68" s="31"/>
      <c r="AC68" s="31"/>
      <c r="AD68" s="31"/>
      <c r="AE68" s="37"/>
      <c r="AF68" s="37"/>
      <c r="AG68" s="37"/>
    </row>
    <row r="69" spans="1:33" ht="15.75" customHeight="1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6"/>
      <c r="V69" s="1"/>
      <c r="W69" s="31"/>
      <c r="X69" s="31"/>
      <c r="Y69" s="31"/>
      <c r="Z69" s="31"/>
      <c r="AA69" s="2"/>
      <c r="AB69" s="31"/>
      <c r="AC69" s="31"/>
      <c r="AD69" s="31"/>
      <c r="AE69" s="37"/>
      <c r="AF69" s="37"/>
      <c r="AG69" s="37"/>
    </row>
    <row r="70" spans="1:33" ht="15.75" customHeight="1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6"/>
      <c r="V70" s="1"/>
      <c r="W70" s="31"/>
      <c r="X70" s="31"/>
      <c r="Y70" s="31"/>
      <c r="Z70" s="31"/>
      <c r="AA70" s="2"/>
      <c r="AB70" s="31"/>
      <c r="AC70" s="31"/>
      <c r="AD70" s="31"/>
      <c r="AE70" s="37"/>
      <c r="AF70" s="37"/>
      <c r="AG70" s="37"/>
    </row>
    <row r="71" spans="1:33" ht="15.75" customHeight="1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6"/>
      <c r="V71" s="1"/>
      <c r="W71" s="31"/>
      <c r="X71" s="31"/>
      <c r="Y71" s="31"/>
      <c r="Z71" s="31"/>
      <c r="AA71" s="2"/>
      <c r="AB71" s="31"/>
      <c r="AC71" s="31"/>
      <c r="AD71" s="31"/>
      <c r="AE71" s="37"/>
      <c r="AF71" s="37"/>
      <c r="AG71" s="37"/>
    </row>
    <row r="72" spans="1:33" ht="15.75" customHeight="1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6"/>
      <c r="V72" s="1"/>
      <c r="W72" s="31"/>
      <c r="X72" s="31"/>
      <c r="Y72" s="31"/>
      <c r="Z72" s="31"/>
      <c r="AA72" s="2"/>
      <c r="AB72" s="31"/>
      <c r="AC72" s="31"/>
      <c r="AD72" s="31"/>
      <c r="AE72" s="37"/>
      <c r="AF72" s="37"/>
      <c r="AG72" s="37"/>
    </row>
    <row r="73" spans="1:33" ht="15.75" customHeight="1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6"/>
      <c r="V73" s="1"/>
      <c r="W73" s="31"/>
      <c r="X73" s="31"/>
      <c r="Y73" s="31"/>
      <c r="Z73" s="31"/>
      <c r="AA73" s="2"/>
      <c r="AB73" s="31"/>
      <c r="AC73" s="31"/>
      <c r="AD73" s="31"/>
      <c r="AE73" s="37"/>
      <c r="AF73" s="37"/>
      <c r="AG73" s="37"/>
    </row>
    <row r="74" spans="1:33" ht="15.75" customHeight="1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6"/>
      <c r="V74" s="1"/>
      <c r="W74" s="31"/>
      <c r="X74" s="31"/>
      <c r="Y74" s="31"/>
      <c r="Z74" s="31"/>
      <c r="AA74" s="2"/>
      <c r="AB74" s="31"/>
      <c r="AC74" s="31"/>
      <c r="AD74" s="31"/>
      <c r="AE74" s="37"/>
      <c r="AF74" s="37"/>
      <c r="AG74" s="37"/>
    </row>
    <row r="75" spans="1:33" ht="15.75" customHeight="1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6"/>
      <c r="V75" s="1"/>
      <c r="W75" s="31"/>
      <c r="X75" s="31"/>
      <c r="Y75" s="31"/>
      <c r="Z75" s="31"/>
      <c r="AA75" s="2"/>
      <c r="AB75" s="31"/>
      <c r="AC75" s="31"/>
      <c r="AD75" s="31"/>
      <c r="AE75" s="37"/>
      <c r="AF75" s="37"/>
      <c r="AG75" s="37"/>
    </row>
    <row r="76" spans="1:33" ht="15.75" customHeight="1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6"/>
      <c r="V76" s="1"/>
      <c r="W76" s="31"/>
      <c r="X76" s="31"/>
      <c r="Y76" s="31"/>
      <c r="Z76" s="31"/>
      <c r="AA76" s="2"/>
      <c r="AB76" s="31"/>
      <c r="AC76" s="31"/>
      <c r="AD76" s="31"/>
      <c r="AE76" s="37"/>
      <c r="AF76" s="37"/>
      <c r="AG76" s="37"/>
    </row>
    <row r="77" spans="1:33" ht="15.75" customHeight="1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6"/>
      <c r="V77" s="1"/>
      <c r="W77" s="31"/>
      <c r="X77" s="31"/>
      <c r="Y77" s="31"/>
      <c r="Z77" s="31"/>
      <c r="AA77" s="2"/>
      <c r="AB77" s="31"/>
      <c r="AC77" s="31"/>
      <c r="AD77" s="31"/>
      <c r="AE77" s="37"/>
      <c r="AF77" s="37"/>
      <c r="AG77" s="37"/>
    </row>
    <row r="78" spans="1:33" ht="15.75" customHeight="1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6"/>
      <c r="V78" s="1"/>
      <c r="W78" s="31"/>
      <c r="X78" s="31"/>
      <c r="Y78" s="31"/>
      <c r="Z78" s="31"/>
      <c r="AA78" s="2"/>
      <c r="AB78" s="31"/>
      <c r="AC78" s="31"/>
      <c r="AD78" s="31"/>
      <c r="AE78" s="37"/>
      <c r="AF78" s="37"/>
      <c r="AG78" s="37"/>
    </row>
    <row r="79" spans="1:33" ht="15.75" customHeight="1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6"/>
      <c r="V79" s="1"/>
      <c r="W79" s="31"/>
      <c r="X79" s="31"/>
      <c r="Y79" s="31"/>
      <c r="Z79" s="31"/>
      <c r="AA79" s="2"/>
      <c r="AB79" s="31"/>
      <c r="AC79" s="31"/>
      <c r="AD79" s="31"/>
      <c r="AE79" s="37"/>
      <c r="AF79" s="37"/>
      <c r="AG79" s="37"/>
    </row>
    <row r="80" spans="1:33" ht="15.75" customHeight="1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6"/>
      <c r="V80" s="1"/>
      <c r="W80" s="31"/>
      <c r="X80" s="31"/>
      <c r="Y80" s="31"/>
      <c r="Z80" s="31"/>
      <c r="AA80" s="2"/>
      <c r="AB80" s="31"/>
      <c r="AC80" s="31"/>
      <c r="AD80" s="31"/>
      <c r="AE80" s="37"/>
      <c r="AF80" s="37"/>
      <c r="AG80" s="37"/>
    </row>
    <row r="81" spans="1:33" ht="15.75" customHeight="1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6"/>
      <c r="V81" s="1"/>
      <c r="W81" s="31"/>
      <c r="X81" s="31"/>
      <c r="Y81" s="31"/>
      <c r="Z81" s="31"/>
      <c r="AA81" s="2"/>
      <c r="AB81" s="31"/>
      <c r="AC81" s="31"/>
      <c r="AD81" s="31"/>
      <c r="AE81" s="37"/>
      <c r="AF81" s="37"/>
      <c r="AG81" s="37"/>
    </row>
    <row r="82" spans="1:33" ht="15.75" customHeight="1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6"/>
      <c r="V82" s="1"/>
      <c r="W82" s="31"/>
      <c r="X82" s="31"/>
      <c r="Y82" s="31"/>
      <c r="Z82" s="31"/>
      <c r="AA82" s="2"/>
      <c r="AB82" s="31"/>
      <c r="AC82" s="31"/>
      <c r="AD82" s="31"/>
      <c r="AE82" s="37"/>
      <c r="AF82" s="37"/>
      <c r="AG82" s="37"/>
    </row>
    <row r="83" spans="1:33" ht="15.75" customHeight="1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6"/>
      <c r="V83" s="1"/>
      <c r="W83" s="31"/>
      <c r="X83" s="31"/>
      <c r="Y83" s="31"/>
      <c r="Z83" s="31"/>
      <c r="AA83" s="2"/>
      <c r="AB83" s="31"/>
      <c r="AC83" s="31"/>
      <c r="AD83" s="31"/>
      <c r="AE83" s="37"/>
      <c r="AF83" s="37"/>
      <c r="AG83" s="37"/>
    </row>
    <row r="84" spans="1:33" ht="15.75" customHeight="1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6"/>
      <c r="V84" s="1"/>
      <c r="W84" s="31"/>
      <c r="X84" s="31"/>
      <c r="Y84" s="31"/>
      <c r="Z84" s="31"/>
      <c r="AA84" s="2"/>
      <c r="AB84" s="31"/>
      <c r="AC84" s="31"/>
      <c r="AD84" s="31"/>
      <c r="AE84" s="37"/>
      <c r="AF84" s="37"/>
      <c r="AG84" s="37"/>
    </row>
    <row r="85" spans="1:33" ht="15.75" customHeight="1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6"/>
      <c r="V85" s="1"/>
      <c r="W85" s="31"/>
      <c r="X85" s="31"/>
      <c r="Y85" s="31"/>
      <c r="Z85" s="31"/>
      <c r="AA85" s="2"/>
      <c r="AB85" s="31"/>
      <c r="AC85" s="31"/>
      <c r="AD85" s="31"/>
      <c r="AE85" s="37"/>
      <c r="AF85" s="37"/>
      <c r="AG85" s="37"/>
    </row>
    <row r="86" spans="1:33" ht="15.75" customHeight="1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6"/>
      <c r="V86" s="1"/>
      <c r="W86" s="31"/>
      <c r="X86" s="31"/>
      <c r="Y86" s="31"/>
      <c r="Z86" s="31"/>
      <c r="AA86" s="2"/>
      <c r="AB86" s="31"/>
      <c r="AC86" s="31"/>
      <c r="AD86" s="31"/>
      <c r="AE86" s="37"/>
      <c r="AF86" s="37"/>
      <c r="AG86" s="37"/>
    </row>
    <row r="87" spans="1:33" ht="15.75" customHeight="1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6"/>
      <c r="V87" s="1"/>
      <c r="W87" s="31"/>
      <c r="X87" s="31"/>
      <c r="Y87" s="31"/>
      <c r="Z87" s="31"/>
      <c r="AA87" s="2"/>
      <c r="AB87" s="31"/>
      <c r="AC87" s="31"/>
      <c r="AD87" s="31"/>
      <c r="AE87" s="37"/>
      <c r="AF87" s="37"/>
      <c r="AG87" s="37"/>
    </row>
    <row r="88" spans="1:33" ht="15.75" customHeight="1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6"/>
      <c r="V88" s="1"/>
      <c r="W88" s="31"/>
      <c r="X88" s="31"/>
      <c r="Y88" s="31"/>
      <c r="Z88" s="31"/>
      <c r="AA88" s="2"/>
      <c r="AB88" s="31"/>
      <c r="AC88" s="31"/>
      <c r="AD88" s="31"/>
      <c r="AE88" s="37"/>
      <c r="AF88" s="37"/>
      <c r="AG88" s="37"/>
    </row>
    <row r="89" spans="1:33" ht="15.75" customHeight="1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6"/>
      <c r="V89" s="1"/>
      <c r="W89" s="31"/>
      <c r="X89" s="31"/>
      <c r="Y89" s="31"/>
      <c r="Z89" s="31"/>
      <c r="AA89" s="2"/>
      <c r="AB89" s="31"/>
      <c r="AC89" s="31"/>
      <c r="AD89" s="31"/>
      <c r="AE89" s="37"/>
      <c r="AF89" s="37"/>
      <c r="AG89" s="37"/>
    </row>
    <row r="90" spans="1:33" ht="15.75" customHeight="1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6"/>
      <c r="V90" s="1"/>
      <c r="W90" s="31"/>
      <c r="X90" s="31"/>
      <c r="Y90" s="31"/>
      <c r="Z90" s="31"/>
      <c r="AA90" s="2"/>
      <c r="AB90" s="31"/>
      <c r="AC90" s="31"/>
      <c r="AD90" s="31"/>
      <c r="AE90" s="37"/>
      <c r="AF90" s="37"/>
      <c r="AG90" s="37"/>
    </row>
    <row r="91" spans="1:33" ht="15.75" customHeight="1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6"/>
      <c r="V91" s="1"/>
      <c r="W91" s="31"/>
      <c r="X91" s="31"/>
      <c r="Y91" s="31"/>
      <c r="Z91" s="31"/>
      <c r="AA91" s="2"/>
      <c r="AB91" s="31"/>
      <c r="AC91" s="31"/>
      <c r="AD91" s="31"/>
      <c r="AE91" s="37"/>
      <c r="AF91" s="37"/>
      <c r="AG91" s="37"/>
    </row>
    <row r="92" spans="1:33" ht="15.75" customHeight="1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6"/>
      <c r="V92" s="1"/>
      <c r="W92" s="31"/>
      <c r="X92" s="31"/>
      <c r="Y92" s="31"/>
      <c r="Z92" s="31"/>
      <c r="AA92" s="2"/>
      <c r="AB92" s="31"/>
      <c r="AC92" s="31"/>
      <c r="AD92" s="31"/>
      <c r="AE92" s="37"/>
      <c r="AF92" s="37"/>
      <c r="AG92" s="37"/>
    </row>
    <row r="93" spans="1:33" ht="15.75" customHeight="1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6"/>
      <c r="V93" s="1"/>
      <c r="W93" s="31"/>
      <c r="X93" s="31"/>
      <c r="Y93" s="31"/>
      <c r="Z93" s="31"/>
      <c r="AA93" s="2"/>
      <c r="AB93" s="31"/>
      <c r="AC93" s="31"/>
      <c r="AD93" s="31"/>
      <c r="AE93" s="37"/>
      <c r="AF93" s="37"/>
      <c r="AG93" s="37"/>
    </row>
    <row r="94" spans="1:33" ht="15.75" customHeight="1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6"/>
      <c r="V94" s="1"/>
      <c r="W94" s="31"/>
      <c r="X94" s="31"/>
      <c r="Y94" s="31"/>
      <c r="Z94" s="31"/>
      <c r="AA94" s="2"/>
      <c r="AB94" s="31"/>
      <c r="AC94" s="31"/>
      <c r="AD94" s="31"/>
      <c r="AE94" s="37"/>
      <c r="AF94" s="37"/>
      <c r="AG94" s="37"/>
    </row>
    <row r="95" spans="1:33" ht="15.75" customHeight="1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6"/>
      <c r="V95" s="1"/>
      <c r="W95" s="31"/>
      <c r="X95" s="31"/>
      <c r="Y95" s="31"/>
      <c r="Z95" s="31"/>
      <c r="AA95" s="2"/>
      <c r="AB95" s="31"/>
      <c r="AC95" s="31"/>
      <c r="AD95" s="31"/>
      <c r="AE95" s="37"/>
      <c r="AF95" s="37"/>
      <c r="AG95" s="37"/>
    </row>
    <row r="96" spans="1:33" ht="15.75" customHeight="1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6"/>
      <c r="V96" s="1"/>
      <c r="W96" s="31"/>
      <c r="X96" s="31"/>
      <c r="Y96" s="31"/>
      <c r="Z96" s="31"/>
      <c r="AA96" s="2"/>
      <c r="AB96" s="31"/>
      <c r="AC96" s="31"/>
      <c r="AD96" s="31"/>
      <c r="AE96" s="37"/>
      <c r="AF96" s="37"/>
      <c r="AG96" s="37"/>
    </row>
    <row r="97" spans="1:33" ht="15.75" customHeight="1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8"/>
      <c r="R97" s="38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8"/>
      <c r="R98" s="38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8"/>
      <c r="R99" s="38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8"/>
      <c r="R100" s="38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8"/>
      <c r="R101" s="38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8"/>
      <c r="R102" s="38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8"/>
      <c r="R103" s="38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8"/>
      <c r="R104" s="38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8"/>
      <c r="R105" s="38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8"/>
      <c r="R106" s="38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8"/>
      <c r="R107" s="38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8"/>
      <c r="R108" s="38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8"/>
      <c r="R109" s="38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8"/>
      <c r="R110" s="38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8"/>
      <c r="R111" s="38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8"/>
      <c r="R112" s="38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8"/>
      <c r="R113" s="38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8"/>
      <c r="R114" s="38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>
      <c r="A115" s="31"/>
      <c r="B115" s="31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>
      <c r="A116" s="31"/>
      <c r="B116" s="31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>
      <c r="A117" s="31"/>
      <c r="B117" s="31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>
      <c r="A118" s="31"/>
      <c r="B118" s="31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>
      <c r="A119" s="31"/>
      <c r="B119" s="31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>
      <c r="A120" s="31"/>
      <c r="B120" s="31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>
      <c r="A121" s="31"/>
      <c r="B121" s="31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>
      <c r="A122" s="31"/>
      <c r="B122" s="31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>
      <c r="A123" s="31"/>
      <c r="B123" s="31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>
      <c r="A124" s="31"/>
      <c r="B124" s="31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>
      <c r="A125" s="31"/>
      <c r="B125" s="31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>
      <c r="A126" s="31"/>
      <c r="B126" s="31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>
      <c r="A127" s="31"/>
      <c r="B127" s="31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>
      <c r="A128" s="31"/>
      <c r="B128" s="31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>
      <c r="A129" s="31"/>
      <c r="B129" s="31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>
      <c r="A130" s="31"/>
      <c r="B130" s="31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>
      <c r="A131" s="31"/>
      <c r="B131" s="31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>
      <c r="A132" s="31"/>
      <c r="B132" s="31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>
      <c r="A133" s="31"/>
      <c r="B133" s="31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>
      <c r="A134" s="31"/>
      <c r="B134" s="31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>
      <c r="A135" s="31"/>
      <c r="B135" s="31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>
      <c r="A136" s="31"/>
      <c r="B136" s="31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>
      <c r="A137" s="31"/>
      <c r="B137" s="31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>
      <c r="A138" s="31"/>
      <c r="B138" s="31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>
      <c r="A139" s="31"/>
      <c r="B139" s="31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>
      <c r="A140" s="31"/>
      <c r="B140" s="31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>
      <c r="A141" s="31"/>
      <c r="B141" s="31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2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>
      <c r="A142" s="31"/>
      <c r="B142" s="31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2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>
      <c r="A143" s="31"/>
      <c r="B143" s="31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2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>
      <c r="A144" s="31"/>
      <c r="B144" s="31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2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>
      <c r="A145" s="31"/>
      <c r="B145" s="31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2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>
      <c r="A146" s="31"/>
      <c r="B146" s="31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2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>
      <c r="A147" s="31"/>
      <c r="B147" s="31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2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>
      <c r="A148" s="31"/>
      <c r="B148" s="31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2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</row>
    <row r="149" spans="1:33" ht="15.75" customHeight="1">
      <c r="A149" s="14"/>
      <c r="B149" s="14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>
      <c r="A150" s="14"/>
      <c r="B150" s="14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>
      <c r="A151" s="14"/>
      <c r="B151" s="14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>
      <c r="A152" s="14"/>
      <c r="B152" s="14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>
      <c r="A153" s="14"/>
      <c r="B153" s="14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>
      <c r="A154" s="14"/>
      <c r="B154" s="14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>
      <c r="A155" s="14"/>
      <c r="B155" s="14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>
      <c r="A156" s="14"/>
      <c r="B156" s="14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>
      <c r="A157" s="14"/>
      <c r="B157" s="14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>
      <c r="A158" s="14"/>
      <c r="B158" s="14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>
      <c r="A159" s="14"/>
      <c r="B159" s="14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>
      <c r="A160" s="14"/>
      <c r="B160" s="14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>
      <c r="A161" s="14"/>
      <c r="B161" s="14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>
      <c r="A162" s="14"/>
      <c r="B162" s="14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>
      <c r="A163" s="14"/>
      <c r="B163" s="14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>
      <c r="A164" s="14"/>
      <c r="B164" s="14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>
      <c r="A165" s="14"/>
      <c r="B165" s="14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>
      <c r="A166" s="14"/>
      <c r="B166" s="14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>
      <c r="A167" s="14"/>
      <c r="B167" s="14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>
      <c r="A168" s="14"/>
      <c r="B168" s="14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>
      <c r="A169" s="14"/>
      <c r="B169" s="14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>
      <c r="A170" s="14"/>
      <c r="B170" s="14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>
      <c r="A171" s="14"/>
      <c r="B171" s="14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>
      <c r="A172" s="14"/>
      <c r="B172" s="14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>
      <c r="A173" s="14"/>
      <c r="B173" s="14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>
      <c r="A174" s="14"/>
      <c r="B174" s="14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>
      <c r="A175" s="14"/>
      <c r="B175" s="14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>
      <c r="A176" s="14"/>
      <c r="B176" s="14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>
      <c r="A177" s="14"/>
      <c r="B177" s="14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>
      <c r="A178" s="14"/>
      <c r="B178" s="14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>
      <c r="A179" s="14"/>
      <c r="B179" s="14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>
      <c r="A180" s="14"/>
      <c r="B180" s="14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>
      <c r="A181" s="14"/>
      <c r="B181" s="14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>
      <c r="A182" s="14"/>
      <c r="B182" s="14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>
      <c r="A183" s="14"/>
      <c r="B183" s="14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>
      <c r="A184" s="14"/>
      <c r="B184" s="14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>
      <c r="A185" s="14"/>
      <c r="B185" s="14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>
      <c r="A186" s="14"/>
      <c r="B186" s="14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>
      <c r="A187" s="14"/>
      <c r="B187" s="14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>
      <c r="A188" s="14"/>
      <c r="B188" s="14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>
      <c r="A189" s="14"/>
      <c r="B189" s="14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>
      <c r="A190" s="14"/>
      <c r="B190" s="14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>
      <c r="A191" s="14"/>
      <c r="B191" s="14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>
      <c r="A192" s="14"/>
      <c r="B192" s="14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>
      <c r="A193" s="14"/>
      <c r="B193" s="14"/>
      <c r="C193" s="39"/>
      <c r="D193" s="39"/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>
      <c r="A194" s="14"/>
      <c r="B194" s="14"/>
      <c r="C194" s="39"/>
      <c r="D194" s="39"/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>
      <c r="A195" s="14"/>
      <c r="B195" s="14"/>
      <c r="C195" s="39"/>
      <c r="D195" s="39"/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>
      <c r="A196" s="14"/>
      <c r="B196" s="14"/>
      <c r="C196" s="39"/>
      <c r="D196" s="39"/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>
      <c r="A197" s="14"/>
      <c r="B197" s="14"/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>
      <c r="A198" s="14"/>
      <c r="B198" s="14"/>
      <c r="C198" s="39"/>
      <c r="D198" s="39"/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>
      <c r="A199" s="14"/>
      <c r="B199" s="14"/>
      <c r="C199" s="39"/>
      <c r="D199" s="39"/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>
      <c r="A200" s="14"/>
      <c r="B200" s="14"/>
      <c r="C200" s="39"/>
      <c r="D200" s="39"/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>
      <c r="A201" s="14"/>
      <c r="B201" s="14"/>
      <c r="C201" s="39"/>
      <c r="D201" s="39"/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>
      <c r="A202" s="14"/>
      <c r="B202" s="14"/>
      <c r="C202" s="39"/>
      <c r="D202" s="39"/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>
      <c r="A203" s="14"/>
      <c r="B203" s="14"/>
      <c r="C203" s="39"/>
      <c r="D203" s="39"/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>
      <c r="A204" s="14"/>
      <c r="B204" s="14"/>
      <c r="C204" s="39"/>
      <c r="D204" s="39"/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>
      <c r="A205" s="14"/>
      <c r="B205" s="14"/>
      <c r="C205" s="39"/>
      <c r="D205" s="39"/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>
      <c r="A206" s="14"/>
      <c r="B206" s="14"/>
      <c r="C206" s="39"/>
      <c r="D206" s="39"/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>
      <c r="A207" s="14"/>
      <c r="B207" s="14"/>
      <c r="C207" s="39"/>
      <c r="D207" s="39"/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>
      <c r="A208" s="14"/>
      <c r="B208" s="14"/>
      <c r="C208" s="39"/>
      <c r="D208" s="39"/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>
      <c r="A209" s="14"/>
      <c r="B209" s="14"/>
      <c r="C209" s="39"/>
      <c r="D209" s="39"/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>
      <c r="A210" s="14"/>
      <c r="B210" s="14"/>
      <c r="C210" s="39"/>
      <c r="D210" s="39"/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>
      <c r="A211" s="14"/>
      <c r="B211" s="14"/>
      <c r="C211" s="39"/>
      <c r="D211" s="39"/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>
      <c r="A212" s="14"/>
      <c r="B212" s="14"/>
      <c r="C212" s="39"/>
      <c r="D212" s="39"/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>
      <c r="A213" s="14"/>
      <c r="B213" s="14"/>
      <c r="C213" s="39"/>
      <c r="D213" s="39"/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>
      <c r="A214" s="14"/>
      <c r="B214" s="14"/>
      <c r="C214" s="39"/>
      <c r="D214" s="39"/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>
      <c r="A215" s="14"/>
      <c r="B215" s="14"/>
      <c r="C215" s="39"/>
      <c r="D215" s="39"/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>
      <c r="A216" s="14"/>
      <c r="B216" s="14"/>
      <c r="C216" s="39"/>
      <c r="D216" s="39"/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>
      <c r="A217" s="14"/>
      <c r="B217" s="14"/>
      <c r="C217" s="39"/>
      <c r="D217" s="39"/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>
      <c r="A218" s="14"/>
      <c r="B218" s="14"/>
      <c r="C218" s="39"/>
      <c r="D218" s="39"/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>
      <c r="A219" s="14"/>
      <c r="B219" s="14"/>
      <c r="C219" s="39"/>
      <c r="D219" s="39"/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>
      <c r="A220" s="14"/>
      <c r="B220" s="14"/>
      <c r="C220" s="39"/>
      <c r="D220" s="39"/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>
      <c r="R221" s="30"/>
      <c r="S221" s="40"/>
    </row>
    <row r="222" spans="1:33" ht="15.75" customHeight="1">
      <c r="R222" s="30"/>
      <c r="S222" s="40"/>
    </row>
    <row r="223" spans="1:33" ht="15.75" customHeight="1">
      <c r="R223" s="30"/>
      <c r="S223" s="40"/>
    </row>
    <row r="224" spans="1:33" ht="15.75" customHeight="1">
      <c r="R224" s="30"/>
      <c r="S224" s="40"/>
    </row>
    <row r="225" spans="18:18" ht="15.75" customHeight="1">
      <c r="R225" s="30"/>
    </row>
    <row r="226" spans="18:18" ht="15.75" customHeight="1">
      <c r="R226" s="30"/>
    </row>
    <row r="227" spans="18:18" ht="15.75" customHeight="1">
      <c r="R227" s="30"/>
    </row>
    <row r="228" spans="18:18" ht="15.75" customHeight="1">
      <c r="R228" s="30"/>
    </row>
    <row r="229" spans="18:18" ht="15.75" customHeight="1">
      <c r="R229" s="30"/>
    </row>
    <row r="230" spans="18:18" ht="15.75" customHeight="1">
      <c r="R230" s="30"/>
    </row>
    <row r="231" spans="18:18" ht="15.75" customHeight="1">
      <c r="R231" s="30"/>
    </row>
    <row r="232" spans="18:18" ht="15.75" customHeight="1">
      <c r="R232" s="30"/>
    </row>
    <row r="233" spans="18:18" ht="15.75" customHeight="1">
      <c r="R233" s="30"/>
    </row>
    <row r="234" spans="18:18" ht="15.75" customHeight="1">
      <c r="R234" s="30"/>
    </row>
    <row r="235" spans="18:18" ht="15.75" customHeight="1">
      <c r="R235" s="30"/>
    </row>
    <row r="236" spans="18:18" ht="15.75" customHeight="1">
      <c r="R236" s="30"/>
    </row>
    <row r="237" spans="18:18" ht="15.75" customHeight="1">
      <c r="R237" s="30"/>
    </row>
    <row r="238" spans="18:18" ht="15.75" customHeight="1">
      <c r="R238" s="30"/>
    </row>
    <row r="239" spans="18:18" ht="15.75" customHeight="1">
      <c r="R239" s="30"/>
    </row>
    <row r="240" spans="18:18" ht="15.75" customHeight="1">
      <c r="R240" s="30"/>
    </row>
    <row r="241" spans="18:18" ht="15.75" customHeight="1">
      <c r="R241" s="30"/>
    </row>
    <row r="242" spans="18:18" ht="15.75" customHeight="1">
      <c r="R242" s="30"/>
    </row>
    <row r="243" spans="18:18" ht="15.75" customHeight="1">
      <c r="R243" s="30"/>
    </row>
    <row r="244" spans="18:18" ht="15.75" customHeight="1">
      <c r="R244" s="30"/>
    </row>
    <row r="245" spans="18:18" ht="15.75" customHeight="1">
      <c r="R245" s="30"/>
    </row>
    <row r="246" spans="18:18" ht="15.75" customHeight="1">
      <c r="R246" s="30"/>
    </row>
    <row r="247" spans="18:18" ht="15.75" customHeight="1">
      <c r="R247" s="30"/>
    </row>
    <row r="248" spans="18:18" ht="15.75" customHeight="1">
      <c r="R248" s="30"/>
    </row>
    <row r="249" spans="18:18" ht="15.75" customHeight="1">
      <c r="R249" s="30"/>
    </row>
    <row r="250" spans="18:18" ht="15.75" customHeight="1">
      <c r="R250" s="30"/>
    </row>
    <row r="251" spans="18:18" ht="15.75" customHeight="1">
      <c r="R251" s="30"/>
    </row>
    <row r="252" spans="18:18" ht="15.75" customHeight="1">
      <c r="R252" s="30"/>
    </row>
    <row r="253" spans="18:18" ht="15.75" customHeight="1">
      <c r="R253" s="30"/>
    </row>
    <row r="254" spans="18:18" ht="15.75" customHeight="1">
      <c r="R254" s="30"/>
    </row>
    <row r="255" spans="18:18" ht="15.75" customHeight="1">
      <c r="R255" s="30"/>
    </row>
    <row r="256" spans="18:18" ht="15.75" customHeight="1">
      <c r="R256" s="30"/>
    </row>
    <row r="257" spans="18:18" ht="15.75" customHeight="1">
      <c r="R257" s="30"/>
    </row>
    <row r="258" spans="18:18" ht="15.75" customHeight="1">
      <c r="R258" s="30"/>
    </row>
    <row r="259" spans="18:18" ht="15.75" customHeight="1">
      <c r="R259" s="30"/>
    </row>
    <row r="260" spans="18:18" ht="15.75" customHeight="1">
      <c r="R260" s="30"/>
    </row>
    <row r="261" spans="18:18" ht="15.75" customHeight="1">
      <c r="R261" s="30"/>
    </row>
    <row r="262" spans="18:18" ht="15.75" customHeight="1">
      <c r="R262" s="30"/>
    </row>
    <row r="263" spans="18:18" ht="15.75" customHeight="1">
      <c r="R263" s="30"/>
    </row>
    <row r="264" spans="18:18" ht="15.75" customHeight="1">
      <c r="R264" s="30"/>
    </row>
    <row r="265" spans="18:18" ht="15.75" customHeight="1">
      <c r="R265" s="30"/>
    </row>
    <row r="266" spans="18:18" ht="15.75" customHeight="1">
      <c r="R266" s="30"/>
    </row>
    <row r="267" spans="18:18" ht="15.75" customHeight="1">
      <c r="R267" s="30"/>
    </row>
    <row r="268" spans="18:18" ht="15.75" customHeight="1">
      <c r="R268" s="30"/>
    </row>
    <row r="269" spans="18:18" ht="15.75" customHeight="1">
      <c r="R269" s="30"/>
    </row>
    <row r="270" spans="18:18" ht="15.75" customHeight="1">
      <c r="R270" s="30"/>
    </row>
    <row r="271" spans="18:18" ht="15.75" customHeight="1">
      <c r="R271" s="30"/>
    </row>
    <row r="272" spans="18:18" ht="15.75" customHeight="1">
      <c r="R272" s="30"/>
    </row>
    <row r="273" spans="18:18" ht="15.75" customHeight="1">
      <c r="R273" s="30"/>
    </row>
    <row r="274" spans="18:18" ht="15.75" customHeight="1">
      <c r="R274" s="30"/>
    </row>
    <row r="275" spans="18:18" ht="15.75" customHeight="1">
      <c r="R275" s="30"/>
    </row>
    <row r="276" spans="18:18" ht="15.75" customHeight="1">
      <c r="R276" s="30"/>
    </row>
    <row r="277" spans="18:18" ht="15.75" customHeight="1">
      <c r="R277" s="30"/>
    </row>
    <row r="278" spans="18:18" ht="15.75" customHeight="1">
      <c r="R278" s="30"/>
    </row>
    <row r="279" spans="18:18" ht="15.75" customHeight="1">
      <c r="R279" s="30"/>
    </row>
    <row r="280" spans="18:18" ht="15.75" customHeight="1">
      <c r="R280" s="30"/>
    </row>
    <row r="281" spans="18:18" ht="15.75" customHeight="1">
      <c r="R281" s="30"/>
    </row>
    <row r="282" spans="18:18" ht="15.75" customHeight="1">
      <c r="R282" s="30"/>
    </row>
    <row r="283" spans="18:18" ht="15.75" customHeight="1">
      <c r="R283" s="30"/>
    </row>
    <row r="284" spans="18:18" ht="15.75" customHeight="1">
      <c r="R284" s="30"/>
    </row>
    <row r="285" spans="18:18" ht="15.75" customHeight="1">
      <c r="R285" s="30"/>
    </row>
    <row r="286" spans="18:18" ht="15.75" customHeight="1">
      <c r="R286" s="30"/>
    </row>
    <row r="287" spans="18:18" ht="15.75" customHeight="1">
      <c r="R287" s="30"/>
    </row>
    <row r="288" spans="18:18" ht="15.75" customHeight="1">
      <c r="R288" s="30"/>
    </row>
    <row r="289" spans="18:18" ht="15.75" customHeight="1">
      <c r="R289" s="30"/>
    </row>
    <row r="290" spans="18:18" ht="15.75" customHeight="1">
      <c r="R290" s="30"/>
    </row>
    <row r="291" spans="18:18" ht="15.75" customHeight="1">
      <c r="R291" s="30"/>
    </row>
    <row r="292" spans="18:18" ht="15.75" customHeight="1">
      <c r="R292" s="30"/>
    </row>
    <row r="293" spans="18:18" ht="15.75" customHeight="1">
      <c r="R293" s="30"/>
    </row>
    <row r="294" spans="18:18" ht="15.75" customHeight="1">
      <c r="R294" s="30"/>
    </row>
    <row r="295" spans="18:18" ht="15.75" customHeight="1">
      <c r="R295" s="30"/>
    </row>
    <row r="296" spans="18:18" ht="15.75" customHeight="1">
      <c r="R296" s="30"/>
    </row>
    <row r="297" spans="18:18" ht="15.75" customHeight="1">
      <c r="R297" s="30"/>
    </row>
    <row r="298" spans="18:18" ht="15.75" customHeight="1">
      <c r="R298" s="30"/>
    </row>
    <row r="299" spans="18:18" ht="15.75" customHeight="1">
      <c r="R299" s="30"/>
    </row>
    <row r="300" spans="18:18" ht="15.75" customHeight="1">
      <c r="R300" s="30"/>
    </row>
    <row r="301" spans="18:18" ht="15.75" customHeight="1">
      <c r="R301" s="30"/>
    </row>
    <row r="302" spans="18:18" ht="15.75" customHeight="1">
      <c r="R302" s="30"/>
    </row>
    <row r="303" spans="18:18" ht="15.75" customHeight="1">
      <c r="R303" s="30"/>
    </row>
    <row r="304" spans="18:18" ht="15.75" customHeight="1">
      <c r="R304" s="30"/>
    </row>
    <row r="305" spans="18:18" ht="15.75" customHeight="1">
      <c r="R305" s="30"/>
    </row>
    <row r="306" spans="18:18" ht="15.75" customHeight="1">
      <c r="R306" s="30"/>
    </row>
    <row r="307" spans="18:18" ht="15.75" customHeight="1">
      <c r="R307" s="30"/>
    </row>
    <row r="308" spans="18:18" ht="15.75" customHeight="1">
      <c r="R308" s="30"/>
    </row>
    <row r="309" spans="18:18" ht="15.75" customHeight="1">
      <c r="R309" s="30"/>
    </row>
    <row r="310" spans="18:18" ht="15.75" customHeight="1">
      <c r="R310" s="30"/>
    </row>
    <row r="311" spans="18:18" ht="15.75" customHeight="1">
      <c r="R311" s="30"/>
    </row>
    <row r="312" spans="18:18" ht="15.75" customHeight="1">
      <c r="R312" s="30"/>
    </row>
    <row r="313" spans="18:18" ht="15.75" customHeight="1">
      <c r="R313" s="30"/>
    </row>
    <row r="314" spans="18:18" ht="15.75" customHeight="1">
      <c r="R314" s="30"/>
    </row>
    <row r="315" spans="18:18" ht="15.75" customHeight="1">
      <c r="R315" s="30"/>
    </row>
    <row r="316" spans="18:18" ht="15.75" customHeight="1">
      <c r="R316" s="30"/>
    </row>
    <row r="317" spans="18:18" ht="15.75" customHeight="1">
      <c r="R317" s="30"/>
    </row>
    <row r="318" spans="18:18" ht="15.75" customHeight="1">
      <c r="R318" s="30"/>
    </row>
    <row r="319" spans="18:18" ht="15.75" customHeight="1">
      <c r="R319" s="30"/>
    </row>
    <row r="320" spans="18:18" ht="15.75" customHeight="1">
      <c r="R320" s="30"/>
    </row>
    <row r="321" spans="18:18" ht="15.75" customHeight="1">
      <c r="R321" s="30"/>
    </row>
    <row r="322" spans="18:18" ht="15.75" customHeight="1">
      <c r="R322" s="30"/>
    </row>
    <row r="323" spans="18:18" ht="15.75" customHeight="1">
      <c r="R323" s="30"/>
    </row>
    <row r="324" spans="18:18" ht="15.75" customHeight="1">
      <c r="R324" s="30"/>
    </row>
    <row r="325" spans="18:18" ht="15.75" customHeight="1">
      <c r="R325" s="30"/>
    </row>
    <row r="326" spans="18:18" ht="15.75" customHeight="1">
      <c r="R326" s="30"/>
    </row>
    <row r="327" spans="18:18" ht="15.75" customHeight="1">
      <c r="R327" s="30"/>
    </row>
    <row r="328" spans="18:18" ht="15.75" customHeight="1">
      <c r="R328" s="30"/>
    </row>
    <row r="329" spans="18:18" ht="15.75" customHeight="1">
      <c r="R329" s="30"/>
    </row>
    <row r="330" spans="18:18" ht="15.75" customHeight="1">
      <c r="R330" s="30"/>
    </row>
    <row r="331" spans="18:18" ht="15.75" customHeight="1">
      <c r="R331" s="30"/>
    </row>
    <row r="332" spans="18:18" ht="15.75" customHeight="1">
      <c r="R332" s="30"/>
    </row>
    <row r="333" spans="18:18" ht="15.75" customHeight="1">
      <c r="R333" s="30"/>
    </row>
    <row r="334" spans="18:18" ht="15.75" customHeight="1">
      <c r="R334" s="30"/>
    </row>
    <row r="335" spans="18:18" ht="15.75" customHeight="1">
      <c r="R335" s="30"/>
    </row>
    <row r="336" spans="18:18" ht="15.75" customHeight="1">
      <c r="R336" s="30"/>
    </row>
    <row r="337" spans="18:18" ht="15.75" customHeight="1">
      <c r="R337" s="30"/>
    </row>
    <row r="338" spans="18:18" ht="15.75" customHeight="1">
      <c r="R338" s="30"/>
    </row>
    <row r="339" spans="18:18" ht="15.75" customHeight="1">
      <c r="R339" s="30"/>
    </row>
    <row r="340" spans="18:18" ht="15.75" customHeight="1">
      <c r="R340" s="30"/>
    </row>
    <row r="341" spans="18:18" ht="15.75" customHeight="1">
      <c r="R341" s="30"/>
    </row>
    <row r="342" spans="18:18" ht="15.75" customHeight="1">
      <c r="R342" s="30"/>
    </row>
    <row r="343" spans="18:18" ht="15.75" customHeight="1">
      <c r="R343" s="30"/>
    </row>
    <row r="344" spans="18:18" ht="15.75" customHeight="1">
      <c r="R344" s="30"/>
    </row>
    <row r="345" spans="18:18" ht="15.75" customHeight="1">
      <c r="R345" s="30"/>
    </row>
    <row r="346" spans="18:18" ht="15.75" customHeight="1">
      <c r="R346" s="30"/>
    </row>
    <row r="347" spans="18:18" ht="15.75" customHeight="1">
      <c r="R347" s="30"/>
    </row>
    <row r="348" spans="18:18" ht="15.75" customHeight="1">
      <c r="R348" s="30"/>
    </row>
    <row r="349" spans="18:18" ht="15.75" customHeight="1">
      <c r="R349" s="30"/>
    </row>
    <row r="350" spans="18:18" ht="15.75" customHeight="1">
      <c r="R350" s="30"/>
    </row>
    <row r="351" spans="18:18" ht="15.75" customHeight="1">
      <c r="R351" s="30"/>
    </row>
    <row r="352" spans="18:18" ht="15.75" customHeight="1">
      <c r="R352" s="30"/>
    </row>
    <row r="353" spans="18:18" ht="15.75" customHeight="1">
      <c r="R353" s="30"/>
    </row>
    <row r="354" spans="18:18" ht="15.75" customHeight="1">
      <c r="R354" s="30"/>
    </row>
    <row r="355" spans="18:18" ht="15.75" customHeight="1">
      <c r="R355" s="30"/>
    </row>
    <row r="356" spans="18:18" ht="15.75" customHeight="1">
      <c r="R356" s="30"/>
    </row>
    <row r="357" spans="18:18" ht="15.75" customHeight="1">
      <c r="R357" s="30"/>
    </row>
    <row r="358" spans="18:18" ht="15.75" customHeight="1">
      <c r="R358" s="30"/>
    </row>
    <row r="359" spans="18:18" ht="15.75" customHeight="1">
      <c r="R359" s="30"/>
    </row>
    <row r="360" spans="18:18" ht="15.75" customHeight="1">
      <c r="R360" s="30"/>
    </row>
    <row r="361" spans="18:18" ht="15.75" customHeight="1">
      <c r="R361" s="30"/>
    </row>
    <row r="362" spans="18:18" ht="15.75" customHeight="1">
      <c r="R362" s="30"/>
    </row>
    <row r="363" spans="18:18" ht="15.75" customHeight="1">
      <c r="R363" s="30"/>
    </row>
    <row r="364" spans="18:18" ht="15.75" customHeight="1">
      <c r="R364" s="30"/>
    </row>
    <row r="365" spans="18:18" ht="15.75" customHeight="1">
      <c r="R365" s="30"/>
    </row>
    <row r="366" spans="18:18" ht="15.75" customHeight="1">
      <c r="R366" s="30"/>
    </row>
    <row r="367" spans="18:18" ht="15.75" customHeight="1">
      <c r="R367" s="30"/>
    </row>
    <row r="368" spans="18:18" ht="15.75" customHeight="1">
      <c r="R368" s="30"/>
    </row>
    <row r="369" spans="18:18" ht="15.75" customHeight="1">
      <c r="R369" s="30"/>
    </row>
    <row r="370" spans="18:18" ht="15.75" customHeight="1">
      <c r="R370" s="30"/>
    </row>
    <row r="371" spans="18:18" ht="15.75" customHeight="1">
      <c r="R371" s="30"/>
    </row>
    <row r="372" spans="18:18" ht="15.75" customHeight="1">
      <c r="R372" s="30"/>
    </row>
    <row r="373" spans="18:18" ht="15.75" customHeight="1">
      <c r="R373" s="30"/>
    </row>
    <row r="374" spans="18:18" ht="15.75" customHeight="1">
      <c r="R374" s="30"/>
    </row>
    <row r="375" spans="18:18" ht="15.75" customHeight="1">
      <c r="R375" s="30"/>
    </row>
    <row r="376" spans="18:18" ht="15.75" customHeight="1">
      <c r="R376" s="30"/>
    </row>
    <row r="377" spans="18:18" ht="15.75" customHeight="1">
      <c r="R377" s="30"/>
    </row>
    <row r="378" spans="18:18" ht="15.75" customHeight="1">
      <c r="R378" s="30"/>
    </row>
    <row r="379" spans="18:18" ht="15.75" customHeight="1">
      <c r="R379" s="30"/>
    </row>
    <row r="380" spans="18:18" ht="15.75" customHeight="1">
      <c r="R380" s="30"/>
    </row>
    <row r="381" spans="18:18" ht="15.75" customHeight="1">
      <c r="R381" s="30"/>
    </row>
    <row r="382" spans="18:18" ht="15.75" customHeight="1">
      <c r="R382" s="30"/>
    </row>
    <row r="383" spans="18:18" ht="15.75" customHeight="1">
      <c r="R383" s="30"/>
    </row>
    <row r="384" spans="18:18" ht="15.75" customHeight="1">
      <c r="R384" s="30"/>
    </row>
    <row r="385" spans="18:18" ht="15.75" customHeight="1">
      <c r="R385" s="30"/>
    </row>
    <row r="386" spans="18:18" ht="15.75" customHeight="1">
      <c r="R386" s="30"/>
    </row>
    <row r="387" spans="18:18" ht="15.75" customHeight="1">
      <c r="R387" s="30"/>
    </row>
    <row r="388" spans="18:18" ht="15.75" customHeight="1">
      <c r="R388" s="30"/>
    </row>
    <row r="389" spans="18:18" ht="15.75" customHeight="1">
      <c r="R389" s="30"/>
    </row>
    <row r="390" spans="18:18" ht="15.75" customHeight="1">
      <c r="R390" s="30"/>
    </row>
    <row r="391" spans="18:18" ht="15.75" customHeight="1">
      <c r="R391" s="30"/>
    </row>
    <row r="392" spans="18:18" ht="15.75" customHeight="1">
      <c r="R392" s="30"/>
    </row>
    <row r="393" spans="18:18" ht="15.75" customHeight="1">
      <c r="R393" s="30"/>
    </row>
    <row r="394" spans="18:18" ht="15.75" customHeight="1">
      <c r="R394" s="30"/>
    </row>
    <row r="395" spans="18:18" ht="15.75" customHeight="1">
      <c r="R395" s="30"/>
    </row>
    <row r="396" spans="18:18" ht="15.75" customHeight="1">
      <c r="R396" s="30"/>
    </row>
    <row r="397" spans="18:18" ht="15.75" customHeight="1">
      <c r="R397" s="30"/>
    </row>
    <row r="398" spans="18:18" ht="15.75" customHeight="1">
      <c r="R398" s="30"/>
    </row>
    <row r="399" spans="18:18" ht="15.75" customHeight="1">
      <c r="R399" s="30"/>
    </row>
    <row r="400" spans="18:18" ht="15.75" customHeight="1">
      <c r="R400" s="30"/>
    </row>
    <row r="401" spans="18:18" ht="15.75" customHeight="1">
      <c r="R401" s="30"/>
    </row>
    <row r="402" spans="18:18" ht="15.75" customHeight="1">
      <c r="R402" s="30"/>
    </row>
    <row r="403" spans="18:18" ht="15.75" customHeight="1">
      <c r="R403" s="30"/>
    </row>
    <row r="404" spans="18:18" ht="15.75" customHeight="1">
      <c r="R404" s="30"/>
    </row>
    <row r="405" spans="18:18" ht="15.75" customHeight="1">
      <c r="R405" s="30"/>
    </row>
    <row r="406" spans="18:18" ht="15.75" customHeight="1">
      <c r="R406" s="30"/>
    </row>
    <row r="407" spans="18:18" ht="15.75" customHeight="1">
      <c r="R407" s="30"/>
    </row>
    <row r="408" spans="18:18" ht="15.75" customHeight="1">
      <c r="R408" s="30"/>
    </row>
    <row r="409" spans="18:18" ht="15.75" customHeight="1">
      <c r="R409" s="30"/>
    </row>
    <row r="410" spans="18:18" ht="15.75" customHeight="1">
      <c r="R410" s="30"/>
    </row>
    <row r="411" spans="18:18" ht="15.75" customHeight="1">
      <c r="R411" s="30"/>
    </row>
    <row r="412" spans="18:18" ht="15.75" customHeight="1">
      <c r="R412" s="30"/>
    </row>
    <row r="413" spans="18:18" ht="15.75" customHeight="1">
      <c r="R413" s="30"/>
    </row>
    <row r="414" spans="18:18" ht="15.75" customHeight="1">
      <c r="R414" s="30"/>
    </row>
    <row r="415" spans="18:18" ht="15.75" customHeight="1">
      <c r="R415" s="30"/>
    </row>
    <row r="416" spans="18:18" ht="15.75" customHeight="1">
      <c r="R416" s="30"/>
    </row>
    <row r="417" spans="18:18" ht="15.75" customHeight="1">
      <c r="R417" s="30"/>
    </row>
    <row r="418" spans="18:18" ht="15.75" customHeight="1">
      <c r="R418" s="30"/>
    </row>
    <row r="419" spans="18:18" ht="15.75" customHeight="1">
      <c r="R419" s="30"/>
    </row>
    <row r="420" spans="18:18" ht="15.75" customHeight="1">
      <c r="R420" s="30"/>
    </row>
    <row r="421" spans="18:18" ht="15.75" customHeight="1">
      <c r="R421" s="30"/>
    </row>
    <row r="422" spans="18:18" ht="15.75" customHeight="1">
      <c r="R422" s="30"/>
    </row>
    <row r="423" spans="18:18" ht="15.75" customHeight="1">
      <c r="R423" s="30"/>
    </row>
    <row r="424" spans="18:18" ht="15.75" customHeight="1">
      <c r="R424" s="30"/>
    </row>
    <row r="425" spans="18:18" ht="15.75" customHeight="1">
      <c r="R425" s="30"/>
    </row>
    <row r="426" spans="18:18" ht="15.75" customHeight="1">
      <c r="R426" s="30"/>
    </row>
    <row r="427" spans="18:18" ht="15.75" customHeight="1">
      <c r="R427" s="30"/>
    </row>
    <row r="428" spans="18:18" ht="15.75" customHeight="1">
      <c r="R428" s="30"/>
    </row>
    <row r="429" spans="18:18" ht="15.75" customHeight="1">
      <c r="R429" s="30"/>
    </row>
    <row r="430" spans="18:18" ht="15.75" customHeight="1">
      <c r="R430" s="30"/>
    </row>
    <row r="431" spans="18:18" ht="15.75" customHeight="1">
      <c r="R431" s="30"/>
    </row>
    <row r="432" spans="18:18" ht="15.75" customHeight="1">
      <c r="R432" s="30"/>
    </row>
    <row r="433" spans="18:18" ht="15.75" customHeight="1">
      <c r="R433" s="30"/>
    </row>
    <row r="434" spans="18:18" ht="15.75" customHeight="1">
      <c r="R434" s="30"/>
    </row>
    <row r="435" spans="18:18" ht="15.75" customHeight="1">
      <c r="R435" s="30"/>
    </row>
    <row r="436" spans="18:18" ht="15.75" customHeight="1">
      <c r="R436" s="30"/>
    </row>
    <row r="437" spans="18:18" ht="15.75" customHeight="1">
      <c r="R437" s="30"/>
    </row>
    <row r="438" spans="18:18" ht="15.75" customHeight="1">
      <c r="R438" s="30"/>
    </row>
    <row r="439" spans="18:18" ht="15.75" customHeight="1">
      <c r="R439" s="30"/>
    </row>
    <row r="440" spans="18:18" ht="15.75" customHeight="1">
      <c r="R440" s="30"/>
    </row>
    <row r="441" spans="18:18" ht="15.75" customHeight="1">
      <c r="R441" s="30"/>
    </row>
    <row r="442" spans="18:18" ht="15.75" customHeight="1">
      <c r="R442" s="30"/>
    </row>
    <row r="443" spans="18:18" ht="15.75" customHeight="1">
      <c r="R443" s="30"/>
    </row>
    <row r="444" spans="18:18" ht="15.75" customHeight="1">
      <c r="R444" s="30"/>
    </row>
    <row r="445" spans="18:18" ht="15.75" customHeight="1">
      <c r="R445" s="30"/>
    </row>
    <row r="446" spans="18:18" ht="15.75" customHeight="1">
      <c r="R446" s="30"/>
    </row>
    <row r="447" spans="18:18" ht="15.75" customHeight="1">
      <c r="R447" s="30"/>
    </row>
    <row r="448" spans="18:18" ht="15.75" customHeight="1">
      <c r="R448" s="30"/>
    </row>
    <row r="449" spans="18:18" ht="15.75" customHeight="1">
      <c r="R449" s="30"/>
    </row>
    <row r="450" spans="18:18" ht="15.75" customHeight="1">
      <c r="R450" s="30"/>
    </row>
    <row r="451" spans="18:18" ht="15.75" customHeight="1">
      <c r="R451" s="30"/>
    </row>
    <row r="452" spans="18:18" ht="15.75" customHeight="1">
      <c r="R452" s="30"/>
    </row>
    <row r="453" spans="18:18" ht="15.75" customHeight="1">
      <c r="R453" s="30"/>
    </row>
    <row r="454" spans="18:18" ht="15.75" customHeight="1">
      <c r="R454" s="30"/>
    </row>
    <row r="455" spans="18:18" ht="15.75" customHeight="1">
      <c r="R455" s="30"/>
    </row>
    <row r="456" spans="18:18" ht="15.75" customHeight="1">
      <c r="R456" s="30"/>
    </row>
    <row r="457" spans="18:18" ht="15.75" customHeight="1">
      <c r="R457" s="30"/>
    </row>
    <row r="458" spans="18:18" ht="15.75" customHeight="1">
      <c r="R458" s="30"/>
    </row>
    <row r="459" spans="18:18" ht="15.75" customHeight="1">
      <c r="R459" s="30"/>
    </row>
    <row r="460" spans="18:18" ht="15.75" customHeight="1">
      <c r="R460" s="30"/>
    </row>
    <row r="461" spans="18:18" ht="15.75" customHeight="1">
      <c r="R461" s="30"/>
    </row>
    <row r="462" spans="18:18" ht="15.75" customHeight="1">
      <c r="R462" s="30"/>
    </row>
    <row r="463" spans="18:18" ht="15.75" customHeight="1">
      <c r="R463" s="30"/>
    </row>
    <row r="464" spans="18:18" ht="15.75" customHeight="1">
      <c r="R464" s="30"/>
    </row>
    <row r="465" spans="18:18" ht="15.75" customHeight="1">
      <c r="R465" s="30"/>
    </row>
    <row r="466" spans="18:18" ht="15.75" customHeight="1">
      <c r="R466" s="30"/>
    </row>
    <row r="467" spans="18:18" ht="15.75" customHeight="1">
      <c r="R467" s="30"/>
    </row>
    <row r="468" spans="18:18" ht="15.75" customHeight="1">
      <c r="R468" s="30"/>
    </row>
    <row r="469" spans="18:18" ht="15.75" customHeight="1">
      <c r="R469" s="30"/>
    </row>
    <row r="470" spans="18:18" ht="15.75" customHeight="1">
      <c r="R470" s="30"/>
    </row>
    <row r="471" spans="18:18" ht="15.75" customHeight="1">
      <c r="R471" s="30"/>
    </row>
    <row r="472" spans="18:18" ht="15.75" customHeight="1">
      <c r="R472" s="30"/>
    </row>
    <row r="473" spans="18:18" ht="15.75" customHeight="1">
      <c r="R473" s="30"/>
    </row>
    <row r="474" spans="18:18" ht="15.75" customHeight="1">
      <c r="R474" s="30"/>
    </row>
    <row r="475" spans="18:18" ht="15.75" customHeight="1">
      <c r="R475" s="30"/>
    </row>
    <row r="476" spans="18:18" ht="15.75" customHeight="1">
      <c r="R476" s="30"/>
    </row>
    <row r="477" spans="18:18" ht="15.75" customHeight="1">
      <c r="R477" s="30"/>
    </row>
    <row r="478" spans="18:18" ht="15.75" customHeight="1">
      <c r="R478" s="30"/>
    </row>
    <row r="479" spans="18:18" ht="15.75" customHeight="1">
      <c r="R479" s="30"/>
    </row>
    <row r="480" spans="18:18" ht="15.75" customHeight="1">
      <c r="R480" s="30"/>
    </row>
    <row r="481" spans="18:18" ht="15.75" customHeight="1">
      <c r="R481" s="30"/>
    </row>
    <row r="482" spans="18:18" ht="15.75" customHeight="1">
      <c r="R482" s="30"/>
    </row>
    <row r="483" spans="18:18" ht="15.75" customHeight="1">
      <c r="R483" s="30"/>
    </row>
    <row r="484" spans="18:18" ht="15.75" customHeight="1">
      <c r="R484" s="30"/>
    </row>
    <row r="485" spans="18:18" ht="15.75" customHeight="1">
      <c r="R485" s="30"/>
    </row>
    <row r="486" spans="18:18" ht="15.75" customHeight="1">
      <c r="R486" s="30"/>
    </row>
    <row r="487" spans="18:18" ht="15.75" customHeight="1">
      <c r="R487" s="30"/>
    </row>
    <row r="488" spans="18:18" ht="15.75" customHeight="1">
      <c r="R488" s="30"/>
    </row>
    <row r="489" spans="18:18" ht="15.75" customHeight="1">
      <c r="R489" s="30"/>
    </row>
    <row r="490" spans="18:18" ht="15.75" customHeight="1">
      <c r="R490" s="30"/>
    </row>
    <row r="491" spans="18:18" ht="15.75" customHeight="1">
      <c r="R491" s="30"/>
    </row>
    <row r="492" spans="18:18" ht="15.75" customHeight="1">
      <c r="R492" s="30"/>
    </row>
    <row r="493" spans="18:18" ht="15.75" customHeight="1">
      <c r="R493" s="30"/>
    </row>
    <row r="494" spans="18:18" ht="15.75" customHeight="1">
      <c r="R494" s="30"/>
    </row>
    <row r="495" spans="18:18" ht="15.75" customHeight="1">
      <c r="R495" s="30"/>
    </row>
    <row r="496" spans="18:18" ht="15.75" customHeight="1">
      <c r="R496" s="30"/>
    </row>
    <row r="497" spans="18:18" ht="15.75" customHeight="1">
      <c r="R497" s="30"/>
    </row>
    <row r="498" spans="18:18" ht="15.75" customHeight="1">
      <c r="R498" s="30"/>
    </row>
    <row r="499" spans="18:18" ht="15.75" customHeight="1">
      <c r="R499" s="30"/>
    </row>
    <row r="500" spans="18:18" ht="15.75" customHeight="1">
      <c r="R500" s="30"/>
    </row>
    <row r="501" spans="18:18" ht="15.75" customHeight="1">
      <c r="R501" s="30"/>
    </row>
    <row r="502" spans="18:18" ht="15.75" customHeight="1">
      <c r="R502" s="30"/>
    </row>
    <row r="503" spans="18:18" ht="15.75" customHeight="1">
      <c r="R503" s="30"/>
    </row>
    <row r="504" spans="18:18" ht="15.75" customHeight="1">
      <c r="R504" s="30"/>
    </row>
    <row r="505" spans="18:18" ht="15.75" customHeight="1">
      <c r="R505" s="30"/>
    </row>
    <row r="506" spans="18:18" ht="15.75" customHeight="1">
      <c r="R506" s="30"/>
    </row>
    <row r="507" spans="18:18" ht="15.75" customHeight="1">
      <c r="R507" s="30"/>
    </row>
    <row r="508" spans="18:18" ht="15.75" customHeight="1">
      <c r="R508" s="30"/>
    </row>
    <row r="509" spans="18:18" ht="15.75" customHeight="1">
      <c r="R509" s="30"/>
    </row>
    <row r="510" spans="18:18" ht="15.75" customHeight="1">
      <c r="R510" s="30"/>
    </row>
    <row r="511" spans="18:18" ht="15.75" customHeight="1">
      <c r="R511" s="30"/>
    </row>
    <row r="512" spans="18:18" ht="15.75" customHeight="1">
      <c r="R512" s="30"/>
    </row>
    <row r="513" spans="18:18" ht="15.75" customHeight="1">
      <c r="R513" s="30"/>
    </row>
    <row r="514" spans="18:18" ht="15.75" customHeight="1">
      <c r="R514" s="30"/>
    </row>
    <row r="515" spans="18:18" ht="15.75" customHeight="1">
      <c r="R515" s="30"/>
    </row>
    <row r="516" spans="18:18" ht="15.75" customHeight="1">
      <c r="R516" s="30"/>
    </row>
    <row r="517" spans="18:18" ht="15.75" customHeight="1">
      <c r="R517" s="30"/>
    </row>
    <row r="518" spans="18:18" ht="15.75" customHeight="1">
      <c r="R518" s="30"/>
    </row>
    <row r="519" spans="18:18" ht="15.75" customHeight="1">
      <c r="R519" s="30"/>
    </row>
    <row r="520" spans="18:18" ht="15.75" customHeight="1">
      <c r="R520" s="30"/>
    </row>
    <row r="521" spans="18:18" ht="15.75" customHeight="1">
      <c r="R521" s="30"/>
    </row>
    <row r="522" spans="18:18" ht="15.75" customHeight="1">
      <c r="R522" s="30"/>
    </row>
    <row r="523" spans="18:18" ht="15.75" customHeight="1">
      <c r="R523" s="30"/>
    </row>
    <row r="524" spans="18:18" ht="15.75" customHeight="1">
      <c r="R524" s="30"/>
    </row>
    <row r="525" spans="18:18" ht="15.75" customHeight="1">
      <c r="R525" s="30"/>
    </row>
    <row r="526" spans="18:18" ht="15.75" customHeight="1">
      <c r="R526" s="30"/>
    </row>
    <row r="527" spans="18:18" ht="15.75" customHeight="1">
      <c r="R527" s="30"/>
    </row>
    <row r="528" spans="18:18" ht="15.75" customHeight="1">
      <c r="R528" s="30"/>
    </row>
    <row r="529" spans="18:18" ht="15.75" customHeight="1">
      <c r="R529" s="30"/>
    </row>
    <row r="530" spans="18:18" ht="15.75" customHeight="1">
      <c r="R530" s="30"/>
    </row>
    <row r="531" spans="18:18" ht="15.75" customHeight="1">
      <c r="R531" s="30"/>
    </row>
    <row r="532" spans="18:18" ht="15.75" customHeight="1">
      <c r="R532" s="30"/>
    </row>
    <row r="533" spans="18:18" ht="15.75" customHeight="1">
      <c r="R533" s="30"/>
    </row>
    <row r="534" spans="18:18" ht="15.75" customHeight="1">
      <c r="R534" s="30"/>
    </row>
    <row r="535" spans="18:18" ht="15.75" customHeight="1">
      <c r="R535" s="30"/>
    </row>
    <row r="536" spans="18:18" ht="15.75" customHeight="1">
      <c r="R536" s="30"/>
    </row>
    <row r="537" spans="18:18" ht="15.75" customHeight="1">
      <c r="R537" s="30"/>
    </row>
    <row r="538" spans="18:18" ht="15.75" customHeight="1">
      <c r="R538" s="30"/>
    </row>
    <row r="539" spans="18:18" ht="15.75" customHeight="1">
      <c r="R539" s="30"/>
    </row>
    <row r="540" spans="18:18" ht="15.75" customHeight="1">
      <c r="R540" s="30"/>
    </row>
    <row r="541" spans="18:18" ht="15.75" customHeight="1">
      <c r="R541" s="30"/>
    </row>
    <row r="542" spans="18:18" ht="15.75" customHeight="1">
      <c r="R542" s="30"/>
    </row>
    <row r="543" spans="18:18" ht="15.75" customHeight="1">
      <c r="R543" s="30"/>
    </row>
    <row r="544" spans="18:18" ht="15.75" customHeight="1">
      <c r="R544" s="30"/>
    </row>
    <row r="545" spans="18:18" ht="15.75" customHeight="1">
      <c r="R545" s="30"/>
    </row>
    <row r="546" spans="18:18" ht="15.75" customHeight="1">
      <c r="R546" s="30"/>
    </row>
    <row r="547" spans="18:18" ht="15.75" customHeight="1">
      <c r="R547" s="30"/>
    </row>
    <row r="548" spans="18:18" ht="15.75" customHeight="1">
      <c r="R548" s="30"/>
    </row>
    <row r="549" spans="18:18" ht="15.75" customHeight="1">
      <c r="R549" s="30"/>
    </row>
    <row r="550" spans="18:18" ht="15.75" customHeight="1">
      <c r="R550" s="30"/>
    </row>
    <row r="551" spans="18:18" ht="15.75" customHeight="1">
      <c r="R551" s="30"/>
    </row>
    <row r="552" spans="18:18" ht="15.75" customHeight="1">
      <c r="R552" s="30"/>
    </row>
    <row r="553" spans="18:18" ht="15.75" customHeight="1">
      <c r="R553" s="30"/>
    </row>
    <row r="554" spans="18:18" ht="15.75" customHeight="1">
      <c r="R554" s="30"/>
    </row>
    <row r="555" spans="18:18" ht="15.75" customHeight="1">
      <c r="R555" s="30"/>
    </row>
    <row r="556" spans="18:18" ht="15.75" customHeight="1">
      <c r="R556" s="30"/>
    </row>
    <row r="557" spans="18:18" ht="15.75" customHeight="1">
      <c r="R557" s="30"/>
    </row>
    <row r="558" spans="18:18" ht="15.75" customHeight="1">
      <c r="R558" s="30"/>
    </row>
    <row r="559" spans="18:18" ht="15.75" customHeight="1">
      <c r="R559" s="30"/>
    </row>
    <row r="560" spans="18:18" ht="15.75" customHeight="1">
      <c r="R560" s="30"/>
    </row>
    <row r="561" spans="18:18" ht="15.75" customHeight="1">
      <c r="R561" s="30"/>
    </row>
    <row r="562" spans="18:18" ht="15.75" customHeight="1">
      <c r="R562" s="30"/>
    </row>
    <row r="563" spans="18:18" ht="15.75" customHeight="1">
      <c r="R563" s="30"/>
    </row>
    <row r="564" spans="18:18" ht="15.75" customHeight="1">
      <c r="R564" s="30"/>
    </row>
    <row r="565" spans="18:18" ht="15.75" customHeight="1">
      <c r="R565" s="30"/>
    </row>
    <row r="566" spans="18:18" ht="15.75" customHeight="1">
      <c r="R566" s="30"/>
    </row>
    <row r="567" spans="18:18" ht="15.75" customHeight="1">
      <c r="R567" s="30"/>
    </row>
    <row r="568" spans="18:18" ht="15.75" customHeight="1">
      <c r="R568" s="30"/>
    </row>
    <row r="569" spans="18:18" ht="15.75" customHeight="1">
      <c r="R569" s="30"/>
    </row>
    <row r="570" spans="18:18" ht="15.75" customHeight="1">
      <c r="R570" s="30"/>
    </row>
    <row r="571" spans="18:18" ht="15.75" customHeight="1">
      <c r="R571" s="30"/>
    </row>
    <row r="572" spans="18:18" ht="15.75" customHeight="1">
      <c r="R572" s="30"/>
    </row>
    <row r="573" spans="18:18" ht="15.75" customHeight="1">
      <c r="R573" s="30"/>
    </row>
    <row r="574" spans="18:18" ht="15.75" customHeight="1">
      <c r="R574" s="30"/>
    </row>
    <row r="575" spans="18:18" ht="15.75" customHeight="1">
      <c r="R575" s="30"/>
    </row>
    <row r="576" spans="18:18" ht="15.75" customHeight="1">
      <c r="R576" s="30"/>
    </row>
    <row r="577" spans="18:18" ht="15.75" customHeight="1">
      <c r="R577" s="30"/>
    </row>
    <row r="578" spans="18:18" ht="15.75" customHeight="1">
      <c r="R578" s="30"/>
    </row>
    <row r="579" spans="18:18" ht="15.75" customHeight="1">
      <c r="R579" s="30"/>
    </row>
    <row r="580" spans="18:18" ht="15.75" customHeight="1">
      <c r="R580" s="30"/>
    </row>
    <row r="581" spans="18:18" ht="15.75" customHeight="1">
      <c r="R581" s="30"/>
    </row>
    <row r="582" spans="18:18" ht="15.75" customHeight="1">
      <c r="R582" s="30"/>
    </row>
    <row r="583" spans="18:18" ht="15.75" customHeight="1">
      <c r="R583" s="30"/>
    </row>
    <row r="584" spans="18:18" ht="15.75" customHeight="1">
      <c r="R584" s="30"/>
    </row>
    <row r="585" spans="18:18" ht="15.75" customHeight="1">
      <c r="R585" s="30"/>
    </row>
    <row r="586" spans="18:18" ht="15.75" customHeight="1">
      <c r="R586" s="30"/>
    </row>
    <row r="587" spans="18:18" ht="15.75" customHeight="1">
      <c r="R587" s="30"/>
    </row>
    <row r="588" spans="18:18" ht="15.75" customHeight="1">
      <c r="R588" s="30"/>
    </row>
    <row r="589" spans="18:18" ht="15.75" customHeight="1">
      <c r="R589" s="30"/>
    </row>
    <row r="590" spans="18:18" ht="15.75" customHeight="1">
      <c r="R590" s="30"/>
    </row>
    <row r="591" spans="18:18" ht="15.75" customHeight="1">
      <c r="R591" s="30"/>
    </row>
    <row r="592" spans="18:18" ht="15.75" customHeight="1">
      <c r="R592" s="30"/>
    </row>
    <row r="593" spans="18:18" ht="15.75" customHeight="1">
      <c r="R593" s="30"/>
    </row>
    <row r="594" spans="18:18" ht="15.75" customHeight="1">
      <c r="R594" s="30"/>
    </row>
    <row r="595" spans="18:18" ht="15.75" customHeight="1">
      <c r="R595" s="30"/>
    </row>
    <row r="596" spans="18:18" ht="15.75" customHeight="1">
      <c r="R596" s="30"/>
    </row>
    <row r="597" spans="18:18" ht="15.75" customHeight="1">
      <c r="R597" s="30"/>
    </row>
    <row r="598" spans="18:18" ht="15.75" customHeight="1">
      <c r="R598" s="30"/>
    </row>
    <row r="599" spans="18:18" ht="15.75" customHeight="1">
      <c r="R599" s="30"/>
    </row>
    <row r="600" spans="18:18" ht="15.75" customHeight="1">
      <c r="R600" s="30"/>
    </row>
    <row r="601" spans="18:18" ht="15.75" customHeight="1">
      <c r="R601" s="30"/>
    </row>
    <row r="602" spans="18:18" ht="15.75" customHeight="1">
      <c r="R602" s="30"/>
    </row>
    <row r="603" spans="18:18" ht="15.75" customHeight="1">
      <c r="R603" s="30"/>
    </row>
    <row r="604" spans="18:18" ht="15.75" customHeight="1">
      <c r="R604" s="30"/>
    </row>
    <row r="605" spans="18:18" ht="15.75" customHeight="1">
      <c r="R605" s="30"/>
    </row>
    <row r="606" spans="18:18" ht="15.75" customHeight="1">
      <c r="R606" s="30"/>
    </row>
    <row r="607" spans="18:18" ht="15.75" customHeight="1">
      <c r="R607" s="30"/>
    </row>
    <row r="608" spans="18:18" ht="15.75" customHeight="1">
      <c r="R608" s="30"/>
    </row>
    <row r="609" spans="18:18" ht="15.75" customHeight="1">
      <c r="R609" s="30"/>
    </row>
    <row r="610" spans="18:18" ht="15.75" customHeight="1">
      <c r="R610" s="30"/>
    </row>
    <row r="611" spans="18:18" ht="15.75" customHeight="1">
      <c r="R611" s="30"/>
    </row>
    <row r="612" spans="18:18" ht="15.75" customHeight="1">
      <c r="R612" s="30"/>
    </row>
    <row r="613" spans="18:18" ht="15.75" customHeight="1">
      <c r="R613" s="30"/>
    </row>
    <row r="614" spans="18:18" ht="15.75" customHeight="1">
      <c r="R614" s="30"/>
    </row>
    <row r="615" spans="18:18" ht="15.75" customHeight="1">
      <c r="R615" s="30"/>
    </row>
    <row r="616" spans="18:18" ht="15.75" customHeight="1">
      <c r="R616" s="30"/>
    </row>
    <row r="617" spans="18:18" ht="15.75" customHeight="1">
      <c r="R617" s="30"/>
    </row>
    <row r="618" spans="18:18" ht="15.75" customHeight="1">
      <c r="R618" s="30"/>
    </row>
    <row r="619" spans="18:18" ht="15.75" customHeight="1">
      <c r="R619" s="30"/>
    </row>
    <row r="620" spans="18:18" ht="15.75" customHeight="1">
      <c r="R620" s="30"/>
    </row>
    <row r="621" spans="18:18" ht="15.75" customHeight="1">
      <c r="R621" s="30"/>
    </row>
    <row r="622" spans="18:18" ht="15.75" customHeight="1">
      <c r="R622" s="30"/>
    </row>
    <row r="623" spans="18:18" ht="15.75" customHeight="1">
      <c r="R623" s="30"/>
    </row>
    <row r="624" spans="18:18" ht="15.75" customHeight="1">
      <c r="R624" s="30"/>
    </row>
    <row r="625" spans="18:18" ht="15.75" customHeight="1">
      <c r="R625" s="30"/>
    </row>
    <row r="626" spans="18:18" ht="15.75" customHeight="1">
      <c r="R626" s="30"/>
    </row>
    <row r="627" spans="18:18" ht="15.75" customHeight="1">
      <c r="R627" s="30"/>
    </row>
    <row r="628" spans="18:18" ht="15.75" customHeight="1">
      <c r="R628" s="30"/>
    </row>
    <row r="629" spans="18:18" ht="15.75" customHeight="1">
      <c r="R629" s="30"/>
    </row>
    <row r="630" spans="18:18" ht="15.75" customHeight="1">
      <c r="R630" s="30"/>
    </row>
    <row r="631" spans="18:18" ht="15.75" customHeight="1">
      <c r="R631" s="30"/>
    </row>
    <row r="632" spans="18:18" ht="15.75" customHeight="1">
      <c r="R632" s="30"/>
    </row>
    <row r="633" spans="18:18" ht="15.75" customHeight="1">
      <c r="R633" s="30"/>
    </row>
    <row r="634" spans="18:18" ht="15.75" customHeight="1">
      <c r="R634" s="30"/>
    </row>
    <row r="635" spans="18:18" ht="15.75" customHeight="1">
      <c r="R635" s="30"/>
    </row>
    <row r="636" spans="18:18" ht="15.75" customHeight="1">
      <c r="R636" s="30"/>
    </row>
    <row r="637" spans="18:18" ht="15.75" customHeight="1">
      <c r="R637" s="30"/>
    </row>
    <row r="638" spans="18:18" ht="15.75" customHeight="1">
      <c r="R638" s="30"/>
    </row>
    <row r="639" spans="18:18" ht="15.75" customHeight="1">
      <c r="R639" s="30"/>
    </row>
    <row r="640" spans="18:18" ht="15.75" customHeight="1">
      <c r="R640" s="30"/>
    </row>
    <row r="641" spans="18:18" ht="15.75" customHeight="1">
      <c r="R641" s="30"/>
    </row>
    <row r="642" spans="18:18" ht="15.75" customHeight="1">
      <c r="R642" s="30"/>
    </row>
    <row r="643" spans="18:18" ht="15.75" customHeight="1">
      <c r="R643" s="30"/>
    </row>
    <row r="644" spans="18:18" ht="15.75" customHeight="1">
      <c r="R644" s="30"/>
    </row>
    <row r="645" spans="18:18" ht="15.75" customHeight="1">
      <c r="R645" s="30"/>
    </row>
    <row r="646" spans="18:18" ht="15.75" customHeight="1">
      <c r="R646" s="30"/>
    </row>
    <row r="647" spans="18:18" ht="15.75" customHeight="1">
      <c r="R647" s="30"/>
    </row>
    <row r="648" spans="18:18" ht="15.75" customHeight="1">
      <c r="R648" s="30"/>
    </row>
    <row r="649" spans="18:18" ht="15.75" customHeight="1">
      <c r="R649" s="30"/>
    </row>
    <row r="650" spans="18:18" ht="15.75" customHeight="1">
      <c r="R650" s="30"/>
    </row>
    <row r="651" spans="18:18" ht="15.75" customHeight="1">
      <c r="R651" s="30"/>
    </row>
    <row r="652" spans="18:18" ht="15.75" customHeight="1">
      <c r="R652" s="30"/>
    </row>
    <row r="653" spans="18:18" ht="15.75" customHeight="1">
      <c r="R653" s="30"/>
    </row>
    <row r="654" spans="18:18" ht="15.75" customHeight="1">
      <c r="R654" s="30"/>
    </row>
    <row r="655" spans="18:18" ht="15.75" customHeight="1">
      <c r="R655" s="30"/>
    </row>
    <row r="656" spans="18:18" ht="15.75" customHeight="1">
      <c r="R656" s="30"/>
    </row>
    <row r="657" spans="18:18" ht="15.75" customHeight="1">
      <c r="R657" s="30"/>
    </row>
    <row r="658" spans="18:18" ht="15.75" customHeight="1">
      <c r="R658" s="30"/>
    </row>
    <row r="659" spans="18:18" ht="15.75" customHeight="1">
      <c r="R659" s="30"/>
    </row>
    <row r="660" spans="18:18" ht="15.75" customHeight="1">
      <c r="R660" s="30"/>
    </row>
    <row r="661" spans="18:18" ht="15.75" customHeight="1">
      <c r="R661" s="30"/>
    </row>
    <row r="662" spans="18:18" ht="15.75" customHeight="1">
      <c r="R662" s="30"/>
    </row>
    <row r="663" spans="18:18" ht="15.75" customHeight="1">
      <c r="R663" s="30"/>
    </row>
    <row r="664" spans="18:18" ht="15.75" customHeight="1">
      <c r="R664" s="30"/>
    </row>
    <row r="665" spans="18:18" ht="15.75" customHeight="1">
      <c r="R665" s="30"/>
    </row>
    <row r="666" spans="18:18" ht="15.75" customHeight="1">
      <c r="R666" s="30"/>
    </row>
    <row r="667" spans="18:18" ht="15.75" customHeight="1">
      <c r="R667" s="30"/>
    </row>
    <row r="668" spans="18:18" ht="15.75" customHeight="1">
      <c r="R668" s="30"/>
    </row>
    <row r="669" spans="18:18" ht="15.75" customHeight="1">
      <c r="R669" s="30"/>
    </row>
    <row r="670" spans="18:18" ht="15.75" customHeight="1">
      <c r="R670" s="30"/>
    </row>
    <row r="671" spans="18:18" ht="15.75" customHeight="1">
      <c r="R671" s="30"/>
    </row>
    <row r="672" spans="18:18" ht="15.75" customHeight="1">
      <c r="R672" s="30"/>
    </row>
    <row r="673" spans="18:18" ht="15.75" customHeight="1">
      <c r="R673" s="30"/>
    </row>
    <row r="674" spans="18:18" ht="15.75" customHeight="1">
      <c r="R674" s="30"/>
    </row>
    <row r="675" spans="18:18" ht="15.75" customHeight="1">
      <c r="R675" s="30"/>
    </row>
    <row r="676" spans="18:18" ht="15.75" customHeight="1">
      <c r="R676" s="30"/>
    </row>
    <row r="677" spans="18:18" ht="15.75" customHeight="1">
      <c r="R677" s="30"/>
    </row>
    <row r="678" spans="18:18" ht="15.75" customHeight="1">
      <c r="R678" s="30"/>
    </row>
    <row r="679" spans="18:18" ht="15.75" customHeight="1">
      <c r="R679" s="30"/>
    </row>
    <row r="680" spans="18:18" ht="15.75" customHeight="1">
      <c r="R680" s="30"/>
    </row>
    <row r="681" spans="18:18" ht="15.75" customHeight="1">
      <c r="R681" s="30"/>
    </row>
    <row r="682" spans="18:18" ht="15.75" customHeight="1">
      <c r="R682" s="30"/>
    </row>
    <row r="683" spans="18:18" ht="15.75" customHeight="1">
      <c r="R683" s="30"/>
    </row>
    <row r="684" spans="18:18" ht="15.75" customHeight="1">
      <c r="R684" s="30"/>
    </row>
    <row r="685" spans="18:18" ht="15.75" customHeight="1">
      <c r="R685" s="30"/>
    </row>
    <row r="686" spans="18:18" ht="15.75" customHeight="1">
      <c r="R686" s="30"/>
    </row>
    <row r="687" spans="18:18" ht="15.75" customHeight="1">
      <c r="R687" s="30"/>
    </row>
    <row r="688" spans="18:18" ht="15.75" customHeight="1">
      <c r="R688" s="30"/>
    </row>
    <row r="689" spans="18:18" ht="15.75" customHeight="1">
      <c r="R689" s="30"/>
    </row>
    <row r="690" spans="18:18" ht="15.75" customHeight="1">
      <c r="R690" s="30"/>
    </row>
    <row r="691" spans="18:18" ht="15.75" customHeight="1">
      <c r="R691" s="30"/>
    </row>
    <row r="692" spans="18:18" ht="15.75" customHeight="1">
      <c r="R692" s="30"/>
    </row>
    <row r="693" spans="18:18" ht="15.75" customHeight="1">
      <c r="R693" s="30"/>
    </row>
    <row r="694" spans="18:18" ht="15.75" customHeight="1">
      <c r="R694" s="30"/>
    </row>
    <row r="695" spans="18:18" ht="15.75" customHeight="1">
      <c r="R695" s="30"/>
    </row>
    <row r="696" spans="18:18" ht="15.75" customHeight="1">
      <c r="R696" s="30"/>
    </row>
    <row r="697" spans="18:18" ht="15.75" customHeight="1">
      <c r="R697" s="30"/>
    </row>
    <row r="698" spans="18:18" ht="15.75" customHeight="1">
      <c r="R698" s="30"/>
    </row>
    <row r="699" spans="18:18" ht="15.75" customHeight="1">
      <c r="R699" s="30"/>
    </row>
    <row r="700" spans="18:18" ht="15.75" customHeight="1">
      <c r="R700" s="30"/>
    </row>
    <row r="701" spans="18:18" ht="15.75" customHeight="1">
      <c r="R701" s="30"/>
    </row>
    <row r="702" spans="18:18" ht="15.75" customHeight="1">
      <c r="R702" s="30"/>
    </row>
    <row r="703" spans="18:18" ht="15.75" customHeight="1">
      <c r="R703" s="30"/>
    </row>
    <row r="704" spans="18:18" ht="15.75" customHeight="1">
      <c r="R704" s="30"/>
    </row>
    <row r="705" spans="18:18" ht="15.75" customHeight="1">
      <c r="R705" s="30"/>
    </row>
    <row r="706" spans="18:18" ht="15.75" customHeight="1">
      <c r="R706" s="30"/>
    </row>
    <row r="707" spans="18:18" ht="15.75" customHeight="1">
      <c r="R707" s="30"/>
    </row>
    <row r="708" spans="18:18" ht="15.75" customHeight="1">
      <c r="R708" s="30"/>
    </row>
    <row r="709" spans="18:18" ht="15.75" customHeight="1">
      <c r="R709" s="30"/>
    </row>
    <row r="710" spans="18:18" ht="15.75" customHeight="1">
      <c r="R710" s="30"/>
    </row>
    <row r="711" spans="18:18" ht="15.75" customHeight="1">
      <c r="R711" s="30"/>
    </row>
    <row r="712" spans="18:18" ht="15.75" customHeight="1">
      <c r="R712" s="30"/>
    </row>
    <row r="713" spans="18:18" ht="15.75" customHeight="1">
      <c r="R713" s="30"/>
    </row>
    <row r="714" spans="18:18" ht="15.75" customHeight="1">
      <c r="R714" s="30"/>
    </row>
    <row r="715" spans="18:18" ht="15.75" customHeight="1">
      <c r="R715" s="30"/>
    </row>
    <row r="716" spans="18:18" ht="15.75" customHeight="1">
      <c r="R716" s="30"/>
    </row>
    <row r="717" spans="18:18" ht="15.75" customHeight="1">
      <c r="R717" s="30"/>
    </row>
    <row r="718" spans="18:18" ht="15.75" customHeight="1">
      <c r="R718" s="30"/>
    </row>
    <row r="719" spans="18:18" ht="15.75" customHeight="1">
      <c r="R719" s="30"/>
    </row>
    <row r="720" spans="18:18" ht="15.75" customHeight="1">
      <c r="R720" s="30"/>
    </row>
    <row r="721" spans="18:18" ht="15.75" customHeight="1">
      <c r="R721" s="30"/>
    </row>
    <row r="722" spans="18:18" ht="15.75" customHeight="1">
      <c r="R722" s="30"/>
    </row>
    <row r="723" spans="18:18" ht="15.75" customHeight="1">
      <c r="R723" s="30"/>
    </row>
    <row r="724" spans="18:18" ht="15.75" customHeight="1">
      <c r="R724" s="30"/>
    </row>
    <row r="725" spans="18:18" ht="15.75" customHeight="1">
      <c r="R725" s="30"/>
    </row>
    <row r="726" spans="18:18" ht="15.75" customHeight="1">
      <c r="R726" s="30"/>
    </row>
    <row r="727" spans="18:18" ht="15.75" customHeight="1">
      <c r="R727" s="30"/>
    </row>
    <row r="728" spans="18:18" ht="15.75" customHeight="1">
      <c r="R728" s="30"/>
    </row>
    <row r="729" spans="18:18" ht="15.75" customHeight="1">
      <c r="R729" s="30"/>
    </row>
    <row r="730" spans="18:18" ht="15.75" customHeight="1">
      <c r="R730" s="30"/>
    </row>
    <row r="731" spans="18:18" ht="15.75" customHeight="1">
      <c r="R731" s="30"/>
    </row>
    <row r="732" spans="18:18" ht="15.75" customHeight="1">
      <c r="R732" s="30"/>
    </row>
    <row r="733" spans="18:18" ht="15.75" customHeight="1">
      <c r="R733" s="30"/>
    </row>
    <row r="734" spans="18:18" ht="15.75" customHeight="1">
      <c r="R734" s="30"/>
    </row>
    <row r="735" spans="18:18" ht="15.75" customHeight="1">
      <c r="R735" s="30"/>
    </row>
    <row r="736" spans="18:18" ht="15.75" customHeight="1">
      <c r="R736" s="30"/>
    </row>
    <row r="737" spans="18:18" ht="15.75" customHeight="1">
      <c r="R737" s="30"/>
    </row>
    <row r="738" spans="18:18" ht="15.75" customHeight="1">
      <c r="R738" s="30"/>
    </row>
    <row r="739" spans="18:18" ht="15.75" customHeight="1">
      <c r="R739" s="30"/>
    </row>
    <row r="740" spans="18:18" ht="15.75" customHeight="1">
      <c r="R740" s="30"/>
    </row>
    <row r="741" spans="18:18" ht="15.75" customHeight="1">
      <c r="R741" s="30"/>
    </row>
    <row r="742" spans="18:18" ht="15.75" customHeight="1">
      <c r="R742" s="30"/>
    </row>
    <row r="743" spans="18:18" ht="15.75" customHeight="1">
      <c r="R743" s="30"/>
    </row>
    <row r="744" spans="18:18" ht="15.75" customHeight="1">
      <c r="R744" s="30"/>
    </row>
    <row r="745" spans="18:18" ht="15.75" customHeight="1">
      <c r="R745" s="30"/>
    </row>
    <row r="746" spans="18:18" ht="15.75" customHeight="1">
      <c r="R746" s="30"/>
    </row>
    <row r="747" spans="18:18" ht="15.75" customHeight="1">
      <c r="R747" s="30"/>
    </row>
    <row r="748" spans="18:18" ht="15.75" customHeight="1">
      <c r="R748" s="30"/>
    </row>
    <row r="749" spans="18:18" ht="15.75" customHeight="1">
      <c r="R749" s="30"/>
    </row>
    <row r="750" spans="18:18" ht="15.75" customHeight="1">
      <c r="R750" s="30"/>
    </row>
    <row r="751" spans="18:18" ht="15.75" customHeight="1">
      <c r="R751" s="30"/>
    </row>
    <row r="752" spans="18:18" ht="15.75" customHeight="1">
      <c r="R752" s="30"/>
    </row>
    <row r="753" spans="18:18" ht="15.75" customHeight="1">
      <c r="R753" s="30"/>
    </row>
    <row r="754" spans="18:18" ht="15.75" customHeight="1">
      <c r="R754" s="30"/>
    </row>
    <row r="755" spans="18:18" ht="15.75" customHeight="1">
      <c r="R755" s="30"/>
    </row>
    <row r="756" spans="18:18" ht="15.75" customHeight="1">
      <c r="R756" s="30"/>
    </row>
    <row r="757" spans="18:18" ht="15.75" customHeight="1">
      <c r="R757" s="30"/>
    </row>
    <row r="758" spans="18:18" ht="15.75" customHeight="1">
      <c r="R758" s="30"/>
    </row>
    <row r="759" spans="18:18" ht="15.75" customHeight="1">
      <c r="R759" s="30"/>
    </row>
    <row r="760" spans="18:18" ht="15.75" customHeight="1">
      <c r="R760" s="30"/>
    </row>
    <row r="761" spans="18:18" ht="15.75" customHeight="1">
      <c r="R761" s="30"/>
    </row>
    <row r="762" spans="18:18" ht="15.75" customHeight="1">
      <c r="R762" s="30"/>
    </row>
    <row r="763" spans="18:18" ht="15.75" customHeight="1">
      <c r="R763" s="30"/>
    </row>
    <row r="764" spans="18:18" ht="15.75" customHeight="1">
      <c r="R764" s="30"/>
    </row>
    <row r="765" spans="18:18" ht="15.75" customHeight="1">
      <c r="R765" s="30"/>
    </row>
    <row r="766" spans="18:18" ht="15.75" customHeight="1">
      <c r="R766" s="30"/>
    </row>
    <row r="767" spans="18:18" ht="15.75" customHeight="1">
      <c r="R767" s="30"/>
    </row>
    <row r="768" spans="18:18" ht="15.75" customHeight="1">
      <c r="R768" s="30"/>
    </row>
    <row r="769" spans="18:18" ht="15.75" customHeight="1">
      <c r="R769" s="30"/>
    </row>
    <row r="770" spans="18:18" ht="15.75" customHeight="1">
      <c r="R770" s="30"/>
    </row>
    <row r="771" spans="18:18" ht="15.75" customHeight="1">
      <c r="R771" s="30"/>
    </row>
    <row r="772" spans="18:18" ht="15.75" customHeight="1">
      <c r="R772" s="30"/>
    </row>
    <row r="773" spans="18:18" ht="15.75" customHeight="1">
      <c r="R773" s="30"/>
    </row>
    <row r="774" spans="18:18" ht="15.75" customHeight="1">
      <c r="R774" s="30"/>
    </row>
    <row r="775" spans="18:18" ht="15.75" customHeight="1">
      <c r="R775" s="30"/>
    </row>
    <row r="776" spans="18:18" ht="15.75" customHeight="1">
      <c r="R776" s="30"/>
    </row>
    <row r="777" spans="18:18" ht="15.75" customHeight="1">
      <c r="R777" s="30"/>
    </row>
    <row r="778" spans="18:18" ht="15.75" customHeight="1">
      <c r="R778" s="30"/>
    </row>
    <row r="779" spans="18:18" ht="15.75" customHeight="1">
      <c r="R779" s="30"/>
    </row>
    <row r="780" spans="18:18" ht="15.75" customHeight="1">
      <c r="R780" s="30"/>
    </row>
    <row r="781" spans="18:18" ht="15.75" customHeight="1">
      <c r="R781" s="30"/>
    </row>
    <row r="782" spans="18:18" ht="15.75" customHeight="1">
      <c r="R782" s="30"/>
    </row>
    <row r="783" spans="18:18" ht="15.75" customHeight="1">
      <c r="R783" s="30"/>
    </row>
    <row r="784" spans="18:18" ht="15.75" customHeight="1">
      <c r="R784" s="30"/>
    </row>
    <row r="785" spans="18:18" ht="15.75" customHeight="1">
      <c r="R785" s="30"/>
    </row>
    <row r="786" spans="18:18" ht="15.75" customHeight="1">
      <c r="R786" s="30"/>
    </row>
    <row r="787" spans="18:18" ht="15.75" customHeight="1">
      <c r="R787" s="30"/>
    </row>
    <row r="788" spans="18:18" ht="15.75" customHeight="1">
      <c r="R788" s="30"/>
    </row>
    <row r="789" spans="18:18" ht="15.75" customHeight="1">
      <c r="R789" s="30"/>
    </row>
    <row r="790" spans="18:18" ht="15.75" customHeight="1">
      <c r="R790" s="30"/>
    </row>
    <row r="791" spans="18:18" ht="15.75" customHeight="1">
      <c r="R791" s="30"/>
    </row>
    <row r="792" spans="18:18" ht="15.75" customHeight="1">
      <c r="R792" s="30"/>
    </row>
    <row r="793" spans="18:18" ht="15.75" customHeight="1">
      <c r="R793" s="30"/>
    </row>
    <row r="794" spans="18:18" ht="15.75" customHeight="1">
      <c r="R794" s="30"/>
    </row>
    <row r="795" spans="18:18" ht="15.75" customHeight="1">
      <c r="R795" s="30"/>
    </row>
    <row r="796" spans="18:18" ht="15.75" customHeight="1">
      <c r="R796" s="30"/>
    </row>
    <row r="797" spans="18:18" ht="15.75" customHeight="1">
      <c r="R797" s="30"/>
    </row>
    <row r="798" spans="18:18" ht="15.75" customHeight="1">
      <c r="R798" s="30"/>
    </row>
    <row r="799" spans="18:18" ht="15.75" customHeight="1">
      <c r="R799" s="30"/>
    </row>
    <row r="800" spans="18:18" ht="15.75" customHeight="1">
      <c r="R800" s="30"/>
    </row>
    <row r="801" spans="18:18" ht="15.75" customHeight="1">
      <c r="R801" s="30"/>
    </row>
    <row r="802" spans="18:18" ht="15.75" customHeight="1">
      <c r="R802" s="30"/>
    </row>
    <row r="803" spans="18:18" ht="15.75" customHeight="1">
      <c r="R803" s="30"/>
    </row>
    <row r="804" spans="18:18" ht="15.75" customHeight="1">
      <c r="R804" s="30"/>
    </row>
    <row r="805" spans="18:18" ht="15.75" customHeight="1">
      <c r="R805" s="30"/>
    </row>
    <row r="806" spans="18:18" ht="15.75" customHeight="1">
      <c r="R806" s="30"/>
    </row>
    <row r="807" spans="18:18" ht="15.75" customHeight="1">
      <c r="R807" s="30"/>
    </row>
    <row r="808" spans="18:18" ht="15.75" customHeight="1">
      <c r="R808" s="30"/>
    </row>
    <row r="809" spans="18:18" ht="15.75" customHeight="1">
      <c r="R809" s="30"/>
    </row>
    <row r="810" spans="18:18" ht="15.75" customHeight="1">
      <c r="R810" s="30"/>
    </row>
    <row r="811" spans="18:18" ht="15.75" customHeight="1">
      <c r="R811" s="30"/>
    </row>
    <row r="812" spans="18:18" ht="15.75" customHeight="1">
      <c r="R812" s="30"/>
    </row>
    <row r="813" spans="18:18" ht="15.75" customHeight="1">
      <c r="R813" s="30"/>
    </row>
    <row r="814" spans="18:18" ht="15.75" customHeight="1">
      <c r="R814" s="30"/>
    </row>
    <row r="815" spans="18:18" ht="15.75" customHeight="1">
      <c r="R815" s="30"/>
    </row>
    <row r="816" spans="18:18" ht="15.75" customHeight="1">
      <c r="R816" s="30"/>
    </row>
    <row r="817" spans="18:18" ht="15.75" customHeight="1">
      <c r="R817" s="30"/>
    </row>
    <row r="818" spans="18:18" ht="15.75" customHeight="1">
      <c r="R818" s="30"/>
    </row>
    <row r="819" spans="18:18" ht="15.75" customHeight="1">
      <c r="R819" s="30"/>
    </row>
    <row r="820" spans="18:18" ht="15.75" customHeight="1">
      <c r="R820" s="30"/>
    </row>
    <row r="821" spans="18:18" ht="15.75" customHeight="1">
      <c r="R821" s="30"/>
    </row>
    <row r="822" spans="18:18" ht="15.75" customHeight="1">
      <c r="R822" s="30"/>
    </row>
    <row r="823" spans="18:18" ht="15.75" customHeight="1">
      <c r="R823" s="30"/>
    </row>
    <row r="824" spans="18:18" ht="15.75" customHeight="1">
      <c r="R824" s="30"/>
    </row>
    <row r="825" spans="18:18" ht="15.75" customHeight="1">
      <c r="R825" s="30"/>
    </row>
    <row r="826" spans="18:18" ht="15.75" customHeight="1">
      <c r="R826" s="30"/>
    </row>
    <row r="827" spans="18:18" ht="15.75" customHeight="1">
      <c r="R827" s="30"/>
    </row>
    <row r="828" spans="18:18" ht="15.75" customHeight="1">
      <c r="R828" s="30"/>
    </row>
    <row r="829" spans="18:18" ht="15.75" customHeight="1">
      <c r="R829" s="30"/>
    </row>
    <row r="830" spans="18:18" ht="15.75" customHeight="1">
      <c r="R830" s="30"/>
    </row>
    <row r="831" spans="18:18" ht="15.75" customHeight="1">
      <c r="R831" s="30"/>
    </row>
    <row r="832" spans="18:18" ht="15.75" customHeight="1">
      <c r="R832" s="30"/>
    </row>
    <row r="833" spans="18:18" ht="15.75" customHeight="1">
      <c r="R833" s="30"/>
    </row>
    <row r="834" spans="18:18" ht="15.75" customHeight="1">
      <c r="R834" s="30"/>
    </row>
    <row r="835" spans="18:18" ht="15.75" customHeight="1">
      <c r="R835" s="30"/>
    </row>
    <row r="836" spans="18:18" ht="15.75" customHeight="1">
      <c r="R836" s="30"/>
    </row>
    <row r="837" spans="18:18" ht="15.75" customHeight="1">
      <c r="R837" s="30"/>
    </row>
    <row r="838" spans="18:18" ht="15.75" customHeight="1">
      <c r="R838" s="30"/>
    </row>
    <row r="839" spans="18:18" ht="15.75" customHeight="1">
      <c r="R839" s="30"/>
    </row>
    <row r="840" spans="18:18" ht="15.75" customHeight="1">
      <c r="R840" s="30"/>
    </row>
    <row r="841" spans="18:18" ht="15.75" customHeight="1">
      <c r="R841" s="30"/>
    </row>
    <row r="842" spans="18:18" ht="15.75" customHeight="1">
      <c r="R842" s="30"/>
    </row>
    <row r="843" spans="18:18" ht="15.75" customHeight="1">
      <c r="R843" s="30"/>
    </row>
    <row r="844" spans="18:18" ht="15.75" customHeight="1">
      <c r="R844" s="30"/>
    </row>
    <row r="845" spans="18:18" ht="15.75" customHeight="1">
      <c r="R845" s="30"/>
    </row>
    <row r="846" spans="18:18" ht="15.75" customHeight="1">
      <c r="R846" s="30"/>
    </row>
    <row r="847" spans="18:18" ht="15.75" customHeight="1">
      <c r="R847" s="30"/>
    </row>
    <row r="848" spans="18:18" ht="15.75" customHeight="1">
      <c r="R848" s="30"/>
    </row>
    <row r="849" spans="18:18" ht="15.75" customHeight="1">
      <c r="R849" s="30"/>
    </row>
    <row r="850" spans="18:18" ht="15.75" customHeight="1">
      <c r="R850" s="30"/>
    </row>
    <row r="851" spans="18:18" ht="15.75" customHeight="1">
      <c r="R851" s="30"/>
    </row>
    <row r="852" spans="18:18" ht="15.75" customHeight="1">
      <c r="R852" s="30"/>
    </row>
    <row r="853" spans="18:18" ht="15.75" customHeight="1">
      <c r="R853" s="30"/>
    </row>
    <row r="854" spans="18:18" ht="15.75" customHeight="1">
      <c r="R854" s="30"/>
    </row>
    <row r="855" spans="18:18" ht="15.75" customHeight="1">
      <c r="R855" s="30"/>
    </row>
    <row r="856" spans="18:18" ht="15.75" customHeight="1">
      <c r="R856" s="30"/>
    </row>
    <row r="857" spans="18:18" ht="15.75" customHeight="1">
      <c r="R857" s="30"/>
    </row>
    <row r="858" spans="18:18" ht="15.75" customHeight="1">
      <c r="R858" s="30"/>
    </row>
    <row r="859" spans="18:18" ht="15.75" customHeight="1">
      <c r="R859" s="30"/>
    </row>
    <row r="860" spans="18:18" ht="15.75" customHeight="1">
      <c r="R860" s="30"/>
    </row>
    <row r="861" spans="18:18" ht="15.75" customHeight="1">
      <c r="R861" s="30"/>
    </row>
    <row r="862" spans="18:18" ht="15.75" customHeight="1">
      <c r="R862" s="30"/>
    </row>
    <row r="863" spans="18:18" ht="15.75" customHeight="1">
      <c r="R863" s="30"/>
    </row>
    <row r="864" spans="18:18" ht="15.75" customHeight="1">
      <c r="R864" s="30"/>
    </row>
    <row r="865" spans="18:18" ht="15.75" customHeight="1">
      <c r="R865" s="30"/>
    </row>
    <row r="866" spans="18:18" ht="15.75" customHeight="1">
      <c r="R866" s="30"/>
    </row>
    <row r="867" spans="18:18" ht="15.75" customHeight="1">
      <c r="R867" s="30"/>
    </row>
    <row r="868" spans="18:18" ht="15.75" customHeight="1">
      <c r="R868" s="30"/>
    </row>
    <row r="869" spans="18:18" ht="15.75" customHeight="1">
      <c r="R869" s="30"/>
    </row>
    <row r="870" spans="18:18" ht="15.75" customHeight="1">
      <c r="R870" s="30"/>
    </row>
    <row r="871" spans="18:18" ht="15.75" customHeight="1">
      <c r="R871" s="30"/>
    </row>
    <row r="872" spans="18:18" ht="15.75" customHeight="1">
      <c r="R872" s="30"/>
    </row>
    <row r="873" spans="18:18" ht="15.75" customHeight="1">
      <c r="R873" s="30"/>
    </row>
    <row r="874" spans="18:18" ht="15.75" customHeight="1">
      <c r="R874" s="30"/>
    </row>
    <row r="875" spans="18:18" ht="15.75" customHeight="1">
      <c r="R875" s="30"/>
    </row>
    <row r="876" spans="18:18" ht="15.75" customHeight="1">
      <c r="R876" s="30"/>
    </row>
    <row r="877" spans="18:18" ht="15.75" customHeight="1">
      <c r="R877" s="30"/>
    </row>
    <row r="878" spans="18:18" ht="15.75" customHeight="1">
      <c r="R878" s="30"/>
    </row>
    <row r="879" spans="18:18" ht="15.75" customHeight="1">
      <c r="R879" s="30"/>
    </row>
    <row r="880" spans="18:18" ht="15.75" customHeight="1">
      <c r="R880" s="30"/>
    </row>
    <row r="881" spans="18:18" ht="15.75" customHeight="1">
      <c r="R881" s="30"/>
    </row>
    <row r="882" spans="18:18" ht="15.75" customHeight="1">
      <c r="R882" s="30"/>
    </row>
    <row r="883" spans="18:18" ht="15.75" customHeight="1">
      <c r="R883" s="30"/>
    </row>
    <row r="884" spans="18:18" ht="15.75" customHeight="1">
      <c r="R884" s="30"/>
    </row>
    <row r="885" spans="18:18" ht="15.75" customHeight="1">
      <c r="R885" s="30"/>
    </row>
    <row r="886" spans="18:18" ht="15.75" customHeight="1">
      <c r="R886" s="30"/>
    </row>
    <row r="887" spans="18:18" ht="15.75" customHeight="1">
      <c r="R887" s="30"/>
    </row>
    <row r="888" spans="18:18" ht="15.75" customHeight="1">
      <c r="R888" s="30"/>
    </row>
    <row r="889" spans="18:18" ht="15.75" customHeight="1">
      <c r="R889" s="30"/>
    </row>
    <row r="890" spans="18:18" ht="15.75" customHeight="1">
      <c r="R890" s="30"/>
    </row>
    <row r="891" spans="18:18" ht="15.75" customHeight="1">
      <c r="R891" s="30"/>
    </row>
    <row r="892" spans="18:18" ht="15.75" customHeight="1">
      <c r="R892" s="30"/>
    </row>
    <row r="893" spans="18:18" ht="15.75" customHeight="1">
      <c r="R893" s="30"/>
    </row>
    <row r="894" spans="18:18" ht="15.75" customHeight="1">
      <c r="R894" s="30"/>
    </row>
    <row r="895" spans="18:18" ht="15.75" customHeight="1">
      <c r="R895" s="30"/>
    </row>
    <row r="896" spans="18:18" ht="15.75" customHeight="1">
      <c r="R896" s="30"/>
    </row>
    <row r="897" spans="18:18" ht="15.75" customHeight="1">
      <c r="R897" s="30"/>
    </row>
    <row r="898" spans="18:18" ht="15.75" customHeight="1">
      <c r="R898" s="30"/>
    </row>
    <row r="899" spans="18:18" ht="15.75" customHeight="1">
      <c r="R899" s="30"/>
    </row>
    <row r="900" spans="18:18" ht="15.75" customHeight="1">
      <c r="R900" s="30"/>
    </row>
    <row r="901" spans="18:18" ht="15.75" customHeight="1">
      <c r="R901" s="30"/>
    </row>
    <row r="902" spans="18:18" ht="15.75" customHeight="1">
      <c r="R902" s="30"/>
    </row>
    <row r="903" spans="18:18" ht="15.75" customHeight="1">
      <c r="R903" s="30"/>
    </row>
    <row r="904" spans="18:18" ht="15.75" customHeight="1">
      <c r="R904" s="30"/>
    </row>
    <row r="905" spans="18:18" ht="15.75" customHeight="1">
      <c r="R905" s="30"/>
    </row>
    <row r="906" spans="18:18" ht="15.75" customHeight="1">
      <c r="R906" s="30"/>
    </row>
    <row r="907" spans="18:18" ht="15.75" customHeight="1">
      <c r="R907" s="30"/>
    </row>
    <row r="908" spans="18:18" ht="15.75" customHeight="1">
      <c r="R908" s="30"/>
    </row>
    <row r="909" spans="18:18" ht="15.75" customHeight="1">
      <c r="R909" s="30"/>
    </row>
    <row r="910" spans="18:18" ht="15.75" customHeight="1">
      <c r="R910" s="30"/>
    </row>
    <row r="911" spans="18:18" ht="15.75" customHeight="1">
      <c r="R911" s="30"/>
    </row>
    <row r="912" spans="18:18" ht="15.75" customHeight="1">
      <c r="R912" s="30"/>
    </row>
    <row r="913" spans="18:18" ht="15.75" customHeight="1">
      <c r="R913" s="30"/>
    </row>
    <row r="914" spans="18:18" ht="15.75" customHeight="1">
      <c r="R914" s="30"/>
    </row>
    <row r="915" spans="18:18" ht="15.75" customHeight="1">
      <c r="R915" s="30"/>
    </row>
    <row r="916" spans="18:18" ht="15.75" customHeight="1">
      <c r="R916" s="30"/>
    </row>
    <row r="917" spans="18:18" ht="15.75" customHeight="1">
      <c r="R917" s="30"/>
    </row>
    <row r="918" spans="18:18" ht="15.75" customHeight="1">
      <c r="R918" s="30"/>
    </row>
    <row r="919" spans="18:18" ht="15.75" customHeight="1">
      <c r="R919" s="30"/>
    </row>
    <row r="920" spans="18:18" ht="15.75" customHeight="1">
      <c r="R920" s="30"/>
    </row>
    <row r="921" spans="18:18" ht="15.75" customHeight="1">
      <c r="R921" s="30"/>
    </row>
    <row r="922" spans="18:18" ht="15.75" customHeight="1">
      <c r="R922" s="30"/>
    </row>
    <row r="923" spans="18:18" ht="15.75" customHeight="1">
      <c r="R923" s="30"/>
    </row>
    <row r="924" spans="18:18" ht="15.75" customHeight="1">
      <c r="R924" s="30"/>
    </row>
    <row r="925" spans="18:18" ht="15.75" customHeight="1">
      <c r="R925" s="30"/>
    </row>
    <row r="926" spans="18:18" ht="15.75" customHeight="1">
      <c r="R926" s="30"/>
    </row>
    <row r="927" spans="18:18" ht="15.75" customHeight="1">
      <c r="R927" s="30"/>
    </row>
    <row r="928" spans="18:18" ht="15.75" customHeight="1">
      <c r="R928" s="30"/>
    </row>
    <row r="929" spans="18:18" ht="15.75" customHeight="1">
      <c r="R929" s="30"/>
    </row>
    <row r="930" spans="18:18" ht="15.75" customHeight="1">
      <c r="R930" s="30"/>
    </row>
    <row r="931" spans="18:18" ht="15.75" customHeight="1">
      <c r="R931" s="30"/>
    </row>
    <row r="932" spans="18:18" ht="15.75" customHeight="1">
      <c r="R932" s="30"/>
    </row>
    <row r="933" spans="18:18" ht="15.75" customHeight="1">
      <c r="R933" s="30"/>
    </row>
    <row r="934" spans="18:18" ht="15.75" customHeight="1">
      <c r="R934" s="30"/>
    </row>
    <row r="935" spans="18:18" ht="15.75" customHeight="1">
      <c r="R935" s="30"/>
    </row>
    <row r="936" spans="18:18" ht="15.75" customHeight="1">
      <c r="R936" s="30"/>
    </row>
    <row r="937" spans="18:18" ht="15.75" customHeight="1">
      <c r="R937" s="30"/>
    </row>
    <row r="938" spans="18:18" ht="15.75" customHeight="1">
      <c r="R938" s="30"/>
    </row>
    <row r="939" spans="18:18" ht="15.75" customHeight="1">
      <c r="R939" s="30"/>
    </row>
    <row r="940" spans="18:18" ht="15.75" customHeight="1">
      <c r="R940" s="30"/>
    </row>
    <row r="941" spans="18:18" ht="15.75" customHeight="1">
      <c r="R941" s="30"/>
    </row>
    <row r="942" spans="18:18" ht="15.75" customHeight="1">
      <c r="R942" s="30"/>
    </row>
    <row r="943" spans="18:18" ht="15.75" customHeight="1">
      <c r="R943" s="30"/>
    </row>
    <row r="944" spans="18:18" ht="15.75" customHeight="1">
      <c r="R944" s="30"/>
    </row>
    <row r="945" spans="18:18" ht="15.75" customHeight="1">
      <c r="R945" s="30"/>
    </row>
    <row r="946" spans="18:18" ht="15.75" customHeight="1">
      <c r="R946" s="30"/>
    </row>
    <row r="947" spans="18:18" ht="15.75" customHeight="1">
      <c r="R947" s="30"/>
    </row>
    <row r="948" spans="18:18" ht="15.75" customHeight="1">
      <c r="R948" s="30"/>
    </row>
    <row r="949" spans="18:18" ht="15.75" customHeight="1">
      <c r="R949" s="30"/>
    </row>
    <row r="950" spans="18:18" ht="15.75" customHeight="1">
      <c r="R950" s="30"/>
    </row>
    <row r="951" spans="18:18" ht="15.75" customHeight="1">
      <c r="R951" s="30"/>
    </row>
    <row r="952" spans="18:18" ht="15.75" customHeight="1">
      <c r="R952" s="30"/>
    </row>
    <row r="953" spans="18:18" ht="15.75" customHeight="1">
      <c r="R953" s="30"/>
    </row>
    <row r="954" spans="18:18" ht="15.75" customHeight="1">
      <c r="R954" s="30"/>
    </row>
    <row r="955" spans="18:18" ht="15.75" customHeight="1">
      <c r="R955" s="30"/>
    </row>
    <row r="956" spans="18:18" ht="15.75" customHeight="1">
      <c r="R956" s="30"/>
    </row>
    <row r="957" spans="18:18" ht="15.75" customHeight="1">
      <c r="R957" s="30"/>
    </row>
    <row r="958" spans="18:18" ht="15.75" customHeight="1">
      <c r="R958" s="30"/>
    </row>
    <row r="959" spans="18:18" ht="15.75" customHeight="1">
      <c r="R959" s="30"/>
    </row>
    <row r="960" spans="18:18" ht="15.75" customHeight="1">
      <c r="R960" s="30"/>
    </row>
    <row r="961" spans="18:18" ht="15.75" customHeight="1">
      <c r="R961" s="30"/>
    </row>
    <row r="962" spans="18:18" ht="15.75" customHeight="1">
      <c r="R962" s="30"/>
    </row>
    <row r="963" spans="18:18" ht="15.75" customHeight="1">
      <c r="R963" s="30"/>
    </row>
    <row r="964" spans="18:18" ht="15.75" customHeight="1">
      <c r="R964" s="30"/>
    </row>
    <row r="965" spans="18:18" ht="15.75" customHeight="1">
      <c r="R965" s="30"/>
    </row>
    <row r="966" spans="18:18" ht="15.75" customHeight="1">
      <c r="R966" s="30"/>
    </row>
    <row r="967" spans="18:18" ht="15.75" customHeight="1">
      <c r="R967" s="30"/>
    </row>
    <row r="968" spans="18:18" ht="15.75" customHeight="1">
      <c r="R968" s="30"/>
    </row>
    <row r="969" spans="18:18" ht="15.75" customHeight="1">
      <c r="R969" s="30"/>
    </row>
    <row r="970" spans="18:18" ht="15.75" customHeight="1">
      <c r="R970" s="30"/>
    </row>
    <row r="971" spans="18:18" ht="15.75" customHeight="1">
      <c r="R971" s="30"/>
    </row>
    <row r="972" spans="18:18" ht="15.75" customHeight="1">
      <c r="R972" s="30"/>
    </row>
    <row r="973" spans="18:18" ht="15.75" customHeight="1">
      <c r="R973" s="30"/>
    </row>
    <row r="974" spans="18:18" ht="15.75" customHeight="1">
      <c r="R974" s="30"/>
    </row>
    <row r="975" spans="18:18" ht="15.75" customHeight="1">
      <c r="R975" s="30"/>
    </row>
    <row r="976" spans="18:18" ht="15.75" customHeight="1">
      <c r="R976" s="30"/>
    </row>
    <row r="977" spans="18:18" ht="15.75" customHeight="1">
      <c r="R977" s="30"/>
    </row>
    <row r="978" spans="18:18" ht="15.75" customHeight="1">
      <c r="R978" s="30"/>
    </row>
    <row r="979" spans="18:18" ht="15.75" customHeight="1">
      <c r="R979" s="30"/>
    </row>
    <row r="980" spans="18:18" ht="15.75" customHeight="1">
      <c r="R980" s="30"/>
    </row>
    <row r="981" spans="18:18" ht="15.75" customHeight="1">
      <c r="R981" s="30"/>
    </row>
    <row r="982" spans="18:18" ht="15.75" customHeight="1">
      <c r="R982" s="30"/>
    </row>
    <row r="983" spans="18:18" ht="15.75" customHeight="1">
      <c r="R983" s="30"/>
    </row>
    <row r="984" spans="18:18" ht="15.75" customHeight="1">
      <c r="R984" s="30"/>
    </row>
    <row r="985" spans="18:18" ht="15.75" customHeight="1">
      <c r="R985" s="30"/>
    </row>
    <row r="986" spans="18:18" ht="15.75" customHeight="1">
      <c r="R986" s="30"/>
    </row>
    <row r="987" spans="18:18" ht="15.75" customHeight="1">
      <c r="R987" s="30"/>
    </row>
    <row r="988" spans="18:18" ht="15.75" customHeight="1">
      <c r="R988" s="30"/>
    </row>
    <row r="989" spans="18:18" ht="15.75" customHeight="1">
      <c r="R989" s="30"/>
    </row>
    <row r="990" spans="18:18" ht="15.75" customHeight="1">
      <c r="R990" s="30"/>
    </row>
    <row r="991" spans="18:18" ht="15.75" customHeight="1">
      <c r="R991" s="30"/>
    </row>
    <row r="992" spans="18:18" ht="15.75" customHeight="1">
      <c r="R992" s="30"/>
    </row>
    <row r="993" spans="18:18" ht="15.75" customHeight="1">
      <c r="R993" s="30"/>
    </row>
    <row r="994" spans="18:18" ht="15.75" customHeight="1">
      <c r="R994" s="30"/>
    </row>
    <row r="995" spans="18:18" ht="15.75" customHeight="1">
      <c r="R995" s="30"/>
    </row>
    <row r="996" spans="18:18" ht="15.75" customHeight="1">
      <c r="R996" s="30"/>
    </row>
    <row r="997" spans="18:18" ht="15.75" customHeight="1">
      <c r="R997" s="30"/>
    </row>
    <row r="998" spans="18:18" ht="15.75" customHeight="1">
      <c r="R998" s="30"/>
    </row>
    <row r="999" spans="18:18" ht="15.75" customHeight="1">
      <c r="R999" s="30"/>
    </row>
    <row r="1000" spans="18:18" ht="15.75" customHeight="1">
      <c r="R1000" s="3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2.6640625" defaultRowHeight="15" customHeight="1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8.6640625" customWidth="1"/>
    <col min="6" max="6" width="10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18.6640625" customWidth="1"/>
    <col min="16" max="16" width="10" customWidth="1"/>
    <col min="17" max="18" width="7.33203125" customWidth="1"/>
    <col min="19" max="19" width="7.1640625" customWidth="1"/>
    <col min="20" max="20" width="11.1640625" customWidth="1"/>
    <col min="21" max="21" width="27.5" customWidth="1"/>
    <col min="22" max="22" width="77.664062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6640625" customWidth="1"/>
    <col min="32" max="32" width="10.1640625" customWidth="1"/>
    <col min="33" max="33" width="8.83203125" customWidth="1"/>
  </cols>
  <sheetData>
    <row r="1" spans="1:33" ht="18.75" customHeight="1">
      <c r="A1" s="46" t="str">
        <f ca="1">IFERROR(__xludf.DUMMYFUNCTION("IFERROR(VLOOKUP(B2,IMPORTRANGE(""https://docs.google.com/spreadsheets/d/1x0DhHglkXKoEBOD2MBsuK_EyIr1ouxD2ftIpqOYFa-k/edit?usp=sharing"",""Ubiquitty-SKU-Specific Info!B1:BJ5000""),3,FALSE),"""")"),"25 Ft Lighted Outdoor Extension Cord - 10/3 SJTW Heavy Duty Yellow Cable with 3 Prong Grounded Plug for Safety - Great for Garden and Major Appliances")</f>
        <v>25 Ft Lighted Outdoor Extension Cord - 10/3 SJTW Heavy Duty Yellow Cable with 3 Prong Grounded Plug for Safety - Great for Garden and Major Appliances</v>
      </c>
      <c r="B1" s="47"/>
      <c r="C1" s="48" t="s">
        <v>0</v>
      </c>
      <c r="D1" s="50" t="s">
        <v>1</v>
      </c>
      <c r="E1" s="50" t="s">
        <v>2</v>
      </c>
      <c r="F1" s="52" t="s">
        <v>3</v>
      </c>
      <c r="G1" s="52" t="s">
        <v>4</v>
      </c>
      <c r="H1" s="53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58" t="s">
        <v>10</v>
      </c>
      <c r="N1" s="59" t="s">
        <v>11</v>
      </c>
      <c r="O1" s="50" t="s">
        <v>12</v>
      </c>
      <c r="P1" s="50" t="s">
        <v>13</v>
      </c>
      <c r="Q1" s="57" t="s">
        <v>14</v>
      </c>
      <c r="R1" s="57" t="s">
        <v>15</v>
      </c>
      <c r="S1" s="60" t="s">
        <v>16</v>
      </c>
      <c r="T1" s="62" t="s">
        <v>2006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Info!B1:BJ5000""),2,FALSE),"""")"),"B078KFMGP4")</f>
        <v>B078KFMGP4</v>
      </c>
      <c r="B2" s="3" t="s">
        <v>361</v>
      </c>
      <c r="C2" s="49"/>
      <c r="D2" s="49"/>
      <c r="E2" s="51"/>
      <c r="F2" s="49"/>
      <c r="G2" s="49"/>
      <c r="H2" s="54"/>
      <c r="I2" s="49"/>
      <c r="J2" s="49"/>
      <c r="K2" s="54"/>
      <c r="L2" s="54"/>
      <c r="M2" s="54"/>
      <c r="N2" s="49"/>
      <c r="O2" s="49"/>
      <c r="P2" s="51"/>
      <c r="Q2" s="49"/>
      <c r="R2" s="49"/>
      <c r="S2" s="61"/>
      <c r="T2" s="47"/>
      <c r="U2" s="63"/>
      <c r="V2" s="63"/>
      <c r="W2" s="47"/>
      <c r="X2" s="47"/>
      <c r="Y2" s="47"/>
      <c r="Z2" s="47"/>
      <c r="AA2" s="63"/>
      <c r="AB2" s="63"/>
      <c r="AC2" s="63"/>
      <c r="AD2" s="63"/>
      <c r="AE2" s="47"/>
      <c r="AF2" s="47"/>
      <c r="AG2" s="47"/>
    </row>
    <row r="3" spans="1:33" ht="136.5" customHeight="1">
      <c r="A3" s="55" t="s">
        <v>31</v>
      </c>
      <c r="B3" s="56"/>
      <c r="C3" s="4">
        <f>((AE32+AF32)/0.85)*-1</f>
        <v>31.300110082352941</v>
      </c>
      <c r="D3" s="5">
        <f>SUM(D4:D99765)</f>
        <v>2561</v>
      </c>
      <c r="E3" s="5"/>
      <c r="F3" s="6">
        <f t="shared" ref="F3:G3" si="0">SUM(F4:F99765)</f>
        <v>108937.98</v>
      </c>
      <c r="G3" s="6">
        <f t="shared" si="0"/>
        <v>-1.04</v>
      </c>
      <c r="H3" s="7">
        <f t="shared" ref="H3:H32" si="1">G3/F3*-1</f>
        <v>9.5467163977154706E-6</v>
      </c>
      <c r="I3" s="8">
        <f t="shared" ref="I3:I32" si="2">J3/F3</f>
        <v>0.29773242700754404</v>
      </c>
      <c r="J3" s="6">
        <f>SUM(J4:J99765)</f>
        <v>32434.369178699293</v>
      </c>
      <c r="K3" s="6">
        <f t="shared" ref="K3:K32" si="3">J3/D3</f>
        <v>12.664728300936858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Sheet!a1:g5000""),2,FALSE),"""")"),"22.5 - March
22.5 - April
22.5 - May
22.5 - June
22.5 - July
21.5 - Aug
17 - Sept
15.5 - Oct
15.5 - Nov
21 - Dec
18.5 - Jan
22.5 - Feb")</f>
        <v>22.5 - March
22.5 - April
22.5 - May
22.5 - June
22.5 - July
21.5 - Aug
17 - Sept
15.5 - Oct
15.5 - Nov
21 - Dec
18.5 - Jan
22.5 -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QTY-0")</f>
        <v>Del QTY-0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QTY-0")</f>
        <v>US QTY-0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2</v>
      </c>
      <c r="X3" s="7">
        <f>W3/D3</f>
        <v>7.8094494338149163E-4</v>
      </c>
      <c r="Y3" s="6"/>
      <c r="Z3" s="5"/>
      <c r="AA3" s="5"/>
      <c r="AB3" s="5"/>
      <c r="AC3" s="5"/>
      <c r="AD3" s="6">
        <f>SUM(AD4:AD99765)</f>
        <v>-712.21119061692048</v>
      </c>
      <c r="AE3" s="6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Info!B2:BZ3000""),37,FALSE)),"""")*-1"),-19.72509357)</f>
        <v>-19.725093569999999</v>
      </c>
      <c r="AG3" s="6">
        <f>SUM(AG4:AG99765)</f>
        <v>0</v>
      </c>
    </row>
    <row r="4" spans="1:33" ht="15.75" customHeight="1">
      <c r="A4" s="14" t="s">
        <v>181</v>
      </c>
      <c r="B4" s="14" t="s">
        <v>362</v>
      </c>
      <c r="C4" s="15">
        <f t="shared" ref="C4:C32" si="4">IFERROR(F4/D4," - ")</f>
        <v>43.593178294573647</v>
      </c>
      <c r="D4" s="16">
        <v>129</v>
      </c>
      <c r="E4" s="16">
        <v>0</v>
      </c>
      <c r="F4" s="17">
        <v>5623.52</v>
      </c>
      <c r="G4" s="17">
        <v>0</v>
      </c>
      <c r="H4" s="18">
        <f t="shared" si="1"/>
        <v>0</v>
      </c>
      <c r="I4" s="18">
        <f t="shared" si="2"/>
        <v>0.35593913396067101</v>
      </c>
      <c r="J4" s="17">
        <f t="shared" ref="J4:J32" si="5">F4*0.85+G4+AF4*D4+D4*AE4+AG4+AD4</f>
        <v>2001.6308386105129</v>
      </c>
      <c r="K4" s="17">
        <f t="shared" si="3"/>
        <v>15.516518128763666</v>
      </c>
      <c r="L4" s="16">
        <v>206</v>
      </c>
      <c r="M4" s="19">
        <f t="shared" ref="M4:M32" si="6">IFERROR(D4/L4,"-")</f>
        <v>0.62621359223300976</v>
      </c>
      <c r="N4" s="16">
        <v>73</v>
      </c>
      <c r="O4" s="20">
        <f t="shared" ref="O4:P4" si="7">D4/7</f>
        <v>18.428571428571427</v>
      </c>
      <c r="P4" s="20">
        <f t="shared" si="7"/>
        <v>0</v>
      </c>
      <c r="Q4" s="16">
        <f t="shared" ref="Q4:Q32" si="8">ROUNDDOWN(N4/(O4+P4),0)</f>
        <v>3</v>
      </c>
      <c r="R4" s="16"/>
      <c r="S4" s="21">
        <v>4.4553191489361703</v>
      </c>
      <c r="T4" s="14" t="s">
        <v>34</v>
      </c>
      <c r="U4" s="22" t="s">
        <v>34</v>
      </c>
      <c r="V4" s="23" t="s">
        <v>34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26" t="s">
        <v>35</v>
      </c>
      <c r="AB4" s="27">
        <f t="shared" ref="AB4:AB32" si="11">IF(OR(AA4="UsLargeStandardSize",AA4="UsSmallStandardSize"),-0.69,-0.48)</f>
        <v>-0.69</v>
      </c>
      <c r="AC4" s="28">
        <v>0.19118642592592594</v>
      </c>
      <c r="AD4" s="25">
        <f t="shared" ref="AD4:AD32" si="12">IFERROR(AB4*AC4*D4*2,0)</f>
        <v>-34.035007543333336</v>
      </c>
      <c r="AE4" s="25">
        <v>-6.94</v>
      </c>
      <c r="AF4" s="25">
        <v>-14.333846153846153</v>
      </c>
      <c r="AG4" s="25">
        <v>0</v>
      </c>
    </row>
    <row r="5" spans="1:33" ht="15.75" customHeight="1">
      <c r="A5" s="14" t="s">
        <v>183</v>
      </c>
      <c r="B5" s="14" t="s">
        <v>363</v>
      </c>
      <c r="C5" s="15">
        <f t="shared" si="4"/>
        <v>50.264680851063851</v>
      </c>
      <c r="D5" s="16">
        <v>47</v>
      </c>
      <c r="E5" s="16">
        <v>1</v>
      </c>
      <c r="F5" s="29">
        <v>2362.440000000001</v>
      </c>
      <c r="G5" s="29">
        <v>0</v>
      </c>
      <c r="H5" s="18">
        <f t="shared" si="1"/>
        <v>0</v>
      </c>
      <c r="I5" s="18">
        <f t="shared" si="2"/>
        <v>0.42150848711257716</v>
      </c>
      <c r="J5" s="17">
        <f t="shared" si="5"/>
        <v>995.7885102942372</v>
      </c>
      <c r="K5" s="17">
        <f t="shared" si="3"/>
        <v>21.186989580728451</v>
      </c>
      <c r="L5" s="16">
        <v>224</v>
      </c>
      <c r="M5" s="19">
        <f t="shared" si="6"/>
        <v>0.20982142857142858</v>
      </c>
      <c r="N5" s="16">
        <v>20</v>
      </c>
      <c r="O5" s="20">
        <f t="shared" ref="O5:P5" si="13">D5/7</f>
        <v>6.7142857142857144</v>
      </c>
      <c r="P5" s="20">
        <f t="shared" si="13"/>
        <v>0.14285714285714285</v>
      </c>
      <c r="Q5" s="16">
        <f t="shared" si="8"/>
        <v>2</v>
      </c>
      <c r="R5" s="16"/>
      <c r="S5" s="21">
        <v>3.4261460101867498</v>
      </c>
      <c r="T5" s="14" t="s">
        <v>34</v>
      </c>
      <c r="U5" s="22" t="s">
        <v>34</v>
      </c>
      <c r="V5" s="23" t="s">
        <v>34</v>
      </c>
      <c r="W5" s="14">
        <v>0</v>
      </c>
      <c r="X5" s="24">
        <f t="shared" si="9"/>
        <v>0</v>
      </c>
      <c r="Y5" s="25">
        <f t="shared" si="10"/>
        <v>0</v>
      </c>
      <c r="Z5" s="14">
        <v>0</v>
      </c>
      <c r="AA5" s="14" t="s">
        <v>35</v>
      </c>
      <c r="AB5" s="27">
        <f t="shared" si="11"/>
        <v>-0.69</v>
      </c>
      <c r="AC5" s="28">
        <v>0.19140796292004636</v>
      </c>
      <c r="AD5" s="25">
        <f t="shared" si="12"/>
        <v>-12.414720474994207</v>
      </c>
      <c r="AE5" s="25">
        <v>-6.94</v>
      </c>
      <c r="AF5" s="25">
        <v>-14.333846153846153</v>
      </c>
      <c r="AG5" s="25">
        <v>0</v>
      </c>
    </row>
    <row r="6" spans="1:33" ht="15.75" customHeight="1">
      <c r="A6" s="14" t="s">
        <v>185</v>
      </c>
      <c r="B6" s="14" t="s">
        <v>343</v>
      </c>
      <c r="C6" s="15">
        <f t="shared" si="4"/>
        <v>50.15</v>
      </c>
      <c r="D6" s="16">
        <v>5</v>
      </c>
      <c r="E6" s="16">
        <v>0</v>
      </c>
      <c r="F6" s="29">
        <v>250.75</v>
      </c>
      <c r="G6" s="29">
        <v>0</v>
      </c>
      <c r="H6" s="18">
        <f t="shared" si="1"/>
        <v>0</v>
      </c>
      <c r="I6" s="18">
        <f t="shared" si="2"/>
        <v>0.42052863125272549</v>
      </c>
      <c r="J6" s="17">
        <f t="shared" si="5"/>
        <v>105.44755428662091</v>
      </c>
      <c r="K6" s="17">
        <f t="shared" si="3"/>
        <v>21.089510857324182</v>
      </c>
      <c r="L6" s="16">
        <v>182</v>
      </c>
      <c r="M6" s="19">
        <f t="shared" si="6"/>
        <v>2.7472527472527472E-2</v>
      </c>
      <c r="N6" s="16">
        <v>0</v>
      </c>
      <c r="O6" s="20">
        <f t="shared" ref="O6:P6" si="14">D6/7</f>
        <v>0.7142857142857143</v>
      </c>
      <c r="P6" s="20">
        <f t="shared" si="14"/>
        <v>0</v>
      </c>
      <c r="Q6" s="16">
        <f t="shared" si="8"/>
        <v>0</v>
      </c>
      <c r="R6" s="16"/>
      <c r="S6" s="21">
        <v>4.4527421236872797</v>
      </c>
      <c r="T6" s="14">
        <v>2224</v>
      </c>
      <c r="U6" s="22">
        <v>56</v>
      </c>
      <c r="V6" s="23" t="s">
        <v>364</v>
      </c>
      <c r="W6" s="14">
        <v>0</v>
      </c>
      <c r="X6" s="24">
        <f t="shared" si="9"/>
        <v>0</v>
      </c>
      <c r="Y6" s="25">
        <f t="shared" si="10"/>
        <v>0</v>
      </c>
      <c r="Z6" s="14">
        <v>0</v>
      </c>
      <c r="AA6" s="14" t="s">
        <v>35</v>
      </c>
      <c r="AB6" s="27">
        <f t="shared" si="11"/>
        <v>-0.69</v>
      </c>
      <c r="AC6" s="28">
        <v>0.19140796292004636</v>
      </c>
      <c r="AD6" s="25">
        <f t="shared" si="12"/>
        <v>-1.3207149441483199</v>
      </c>
      <c r="AE6" s="25">
        <v>-6.94</v>
      </c>
      <c r="AF6" s="25">
        <v>-14.333846153846153</v>
      </c>
      <c r="AG6" s="25">
        <v>0</v>
      </c>
    </row>
    <row r="7" spans="1:33" ht="15.75" customHeight="1">
      <c r="A7" s="14" t="s">
        <v>187</v>
      </c>
      <c r="B7" s="14" t="s">
        <v>365</v>
      </c>
      <c r="C7" s="15">
        <f t="shared" si="4"/>
        <v>54.054444444444442</v>
      </c>
      <c r="D7" s="16">
        <v>27</v>
      </c>
      <c r="E7" s="16">
        <v>1</v>
      </c>
      <c r="F7" s="29">
        <v>1459.47</v>
      </c>
      <c r="G7" s="29">
        <v>0</v>
      </c>
      <c r="H7" s="18">
        <f t="shared" si="1"/>
        <v>0</v>
      </c>
      <c r="I7" s="18">
        <f t="shared" si="2"/>
        <v>0.45155573435298707</v>
      </c>
      <c r="J7" s="17">
        <f t="shared" si="5"/>
        <v>659.03204761615405</v>
      </c>
      <c r="K7" s="17">
        <f t="shared" si="3"/>
        <v>24.408594356153852</v>
      </c>
      <c r="L7" s="16">
        <v>166</v>
      </c>
      <c r="M7" s="19">
        <f t="shared" si="6"/>
        <v>0.16265060240963855</v>
      </c>
      <c r="N7" s="16">
        <v>350</v>
      </c>
      <c r="O7" s="20">
        <f t="shared" ref="O7:P7" si="15">D7/7</f>
        <v>3.8571428571428572</v>
      </c>
      <c r="P7" s="20">
        <f t="shared" si="15"/>
        <v>0.14285714285714285</v>
      </c>
      <c r="Q7" s="16">
        <f t="shared" si="8"/>
        <v>87</v>
      </c>
      <c r="R7" s="16"/>
      <c r="S7" s="21">
        <v>3.3376503237742798</v>
      </c>
      <c r="T7" s="14">
        <v>1340</v>
      </c>
      <c r="U7" s="22">
        <v>56</v>
      </c>
      <c r="V7" s="23" t="s">
        <v>366</v>
      </c>
      <c r="W7" s="14">
        <v>0</v>
      </c>
      <c r="X7" s="24">
        <f t="shared" si="9"/>
        <v>0</v>
      </c>
      <c r="Y7" s="25">
        <f t="shared" si="10"/>
        <v>0</v>
      </c>
      <c r="Z7" s="14">
        <v>0</v>
      </c>
      <c r="AA7" s="14" t="s">
        <v>35</v>
      </c>
      <c r="AB7" s="27">
        <f t="shared" si="11"/>
        <v>-0.69</v>
      </c>
      <c r="AC7" s="28">
        <v>0.19118642592592594</v>
      </c>
      <c r="AD7" s="25">
        <f t="shared" si="12"/>
        <v>-7.12360623</v>
      </c>
      <c r="AE7" s="25">
        <v>-6.94</v>
      </c>
      <c r="AF7" s="25">
        <v>-14.333846153846153</v>
      </c>
      <c r="AG7" s="25">
        <v>0</v>
      </c>
    </row>
    <row r="8" spans="1:33" ht="15.75" customHeight="1">
      <c r="A8" s="14" t="s">
        <v>189</v>
      </c>
      <c r="B8" s="14" t="s">
        <v>367</v>
      </c>
      <c r="C8" s="15">
        <f t="shared" si="4"/>
        <v>39.291363636363627</v>
      </c>
      <c r="D8" s="16">
        <v>66</v>
      </c>
      <c r="E8" s="16">
        <v>0</v>
      </c>
      <c r="F8" s="29">
        <v>2593.2299999999996</v>
      </c>
      <c r="G8" s="29">
        <v>-0.05</v>
      </c>
      <c r="H8" s="18">
        <f t="shared" si="1"/>
        <v>1.9280973920554679E-5</v>
      </c>
      <c r="I8" s="18">
        <f t="shared" si="2"/>
        <v>0.3019254907303503</v>
      </c>
      <c r="J8" s="17">
        <f t="shared" si="5"/>
        <v>782.96224032666612</v>
      </c>
      <c r="K8" s="17">
        <f t="shared" si="3"/>
        <v>11.863064247373728</v>
      </c>
      <c r="L8" s="16">
        <v>177</v>
      </c>
      <c r="M8" s="19">
        <f t="shared" si="6"/>
        <v>0.3728813559322034</v>
      </c>
      <c r="N8" s="16">
        <v>330</v>
      </c>
      <c r="O8" s="20">
        <f t="shared" ref="O8:P8" si="16">D8/7</f>
        <v>9.4285714285714288</v>
      </c>
      <c r="P8" s="20">
        <f t="shared" si="16"/>
        <v>0</v>
      </c>
      <c r="Q8" s="16">
        <f t="shared" si="8"/>
        <v>35</v>
      </c>
      <c r="R8" s="16"/>
      <c r="S8" s="21">
        <v>4.26731470230862</v>
      </c>
      <c r="T8" s="14">
        <v>1284</v>
      </c>
      <c r="U8" s="22">
        <v>884</v>
      </c>
      <c r="V8" s="23" t="s">
        <v>368</v>
      </c>
      <c r="W8" s="14">
        <v>0</v>
      </c>
      <c r="X8" s="24">
        <f t="shared" si="9"/>
        <v>0</v>
      </c>
      <c r="Y8" s="25">
        <f t="shared" si="10"/>
        <v>0</v>
      </c>
      <c r="Z8" s="14">
        <v>0</v>
      </c>
      <c r="AA8" s="14" t="s">
        <v>35</v>
      </c>
      <c r="AB8" s="27">
        <f t="shared" si="11"/>
        <v>-0.69</v>
      </c>
      <c r="AC8" s="28">
        <v>0.19118642592592594</v>
      </c>
      <c r="AD8" s="25">
        <f t="shared" si="12"/>
        <v>-17.413259673333332</v>
      </c>
      <c r="AE8" s="25">
        <v>-6.94</v>
      </c>
      <c r="AF8" s="25">
        <v>-14.33</v>
      </c>
      <c r="AG8" s="25">
        <v>0</v>
      </c>
    </row>
    <row r="9" spans="1:33" ht="15.75" customHeight="1">
      <c r="A9" s="14" t="s">
        <v>191</v>
      </c>
      <c r="B9" s="14" t="s">
        <v>369</v>
      </c>
      <c r="C9" s="15">
        <f t="shared" si="4"/>
        <v>37.025211267605698</v>
      </c>
      <c r="D9" s="16">
        <v>142</v>
      </c>
      <c r="E9" s="16">
        <v>4</v>
      </c>
      <c r="F9" s="29">
        <v>5257.580000000009</v>
      </c>
      <c r="G9" s="29">
        <v>-0.1</v>
      </c>
      <c r="H9" s="18">
        <f t="shared" si="1"/>
        <v>1.9020157562985219E-5</v>
      </c>
      <c r="I9" s="18">
        <f t="shared" si="2"/>
        <v>0.26038296361096186</v>
      </c>
      <c r="J9" s="17">
        <f t="shared" si="5"/>
        <v>1368.9842618217231</v>
      </c>
      <c r="K9" s="17">
        <f t="shared" si="3"/>
        <v>9.6407342381811478</v>
      </c>
      <c r="L9" s="16">
        <v>418</v>
      </c>
      <c r="M9" s="19">
        <f t="shared" si="6"/>
        <v>0.33971291866028708</v>
      </c>
      <c r="N9" s="16">
        <v>208</v>
      </c>
      <c r="O9" s="20">
        <f t="shared" ref="O9:P9" si="17">D9/7</f>
        <v>20.285714285714285</v>
      </c>
      <c r="P9" s="20">
        <f t="shared" si="17"/>
        <v>0.5714285714285714</v>
      </c>
      <c r="Q9" s="16">
        <f t="shared" si="8"/>
        <v>9</v>
      </c>
      <c r="R9" s="16"/>
      <c r="S9" s="21">
        <v>3.3636363636363602</v>
      </c>
      <c r="T9" s="14">
        <v>1284</v>
      </c>
      <c r="U9" s="22">
        <v>400</v>
      </c>
      <c r="V9" s="23" t="s">
        <v>370</v>
      </c>
      <c r="W9" s="14">
        <v>1</v>
      </c>
      <c r="X9" s="24">
        <f t="shared" si="9"/>
        <v>7.0422535211267607E-3</v>
      </c>
      <c r="Y9" s="25">
        <f t="shared" si="10"/>
        <v>0.05</v>
      </c>
      <c r="Z9" s="14">
        <v>1</v>
      </c>
      <c r="AA9" s="14" t="s">
        <v>35</v>
      </c>
      <c r="AB9" s="27">
        <f t="shared" si="11"/>
        <v>-0.69</v>
      </c>
      <c r="AC9" s="28">
        <v>0.19118642592592594</v>
      </c>
      <c r="AD9" s="25">
        <f t="shared" si="12"/>
        <v>-37.464892024444445</v>
      </c>
      <c r="AE9" s="25">
        <v>-6.94</v>
      </c>
      <c r="AF9" s="25">
        <v>-14.6261538461538</v>
      </c>
      <c r="AG9" s="25">
        <v>0</v>
      </c>
    </row>
    <row r="10" spans="1:33" ht="15.75" customHeight="1">
      <c r="A10" s="14" t="s">
        <v>192</v>
      </c>
      <c r="B10" s="14" t="s">
        <v>371</v>
      </c>
      <c r="C10" s="15">
        <f t="shared" si="4"/>
        <v>39.479888268156365</v>
      </c>
      <c r="D10" s="16">
        <v>179</v>
      </c>
      <c r="E10" s="16">
        <v>1</v>
      </c>
      <c r="F10" s="29">
        <v>7066.8999999999896</v>
      </c>
      <c r="G10" s="29">
        <v>-0.03</v>
      </c>
      <c r="H10" s="18">
        <f t="shared" si="1"/>
        <v>4.2451428490568767E-6</v>
      </c>
      <c r="I10" s="18">
        <f t="shared" si="2"/>
        <v>0.29705621851253616</v>
      </c>
      <c r="J10" s="17">
        <f t="shared" si="5"/>
        <v>2099.2665906062389</v>
      </c>
      <c r="K10" s="17">
        <f t="shared" si="3"/>
        <v>11.727746316235971</v>
      </c>
      <c r="L10" s="16">
        <v>421</v>
      </c>
      <c r="M10" s="19">
        <f t="shared" si="6"/>
        <v>0.42517814726840852</v>
      </c>
      <c r="N10" s="16">
        <v>181</v>
      </c>
      <c r="O10" s="20">
        <f t="shared" ref="O10:P10" si="18">D10/7</f>
        <v>25.571428571428573</v>
      </c>
      <c r="P10" s="20">
        <f t="shared" si="18"/>
        <v>0.14285714285714285</v>
      </c>
      <c r="Q10" s="16">
        <f t="shared" si="8"/>
        <v>7</v>
      </c>
      <c r="R10" s="16"/>
      <c r="S10" s="21">
        <v>5.0167865707433998</v>
      </c>
      <c r="T10" s="14">
        <v>1284</v>
      </c>
      <c r="U10" s="22">
        <v>400</v>
      </c>
      <c r="V10" s="23" t="s">
        <v>372</v>
      </c>
      <c r="W10" s="14">
        <v>0</v>
      </c>
      <c r="X10" s="24">
        <f t="shared" si="9"/>
        <v>0</v>
      </c>
      <c r="Y10" s="25">
        <f t="shared" si="10"/>
        <v>0</v>
      </c>
      <c r="Z10" s="14">
        <v>0</v>
      </c>
      <c r="AA10" s="14" t="s">
        <v>35</v>
      </c>
      <c r="AB10" s="27">
        <f t="shared" si="11"/>
        <v>-0.69</v>
      </c>
      <c r="AC10" s="28">
        <v>0.19118642592592594</v>
      </c>
      <c r="AD10" s="25">
        <f t="shared" si="12"/>
        <v>-47.226870932222219</v>
      </c>
      <c r="AE10" s="25">
        <v>-6.94</v>
      </c>
      <c r="AF10" s="25">
        <v>-14.6261538461538</v>
      </c>
      <c r="AG10" s="25">
        <v>0</v>
      </c>
    </row>
    <row r="11" spans="1:33" ht="15.75" customHeight="1">
      <c r="A11" s="14" t="s">
        <v>193</v>
      </c>
      <c r="B11" s="14" t="s">
        <v>68</v>
      </c>
      <c r="C11" s="15">
        <f t="shared" si="4"/>
        <v>45.040724637681137</v>
      </c>
      <c r="D11" s="16">
        <v>69</v>
      </c>
      <c r="E11" s="16">
        <v>1</v>
      </c>
      <c r="F11" s="29">
        <v>3107.8099999999986</v>
      </c>
      <c r="G11" s="29">
        <v>0</v>
      </c>
      <c r="H11" s="18">
        <f t="shared" si="1"/>
        <v>0</v>
      </c>
      <c r="I11" s="18">
        <f t="shared" si="2"/>
        <v>0.36532771087637927</v>
      </c>
      <c r="J11" s="17">
        <f t="shared" si="5"/>
        <v>1135.3691131387197</v>
      </c>
      <c r="K11" s="17">
        <f t="shared" si="3"/>
        <v>16.454624828097387</v>
      </c>
      <c r="L11" s="16">
        <v>296</v>
      </c>
      <c r="M11" s="19">
        <f t="shared" si="6"/>
        <v>0.23310810810810811</v>
      </c>
      <c r="N11" s="16">
        <v>108</v>
      </c>
      <c r="O11" s="20">
        <f t="shared" ref="O11:P11" si="19">D11/7</f>
        <v>9.8571428571428577</v>
      </c>
      <c r="P11" s="20">
        <f t="shared" si="19"/>
        <v>0.14285714285714285</v>
      </c>
      <c r="Q11" s="16">
        <f t="shared" si="8"/>
        <v>10</v>
      </c>
      <c r="R11" s="16"/>
      <c r="S11" s="21">
        <v>5.58558558558558</v>
      </c>
      <c r="T11" s="14">
        <v>2784</v>
      </c>
      <c r="U11" s="22">
        <v>400</v>
      </c>
      <c r="V11" s="23" t="s">
        <v>373</v>
      </c>
      <c r="W11" s="14">
        <v>0</v>
      </c>
      <c r="X11" s="24">
        <f t="shared" si="9"/>
        <v>0</v>
      </c>
      <c r="Y11" s="25">
        <f t="shared" si="10"/>
        <v>0</v>
      </c>
      <c r="Z11" s="14">
        <v>0</v>
      </c>
      <c r="AA11" s="14" t="s">
        <v>35</v>
      </c>
      <c r="AB11" s="27">
        <f t="shared" si="11"/>
        <v>-0.69</v>
      </c>
      <c r="AC11" s="28">
        <v>0.19118642592592594</v>
      </c>
      <c r="AD11" s="25">
        <f t="shared" si="12"/>
        <v>-18.204771476666668</v>
      </c>
      <c r="AE11" s="25">
        <v>-6.94</v>
      </c>
      <c r="AF11" s="25">
        <v>-14.6261538461538</v>
      </c>
      <c r="AG11" s="25">
        <v>0</v>
      </c>
    </row>
    <row r="12" spans="1:33" ht="15.75" customHeight="1">
      <c r="A12" s="14" t="s">
        <v>195</v>
      </c>
      <c r="B12" s="14" t="s">
        <v>374</v>
      </c>
      <c r="C12" s="15">
        <f t="shared" si="4"/>
        <v>45.489999999999981</v>
      </c>
      <c r="D12" s="16">
        <v>51</v>
      </c>
      <c r="E12" s="16">
        <v>6</v>
      </c>
      <c r="F12" s="29">
        <v>2319.9899999999989</v>
      </c>
      <c r="G12" s="29">
        <v>-0.24</v>
      </c>
      <c r="H12" s="18">
        <f t="shared" si="1"/>
        <v>1.0344872176173178E-4</v>
      </c>
      <c r="I12" s="18">
        <f t="shared" si="2"/>
        <v>0.37001105745692398</v>
      </c>
      <c r="J12" s="17">
        <f t="shared" si="5"/>
        <v>858.42195318948859</v>
      </c>
      <c r="K12" s="17">
        <f t="shared" si="3"/>
        <v>16.831803003715464</v>
      </c>
      <c r="L12" s="16">
        <v>224</v>
      </c>
      <c r="M12" s="19">
        <f t="shared" si="6"/>
        <v>0.22767857142857142</v>
      </c>
      <c r="N12" s="16">
        <v>73</v>
      </c>
      <c r="O12" s="20">
        <f t="shared" ref="O12:P12" si="20">D12/7</f>
        <v>7.2857142857142856</v>
      </c>
      <c r="P12" s="20">
        <f t="shared" si="20"/>
        <v>0.8571428571428571</v>
      </c>
      <c r="Q12" s="16">
        <f t="shared" si="8"/>
        <v>8</v>
      </c>
      <c r="R12" s="16"/>
      <c r="S12" s="21">
        <v>6.4917043740573099</v>
      </c>
      <c r="T12" s="14">
        <v>2384</v>
      </c>
      <c r="U12" s="22">
        <v>884</v>
      </c>
      <c r="V12" s="23" t="s">
        <v>375</v>
      </c>
      <c r="W12" s="14">
        <v>1</v>
      </c>
      <c r="X12" s="24">
        <f t="shared" si="9"/>
        <v>1.9607843137254902E-2</v>
      </c>
      <c r="Y12" s="25">
        <f t="shared" si="10"/>
        <v>0.12</v>
      </c>
      <c r="Z12" s="14">
        <v>1</v>
      </c>
      <c r="AA12" s="14" t="s">
        <v>35</v>
      </c>
      <c r="AB12" s="27">
        <f t="shared" si="11"/>
        <v>-0.69</v>
      </c>
      <c r="AC12" s="28">
        <v>0.19118642592592594</v>
      </c>
      <c r="AD12" s="25">
        <f t="shared" si="12"/>
        <v>-13.455700656666666</v>
      </c>
      <c r="AE12" s="25">
        <v>-6.94</v>
      </c>
      <c r="AF12" s="25">
        <v>-14.6261538461538</v>
      </c>
      <c r="AG12" s="25">
        <v>0</v>
      </c>
    </row>
    <row r="13" spans="1:33" ht="15.75" customHeight="1">
      <c r="A13" s="14" t="s">
        <v>197</v>
      </c>
      <c r="B13" s="14" t="s">
        <v>68</v>
      </c>
      <c r="C13" s="15">
        <f t="shared" si="4"/>
        <v>39.48449664429527</v>
      </c>
      <c r="D13" s="16">
        <v>149</v>
      </c>
      <c r="E13" s="16">
        <v>0</v>
      </c>
      <c r="F13" s="17">
        <v>5883.1899999999951</v>
      </c>
      <c r="G13" s="29">
        <v>-0.08</v>
      </c>
      <c r="H13" s="18">
        <f t="shared" si="1"/>
        <v>1.3598064995351174E-5</v>
      </c>
      <c r="I13" s="18">
        <f t="shared" si="2"/>
        <v>0.29321503250806258</v>
      </c>
      <c r="J13" s="17">
        <f t="shared" si="5"/>
        <v>1725.0397471011072</v>
      </c>
      <c r="K13" s="17">
        <f t="shared" si="3"/>
        <v>11.577447967121525</v>
      </c>
      <c r="L13" s="16">
        <v>217</v>
      </c>
      <c r="M13" s="19">
        <f t="shared" si="6"/>
        <v>0.68663594470046085</v>
      </c>
      <c r="N13" s="16">
        <v>350</v>
      </c>
      <c r="O13" s="20">
        <f t="shared" ref="O13:P13" si="21">D13/7</f>
        <v>21.285714285714285</v>
      </c>
      <c r="P13" s="20">
        <f t="shared" si="21"/>
        <v>0</v>
      </c>
      <c r="Q13" s="16">
        <f t="shared" si="8"/>
        <v>16</v>
      </c>
      <c r="R13" s="16"/>
      <c r="S13" s="21">
        <v>4.3343166175024503</v>
      </c>
      <c r="T13" s="14">
        <v>1500</v>
      </c>
      <c r="U13" s="22" t="s">
        <v>34</v>
      </c>
      <c r="V13" s="23" t="s">
        <v>34</v>
      </c>
      <c r="W13" s="14">
        <v>0</v>
      </c>
      <c r="X13" s="24">
        <f t="shared" si="9"/>
        <v>0</v>
      </c>
      <c r="Y13" s="25">
        <f t="shared" si="10"/>
        <v>0</v>
      </c>
      <c r="Z13" s="14">
        <v>0</v>
      </c>
      <c r="AA13" s="14" t="s">
        <v>35</v>
      </c>
      <c r="AB13" s="27">
        <f t="shared" si="11"/>
        <v>-0.69</v>
      </c>
      <c r="AC13" s="28">
        <v>0.19118642592592594</v>
      </c>
      <c r="AD13" s="25">
        <f t="shared" si="12"/>
        <v>-39.311752898888891</v>
      </c>
      <c r="AE13" s="25">
        <v>-6.94</v>
      </c>
      <c r="AF13" s="25">
        <v>-14.78</v>
      </c>
      <c r="AG13" s="25">
        <v>0</v>
      </c>
    </row>
    <row r="14" spans="1:33" ht="15.75" customHeight="1">
      <c r="A14" s="14" t="s">
        <v>32</v>
      </c>
      <c r="B14" s="14" t="s">
        <v>376</v>
      </c>
      <c r="C14" s="15">
        <f t="shared" si="4"/>
        <v>36.929112426035424</v>
      </c>
      <c r="D14" s="16">
        <v>169</v>
      </c>
      <c r="E14" s="16">
        <v>3</v>
      </c>
      <c r="F14" s="17">
        <v>6241.0199999999868</v>
      </c>
      <c r="G14" s="29">
        <v>0</v>
      </c>
      <c r="H14" s="18">
        <f t="shared" si="1"/>
        <v>0</v>
      </c>
      <c r="I14" s="18">
        <f t="shared" si="2"/>
        <v>0.25470171570441169</v>
      </c>
      <c r="J14" s="17">
        <f t="shared" si="5"/>
        <v>1589.5985017455441</v>
      </c>
      <c r="K14" s="17">
        <f t="shared" si="3"/>
        <v>9.4059082943523329</v>
      </c>
      <c r="L14" s="16">
        <v>421</v>
      </c>
      <c r="M14" s="19">
        <f t="shared" si="6"/>
        <v>0.40142517814726841</v>
      </c>
      <c r="N14" s="16">
        <v>176</v>
      </c>
      <c r="O14" s="20">
        <f t="shared" ref="O14:P14" si="22">D14/7</f>
        <v>24.142857142857142</v>
      </c>
      <c r="P14" s="20">
        <f t="shared" si="22"/>
        <v>0.42857142857142855</v>
      </c>
      <c r="Q14" s="16">
        <f t="shared" si="8"/>
        <v>7</v>
      </c>
      <c r="R14" s="16"/>
      <c r="S14" s="21">
        <v>5.9014084507042197</v>
      </c>
      <c r="T14" s="14">
        <v>1500</v>
      </c>
      <c r="U14" s="22" t="s">
        <v>34</v>
      </c>
      <c r="V14" s="23" t="s">
        <v>34</v>
      </c>
      <c r="W14" s="14">
        <v>0</v>
      </c>
      <c r="X14" s="24">
        <f t="shared" si="9"/>
        <v>0</v>
      </c>
      <c r="Y14" s="25">
        <f t="shared" si="10"/>
        <v>0</v>
      </c>
      <c r="Z14" s="14">
        <v>0</v>
      </c>
      <c r="AA14" s="14" t="s">
        <v>35</v>
      </c>
      <c r="AB14" s="27">
        <f t="shared" si="11"/>
        <v>-0.69</v>
      </c>
      <c r="AC14" s="28">
        <v>0.19118642592592594</v>
      </c>
      <c r="AD14" s="25">
        <f t="shared" si="12"/>
        <v>-44.588498254444445</v>
      </c>
      <c r="AE14" s="25">
        <v>-6.94</v>
      </c>
      <c r="AF14" s="25">
        <v>-14.78</v>
      </c>
      <c r="AG14" s="25">
        <v>0</v>
      </c>
    </row>
    <row r="15" spans="1:33" ht="15.75" customHeight="1">
      <c r="A15" s="14" t="s">
        <v>36</v>
      </c>
      <c r="B15" s="14" t="s">
        <v>377</v>
      </c>
      <c r="C15" s="15">
        <f t="shared" si="4"/>
        <v>39.55535433070861</v>
      </c>
      <c r="D15" s="16">
        <v>127</v>
      </c>
      <c r="E15" s="16">
        <v>7</v>
      </c>
      <c r="F15" s="17">
        <v>5023.5299999999934</v>
      </c>
      <c r="G15" s="29">
        <v>-0.15000000000000002</v>
      </c>
      <c r="H15" s="18">
        <f t="shared" si="1"/>
        <v>2.985948128109123E-5</v>
      </c>
      <c r="I15" s="18">
        <f t="shared" si="2"/>
        <v>0.26992635994852854</v>
      </c>
      <c r="J15" s="17">
        <f t="shared" si="5"/>
        <v>1355.9831669922298</v>
      </c>
      <c r="K15" s="17">
        <f t="shared" si="3"/>
        <v>10.677032810962439</v>
      </c>
      <c r="L15" s="16">
        <v>309</v>
      </c>
      <c r="M15" s="19">
        <f t="shared" si="6"/>
        <v>0.4110032362459547</v>
      </c>
      <c r="N15" s="16">
        <v>48</v>
      </c>
      <c r="O15" s="20">
        <f t="shared" ref="O15:P15" si="23">D15/7</f>
        <v>18.142857142857142</v>
      </c>
      <c r="P15" s="20">
        <f t="shared" si="23"/>
        <v>1</v>
      </c>
      <c r="Q15" s="16">
        <f t="shared" si="8"/>
        <v>2</v>
      </c>
      <c r="R15" s="16"/>
      <c r="S15" s="21">
        <v>8.4228187919463</v>
      </c>
      <c r="T15" s="14">
        <v>1500</v>
      </c>
      <c r="U15" s="22" t="s">
        <v>34</v>
      </c>
      <c r="V15" s="23" t="s">
        <v>34</v>
      </c>
      <c r="W15" s="14">
        <v>0</v>
      </c>
      <c r="X15" s="24">
        <f t="shared" si="9"/>
        <v>0</v>
      </c>
      <c r="Y15" s="25">
        <f t="shared" si="10"/>
        <v>0</v>
      </c>
      <c r="Z15" s="14">
        <v>0</v>
      </c>
      <c r="AA15" s="14" t="s">
        <v>35</v>
      </c>
      <c r="AB15" s="27">
        <f t="shared" si="11"/>
        <v>-0.69</v>
      </c>
      <c r="AC15" s="28">
        <v>0.19118642592592594</v>
      </c>
      <c r="AD15" s="25">
        <f t="shared" si="12"/>
        <v>-33.507333007777774</v>
      </c>
      <c r="AE15" s="25">
        <v>-6.94</v>
      </c>
      <c r="AF15" s="25">
        <v>-15.739999999999901</v>
      </c>
      <c r="AG15" s="25">
        <v>0</v>
      </c>
    </row>
    <row r="16" spans="1:33" ht="15.75" customHeight="1">
      <c r="A16" s="14" t="s">
        <v>38</v>
      </c>
      <c r="B16" s="14" t="s">
        <v>378</v>
      </c>
      <c r="C16" s="15">
        <f t="shared" si="4"/>
        <v>43.696769230769263</v>
      </c>
      <c r="D16" s="16">
        <v>65</v>
      </c>
      <c r="E16" s="16">
        <v>0</v>
      </c>
      <c r="F16" s="17">
        <v>2840.2900000000022</v>
      </c>
      <c r="G16" s="29">
        <v>-0.02</v>
      </c>
      <c r="H16" s="18">
        <f t="shared" si="1"/>
        <v>7.0415344911963161E-6</v>
      </c>
      <c r="I16" s="18">
        <f t="shared" si="2"/>
        <v>0.32432718871430066</v>
      </c>
      <c r="J16" s="17">
        <f t="shared" si="5"/>
        <v>921.18327083334179</v>
      </c>
      <c r="K16" s="17">
        <f t="shared" si="3"/>
        <v>14.17205032051295</v>
      </c>
      <c r="L16" s="16">
        <v>228</v>
      </c>
      <c r="M16" s="19">
        <f t="shared" si="6"/>
        <v>0.28508771929824561</v>
      </c>
      <c r="N16" s="16">
        <v>652</v>
      </c>
      <c r="O16" s="20">
        <f t="shared" ref="O16:P16" si="24">D16/7</f>
        <v>9.2857142857142865</v>
      </c>
      <c r="P16" s="20">
        <f t="shared" si="24"/>
        <v>0</v>
      </c>
      <c r="Q16" s="16">
        <f t="shared" si="8"/>
        <v>70</v>
      </c>
      <c r="R16" s="16"/>
      <c r="S16" s="21">
        <v>3.4414035087719199</v>
      </c>
      <c r="T16" s="14">
        <v>1500</v>
      </c>
      <c r="U16" s="22" t="s">
        <v>34</v>
      </c>
      <c r="V16" s="23" t="s">
        <v>34</v>
      </c>
      <c r="W16" s="14">
        <v>0</v>
      </c>
      <c r="X16" s="24">
        <f t="shared" si="9"/>
        <v>0</v>
      </c>
      <c r="Y16" s="25">
        <f t="shared" si="10"/>
        <v>0</v>
      </c>
      <c r="Z16" s="14">
        <v>0</v>
      </c>
      <c r="AA16" s="14" t="s">
        <v>35</v>
      </c>
      <c r="AB16" s="27">
        <f t="shared" si="11"/>
        <v>-0.69</v>
      </c>
      <c r="AC16" s="28">
        <v>0.21006944444444445</v>
      </c>
      <c r="AD16" s="25">
        <f t="shared" si="12"/>
        <v>-18.843229166666664</v>
      </c>
      <c r="AE16" s="25">
        <v>-6.94</v>
      </c>
      <c r="AF16" s="25">
        <v>-15.739999999999901</v>
      </c>
      <c r="AG16" s="25">
        <v>0</v>
      </c>
    </row>
    <row r="17" spans="1:33" ht="15.75" customHeight="1">
      <c r="A17" s="14" t="s">
        <v>40</v>
      </c>
      <c r="B17" s="14" t="s">
        <v>379</v>
      </c>
      <c r="C17" s="15">
        <f t="shared" si="4"/>
        <v>38.3689215686274</v>
      </c>
      <c r="D17" s="16">
        <v>102</v>
      </c>
      <c r="E17" s="16">
        <v>2</v>
      </c>
      <c r="F17" s="17">
        <v>3913.6299999999951</v>
      </c>
      <c r="G17" s="29">
        <v>-0.12</v>
      </c>
      <c r="H17" s="18">
        <f t="shared" si="1"/>
        <v>3.0662070762949014E-5</v>
      </c>
      <c r="I17" s="18">
        <f t="shared" si="2"/>
        <v>0.25131045218889042</v>
      </c>
      <c r="J17" s="17">
        <f t="shared" si="5"/>
        <v>983.53612500000588</v>
      </c>
      <c r="K17" s="17">
        <f t="shared" si="3"/>
        <v>9.642511029411823</v>
      </c>
      <c r="L17" s="16">
        <v>274</v>
      </c>
      <c r="M17" s="19">
        <f t="shared" si="6"/>
        <v>0.37226277372262773</v>
      </c>
      <c r="N17" s="16">
        <v>547</v>
      </c>
      <c r="O17" s="20">
        <f t="shared" ref="O17:P17" si="25">D17/7</f>
        <v>14.571428571428571</v>
      </c>
      <c r="P17" s="20">
        <f t="shared" si="25"/>
        <v>0.2857142857142857</v>
      </c>
      <c r="Q17" s="16">
        <f t="shared" si="8"/>
        <v>36</v>
      </c>
      <c r="R17" s="16"/>
      <c r="S17" s="21">
        <v>3.0076726342710902</v>
      </c>
      <c r="T17" s="14">
        <v>1500</v>
      </c>
      <c r="U17" s="22" t="s">
        <v>34</v>
      </c>
      <c r="V17" s="23" t="s">
        <v>34</v>
      </c>
      <c r="W17" s="14">
        <v>0</v>
      </c>
      <c r="X17" s="24">
        <f t="shared" si="9"/>
        <v>0</v>
      </c>
      <c r="Y17" s="25">
        <f t="shared" si="10"/>
        <v>0</v>
      </c>
      <c r="Z17" s="14">
        <v>0</v>
      </c>
      <c r="AA17" s="14" t="s">
        <v>35</v>
      </c>
      <c r="AB17" s="27">
        <f t="shared" si="11"/>
        <v>-0.69</v>
      </c>
      <c r="AC17" s="28">
        <v>0.21006944444444445</v>
      </c>
      <c r="AD17" s="25">
        <f t="shared" si="12"/>
        <v>-29.569374999999997</v>
      </c>
      <c r="AE17" s="25">
        <v>-6.94</v>
      </c>
      <c r="AF17" s="25">
        <v>-15.739999999999901</v>
      </c>
      <c r="AG17" s="25">
        <v>0</v>
      </c>
    </row>
    <row r="18" spans="1:33" ht="15.75" customHeight="1">
      <c r="A18" s="14" t="s">
        <v>42</v>
      </c>
      <c r="B18" s="14" t="s">
        <v>380</v>
      </c>
      <c r="C18" s="15">
        <f t="shared" si="4"/>
        <v>36.468432203389938</v>
      </c>
      <c r="D18" s="16">
        <v>236</v>
      </c>
      <c r="E18" s="16">
        <v>5</v>
      </c>
      <c r="F18" s="17">
        <v>8606.5500000000247</v>
      </c>
      <c r="G18" s="29">
        <v>0</v>
      </c>
      <c r="H18" s="18">
        <f t="shared" si="1"/>
        <v>0</v>
      </c>
      <c r="I18" s="18">
        <f t="shared" si="2"/>
        <v>0.2201430402813406</v>
      </c>
      <c r="J18" s="17">
        <f t="shared" si="5"/>
        <v>1894.6720833333775</v>
      </c>
      <c r="K18" s="17">
        <f t="shared" si="3"/>
        <v>8.0282715395482089</v>
      </c>
      <c r="L18" s="16">
        <v>439</v>
      </c>
      <c r="M18" s="19">
        <f t="shared" si="6"/>
        <v>0.5375854214123007</v>
      </c>
      <c r="N18" s="16">
        <v>301</v>
      </c>
      <c r="O18" s="20">
        <f t="shared" ref="O18:P18" si="26">D18/7</f>
        <v>33.714285714285715</v>
      </c>
      <c r="P18" s="20">
        <f t="shared" si="26"/>
        <v>0.7142857142857143</v>
      </c>
      <c r="Q18" s="16">
        <f t="shared" si="8"/>
        <v>8</v>
      </c>
      <c r="R18" s="16"/>
      <c r="S18" s="21">
        <v>6.2329873125720798</v>
      </c>
      <c r="T18" s="14">
        <v>2060</v>
      </c>
      <c r="U18" s="22">
        <v>0</v>
      </c>
      <c r="V18" s="23" t="s">
        <v>381</v>
      </c>
      <c r="W18" s="14">
        <v>0</v>
      </c>
      <c r="X18" s="24">
        <f t="shared" si="9"/>
        <v>0</v>
      </c>
      <c r="Y18" s="25">
        <f t="shared" si="10"/>
        <v>0</v>
      </c>
      <c r="Z18" s="14">
        <v>0</v>
      </c>
      <c r="AA18" s="14" t="s">
        <v>35</v>
      </c>
      <c r="AB18" s="27">
        <f t="shared" si="11"/>
        <v>-0.69</v>
      </c>
      <c r="AC18" s="28">
        <v>0.21006944444444445</v>
      </c>
      <c r="AD18" s="25">
        <f t="shared" si="12"/>
        <v>-68.415416666666658</v>
      </c>
      <c r="AE18" s="25">
        <v>-6.94</v>
      </c>
      <c r="AF18" s="25">
        <v>-15.739999999999901</v>
      </c>
      <c r="AG18" s="25">
        <v>0</v>
      </c>
    </row>
    <row r="19" spans="1:33" ht="15.75" customHeight="1">
      <c r="A19" s="14" t="s">
        <v>44</v>
      </c>
      <c r="B19" s="14" t="s">
        <v>382</v>
      </c>
      <c r="C19" s="15">
        <f t="shared" si="4"/>
        <v>43.080088495575197</v>
      </c>
      <c r="D19" s="16">
        <v>113</v>
      </c>
      <c r="E19" s="16">
        <v>2</v>
      </c>
      <c r="F19" s="17">
        <v>4868.0499999999975</v>
      </c>
      <c r="G19" s="29">
        <v>0</v>
      </c>
      <c r="H19" s="18">
        <f t="shared" si="1"/>
        <v>0</v>
      </c>
      <c r="I19" s="18">
        <f t="shared" si="2"/>
        <v>0.29993391005296416</v>
      </c>
      <c r="J19" s="17">
        <f t="shared" si="5"/>
        <v>1460.0932708333314</v>
      </c>
      <c r="K19" s="17">
        <f t="shared" si="3"/>
        <v>12.921179387905587</v>
      </c>
      <c r="L19" s="16">
        <v>288</v>
      </c>
      <c r="M19" s="19">
        <f t="shared" si="6"/>
        <v>0.3923611111111111</v>
      </c>
      <c r="N19" s="16">
        <v>197</v>
      </c>
      <c r="O19" s="20">
        <f t="shared" ref="O19:P19" si="27">D19/7</f>
        <v>16.142857142857142</v>
      </c>
      <c r="P19" s="20">
        <f t="shared" si="27"/>
        <v>0.2857142857142857</v>
      </c>
      <c r="Q19" s="16">
        <f t="shared" si="8"/>
        <v>11</v>
      </c>
      <c r="R19" s="16"/>
      <c r="S19" s="21">
        <v>8.6318926974664603</v>
      </c>
      <c r="T19" s="14">
        <v>2060</v>
      </c>
      <c r="U19" s="22">
        <v>600</v>
      </c>
      <c r="V19" s="23" t="s">
        <v>381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14" t="s">
        <v>35</v>
      </c>
      <c r="AB19" s="27">
        <f t="shared" si="11"/>
        <v>-0.69</v>
      </c>
      <c r="AC19" s="28">
        <v>0.21006944444444445</v>
      </c>
      <c r="AD19" s="25">
        <f t="shared" si="12"/>
        <v>-32.758229166666659</v>
      </c>
      <c r="AE19" s="25">
        <v>-6.94</v>
      </c>
      <c r="AF19" s="25">
        <v>-16.466999999999999</v>
      </c>
      <c r="AG19" s="25">
        <v>0</v>
      </c>
    </row>
    <row r="20" spans="1:33" ht="15.75" customHeight="1">
      <c r="A20" s="14" t="s">
        <v>46</v>
      </c>
      <c r="B20" s="14" t="s">
        <v>383</v>
      </c>
      <c r="C20" s="15">
        <f t="shared" si="4"/>
        <v>48.457108433734923</v>
      </c>
      <c r="D20" s="16">
        <v>83</v>
      </c>
      <c r="E20" s="16">
        <v>3</v>
      </c>
      <c r="F20" s="17">
        <v>4021.9399999999987</v>
      </c>
      <c r="G20" s="29">
        <v>0</v>
      </c>
      <c r="H20" s="18">
        <f t="shared" si="1"/>
        <v>0</v>
      </c>
      <c r="I20" s="18">
        <f t="shared" si="2"/>
        <v>0.36097173151099538</v>
      </c>
      <c r="J20" s="17">
        <f t="shared" si="5"/>
        <v>1451.8066458333324</v>
      </c>
      <c r="K20" s="17">
        <f t="shared" si="3"/>
        <v>17.491646335341354</v>
      </c>
      <c r="L20" s="16">
        <v>222</v>
      </c>
      <c r="M20" s="19">
        <f t="shared" si="6"/>
        <v>0.37387387387387389</v>
      </c>
      <c r="N20" s="16">
        <v>109</v>
      </c>
      <c r="O20" s="20">
        <f t="shared" ref="O20:P20" si="28">D20/7</f>
        <v>11.857142857142858</v>
      </c>
      <c r="P20" s="20">
        <f t="shared" si="28"/>
        <v>0.42857142857142855</v>
      </c>
      <c r="Q20" s="16">
        <f t="shared" si="8"/>
        <v>8</v>
      </c>
      <c r="R20" s="16"/>
      <c r="S20" s="21">
        <v>4.2931642001409402</v>
      </c>
      <c r="T20" s="14">
        <v>1160</v>
      </c>
      <c r="U20" s="22">
        <v>600</v>
      </c>
      <c r="V20" s="23" t="s">
        <v>384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14" t="s">
        <v>35</v>
      </c>
      <c r="AB20" s="27">
        <f t="shared" si="11"/>
        <v>-0.69</v>
      </c>
      <c r="AC20" s="28">
        <v>0.21006944444444445</v>
      </c>
      <c r="AD20" s="25">
        <f t="shared" si="12"/>
        <v>-24.061354166666664</v>
      </c>
      <c r="AE20" s="25">
        <v>-6.94</v>
      </c>
      <c r="AF20" s="25">
        <v>-16.466999999999999</v>
      </c>
      <c r="AG20" s="25">
        <v>0</v>
      </c>
    </row>
    <row r="21" spans="1:33" ht="15.75" customHeight="1">
      <c r="A21" s="14" t="s">
        <v>47</v>
      </c>
      <c r="B21" s="14" t="s">
        <v>385</v>
      </c>
      <c r="C21" s="15">
        <f t="shared" si="4"/>
        <v>52.200370370370379</v>
      </c>
      <c r="D21" s="16">
        <v>27</v>
      </c>
      <c r="E21" s="16">
        <v>0</v>
      </c>
      <c r="F21" s="17">
        <v>1409.4100000000003</v>
      </c>
      <c r="G21" s="29">
        <v>0</v>
      </c>
      <c r="H21" s="18">
        <f t="shared" si="1"/>
        <v>0</v>
      </c>
      <c r="I21" s="18">
        <f t="shared" si="2"/>
        <v>0.39603969923585053</v>
      </c>
      <c r="J21" s="17">
        <f t="shared" si="5"/>
        <v>558.18231250000019</v>
      </c>
      <c r="K21" s="17">
        <f t="shared" si="3"/>
        <v>20.67341898148149</v>
      </c>
      <c r="L21" s="16">
        <v>103</v>
      </c>
      <c r="M21" s="19">
        <f t="shared" si="6"/>
        <v>0.26213592233009708</v>
      </c>
      <c r="N21" s="16">
        <v>250</v>
      </c>
      <c r="O21" s="20">
        <f t="shared" ref="O21:P21" si="29">D21/7</f>
        <v>3.8571428571428572</v>
      </c>
      <c r="P21" s="20">
        <f t="shared" si="29"/>
        <v>0</v>
      </c>
      <c r="Q21" s="16">
        <f t="shared" si="8"/>
        <v>64</v>
      </c>
      <c r="R21" s="16"/>
      <c r="S21" s="21">
        <v>3.4421768707482898</v>
      </c>
      <c r="T21" s="14">
        <v>1160</v>
      </c>
      <c r="U21" s="22">
        <v>600</v>
      </c>
      <c r="V21" s="23" t="s">
        <v>386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14" t="s">
        <v>35</v>
      </c>
      <c r="AB21" s="27">
        <f t="shared" si="11"/>
        <v>-0.69</v>
      </c>
      <c r="AC21" s="28">
        <v>0.21006944444444445</v>
      </c>
      <c r="AD21" s="25">
        <f t="shared" si="12"/>
        <v>-7.8271874999999991</v>
      </c>
      <c r="AE21" s="25">
        <v>-6.94</v>
      </c>
      <c r="AF21" s="25">
        <v>-16.466999999999999</v>
      </c>
      <c r="AG21" s="25">
        <v>0</v>
      </c>
    </row>
    <row r="22" spans="1:33" ht="15.75" customHeight="1">
      <c r="A22" s="14" t="s">
        <v>48</v>
      </c>
      <c r="B22" s="14" t="s">
        <v>387</v>
      </c>
      <c r="C22" s="15">
        <f t="shared" si="4"/>
        <v>53.057222222222229</v>
      </c>
      <c r="D22" s="16">
        <v>18</v>
      </c>
      <c r="E22" s="16">
        <v>1</v>
      </c>
      <c r="F22" s="29">
        <v>955.03000000000009</v>
      </c>
      <c r="G22" s="29">
        <v>-7.0000000000000007E-2</v>
      </c>
      <c r="H22" s="18">
        <f t="shared" si="1"/>
        <v>7.3296126823241156E-5</v>
      </c>
      <c r="I22" s="18">
        <f t="shared" si="2"/>
        <v>0.40329767127734212</v>
      </c>
      <c r="J22" s="17">
        <f t="shared" si="5"/>
        <v>385.16137500000008</v>
      </c>
      <c r="K22" s="17">
        <f t="shared" si="3"/>
        <v>21.397854166666672</v>
      </c>
      <c r="L22" s="16">
        <v>165</v>
      </c>
      <c r="M22" s="19">
        <f t="shared" si="6"/>
        <v>0.10909090909090909</v>
      </c>
      <c r="N22" s="16">
        <v>229</v>
      </c>
      <c r="O22" s="20">
        <f t="shared" ref="O22:P22" si="30">D22/7</f>
        <v>2.5714285714285716</v>
      </c>
      <c r="P22" s="20">
        <f t="shared" si="30"/>
        <v>0.14285714285714285</v>
      </c>
      <c r="Q22" s="16">
        <f t="shared" si="8"/>
        <v>84</v>
      </c>
      <c r="R22" s="16"/>
      <c r="S22" s="21">
        <v>4.6148814390842103</v>
      </c>
      <c r="T22" s="14">
        <v>1760</v>
      </c>
      <c r="U22" s="22">
        <v>600</v>
      </c>
      <c r="V22" s="23" t="s">
        <v>386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35</v>
      </c>
      <c r="AB22" s="27">
        <f t="shared" si="11"/>
        <v>-0.69</v>
      </c>
      <c r="AC22" s="28">
        <v>0.21006944444444445</v>
      </c>
      <c r="AD22" s="25">
        <f t="shared" si="12"/>
        <v>-5.2181249999999997</v>
      </c>
      <c r="AE22" s="25">
        <v>-6.94</v>
      </c>
      <c r="AF22" s="25">
        <v>-16.466999999999999</v>
      </c>
      <c r="AG22" s="25">
        <v>0</v>
      </c>
    </row>
    <row r="23" spans="1:33" ht="15.75" customHeight="1">
      <c r="A23" s="14" t="s">
        <v>49</v>
      </c>
      <c r="B23" s="14" t="s">
        <v>68</v>
      </c>
      <c r="C23" s="15">
        <f t="shared" si="4"/>
        <v>50.572745098039192</v>
      </c>
      <c r="D23" s="16">
        <v>51</v>
      </c>
      <c r="E23" s="16">
        <v>1</v>
      </c>
      <c r="F23" s="17">
        <v>2579.2099999999987</v>
      </c>
      <c r="G23" s="29">
        <v>-0.05</v>
      </c>
      <c r="H23" s="18">
        <f t="shared" si="1"/>
        <v>1.9385780917412707E-5</v>
      </c>
      <c r="I23" s="18">
        <f t="shared" si="2"/>
        <v>0.38141012655037743</v>
      </c>
      <c r="J23" s="17">
        <f t="shared" si="5"/>
        <v>983.73681249999845</v>
      </c>
      <c r="K23" s="17">
        <f t="shared" si="3"/>
        <v>19.288957107843107</v>
      </c>
      <c r="L23" s="16">
        <v>212</v>
      </c>
      <c r="M23" s="19">
        <f t="shared" si="6"/>
        <v>0.24056603773584906</v>
      </c>
      <c r="N23" s="16">
        <v>175</v>
      </c>
      <c r="O23" s="20">
        <f t="shared" ref="O23:P23" si="31">D23/7</f>
        <v>7.2857142857142856</v>
      </c>
      <c r="P23" s="20">
        <f t="shared" si="31"/>
        <v>0.14285714285714285</v>
      </c>
      <c r="Q23" s="16">
        <f t="shared" si="8"/>
        <v>23</v>
      </c>
      <c r="R23" s="16"/>
      <c r="S23" s="21">
        <v>6.6445859872611397</v>
      </c>
      <c r="T23" s="14">
        <v>1200</v>
      </c>
      <c r="U23" s="22">
        <v>600</v>
      </c>
      <c r="V23" s="23" t="s">
        <v>388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35</v>
      </c>
      <c r="AB23" s="27">
        <f t="shared" si="11"/>
        <v>-0.69</v>
      </c>
      <c r="AC23" s="28">
        <v>0.21006944444444445</v>
      </c>
      <c r="AD23" s="25">
        <f t="shared" si="12"/>
        <v>-14.784687499999999</v>
      </c>
      <c r="AE23" s="25">
        <v>-6.94</v>
      </c>
      <c r="AF23" s="25">
        <v>-16.466999999999999</v>
      </c>
      <c r="AG23" s="25">
        <v>0</v>
      </c>
    </row>
    <row r="24" spans="1:33" ht="15.75" customHeight="1">
      <c r="A24" s="14" t="s">
        <v>50</v>
      </c>
      <c r="B24" s="14" t="s">
        <v>389</v>
      </c>
      <c r="C24" s="15">
        <f t="shared" si="4"/>
        <v>48.064444444444412</v>
      </c>
      <c r="D24" s="16">
        <v>99</v>
      </c>
      <c r="E24" s="16">
        <v>4</v>
      </c>
      <c r="F24" s="17">
        <v>4758.3799999999965</v>
      </c>
      <c r="G24" s="17">
        <v>-0.08</v>
      </c>
      <c r="H24" s="18">
        <f t="shared" si="1"/>
        <v>1.6812444571471817E-5</v>
      </c>
      <c r="I24" s="18">
        <f t="shared" si="2"/>
        <v>0.35695978725952909</v>
      </c>
      <c r="J24" s="17">
        <f t="shared" si="5"/>
        <v>1698.5503124999968</v>
      </c>
      <c r="K24" s="17">
        <f t="shared" si="3"/>
        <v>17.157073863636331</v>
      </c>
      <c r="L24" s="16">
        <v>233</v>
      </c>
      <c r="M24" s="19">
        <f t="shared" si="6"/>
        <v>0.42489270386266093</v>
      </c>
      <c r="N24" s="16">
        <v>94</v>
      </c>
      <c r="O24" s="20">
        <f t="shared" ref="O24:P24" si="32">D24/7</f>
        <v>14.142857142857142</v>
      </c>
      <c r="P24" s="20">
        <f t="shared" si="32"/>
        <v>0.5714285714285714</v>
      </c>
      <c r="Q24" s="16">
        <f t="shared" si="8"/>
        <v>6</v>
      </c>
      <c r="R24" s="16"/>
      <c r="S24" s="21">
        <v>8.2211382113821099</v>
      </c>
      <c r="T24" s="14">
        <v>2100</v>
      </c>
      <c r="U24" s="22">
        <v>600</v>
      </c>
      <c r="V24" s="23" t="s">
        <v>390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14" t="s">
        <v>35</v>
      </c>
      <c r="AB24" s="27">
        <f t="shared" si="11"/>
        <v>-0.69</v>
      </c>
      <c r="AC24" s="28">
        <v>0.21006944444444445</v>
      </c>
      <c r="AD24" s="25">
        <f t="shared" si="12"/>
        <v>-28.699687499999996</v>
      </c>
      <c r="AE24" s="25">
        <v>-6.94</v>
      </c>
      <c r="AF24" s="25">
        <v>-16.466999999999999</v>
      </c>
      <c r="AG24" s="25">
        <v>0</v>
      </c>
    </row>
    <row r="25" spans="1:33" ht="15.75" customHeight="1">
      <c r="A25" s="14" t="s">
        <v>51</v>
      </c>
      <c r="B25" s="14" t="s">
        <v>391</v>
      </c>
      <c r="C25" s="15">
        <f t="shared" si="4"/>
        <v>50.587714285714284</v>
      </c>
      <c r="D25" s="16">
        <v>35</v>
      </c>
      <c r="E25" s="16">
        <v>1</v>
      </c>
      <c r="F25" s="17">
        <v>1770.57</v>
      </c>
      <c r="G25" s="17">
        <v>0</v>
      </c>
      <c r="H25" s="18">
        <f t="shared" si="1"/>
        <v>0</v>
      </c>
      <c r="I25" s="18">
        <f t="shared" si="2"/>
        <v>0.38150886202371737</v>
      </c>
      <c r="J25" s="17">
        <f t="shared" si="5"/>
        <v>675.48814583333319</v>
      </c>
      <c r="K25" s="17">
        <f t="shared" si="3"/>
        <v>19.299661309523806</v>
      </c>
      <c r="L25" s="16">
        <v>267</v>
      </c>
      <c r="M25" s="19">
        <f t="shared" si="6"/>
        <v>0.13108614232209737</v>
      </c>
      <c r="N25" s="16">
        <v>32</v>
      </c>
      <c r="O25" s="20">
        <f t="shared" ref="O25:P25" si="33">D25/7</f>
        <v>5</v>
      </c>
      <c r="P25" s="20">
        <f t="shared" si="33"/>
        <v>0.14285714285714285</v>
      </c>
      <c r="Q25" s="16">
        <f t="shared" si="8"/>
        <v>6</v>
      </c>
      <c r="R25" s="16"/>
      <c r="S25" s="21">
        <v>4.5622775800711741</v>
      </c>
      <c r="T25" s="14">
        <v>2500</v>
      </c>
      <c r="U25" s="22">
        <v>600</v>
      </c>
      <c r="V25" s="23" t="s">
        <v>392</v>
      </c>
      <c r="W25" s="30">
        <v>0</v>
      </c>
      <c r="X25" s="24">
        <f t="shared" si="9"/>
        <v>0</v>
      </c>
      <c r="Y25" s="25">
        <f t="shared" si="10"/>
        <v>0</v>
      </c>
      <c r="Z25" s="30">
        <v>0</v>
      </c>
      <c r="AA25" s="14" t="s">
        <v>35</v>
      </c>
      <c r="AB25" s="27">
        <f t="shared" si="11"/>
        <v>-0.69</v>
      </c>
      <c r="AC25" s="28">
        <v>0.21006944444444445</v>
      </c>
      <c r="AD25" s="25">
        <f t="shared" si="12"/>
        <v>-10.146354166666665</v>
      </c>
      <c r="AE25" s="25">
        <v>-6.94</v>
      </c>
      <c r="AF25" s="25">
        <v>-16.47</v>
      </c>
      <c r="AG25" s="25">
        <v>0</v>
      </c>
    </row>
    <row r="26" spans="1:33" ht="15.75" customHeight="1">
      <c r="A26" s="14" t="s">
        <v>52</v>
      </c>
      <c r="B26" s="14" t="s">
        <v>391</v>
      </c>
      <c r="C26" s="15">
        <f t="shared" si="4"/>
        <v>52.78</v>
      </c>
      <c r="D26" s="16">
        <v>13</v>
      </c>
      <c r="E26" s="16">
        <v>0</v>
      </c>
      <c r="F26" s="17">
        <v>686.14</v>
      </c>
      <c r="G26" s="17">
        <v>0</v>
      </c>
      <c r="H26" s="18">
        <f t="shared" si="1"/>
        <v>0</v>
      </c>
      <c r="I26" s="18">
        <f t="shared" si="2"/>
        <v>0.40102508841732981</v>
      </c>
      <c r="J26" s="17">
        <f t="shared" si="5"/>
        <v>275.15935416666667</v>
      </c>
      <c r="K26" s="17">
        <f t="shared" si="3"/>
        <v>21.166104166666667</v>
      </c>
      <c r="L26" s="16">
        <v>74</v>
      </c>
      <c r="M26" s="19">
        <f t="shared" si="6"/>
        <v>0.17567567567567569</v>
      </c>
      <c r="N26" s="16">
        <v>18</v>
      </c>
      <c r="O26" s="20">
        <f t="shared" ref="O26:P26" si="34">D26/7</f>
        <v>1.8571428571428572</v>
      </c>
      <c r="P26" s="20">
        <f t="shared" si="34"/>
        <v>0</v>
      </c>
      <c r="Q26" s="16">
        <f t="shared" si="8"/>
        <v>9</v>
      </c>
      <c r="R26" s="16"/>
      <c r="S26" s="21">
        <v>3.7158301158301161</v>
      </c>
      <c r="T26" s="14">
        <v>2500</v>
      </c>
      <c r="U26" s="22">
        <v>600</v>
      </c>
      <c r="V26" s="23" t="s">
        <v>392</v>
      </c>
      <c r="W26" s="30">
        <v>0</v>
      </c>
      <c r="X26" s="24">
        <f t="shared" si="9"/>
        <v>0</v>
      </c>
      <c r="Y26" s="25">
        <f t="shared" si="10"/>
        <v>0</v>
      </c>
      <c r="Z26" s="30">
        <v>0</v>
      </c>
      <c r="AA26" s="14" t="s">
        <v>35</v>
      </c>
      <c r="AB26" s="27">
        <f t="shared" si="11"/>
        <v>-0.69</v>
      </c>
      <c r="AC26" s="28">
        <v>0.21006944444444445</v>
      </c>
      <c r="AD26" s="25">
        <f t="shared" si="12"/>
        <v>-3.7686458333333328</v>
      </c>
      <c r="AE26" s="25">
        <v>-6.94</v>
      </c>
      <c r="AF26" s="25">
        <v>-16.466999999999999</v>
      </c>
      <c r="AG26" s="25">
        <v>0</v>
      </c>
    </row>
    <row r="27" spans="1:33" ht="15.75" customHeight="1">
      <c r="A27" s="14" t="s">
        <v>53</v>
      </c>
      <c r="B27" s="14" t="s">
        <v>393</v>
      </c>
      <c r="C27" s="15">
        <f t="shared" si="4"/>
        <v>49.99</v>
      </c>
      <c r="D27" s="16">
        <v>15</v>
      </c>
      <c r="E27" s="16">
        <v>3</v>
      </c>
      <c r="F27" s="17">
        <v>749.85</v>
      </c>
      <c r="G27" s="17">
        <v>0</v>
      </c>
      <c r="H27" s="18">
        <f t="shared" si="1"/>
        <v>0</v>
      </c>
      <c r="I27" s="18">
        <f t="shared" si="2"/>
        <v>0.30896387610855519</v>
      </c>
      <c r="J27" s="17">
        <f t="shared" si="5"/>
        <v>231.6765625000001</v>
      </c>
      <c r="K27" s="17">
        <f t="shared" si="3"/>
        <v>15.445104166666674</v>
      </c>
      <c r="L27" s="16">
        <v>107</v>
      </c>
      <c r="M27" s="19">
        <f t="shared" si="6"/>
        <v>0.14018691588785046</v>
      </c>
      <c r="N27" s="16">
        <v>608</v>
      </c>
      <c r="O27" s="20">
        <f t="shared" ref="O27:P27" si="35">D27/7</f>
        <v>2.1428571428571428</v>
      </c>
      <c r="P27" s="20">
        <f t="shared" si="35"/>
        <v>0.42857142857142855</v>
      </c>
      <c r="Q27" s="16">
        <f t="shared" si="8"/>
        <v>236</v>
      </c>
      <c r="R27" s="16"/>
      <c r="S27" s="21">
        <v>3.049888309754281</v>
      </c>
      <c r="T27" s="14">
        <v>1900</v>
      </c>
      <c r="U27" s="22">
        <v>900</v>
      </c>
      <c r="V27" s="23" t="s">
        <v>394</v>
      </c>
      <c r="W27" s="30">
        <v>0</v>
      </c>
      <c r="X27" s="24">
        <f t="shared" si="9"/>
        <v>0</v>
      </c>
      <c r="Y27" s="25">
        <f t="shared" si="10"/>
        <v>0</v>
      </c>
      <c r="Z27" s="30">
        <v>0</v>
      </c>
      <c r="AA27" s="14" t="s">
        <v>35</v>
      </c>
      <c r="AB27" s="27">
        <f t="shared" si="11"/>
        <v>-0.69</v>
      </c>
      <c r="AC27" s="28">
        <v>0.21006944444444445</v>
      </c>
      <c r="AD27" s="25">
        <f t="shared" si="12"/>
        <v>-4.3484374999999993</v>
      </c>
      <c r="AE27" s="25">
        <v>-6.88</v>
      </c>
      <c r="AF27" s="25">
        <v>-19.8765</v>
      </c>
      <c r="AG27" s="25">
        <v>0</v>
      </c>
    </row>
    <row r="28" spans="1:33" ht="15.75" customHeight="1">
      <c r="A28" s="14" t="s">
        <v>54</v>
      </c>
      <c r="B28" s="14" t="s">
        <v>395</v>
      </c>
      <c r="C28" s="15">
        <f t="shared" si="4"/>
        <v>43.620136986301368</v>
      </c>
      <c r="D28" s="16">
        <v>146</v>
      </c>
      <c r="E28" s="16">
        <v>0</v>
      </c>
      <c r="F28" s="17">
        <v>6368.54</v>
      </c>
      <c r="G28" s="17">
        <v>-0.05</v>
      </c>
      <c r="H28" s="18">
        <f t="shared" si="1"/>
        <v>7.8510930291715209E-6</v>
      </c>
      <c r="I28" s="18">
        <f t="shared" si="2"/>
        <v>0.22994834111638351</v>
      </c>
      <c r="J28" s="17">
        <f t="shared" si="5"/>
        <v>1464.4352083333331</v>
      </c>
      <c r="K28" s="17">
        <f t="shared" si="3"/>
        <v>10.030378139269406</v>
      </c>
      <c r="L28" s="16">
        <v>321</v>
      </c>
      <c r="M28" s="19">
        <f t="shared" si="6"/>
        <v>0.45482866043613707</v>
      </c>
      <c r="N28" s="16">
        <v>468</v>
      </c>
      <c r="O28" s="20">
        <f t="shared" ref="O28:P28" si="36">D28/7</f>
        <v>20.857142857142858</v>
      </c>
      <c r="P28" s="20">
        <f t="shared" si="36"/>
        <v>0</v>
      </c>
      <c r="Q28" s="16">
        <f t="shared" si="8"/>
        <v>22</v>
      </c>
      <c r="R28" s="16"/>
      <c r="S28" s="21">
        <v>3.6239316239316239</v>
      </c>
      <c r="T28" s="14">
        <v>3060</v>
      </c>
      <c r="U28" s="22">
        <v>44384</v>
      </c>
      <c r="V28" s="23" t="s">
        <v>396</v>
      </c>
      <c r="W28" s="30">
        <v>0</v>
      </c>
      <c r="X28" s="24">
        <f t="shared" si="9"/>
        <v>0</v>
      </c>
      <c r="Y28" s="25">
        <f t="shared" si="10"/>
        <v>0.05</v>
      </c>
      <c r="Z28" s="30">
        <v>1</v>
      </c>
      <c r="AA28" s="14" t="s">
        <v>35</v>
      </c>
      <c r="AB28" s="27">
        <f t="shared" si="11"/>
        <v>-0.69</v>
      </c>
      <c r="AC28" s="28">
        <v>0.21006944444444445</v>
      </c>
      <c r="AD28" s="25">
        <f t="shared" si="12"/>
        <v>-42.324791666666663</v>
      </c>
      <c r="AE28" s="25">
        <v>-6.88</v>
      </c>
      <c r="AF28" s="25">
        <v>-19.8765</v>
      </c>
      <c r="AG28" s="25">
        <v>0</v>
      </c>
    </row>
    <row r="29" spans="1:33" ht="15.75" customHeight="1">
      <c r="A29" s="14" t="s">
        <v>55</v>
      </c>
      <c r="B29" s="14" t="s">
        <v>397</v>
      </c>
      <c r="C29" s="15">
        <f t="shared" si="4"/>
        <v>49.997391304347829</v>
      </c>
      <c r="D29" s="16">
        <v>69</v>
      </c>
      <c r="E29" s="16">
        <v>3</v>
      </c>
      <c r="F29" s="17">
        <v>3449.82</v>
      </c>
      <c r="G29" s="17">
        <v>0</v>
      </c>
      <c r="H29" s="18">
        <f t="shared" si="1"/>
        <v>0</v>
      </c>
      <c r="I29" s="18">
        <f t="shared" si="2"/>
        <v>0.30904385953470043</v>
      </c>
      <c r="J29" s="17">
        <f t="shared" si="5"/>
        <v>1066.1456875000003</v>
      </c>
      <c r="K29" s="17">
        <f t="shared" si="3"/>
        <v>15.451386775362323</v>
      </c>
      <c r="L29" s="16">
        <v>294</v>
      </c>
      <c r="M29" s="19">
        <f t="shared" si="6"/>
        <v>0.23469387755102042</v>
      </c>
      <c r="N29" s="16">
        <v>395</v>
      </c>
      <c r="O29" s="20">
        <f t="shared" ref="O29:P29" si="37">D29/7</f>
        <v>9.8571428571428577</v>
      </c>
      <c r="P29" s="20">
        <f t="shared" si="37"/>
        <v>0.42857142857142855</v>
      </c>
      <c r="Q29" s="16">
        <f t="shared" si="8"/>
        <v>38</v>
      </c>
      <c r="R29" s="16"/>
      <c r="S29" s="21">
        <v>2.689564068692206</v>
      </c>
      <c r="T29" s="14">
        <v>3060</v>
      </c>
      <c r="U29" s="22">
        <v>44386</v>
      </c>
      <c r="V29" s="23" t="s">
        <v>398</v>
      </c>
      <c r="W29" s="30">
        <v>0</v>
      </c>
      <c r="X29" s="24">
        <f t="shared" si="9"/>
        <v>0</v>
      </c>
      <c r="Y29" s="25">
        <f t="shared" si="10"/>
        <v>0</v>
      </c>
      <c r="Z29" s="30">
        <v>0</v>
      </c>
      <c r="AA29" s="14" t="s">
        <v>35</v>
      </c>
      <c r="AB29" s="27">
        <f t="shared" si="11"/>
        <v>-0.69</v>
      </c>
      <c r="AC29" s="28">
        <v>0.21006944444444445</v>
      </c>
      <c r="AD29" s="25">
        <f t="shared" si="12"/>
        <v>-20.002812499999997</v>
      </c>
      <c r="AE29" s="25">
        <v>-6.88</v>
      </c>
      <c r="AF29" s="25">
        <v>-19.8765</v>
      </c>
      <c r="AG29" s="25">
        <v>0</v>
      </c>
    </row>
    <row r="30" spans="1:33" ht="15.75" customHeight="1">
      <c r="A30" s="14" t="s">
        <v>57</v>
      </c>
      <c r="B30" s="14" t="s">
        <v>399</v>
      </c>
      <c r="C30" s="15">
        <f t="shared" si="4"/>
        <v>43.512461538461501</v>
      </c>
      <c r="D30" s="16">
        <v>130</v>
      </c>
      <c r="E30" s="16">
        <v>0</v>
      </c>
      <c r="F30" s="17">
        <v>5656.6199999999953</v>
      </c>
      <c r="G30" s="17">
        <v>0</v>
      </c>
      <c r="H30" s="18">
        <f t="shared" si="1"/>
        <v>0</v>
      </c>
      <c r="I30" s="18">
        <f t="shared" si="2"/>
        <v>0.23190144955232345</v>
      </c>
      <c r="J30" s="17">
        <f t="shared" si="5"/>
        <v>1311.7783775666628</v>
      </c>
      <c r="K30" s="17">
        <f t="shared" si="3"/>
        <v>10.090602904358946</v>
      </c>
      <c r="L30" s="16">
        <v>376</v>
      </c>
      <c r="M30" s="19">
        <f t="shared" si="6"/>
        <v>0.34574468085106386</v>
      </c>
      <c r="N30" s="16">
        <v>185</v>
      </c>
      <c r="O30" s="20">
        <f t="shared" ref="O30:P30" si="38">D30/7</f>
        <v>18.571428571428573</v>
      </c>
      <c r="P30" s="20">
        <f t="shared" si="38"/>
        <v>0</v>
      </c>
      <c r="Q30" s="16">
        <f t="shared" si="8"/>
        <v>9</v>
      </c>
      <c r="R30" s="16"/>
      <c r="S30" s="21">
        <v>3.0145772594752192</v>
      </c>
      <c r="T30" s="14">
        <v>1560</v>
      </c>
      <c r="U30" s="22">
        <v>360</v>
      </c>
      <c r="V30" s="23" t="s">
        <v>400</v>
      </c>
      <c r="W30" s="30">
        <v>0</v>
      </c>
      <c r="X30" s="24">
        <f t="shared" si="9"/>
        <v>0</v>
      </c>
      <c r="Y30" s="25">
        <f t="shared" si="10"/>
        <v>0</v>
      </c>
      <c r="Z30" s="30">
        <v>0</v>
      </c>
      <c r="AA30" s="14" t="s">
        <v>35</v>
      </c>
      <c r="AB30" s="27">
        <f t="shared" si="11"/>
        <v>-0.69</v>
      </c>
      <c r="AC30" s="28">
        <v>0.21006944444444445</v>
      </c>
      <c r="AD30" s="25">
        <f t="shared" si="12"/>
        <v>-37.686458333333327</v>
      </c>
      <c r="AE30" s="25">
        <v>-6.88</v>
      </c>
      <c r="AF30" s="25">
        <v>-19.725093569999999</v>
      </c>
      <c r="AG30" s="25">
        <v>0</v>
      </c>
    </row>
    <row r="31" spans="1:33" ht="15.75" customHeight="1">
      <c r="A31" s="14" t="s">
        <v>58</v>
      </c>
      <c r="B31" s="14" t="s">
        <v>401</v>
      </c>
      <c r="C31" s="15">
        <f t="shared" si="4"/>
        <v>43.124999999999972</v>
      </c>
      <c r="D31" s="16">
        <v>106</v>
      </c>
      <c r="E31" s="16">
        <v>2</v>
      </c>
      <c r="F31" s="17">
        <v>4571.2499999999973</v>
      </c>
      <c r="G31" s="17">
        <v>0</v>
      </c>
      <c r="H31" s="18">
        <f t="shared" si="1"/>
        <v>0</v>
      </c>
      <c r="I31" s="18">
        <f t="shared" si="2"/>
        <v>0.22634807180676297</v>
      </c>
      <c r="J31" s="17">
        <f t="shared" si="5"/>
        <v>1034.6936232466646</v>
      </c>
      <c r="K31" s="17">
        <f t="shared" si="3"/>
        <v>9.7612605966666468</v>
      </c>
      <c r="L31" s="16">
        <v>338</v>
      </c>
      <c r="M31" s="19">
        <f t="shared" si="6"/>
        <v>0.31360946745562129</v>
      </c>
      <c r="N31" s="16">
        <v>109</v>
      </c>
      <c r="O31" s="20">
        <f t="shared" ref="O31:P31" si="39">D31/7</f>
        <v>15.142857142857142</v>
      </c>
      <c r="P31" s="20">
        <f t="shared" si="39"/>
        <v>0.2857142857142857</v>
      </c>
      <c r="Q31" s="16">
        <f t="shared" si="8"/>
        <v>7</v>
      </c>
      <c r="R31" s="16"/>
      <c r="S31" s="21">
        <v>4.3055872291904196</v>
      </c>
      <c r="T31" s="14">
        <v>800</v>
      </c>
      <c r="U31" s="22" t="s">
        <v>34</v>
      </c>
      <c r="V31" s="23" t="s">
        <v>402</v>
      </c>
      <c r="W31" s="30">
        <v>0</v>
      </c>
      <c r="X31" s="24">
        <f t="shared" si="9"/>
        <v>0</v>
      </c>
      <c r="Y31" s="25">
        <f t="shared" si="10"/>
        <v>0</v>
      </c>
      <c r="Z31" s="30">
        <v>0</v>
      </c>
      <c r="AA31" s="14" t="s">
        <v>35</v>
      </c>
      <c r="AB31" s="27">
        <f t="shared" si="11"/>
        <v>-0.69</v>
      </c>
      <c r="AC31" s="28">
        <v>0.21006944444444445</v>
      </c>
      <c r="AD31" s="25">
        <f t="shared" si="12"/>
        <v>-30.728958333333331</v>
      </c>
      <c r="AE31" s="25">
        <v>-6.88</v>
      </c>
      <c r="AF31" s="25">
        <v>-19.725093569999999</v>
      </c>
      <c r="AG31" s="25">
        <v>0</v>
      </c>
    </row>
    <row r="32" spans="1:33" ht="15.75" customHeight="1">
      <c r="A32" s="14" t="s">
        <v>60</v>
      </c>
      <c r="B32" s="14"/>
      <c r="C32" s="15">
        <f t="shared" si="4"/>
        <v>48.852365591397856</v>
      </c>
      <c r="D32" s="16">
        <v>93</v>
      </c>
      <c r="E32" s="16">
        <v>1</v>
      </c>
      <c r="F32" s="17">
        <v>4543.2700000000004</v>
      </c>
      <c r="G32" s="17">
        <v>0</v>
      </c>
      <c r="H32" s="18">
        <f t="shared" si="1"/>
        <v>0</v>
      </c>
      <c r="I32" s="18">
        <f t="shared" si="2"/>
        <v>0.29946392917216014</v>
      </c>
      <c r="J32" s="17">
        <f t="shared" si="5"/>
        <v>1360.5454854900001</v>
      </c>
      <c r="K32" s="17">
        <f t="shared" si="3"/>
        <v>14.629521349354841</v>
      </c>
      <c r="L32" s="16">
        <v>313</v>
      </c>
      <c r="M32" s="19">
        <f t="shared" si="6"/>
        <v>0.29712460063897761</v>
      </c>
      <c r="N32" s="16">
        <v>31</v>
      </c>
      <c r="O32" s="20">
        <f t="shared" ref="O32:P32" si="40">D32/7</f>
        <v>13.285714285714286</v>
      </c>
      <c r="P32" s="20">
        <f t="shared" si="40"/>
        <v>0.14285714285714285</v>
      </c>
      <c r="Q32" s="16">
        <f t="shared" si="8"/>
        <v>2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3.1372549019607838</v>
      </c>
      <c r="T32" s="14">
        <f ca="1">IFERROR(__xludf.DUMMYFUNCTION("IFERROR(VLOOKUP($B$2,IMPORTRANGE(""https://docs.google.com/spreadsheets/d/1KiWZV1ko8G7lnRucBRBd29jj3Be6ltMfljMDqzOkQmI/edit#gid=1381463014"",""Lookup!A:D""),4,FALSE),"""")"),800)</f>
        <v>800</v>
      </c>
      <c r="U32" s="22">
        <f ca="1">IFERROR(__xludf.DUMMYFUNCTION("IFERROR(VLOOKUP($B$2,IMPORTRANGE(""https://docs.google.com/spreadsheets/d/1KiWZV1ko8G7lnRucBRBd29jj3Be6ltMfljMDqzOkQmI/edit#gid=1381463014"",""Lookup!A:D""),3,FALSE),"""")"),900)</f>
        <v>900</v>
      </c>
      <c r="V32" s="23" t="str">
        <f ca="1">IFERROR(__xludf.DUMMYFUNCTION("IFERROR(VLOOKUP($B$2,IMPORTRANGE(""https://docs.google.com/spreadsheets/d/1KiWZV1ko8G7lnRucBRBd29jj3Be6ltMfljMDqzOkQmI/edit#gid=1381463014"",""Lookup!A:D""),2,FALSE),"""")"),"| 406  - 900 units 07/22| AGL259  - 360 units 11/01")</f>
        <v>| 406  - 900 units 07/22| AGL259  - 360 units 11/01</v>
      </c>
      <c r="W32" s="30">
        <v>0</v>
      </c>
      <c r="X32" s="24">
        <f t="shared" si="9"/>
        <v>0</v>
      </c>
      <c r="Y32" s="25">
        <f t="shared" si="10"/>
        <v>0</v>
      </c>
      <c r="Z32" s="30">
        <v>0</v>
      </c>
      <c r="AA32" s="14" t="s">
        <v>35</v>
      </c>
      <c r="AB32" s="27">
        <f t="shared" si="11"/>
        <v>-0.69</v>
      </c>
      <c r="AC32" s="28">
        <v>0.21006944444444445</v>
      </c>
      <c r="AD32" s="25">
        <f t="shared" si="12"/>
        <v>-26.960312499999997</v>
      </c>
      <c r="AE32" s="25">
        <v>-6.88</v>
      </c>
      <c r="AF32" s="25">
        <v>-19.725093569999999</v>
      </c>
      <c r="AG32" s="25">
        <v>0</v>
      </c>
    </row>
    <row r="33" spans="1:33" ht="15.75" customHeight="1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16"/>
      <c r="S33" s="21"/>
      <c r="T33" s="31"/>
      <c r="U33" s="36"/>
      <c r="V33" s="1"/>
      <c r="W33" s="31"/>
      <c r="X33" s="31"/>
      <c r="Y33" s="31"/>
      <c r="Z33" s="31"/>
      <c r="AA33" s="2"/>
      <c r="AB33" s="31"/>
      <c r="AC33" s="31"/>
      <c r="AD33" s="31"/>
      <c r="AE33" s="37"/>
      <c r="AF33" s="37"/>
      <c r="AG33" s="37"/>
    </row>
    <row r="34" spans="1:33" ht="15.75" customHeight="1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6"/>
      <c r="V34" s="1"/>
      <c r="W34" s="31"/>
      <c r="X34" s="31"/>
      <c r="Y34" s="31"/>
      <c r="Z34" s="31"/>
      <c r="AA34" s="2"/>
      <c r="AB34" s="31"/>
      <c r="AC34" s="31"/>
      <c r="AD34" s="31"/>
      <c r="AE34" s="37"/>
      <c r="AF34" s="37"/>
      <c r="AG34" s="37"/>
    </row>
    <row r="35" spans="1:33" ht="15.75" customHeight="1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6"/>
      <c r="V35" s="1"/>
      <c r="W35" s="31"/>
      <c r="X35" s="31"/>
      <c r="Y35" s="31"/>
      <c r="Z35" s="31"/>
      <c r="AA35" s="2"/>
      <c r="AB35" s="31"/>
      <c r="AC35" s="31"/>
      <c r="AD35" s="31"/>
      <c r="AE35" s="37"/>
      <c r="AF35" s="37"/>
      <c r="AG35" s="37"/>
    </row>
    <row r="36" spans="1:33" ht="15.75" customHeight="1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6"/>
      <c r="V36" s="1"/>
      <c r="W36" s="31"/>
      <c r="X36" s="31"/>
      <c r="Y36" s="31"/>
      <c r="Z36" s="31"/>
      <c r="AA36" s="2"/>
      <c r="AB36" s="31"/>
      <c r="AC36" s="31"/>
      <c r="AD36" s="31"/>
      <c r="AE36" s="37"/>
      <c r="AF36" s="37"/>
      <c r="AG36" s="37"/>
    </row>
    <row r="37" spans="1:33" ht="15.75" customHeight="1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6"/>
      <c r="V37" s="1"/>
      <c r="W37" s="31"/>
      <c r="X37" s="31"/>
      <c r="Y37" s="31"/>
      <c r="Z37" s="31"/>
      <c r="AA37" s="2"/>
      <c r="AB37" s="31"/>
      <c r="AC37" s="31"/>
      <c r="AD37" s="31"/>
      <c r="AE37" s="37"/>
      <c r="AF37" s="37"/>
      <c r="AG37" s="37"/>
    </row>
    <row r="38" spans="1:33" ht="15.75" customHeight="1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6"/>
      <c r="V38" s="1"/>
      <c r="W38" s="31"/>
      <c r="X38" s="31"/>
      <c r="Y38" s="31"/>
      <c r="Z38" s="31"/>
      <c r="AA38" s="2"/>
      <c r="AB38" s="31"/>
      <c r="AC38" s="31"/>
      <c r="AD38" s="31"/>
      <c r="AE38" s="37"/>
      <c r="AF38" s="37"/>
      <c r="AG38" s="37"/>
    </row>
    <row r="39" spans="1:33" ht="15.75" customHeight="1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6"/>
      <c r="V39" s="1"/>
      <c r="W39" s="31"/>
      <c r="X39" s="31"/>
      <c r="Y39" s="31"/>
      <c r="Z39" s="31"/>
      <c r="AA39" s="2"/>
      <c r="AB39" s="31"/>
      <c r="AC39" s="31"/>
      <c r="AD39" s="31"/>
      <c r="AE39" s="37"/>
      <c r="AF39" s="37"/>
      <c r="AG39" s="37"/>
    </row>
    <row r="40" spans="1:33" ht="15.75" customHeight="1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6"/>
      <c r="V40" s="1"/>
      <c r="W40" s="31"/>
      <c r="X40" s="31"/>
      <c r="Y40" s="31"/>
      <c r="Z40" s="31"/>
      <c r="AA40" s="2"/>
      <c r="AB40" s="31"/>
      <c r="AC40" s="31"/>
      <c r="AD40" s="31"/>
      <c r="AE40" s="37"/>
      <c r="AF40" s="37"/>
      <c r="AG40" s="37"/>
    </row>
    <row r="41" spans="1:33" ht="15.75" customHeight="1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6"/>
      <c r="V41" s="1"/>
      <c r="W41" s="31"/>
      <c r="X41" s="31"/>
      <c r="Y41" s="31"/>
      <c r="Z41" s="31"/>
      <c r="AA41" s="2"/>
      <c r="AB41" s="31"/>
      <c r="AC41" s="31"/>
      <c r="AD41" s="31"/>
      <c r="AE41" s="37"/>
      <c r="AF41" s="37"/>
      <c r="AG41" s="37"/>
    </row>
    <row r="42" spans="1:33" ht="15.75" customHeight="1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6"/>
      <c r="V42" s="1"/>
      <c r="W42" s="31"/>
      <c r="X42" s="31"/>
      <c r="Y42" s="31"/>
      <c r="Z42" s="31"/>
      <c r="AA42" s="2"/>
      <c r="AB42" s="31"/>
      <c r="AC42" s="31"/>
      <c r="AD42" s="31"/>
      <c r="AE42" s="37"/>
      <c r="AF42" s="37"/>
      <c r="AG42" s="37"/>
    </row>
    <row r="43" spans="1:33" ht="15.75" customHeight="1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6"/>
      <c r="V43" s="1"/>
      <c r="W43" s="31"/>
      <c r="X43" s="31"/>
      <c r="Y43" s="31"/>
      <c r="Z43" s="31"/>
      <c r="AA43" s="2"/>
      <c r="AB43" s="31"/>
      <c r="AC43" s="31"/>
      <c r="AD43" s="31"/>
      <c r="AE43" s="37"/>
      <c r="AF43" s="37"/>
      <c r="AG43" s="37"/>
    </row>
    <row r="44" spans="1:33" ht="15.75" customHeight="1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6"/>
      <c r="V44" s="1"/>
      <c r="W44" s="31"/>
      <c r="X44" s="31"/>
      <c r="Y44" s="31"/>
      <c r="Z44" s="31"/>
      <c r="AA44" s="2"/>
      <c r="AB44" s="31"/>
      <c r="AC44" s="31"/>
      <c r="AD44" s="31"/>
      <c r="AE44" s="37"/>
      <c r="AF44" s="37"/>
      <c r="AG44" s="37"/>
    </row>
    <row r="45" spans="1:33" ht="15.75" customHeight="1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6"/>
      <c r="V45" s="1"/>
      <c r="W45" s="31"/>
      <c r="X45" s="31"/>
      <c r="Y45" s="31"/>
      <c r="Z45" s="31"/>
      <c r="AA45" s="2"/>
      <c r="AB45" s="31"/>
      <c r="AC45" s="31"/>
      <c r="AD45" s="31"/>
      <c r="AE45" s="37"/>
      <c r="AF45" s="37"/>
      <c r="AG45" s="37"/>
    </row>
    <row r="46" spans="1:33" ht="15.75" customHeight="1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6"/>
      <c r="V46" s="1"/>
      <c r="W46" s="31"/>
      <c r="X46" s="31"/>
      <c r="Y46" s="31"/>
      <c r="Z46" s="31"/>
      <c r="AA46" s="2"/>
      <c r="AB46" s="31"/>
      <c r="AC46" s="31"/>
      <c r="AD46" s="31"/>
      <c r="AE46" s="37"/>
      <c r="AF46" s="37"/>
      <c r="AG46" s="37"/>
    </row>
    <row r="47" spans="1:33" ht="15.75" customHeight="1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6"/>
      <c r="V47" s="1"/>
      <c r="W47" s="31"/>
      <c r="X47" s="31"/>
      <c r="Y47" s="31"/>
      <c r="Z47" s="31"/>
      <c r="AA47" s="2"/>
      <c r="AB47" s="31"/>
      <c r="AC47" s="31"/>
      <c r="AD47" s="31"/>
      <c r="AE47" s="37"/>
      <c r="AF47" s="37"/>
      <c r="AG47" s="37"/>
    </row>
    <row r="48" spans="1:33" ht="15.75" customHeight="1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6"/>
      <c r="V48" s="1"/>
      <c r="W48" s="31"/>
      <c r="X48" s="31"/>
      <c r="Y48" s="31"/>
      <c r="Z48" s="31"/>
      <c r="AA48" s="2"/>
      <c r="AB48" s="31"/>
      <c r="AC48" s="31"/>
      <c r="AD48" s="31"/>
      <c r="AE48" s="37"/>
      <c r="AF48" s="37"/>
      <c r="AG48" s="37"/>
    </row>
    <row r="49" spans="1:33" ht="15.75" customHeight="1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6"/>
      <c r="V49" s="1"/>
      <c r="W49" s="31"/>
      <c r="X49" s="31"/>
      <c r="Y49" s="31"/>
      <c r="Z49" s="31"/>
      <c r="AA49" s="2"/>
      <c r="AB49" s="31"/>
      <c r="AC49" s="31"/>
      <c r="AD49" s="31"/>
      <c r="AE49" s="37"/>
      <c r="AF49" s="37"/>
      <c r="AG49" s="37"/>
    </row>
    <row r="50" spans="1:33" ht="15.75" customHeight="1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6"/>
      <c r="V50" s="1"/>
      <c r="W50" s="31"/>
      <c r="X50" s="31"/>
      <c r="Y50" s="31"/>
      <c r="Z50" s="31"/>
      <c r="AA50" s="2"/>
      <c r="AB50" s="31"/>
      <c r="AC50" s="31"/>
      <c r="AD50" s="31"/>
      <c r="AE50" s="37"/>
      <c r="AF50" s="37"/>
      <c r="AG50" s="37"/>
    </row>
    <row r="51" spans="1:33" ht="15.75" customHeight="1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6"/>
      <c r="V51" s="1"/>
      <c r="W51" s="31"/>
      <c r="X51" s="31"/>
      <c r="Y51" s="31"/>
      <c r="Z51" s="31"/>
      <c r="AA51" s="2"/>
      <c r="AB51" s="31"/>
      <c r="AC51" s="31"/>
      <c r="AD51" s="31"/>
      <c r="AE51" s="37"/>
      <c r="AF51" s="37"/>
      <c r="AG51" s="37"/>
    </row>
    <row r="52" spans="1:33" ht="15.75" customHeight="1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6"/>
      <c r="V52" s="1"/>
      <c r="W52" s="31"/>
      <c r="X52" s="31"/>
      <c r="Y52" s="31"/>
      <c r="Z52" s="31"/>
      <c r="AA52" s="2"/>
      <c r="AB52" s="31"/>
      <c r="AC52" s="31"/>
      <c r="AD52" s="31"/>
      <c r="AE52" s="37"/>
      <c r="AF52" s="37"/>
      <c r="AG52" s="37"/>
    </row>
    <row r="53" spans="1:33" ht="15.75" customHeight="1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6"/>
      <c r="V53" s="1"/>
      <c r="W53" s="31"/>
      <c r="X53" s="31"/>
      <c r="Y53" s="31"/>
      <c r="Z53" s="31"/>
      <c r="AA53" s="2"/>
      <c r="AB53" s="31"/>
      <c r="AC53" s="31"/>
      <c r="AD53" s="31"/>
      <c r="AE53" s="37"/>
      <c r="AF53" s="37"/>
      <c r="AG53" s="37"/>
    </row>
    <row r="54" spans="1:33" ht="15.75" customHeight="1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6"/>
      <c r="V54" s="1"/>
      <c r="W54" s="31"/>
      <c r="X54" s="31"/>
      <c r="Y54" s="31"/>
      <c r="Z54" s="31"/>
      <c r="AA54" s="2"/>
      <c r="AB54" s="31"/>
      <c r="AC54" s="31"/>
      <c r="AD54" s="31"/>
      <c r="AE54" s="37"/>
      <c r="AF54" s="37"/>
      <c r="AG54" s="37"/>
    </row>
    <row r="55" spans="1:33" ht="15.75" customHeight="1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6"/>
      <c r="V55" s="1"/>
      <c r="W55" s="31"/>
      <c r="X55" s="31"/>
      <c r="Y55" s="31"/>
      <c r="Z55" s="31"/>
      <c r="AA55" s="2"/>
      <c r="AB55" s="31"/>
      <c r="AC55" s="31"/>
      <c r="AD55" s="31"/>
      <c r="AE55" s="37"/>
      <c r="AF55" s="37"/>
      <c r="AG55" s="37"/>
    </row>
    <row r="56" spans="1:33" ht="15.75" customHeight="1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6"/>
      <c r="V56" s="1"/>
      <c r="W56" s="31"/>
      <c r="X56" s="31"/>
      <c r="Y56" s="31"/>
      <c r="Z56" s="31"/>
      <c r="AA56" s="2"/>
      <c r="AB56" s="31"/>
      <c r="AC56" s="31"/>
      <c r="AD56" s="31"/>
      <c r="AE56" s="37"/>
      <c r="AF56" s="37"/>
      <c r="AG56" s="37"/>
    </row>
    <row r="57" spans="1:33" ht="15.75" customHeight="1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6"/>
      <c r="V57" s="1"/>
      <c r="W57" s="31"/>
      <c r="X57" s="31"/>
      <c r="Y57" s="31"/>
      <c r="Z57" s="31"/>
      <c r="AA57" s="2"/>
      <c r="AB57" s="31"/>
      <c r="AC57" s="31"/>
      <c r="AD57" s="31"/>
      <c r="AE57" s="37"/>
      <c r="AF57" s="37"/>
      <c r="AG57" s="37"/>
    </row>
    <row r="58" spans="1:33" ht="15.75" customHeight="1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6"/>
      <c r="V58" s="1"/>
      <c r="W58" s="31"/>
      <c r="X58" s="31"/>
      <c r="Y58" s="31"/>
      <c r="Z58" s="31"/>
      <c r="AA58" s="2"/>
      <c r="AB58" s="31"/>
      <c r="AC58" s="31"/>
      <c r="AD58" s="31"/>
      <c r="AE58" s="37"/>
      <c r="AF58" s="37"/>
      <c r="AG58" s="37"/>
    </row>
    <row r="59" spans="1:33" ht="15.75" customHeight="1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6"/>
      <c r="V59" s="1"/>
      <c r="W59" s="31"/>
      <c r="X59" s="31"/>
      <c r="Y59" s="31"/>
      <c r="Z59" s="31"/>
      <c r="AA59" s="2"/>
      <c r="AB59" s="31"/>
      <c r="AC59" s="31"/>
      <c r="AD59" s="31"/>
      <c r="AE59" s="37"/>
      <c r="AF59" s="37"/>
      <c r="AG59" s="37"/>
    </row>
    <row r="60" spans="1:33" ht="15.75" customHeight="1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6"/>
      <c r="V60" s="1"/>
      <c r="W60" s="31"/>
      <c r="X60" s="31"/>
      <c r="Y60" s="31"/>
      <c r="Z60" s="31"/>
      <c r="AA60" s="2"/>
      <c r="AB60" s="31"/>
      <c r="AC60" s="31"/>
      <c r="AD60" s="31"/>
      <c r="AE60" s="37"/>
      <c r="AF60" s="37"/>
      <c r="AG60" s="37"/>
    </row>
    <row r="61" spans="1:33" ht="15.75" customHeight="1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6"/>
      <c r="V61" s="1"/>
      <c r="W61" s="31"/>
      <c r="X61" s="31"/>
      <c r="Y61" s="31"/>
      <c r="Z61" s="31"/>
      <c r="AA61" s="2"/>
      <c r="AB61" s="31"/>
      <c r="AC61" s="31"/>
      <c r="AD61" s="31"/>
      <c r="AE61" s="37"/>
      <c r="AF61" s="37"/>
      <c r="AG61" s="37"/>
    </row>
    <row r="62" spans="1:33" ht="15.75" customHeight="1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6"/>
      <c r="V62" s="1"/>
      <c r="W62" s="31"/>
      <c r="X62" s="31"/>
      <c r="Y62" s="31"/>
      <c r="Z62" s="31"/>
      <c r="AA62" s="2"/>
      <c r="AB62" s="31"/>
      <c r="AC62" s="31"/>
      <c r="AD62" s="31"/>
      <c r="AE62" s="37"/>
      <c r="AF62" s="37"/>
      <c r="AG62" s="37"/>
    </row>
    <row r="63" spans="1:33" ht="15.75" customHeight="1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6"/>
      <c r="V63" s="1"/>
      <c r="W63" s="31"/>
      <c r="X63" s="31"/>
      <c r="Y63" s="31"/>
      <c r="Z63" s="31"/>
      <c r="AA63" s="2"/>
      <c r="AB63" s="31"/>
      <c r="AC63" s="31"/>
      <c r="AD63" s="31"/>
      <c r="AE63" s="37"/>
      <c r="AF63" s="37"/>
      <c r="AG63" s="37"/>
    </row>
    <row r="64" spans="1:33" ht="15.75" customHeight="1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6"/>
      <c r="V64" s="1"/>
      <c r="W64" s="31"/>
      <c r="X64" s="31"/>
      <c r="Y64" s="31"/>
      <c r="Z64" s="31"/>
      <c r="AA64" s="2"/>
      <c r="AB64" s="31"/>
      <c r="AC64" s="31"/>
      <c r="AD64" s="31"/>
      <c r="AE64" s="37"/>
      <c r="AF64" s="37"/>
      <c r="AG64" s="37"/>
    </row>
    <row r="65" spans="1:33" ht="15.75" customHeight="1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6"/>
      <c r="V65" s="1"/>
      <c r="W65" s="31"/>
      <c r="X65" s="31"/>
      <c r="Y65" s="31"/>
      <c r="Z65" s="31"/>
      <c r="AA65" s="2"/>
      <c r="AB65" s="31"/>
      <c r="AC65" s="31"/>
      <c r="AD65" s="31"/>
      <c r="AE65" s="37"/>
      <c r="AF65" s="37"/>
      <c r="AG65" s="37"/>
    </row>
    <row r="66" spans="1:33" ht="15.75" customHeight="1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6"/>
      <c r="V66" s="1"/>
      <c r="W66" s="31"/>
      <c r="X66" s="31"/>
      <c r="Y66" s="31"/>
      <c r="Z66" s="31"/>
      <c r="AA66" s="2"/>
      <c r="AB66" s="31"/>
      <c r="AC66" s="31"/>
      <c r="AD66" s="31"/>
      <c r="AE66" s="37"/>
      <c r="AF66" s="37"/>
      <c r="AG66" s="37"/>
    </row>
    <row r="67" spans="1:33" ht="15.75" customHeight="1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6"/>
      <c r="V67" s="1"/>
      <c r="W67" s="31"/>
      <c r="X67" s="31"/>
      <c r="Y67" s="31"/>
      <c r="Z67" s="31"/>
      <c r="AA67" s="2"/>
      <c r="AB67" s="31"/>
      <c r="AC67" s="31"/>
      <c r="AD67" s="31"/>
      <c r="AE67" s="37"/>
      <c r="AF67" s="37"/>
      <c r="AG67" s="37"/>
    </row>
    <row r="68" spans="1:33" ht="15.75" customHeight="1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6"/>
      <c r="V68" s="1"/>
      <c r="W68" s="31"/>
      <c r="X68" s="31"/>
      <c r="Y68" s="31"/>
      <c r="Z68" s="31"/>
      <c r="AA68" s="2"/>
      <c r="AB68" s="31"/>
      <c r="AC68" s="31"/>
      <c r="AD68" s="31"/>
      <c r="AE68" s="37"/>
      <c r="AF68" s="37"/>
      <c r="AG68" s="37"/>
    </row>
    <row r="69" spans="1:33" ht="15.75" customHeight="1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6"/>
      <c r="V69" s="1"/>
      <c r="W69" s="31"/>
      <c r="X69" s="31"/>
      <c r="Y69" s="31"/>
      <c r="Z69" s="31"/>
      <c r="AA69" s="2"/>
      <c r="AB69" s="31"/>
      <c r="AC69" s="31"/>
      <c r="AD69" s="31"/>
      <c r="AE69" s="37"/>
      <c r="AF69" s="37"/>
      <c r="AG69" s="37"/>
    </row>
    <row r="70" spans="1:33" ht="15.75" customHeight="1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6"/>
      <c r="V70" s="1"/>
      <c r="W70" s="31"/>
      <c r="X70" s="31"/>
      <c r="Y70" s="31"/>
      <c r="Z70" s="31"/>
      <c r="AA70" s="2"/>
      <c r="AB70" s="31"/>
      <c r="AC70" s="31"/>
      <c r="AD70" s="31"/>
      <c r="AE70" s="37"/>
      <c r="AF70" s="37"/>
      <c r="AG70" s="37"/>
    </row>
    <row r="71" spans="1:33" ht="15.75" customHeight="1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6"/>
      <c r="V71" s="1"/>
      <c r="W71" s="31"/>
      <c r="X71" s="31"/>
      <c r="Y71" s="31"/>
      <c r="Z71" s="31"/>
      <c r="AA71" s="2"/>
      <c r="AB71" s="31"/>
      <c r="AC71" s="31"/>
      <c r="AD71" s="31"/>
      <c r="AE71" s="37"/>
      <c r="AF71" s="37"/>
      <c r="AG71" s="37"/>
    </row>
    <row r="72" spans="1:33" ht="15.75" customHeight="1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6"/>
      <c r="V72" s="1"/>
      <c r="W72" s="31"/>
      <c r="X72" s="31"/>
      <c r="Y72" s="31"/>
      <c r="Z72" s="31"/>
      <c r="AA72" s="2"/>
      <c r="AB72" s="31"/>
      <c r="AC72" s="31"/>
      <c r="AD72" s="31"/>
      <c r="AE72" s="37"/>
      <c r="AF72" s="37"/>
      <c r="AG72" s="37"/>
    </row>
    <row r="73" spans="1:33" ht="15.75" customHeight="1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6"/>
      <c r="V73" s="1"/>
      <c r="W73" s="31"/>
      <c r="X73" s="31"/>
      <c r="Y73" s="31"/>
      <c r="Z73" s="31"/>
      <c r="AA73" s="2"/>
      <c r="AB73" s="31"/>
      <c r="AC73" s="31"/>
      <c r="AD73" s="31"/>
      <c r="AE73" s="37"/>
      <c r="AF73" s="37"/>
      <c r="AG73" s="37"/>
    </row>
    <row r="74" spans="1:33" ht="15.75" customHeight="1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6"/>
      <c r="V74" s="1"/>
      <c r="W74" s="31"/>
      <c r="X74" s="31"/>
      <c r="Y74" s="31"/>
      <c r="Z74" s="31"/>
      <c r="AA74" s="2"/>
      <c r="AB74" s="31"/>
      <c r="AC74" s="31"/>
      <c r="AD74" s="31"/>
      <c r="AE74" s="37"/>
      <c r="AF74" s="37"/>
      <c r="AG74" s="37"/>
    </row>
    <row r="75" spans="1:33" ht="15.75" customHeight="1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6"/>
      <c r="V75" s="1"/>
      <c r="W75" s="31"/>
      <c r="X75" s="31"/>
      <c r="Y75" s="31"/>
      <c r="Z75" s="31"/>
      <c r="AA75" s="2"/>
      <c r="AB75" s="31"/>
      <c r="AC75" s="31"/>
      <c r="AD75" s="31"/>
      <c r="AE75" s="37"/>
      <c r="AF75" s="37"/>
      <c r="AG75" s="37"/>
    </row>
    <row r="76" spans="1:33" ht="15.75" customHeight="1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6"/>
      <c r="V76" s="1"/>
      <c r="W76" s="31"/>
      <c r="X76" s="31"/>
      <c r="Y76" s="31"/>
      <c r="Z76" s="31"/>
      <c r="AA76" s="2"/>
      <c r="AB76" s="31"/>
      <c r="AC76" s="31"/>
      <c r="AD76" s="31"/>
      <c r="AE76" s="37"/>
      <c r="AF76" s="37"/>
      <c r="AG76" s="37"/>
    </row>
    <row r="77" spans="1:33" ht="15.75" customHeight="1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6"/>
      <c r="V77" s="1"/>
      <c r="W77" s="31"/>
      <c r="X77" s="31"/>
      <c r="Y77" s="31"/>
      <c r="Z77" s="31"/>
      <c r="AA77" s="2"/>
      <c r="AB77" s="31"/>
      <c r="AC77" s="31"/>
      <c r="AD77" s="31"/>
      <c r="AE77" s="37"/>
      <c r="AF77" s="37"/>
      <c r="AG77" s="37"/>
    </row>
    <row r="78" spans="1:33" ht="15.75" customHeight="1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6"/>
      <c r="V78" s="1"/>
      <c r="W78" s="31"/>
      <c r="X78" s="31"/>
      <c r="Y78" s="31"/>
      <c r="Z78" s="31"/>
      <c r="AA78" s="2"/>
      <c r="AB78" s="31"/>
      <c r="AC78" s="31"/>
      <c r="AD78" s="31"/>
      <c r="AE78" s="37"/>
      <c r="AF78" s="37"/>
      <c r="AG78" s="37"/>
    </row>
    <row r="79" spans="1:33" ht="15.75" customHeight="1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6"/>
      <c r="V79" s="1"/>
      <c r="W79" s="31"/>
      <c r="X79" s="31"/>
      <c r="Y79" s="31"/>
      <c r="Z79" s="31"/>
      <c r="AA79" s="2"/>
      <c r="AB79" s="31"/>
      <c r="AC79" s="31"/>
      <c r="AD79" s="31"/>
      <c r="AE79" s="37"/>
      <c r="AF79" s="37"/>
      <c r="AG79" s="37"/>
    </row>
    <row r="80" spans="1:33" ht="15.75" customHeight="1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6"/>
      <c r="V80" s="1"/>
      <c r="W80" s="31"/>
      <c r="X80" s="31"/>
      <c r="Y80" s="31"/>
      <c r="Z80" s="31"/>
      <c r="AA80" s="2"/>
      <c r="AB80" s="31"/>
      <c r="AC80" s="31"/>
      <c r="AD80" s="31"/>
      <c r="AE80" s="37"/>
      <c r="AF80" s="37"/>
      <c r="AG80" s="37"/>
    </row>
    <row r="81" spans="1:33" ht="15.75" customHeight="1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6"/>
      <c r="V81" s="1"/>
      <c r="W81" s="31"/>
      <c r="X81" s="31"/>
      <c r="Y81" s="31"/>
      <c r="Z81" s="31"/>
      <c r="AA81" s="2"/>
      <c r="AB81" s="31"/>
      <c r="AC81" s="31"/>
      <c r="AD81" s="31"/>
      <c r="AE81" s="37"/>
      <c r="AF81" s="37"/>
      <c r="AG81" s="37"/>
    </row>
    <row r="82" spans="1:33" ht="15.75" customHeight="1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6"/>
      <c r="V82" s="1"/>
      <c r="W82" s="31"/>
      <c r="X82" s="31"/>
      <c r="Y82" s="31"/>
      <c r="Z82" s="31"/>
      <c r="AA82" s="2"/>
      <c r="AB82" s="31"/>
      <c r="AC82" s="31"/>
      <c r="AD82" s="31"/>
      <c r="AE82" s="37"/>
      <c r="AF82" s="37"/>
      <c r="AG82" s="37"/>
    </row>
    <row r="83" spans="1:33" ht="15.75" customHeight="1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6"/>
      <c r="V83" s="1"/>
      <c r="W83" s="31"/>
      <c r="X83" s="31"/>
      <c r="Y83" s="31"/>
      <c r="Z83" s="31"/>
      <c r="AA83" s="2"/>
      <c r="AB83" s="31"/>
      <c r="AC83" s="31"/>
      <c r="AD83" s="31"/>
      <c r="AE83" s="37"/>
      <c r="AF83" s="37"/>
      <c r="AG83" s="37"/>
    </row>
    <row r="84" spans="1:33" ht="15.75" customHeight="1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6"/>
      <c r="V84" s="1"/>
      <c r="W84" s="31"/>
      <c r="X84" s="31"/>
      <c r="Y84" s="31"/>
      <c r="Z84" s="31"/>
      <c r="AA84" s="2"/>
      <c r="AB84" s="31"/>
      <c r="AC84" s="31"/>
      <c r="AD84" s="31"/>
      <c r="AE84" s="37"/>
      <c r="AF84" s="37"/>
      <c r="AG84" s="37"/>
    </row>
    <row r="85" spans="1:33" ht="15.75" customHeight="1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6"/>
      <c r="V85" s="1"/>
      <c r="W85" s="31"/>
      <c r="X85" s="31"/>
      <c r="Y85" s="31"/>
      <c r="Z85" s="31"/>
      <c r="AA85" s="2"/>
      <c r="AB85" s="31"/>
      <c r="AC85" s="31"/>
      <c r="AD85" s="31"/>
      <c r="AE85" s="37"/>
      <c r="AF85" s="37"/>
      <c r="AG85" s="37"/>
    </row>
    <row r="86" spans="1:33" ht="15.75" customHeight="1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6"/>
      <c r="V86" s="1"/>
      <c r="W86" s="31"/>
      <c r="X86" s="31"/>
      <c r="Y86" s="31"/>
      <c r="Z86" s="31"/>
      <c r="AA86" s="2"/>
      <c r="AB86" s="31"/>
      <c r="AC86" s="31"/>
      <c r="AD86" s="31"/>
      <c r="AE86" s="37"/>
      <c r="AF86" s="37"/>
      <c r="AG86" s="37"/>
    </row>
    <row r="87" spans="1:33" ht="15.75" customHeight="1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6"/>
      <c r="V87" s="1"/>
      <c r="W87" s="31"/>
      <c r="X87" s="31"/>
      <c r="Y87" s="31"/>
      <c r="Z87" s="31"/>
      <c r="AA87" s="2"/>
      <c r="AB87" s="31"/>
      <c r="AC87" s="31"/>
      <c r="AD87" s="31"/>
      <c r="AE87" s="37"/>
      <c r="AF87" s="37"/>
      <c r="AG87" s="37"/>
    </row>
    <row r="88" spans="1:33" ht="15.75" customHeight="1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6"/>
      <c r="V88" s="1"/>
      <c r="W88" s="31"/>
      <c r="X88" s="31"/>
      <c r="Y88" s="31"/>
      <c r="Z88" s="31"/>
      <c r="AA88" s="2"/>
      <c r="AB88" s="31"/>
      <c r="AC88" s="31"/>
      <c r="AD88" s="31"/>
      <c r="AE88" s="37"/>
      <c r="AF88" s="37"/>
      <c r="AG88" s="37"/>
    </row>
    <row r="89" spans="1:33" ht="15.75" customHeight="1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6"/>
      <c r="V89" s="1"/>
      <c r="W89" s="31"/>
      <c r="X89" s="31"/>
      <c r="Y89" s="31"/>
      <c r="Z89" s="31"/>
      <c r="AA89" s="2"/>
      <c r="AB89" s="31"/>
      <c r="AC89" s="31"/>
      <c r="AD89" s="31"/>
      <c r="AE89" s="37"/>
      <c r="AF89" s="37"/>
      <c r="AG89" s="37"/>
    </row>
    <row r="90" spans="1:33" ht="15.75" customHeight="1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6"/>
      <c r="V90" s="1"/>
      <c r="W90" s="31"/>
      <c r="X90" s="31"/>
      <c r="Y90" s="31"/>
      <c r="Z90" s="31"/>
      <c r="AA90" s="2"/>
      <c r="AB90" s="31"/>
      <c r="AC90" s="31"/>
      <c r="AD90" s="31"/>
      <c r="AE90" s="37"/>
      <c r="AF90" s="37"/>
      <c r="AG90" s="37"/>
    </row>
    <row r="91" spans="1:33" ht="15.75" customHeight="1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6"/>
      <c r="V91" s="1"/>
      <c r="W91" s="31"/>
      <c r="X91" s="31"/>
      <c r="Y91" s="31"/>
      <c r="Z91" s="31"/>
      <c r="AA91" s="2"/>
      <c r="AB91" s="31"/>
      <c r="AC91" s="31"/>
      <c r="AD91" s="31"/>
      <c r="AE91" s="37"/>
      <c r="AF91" s="37"/>
      <c r="AG91" s="37"/>
    </row>
    <row r="92" spans="1:33" ht="15.75" customHeight="1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6"/>
      <c r="V92" s="1"/>
      <c r="W92" s="31"/>
      <c r="X92" s="31"/>
      <c r="Y92" s="31"/>
      <c r="Z92" s="31"/>
      <c r="AA92" s="2"/>
      <c r="AB92" s="31"/>
      <c r="AC92" s="31"/>
      <c r="AD92" s="31"/>
      <c r="AE92" s="37"/>
      <c r="AF92" s="37"/>
      <c r="AG92" s="37"/>
    </row>
    <row r="93" spans="1:33" ht="15.75" customHeight="1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6"/>
      <c r="V93" s="1"/>
      <c r="W93" s="31"/>
      <c r="X93" s="31"/>
      <c r="Y93" s="31"/>
      <c r="Z93" s="31"/>
      <c r="AA93" s="2"/>
      <c r="AB93" s="31"/>
      <c r="AC93" s="31"/>
      <c r="AD93" s="31"/>
      <c r="AE93" s="37"/>
      <c r="AF93" s="37"/>
      <c r="AG93" s="37"/>
    </row>
    <row r="94" spans="1:33" ht="15.75" customHeight="1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6"/>
      <c r="V94" s="1"/>
      <c r="W94" s="31"/>
      <c r="X94" s="31"/>
      <c r="Y94" s="31"/>
      <c r="Z94" s="31"/>
      <c r="AA94" s="2"/>
      <c r="AB94" s="31"/>
      <c r="AC94" s="31"/>
      <c r="AD94" s="31"/>
      <c r="AE94" s="37"/>
      <c r="AF94" s="37"/>
      <c r="AG94" s="37"/>
    </row>
    <row r="95" spans="1:33" ht="15.75" customHeight="1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6"/>
      <c r="V95" s="1"/>
      <c r="W95" s="31"/>
      <c r="X95" s="31"/>
      <c r="Y95" s="31"/>
      <c r="Z95" s="31"/>
      <c r="AA95" s="2"/>
      <c r="AB95" s="31"/>
      <c r="AC95" s="31"/>
      <c r="AD95" s="31"/>
      <c r="AE95" s="37"/>
      <c r="AF95" s="37"/>
      <c r="AG95" s="37"/>
    </row>
    <row r="96" spans="1:33" ht="15.75" customHeight="1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6"/>
      <c r="V96" s="1"/>
      <c r="W96" s="31"/>
      <c r="X96" s="31"/>
      <c r="Y96" s="31"/>
      <c r="Z96" s="31"/>
      <c r="AA96" s="2"/>
      <c r="AB96" s="31"/>
      <c r="AC96" s="31"/>
      <c r="AD96" s="31"/>
      <c r="AE96" s="37"/>
      <c r="AF96" s="37"/>
      <c r="AG96" s="37"/>
    </row>
    <row r="97" spans="1:33" ht="15.75" customHeight="1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8"/>
      <c r="R97" s="38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8"/>
      <c r="R98" s="38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8"/>
      <c r="R99" s="38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8"/>
      <c r="R100" s="38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8"/>
      <c r="R101" s="38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8"/>
      <c r="R102" s="38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8"/>
      <c r="R103" s="38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8"/>
      <c r="R104" s="38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8"/>
      <c r="R105" s="38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8"/>
      <c r="R106" s="38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8"/>
      <c r="R107" s="38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8"/>
      <c r="R108" s="38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8"/>
      <c r="R109" s="38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8"/>
      <c r="R110" s="38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8"/>
      <c r="R111" s="38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8"/>
      <c r="R112" s="38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8"/>
      <c r="R113" s="38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8"/>
      <c r="R114" s="38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>
      <c r="A115" s="31"/>
      <c r="B115" s="31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>
      <c r="A116" s="31"/>
      <c r="B116" s="31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>
      <c r="A117" s="31"/>
      <c r="B117" s="31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>
      <c r="A118" s="31"/>
      <c r="B118" s="31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>
      <c r="A119" s="31"/>
      <c r="B119" s="31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>
      <c r="A120" s="31"/>
      <c r="B120" s="31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>
      <c r="A121" s="31"/>
      <c r="B121" s="31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>
      <c r="A122" s="31"/>
      <c r="B122" s="31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>
      <c r="A123" s="31"/>
      <c r="B123" s="31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>
      <c r="A124" s="31"/>
      <c r="B124" s="31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>
      <c r="A125" s="31"/>
      <c r="B125" s="31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>
      <c r="A126" s="31"/>
      <c r="B126" s="31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>
      <c r="A127" s="31"/>
      <c r="B127" s="31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>
      <c r="A128" s="31"/>
      <c r="B128" s="31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>
      <c r="A129" s="31"/>
      <c r="B129" s="31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>
      <c r="A130" s="31"/>
      <c r="B130" s="31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>
      <c r="A131" s="31"/>
      <c r="B131" s="31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>
      <c r="A132" s="31"/>
      <c r="B132" s="31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>
      <c r="A133" s="31"/>
      <c r="B133" s="31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>
      <c r="A134" s="31"/>
      <c r="B134" s="31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>
      <c r="A135" s="31"/>
      <c r="B135" s="31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>
      <c r="A136" s="31"/>
      <c r="B136" s="31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>
      <c r="A137" s="31"/>
      <c r="B137" s="31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>
      <c r="A138" s="31"/>
      <c r="B138" s="31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>
      <c r="A139" s="31"/>
      <c r="B139" s="31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>
      <c r="A140" s="31"/>
      <c r="B140" s="31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>
      <c r="A141" s="31"/>
      <c r="B141" s="31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2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>
      <c r="A142" s="31"/>
      <c r="B142" s="31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2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>
      <c r="A143" s="31"/>
      <c r="B143" s="31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2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>
      <c r="A144" s="31"/>
      <c r="B144" s="31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2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>
      <c r="A145" s="31"/>
      <c r="B145" s="31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2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>
      <c r="A146" s="31"/>
      <c r="B146" s="31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2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>
      <c r="A147" s="31"/>
      <c r="B147" s="31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2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>
      <c r="A148" s="31"/>
      <c r="B148" s="31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2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</row>
    <row r="149" spans="1:33" ht="15.75" customHeight="1">
      <c r="A149" s="14"/>
      <c r="B149" s="14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>
      <c r="A150" s="14"/>
      <c r="B150" s="14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>
      <c r="A151" s="14"/>
      <c r="B151" s="14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>
      <c r="A152" s="14"/>
      <c r="B152" s="14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>
      <c r="A153" s="14"/>
      <c r="B153" s="14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>
      <c r="A154" s="14"/>
      <c r="B154" s="14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>
      <c r="A155" s="14"/>
      <c r="B155" s="14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>
      <c r="A156" s="14"/>
      <c r="B156" s="14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>
      <c r="A157" s="14"/>
      <c r="B157" s="14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>
      <c r="A158" s="14"/>
      <c r="B158" s="14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>
      <c r="A159" s="14"/>
      <c r="B159" s="14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>
      <c r="A160" s="14"/>
      <c r="B160" s="14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>
      <c r="A161" s="14"/>
      <c r="B161" s="14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>
      <c r="A162" s="14"/>
      <c r="B162" s="14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>
      <c r="A163" s="14"/>
      <c r="B163" s="14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>
      <c r="A164" s="14"/>
      <c r="B164" s="14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>
      <c r="A165" s="14"/>
      <c r="B165" s="14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>
      <c r="A166" s="14"/>
      <c r="B166" s="14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>
      <c r="A167" s="14"/>
      <c r="B167" s="14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>
      <c r="A168" s="14"/>
      <c r="B168" s="14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>
      <c r="A169" s="14"/>
      <c r="B169" s="14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>
      <c r="A170" s="14"/>
      <c r="B170" s="14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>
      <c r="A171" s="14"/>
      <c r="B171" s="14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>
      <c r="A172" s="14"/>
      <c r="B172" s="14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>
      <c r="A173" s="14"/>
      <c r="B173" s="14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>
      <c r="A174" s="14"/>
      <c r="B174" s="14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>
      <c r="A175" s="14"/>
      <c r="B175" s="14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>
      <c r="A176" s="14"/>
      <c r="B176" s="14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>
      <c r="A177" s="14"/>
      <c r="B177" s="14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>
      <c r="A178" s="14"/>
      <c r="B178" s="14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>
      <c r="A179" s="14"/>
      <c r="B179" s="14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>
      <c r="A180" s="14"/>
      <c r="B180" s="14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>
      <c r="A181" s="14"/>
      <c r="B181" s="14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>
      <c r="A182" s="14"/>
      <c r="B182" s="14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>
      <c r="A183" s="14"/>
      <c r="B183" s="14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>
      <c r="A184" s="14"/>
      <c r="B184" s="14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>
      <c r="A185" s="14"/>
      <c r="B185" s="14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>
      <c r="A186" s="14"/>
      <c r="B186" s="14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>
      <c r="A187" s="14"/>
      <c r="B187" s="14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>
      <c r="A188" s="14"/>
      <c r="B188" s="14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>
      <c r="A189" s="14"/>
      <c r="B189" s="14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>
      <c r="A190" s="14"/>
      <c r="B190" s="14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>
      <c r="A191" s="14"/>
      <c r="B191" s="14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>
      <c r="A192" s="14"/>
      <c r="B192" s="14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>
      <c r="A193" s="14"/>
      <c r="B193" s="14"/>
      <c r="C193" s="39"/>
      <c r="D193" s="39"/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>
      <c r="A194" s="14"/>
      <c r="B194" s="14"/>
      <c r="C194" s="39"/>
      <c r="D194" s="39"/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>
      <c r="A195" s="14"/>
      <c r="B195" s="14"/>
      <c r="C195" s="39"/>
      <c r="D195" s="39"/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>
      <c r="A196" s="14"/>
      <c r="B196" s="14"/>
      <c r="C196" s="39"/>
      <c r="D196" s="39"/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>
      <c r="A197" s="14"/>
      <c r="B197" s="14"/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>
      <c r="A198" s="14"/>
      <c r="B198" s="14"/>
      <c r="C198" s="39"/>
      <c r="D198" s="39"/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>
      <c r="A199" s="14"/>
      <c r="B199" s="14"/>
      <c r="C199" s="39"/>
      <c r="D199" s="39"/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>
      <c r="A200" s="14"/>
      <c r="B200" s="14"/>
      <c r="C200" s="39"/>
      <c r="D200" s="39"/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>
      <c r="A201" s="14"/>
      <c r="B201" s="14"/>
      <c r="C201" s="39"/>
      <c r="D201" s="39"/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>
      <c r="A202" s="14"/>
      <c r="B202" s="14"/>
      <c r="C202" s="39"/>
      <c r="D202" s="39"/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>
      <c r="A203" s="14"/>
      <c r="B203" s="14"/>
      <c r="C203" s="39"/>
      <c r="D203" s="39"/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>
      <c r="A204" s="14"/>
      <c r="B204" s="14"/>
      <c r="C204" s="39"/>
      <c r="D204" s="39"/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>
      <c r="A205" s="14"/>
      <c r="B205" s="14"/>
      <c r="C205" s="39"/>
      <c r="D205" s="39"/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>
      <c r="A206" s="14"/>
      <c r="B206" s="14"/>
      <c r="C206" s="39"/>
      <c r="D206" s="39"/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>
      <c r="A207" s="14"/>
      <c r="B207" s="14"/>
      <c r="C207" s="39"/>
      <c r="D207" s="39"/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>
      <c r="A208" s="14"/>
      <c r="B208" s="14"/>
      <c r="C208" s="39"/>
      <c r="D208" s="39"/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>
      <c r="A209" s="14"/>
      <c r="B209" s="14"/>
      <c r="C209" s="39"/>
      <c r="D209" s="39"/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>
      <c r="A210" s="14"/>
      <c r="B210" s="14"/>
      <c r="C210" s="39"/>
      <c r="D210" s="39"/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>
      <c r="A211" s="14"/>
      <c r="B211" s="14"/>
      <c r="C211" s="39"/>
      <c r="D211" s="39"/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>
      <c r="A212" s="14"/>
      <c r="B212" s="14"/>
      <c r="C212" s="39"/>
      <c r="D212" s="39"/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>
      <c r="A213" s="14"/>
      <c r="B213" s="14"/>
      <c r="C213" s="39"/>
      <c r="D213" s="39"/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>
      <c r="A214" s="14"/>
      <c r="B214" s="14"/>
      <c r="C214" s="39"/>
      <c r="D214" s="39"/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>
      <c r="A215" s="14"/>
      <c r="B215" s="14"/>
      <c r="C215" s="39"/>
      <c r="D215" s="39"/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>
      <c r="A216" s="14"/>
      <c r="B216" s="14"/>
      <c r="C216" s="39"/>
      <c r="D216" s="39"/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>
      <c r="A217" s="14"/>
      <c r="B217" s="14"/>
      <c r="C217" s="39"/>
      <c r="D217" s="39"/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>
      <c r="A218" s="14"/>
      <c r="B218" s="14"/>
      <c r="C218" s="39"/>
      <c r="D218" s="39"/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>
      <c r="A219" s="14"/>
      <c r="B219" s="14"/>
      <c r="C219" s="39"/>
      <c r="D219" s="39"/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>
      <c r="A220" s="14"/>
      <c r="B220" s="14"/>
      <c r="C220" s="39"/>
      <c r="D220" s="39"/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>
      <c r="R221" s="30"/>
      <c r="S221" s="40"/>
    </row>
    <row r="222" spans="1:33" ht="15.75" customHeight="1">
      <c r="R222" s="30"/>
      <c r="S222" s="40"/>
    </row>
    <row r="223" spans="1:33" ht="15.75" customHeight="1">
      <c r="R223" s="30"/>
      <c r="S223" s="40"/>
    </row>
    <row r="224" spans="1:33" ht="15.75" customHeight="1">
      <c r="R224" s="30"/>
      <c r="S224" s="40"/>
    </row>
    <row r="225" spans="18:18" ht="15.75" customHeight="1">
      <c r="R225" s="30"/>
    </row>
    <row r="226" spans="18:18" ht="15.75" customHeight="1">
      <c r="R226" s="30"/>
    </row>
    <row r="227" spans="18:18" ht="15.75" customHeight="1">
      <c r="R227" s="30"/>
    </row>
    <row r="228" spans="18:18" ht="15.75" customHeight="1">
      <c r="R228" s="30"/>
    </row>
    <row r="229" spans="18:18" ht="15.75" customHeight="1">
      <c r="R229" s="30"/>
    </row>
    <row r="230" spans="18:18" ht="15.75" customHeight="1">
      <c r="R230" s="30"/>
    </row>
    <row r="231" spans="18:18" ht="15.75" customHeight="1">
      <c r="R231" s="30"/>
    </row>
    <row r="232" spans="18:18" ht="15.75" customHeight="1">
      <c r="R232" s="30"/>
    </row>
    <row r="233" spans="18:18" ht="15.75" customHeight="1">
      <c r="R233" s="30"/>
    </row>
    <row r="234" spans="18:18" ht="15.75" customHeight="1">
      <c r="R234" s="30"/>
    </row>
    <row r="235" spans="18:18" ht="15.75" customHeight="1">
      <c r="R235" s="30"/>
    </row>
    <row r="236" spans="18:18" ht="15.75" customHeight="1">
      <c r="R236" s="30"/>
    </row>
    <row r="237" spans="18:18" ht="15.75" customHeight="1">
      <c r="R237" s="30"/>
    </row>
    <row r="238" spans="18:18" ht="15.75" customHeight="1">
      <c r="R238" s="30"/>
    </row>
    <row r="239" spans="18:18" ht="15.75" customHeight="1">
      <c r="R239" s="30"/>
    </row>
    <row r="240" spans="18:18" ht="15.75" customHeight="1">
      <c r="R240" s="30"/>
    </row>
    <row r="241" spans="18:18" ht="15.75" customHeight="1">
      <c r="R241" s="30"/>
    </row>
    <row r="242" spans="18:18" ht="15.75" customHeight="1">
      <c r="R242" s="30"/>
    </row>
    <row r="243" spans="18:18" ht="15.75" customHeight="1">
      <c r="R243" s="30"/>
    </row>
    <row r="244" spans="18:18" ht="15.75" customHeight="1">
      <c r="R244" s="30"/>
    </row>
    <row r="245" spans="18:18" ht="15.75" customHeight="1">
      <c r="R245" s="30"/>
    </row>
    <row r="246" spans="18:18" ht="15.75" customHeight="1">
      <c r="R246" s="30"/>
    </row>
    <row r="247" spans="18:18" ht="15.75" customHeight="1">
      <c r="R247" s="30"/>
    </row>
    <row r="248" spans="18:18" ht="15.75" customHeight="1">
      <c r="R248" s="30"/>
    </row>
    <row r="249" spans="18:18" ht="15.75" customHeight="1">
      <c r="R249" s="30"/>
    </row>
    <row r="250" spans="18:18" ht="15.75" customHeight="1">
      <c r="R250" s="30"/>
    </row>
    <row r="251" spans="18:18" ht="15.75" customHeight="1">
      <c r="R251" s="30"/>
    </row>
    <row r="252" spans="18:18" ht="15.75" customHeight="1">
      <c r="R252" s="30"/>
    </row>
    <row r="253" spans="18:18" ht="15.75" customHeight="1">
      <c r="R253" s="30"/>
    </row>
    <row r="254" spans="18:18" ht="15.75" customHeight="1">
      <c r="R254" s="30"/>
    </row>
    <row r="255" spans="18:18" ht="15.75" customHeight="1">
      <c r="R255" s="30"/>
    </row>
    <row r="256" spans="18:18" ht="15.75" customHeight="1">
      <c r="R256" s="30"/>
    </row>
    <row r="257" spans="18:18" ht="15.75" customHeight="1">
      <c r="R257" s="30"/>
    </row>
    <row r="258" spans="18:18" ht="15.75" customHeight="1">
      <c r="R258" s="30"/>
    </row>
    <row r="259" spans="18:18" ht="15.75" customHeight="1">
      <c r="R259" s="30"/>
    </row>
    <row r="260" spans="18:18" ht="15.75" customHeight="1">
      <c r="R260" s="30"/>
    </row>
    <row r="261" spans="18:18" ht="15.75" customHeight="1">
      <c r="R261" s="30"/>
    </row>
    <row r="262" spans="18:18" ht="15.75" customHeight="1">
      <c r="R262" s="30"/>
    </row>
    <row r="263" spans="18:18" ht="15.75" customHeight="1">
      <c r="R263" s="30"/>
    </row>
    <row r="264" spans="18:18" ht="15.75" customHeight="1">
      <c r="R264" s="30"/>
    </row>
    <row r="265" spans="18:18" ht="15.75" customHeight="1">
      <c r="R265" s="30"/>
    </row>
    <row r="266" spans="18:18" ht="15.75" customHeight="1">
      <c r="R266" s="30"/>
    </row>
    <row r="267" spans="18:18" ht="15.75" customHeight="1">
      <c r="R267" s="30"/>
    </row>
    <row r="268" spans="18:18" ht="15.75" customHeight="1">
      <c r="R268" s="30"/>
    </row>
    <row r="269" spans="18:18" ht="15.75" customHeight="1">
      <c r="R269" s="30"/>
    </row>
    <row r="270" spans="18:18" ht="15.75" customHeight="1">
      <c r="R270" s="30"/>
    </row>
    <row r="271" spans="18:18" ht="15.75" customHeight="1">
      <c r="R271" s="30"/>
    </row>
    <row r="272" spans="18:18" ht="15.75" customHeight="1">
      <c r="R272" s="30"/>
    </row>
    <row r="273" spans="18:18" ht="15.75" customHeight="1">
      <c r="R273" s="30"/>
    </row>
    <row r="274" spans="18:18" ht="15.75" customHeight="1">
      <c r="R274" s="30"/>
    </row>
    <row r="275" spans="18:18" ht="15.75" customHeight="1">
      <c r="R275" s="30"/>
    </row>
    <row r="276" spans="18:18" ht="15.75" customHeight="1">
      <c r="R276" s="30"/>
    </row>
    <row r="277" spans="18:18" ht="15.75" customHeight="1">
      <c r="R277" s="30"/>
    </row>
    <row r="278" spans="18:18" ht="15.75" customHeight="1">
      <c r="R278" s="30"/>
    </row>
    <row r="279" spans="18:18" ht="15.75" customHeight="1">
      <c r="R279" s="30"/>
    </row>
    <row r="280" spans="18:18" ht="15.75" customHeight="1">
      <c r="R280" s="30"/>
    </row>
    <row r="281" spans="18:18" ht="15.75" customHeight="1">
      <c r="R281" s="30"/>
    </row>
    <row r="282" spans="18:18" ht="15.75" customHeight="1">
      <c r="R282" s="30"/>
    </row>
    <row r="283" spans="18:18" ht="15.75" customHeight="1">
      <c r="R283" s="30"/>
    </row>
    <row r="284" spans="18:18" ht="15.75" customHeight="1">
      <c r="R284" s="30"/>
    </row>
    <row r="285" spans="18:18" ht="15.75" customHeight="1">
      <c r="R285" s="30"/>
    </row>
    <row r="286" spans="18:18" ht="15.75" customHeight="1">
      <c r="R286" s="30"/>
    </row>
    <row r="287" spans="18:18" ht="15.75" customHeight="1">
      <c r="R287" s="30"/>
    </row>
    <row r="288" spans="18:18" ht="15.75" customHeight="1">
      <c r="R288" s="30"/>
    </row>
    <row r="289" spans="18:18" ht="15.75" customHeight="1">
      <c r="R289" s="30"/>
    </row>
    <row r="290" spans="18:18" ht="15.75" customHeight="1">
      <c r="R290" s="30"/>
    </row>
    <row r="291" spans="18:18" ht="15.75" customHeight="1">
      <c r="R291" s="30"/>
    </row>
    <row r="292" spans="18:18" ht="15.75" customHeight="1">
      <c r="R292" s="30"/>
    </row>
    <row r="293" spans="18:18" ht="15.75" customHeight="1">
      <c r="R293" s="30"/>
    </row>
    <row r="294" spans="18:18" ht="15.75" customHeight="1">
      <c r="R294" s="30"/>
    </row>
    <row r="295" spans="18:18" ht="15.75" customHeight="1">
      <c r="R295" s="30"/>
    </row>
    <row r="296" spans="18:18" ht="15.75" customHeight="1">
      <c r="R296" s="30"/>
    </row>
    <row r="297" spans="18:18" ht="15.75" customHeight="1">
      <c r="R297" s="30"/>
    </row>
    <row r="298" spans="18:18" ht="15.75" customHeight="1">
      <c r="R298" s="30"/>
    </row>
    <row r="299" spans="18:18" ht="15.75" customHeight="1">
      <c r="R299" s="30"/>
    </row>
    <row r="300" spans="18:18" ht="15.75" customHeight="1">
      <c r="R300" s="30"/>
    </row>
    <row r="301" spans="18:18" ht="15.75" customHeight="1">
      <c r="R301" s="30"/>
    </row>
    <row r="302" spans="18:18" ht="15.75" customHeight="1">
      <c r="R302" s="30"/>
    </row>
    <row r="303" spans="18:18" ht="15.75" customHeight="1">
      <c r="R303" s="30"/>
    </row>
    <row r="304" spans="18:18" ht="15.75" customHeight="1">
      <c r="R304" s="30"/>
    </row>
    <row r="305" spans="18:18" ht="15.75" customHeight="1">
      <c r="R305" s="30"/>
    </row>
    <row r="306" spans="18:18" ht="15.75" customHeight="1">
      <c r="R306" s="30"/>
    </row>
    <row r="307" spans="18:18" ht="15.75" customHeight="1">
      <c r="R307" s="30"/>
    </row>
    <row r="308" spans="18:18" ht="15.75" customHeight="1">
      <c r="R308" s="30"/>
    </row>
    <row r="309" spans="18:18" ht="15.75" customHeight="1">
      <c r="R309" s="30"/>
    </row>
    <row r="310" spans="18:18" ht="15.75" customHeight="1">
      <c r="R310" s="30"/>
    </row>
    <row r="311" spans="18:18" ht="15.75" customHeight="1">
      <c r="R311" s="30"/>
    </row>
    <row r="312" spans="18:18" ht="15.75" customHeight="1">
      <c r="R312" s="30"/>
    </row>
    <row r="313" spans="18:18" ht="15.75" customHeight="1">
      <c r="R313" s="30"/>
    </row>
    <row r="314" spans="18:18" ht="15.75" customHeight="1">
      <c r="R314" s="30"/>
    </row>
    <row r="315" spans="18:18" ht="15.75" customHeight="1">
      <c r="R315" s="30"/>
    </row>
    <row r="316" spans="18:18" ht="15.75" customHeight="1">
      <c r="R316" s="30"/>
    </row>
    <row r="317" spans="18:18" ht="15.75" customHeight="1">
      <c r="R317" s="30"/>
    </row>
    <row r="318" spans="18:18" ht="15.75" customHeight="1">
      <c r="R318" s="30"/>
    </row>
    <row r="319" spans="18:18" ht="15.75" customHeight="1">
      <c r="R319" s="30"/>
    </row>
    <row r="320" spans="18:18" ht="15.75" customHeight="1">
      <c r="R320" s="30"/>
    </row>
    <row r="321" spans="18:18" ht="15.75" customHeight="1">
      <c r="R321" s="30"/>
    </row>
    <row r="322" spans="18:18" ht="15.75" customHeight="1">
      <c r="R322" s="30"/>
    </row>
    <row r="323" spans="18:18" ht="15.75" customHeight="1">
      <c r="R323" s="30"/>
    </row>
    <row r="324" spans="18:18" ht="15.75" customHeight="1">
      <c r="R324" s="30"/>
    </row>
    <row r="325" spans="18:18" ht="15.75" customHeight="1">
      <c r="R325" s="30"/>
    </row>
    <row r="326" spans="18:18" ht="15.75" customHeight="1">
      <c r="R326" s="30"/>
    </row>
    <row r="327" spans="18:18" ht="15.75" customHeight="1">
      <c r="R327" s="30"/>
    </row>
    <row r="328" spans="18:18" ht="15.75" customHeight="1">
      <c r="R328" s="30"/>
    </row>
    <row r="329" spans="18:18" ht="15.75" customHeight="1">
      <c r="R329" s="30"/>
    </row>
    <row r="330" spans="18:18" ht="15.75" customHeight="1">
      <c r="R330" s="30"/>
    </row>
    <row r="331" spans="18:18" ht="15.75" customHeight="1">
      <c r="R331" s="30"/>
    </row>
    <row r="332" spans="18:18" ht="15.75" customHeight="1">
      <c r="R332" s="30"/>
    </row>
    <row r="333" spans="18:18" ht="15.75" customHeight="1">
      <c r="R333" s="30"/>
    </row>
    <row r="334" spans="18:18" ht="15.75" customHeight="1">
      <c r="R334" s="30"/>
    </row>
    <row r="335" spans="18:18" ht="15.75" customHeight="1">
      <c r="R335" s="30"/>
    </row>
    <row r="336" spans="18:18" ht="15.75" customHeight="1">
      <c r="R336" s="30"/>
    </row>
    <row r="337" spans="18:18" ht="15.75" customHeight="1">
      <c r="R337" s="30"/>
    </row>
    <row r="338" spans="18:18" ht="15.75" customHeight="1">
      <c r="R338" s="30"/>
    </row>
    <row r="339" spans="18:18" ht="15.75" customHeight="1">
      <c r="R339" s="30"/>
    </row>
    <row r="340" spans="18:18" ht="15.75" customHeight="1">
      <c r="R340" s="30"/>
    </row>
    <row r="341" spans="18:18" ht="15.75" customHeight="1">
      <c r="R341" s="30"/>
    </row>
    <row r="342" spans="18:18" ht="15.75" customHeight="1">
      <c r="R342" s="30"/>
    </row>
    <row r="343" spans="18:18" ht="15.75" customHeight="1">
      <c r="R343" s="30"/>
    </row>
    <row r="344" spans="18:18" ht="15.75" customHeight="1">
      <c r="R344" s="30"/>
    </row>
    <row r="345" spans="18:18" ht="15.75" customHeight="1">
      <c r="R345" s="30"/>
    </row>
    <row r="346" spans="18:18" ht="15.75" customHeight="1">
      <c r="R346" s="30"/>
    </row>
    <row r="347" spans="18:18" ht="15.75" customHeight="1">
      <c r="R347" s="30"/>
    </row>
    <row r="348" spans="18:18" ht="15.75" customHeight="1">
      <c r="R348" s="30"/>
    </row>
    <row r="349" spans="18:18" ht="15.75" customHeight="1">
      <c r="R349" s="30"/>
    </row>
    <row r="350" spans="18:18" ht="15.75" customHeight="1">
      <c r="R350" s="30"/>
    </row>
    <row r="351" spans="18:18" ht="15.75" customHeight="1">
      <c r="R351" s="30"/>
    </row>
    <row r="352" spans="18:18" ht="15.75" customHeight="1">
      <c r="R352" s="30"/>
    </row>
    <row r="353" spans="18:18" ht="15.75" customHeight="1">
      <c r="R353" s="30"/>
    </row>
    <row r="354" spans="18:18" ht="15.75" customHeight="1">
      <c r="R354" s="30"/>
    </row>
    <row r="355" spans="18:18" ht="15.75" customHeight="1">
      <c r="R355" s="30"/>
    </row>
    <row r="356" spans="18:18" ht="15.75" customHeight="1">
      <c r="R356" s="30"/>
    </row>
    <row r="357" spans="18:18" ht="15.75" customHeight="1">
      <c r="R357" s="30"/>
    </row>
    <row r="358" spans="18:18" ht="15.75" customHeight="1">
      <c r="R358" s="30"/>
    </row>
    <row r="359" spans="18:18" ht="15.75" customHeight="1">
      <c r="R359" s="30"/>
    </row>
    <row r="360" spans="18:18" ht="15.75" customHeight="1">
      <c r="R360" s="30"/>
    </row>
    <row r="361" spans="18:18" ht="15.75" customHeight="1">
      <c r="R361" s="30"/>
    </row>
    <row r="362" spans="18:18" ht="15.75" customHeight="1">
      <c r="R362" s="30"/>
    </row>
    <row r="363" spans="18:18" ht="15.75" customHeight="1">
      <c r="R363" s="30"/>
    </row>
    <row r="364" spans="18:18" ht="15.75" customHeight="1">
      <c r="R364" s="30"/>
    </row>
    <row r="365" spans="18:18" ht="15.75" customHeight="1">
      <c r="R365" s="30"/>
    </row>
    <row r="366" spans="18:18" ht="15.75" customHeight="1">
      <c r="R366" s="30"/>
    </row>
    <row r="367" spans="18:18" ht="15.75" customHeight="1">
      <c r="R367" s="30"/>
    </row>
    <row r="368" spans="18:18" ht="15.75" customHeight="1">
      <c r="R368" s="30"/>
    </row>
    <row r="369" spans="18:18" ht="15.75" customHeight="1">
      <c r="R369" s="30"/>
    </row>
    <row r="370" spans="18:18" ht="15.75" customHeight="1">
      <c r="R370" s="30"/>
    </row>
    <row r="371" spans="18:18" ht="15.75" customHeight="1">
      <c r="R371" s="30"/>
    </row>
    <row r="372" spans="18:18" ht="15.75" customHeight="1">
      <c r="R372" s="30"/>
    </row>
    <row r="373" spans="18:18" ht="15.75" customHeight="1">
      <c r="R373" s="30"/>
    </row>
    <row r="374" spans="18:18" ht="15.75" customHeight="1">
      <c r="R374" s="30"/>
    </row>
    <row r="375" spans="18:18" ht="15.75" customHeight="1">
      <c r="R375" s="30"/>
    </row>
    <row r="376" spans="18:18" ht="15.75" customHeight="1">
      <c r="R376" s="30"/>
    </row>
    <row r="377" spans="18:18" ht="15.75" customHeight="1">
      <c r="R377" s="30"/>
    </row>
    <row r="378" spans="18:18" ht="15.75" customHeight="1">
      <c r="R378" s="30"/>
    </row>
    <row r="379" spans="18:18" ht="15.75" customHeight="1">
      <c r="R379" s="30"/>
    </row>
    <row r="380" spans="18:18" ht="15.75" customHeight="1">
      <c r="R380" s="30"/>
    </row>
    <row r="381" spans="18:18" ht="15.75" customHeight="1">
      <c r="R381" s="30"/>
    </row>
    <row r="382" spans="18:18" ht="15.75" customHeight="1">
      <c r="R382" s="30"/>
    </row>
    <row r="383" spans="18:18" ht="15.75" customHeight="1">
      <c r="R383" s="30"/>
    </row>
    <row r="384" spans="18:18" ht="15.75" customHeight="1">
      <c r="R384" s="30"/>
    </row>
    <row r="385" spans="18:18" ht="15.75" customHeight="1">
      <c r="R385" s="30"/>
    </row>
    <row r="386" spans="18:18" ht="15.75" customHeight="1">
      <c r="R386" s="30"/>
    </row>
    <row r="387" spans="18:18" ht="15.75" customHeight="1">
      <c r="R387" s="30"/>
    </row>
    <row r="388" spans="18:18" ht="15.75" customHeight="1">
      <c r="R388" s="30"/>
    </row>
    <row r="389" spans="18:18" ht="15.75" customHeight="1">
      <c r="R389" s="30"/>
    </row>
    <row r="390" spans="18:18" ht="15.75" customHeight="1">
      <c r="R390" s="30"/>
    </row>
    <row r="391" spans="18:18" ht="15.75" customHeight="1">
      <c r="R391" s="30"/>
    </row>
    <row r="392" spans="18:18" ht="15.75" customHeight="1">
      <c r="R392" s="30"/>
    </row>
    <row r="393" spans="18:18" ht="15.75" customHeight="1">
      <c r="R393" s="30"/>
    </row>
    <row r="394" spans="18:18" ht="15.75" customHeight="1">
      <c r="R394" s="30"/>
    </row>
    <row r="395" spans="18:18" ht="15.75" customHeight="1">
      <c r="R395" s="30"/>
    </row>
    <row r="396" spans="18:18" ht="15.75" customHeight="1">
      <c r="R396" s="30"/>
    </row>
    <row r="397" spans="18:18" ht="15.75" customHeight="1">
      <c r="R397" s="30"/>
    </row>
    <row r="398" spans="18:18" ht="15.75" customHeight="1">
      <c r="R398" s="30"/>
    </row>
    <row r="399" spans="18:18" ht="15.75" customHeight="1">
      <c r="R399" s="30"/>
    </row>
    <row r="400" spans="18:18" ht="15.75" customHeight="1">
      <c r="R400" s="30"/>
    </row>
    <row r="401" spans="18:18" ht="15.75" customHeight="1">
      <c r="R401" s="30"/>
    </row>
    <row r="402" spans="18:18" ht="15.75" customHeight="1">
      <c r="R402" s="30"/>
    </row>
    <row r="403" spans="18:18" ht="15.75" customHeight="1">
      <c r="R403" s="30"/>
    </row>
    <row r="404" spans="18:18" ht="15.75" customHeight="1">
      <c r="R404" s="30"/>
    </row>
    <row r="405" spans="18:18" ht="15.75" customHeight="1">
      <c r="R405" s="30"/>
    </row>
    <row r="406" spans="18:18" ht="15.75" customHeight="1">
      <c r="R406" s="30"/>
    </row>
    <row r="407" spans="18:18" ht="15.75" customHeight="1">
      <c r="R407" s="30"/>
    </row>
    <row r="408" spans="18:18" ht="15.75" customHeight="1">
      <c r="R408" s="30"/>
    </row>
    <row r="409" spans="18:18" ht="15.75" customHeight="1">
      <c r="R409" s="30"/>
    </row>
    <row r="410" spans="18:18" ht="15.75" customHeight="1">
      <c r="R410" s="30"/>
    </row>
    <row r="411" spans="18:18" ht="15.75" customHeight="1">
      <c r="R411" s="30"/>
    </row>
    <row r="412" spans="18:18" ht="15.75" customHeight="1">
      <c r="R412" s="30"/>
    </row>
    <row r="413" spans="18:18" ht="15.75" customHeight="1">
      <c r="R413" s="30"/>
    </row>
    <row r="414" spans="18:18" ht="15.75" customHeight="1">
      <c r="R414" s="30"/>
    </row>
    <row r="415" spans="18:18" ht="15.75" customHeight="1">
      <c r="R415" s="30"/>
    </row>
    <row r="416" spans="18:18" ht="15.75" customHeight="1">
      <c r="R416" s="30"/>
    </row>
    <row r="417" spans="18:18" ht="15.75" customHeight="1">
      <c r="R417" s="30"/>
    </row>
    <row r="418" spans="18:18" ht="15.75" customHeight="1">
      <c r="R418" s="30"/>
    </row>
    <row r="419" spans="18:18" ht="15.75" customHeight="1">
      <c r="R419" s="30"/>
    </row>
    <row r="420" spans="18:18" ht="15.75" customHeight="1">
      <c r="R420" s="30"/>
    </row>
    <row r="421" spans="18:18" ht="15.75" customHeight="1">
      <c r="R421" s="30"/>
    </row>
    <row r="422" spans="18:18" ht="15.75" customHeight="1">
      <c r="R422" s="30"/>
    </row>
    <row r="423" spans="18:18" ht="15.75" customHeight="1">
      <c r="R423" s="30"/>
    </row>
    <row r="424" spans="18:18" ht="15.75" customHeight="1">
      <c r="R424" s="30"/>
    </row>
    <row r="425" spans="18:18" ht="15.75" customHeight="1">
      <c r="R425" s="30"/>
    </row>
    <row r="426" spans="18:18" ht="15.75" customHeight="1">
      <c r="R426" s="30"/>
    </row>
    <row r="427" spans="18:18" ht="15.75" customHeight="1">
      <c r="R427" s="30"/>
    </row>
    <row r="428" spans="18:18" ht="15.75" customHeight="1">
      <c r="R428" s="30"/>
    </row>
    <row r="429" spans="18:18" ht="15.75" customHeight="1">
      <c r="R429" s="30"/>
    </row>
    <row r="430" spans="18:18" ht="15.75" customHeight="1">
      <c r="R430" s="30"/>
    </row>
    <row r="431" spans="18:18" ht="15.75" customHeight="1">
      <c r="R431" s="30"/>
    </row>
    <row r="432" spans="18:18" ht="15.75" customHeight="1">
      <c r="R432" s="30"/>
    </row>
    <row r="433" spans="18:18" ht="15.75" customHeight="1">
      <c r="R433" s="30"/>
    </row>
    <row r="434" spans="18:18" ht="15.75" customHeight="1">
      <c r="R434" s="30"/>
    </row>
    <row r="435" spans="18:18" ht="15.75" customHeight="1">
      <c r="R435" s="30"/>
    </row>
    <row r="436" spans="18:18" ht="15.75" customHeight="1">
      <c r="R436" s="30"/>
    </row>
    <row r="437" spans="18:18" ht="15.75" customHeight="1">
      <c r="R437" s="30"/>
    </row>
    <row r="438" spans="18:18" ht="15.75" customHeight="1">
      <c r="R438" s="30"/>
    </row>
    <row r="439" spans="18:18" ht="15.75" customHeight="1">
      <c r="R439" s="30"/>
    </row>
    <row r="440" spans="18:18" ht="15.75" customHeight="1">
      <c r="R440" s="30"/>
    </row>
    <row r="441" spans="18:18" ht="15.75" customHeight="1">
      <c r="R441" s="30"/>
    </row>
    <row r="442" spans="18:18" ht="15.75" customHeight="1">
      <c r="R442" s="30"/>
    </row>
    <row r="443" spans="18:18" ht="15.75" customHeight="1">
      <c r="R443" s="30"/>
    </row>
    <row r="444" spans="18:18" ht="15.75" customHeight="1">
      <c r="R444" s="30"/>
    </row>
    <row r="445" spans="18:18" ht="15.75" customHeight="1">
      <c r="R445" s="30"/>
    </row>
    <row r="446" spans="18:18" ht="15.75" customHeight="1">
      <c r="R446" s="30"/>
    </row>
    <row r="447" spans="18:18" ht="15.75" customHeight="1">
      <c r="R447" s="30"/>
    </row>
    <row r="448" spans="18:18" ht="15.75" customHeight="1">
      <c r="R448" s="30"/>
    </row>
    <row r="449" spans="18:18" ht="15.75" customHeight="1">
      <c r="R449" s="30"/>
    </row>
    <row r="450" spans="18:18" ht="15.75" customHeight="1">
      <c r="R450" s="30"/>
    </row>
    <row r="451" spans="18:18" ht="15.75" customHeight="1">
      <c r="R451" s="30"/>
    </row>
    <row r="452" spans="18:18" ht="15.75" customHeight="1">
      <c r="R452" s="30"/>
    </row>
    <row r="453" spans="18:18" ht="15.75" customHeight="1">
      <c r="R453" s="30"/>
    </row>
    <row r="454" spans="18:18" ht="15.75" customHeight="1">
      <c r="R454" s="30"/>
    </row>
    <row r="455" spans="18:18" ht="15.75" customHeight="1">
      <c r="R455" s="30"/>
    </row>
    <row r="456" spans="18:18" ht="15.75" customHeight="1">
      <c r="R456" s="30"/>
    </row>
    <row r="457" spans="18:18" ht="15.75" customHeight="1">
      <c r="R457" s="30"/>
    </row>
    <row r="458" spans="18:18" ht="15.75" customHeight="1">
      <c r="R458" s="30"/>
    </row>
    <row r="459" spans="18:18" ht="15.75" customHeight="1">
      <c r="R459" s="30"/>
    </row>
    <row r="460" spans="18:18" ht="15.75" customHeight="1">
      <c r="R460" s="30"/>
    </row>
    <row r="461" spans="18:18" ht="15.75" customHeight="1">
      <c r="R461" s="30"/>
    </row>
    <row r="462" spans="18:18" ht="15.75" customHeight="1">
      <c r="R462" s="30"/>
    </row>
    <row r="463" spans="18:18" ht="15.75" customHeight="1">
      <c r="R463" s="30"/>
    </row>
    <row r="464" spans="18:18" ht="15.75" customHeight="1">
      <c r="R464" s="30"/>
    </row>
    <row r="465" spans="18:18" ht="15.75" customHeight="1">
      <c r="R465" s="30"/>
    </row>
    <row r="466" spans="18:18" ht="15.75" customHeight="1">
      <c r="R466" s="30"/>
    </row>
    <row r="467" spans="18:18" ht="15.75" customHeight="1">
      <c r="R467" s="30"/>
    </row>
    <row r="468" spans="18:18" ht="15.75" customHeight="1">
      <c r="R468" s="30"/>
    </row>
    <row r="469" spans="18:18" ht="15.75" customHeight="1">
      <c r="R469" s="30"/>
    </row>
    <row r="470" spans="18:18" ht="15.75" customHeight="1">
      <c r="R470" s="30"/>
    </row>
    <row r="471" spans="18:18" ht="15.75" customHeight="1">
      <c r="R471" s="30"/>
    </row>
    <row r="472" spans="18:18" ht="15.75" customHeight="1">
      <c r="R472" s="30"/>
    </row>
    <row r="473" spans="18:18" ht="15.75" customHeight="1">
      <c r="R473" s="30"/>
    </row>
    <row r="474" spans="18:18" ht="15.75" customHeight="1">
      <c r="R474" s="30"/>
    </row>
    <row r="475" spans="18:18" ht="15.75" customHeight="1">
      <c r="R475" s="30"/>
    </row>
    <row r="476" spans="18:18" ht="15.75" customHeight="1">
      <c r="R476" s="30"/>
    </row>
    <row r="477" spans="18:18" ht="15.75" customHeight="1">
      <c r="R477" s="30"/>
    </row>
    <row r="478" spans="18:18" ht="15.75" customHeight="1">
      <c r="R478" s="30"/>
    </row>
    <row r="479" spans="18:18" ht="15.75" customHeight="1">
      <c r="R479" s="30"/>
    </row>
    <row r="480" spans="18:18" ht="15.75" customHeight="1">
      <c r="R480" s="30"/>
    </row>
    <row r="481" spans="18:18" ht="15.75" customHeight="1">
      <c r="R481" s="30"/>
    </row>
    <row r="482" spans="18:18" ht="15.75" customHeight="1">
      <c r="R482" s="30"/>
    </row>
    <row r="483" spans="18:18" ht="15.75" customHeight="1">
      <c r="R483" s="30"/>
    </row>
    <row r="484" spans="18:18" ht="15.75" customHeight="1">
      <c r="R484" s="30"/>
    </row>
    <row r="485" spans="18:18" ht="15.75" customHeight="1">
      <c r="R485" s="30"/>
    </row>
    <row r="486" spans="18:18" ht="15.75" customHeight="1">
      <c r="R486" s="30"/>
    </row>
    <row r="487" spans="18:18" ht="15.75" customHeight="1">
      <c r="R487" s="30"/>
    </row>
    <row r="488" spans="18:18" ht="15.75" customHeight="1">
      <c r="R488" s="30"/>
    </row>
    <row r="489" spans="18:18" ht="15.75" customHeight="1">
      <c r="R489" s="30"/>
    </row>
    <row r="490" spans="18:18" ht="15.75" customHeight="1">
      <c r="R490" s="30"/>
    </row>
    <row r="491" spans="18:18" ht="15.75" customHeight="1">
      <c r="R491" s="30"/>
    </row>
    <row r="492" spans="18:18" ht="15.75" customHeight="1">
      <c r="R492" s="30"/>
    </row>
    <row r="493" spans="18:18" ht="15.75" customHeight="1">
      <c r="R493" s="30"/>
    </row>
    <row r="494" spans="18:18" ht="15.75" customHeight="1">
      <c r="R494" s="30"/>
    </row>
    <row r="495" spans="18:18" ht="15.75" customHeight="1">
      <c r="R495" s="30"/>
    </row>
    <row r="496" spans="18:18" ht="15.75" customHeight="1">
      <c r="R496" s="30"/>
    </row>
    <row r="497" spans="18:18" ht="15.75" customHeight="1">
      <c r="R497" s="30"/>
    </row>
    <row r="498" spans="18:18" ht="15.75" customHeight="1">
      <c r="R498" s="30"/>
    </row>
    <row r="499" spans="18:18" ht="15.75" customHeight="1">
      <c r="R499" s="30"/>
    </row>
    <row r="500" spans="18:18" ht="15.75" customHeight="1">
      <c r="R500" s="30"/>
    </row>
    <row r="501" spans="18:18" ht="15.75" customHeight="1">
      <c r="R501" s="30"/>
    </row>
    <row r="502" spans="18:18" ht="15.75" customHeight="1">
      <c r="R502" s="30"/>
    </row>
    <row r="503" spans="18:18" ht="15.75" customHeight="1">
      <c r="R503" s="30"/>
    </row>
    <row r="504" spans="18:18" ht="15.75" customHeight="1">
      <c r="R504" s="30"/>
    </row>
    <row r="505" spans="18:18" ht="15.75" customHeight="1">
      <c r="R505" s="30"/>
    </row>
    <row r="506" spans="18:18" ht="15.75" customHeight="1">
      <c r="R506" s="30"/>
    </row>
    <row r="507" spans="18:18" ht="15.75" customHeight="1">
      <c r="R507" s="30"/>
    </row>
    <row r="508" spans="18:18" ht="15.75" customHeight="1">
      <c r="R508" s="30"/>
    </row>
    <row r="509" spans="18:18" ht="15.75" customHeight="1">
      <c r="R509" s="30"/>
    </row>
    <row r="510" spans="18:18" ht="15.75" customHeight="1">
      <c r="R510" s="30"/>
    </row>
    <row r="511" spans="18:18" ht="15.75" customHeight="1">
      <c r="R511" s="30"/>
    </row>
    <row r="512" spans="18:18" ht="15.75" customHeight="1">
      <c r="R512" s="30"/>
    </row>
    <row r="513" spans="18:18" ht="15.75" customHeight="1">
      <c r="R513" s="30"/>
    </row>
    <row r="514" spans="18:18" ht="15.75" customHeight="1">
      <c r="R514" s="30"/>
    </row>
    <row r="515" spans="18:18" ht="15.75" customHeight="1">
      <c r="R515" s="30"/>
    </row>
    <row r="516" spans="18:18" ht="15.75" customHeight="1">
      <c r="R516" s="30"/>
    </row>
    <row r="517" spans="18:18" ht="15.75" customHeight="1">
      <c r="R517" s="30"/>
    </row>
    <row r="518" spans="18:18" ht="15.75" customHeight="1">
      <c r="R518" s="30"/>
    </row>
    <row r="519" spans="18:18" ht="15.75" customHeight="1">
      <c r="R519" s="30"/>
    </row>
    <row r="520" spans="18:18" ht="15.75" customHeight="1">
      <c r="R520" s="30"/>
    </row>
    <row r="521" spans="18:18" ht="15.75" customHeight="1">
      <c r="R521" s="30"/>
    </row>
    <row r="522" spans="18:18" ht="15.75" customHeight="1">
      <c r="R522" s="30"/>
    </row>
    <row r="523" spans="18:18" ht="15.75" customHeight="1">
      <c r="R523" s="30"/>
    </row>
    <row r="524" spans="18:18" ht="15.75" customHeight="1">
      <c r="R524" s="30"/>
    </row>
    <row r="525" spans="18:18" ht="15.75" customHeight="1">
      <c r="R525" s="30"/>
    </row>
    <row r="526" spans="18:18" ht="15.75" customHeight="1">
      <c r="R526" s="30"/>
    </row>
    <row r="527" spans="18:18" ht="15.75" customHeight="1">
      <c r="R527" s="30"/>
    </row>
    <row r="528" spans="18:18" ht="15.75" customHeight="1">
      <c r="R528" s="30"/>
    </row>
    <row r="529" spans="18:18" ht="15.75" customHeight="1">
      <c r="R529" s="30"/>
    </row>
    <row r="530" spans="18:18" ht="15.75" customHeight="1">
      <c r="R530" s="30"/>
    </row>
    <row r="531" spans="18:18" ht="15.75" customHeight="1">
      <c r="R531" s="30"/>
    </row>
    <row r="532" spans="18:18" ht="15.75" customHeight="1">
      <c r="R532" s="30"/>
    </row>
    <row r="533" spans="18:18" ht="15.75" customHeight="1">
      <c r="R533" s="30"/>
    </row>
    <row r="534" spans="18:18" ht="15.75" customHeight="1">
      <c r="R534" s="30"/>
    </row>
    <row r="535" spans="18:18" ht="15.75" customHeight="1">
      <c r="R535" s="30"/>
    </row>
    <row r="536" spans="18:18" ht="15.75" customHeight="1">
      <c r="R536" s="30"/>
    </row>
    <row r="537" spans="18:18" ht="15.75" customHeight="1">
      <c r="R537" s="30"/>
    </row>
    <row r="538" spans="18:18" ht="15.75" customHeight="1">
      <c r="R538" s="30"/>
    </row>
    <row r="539" spans="18:18" ht="15.75" customHeight="1">
      <c r="R539" s="30"/>
    </row>
    <row r="540" spans="18:18" ht="15.75" customHeight="1">
      <c r="R540" s="30"/>
    </row>
    <row r="541" spans="18:18" ht="15.75" customHeight="1">
      <c r="R541" s="30"/>
    </row>
    <row r="542" spans="18:18" ht="15.75" customHeight="1">
      <c r="R542" s="30"/>
    </row>
    <row r="543" spans="18:18" ht="15.75" customHeight="1">
      <c r="R543" s="30"/>
    </row>
    <row r="544" spans="18:18" ht="15.75" customHeight="1">
      <c r="R544" s="30"/>
    </row>
    <row r="545" spans="18:18" ht="15.75" customHeight="1">
      <c r="R545" s="30"/>
    </row>
    <row r="546" spans="18:18" ht="15.75" customHeight="1">
      <c r="R546" s="30"/>
    </row>
    <row r="547" spans="18:18" ht="15.75" customHeight="1">
      <c r="R547" s="30"/>
    </row>
    <row r="548" spans="18:18" ht="15.75" customHeight="1">
      <c r="R548" s="30"/>
    </row>
    <row r="549" spans="18:18" ht="15.75" customHeight="1">
      <c r="R549" s="30"/>
    </row>
    <row r="550" spans="18:18" ht="15.75" customHeight="1">
      <c r="R550" s="30"/>
    </row>
    <row r="551" spans="18:18" ht="15.75" customHeight="1">
      <c r="R551" s="30"/>
    </row>
    <row r="552" spans="18:18" ht="15.75" customHeight="1">
      <c r="R552" s="30"/>
    </row>
    <row r="553" spans="18:18" ht="15.75" customHeight="1">
      <c r="R553" s="30"/>
    </row>
    <row r="554" spans="18:18" ht="15.75" customHeight="1">
      <c r="R554" s="30"/>
    </row>
    <row r="555" spans="18:18" ht="15.75" customHeight="1">
      <c r="R555" s="30"/>
    </row>
    <row r="556" spans="18:18" ht="15.75" customHeight="1">
      <c r="R556" s="30"/>
    </row>
    <row r="557" spans="18:18" ht="15.75" customHeight="1">
      <c r="R557" s="30"/>
    </row>
    <row r="558" spans="18:18" ht="15.75" customHeight="1">
      <c r="R558" s="30"/>
    </row>
    <row r="559" spans="18:18" ht="15.75" customHeight="1">
      <c r="R559" s="30"/>
    </row>
    <row r="560" spans="18:18" ht="15.75" customHeight="1">
      <c r="R560" s="30"/>
    </row>
    <row r="561" spans="18:18" ht="15.75" customHeight="1">
      <c r="R561" s="30"/>
    </row>
    <row r="562" spans="18:18" ht="15.75" customHeight="1">
      <c r="R562" s="30"/>
    </row>
    <row r="563" spans="18:18" ht="15.75" customHeight="1">
      <c r="R563" s="30"/>
    </row>
    <row r="564" spans="18:18" ht="15.75" customHeight="1">
      <c r="R564" s="30"/>
    </row>
    <row r="565" spans="18:18" ht="15.75" customHeight="1">
      <c r="R565" s="30"/>
    </row>
    <row r="566" spans="18:18" ht="15.75" customHeight="1">
      <c r="R566" s="30"/>
    </row>
    <row r="567" spans="18:18" ht="15.75" customHeight="1">
      <c r="R567" s="30"/>
    </row>
    <row r="568" spans="18:18" ht="15.75" customHeight="1">
      <c r="R568" s="30"/>
    </row>
    <row r="569" spans="18:18" ht="15.75" customHeight="1">
      <c r="R569" s="30"/>
    </row>
    <row r="570" spans="18:18" ht="15.75" customHeight="1">
      <c r="R570" s="30"/>
    </row>
    <row r="571" spans="18:18" ht="15.75" customHeight="1">
      <c r="R571" s="30"/>
    </row>
    <row r="572" spans="18:18" ht="15.75" customHeight="1">
      <c r="R572" s="30"/>
    </row>
    <row r="573" spans="18:18" ht="15.75" customHeight="1">
      <c r="R573" s="30"/>
    </row>
    <row r="574" spans="18:18" ht="15.75" customHeight="1">
      <c r="R574" s="30"/>
    </row>
    <row r="575" spans="18:18" ht="15.75" customHeight="1">
      <c r="R575" s="30"/>
    </row>
    <row r="576" spans="18:18" ht="15.75" customHeight="1">
      <c r="R576" s="30"/>
    </row>
    <row r="577" spans="18:18" ht="15.75" customHeight="1">
      <c r="R577" s="30"/>
    </row>
    <row r="578" spans="18:18" ht="15.75" customHeight="1">
      <c r="R578" s="30"/>
    </row>
    <row r="579" spans="18:18" ht="15.75" customHeight="1">
      <c r="R579" s="30"/>
    </row>
    <row r="580" spans="18:18" ht="15.75" customHeight="1">
      <c r="R580" s="30"/>
    </row>
    <row r="581" spans="18:18" ht="15.75" customHeight="1">
      <c r="R581" s="30"/>
    </row>
    <row r="582" spans="18:18" ht="15.75" customHeight="1">
      <c r="R582" s="30"/>
    </row>
    <row r="583" spans="18:18" ht="15.75" customHeight="1">
      <c r="R583" s="30"/>
    </row>
    <row r="584" spans="18:18" ht="15.75" customHeight="1">
      <c r="R584" s="30"/>
    </row>
    <row r="585" spans="18:18" ht="15.75" customHeight="1">
      <c r="R585" s="30"/>
    </row>
    <row r="586" spans="18:18" ht="15.75" customHeight="1">
      <c r="R586" s="30"/>
    </row>
    <row r="587" spans="18:18" ht="15.75" customHeight="1">
      <c r="R587" s="30"/>
    </row>
    <row r="588" spans="18:18" ht="15.75" customHeight="1">
      <c r="R588" s="30"/>
    </row>
    <row r="589" spans="18:18" ht="15.75" customHeight="1">
      <c r="R589" s="30"/>
    </row>
    <row r="590" spans="18:18" ht="15.75" customHeight="1">
      <c r="R590" s="30"/>
    </row>
    <row r="591" spans="18:18" ht="15.75" customHeight="1">
      <c r="R591" s="30"/>
    </row>
    <row r="592" spans="18:18" ht="15.75" customHeight="1">
      <c r="R592" s="30"/>
    </row>
    <row r="593" spans="18:18" ht="15.75" customHeight="1">
      <c r="R593" s="30"/>
    </row>
    <row r="594" spans="18:18" ht="15.75" customHeight="1">
      <c r="R594" s="30"/>
    </row>
    <row r="595" spans="18:18" ht="15.75" customHeight="1">
      <c r="R595" s="30"/>
    </row>
    <row r="596" spans="18:18" ht="15.75" customHeight="1">
      <c r="R596" s="30"/>
    </row>
    <row r="597" spans="18:18" ht="15.75" customHeight="1">
      <c r="R597" s="30"/>
    </row>
    <row r="598" spans="18:18" ht="15.75" customHeight="1">
      <c r="R598" s="30"/>
    </row>
    <row r="599" spans="18:18" ht="15.75" customHeight="1">
      <c r="R599" s="30"/>
    </row>
    <row r="600" spans="18:18" ht="15.75" customHeight="1">
      <c r="R600" s="30"/>
    </row>
    <row r="601" spans="18:18" ht="15.75" customHeight="1">
      <c r="R601" s="30"/>
    </row>
    <row r="602" spans="18:18" ht="15.75" customHeight="1">
      <c r="R602" s="30"/>
    </row>
    <row r="603" spans="18:18" ht="15.75" customHeight="1">
      <c r="R603" s="30"/>
    </row>
    <row r="604" spans="18:18" ht="15.75" customHeight="1">
      <c r="R604" s="30"/>
    </row>
    <row r="605" spans="18:18" ht="15.75" customHeight="1">
      <c r="R605" s="30"/>
    </row>
    <row r="606" spans="18:18" ht="15.75" customHeight="1">
      <c r="R606" s="30"/>
    </row>
    <row r="607" spans="18:18" ht="15.75" customHeight="1">
      <c r="R607" s="30"/>
    </row>
    <row r="608" spans="18:18" ht="15.75" customHeight="1">
      <c r="R608" s="30"/>
    </row>
    <row r="609" spans="18:18" ht="15.75" customHeight="1">
      <c r="R609" s="30"/>
    </row>
    <row r="610" spans="18:18" ht="15.75" customHeight="1">
      <c r="R610" s="30"/>
    </row>
    <row r="611" spans="18:18" ht="15.75" customHeight="1">
      <c r="R611" s="30"/>
    </row>
    <row r="612" spans="18:18" ht="15.75" customHeight="1">
      <c r="R612" s="30"/>
    </row>
    <row r="613" spans="18:18" ht="15.75" customHeight="1">
      <c r="R613" s="30"/>
    </row>
    <row r="614" spans="18:18" ht="15.75" customHeight="1">
      <c r="R614" s="30"/>
    </row>
    <row r="615" spans="18:18" ht="15.75" customHeight="1">
      <c r="R615" s="30"/>
    </row>
    <row r="616" spans="18:18" ht="15.75" customHeight="1">
      <c r="R616" s="30"/>
    </row>
    <row r="617" spans="18:18" ht="15.75" customHeight="1">
      <c r="R617" s="30"/>
    </row>
    <row r="618" spans="18:18" ht="15.75" customHeight="1">
      <c r="R618" s="30"/>
    </row>
    <row r="619" spans="18:18" ht="15.75" customHeight="1">
      <c r="R619" s="30"/>
    </row>
    <row r="620" spans="18:18" ht="15.75" customHeight="1">
      <c r="R620" s="30"/>
    </row>
    <row r="621" spans="18:18" ht="15.75" customHeight="1">
      <c r="R621" s="30"/>
    </row>
    <row r="622" spans="18:18" ht="15.75" customHeight="1">
      <c r="R622" s="30"/>
    </row>
    <row r="623" spans="18:18" ht="15.75" customHeight="1">
      <c r="R623" s="30"/>
    </row>
    <row r="624" spans="18:18" ht="15.75" customHeight="1">
      <c r="R624" s="30"/>
    </row>
    <row r="625" spans="18:18" ht="15.75" customHeight="1">
      <c r="R625" s="30"/>
    </row>
    <row r="626" spans="18:18" ht="15.75" customHeight="1">
      <c r="R626" s="30"/>
    </row>
    <row r="627" spans="18:18" ht="15.75" customHeight="1">
      <c r="R627" s="30"/>
    </row>
    <row r="628" spans="18:18" ht="15.75" customHeight="1">
      <c r="R628" s="30"/>
    </row>
    <row r="629" spans="18:18" ht="15.75" customHeight="1">
      <c r="R629" s="30"/>
    </row>
    <row r="630" spans="18:18" ht="15.75" customHeight="1">
      <c r="R630" s="30"/>
    </row>
    <row r="631" spans="18:18" ht="15.75" customHeight="1">
      <c r="R631" s="30"/>
    </row>
    <row r="632" spans="18:18" ht="15.75" customHeight="1">
      <c r="R632" s="30"/>
    </row>
    <row r="633" spans="18:18" ht="15.75" customHeight="1">
      <c r="R633" s="30"/>
    </row>
    <row r="634" spans="18:18" ht="15.75" customHeight="1">
      <c r="R634" s="30"/>
    </row>
    <row r="635" spans="18:18" ht="15.75" customHeight="1">
      <c r="R635" s="30"/>
    </row>
    <row r="636" spans="18:18" ht="15.75" customHeight="1">
      <c r="R636" s="30"/>
    </row>
    <row r="637" spans="18:18" ht="15.75" customHeight="1">
      <c r="R637" s="30"/>
    </row>
    <row r="638" spans="18:18" ht="15.75" customHeight="1">
      <c r="R638" s="30"/>
    </row>
    <row r="639" spans="18:18" ht="15.75" customHeight="1">
      <c r="R639" s="30"/>
    </row>
    <row r="640" spans="18:18" ht="15.75" customHeight="1">
      <c r="R640" s="30"/>
    </row>
    <row r="641" spans="18:18" ht="15.75" customHeight="1">
      <c r="R641" s="30"/>
    </row>
    <row r="642" spans="18:18" ht="15.75" customHeight="1">
      <c r="R642" s="30"/>
    </row>
    <row r="643" spans="18:18" ht="15.75" customHeight="1">
      <c r="R643" s="30"/>
    </row>
    <row r="644" spans="18:18" ht="15.75" customHeight="1">
      <c r="R644" s="30"/>
    </row>
    <row r="645" spans="18:18" ht="15.75" customHeight="1">
      <c r="R645" s="30"/>
    </row>
    <row r="646" spans="18:18" ht="15.75" customHeight="1">
      <c r="R646" s="30"/>
    </row>
    <row r="647" spans="18:18" ht="15.75" customHeight="1">
      <c r="R647" s="30"/>
    </row>
    <row r="648" spans="18:18" ht="15.75" customHeight="1">
      <c r="R648" s="30"/>
    </row>
    <row r="649" spans="18:18" ht="15.75" customHeight="1">
      <c r="R649" s="30"/>
    </row>
    <row r="650" spans="18:18" ht="15.75" customHeight="1">
      <c r="R650" s="30"/>
    </row>
    <row r="651" spans="18:18" ht="15.75" customHeight="1">
      <c r="R651" s="30"/>
    </row>
    <row r="652" spans="18:18" ht="15.75" customHeight="1">
      <c r="R652" s="30"/>
    </row>
    <row r="653" spans="18:18" ht="15.75" customHeight="1">
      <c r="R653" s="30"/>
    </row>
    <row r="654" spans="18:18" ht="15.75" customHeight="1">
      <c r="R654" s="30"/>
    </row>
    <row r="655" spans="18:18" ht="15.75" customHeight="1">
      <c r="R655" s="30"/>
    </row>
    <row r="656" spans="18:18" ht="15.75" customHeight="1">
      <c r="R656" s="30"/>
    </row>
    <row r="657" spans="18:18" ht="15.75" customHeight="1">
      <c r="R657" s="30"/>
    </row>
    <row r="658" spans="18:18" ht="15.75" customHeight="1">
      <c r="R658" s="30"/>
    </row>
    <row r="659" spans="18:18" ht="15.75" customHeight="1">
      <c r="R659" s="30"/>
    </row>
    <row r="660" spans="18:18" ht="15.75" customHeight="1">
      <c r="R660" s="30"/>
    </row>
    <row r="661" spans="18:18" ht="15.75" customHeight="1">
      <c r="R661" s="30"/>
    </row>
    <row r="662" spans="18:18" ht="15.75" customHeight="1">
      <c r="R662" s="30"/>
    </row>
    <row r="663" spans="18:18" ht="15.75" customHeight="1">
      <c r="R663" s="30"/>
    </row>
    <row r="664" spans="18:18" ht="15.75" customHeight="1">
      <c r="R664" s="30"/>
    </row>
    <row r="665" spans="18:18" ht="15.75" customHeight="1">
      <c r="R665" s="30"/>
    </row>
    <row r="666" spans="18:18" ht="15.75" customHeight="1">
      <c r="R666" s="30"/>
    </row>
    <row r="667" spans="18:18" ht="15.75" customHeight="1">
      <c r="R667" s="30"/>
    </row>
    <row r="668" spans="18:18" ht="15.75" customHeight="1">
      <c r="R668" s="30"/>
    </row>
    <row r="669" spans="18:18" ht="15.75" customHeight="1">
      <c r="R669" s="30"/>
    </row>
    <row r="670" spans="18:18" ht="15.75" customHeight="1">
      <c r="R670" s="30"/>
    </row>
    <row r="671" spans="18:18" ht="15.75" customHeight="1">
      <c r="R671" s="30"/>
    </row>
    <row r="672" spans="18:18" ht="15.75" customHeight="1">
      <c r="R672" s="30"/>
    </row>
    <row r="673" spans="18:18" ht="15.75" customHeight="1">
      <c r="R673" s="30"/>
    </row>
    <row r="674" spans="18:18" ht="15.75" customHeight="1">
      <c r="R674" s="30"/>
    </row>
    <row r="675" spans="18:18" ht="15.75" customHeight="1">
      <c r="R675" s="30"/>
    </row>
    <row r="676" spans="18:18" ht="15.75" customHeight="1">
      <c r="R676" s="30"/>
    </row>
    <row r="677" spans="18:18" ht="15.75" customHeight="1">
      <c r="R677" s="30"/>
    </row>
    <row r="678" spans="18:18" ht="15.75" customHeight="1">
      <c r="R678" s="30"/>
    </row>
    <row r="679" spans="18:18" ht="15.75" customHeight="1">
      <c r="R679" s="30"/>
    </row>
    <row r="680" spans="18:18" ht="15.75" customHeight="1">
      <c r="R680" s="30"/>
    </row>
    <row r="681" spans="18:18" ht="15.75" customHeight="1">
      <c r="R681" s="30"/>
    </row>
    <row r="682" spans="18:18" ht="15.75" customHeight="1">
      <c r="R682" s="30"/>
    </row>
    <row r="683" spans="18:18" ht="15.75" customHeight="1">
      <c r="R683" s="30"/>
    </row>
    <row r="684" spans="18:18" ht="15.75" customHeight="1">
      <c r="R684" s="30"/>
    </row>
    <row r="685" spans="18:18" ht="15.75" customHeight="1">
      <c r="R685" s="30"/>
    </row>
    <row r="686" spans="18:18" ht="15.75" customHeight="1">
      <c r="R686" s="30"/>
    </row>
    <row r="687" spans="18:18" ht="15.75" customHeight="1">
      <c r="R687" s="30"/>
    </row>
    <row r="688" spans="18:18" ht="15.75" customHeight="1">
      <c r="R688" s="30"/>
    </row>
    <row r="689" spans="18:18" ht="15.75" customHeight="1">
      <c r="R689" s="30"/>
    </row>
    <row r="690" spans="18:18" ht="15.75" customHeight="1">
      <c r="R690" s="30"/>
    </row>
    <row r="691" spans="18:18" ht="15.75" customHeight="1">
      <c r="R691" s="30"/>
    </row>
    <row r="692" spans="18:18" ht="15.75" customHeight="1">
      <c r="R692" s="30"/>
    </row>
    <row r="693" spans="18:18" ht="15.75" customHeight="1">
      <c r="R693" s="30"/>
    </row>
    <row r="694" spans="18:18" ht="15.75" customHeight="1">
      <c r="R694" s="30"/>
    </row>
    <row r="695" spans="18:18" ht="15.75" customHeight="1">
      <c r="R695" s="30"/>
    </row>
    <row r="696" spans="18:18" ht="15.75" customHeight="1">
      <c r="R696" s="30"/>
    </row>
    <row r="697" spans="18:18" ht="15.75" customHeight="1">
      <c r="R697" s="30"/>
    </row>
    <row r="698" spans="18:18" ht="15.75" customHeight="1">
      <c r="R698" s="30"/>
    </row>
    <row r="699" spans="18:18" ht="15.75" customHeight="1">
      <c r="R699" s="30"/>
    </row>
    <row r="700" spans="18:18" ht="15.75" customHeight="1">
      <c r="R700" s="30"/>
    </row>
    <row r="701" spans="18:18" ht="15.75" customHeight="1">
      <c r="R701" s="30"/>
    </row>
    <row r="702" spans="18:18" ht="15.75" customHeight="1">
      <c r="R702" s="30"/>
    </row>
    <row r="703" spans="18:18" ht="15.75" customHeight="1">
      <c r="R703" s="30"/>
    </row>
    <row r="704" spans="18:18" ht="15.75" customHeight="1">
      <c r="R704" s="30"/>
    </row>
    <row r="705" spans="18:18" ht="15.75" customHeight="1">
      <c r="R705" s="30"/>
    </row>
    <row r="706" spans="18:18" ht="15.75" customHeight="1">
      <c r="R706" s="30"/>
    </row>
    <row r="707" spans="18:18" ht="15.75" customHeight="1">
      <c r="R707" s="30"/>
    </row>
    <row r="708" spans="18:18" ht="15.75" customHeight="1">
      <c r="R708" s="30"/>
    </row>
    <row r="709" spans="18:18" ht="15.75" customHeight="1">
      <c r="R709" s="30"/>
    </row>
    <row r="710" spans="18:18" ht="15.75" customHeight="1">
      <c r="R710" s="30"/>
    </row>
    <row r="711" spans="18:18" ht="15.75" customHeight="1">
      <c r="R711" s="30"/>
    </row>
    <row r="712" spans="18:18" ht="15.75" customHeight="1">
      <c r="R712" s="30"/>
    </row>
    <row r="713" spans="18:18" ht="15.75" customHeight="1">
      <c r="R713" s="30"/>
    </row>
    <row r="714" spans="18:18" ht="15.75" customHeight="1">
      <c r="R714" s="30"/>
    </row>
    <row r="715" spans="18:18" ht="15.75" customHeight="1">
      <c r="R715" s="30"/>
    </row>
    <row r="716" spans="18:18" ht="15.75" customHeight="1">
      <c r="R716" s="30"/>
    </row>
    <row r="717" spans="18:18" ht="15.75" customHeight="1">
      <c r="R717" s="30"/>
    </row>
    <row r="718" spans="18:18" ht="15.75" customHeight="1">
      <c r="R718" s="30"/>
    </row>
    <row r="719" spans="18:18" ht="15.75" customHeight="1">
      <c r="R719" s="30"/>
    </row>
    <row r="720" spans="18:18" ht="15.75" customHeight="1">
      <c r="R720" s="30"/>
    </row>
    <row r="721" spans="18:18" ht="15.75" customHeight="1">
      <c r="R721" s="30"/>
    </row>
    <row r="722" spans="18:18" ht="15.75" customHeight="1">
      <c r="R722" s="30"/>
    </row>
    <row r="723" spans="18:18" ht="15.75" customHeight="1">
      <c r="R723" s="30"/>
    </row>
    <row r="724" spans="18:18" ht="15.75" customHeight="1">
      <c r="R724" s="30"/>
    </row>
    <row r="725" spans="18:18" ht="15.75" customHeight="1">
      <c r="R725" s="30"/>
    </row>
    <row r="726" spans="18:18" ht="15.75" customHeight="1">
      <c r="R726" s="30"/>
    </row>
    <row r="727" spans="18:18" ht="15.75" customHeight="1">
      <c r="R727" s="30"/>
    </row>
    <row r="728" spans="18:18" ht="15.75" customHeight="1">
      <c r="R728" s="30"/>
    </row>
    <row r="729" spans="18:18" ht="15.75" customHeight="1">
      <c r="R729" s="30"/>
    </row>
    <row r="730" spans="18:18" ht="15.75" customHeight="1">
      <c r="R730" s="30"/>
    </row>
    <row r="731" spans="18:18" ht="15.75" customHeight="1">
      <c r="R731" s="30"/>
    </row>
    <row r="732" spans="18:18" ht="15.75" customHeight="1">
      <c r="R732" s="30"/>
    </row>
    <row r="733" spans="18:18" ht="15.75" customHeight="1">
      <c r="R733" s="30"/>
    </row>
    <row r="734" spans="18:18" ht="15.75" customHeight="1">
      <c r="R734" s="30"/>
    </row>
    <row r="735" spans="18:18" ht="15.75" customHeight="1">
      <c r="R735" s="30"/>
    </row>
    <row r="736" spans="18:18" ht="15.75" customHeight="1">
      <c r="R736" s="30"/>
    </row>
    <row r="737" spans="18:18" ht="15.75" customHeight="1">
      <c r="R737" s="30"/>
    </row>
    <row r="738" spans="18:18" ht="15.75" customHeight="1">
      <c r="R738" s="30"/>
    </row>
    <row r="739" spans="18:18" ht="15.75" customHeight="1">
      <c r="R739" s="30"/>
    </row>
    <row r="740" spans="18:18" ht="15.75" customHeight="1">
      <c r="R740" s="30"/>
    </row>
    <row r="741" spans="18:18" ht="15.75" customHeight="1">
      <c r="R741" s="30"/>
    </row>
    <row r="742" spans="18:18" ht="15.75" customHeight="1">
      <c r="R742" s="30"/>
    </row>
    <row r="743" spans="18:18" ht="15.75" customHeight="1">
      <c r="R743" s="30"/>
    </row>
    <row r="744" spans="18:18" ht="15.75" customHeight="1">
      <c r="R744" s="30"/>
    </row>
    <row r="745" spans="18:18" ht="15.75" customHeight="1">
      <c r="R745" s="30"/>
    </row>
    <row r="746" spans="18:18" ht="15.75" customHeight="1">
      <c r="R746" s="30"/>
    </row>
    <row r="747" spans="18:18" ht="15.75" customHeight="1">
      <c r="R747" s="30"/>
    </row>
    <row r="748" spans="18:18" ht="15.75" customHeight="1">
      <c r="R748" s="30"/>
    </row>
    <row r="749" spans="18:18" ht="15.75" customHeight="1">
      <c r="R749" s="30"/>
    </row>
    <row r="750" spans="18:18" ht="15.75" customHeight="1">
      <c r="R750" s="30"/>
    </row>
    <row r="751" spans="18:18" ht="15.75" customHeight="1">
      <c r="R751" s="30"/>
    </row>
    <row r="752" spans="18:18" ht="15.75" customHeight="1">
      <c r="R752" s="30"/>
    </row>
    <row r="753" spans="18:18" ht="15.75" customHeight="1">
      <c r="R753" s="30"/>
    </row>
    <row r="754" spans="18:18" ht="15.75" customHeight="1">
      <c r="R754" s="30"/>
    </row>
    <row r="755" spans="18:18" ht="15.75" customHeight="1">
      <c r="R755" s="30"/>
    </row>
    <row r="756" spans="18:18" ht="15.75" customHeight="1">
      <c r="R756" s="30"/>
    </row>
    <row r="757" spans="18:18" ht="15.75" customHeight="1">
      <c r="R757" s="30"/>
    </row>
    <row r="758" spans="18:18" ht="15.75" customHeight="1">
      <c r="R758" s="30"/>
    </row>
    <row r="759" spans="18:18" ht="15.75" customHeight="1">
      <c r="R759" s="30"/>
    </row>
    <row r="760" spans="18:18" ht="15.75" customHeight="1">
      <c r="R760" s="30"/>
    </row>
    <row r="761" spans="18:18" ht="15.75" customHeight="1">
      <c r="R761" s="30"/>
    </row>
    <row r="762" spans="18:18" ht="15.75" customHeight="1">
      <c r="R762" s="30"/>
    </row>
    <row r="763" spans="18:18" ht="15.75" customHeight="1">
      <c r="R763" s="30"/>
    </row>
    <row r="764" spans="18:18" ht="15.75" customHeight="1">
      <c r="R764" s="30"/>
    </row>
    <row r="765" spans="18:18" ht="15.75" customHeight="1">
      <c r="R765" s="30"/>
    </row>
    <row r="766" spans="18:18" ht="15.75" customHeight="1">
      <c r="R766" s="30"/>
    </row>
    <row r="767" spans="18:18" ht="15.75" customHeight="1">
      <c r="R767" s="30"/>
    </row>
    <row r="768" spans="18:18" ht="15.75" customHeight="1">
      <c r="R768" s="30"/>
    </row>
    <row r="769" spans="18:18" ht="15.75" customHeight="1">
      <c r="R769" s="30"/>
    </row>
    <row r="770" spans="18:18" ht="15.75" customHeight="1">
      <c r="R770" s="30"/>
    </row>
    <row r="771" spans="18:18" ht="15.75" customHeight="1">
      <c r="R771" s="30"/>
    </row>
    <row r="772" spans="18:18" ht="15.75" customHeight="1">
      <c r="R772" s="30"/>
    </row>
    <row r="773" spans="18:18" ht="15.75" customHeight="1">
      <c r="R773" s="30"/>
    </row>
    <row r="774" spans="18:18" ht="15.75" customHeight="1">
      <c r="R774" s="30"/>
    </row>
    <row r="775" spans="18:18" ht="15.75" customHeight="1">
      <c r="R775" s="30"/>
    </row>
    <row r="776" spans="18:18" ht="15.75" customHeight="1">
      <c r="R776" s="30"/>
    </row>
    <row r="777" spans="18:18" ht="15.75" customHeight="1">
      <c r="R777" s="30"/>
    </row>
    <row r="778" spans="18:18" ht="15.75" customHeight="1">
      <c r="R778" s="30"/>
    </row>
    <row r="779" spans="18:18" ht="15.75" customHeight="1">
      <c r="R779" s="30"/>
    </row>
    <row r="780" spans="18:18" ht="15.75" customHeight="1">
      <c r="R780" s="30"/>
    </row>
    <row r="781" spans="18:18" ht="15.75" customHeight="1">
      <c r="R781" s="30"/>
    </row>
    <row r="782" spans="18:18" ht="15.75" customHeight="1">
      <c r="R782" s="30"/>
    </row>
    <row r="783" spans="18:18" ht="15.75" customHeight="1">
      <c r="R783" s="30"/>
    </row>
    <row r="784" spans="18:18" ht="15.75" customHeight="1">
      <c r="R784" s="30"/>
    </row>
    <row r="785" spans="18:18" ht="15.75" customHeight="1">
      <c r="R785" s="30"/>
    </row>
    <row r="786" spans="18:18" ht="15.75" customHeight="1">
      <c r="R786" s="30"/>
    </row>
    <row r="787" spans="18:18" ht="15.75" customHeight="1">
      <c r="R787" s="30"/>
    </row>
    <row r="788" spans="18:18" ht="15.75" customHeight="1">
      <c r="R788" s="30"/>
    </row>
    <row r="789" spans="18:18" ht="15.75" customHeight="1">
      <c r="R789" s="30"/>
    </row>
    <row r="790" spans="18:18" ht="15.75" customHeight="1">
      <c r="R790" s="30"/>
    </row>
    <row r="791" spans="18:18" ht="15.75" customHeight="1">
      <c r="R791" s="30"/>
    </row>
    <row r="792" spans="18:18" ht="15.75" customHeight="1">
      <c r="R792" s="30"/>
    </row>
    <row r="793" spans="18:18" ht="15.75" customHeight="1">
      <c r="R793" s="30"/>
    </row>
    <row r="794" spans="18:18" ht="15.75" customHeight="1">
      <c r="R794" s="30"/>
    </row>
    <row r="795" spans="18:18" ht="15.75" customHeight="1">
      <c r="R795" s="30"/>
    </row>
    <row r="796" spans="18:18" ht="15.75" customHeight="1">
      <c r="R796" s="30"/>
    </row>
    <row r="797" spans="18:18" ht="15.75" customHeight="1">
      <c r="R797" s="30"/>
    </row>
    <row r="798" spans="18:18" ht="15.75" customHeight="1">
      <c r="R798" s="30"/>
    </row>
    <row r="799" spans="18:18" ht="15.75" customHeight="1">
      <c r="R799" s="30"/>
    </row>
    <row r="800" spans="18:18" ht="15.75" customHeight="1">
      <c r="R800" s="30"/>
    </row>
    <row r="801" spans="18:18" ht="15.75" customHeight="1">
      <c r="R801" s="30"/>
    </row>
    <row r="802" spans="18:18" ht="15.75" customHeight="1">
      <c r="R802" s="30"/>
    </row>
    <row r="803" spans="18:18" ht="15.75" customHeight="1">
      <c r="R803" s="30"/>
    </row>
    <row r="804" spans="18:18" ht="15.75" customHeight="1">
      <c r="R804" s="30"/>
    </row>
    <row r="805" spans="18:18" ht="15.75" customHeight="1">
      <c r="R805" s="30"/>
    </row>
    <row r="806" spans="18:18" ht="15.75" customHeight="1">
      <c r="R806" s="30"/>
    </row>
    <row r="807" spans="18:18" ht="15.75" customHeight="1">
      <c r="R807" s="30"/>
    </row>
    <row r="808" spans="18:18" ht="15.75" customHeight="1">
      <c r="R808" s="30"/>
    </row>
    <row r="809" spans="18:18" ht="15.75" customHeight="1">
      <c r="R809" s="30"/>
    </row>
    <row r="810" spans="18:18" ht="15.75" customHeight="1">
      <c r="R810" s="30"/>
    </row>
    <row r="811" spans="18:18" ht="15.75" customHeight="1">
      <c r="R811" s="30"/>
    </row>
    <row r="812" spans="18:18" ht="15.75" customHeight="1">
      <c r="R812" s="30"/>
    </row>
    <row r="813" spans="18:18" ht="15.75" customHeight="1">
      <c r="R813" s="30"/>
    </row>
    <row r="814" spans="18:18" ht="15.75" customHeight="1">
      <c r="R814" s="30"/>
    </row>
    <row r="815" spans="18:18" ht="15.75" customHeight="1">
      <c r="R815" s="30"/>
    </row>
    <row r="816" spans="18:18" ht="15.75" customHeight="1">
      <c r="R816" s="30"/>
    </row>
    <row r="817" spans="18:18" ht="15.75" customHeight="1">
      <c r="R817" s="30"/>
    </row>
    <row r="818" spans="18:18" ht="15.75" customHeight="1">
      <c r="R818" s="30"/>
    </row>
    <row r="819" spans="18:18" ht="15.75" customHeight="1">
      <c r="R819" s="30"/>
    </row>
    <row r="820" spans="18:18" ht="15.75" customHeight="1">
      <c r="R820" s="30"/>
    </row>
    <row r="821" spans="18:18" ht="15.75" customHeight="1">
      <c r="R821" s="30"/>
    </row>
    <row r="822" spans="18:18" ht="15.75" customHeight="1">
      <c r="R822" s="30"/>
    </row>
    <row r="823" spans="18:18" ht="15.75" customHeight="1">
      <c r="R823" s="30"/>
    </row>
    <row r="824" spans="18:18" ht="15.75" customHeight="1">
      <c r="R824" s="30"/>
    </row>
    <row r="825" spans="18:18" ht="15.75" customHeight="1">
      <c r="R825" s="30"/>
    </row>
    <row r="826" spans="18:18" ht="15.75" customHeight="1">
      <c r="R826" s="30"/>
    </row>
    <row r="827" spans="18:18" ht="15.75" customHeight="1">
      <c r="R827" s="30"/>
    </row>
    <row r="828" spans="18:18" ht="15.75" customHeight="1">
      <c r="R828" s="30"/>
    </row>
    <row r="829" spans="18:18" ht="15.75" customHeight="1">
      <c r="R829" s="30"/>
    </row>
    <row r="830" spans="18:18" ht="15.75" customHeight="1">
      <c r="R830" s="30"/>
    </row>
    <row r="831" spans="18:18" ht="15.75" customHeight="1">
      <c r="R831" s="30"/>
    </row>
    <row r="832" spans="18:18" ht="15.75" customHeight="1">
      <c r="R832" s="30"/>
    </row>
    <row r="833" spans="18:18" ht="15.75" customHeight="1">
      <c r="R833" s="30"/>
    </row>
    <row r="834" spans="18:18" ht="15.75" customHeight="1">
      <c r="R834" s="30"/>
    </row>
    <row r="835" spans="18:18" ht="15.75" customHeight="1">
      <c r="R835" s="30"/>
    </row>
    <row r="836" spans="18:18" ht="15.75" customHeight="1">
      <c r="R836" s="30"/>
    </row>
    <row r="837" spans="18:18" ht="15.75" customHeight="1">
      <c r="R837" s="30"/>
    </row>
    <row r="838" spans="18:18" ht="15.75" customHeight="1">
      <c r="R838" s="30"/>
    </row>
    <row r="839" spans="18:18" ht="15.75" customHeight="1">
      <c r="R839" s="30"/>
    </row>
    <row r="840" spans="18:18" ht="15.75" customHeight="1">
      <c r="R840" s="30"/>
    </row>
    <row r="841" spans="18:18" ht="15.75" customHeight="1">
      <c r="R841" s="30"/>
    </row>
    <row r="842" spans="18:18" ht="15.75" customHeight="1">
      <c r="R842" s="30"/>
    </row>
    <row r="843" spans="18:18" ht="15.75" customHeight="1">
      <c r="R843" s="30"/>
    </row>
    <row r="844" spans="18:18" ht="15.75" customHeight="1">
      <c r="R844" s="30"/>
    </row>
    <row r="845" spans="18:18" ht="15.75" customHeight="1">
      <c r="R845" s="30"/>
    </row>
    <row r="846" spans="18:18" ht="15.75" customHeight="1">
      <c r="R846" s="30"/>
    </row>
    <row r="847" spans="18:18" ht="15.75" customHeight="1">
      <c r="R847" s="30"/>
    </row>
    <row r="848" spans="18:18" ht="15.75" customHeight="1">
      <c r="R848" s="30"/>
    </row>
    <row r="849" spans="18:18" ht="15.75" customHeight="1">
      <c r="R849" s="30"/>
    </row>
    <row r="850" spans="18:18" ht="15.75" customHeight="1">
      <c r="R850" s="30"/>
    </row>
    <row r="851" spans="18:18" ht="15.75" customHeight="1">
      <c r="R851" s="30"/>
    </row>
    <row r="852" spans="18:18" ht="15.75" customHeight="1">
      <c r="R852" s="30"/>
    </row>
    <row r="853" spans="18:18" ht="15.75" customHeight="1">
      <c r="R853" s="30"/>
    </row>
    <row r="854" spans="18:18" ht="15.75" customHeight="1">
      <c r="R854" s="30"/>
    </row>
    <row r="855" spans="18:18" ht="15.75" customHeight="1">
      <c r="R855" s="30"/>
    </row>
    <row r="856" spans="18:18" ht="15.75" customHeight="1">
      <c r="R856" s="30"/>
    </row>
    <row r="857" spans="18:18" ht="15.75" customHeight="1">
      <c r="R857" s="30"/>
    </row>
    <row r="858" spans="18:18" ht="15.75" customHeight="1">
      <c r="R858" s="30"/>
    </row>
    <row r="859" spans="18:18" ht="15.75" customHeight="1">
      <c r="R859" s="30"/>
    </row>
    <row r="860" spans="18:18" ht="15.75" customHeight="1">
      <c r="R860" s="30"/>
    </row>
    <row r="861" spans="18:18" ht="15.75" customHeight="1">
      <c r="R861" s="30"/>
    </row>
    <row r="862" spans="18:18" ht="15.75" customHeight="1">
      <c r="R862" s="30"/>
    </row>
    <row r="863" spans="18:18" ht="15.75" customHeight="1">
      <c r="R863" s="30"/>
    </row>
    <row r="864" spans="18:18" ht="15.75" customHeight="1">
      <c r="R864" s="30"/>
    </row>
    <row r="865" spans="18:18" ht="15.75" customHeight="1">
      <c r="R865" s="30"/>
    </row>
    <row r="866" spans="18:18" ht="15.75" customHeight="1">
      <c r="R866" s="30"/>
    </row>
    <row r="867" spans="18:18" ht="15.75" customHeight="1">
      <c r="R867" s="30"/>
    </row>
    <row r="868" spans="18:18" ht="15.75" customHeight="1">
      <c r="R868" s="30"/>
    </row>
    <row r="869" spans="18:18" ht="15.75" customHeight="1">
      <c r="R869" s="30"/>
    </row>
    <row r="870" spans="18:18" ht="15.75" customHeight="1">
      <c r="R870" s="30"/>
    </row>
    <row r="871" spans="18:18" ht="15.75" customHeight="1">
      <c r="R871" s="30"/>
    </row>
    <row r="872" spans="18:18" ht="15.75" customHeight="1">
      <c r="R872" s="30"/>
    </row>
    <row r="873" spans="18:18" ht="15.75" customHeight="1">
      <c r="R873" s="30"/>
    </row>
    <row r="874" spans="18:18" ht="15.75" customHeight="1">
      <c r="R874" s="30"/>
    </row>
    <row r="875" spans="18:18" ht="15.75" customHeight="1">
      <c r="R875" s="30"/>
    </row>
    <row r="876" spans="18:18" ht="15.75" customHeight="1">
      <c r="R876" s="30"/>
    </row>
    <row r="877" spans="18:18" ht="15.75" customHeight="1">
      <c r="R877" s="30"/>
    </row>
    <row r="878" spans="18:18" ht="15.75" customHeight="1">
      <c r="R878" s="30"/>
    </row>
    <row r="879" spans="18:18" ht="15.75" customHeight="1">
      <c r="R879" s="30"/>
    </row>
    <row r="880" spans="18:18" ht="15.75" customHeight="1">
      <c r="R880" s="30"/>
    </row>
    <row r="881" spans="18:18" ht="15.75" customHeight="1">
      <c r="R881" s="30"/>
    </row>
    <row r="882" spans="18:18" ht="15.75" customHeight="1">
      <c r="R882" s="30"/>
    </row>
    <row r="883" spans="18:18" ht="15.75" customHeight="1">
      <c r="R883" s="30"/>
    </row>
    <row r="884" spans="18:18" ht="15.75" customHeight="1">
      <c r="R884" s="30"/>
    </row>
    <row r="885" spans="18:18" ht="15.75" customHeight="1">
      <c r="R885" s="30"/>
    </row>
    <row r="886" spans="18:18" ht="15.75" customHeight="1">
      <c r="R886" s="30"/>
    </row>
    <row r="887" spans="18:18" ht="15.75" customHeight="1">
      <c r="R887" s="30"/>
    </row>
    <row r="888" spans="18:18" ht="15.75" customHeight="1">
      <c r="R888" s="30"/>
    </row>
    <row r="889" spans="18:18" ht="15.75" customHeight="1">
      <c r="R889" s="30"/>
    </row>
    <row r="890" spans="18:18" ht="15.75" customHeight="1">
      <c r="R890" s="30"/>
    </row>
    <row r="891" spans="18:18" ht="15.75" customHeight="1">
      <c r="R891" s="30"/>
    </row>
    <row r="892" spans="18:18" ht="15.75" customHeight="1">
      <c r="R892" s="30"/>
    </row>
    <row r="893" spans="18:18" ht="15.75" customHeight="1">
      <c r="R893" s="30"/>
    </row>
    <row r="894" spans="18:18" ht="15.75" customHeight="1">
      <c r="R894" s="30"/>
    </row>
    <row r="895" spans="18:18" ht="15.75" customHeight="1">
      <c r="R895" s="30"/>
    </row>
    <row r="896" spans="18:18" ht="15.75" customHeight="1">
      <c r="R896" s="30"/>
    </row>
    <row r="897" spans="18:18" ht="15.75" customHeight="1">
      <c r="R897" s="30"/>
    </row>
    <row r="898" spans="18:18" ht="15.75" customHeight="1">
      <c r="R898" s="30"/>
    </row>
    <row r="899" spans="18:18" ht="15.75" customHeight="1">
      <c r="R899" s="30"/>
    </row>
    <row r="900" spans="18:18" ht="15.75" customHeight="1">
      <c r="R900" s="30"/>
    </row>
    <row r="901" spans="18:18" ht="15.75" customHeight="1">
      <c r="R901" s="30"/>
    </row>
    <row r="902" spans="18:18" ht="15.75" customHeight="1">
      <c r="R902" s="30"/>
    </row>
    <row r="903" spans="18:18" ht="15.75" customHeight="1">
      <c r="R903" s="30"/>
    </row>
    <row r="904" spans="18:18" ht="15.75" customHeight="1">
      <c r="R904" s="30"/>
    </row>
    <row r="905" spans="18:18" ht="15.75" customHeight="1">
      <c r="R905" s="30"/>
    </row>
    <row r="906" spans="18:18" ht="15.75" customHeight="1">
      <c r="R906" s="30"/>
    </row>
    <row r="907" spans="18:18" ht="15.75" customHeight="1">
      <c r="R907" s="30"/>
    </row>
    <row r="908" spans="18:18" ht="15.75" customHeight="1">
      <c r="R908" s="30"/>
    </row>
    <row r="909" spans="18:18" ht="15.75" customHeight="1">
      <c r="R909" s="30"/>
    </row>
    <row r="910" spans="18:18" ht="15.75" customHeight="1">
      <c r="R910" s="30"/>
    </row>
    <row r="911" spans="18:18" ht="15.75" customHeight="1">
      <c r="R911" s="30"/>
    </row>
    <row r="912" spans="18:18" ht="15.75" customHeight="1">
      <c r="R912" s="30"/>
    </row>
    <row r="913" spans="18:18" ht="15.75" customHeight="1">
      <c r="R913" s="30"/>
    </row>
    <row r="914" spans="18:18" ht="15.75" customHeight="1">
      <c r="R914" s="30"/>
    </row>
    <row r="915" spans="18:18" ht="15.75" customHeight="1">
      <c r="R915" s="30"/>
    </row>
    <row r="916" spans="18:18" ht="15.75" customHeight="1">
      <c r="R916" s="30"/>
    </row>
    <row r="917" spans="18:18" ht="15.75" customHeight="1">
      <c r="R917" s="30"/>
    </row>
    <row r="918" spans="18:18" ht="15.75" customHeight="1">
      <c r="R918" s="30"/>
    </row>
    <row r="919" spans="18:18" ht="15.75" customHeight="1">
      <c r="R919" s="30"/>
    </row>
    <row r="920" spans="18:18" ht="15.75" customHeight="1">
      <c r="R920" s="30"/>
    </row>
    <row r="921" spans="18:18" ht="15.75" customHeight="1">
      <c r="R921" s="30"/>
    </row>
    <row r="922" spans="18:18" ht="15.75" customHeight="1">
      <c r="R922" s="30"/>
    </row>
    <row r="923" spans="18:18" ht="15.75" customHeight="1">
      <c r="R923" s="30"/>
    </row>
    <row r="924" spans="18:18" ht="15.75" customHeight="1">
      <c r="R924" s="30"/>
    </row>
    <row r="925" spans="18:18" ht="15.75" customHeight="1">
      <c r="R925" s="30"/>
    </row>
    <row r="926" spans="18:18" ht="15.75" customHeight="1">
      <c r="R926" s="30"/>
    </row>
    <row r="927" spans="18:18" ht="15.75" customHeight="1">
      <c r="R927" s="30"/>
    </row>
    <row r="928" spans="18:18" ht="15.75" customHeight="1">
      <c r="R928" s="30"/>
    </row>
    <row r="929" spans="18:18" ht="15.75" customHeight="1">
      <c r="R929" s="30"/>
    </row>
    <row r="930" spans="18:18" ht="15.75" customHeight="1">
      <c r="R930" s="30"/>
    </row>
    <row r="931" spans="18:18" ht="15.75" customHeight="1">
      <c r="R931" s="30"/>
    </row>
    <row r="932" spans="18:18" ht="15.75" customHeight="1">
      <c r="R932" s="30"/>
    </row>
    <row r="933" spans="18:18" ht="15.75" customHeight="1">
      <c r="R933" s="30"/>
    </row>
    <row r="934" spans="18:18" ht="15.75" customHeight="1">
      <c r="R934" s="30"/>
    </row>
    <row r="935" spans="18:18" ht="15.75" customHeight="1">
      <c r="R935" s="30"/>
    </row>
    <row r="936" spans="18:18" ht="15.75" customHeight="1">
      <c r="R936" s="30"/>
    </row>
    <row r="937" spans="18:18" ht="15.75" customHeight="1">
      <c r="R937" s="30"/>
    </row>
    <row r="938" spans="18:18" ht="15.75" customHeight="1">
      <c r="R938" s="30"/>
    </row>
    <row r="939" spans="18:18" ht="15.75" customHeight="1">
      <c r="R939" s="30"/>
    </row>
    <row r="940" spans="18:18" ht="15.75" customHeight="1">
      <c r="R940" s="30"/>
    </row>
    <row r="941" spans="18:18" ht="15.75" customHeight="1">
      <c r="R941" s="30"/>
    </row>
    <row r="942" spans="18:18" ht="15.75" customHeight="1">
      <c r="R942" s="30"/>
    </row>
    <row r="943" spans="18:18" ht="15.75" customHeight="1">
      <c r="R943" s="30"/>
    </row>
    <row r="944" spans="18:18" ht="15.75" customHeight="1">
      <c r="R944" s="30"/>
    </row>
    <row r="945" spans="18:18" ht="15.75" customHeight="1">
      <c r="R945" s="30"/>
    </row>
    <row r="946" spans="18:18" ht="15.75" customHeight="1">
      <c r="R946" s="30"/>
    </row>
    <row r="947" spans="18:18" ht="15.75" customHeight="1">
      <c r="R947" s="30"/>
    </row>
    <row r="948" spans="18:18" ht="15.75" customHeight="1">
      <c r="R948" s="30"/>
    </row>
    <row r="949" spans="18:18" ht="15.75" customHeight="1">
      <c r="R949" s="30"/>
    </row>
    <row r="950" spans="18:18" ht="15.75" customHeight="1">
      <c r="R950" s="30"/>
    </row>
    <row r="951" spans="18:18" ht="15.75" customHeight="1">
      <c r="R951" s="30"/>
    </row>
    <row r="952" spans="18:18" ht="15.75" customHeight="1">
      <c r="R952" s="30"/>
    </row>
    <row r="953" spans="18:18" ht="15.75" customHeight="1">
      <c r="R953" s="30"/>
    </row>
    <row r="954" spans="18:18" ht="15.75" customHeight="1">
      <c r="R954" s="30"/>
    </row>
    <row r="955" spans="18:18" ht="15.75" customHeight="1">
      <c r="R955" s="30"/>
    </row>
    <row r="956" spans="18:18" ht="15.75" customHeight="1">
      <c r="R956" s="30"/>
    </row>
    <row r="957" spans="18:18" ht="15.75" customHeight="1">
      <c r="R957" s="30"/>
    </row>
    <row r="958" spans="18:18" ht="15.75" customHeight="1">
      <c r="R958" s="30"/>
    </row>
    <row r="959" spans="18:18" ht="15.75" customHeight="1">
      <c r="R959" s="30"/>
    </row>
    <row r="960" spans="18:18" ht="15.75" customHeight="1">
      <c r="R960" s="30"/>
    </row>
    <row r="961" spans="18:18" ht="15.75" customHeight="1">
      <c r="R961" s="30"/>
    </row>
    <row r="962" spans="18:18" ht="15.75" customHeight="1">
      <c r="R962" s="30"/>
    </row>
    <row r="963" spans="18:18" ht="15.75" customHeight="1">
      <c r="R963" s="30"/>
    </row>
    <row r="964" spans="18:18" ht="15.75" customHeight="1">
      <c r="R964" s="30"/>
    </row>
    <row r="965" spans="18:18" ht="15.75" customHeight="1">
      <c r="R965" s="30"/>
    </row>
    <row r="966" spans="18:18" ht="15.75" customHeight="1">
      <c r="R966" s="30"/>
    </row>
    <row r="967" spans="18:18" ht="15.75" customHeight="1">
      <c r="R967" s="30"/>
    </row>
    <row r="968" spans="18:18" ht="15.75" customHeight="1">
      <c r="R968" s="30"/>
    </row>
    <row r="969" spans="18:18" ht="15.75" customHeight="1">
      <c r="R969" s="30"/>
    </row>
    <row r="970" spans="18:18" ht="15.75" customHeight="1">
      <c r="R970" s="30"/>
    </row>
    <row r="971" spans="18:18" ht="15.75" customHeight="1">
      <c r="R971" s="30"/>
    </row>
    <row r="972" spans="18:18" ht="15.75" customHeight="1">
      <c r="R972" s="30"/>
    </row>
    <row r="973" spans="18:18" ht="15.75" customHeight="1">
      <c r="R973" s="30"/>
    </row>
    <row r="974" spans="18:18" ht="15.75" customHeight="1">
      <c r="R974" s="30"/>
    </row>
    <row r="975" spans="18:18" ht="15.75" customHeight="1">
      <c r="R975" s="30"/>
    </row>
    <row r="976" spans="18:18" ht="15.75" customHeight="1">
      <c r="R976" s="30"/>
    </row>
    <row r="977" spans="18:18" ht="15.75" customHeight="1">
      <c r="R977" s="30"/>
    </row>
    <row r="978" spans="18:18" ht="15.75" customHeight="1">
      <c r="R978" s="30"/>
    </row>
    <row r="979" spans="18:18" ht="15.75" customHeight="1">
      <c r="R979" s="30"/>
    </row>
    <row r="980" spans="18:18" ht="15.75" customHeight="1">
      <c r="R980" s="30"/>
    </row>
    <row r="981" spans="18:18" ht="15.75" customHeight="1">
      <c r="R981" s="30"/>
    </row>
    <row r="982" spans="18:18" ht="15.75" customHeight="1">
      <c r="R982" s="30"/>
    </row>
    <row r="983" spans="18:18" ht="15.75" customHeight="1">
      <c r="R983" s="30"/>
    </row>
    <row r="984" spans="18:18" ht="15.75" customHeight="1">
      <c r="R984" s="30"/>
    </row>
    <row r="985" spans="18:18" ht="15.75" customHeight="1">
      <c r="R985" s="30"/>
    </row>
    <row r="986" spans="18:18" ht="15.75" customHeight="1">
      <c r="R986" s="30"/>
    </row>
    <row r="987" spans="18:18" ht="15.75" customHeight="1">
      <c r="R987" s="30"/>
    </row>
    <row r="988" spans="18:18" ht="15.75" customHeight="1">
      <c r="R988" s="30"/>
    </row>
    <row r="989" spans="18:18" ht="15.75" customHeight="1">
      <c r="R989" s="30"/>
    </row>
    <row r="990" spans="18:18" ht="15.75" customHeight="1">
      <c r="R990" s="30"/>
    </row>
    <row r="991" spans="18:18" ht="15.75" customHeight="1">
      <c r="R991" s="30"/>
    </row>
    <row r="992" spans="18:18" ht="15.75" customHeight="1">
      <c r="R992" s="30"/>
    </row>
    <row r="993" spans="18:18" ht="15.75" customHeight="1">
      <c r="R993" s="30"/>
    </row>
    <row r="994" spans="18:18" ht="15.75" customHeight="1">
      <c r="R994" s="30"/>
    </row>
    <row r="995" spans="18:18" ht="15.75" customHeight="1">
      <c r="R995" s="30"/>
    </row>
    <row r="996" spans="18:18" ht="15.75" customHeight="1">
      <c r="R996" s="30"/>
    </row>
    <row r="997" spans="18:18" ht="15.75" customHeight="1">
      <c r="R997" s="30"/>
    </row>
    <row r="998" spans="18:18" ht="15.75" customHeight="1">
      <c r="R998" s="30"/>
    </row>
    <row r="999" spans="18:18" ht="15.75" customHeight="1">
      <c r="R999" s="30"/>
    </row>
    <row r="1000" spans="18:18" ht="15.75" customHeight="1">
      <c r="R1000" s="3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FF0000"/>
  </sheetPr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2.6640625" defaultRowHeight="15" customHeight="1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8.6640625" customWidth="1"/>
    <col min="6" max="6" width="9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16.33203125" customWidth="1"/>
    <col min="16" max="16" width="10" customWidth="1"/>
    <col min="17" max="18" width="7.33203125" customWidth="1"/>
    <col min="19" max="19" width="7.1640625" customWidth="1"/>
    <col min="20" max="20" width="15.83203125" customWidth="1"/>
    <col min="21" max="21" width="28.1640625" customWidth="1"/>
    <col min="22" max="22" width="62.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6640625" customWidth="1"/>
    <col min="32" max="32" width="10.1640625" customWidth="1"/>
    <col min="33" max="33" width="8.83203125" customWidth="1"/>
  </cols>
  <sheetData>
    <row r="1" spans="1:33" ht="18.75" customHeight="1">
      <c r="A1" s="46" t="str">
        <f ca="1">IFERROR(__xludf.DUMMYFUNCTION("IFERROR(VLOOKUP(B2,IMPORTRANGE(""https://docs.google.com/spreadsheets/d/1x0DhHglkXKoEBOD2MBsuK_EyIr1ouxD2ftIpqOYFa-k/edit?usp=sharing"",""Ubiquitty-SKU-Specific Info!B1:BJ5000""),3,FALSE),"""")"),"25 Ft Lighted Outdoor Extension Cord with 3 Electrical Power Outlets - 10/3 SJTW Heavy Duty Yellow Cable with 3 Prong Grounded Plug for Safety")</f>
        <v>25 Ft Lighted Outdoor Extension Cord with 3 Electrical Power Outlets - 10/3 SJTW Heavy Duty Yellow Cable with 3 Prong Grounded Plug for Safety</v>
      </c>
      <c r="B1" s="47"/>
      <c r="C1" s="48" t="s">
        <v>0</v>
      </c>
      <c r="D1" s="50" t="s">
        <v>1</v>
      </c>
      <c r="E1" s="50" t="s">
        <v>2</v>
      </c>
      <c r="F1" s="52" t="s">
        <v>3</v>
      </c>
      <c r="G1" s="52" t="s">
        <v>4</v>
      </c>
      <c r="H1" s="53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58" t="s">
        <v>10</v>
      </c>
      <c r="N1" s="59" t="s">
        <v>11</v>
      </c>
      <c r="O1" s="50" t="s">
        <v>12</v>
      </c>
      <c r="P1" s="50" t="s">
        <v>13</v>
      </c>
      <c r="Q1" s="57" t="s">
        <v>14</v>
      </c>
      <c r="R1" s="57" t="s">
        <v>15</v>
      </c>
      <c r="S1" s="60" t="s">
        <v>16</v>
      </c>
      <c r="T1" s="62" t="s">
        <v>2006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Info!B1:BJ5000""),2,FALSE),"""")"),"B078KBF4WB")</f>
        <v>B078KBF4WB</v>
      </c>
      <c r="B2" s="3" t="s">
        <v>403</v>
      </c>
      <c r="C2" s="49"/>
      <c r="D2" s="49"/>
      <c r="E2" s="51"/>
      <c r="F2" s="49"/>
      <c r="G2" s="49"/>
      <c r="H2" s="54"/>
      <c r="I2" s="49"/>
      <c r="J2" s="49"/>
      <c r="K2" s="54"/>
      <c r="L2" s="54"/>
      <c r="M2" s="54"/>
      <c r="N2" s="49"/>
      <c r="O2" s="49"/>
      <c r="P2" s="51"/>
      <c r="Q2" s="49"/>
      <c r="R2" s="49"/>
      <c r="S2" s="61"/>
      <c r="T2" s="47"/>
      <c r="U2" s="63"/>
      <c r="V2" s="63"/>
      <c r="W2" s="47"/>
      <c r="X2" s="47"/>
      <c r="Y2" s="47"/>
      <c r="Z2" s="47"/>
      <c r="AA2" s="63"/>
      <c r="AB2" s="63"/>
      <c r="AC2" s="63"/>
      <c r="AD2" s="63"/>
      <c r="AE2" s="47"/>
      <c r="AF2" s="47"/>
      <c r="AG2" s="47"/>
    </row>
    <row r="3" spans="1:33" ht="132" customHeight="1">
      <c r="A3" s="55" t="s">
        <v>31</v>
      </c>
      <c r="B3" s="56"/>
      <c r="C3" s="4">
        <f>((AE32+AF32)/0.85)*-1</f>
        <v>32.097997176470585</v>
      </c>
      <c r="D3" s="5">
        <f>SUM(D4:D99765)</f>
        <v>841</v>
      </c>
      <c r="E3" s="5"/>
      <c r="F3" s="6">
        <f t="shared" ref="F3:G3" si="0">SUM(F4:F99765)</f>
        <v>35868.209999999992</v>
      </c>
      <c r="G3" s="6">
        <f t="shared" si="0"/>
        <v>-1.1900000000000002</v>
      </c>
      <c r="H3" s="7">
        <f t="shared" ref="H3:H16" si="1">G3/F3*-1</f>
        <v>3.317701106355741E-5</v>
      </c>
      <c r="I3" s="8">
        <f t="shared" ref="I3:I16" si="2">J3/F3</f>
        <v>0.26040948634712019</v>
      </c>
      <c r="J3" s="6">
        <f>SUM(J4:J99765)</f>
        <v>9340.4221422906376</v>
      </c>
      <c r="K3" s="6">
        <f t="shared" ref="K3:K16" si="3">J3/D3</f>
        <v>11.106328349929415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Sheet!a1:g5000""),2,FALSE),"""")"),"9 - March
6.5 - April
5.5 - May
6.5 - June
11.5 - July
16.5 - Aug
6.5 - Sept
8 - Oct
12 - Nov
8 - Dec
7 - Jan
9 - Feb")</f>
        <v>9 - March
6.5 - April
5.5 - May
6.5 - June
11.5 - July
16.5 - Aug
6.5 - Sept
8 - Oct
12 - Nov
8 - Dec
7 - Jan
9 -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QTY-0")</f>
        <v>Del QTY-0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QTY-0")</f>
        <v>US QTY-0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0</v>
      </c>
      <c r="X3" s="7">
        <f>W3/D3</f>
        <v>0</v>
      </c>
      <c r="Y3" s="6"/>
      <c r="Z3" s="5"/>
      <c r="AA3" s="5"/>
      <c r="AB3" s="5"/>
      <c r="AC3" s="5"/>
      <c r="AD3" s="6">
        <f>SUM(AD4:AD99765)</f>
        <v>-351.85562257093096</v>
      </c>
      <c r="AE3" s="6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Info!B2:BZ3000""),37,FALSE)),"""")*-1"),-20.4032976)</f>
        <v>-20.403297599999998</v>
      </c>
      <c r="AG3" s="6">
        <f>SUM(AG4:AG99765)</f>
        <v>0</v>
      </c>
    </row>
    <row r="4" spans="1:33" ht="15.75" customHeight="1">
      <c r="A4" s="14" t="s">
        <v>181</v>
      </c>
      <c r="B4" s="14" t="s">
        <v>68</v>
      </c>
      <c r="C4" s="15">
        <f t="shared" ref="C4:C16" si="4">IFERROR(F4/D4," - ")</f>
        <v>49.99</v>
      </c>
      <c r="D4" s="16">
        <v>22</v>
      </c>
      <c r="E4" s="16">
        <v>0</v>
      </c>
      <c r="F4" s="17">
        <v>1099.78</v>
      </c>
      <c r="G4" s="17">
        <v>0</v>
      </c>
      <c r="H4" s="18">
        <f t="shared" si="1"/>
        <v>0</v>
      </c>
      <c r="I4" s="18">
        <f t="shared" si="2"/>
        <v>0.39936328163378404</v>
      </c>
      <c r="J4" s="17">
        <f t="shared" ref="J4:J16" si="5">F4*0.85+G4+AF4*D4+D4*AE4+AG4+AD4</f>
        <v>439.211749875203</v>
      </c>
      <c r="K4" s="17">
        <f t="shared" si="3"/>
        <v>19.964170448872864</v>
      </c>
      <c r="L4" s="16">
        <v>64</v>
      </c>
      <c r="M4" s="19">
        <f t="shared" ref="M4:M16" si="6">IFERROR(D4/L4,"-")</f>
        <v>0.34375</v>
      </c>
      <c r="N4" s="16">
        <v>44</v>
      </c>
      <c r="O4" s="20">
        <f t="shared" ref="O4:P4" si="7">D4/7</f>
        <v>3.1428571428571428</v>
      </c>
      <c r="P4" s="20">
        <f t="shared" si="7"/>
        <v>0</v>
      </c>
      <c r="Q4" s="16">
        <f t="shared" ref="Q4:Q16" si="8">ROUNDDOWN(N4/(O4+P4),0)</f>
        <v>14</v>
      </c>
      <c r="R4" s="16"/>
      <c r="S4" s="21">
        <v>2.58103975535168</v>
      </c>
      <c r="T4" s="14">
        <v>900</v>
      </c>
      <c r="U4" s="22">
        <v>500</v>
      </c>
      <c r="V4" s="23" t="s">
        <v>404</v>
      </c>
      <c r="W4" s="14">
        <v>0</v>
      </c>
      <c r="X4" s="24">
        <f t="shared" ref="X4:X16" si="9">IFERROR(W4/D4,0)</f>
        <v>0</v>
      </c>
      <c r="Y4" s="25">
        <f t="shared" ref="Y4:Y16" si="10">IFERROR(G4/(W4+Z4)*-1,0)</f>
        <v>0</v>
      </c>
      <c r="Z4" s="14">
        <v>0</v>
      </c>
      <c r="AA4" s="26" t="s">
        <v>35</v>
      </c>
      <c r="AB4" s="27">
        <f t="shared" ref="AB4:AB16" si="11">IF(OR(AA4="UsLargeStandardSize",AA4="UsSmallStandardSize"),-0.69,-0.48)</f>
        <v>-0.69</v>
      </c>
      <c r="AC4" s="28">
        <v>0.30315593634259264</v>
      </c>
      <c r="AD4" s="25">
        <f t="shared" ref="AD4:AD16" si="12">IFERROR(AB4*AC4*D4*2,0)</f>
        <v>-9.2038142273611108</v>
      </c>
      <c r="AE4" s="25">
        <v>-6.94</v>
      </c>
      <c r="AF4" s="25">
        <v>-15.16897435897436</v>
      </c>
      <c r="AG4" s="25">
        <v>0</v>
      </c>
    </row>
    <row r="5" spans="1:33" ht="15.75" customHeight="1">
      <c r="A5" s="14" t="s">
        <v>183</v>
      </c>
      <c r="B5" s="14" t="s">
        <v>405</v>
      </c>
      <c r="C5" s="15">
        <f t="shared" si="4"/>
        <v>47.133428571428574</v>
      </c>
      <c r="D5" s="16">
        <v>35</v>
      </c>
      <c r="E5" s="16">
        <v>2</v>
      </c>
      <c r="F5" s="29">
        <v>1649.67</v>
      </c>
      <c r="G5" s="29">
        <v>-0.13</v>
      </c>
      <c r="H5" s="18">
        <f t="shared" si="1"/>
        <v>7.8803639515781949E-5</v>
      </c>
      <c r="I5" s="18">
        <f t="shared" si="2"/>
        <v>0.37196287670503614</v>
      </c>
      <c r="J5" s="17">
        <f t="shared" si="5"/>
        <v>613.61599881399695</v>
      </c>
      <c r="K5" s="17">
        <f t="shared" si="3"/>
        <v>17.531885680399913</v>
      </c>
      <c r="L5" s="16">
        <v>114</v>
      </c>
      <c r="M5" s="19">
        <f t="shared" si="6"/>
        <v>0.30701754385964913</v>
      </c>
      <c r="N5" s="16">
        <v>8</v>
      </c>
      <c r="O5" s="20">
        <f t="shared" ref="O5:P5" si="13">D5/7</f>
        <v>5</v>
      </c>
      <c r="P5" s="20">
        <f t="shared" si="13"/>
        <v>0.2857142857142857</v>
      </c>
      <c r="Q5" s="16">
        <f t="shared" si="8"/>
        <v>1</v>
      </c>
      <c r="R5" s="16"/>
      <c r="S5" s="21">
        <v>3.4200542005419998</v>
      </c>
      <c r="T5" s="14">
        <v>900</v>
      </c>
      <c r="U5" s="22">
        <v>500</v>
      </c>
      <c r="V5" s="23" t="s">
        <v>406</v>
      </c>
      <c r="W5" s="14">
        <v>0</v>
      </c>
      <c r="X5" s="24">
        <f t="shared" si="9"/>
        <v>0</v>
      </c>
      <c r="Y5" s="25">
        <f t="shared" si="10"/>
        <v>0</v>
      </c>
      <c r="Z5" s="14">
        <v>0</v>
      </c>
      <c r="AA5" s="14" t="s">
        <v>35</v>
      </c>
      <c r="AB5" s="27">
        <f t="shared" si="11"/>
        <v>-0.69</v>
      </c>
      <c r="AC5" s="28">
        <v>0.30350721784472773</v>
      </c>
      <c r="AD5" s="25">
        <f t="shared" si="12"/>
        <v>-14.659398621900348</v>
      </c>
      <c r="AE5" s="25">
        <v>-6.94</v>
      </c>
      <c r="AF5" s="25">
        <v>-15.16897435897436</v>
      </c>
      <c r="AG5" s="25">
        <v>0</v>
      </c>
    </row>
    <row r="6" spans="1:33" ht="15.75" customHeight="1">
      <c r="A6" s="14" t="s">
        <v>185</v>
      </c>
      <c r="B6" s="14" t="s">
        <v>407</v>
      </c>
      <c r="C6" s="15">
        <f t="shared" si="4"/>
        <v>55.484999999999999</v>
      </c>
      <c r="D6" s="16">
        <v>4</v>
      </c>
      <c r="E6" s="16">
        <v>0</v>
      </c>
      <c r="F6" s="29">
        <v>221.94</v>
      </c>
      <c r="G6" s="29">
        <v>-0.05</v>
      </c>
      <c r="H6" s="18">
        <f t="shared" si="1"/>
        <v>2.2528611336397226E-4</v>
      </c>
      <c r="I6" s="18">
        <f t="shared" si="2"/>
        <v>0.4437584154348006</v>
      </c>
      <c r="J6" s="17">
        <f t="shared" si="5"/>
        <v>98.487742721599645</v>
      </c>
      <c r="K6" s="17">
        <f t="shared" si="3"/>
        <v>24.621935680399911</v>
      </c>
      <c r="L6" s="16">
        <v>86</v>
      </c>
      <c r="M6" s="19">
        <f t="shared" si="6"/>
        <v>4.6511627906976744E-2</v>
      </c>
      <c r="N6" s="16">
        <v>2</v>
      </c>
      <c r="O6" s="20">
        <f t="shared" ref="O6:P6" si="14">D6/7</f>
        <v>0.5714285714285714</v>
      </c>
      <c r="P6" s="20">
        <f t="shared" si="14"/>
        <v>0</v>
      </c>
      <c r="Q6" s="16">
        <f t="shared" si="8"/>
        <v>3</v>
      </c>
      <c r="R6" s="16"/>
      <c r="S6" s="21" t="e">
        <v>#N/A</v>
      </c>
      <c r="T6" s="14">
        <v>400</v>
      </c>
      <c r="U6" s="22" t="s">
        <v>34</v>
      </c>
      <c r="V6" s="23" t="s">
        <v>186</v>
      </c>
      <c r="W6" s="14">
        <v>0</v>
      </c>
      <c r="X6" s="24">
        <f t="shared" si="9"/>
        <v>0</v>
      </c>
      <c r="Y6" s="25">
        <f t="shared" si="10"/>
        <v>0</v>
      </c>
      <c r="Z6" s="14">
        <v>0</v>
      </c>
      <c r="AA6" s="14" t="s">
        <v>35</v>
      </c>
      <c r="AB6" s="27">
        <f t="shared" si="11"/>
        <v>-0.69</v>
      </c>
      <c r="AC6" s="28">
        <v>0.30350721784472773</v>
      </c>
      <c r="AD6" s="25">
        <f t="shared" si="12"/>
        <v>-1.6753598425028968</v>
      </c>
      <c r="AE6" s="25">
        <v>-6.94</v>
      </c>
      <c r="AF6" s="25">
        <v>-15.16897435897436</v>
      </c>
      <c r="AG6" s="25">
        <v>0</v>
      </c>
    </row>
    <row r="7" spans="1:33" ht="15.75" customHeight="1">
      <c r="A7" s="14" t="s">
        <v>187</v>
      </c>
      <c r="B7" s="14" t="s">
        <v>408</v>
      </c>
      <c r="C7" s="15">
        <f t="shared" si="4"/>
        <v>53.291666666666664</v>
      </c>
      <c r="D7" s="16">
        <v>6</v>
      </c>
      <c r="E7" s="16">
        <v>2</v>
      </c>
      <c r="F7" s="29">
        <v>319.75</v>
      </c>
      <c r="G7" s="29">
        <v>-0.02</v>
      </c>
      <c r="H7" s="18">
        <f t="shared" si="1"/>
        <v>6.254886630179828E-5</v>
      </c>
      <c r="I7" s="18">
        <f t="shared" si="2"/>
        <v>0.427219773864698</v>
      </c>
      <c r="J7" s="17">
        <f t="shared" si="5"/>
        <v>136.60352269323718</v>
      </c>
      <c r="K7" s="17">
        <f t="shared" si="3"/>
        <v>22.767253782206197</v>
      </c>
      <c r="L7" s="16">
        <v>78</v>
      </c>
      <c r="M7" s="19">
        <f t="shared" si="6"/>
        <v>7.6923076923076927E-2</v>
      </c>
      <c r="N7" s="16">
        <v>189</v>
      </c>
      <c r="O7" s="20">
        <f t="shared" ref="O7:P7" si="15">D7/7</f>
        <v>0.8571428571428571</v>
      </c>
      <c r="P7" s="20">
        <f t="shared" si="15"/>
        <v>0.2857142857142857</v>
      </c>
      <c r="Q7" s="16">
        <f t="shared" si="8"/>
        <v>165</v>
      </c>
      <c r="R7" s="16"/>
      <c r="S7" s="21">
        <v>2.2473867595818802</v>
      </c>
      <c r="T7" s="14">
        <v>400</v>
      </c>
      <c r="U7" s="22" t="s">
        <v>34</v>
      </c>
      <c r="V7" s="23" t="s">
        <v>186</v>
      </c>
      <c r="W7" s="14">
        <v>0</v>
      </c>
      <c r="X7" s="24">
        <f t="shared" si="9"/>
        <v>0</v>
      </c>
      <c r="Y7" s="25">
        <f t="shared" si="10"/>
        <v>0</v>
      </c>
      <c r="Z7" s="14">
        <v>0</v>
      </c>
      <c r="AA7" s="14" t="s">
        <v>35</v>
      </c>
      <c r="AB7" s="27">
        <f t="shared" si="11"/>
        <v>-0.69</v>
      </c>
      <c r="AC7" s="28">
        <v>0.30315593634259264</v>
      </c>
      <c r="AD7" s="25">
        <f t="shared" si="12"/>
        <v>-2.5101311529166668</v>
      </c>
      <c r="AE7" s="25">
        <v>-6.94</v>
      </c>
      <c r="AF7" s="25">
        <v>-15.16897435897436</v>
      </c>
      <c r="AG7" s="25">
        <v>0</v>
      </c>
    </row>
    <row r="8" spans="1:33" ht="15.75" customHeight="1">
      <c r="A8" s="14" t="s">
        <v>189</v>
      </c>
      <c r="B8" s="14" t="s">
        <v>409</v>
      </c>
      <c r="C8" s="15">
        <f t="shared" si="4"/>
        <v>38.644358974358973</v>
      </c>
      <c r="D8" s="16">
        <v>39</v>
      </c>
      <c r="E8" s="16">
        <v>0</v>
      </c>
      <c r="F8" s="29">
        <v>1507.1299999999999</v>
      </c>
      <c r="G8" s="29">
        <v>0</v>
      </c>
      <c r="H8" s="18">
        <f t="shared" si="1"/>
        <v>0</v>
      </c>
      <c r="I8" s="18">
        <f t="shared" si="2"/>
        <v>0.26703379768569496</v>
      </c>
      <c r="J8" s="17">
        <f t="shared" si="5"/>
        <v>402.45464750604145</v>
      </c>
      <c r="K8" s="17">
        <f t="shared" si="3"/>
        <v>10.319349936052346</v>
      </c>
      <c r="L8" s="16">
        <v>92</v>
      </c>
      <c r="M8" s="19">
        <f t="shared" si="6"/>
        <v>0.42391304347826086</v>
      </c>
      <c r="N8" s="16">
        <v>153</v>
      </c>
      <c r="O8" s="20">
        <f t="shared" ref="O8:P8" si="16">D8/7</f>
        <v>5.5714285714285712</v>
      </c>
      <c r="P8" s="20">
        <f t="shared" si="16"/>
        <v>0</v>
      </c>
      <c r="Q8" s="16">
        <f t="shared" si="8"/>
        <v>27</v>
      </c>
      <c r="R8" s="16"/>
      <c r="S8" s="21">
        <v>2.3367065317387299</v>
      </c>
      <c r="T8" s="14">
        <v>800</v>
      </c>
      <c r="U8" s="22" t="s">
        <v>34</v>
      </c>
      <c r="V8" s="23" t="s">
        <v>34</v>
      </c>
      <c r="W8" s="14">
        <v>0</v>
      </c>
      <c r="X8" s="24">
        <f t="shared" si="9"/>
        <v>0</v>
      </c>
      <c r="Y8" s="25">
        <f t="shared" si="10"/>
        <v>0</v>
      </c>
      <c r="Z8" s="14">
        <v>0</v>
      </c>
      <c r="AA8" s="14" t="s">
        <v>35</v>
      </c>
      <c r="AB8" s="27">
        <f t="shared" si="11"/>
        <v>-0.69</v>
      </c>
      <c r="AC8" s="28">
        <v>0.30315593634259264</v>
      </c>
      <c r="AD8" s="25">
        <f t="shared" si="12"/>
        <v>-16.315852493958332</v>
      </c>
      <c r="AE8" s="25">
        <v>-6.94</v>
      </c>
      <c r="AF8" s="25">
        <v>-15.17</v>
      </c>
      <c r="AG8" s="25">
        <v>0</v>
      </c>
    </row>
    <row r="9" spans="1:33" ht="15.75" customHeight="1">
      <c r="A9" s="14" t="s">
        <v>191</v>
      </c>
      <c r="B9" s="14" t="s">
        <v>410</v>
      </c>
      <c r="C9" s="15">
        <f t="shared" si="4"/>
        <v>40.809420289855076</v>
      </c>
      <c r="D9" s="16">
        <v>69</v>
      </c>
      <c r="E9" s="16">
        <v>2</v>
      </c>
      <c r="F9" s="29">
        <v>2815.8500000000004</v>
      </c>
      <c r="G9" s="29">
        <v>0</v>
      </c>
      <c r="H9" s="18">
        <f t="shared" si="1"/>
        <v>0</v>
      </c>
      <c r="I9" s="18">
        <f t="shared" si="2"/>
        <v>0.29058551503478247</v>
      </c>
      <c r="J9" s="17">
        <f t="shared" si="5"/>
        <v>818.24522251069232</v>
      </c>
      <c r="K9" s="17">
        <f t="shared" si="3"/>
        <v>11.85862641319844</v>
      </c>
      <c r="L9" s="16">
        <v>134</v>
      </c>
      <c r="M9" s="19">
        <f t="shared" si="6"/>
        <v>0.5149253731343284</v>
      </c>
      <c r="N9" s="16">
        <v>91</v>
      </c>
      <c r="O9" s="20">
        <f t="shared" ref="O9:P9" si="17">D9/7</f>
        <v>9.8571428571428577</v>
      </c>
      <c r="P9" s="20">
        <f t="shared" si="17"/>
        <v>0.2857142857142857</v>
      </c>
      <c r="Q9" s="16">
        <f t="shared" si="8"/>
        <v>8</v>
      </c>
      <c r="R9" s="16"/>
      <c r="S9" s="21">
        <v>2.8813160987074</v>
      </c>
      <c r="T9" s="14">
        <v>800</v>
      </c>
      <c r="U9" s="22" t="s">
        <v>34</v>
      </c>
      <c r="V9" s="23" t="s">
        <v>34</v>
      </c>
      <c r="W9" s="14">
        <v>0</v>
      </c>
      <c r="X9" s="24">
        <f t="shared" si="9"/>
        <v>0</v>
      </c>
      <c r="Y9" s="25">
        <f t="shared" si="10"/>
        <v>0</v>
      </c>
      <c r="Z9" s="14">
        <v>0</v>
      </c>
      <c r="AA9" s="14" t="s">
        <v>35</v>
      </c>
      <c r="AB9" s="27">
        <f t="shared" si="11"/>
        <v>-0.69</v>
      </c>
      <c r="AC9" s="28">
        <v>0.30315593634259264</v>
      </c>
      <c r="AD9" s="25">
        <f t="shared" si="12"/>
        <v>-28.866508258541668</v>
      </c>
      <c r="AE9" s="25">
        <v>-6.94</v>
      </c>
      <c r="AF9" s="25">
        <v>-15.4710256410256</v>
      </c>
      <c r="AG9" s="25">
        <v>0</v>
      </c>
    </row>
    <row r="10" spans="1:33" ht="15.75" customHeight="1">
      <c r="A10" s="14" t="s">
        <v>192</v>
      </c>
      <c r="B10" s="14" t="s">
        <v>68</v>
      </c>
      <c r="C10" s="15">
        <f t="shared" si="4"/>
        <v>50.498000000000005</v>
      </c>
      <c r="D10" s="16">
        <v>25</v>
      </c>
      <c r="E10" s="16">
        <v>2</v>
      </c>
      <c r="F10" s="29">
        <v>1262.45</v>
      </c>
      <c r="G10" s="29">
        <v>0</v>
      </c>
      <c r="H10" s="18">
        <f t="shared" si="1"/>
        <v>0</v>
      </c>
      <c r="I10" s="18">
        <f t="shared" si="2"/>
        <v>0.3979151484577928</v>
      </c>
      <c r="J10" s="17">
        <f t="shared" si="5"/>
        <v>502.34797917054055</v>
      </c>
      <c r="K10" s="17">
        <f t="shared" si="3"/>
        <v>20.093919166821621</v>
      </c>
      <c r="L10" s="16">
        <v>101</v>
      </c>
      <c r="M10" s="19">
        <f t="shared" si="6"/>
        <v>0.24752475247524752</v>
      </c>
      <c r="N10" s="16">
        <v>188</v>
      </c>
      <c r="O10" s="20">
        <f t="shared" ref="O10:P10" si="18">D10/7</f>
        <v>3.5714285714285716</v>
      </c>
      <c r="P10" s="20">
        <f t="shared" si="18"/>
        <v>0.2857142857142857</v>
      </c>
      <c r="Q10" s="16">
        <f t="shared" si="8"/>
        <v>48</v>
      </c>
      <c r="R10" s="16"/>
      <c r="S10" s="21">
        <v>2.85</v>
      </c>
      <c r="T10" s="14">
        <v>640</v>
      </c>
      <c r="U10" s="22">
        <v>325</v>
      </c>
      <c r="V10" s="23" t="s">
        <v>411</v>
      </c>
      <c r="W10" s="14">
        <v>0</v>
      </c>
      <c r="X10" s="24">
        <f t="shared" si="9"/>
        <v>0</v>
      </c>
      <c r="Y10" s="25">
        <f t="shared" si="10"/>
        <v>0</v>
      </c>
      <c r="Z10" s="14">
        <v>0</v>
      </c>
      <c r="AA10" s="14" t="s">
        <v>35</v>
      </c>
      <c r="AB10" s="27">
        <f t="shared" si="11"/>
        <v>-0.69</v>
      </c>
      <c r="AC10" s="28">
        <v>0.30315593634259264</v>
      </c>
      <c r="AD10" s="25">
        <f t="shared" si="12"/>
        <v>-10.458879803819444</v>
      </c>
      <c r="AE10" s="25">
        <v>-6.94</v>
      </c>
      <c r="AF10" s="25">
        <v>-15.4710256410256</v>
      </c>
      <c r="AG10" s="25">
        <v>0</v>
      </c>
    </row>
    <row r="11" spans="1:33" ht="15.75" customHeight="1">
      <c r="A11" s="14" t="s">
        <v>193</v>
      </c>
      <c r="B11" s="14" t="s">
        <v>412</v>
      </c>
      <c r="C11" s="15">
        <f t="shared" si="4"/>
        <v>50.766458333333325</v>
      </c>
      <c r="D11" s="16">
        <v>48</v>
      </c>
      <c r="E11" s="16">
        <v>1</v>
      </c>
      <c r="F11" s="29">
        <v>2436.7899999999995</v>
      </c>
      <c r="G11" s="29">
        <v>-0.24</v>
      </c>
      <c r="H11" s="18">
        <f t="shared" si="1"/>
        <v>9.8490226896860228E-5</v>
      </c>
      <c r="I11" s="18">
        <f t="shared" si="2"/>
        <v>0.40020733013818899</v>
      </c>
      <c r="J11" s="17">
        <f t="shared" si="5"/>
        <v>975.22122000743741</v>
      </c>
      <c r="K11" s="17">
        <f t="shared" si="3"/>
        <v>20.317108750154947</v>
      </c>
      <c r="L11" s="16">
        <v>156</v>
      </c>
      <c r="M11" s="19">
        <f t="shared" si="6"/>
        <v>0.30769230769230771</v>
      </c>
      <c r="N11" s="16">
        <v>147</v>
      </c>
      <c r="O11" s="20">
        <f t="shared" ref="O11:P11" si="19">D11/7</f>
        <v>6.8571428571428568</v>
      </c>
      <c r="P11" s="20">
        <f t="shared" si="19"/>
        <v>0.14285714285714285</v>
      </c>
      <c r="Q11" s="16">
        <f t="shared" si="8"/>
        <v>21</v>
      </c>
      <c r="R11" s="16"/>
      <c r="S11" s="21">
        <v>2.5592417061611301</v>
      </c>
      <c r="T11" s="14">
        <v>1451</v>
      </c>
      <c r="U11" s="22">
        <v>651</v>
      </c>
      <c r="V11" s="23" t="s">
        <v>413</v>
      </c>
      <c r="W11" s="14">
        <v>0</v>
      </c>
      <c r="X11" s="24">
        <f t="shared" si="9"/>
        <v>0</v>
      </c>
      <c r="Y11" s="25">
        <f t="shared" si="10"/>
        <v>0</v>
      </c>
      <c r="Z11" s="14">
        <v>0</v>
      </c>
      <c r="AA11" s="14" t="s">
        <v>35</v>
      </c>
      <c r="AB11" s="27">
        <f t="shared" si="11"/>
        <v>-0.69</v>
      </c>
      <c r="AC11" s="28">
        <v>0.30315593634259264</v>
      </c>
      <c r="AD11" s="25">
        <f t="shared" si="12"/>
        <v>-20.081049223333334</v>
      </c>
      <c r="AE11" s="25">
        <v>-6.94</v>
      </c>
      <c r="AF11" s="25">
        <v>-15.4710256410256</v>
      </c>
      <c r="AG11" s="25">
        <v>0</v>
      </c>
    </row>
    <row r="12" spans="1:33" ht="15.75" customHeight="1">
      <c r="A12" s="14" t="s">
        <v>195</v>
      </c>
      <c r="B12" s="14" t="s">
        <v>68</v>
      </c>
      <c r="C12" s="15">
        <f t="shared" si="4"/>
        <v>55.273809523809533</v>
      </c>
      <c r="D12" s="16">
        <v>21</v>
      </c>
      <c r="E12" s="16">
        <v>3</v>
      </c>
      <c r="F12" s="29">
        <v>1160.7500000000002</v>
      </c>
      <c r="G12" s="29">
        <v>-0.17</v>
      </c>
      <c r="H12" s="18">
        <f t="shared" si="1"/>
        <v>1.4645703209132025E-4</v>
      </c>
      <c r="I12" s="18">
        <f t="shared" si="2"/>
        <v>0.43683006892375981</v>
      </c>
      <c r="J12" s="17">
        <f t="shared" si="5"/>
        <v>507.05050250325428</v>
      </c>
      <c r="K12" s="17">
        <f t="shared" si="3"/>
        <v>24.145262023964488</v>
      </c>
      <c r="L12" s="16">
        <v>126</v>
      </c>
      <c r="M12" s="19">
        <f t="shared" si="6"/>
        <v>0.16666666666666666</v>
      </c>
      <c r="N12" s="16">
        <v>108</v>
      </c>
      <c r="O12" s="20">
        <f t="shared" ref="O12:P12" si="20">D12/7</f>
        <v>3</v>
      </c>
      <c r="P12" s="20">
        <f t="shared" si="20"/>
        <v>0.42857142857142855</v>
      </c>
      <c r="Q12" s="16">
        <f t="shared" si="8"/>
        <v>31</v>
      </c>
      <c r="R12" s="16"/>
      <c r="S12" s="21">
        <v>3.0314465408804998</v>
      </c>
      <c r="T12" s="14">
        <v>1200</v>
      </c>
      <c r="U12" s="22">
        <v>400</v>
      </c>
      <c r="V12" s="23" t="s">
        <v>414</v>
      </c>
      <c r="W12" s="14">
        <v>0</v>
      </c>
      <c r="X12" s="24">
        <f t="shared" si="9"/>
        <v>0</v>
      </c>
      <c r="Y12" s="25">
        <f t="shared" si="10"/>
        <v>0</v>
      </c>
      <c r="Z12" s="14">
        <v>0</v>
      </c>
      <c r="AA12" s="14" t="s">
        <v>35</v>
      </c>
      <c r="AB12" s="27">
        <f t="shared" si="11"/>
        <v>-0.69</v>
      </c>
      <c r="AC12" s="28">
        <v>0.30315593634259264</v>
      </c>
      <c r="AD12" s="25">
        <f t="shared" si="12"/>
        <v>-8.7854590352083335</v>
      </c>
      <c r="AE12" s="25">
        <v>-6.94</v>
      </c>
      <c r="AF12" s="25">
        <v>-15.4710256410256</v>
      </c>
      <c r="AG12" s="25">
        <v>0</v>
      </c>
    </row>
    <row r="13" spans="1:33" ht="15.75" customHeight="1">
      <c r="A13" s="14" t="s">
        <v>197</v>
      </c>
      <c r="B13" s="14" t="s">
        <v>415</v>
      </c>
      <c r="C13" s="15">
        <f t="shared" si="4"/>
        <v>54.972941176470592</v>
      </c>
      <c r="D13" s="16">
        <v>17</v>
      </c>
      <c r="E13" s="16">
        <v>1</v>
      </c>
      <c r="F13" s="17">
        <v>934.54000000000008</v>
      </c>
      <c r="G13" s="29">
        <v>-7.0000000000000007E-2</v>
      </c>
      <c r="H13" s="18">
        <f t="shared" si="1"/>
        <v>7.4903160913390547E-5</v>
      </c>
      <c r="I13" s="18">
        <f t="shared" si="2"/>
        <v>0.43174926887388737</v>
      </c>
      <c r="J13" s="17">
        <f t="shared" si="5"/>
        <v>403.48696173340272</v>
      </c>
      <c r="K13" s="17">
        <f t="shared" si="3"/>
        <v>23.734527160788396</v>
      </c>
      <c r="L13" s="16">
        <v>65</v>
      </c>
      <c r="M13" s="19">
        <f t="shared" si="6"/>
        <v>0.26153846153846155</v>
      </c>
      <c r="N13" s="16">
        <v>106</v>
      </c>
      <c r="O13" s="20">
        <f t="shared" ref="O13:P13" si="21">D13/7</f>
        <v>2.4285714285714284</v>
      </c>
      <c r="P13" s="20">
        <f t="shared" si="21"/>
        <v>0.14285714285714285</v>
      </c>
      <c r="Q13" s="16">
        <f t="shared" si="8"/>
        <v>41</v>
      </c>
      <c r="R13" s="16"/>
      <c r="S13" s="21">
        <v>3.0536912751677798</v>
      </c>
      <c r="T13" s="14">
        <v>1200</v>
      </c>
      <c r="U13" s="22">
        <v>400</v>
      </c>
      <c r="V13" s="23" t="s">
        <v>416</v>
      </c>
      <c r="W13" s="14">
        <v>0</v>
      </c>
      <c r="X13" s="24">
        <f t="shared" si="9"/>
        <v>0</v>
      </c>
      <c r="Y13" s="25">
        <f t="shared" si="10"/>
        <v>0</v>
      </c>
      <c r="Z13" s="14">
        <v>0</v>
      </c>
      <c r="AA13" s="14" t="s">
        <v>35</v>
      </c>
      <c r="AB13" s="27">
        <f t="shared" si="11"/>
        <v>-0.69</v>
      </c>
      <c r="AC13" s="28">
        <v>0.30315593634259264</v>
      </c>
      <c r="AD13" s="25">
        <f t="shared" si="12"/>
        <v>-7.1120382665972226</v>
      </c>
      <c r="AE13" s="25">
        <v>-6.94</v>
      </c>
      <c r="AF13" s="25">
        <v>-15.63</v>
      </c>
      <c r="AG13" s="25">
        <v>0</v>
      </c>
    </row>
    <row r="14" spans="1:33" ht="15.75" customHeight="1">
      <c r="A14" s="14" t="s">
        <v>32</v>
      </c>
      <c r="B14" s="14" t="s">
        <v>417</v>
      </c>
      <c r="C14" s="15">
        <f t="shared" si="4"/>
        <v>52.464999999999989</v>
      </c>
      <c r="D14" s="16">
        <v>22</v>
      </c>
      <c r="E14" s="16">
        <v>0</v>
      </c>
      <c r="F14" s="17">
        <v>1154.2299999999998</v>
      </c>
      <c r="G14" s="29">
        <v>0</v>
      </c>
      <c r="H14" s="18">
        <f t="shared" si="1"/>
        <v>0</v>
      </c>
      <c r="I14" s="18">
        <f t="shared" si="2"/>
        <v>0.41183445740678959</v>
      </c>
      <c r="J14" s="17">
        <f t="shared" si="5"/>
        <v>475.35168577263863</v>
      </c>
      <c r="K14" s="17">
        <f t="shared" si="3"/>
        <v>21.606894807847212</v>
      </c>
      <c r="L14" s="16">
        <v>105</v>
      </c>
      <c r="M14" s="19">
        <f t="shared" si="6"/>
        <v>0.20952380952380953</v>
      </c>
      <c r="N14" s="16">
        <v>84</v>
      </c>
      <c r="O14" s="20">
        <f t="shared" ref="O14:P14" si="22">D14/7</f>
        <v>3.1428571428571428</v>
      </c>
      <c r="P14" s="20">
        <f t="shared" si="22"/>
        <v>0</v>
      </c>
      <c r="Q14" s="16">
        <f t="shared" si="8"/>
        <v>26</v>
      </c>
      <c r="R14" s="16"/>
      <c r="S14" s="21">
        <v>3.3073593073593002</v>
      </c>
      <c r="T14" s="14">
        <v>1200</v>
      </c>
      <c r="U14" s="22">
        <v>400</v>
      </c>
      <c r="V14" s="23" t="s">
        <v>416</v>
      </c>
      <c r="W14" s="14">
        <v>0</v>
      </c>
      <c r="X14" s="24">
        <f t="shared" si="9"/>
        <v>0</v>
      </c>
      <c r="Y14" s="25">
        <f t="shared" si="10"/>
        <v>0</v>
      </c>
      <c r="Z14" s="14">
        <v>0</v>
      </c>
      <c r="AA14" s="14" t="s">
        <v>35</v>
      </c>
      <c r="AB14" s="27">
        <f t="shared" si="11"/>
        <v>-0.69</v>
      </c>
      <c r="AC14" s="28">
        <v>0.30315593634259264</v>
      </c>
      <c r="AD14" s="25">
        <f t="shared" si="12"/>
        <v>-9.2038142273611108</v>
      </c>
      <c r="AE14" s="25">
        <v>-6.94</v>
      </c>
      <c r="AF14" s="25">
        <v>-15.63</v>
      </c>
      <c r="AG14" s="25">
        <v>0</v>
      </c>
    </row>
    <row r="15" spans="1:33" ht="15.75" customHeight="1">
      <c r="A15" s="14" t="s">
        <v>36</v>
      </c>
      <c r="B15" s="14" t="s">
        <v>418</v>
      </c>
      <c r="C15" s="15">
        <f t="shared" si="4"/>
        <v>46.263636363636351</v>
      </c>
      <c r="D15" s="16">
        <v>22</v>
      </c>
      <c r="E15" s="16">
        <v>0</v>
      </c>
      <c r="F15" s="17">
        <v>1017.7999999999997</v>
      </c>
      <c r="G15" s="29">
        <v>0</v>
      </c>
      <c r="H15" s="18">
        <f t="shared" si="1"/>
        <v>0</v>
      </c>
      <c r="I15" s="18">
        <f t="shared" si="2"/>
        <v>0.29430751205800837</v>
      </c>
      <c r="J15" s="17">
        <f t="shared" si="5"/>
        <v>299.54618577264085</v>
      </c>
      <c r="K15" s="17">
        <f t="shared" si="3"/>
        <v>13.61573571693822</v>
      </c>
      <c r="L15" s="16">
        <v>75</v>
      </c>
      <c r="M15" s="19">
        <f t="shared" si="6"/>
        <v>0.29333333333333333</v>
      </c>
      <c r="N15" s="16">
        <v>210</v>
      </c>
      <c r="O15" s="20">
        <f t="shared" ref="O15:P15" si="23">D15/7</f>
        <v>3.1428571428571428</v>
      </c>
      <c r="P15" s="20">
        <f t="shared" si="23"/>
        <v>0</v>
      </c>
      <c r="Q15" s="16">
        <f t="shared" si="8"/>
        <v>66</v>
      </c>
      <c r="R15" s="16"/>
      <c r="S15" s="21">
        <v>2.70498084291187</v>
      </c>
      <c r="T15" s="14">
        <v>1200</v>
      </c>
      <c r="U15" s="22">
        <v>400</v>
      </c>
      <c r="V15" s="23" t="s">
        <v>419</v>
      </c>
      <c r="W15" s="14">
        <v>0</v>
      </c>
      <c r="X15" s="24">
        <f t="shared" si="9"/>
        <v>0</v>
      </c>
      <c r="Y15" s="25">
        <f t="shared" si="10"/>
        <v>0</v>
      </c>
      <c r="Z15" s="14">
        <v>0</v>
      </c>
      <c r="AA15" s="14" t="s">
        <v>35</v>
      </c>
      <c r="AB15" s="27">
        <f t="shared" si="11"/>
        <v>-0.69</v>
      </c>
      <c r="AC15" s="28">
        <v>0.30315593634259264</v>
      </c>
      <c r="AD15" s="25">
        <f t="shared" si="12"/>
        <v>-9.2038142273611108</v>
      </c>
      <c r="AE15" s="25">
        <v>-6.94</v>
      </c>
      <c r="AF15" s="25">
        <v>-18.349999999999898</v>
      </c>
      <c r="AG15" s="25">
        <v>0</v>
      </c>
    </row>
    <row r="16" spans="1:33" ht="15.75" customHeight="1">
      <c r="A16" s="14" t="s">
        <v>38</v>
      </c>
      <c r="B16" s="14" t="s">
        <v>127</v>
      </c>
      <c r="C16" s="15">
        <f t="shared" si="4"/>
        <v>36.99905882352936</v>
      </c>
      <c r="D16" s="16">
        <v>85</v>
      </c>
      <c r="E16" s="16">
        <v>0</v>
      </c>
      <c r="F16" s="17">
        <v>3144.9199999999955</v>
      </c>
      <c r="G16" s="29">
        <v>-7.0000000000000007E-2</v>
      </c>
      <c r="H16" s="18">
        <f t="shared" si="1"/>
        <v>2.2258117853554338E-5</v>
      </c>
      <c r="I16" s="18">
        <f t="shared" si="2"/>
        <v>0.15513965654675452</v>
      </c>
      <c r="J16" s="17">
        <f t="shared" si="5"/>
        <v>487.90180866701854</v>
      </c>
      <c r="K16" s="17">
        <f t="shared" si="3"/>
        <v>5.7400212784355125</v>
      </c>
      <c r="L16" s="16">
        <v>205</v>
      </c>
      <c r="M16" s="19">
        <f t="shared" si="6"/>
        <v>0.41463414634146339</v>
      </c>
      <c r="N16" s="16">
        <v>140</v>
      </c>
      <c r="O16" s="20">
        <f t="shared" ref="O16:P16" si="24">D16/7</f>
        <v>12.142857142857142</v>
      </c>
      <c r="P16" s="20">
        <f t="shared" si="24"/>
        <v>0</v>
      </c>
      <c r="Q16" s="16">
        <f t="shared" si="8"/>
        <v>11</v>
      </c>
      <c r="R16" s="16"/>
      <c r="S16" s="21">
        <v>2.7096774193548301</v>
      </c>
      <c r="T16" s="14">
        <v>1200</v>
      </c>
      <c r="U16" s="22">
        <v>400</v>
      </c>
      <c r="V16" s="23" t="s">
        <v>420</v>
      </c>
      <c r="W16" s="14">
        <v>0</v>
      </c>
      <c r="X16" s="24">
        <f t="shared" si="9"/>
        <v>0</v>
      </c>
      <c r="Y16" s="25">
        <f t="shared" si="10"/>
        <v>0</v>
      </c>
      <c r="Z16" s="14">
        <v>0</v>
      </c>
      <c r="AA16" s="14" t="s">
        <v>35</v>
      </c>
      <c r="AB16" s="27">
        <f t="shared" si="11"/>
        <v>-0.69</v>
      </c>
      <c r="AC16" s="28">
        <v>0.30315593634259264</v>
      </c>
      <c r="AD16" s="25">
        <f t="shared" si="12"/>
        <v>-35.560191332986108</v>
      </c>
      <c r="AE16" s="25">
        <v>-6.94</v>
      </c>
      <c r="AF16" s="25">
        <v>-18.349999999999898</v>
      </c>
      <c r="AG16" s="25">
        <v>0</v>
      </c>
    </row>
    <row r="17" spans="1:33" ht="15.75" customHeight="1">
      <c r="A17" s="31"/>
      <c r="B17" s="31"/>
      <c r="C17" s="32"/>
      <c r="D17" s="33"/>
      <c r="E17" s="33"/>
      <c r="F17" s="34"/>
      <c r="G17" s="34"/>
      <c r="H17" s="34"/>
      <c r="I17" s="33"/>
      <c r="J17" s="33"/>
      <c r="K17" s="33"/>
      <c r="L17" s="33"/>
      <c r="M17" s="35"/>
      <c r="N17" s="33"/>
      <c r="O17" s="33"/>
      <c r="P17" s="33"/>
      <c r="Q17" s="33"/>
      <c r="R17" s="33"/>
      <c r="S17" s="21"/>
      <c r="T17" s="31"/>
      <c r="U17" s="36"/>
      <c r="V17" s="1"/>
      <c r="W17" s="31"/>
      <c r="X17" s="31"/>
      <c r="Y17" s="31"/>
      <c r="Z17" s="31"/>
      <c r="AA17" s="2"/>
      <c r="AB17" s="31"/>
      <c r="AC17" s="31"/>
      <c r="AD17" s="31"/>
      <c r="AE17" s="37"/>
      <c r="AF17" s="37"/>
      <c r="AG17" s="37"/>
    </row>
    <row r="18" spans="1:33" ht="15.75" customHeight="1">
      <c r="A18" s="14" t="s">
        <v>42</v>
      </c>
      <c r="B18" s="14" t="s">
        <v>311</v>
      </c>
      <c r="C18" s="15">
        <f t="shared" ref="C18:C32" si="25">IFERROR(F18/D18," - ")</f>
        <v>39.114687499999995</v>
      </c>
      <c r="D18" s="16">
        <v>32</v>
      </c>
      <c r="E18" s="16">
        <v>0</v>
      </c>
      <c r="F18" s="17">
        <v>1251.6699999999998</v>
      </c>
      <c r="G18" s="29">
        <v>0</v>
      </c>
      <c r="H18" s="18">
        <f t="shared" ref="H18:H32" si="26">G18/F18*-1</f>
        <v>0</v>
      </c>
      <c r="I18" s="18">
        <f t="shared" ref="I18:I32" si="27">J18/F18</f>
        <v>0.19274420082858429</v>
      </c>
      <c r="J18" s="17">
        <f t="shared" ref="J18:J32" si="28">F18*0.85+G18+AF18*D18+D18*AE18+AG18+AD18</f>
        <v>241.25213385111408</v>
      </c>
      <c r="K18" s="17">
        <f t="shared" ref="K18:K32" si="29">J18/D18</f>
        <v>7.539129182847315</v>
      </c>
      <c r="L18" s="16">
        <v>133</v>
      </c>
      <c r="M18" s="19">
        <f t="shared" ref="M18:M32" si="30">IFERROR(D18/L18,"-")</f>
        <v>0.24060150375939848</v>
      </c>
      <c r="N18" s="16">
        <v>397</v>
      </c>
      <c r="O18" s="20">
        <f t="shared" ref="O18:P18" si="31">D18/7</f>
        <v>4.5714285714285712</v>
      </c>
      <c r="P18" s="20">
        <f t="shared" si="31"/>
        <v>0</v>
      </c>
      <c r="Q18" s="16">
        <f t="shared" ref="Q18:Q32" si="32">ROUNDDOWN(N18/(O18+P18),0)</f>
        <v>86</v>
      </c>
      <c r="R18" s="16"/>
      <c r="S18" s="21">
        <v>2.94545454545454</v>
      </c>
      <c r="T18" s="14">
        <v>1300</v>
      </c>
      <c r="U18" s="22">
        <v>0</v>
      </c>
      <c r="V18" s="23" t="s">
        <v>34</v>
      </c>
      <c r="W18" s="14">
        <v>0</v>
      </c>
      <c r="X18" s="24">
        <f t="shared" ref="X18:X32" si="33">IFERROR(W18/D18,0)</f>
        <v>0</v>
      </c>
      <c r="Y18" s="25">
        <f t="shared" ref="Y18:Y32" si="34">IFERROR(G18/(W18+Z18)*-1,0)</f>
        <v>0</v>
      </c>
      <c r="Z18" s="14">
        <v>0</v>
      </c>
      <c r="AA18" s="14" t="s">
        <v>35</v>
      </c>
      <c r="AB18" s="27">
        <f t="shared" ref="AB18:AB32" si="35">IF(OR(AA18="UsLargeStandardSize",AA18="UsSmallStandardSize"),-0.69,-0.48)</f>
        <v>-0.69</v>
      </c>
      <c r="AC18" s="28">
        <v>0.30315593634259264</v>
      </c>
      <c r="AD18" s="25">
        <f t="shared" ref="AD18:AD32" si="36">IFERROR(AB18*AC18*D18*2,0)</f>
        <v>-13.387366148888889</v>
      </c>
      <c r="AE18" s="25">
        <v>-6.94</v>
      </c>
      <c r="AF18" s="25">
        <v>-18.349999999999898</v>
      </c>
      <c r="AG18" s="25">
        <v>0</v>
      </c>
    </row>
    <row r="19" spans="1:33" ht="15.75" customHeight="1">
      <c r="A19" s="14" t="s">
        <v>44</v>
      </c>
      <c r="B19" s="14" t="s">
        <v>68</v>
      </c>
      <c r="C19" s="15">
        <f t="shared" si="25"/>
        <v>38.178478260869568</v>
      </c>
      <c r="D19" s="16">
        <v>46</v>
      </c>
      <c r="E19" s="16">
        <v>2</v>
      </c>
      <c r="F19" s="17">
        <v>1756.21</v>
      </c>
      <c r="G19" s="29">
        <v>0</v>
      </c>
      <c r="H19" s="18">
        <f t="shared" si="26"/>
        <v>0</v>
      </c>
      <c r="I19" s="18">
        <f t="shared" si="27"/>
        <v>0.15421912024243811</v>
      </c>
      <c r="J19" s="17">
        <f t="shared" si="28"/>
        <v>270.84116116097226</v>
      </c>
      <c r="K19" s="17">
        <f t="shared" si="29"/>
        <v>5.8878513295863533</v>
      </c>
      <c r="L19" s="16">
        <v>142</v>
      </c>
      <c r="M19" s="19">
        <f t="shared" si="30"/>
        <v>0.323943661971831</v>
      </c>
      <c r="N19" s="16">
        <v>343</v>
      </c>
      <c r="O19" s="20">
        <f t="shared" ref="O19:P19" si="37">D19/7</f>
        <v>6.5714285714285712</v>
      </c>
      <c r="P19" s="20">
        <f t="shared" si="37"/>
        <v>0.2857142857142857</v>
      </c>
      <c r="Q19" s="16">
        <f t="shared" si="32"/>
        <v>50</v>
      </c>
      <c r="R19" s="16"/>
      <c r="S19" s="21">
        <v>2.5257985257985198</v>
      </c>
      <c r="T19" s="14">
        <v>1300</v>
      </c>
      <c r="U19" s="22" t="s">
        <v>34</v>
      </c>
      <c r="V19" s="23" t="s">
        <v>34</v>
      </c>
      <c r="W19" s="14">
        <v>0</v>
      </c>
      <c r="X19" s="24">
        <f t="shared" si="33"/>
        <v>0</v>
      </c>
      <c r="Y19" s="25">
        <f t="shared" si="34"/>
        <v>0</v>
      </c>
      <c r="Z19" s="14">
        <v>0</v>
      </c>
      <c r="AA19" s="14" t="s">
        <v>35</v>
      </c>
      <c r="AB19" s="27">
        <f t="shared" si="35"/>
        <v>-0.69</v>
      </c>
      <c r="AC19" s="28">
        <v>0.30315593634259264</v>
      </c>
      <c r="AD19" s="25">
        <f t="shared" si="36"/>
        <v>-19.244338839027776</v>
      </c>
      <c r="AE19" s="25">
        <v>-6.94</v>
      </c>
      <c r="AF19" s="25">
        <v>-19.205499999999997</v>
      </c>
      <c r="AG19" s="25">
        <v>0</v>
      </c>
    </row>
    <row r="20" spans="1:33" ht="15.75" customHeight="1">
      <c r="A20" s="14" t="s">
        <v>46</v>
      </c>
      <c r="B20" s="14" t="s">
        <v>143</v>
      </c>
      <c r="C20" s="15">
        <f t="shared" si="25"/>
        <v>37.317777777777785</v>
      </c>
      <c r="D20" s="16">
        <v>54</v>
      </c>
      <c r="E20" s="16">
        <v>0</v>
      </c>
      <c r="F20" s="17">
        <v>2015.1600000000005</v>
      </c>
      <c r="G20" s="29">
        <v>0</v>
      </c>
      <c r="H20" s="18">
        <f t="shared" si="26"/>
        <v>0</v>
      </c>
      <c r="I20" s="18">
        <f t="shared" si="27"/>
        <v>0.13817156931645652</v>
      </c>
      <c r="J20" s="17">
        <f t="shared" si="28"/>
        <v>278.43781962375061</v>
      </c>
      <c r="K20" s="17">
        <f t="shared" si="29"/>
        <v>5.1562559189583448</v>
      </c>
      <c r="L20" s="16">
        <v>160</v>
      </c>
      <c r="M20" s="19">
        <f t="shared" si="30"/>
        <v>0.33750000000000002</v>
      </c>
      <c r="N20" s="16">
        <v>285</v>
      </c>
      <c r="O20" s="20">
        <f t="shared" ref="O20:P20" si="38">D20/7</f>
        <v>7.7142857142857144</v>
      </c>
      <c r="P20" s="20">
        <f t="shared" si="38"/>
        <v>0</v>
      </c>
      <c r="Q20" s="16">
        <f t="shared" si="32"/>
        <v>36</v>
      </c>
      <c r="R20" s="16"/>
      <c r="S20" s="21">
        <v>2.6651108518086302</v>
      </c>
      <c r="T20" s="14">
        <v>500</v>
      </c>
      <c r="U20" s="22" t="s">
        <v>34</v>
      </c>
      <c r="V20" s="23" t="s">
        <v>34</v>
      </c>
      <c r="W20" s="14">
        <v>0</v>
      </c>
      <c r="X20" s="24">
        <f t="shared" si="33"/>
        <v>0</v>
      </c>
      <c r="Y20" s="25">
        <f t="shared" si="34"/>
        <v>0</v>
      </c>
      <c r="Z20" s="14">
        <v>0</v>
      </c>
      <c r="AA20" s="14" t="s">
        <v>35</v>
      </c>
      <c r="AB20" s="27">
        <f t="shared" si="35"/>
        <v>-0.69</v>
      </c>
      <c r="AC20" s="28">
        <v>0.30315593634259264</v>
      </c>
      <c r="AD20" s="25">
        <f t="shared" si="36"/>
        <v>-22.591180376250001</v>
      </c>
      <c r="AE20" s="25">
        <v>-6.94</v>
      </c>
      <c r="AF20" s="25">
        <v>-19.205499999999997</v>
      </c>
      <c r="AG20" s="25">
        <v>0</v>
      </c>
    </row>
    <row r="21" spans="1:33" ht="15.75" customHeight="1">
      <c r="A21" s="14" t="s">
        <v>47</v>
      </c>
      <c r="B21" s="14" t="s">
        <v>421</v>
      </c>
      <c r="C21" s="15">
        <f t="shared" si="25"/>
        <v>39.320000000000014</v>
      </c>
      <c r="D21" s="16">
        <v>48</v>
      </c>
      <c r="E21" s="16">
        <v>0</v>
      </c>
      <c r="F21" s="17">
        <v>1887.3600000000006</v>
      </c>
      <c r="G21" s="29">
        <v>0</v>
      </c>
      <c r="H21" s="18">
        <f t="shared" si="26"/>
        <v>0</v>
      </c>
      <c r="I21" s="18">
        <f t="shared" si="27"/>
        <v>0.17441873875501618</v>
      </c>
      <c r="J21" s="17">
        <f t="shared" si="28"/>
        <v>329.19095077666742</v>
      </c>
      <c r="K21" s="17">
        <f t="shared" si="29"/>
        <v>6.8581448078472382</v>
      </c>
      <c r="L21" s="16">
        <v>85</v>
      </c>
      <c r="M21" s="19">
        <f t="shared" si="30"/>
        <v>0.56470588235294117</v>
      </c>
      <c r="N21" s="16">
        <v>245</v>
      </c>
      <c r="O21" s="20">
        <f t="shared" ref="O21:P21" si="39">D21/7</f>
        <v>6.8571428571428568</v>
      </c>
      <c r="P21" s="20">
        <f t="shared" si="39"/>
        <v>0</v>
      </c>
      <c r="Q21" s="16">
        <f t="shared" si="32"/>
        <v>35</v>
      </c>
      <c r="R21" s="16"/>
      <c r="S21" s="21">
        <v>3.8098360655737702</v>
      </c>
      <c r="T21" s="14">
        <v>500</v>
      </c>
      <c r="U21" s="22" t="s">
        <v>34</v>
      </c>
      <c r="V21" s="23" t="s">
        <v>34</v>
      </c>
      <c r="W21" s="14">
        <v>0</v>
      </c>
      <c r="X21" s="24">
        <f t="shared" si="33"/>
        <v>0</v>
      </c>
      <c r="Y21" s="25">
        <f t="shared" si="34"/>
        <v>0</v>
      </c>
      <c r="Z21" s="14">
        <v>0</v>
      </c>
      <c r="AA21" s="14" t="s">
        <v>35</v>
      </c>
      <c r="AB21" s="27">
        <f t="shared" si="35"/>
        <v>-0.69</v>
      </c>
      <c r="AC21" s="28">
        <v>0.30315593634259264</v>
      </c>
      <c r="AD21" s="25">
        <f t="shared" si="36"/>
        <v>-20.081049223333334</v>
      </c>
      <c r="AE21" s="25">
        <v>-6.94</v>
      </c>
      <c r="AF21" s="25">
        <v>-19.205499999999997</v>
      </c>
      <c r="AG21" s="25">
        <v>0</v>
      </c>
    </row>
    <row r="22" spans="1:33" ht="15.75" customHeight="1">
      <c r="A22" s="14" t="s">
        <v>48</v>
      </c>
      <c r="B22" s="14" t="s">
        <v>422</v>
      </c>
      <c r="C22" s="15">
        <f t="shared" si="25"/>
        <v>42.038918918918924</v>
      </c>
      <c r="D22" s="16">
        <v>37</v>
      </c>
      <c r="E22" s="16">
        <v>0</v>
      </c>
      <c r="F22" s="29">
        <v>1555.4400000000003</v>
      </c>
      <c r="G22" s="29">
        <v>-7.0000000000000007E-2</v>
      </c>
      <c r="H22" s="18">
        <f t="shared" si="26"/>
        <v>4.5003343105487831E-5</v>
      </c>
      <c r="I22" s="18">
        <f t="shared" si="27"/>
        <v>0.21806778653650896</v>
      </c>
      <c r="J22" s="17">
        <f t="shared" si="28"/>
        <v>339.19135789034755</v>
      </c>
      <c r="K22" s="17">
        <f t="shared" si="29"/>
        <v>9.1673339970364207</v>
      </c>
      <c r="L22" s="16">
        <v>123</v>
      </c>
      <c r="M22" s="19">
        <f t="shared" si="30"/>
        <v>0.30081300813008133</v>
      </c>
      <c r="N22" s="16">
        <v>203</v>
      </c>
      <c r="O22" s="20">
        <f t="shared" ref="O22:P22" si="40">D22/7</f>
        <v>5.2857142857142856</v>
      </c>
      <c r="P22" s="20">
        <f t="shared" si="40"/>
        <v>0</v>
      </c>
      <c r="Q22" s="16">
        <f t="shared" si="32"/>
        <v>38</v>
      </c>
      <c r="R22" s="16"/>
      <c r="S22" s="21">
        <v>5.0222222222222204</v>
      </c>
      <c r="T22" s="14">
        <v>1100</v>
      </c>
      <c r="U22" s="22" t="s">
        <v>34</v>
      </c>
      <c r="V22" s="23" t="s">
        <v>34</v>
      </c>
      <c r="W22" s="14">
        <v>0</v>
      </c>
      <c r="X22" s="24">
        <f t="shared" si="33"/>
        <v>0</v>
      </c>
      <c r="Y22" s="25">
        <f t="shared" si="34"/>
        <v>0</v>
      </c>
      <c r="Z22" s="14">
        <v>0</v>
      </c>
      <c r="AA22" s="14" t="s">
        <v>35</v>
      </c>
      <c r="AB22" s="27">
        <f t="shared" si="35"/>
        <v>-0.69</v>
      </c>
      <c r="AC22" s="28">
        <v>0.30315593634259264</v>
      </c>
      <c r="AD22" s="25">
        <f t="shared" si="36"/>
        <v>-15.479142109652777</v>
      </c>
      <c r="AE22" s="25">
        <v>-6.94</v>
      </c>
      <c r="AF22" s="25">
        <v>-19.205499999999997</v>
      </c>
      <c r="AG22" s="25">
        <v>0</v>
      </c>
    </row>
    <row r="23" spans="1:33" ht="15.75" customHeight="1">
      <c r="A23" s="14" t="s">
        <v>49</v>
      </c>
      <c r="B23" s="14" t="s">
        <v>68</v>
      </c>
      <c r="C23" s="15">
        <f t="shared" si="25"/>
        <v>46.295789473684216</v>
      </c>
      <c r="D23" s="16">
        <v>19</v>
      </c>
      <c r="E23" s="16">
        <v>3</v>
      </c>
      <c r="F23" s="17">
        <v>879.62000000000012</v>
      </c>
      <c r="G23" s="29">
        <v>0</v>
      </c>
      <c r="H23" s="18">
        <f t="shared" si="26"/>
        <v>0</v>
      </c>
      <c r="I23" s="18">
        <f t="shared" si="27"/>
        <v>0.2762144464076503</v>
      </c>
      <c r="J23" s="17">
        <f t="shared" si="28"/>
        <v>242.96375134909741</v>
      </c>
      <c r="K23" s="17">
        <f t="shared" si="29"/>
        <v>12.787565860478811</v>
      </c>
      <c r="L23" s="16">
        <v>108</v>
      </c>
      <c r="M23" s="19">
        <f t="shared" si="30"/>
        <v>0.17592592592592593</v>
      </c>
      <c r="N23" s="16">
        <v>184</v>
      </c>
      <c r="O23" s="20">
        <f t="shared" ref="O23:P23" si="41">D23/7</f>
        <v>2.7142857142857144</v>
      </c>
      <c r="P23" s="20">
        <f t="shared" si="41"/>
        <v>0.42857142857142855</v>
      </c>
      <c r="Q23" s="16">
        <f t="shared" si="32"/>
        <v>58</v>
      </c>
      <c r="R23" s="16"/>
      <c r="S23" s="21">
        <v>2.50613154960981</v>
      </c>
      <c r="T23" s="14">
        <v>600</v>
      </c>
      <c r="U23" s="22" t="s">
        <v>34</v>
      </c>
      <c r="V23" s="23" t="s">
        <v>34</v>
      </c>
      <c r="W23" s="14">
        <v>0</v>
      </c>
      <c r="X23" s="24">
        <f t="shared" si="33"/>
        <v>0</v>
      </c>
      <c r="Y23" s="25">
        <f t="shared" si="34"/>
        <v>0</v>
      </c>
      <c r="Z23" s="14">
        <v>0</v>
      </c>
      <c r="AA23" s="14" t="s">
        <v>35</v>
      </c>
      <c r="AB23" s="27">
        <f t="shared" si="35"/>
        <v>-0.69</v>
      </c>
      <c r="AC23" s="28">
        <v>0.30315593634259264</v>
      </c>
      <c r="AD23" s="25">
        <f t="shared" si="36"/>
        <v>-7.948748650902778</v>
      </c>
      <c r="AE23" s="25">
        <v>-6.94</v>
      </c>
      <c r="AF23" s="25">
        <v>-19.205499999999997</v>
      </c>
      <c r="AG23" s="25">
        <v>0</v>
      </c>
    </row>
    <row r="24" spans="1:33" ht="15.75" customHeight="1">
      <c r="A24" s="14" t="s">
        <v>50</v>
      </c>
      <c r="B24" s="14" t="s">
        <v>423</v>
      </c>
      <c r="C24" s="15">
        <f t="shared" si="25"/>
        <v>48.38</v>
      </c>
      <c r="D24" s="16">
        <v>18</v>
      </c>
      <c r="E24" s="16">
        <v>1</v>
      </c>
      <c r="F24" s="17">
        <v>870.84</v>
      </c>
      <c r="G24" s="17">
        <v>-0.08</v>
      </c>
      <c r="H24" s="18">
        <f t="shared" si="26"/>
        <v>9.1865325432915346E-5</v>
      </c>
      <c r="I24" s="18">
        <f t="shared" si="27"/>
        <v>0.30084126422907775</v>
      </c>
      <c r="J24" s="17">
        <f t="shared" si="28"/>
        <v>261.98460654125006</v>
      </c>
      <c r="K24" s="17">
        <f t="shared" si="29"/>
        <v>14.55470036340278</v>
      </c>
      <c r="L24" s="16">
        <v>120</v>
      </c>
      <c r="M24" s="19">
        <f t="shared" si="30"/>
        <v>0.15</v>
      </c>
      <c r="N24" s="16">
        <v>166</v>
      </c>
      <c r="O24" s="20">
        <f t="shared" ref="O24:P24" si="42">D24/7</f>
        <v>2.5714285714285716</v>
      </c>
      <c r="P24" s="20">
        <f t="shared" si="42"/>
        <v>0.14285714285714285</v>
      </c>
      <c r="Q24" s="16">
        <f t="shared" si="32"/>
        <v>61</v>
      </c>
      <c r="R24" s="16"/>
      <c r="S24" s="21">
        <v>2.4139433551198199</v>
      </c>
      <c r="T24" s="14">
        <v>1400</v>
      </c>
      <c r="U24" s="22">
        <v>800</v>
      </c>
      <c r="V24" s="23" t="s">
        <v>424</v>
      </c>
      <c r="W24" s="14">
        <v>0</v>
      </c>
      <c r="X24" s="24">
        <f t="shared" si="33"/>
        <v>0</v>
      </c>
      <c r="Y24" s="25">
        <f t="shared" si="34"/>
        <v>0</v>
      </c>
      <c r="Z24" s="14">
        <v>0</v>
      </c>
      <c r="AA24" s="14" t="s">
        <v>35</v>
      </c>
      <c r="AB24" s="27">
        <f t="shared" si="35"/>
        <v>-0.69</v>
      </c>
      <c r="AC24" s="28">
        <v>0.30315593634259264</v>
      </c>
      <c r="AD24" s="25">
        <f t="shared" si="36"/>
        <v>-7.5303934587499999</v>
      </c>
      <c r="AE24" s="25">
        <v>-6.94</v>
      </c>
      <c r="AF24" s="25">
        <v>-19.205499999999997</v>
      </c>
      <c r="AG24" s="25">
        <v>0</v>
      </c>
    </row>
    <row r="25" spans="1:33" ht="15.75" customHeight="1">
      <c r="A25" s="14" t="s">
        <v>51</v>
      </c>
      <c r="B25" s="14" t="s">
        <v>68</v>
      </c>
      <c r="C25" s="15">
        <f t="shared" si="25"/>
        <v>40.536153846153852</v>
      </c>
      <c r="D25" s="16">
        <v>39</v>
      </c>
      <c r="E25" s="16">
        <v>0</v>
      </c>
      <c r="F25" s="17">
        <v>1580.91</v>
      </c>
      <c r="G25" s="17">
        <v>0</v>
      </c>
      <c r="H25" s="18">
        <f t="shared" si="26"/>
        <v>0</v>
      </c>
      <c r="I25" s="18">
        <f t="shared" si="27"/>
        <v>0.19457631839006748</v>
      </c>
      <c r="J25" s="17">
        <f t="shared" si="28"/>
        <v>307.60764750604159</v>
      </c>
      <c r="K25" s="17">
        <f t="shared" si="29"/>
        <v>7.8873755770779894</v>
      </c>
      <c r="L25" s="16">
        <v>175</v>
      </c>
      <c r="M25" s="19">
        <f t="shared" si="30"/>
        <v>0.22285714285714286</v>
      </c>
      <c r="N25" s="16">
        <v>128</v>
      </c>
      <c r="O25" s="20">
        <f t="shared" ref="O25:P25" si="43">D25/7</f>
        <v>5.5714285714285712</v>
      </c>
      <c r="P25" s="20">
        <f t="shared" si="43"/>
        <v>0</v>
      </c>
      <c r="Q25" s="16">
        <f t="shared" si="32"/>
        <v>22</v>
      </c>
      <c r="R25" s="16"/>
      <c r="S25" s="21">
        <v>3.401574803149606</v>
      </c>
      <c r="T25" s="14">
        <v>1400</v>
      </c>
      <c r="U25" s="22">
        <v>800</v>
      </c>
      <c r="V25" s="23" t="s">
        <v>425</v>
      </c>
      <c r="W25" s="30">
        <v>0</v>
      </c>
      <c r="X25" s="24">
        <f t="shared" si="33"/>
        <v>0</v>
      </c>
      <c r="Y25" s="25">
        <f t="shared" si="34"/>
        <v>0</v>
      </c>
      <c r="Z25" s="30">
        <v>0</v>
      </c>
      <c r="AA25" s="14" t="s">
        <v>35</v>
      </c>
      <c r="AB25" s="27">
        <f t="shared" si="35"/>
        <v>-0.69</v>
      </c>
      <c r="AC25" s="28">
        <v>0.30315593634259264</v>
      </c>
      <c r="AD25" s="25">
        <f t="shared" si="36"/>
        <v>-16.315852493958332</v>
      </c>
      <c r="AE25" s="25">
        <v>-6.94</v>
      </c>
      <c r="AF25" s="25">
        <v>-19.21</v>
      </c>
      <c r="AG25" s="25">
        <v>0</v>
      </c>
    </row>
    <row r="26" spans="1:33" ht="15.75" customHeight="1">
      <c r="A26" s="14" t="s">
        <v>52</v>
      </c>
      <c r="B26" s="14" t="s">
        <v>426</v>
      </c>
      <c r="C26" s="15">
        <f t="shared" si="25"/>
        <v>40.075869565217388</v>
      </c>
      <c r="D26" s="16">
        <v>46</v>
      </c>
      <c r="E26" s="16">
        <v>2</v>
      </c>
      <c r="F26" s="17">
        <v>1843.49</v>
      </c>
      <c r="G26" s="17">
        <v>-0.21</v>
      </c>
      <c r="H26" s="18">
        <f t="shared" si="26"/>
        <v>1.1391436894151852E-4</v>
      </c>
      <c r="I26" s="18">
        <f t="shared" si="27"/>
        <v>0.18854409905178587</v>
      </c>
      <c r="J26" s="17">
        <f t="shared" si="28"/>
        <v>347.57916116097675</v>
      </c>
      <c r="K26" s="17">
        <f t="shared" si="29"/>
        <v>7.5560687208907993</v>
      </c>
      <c r="L26" s="16">
        <v>160</v>
      </c>
      <c r="M26" s="19">
        <f t="shared" si="30"/>
        <v>0.28749999999999998</v>
      </c>
      <c r="N26" s="16">
        <v>84</v>
      </c>
      <c r="O26" s="20">
        <f t="shared" ref="O26:P26" si="44">D26/7</f>
        <v>6.5714285714285712</v>
      </c>
      <c r="P26" s="20">
        <f t="shared" si="44"/>
        <v>0.2857142857142857</v>
      </c>
      <c r="Q26" s="16">
        <f t="shared" si="32"/>
        <v>12</v>
      </c>
      <c r="R26" s="16"/>
      <c r="S26" s="21">
        <v>4.4950099800399199</v>
      </c>
      <c r="T26" s="14">
        <v>1400</v>
      </c>
      <c r="U26" s="22">
        <v>800</v>
      </c>
      <c r="V26" s="23" t="s">
        <v>425</v>
      </c>
      <c r="W26" s="30">
        <v>0</v>
      </c>
      <c r="X26" s="24">
        <f t="shared" si="33"/>
        <v>0</v>
      </c>
      <c r="Y26" s="25">
        <f t="shared" si="34"/>
        <v>0</v>
      </c>
      <c r="Z26" s="30">
        <v>0</v>
      </c>
      <c r="AA26" s="14" t="s">
        <v>35</v>
      </c>
      <c r="AB26" s="27">
        <f t="shared" si="35"/>
        <v>-0.69</v>
      </c>
      <c r="AC26" s="28">
        <v>0.30315593634259264</v>
      </c>
      <c r="AD26" s="25">
        <f t="shared" si="36"/>
        <v>-19.244338839027776</v>
      </c>
      <c r="AE26" s="25">
        <v>-6.88</v>
      </c>
      <c r="AF26" s="25">
        <v>-19.205499999999901</v>
      </c>
      <c r="AG26" s="25">
        <v>0</v>
      </c>
    </row>
    <row r="27" spans="1:33" ht="15.75" customHeight="1">
      <c r="A27" s="14" t="s">
        <v>53</v>
      </c>
      <c r="B27" s="14" t="s">
        <v>45</v>
      </c>
      <c r="C27" s="15">
        <f t="shared" si="25"/>
        <v>40.303055555555559</v>
      </c>
      <c r="D27" s="16">
        <v>72</v>
      </c>
      <c r="E27" s="16">
        <v>0</v>
      </c>
      <c r="F27" s="17">
        <v>2901.82</v>
      </c>
      <c r="G27" s="17">
        <v>0</v>
      </c>
      <c r="H27" s="18">
        <f t="shared" si="26"/>
        <v>0</v>
      </c>
      <c r="I27" s="18">
        <f t="shared" si="27"/>
        <v>0.16114763361097761</v>
      </c>
      <c r="J27" s="17">
        <f t="shared" si="28"/>
        <v>467.62142616500711</v>
      </c>
      <c r="K27" s="17">
        <f t="shared" si="29"/>
        <v>6.4947420300695429</v>
      </c>
      <c r="L27" s="16">
        <v>178</v>
      </c>
      <c r="M27" s="19">
        <f t="shared" si="30"/>
        <v>0.4044943820224719</v>
      </c>
      <c r="N27" s="16">
        <v>18</v>
      </c>
      <c r="O27" s="20">
        <f t="shared" ref="O27:P27" si="45">D27/7</f>
        <v>10.285714285714286</v>
      </c>
      <c r="P27" s="20">
        <f t="shared" si="45"/>
        <v>0</v>
      </c>
      <c r="Q27" s="16">
        <f t="shared" si="32"/>
        <v>1</v>
      </c>
      <c r="R27" s="16"/>
      <c r="S27" s="21">
        <v>3.289009497964722</v>
      </c>
      <c r="T27" s="14">
        <v>1400</v>
      </c>
      <c r="U27" s="22">
        <v>800</v>
      </c>
      <c r="V27" s="23" t="s">
        <v>427</v>
      </c>
      <c r="W27" s="30">
        <v>0</v>
      </c>
      <c r="X27" s="24">
        <f t="shared" si="33"/>
        <v>0</v>
      </c>
      <c r="Y27" s="25">
        <f t="shared" si="34"/>
        <v>0</v>
      </c>
      <c r="Z27" s="30">
        <v>0</v>
      </c>
      <c r="AA27" s="14" t="s">
        <v>35</v>
      </c>
      <c r="AB27" s="27">
        <f t="shared" si="35"/>
        <v>-0.69</v>
      </c>
      <c r="AC27" s="28">
        <v>0.30315593634259264</v>
      </c>
      <c r="AD27" s="25">
        <f t="shared" si="36"/>
        <v>-30.121573835</v>
      </c>
      <c r="AE27" s="25">
        <v>-6.88</v>
      </c>
      <c r="AF27" s="25">
        <v>-20.464499999999902</v>
      </c>
      <c r="AG27" s="25">
        <v>0</v>
      </c>
    </row>
    <row r="28" spans="1:33" ht="15.75" customHeight="1">
      <c r="A28" s="14" t="s">
        <v>54</v>
      </c>
      <c r="B28" s="14" t="s">
        <v>45</v>
      </c>
      <c r="C28" s="15">
        <f t="shared" si="25"/>
        <v>40.229999999999997</v>
      </c>
      <c r="D28" s="16">
        <v>3</v>
      </c>
      <c r="E28" s="16">
        <v>0</v>
      </c>
      <c r="F28" s="17">
        <v>120.69</v>
      </c>
      <c r="G28" s="17">
        <v>0</v>
      </c>
      <c r="H28" s="18">
        <f t="shared" si="26"/>
        <v>0</v>
      </c>
      <c r="I28" s="18">
        <f t="shared" si="27"/>
        <v>0.15989671409016459</v>
      </c>
      <c r="J28" s="17">
        <f t="shared" si="28"/>
        <v>19.297934423541964</v>
      </c>
      <c r="K28" s="17">
        <f t="shared" si="29"/>
        <v>6.4326448078473213</v>
      </c>
      <c r="L28" s="16">
        <v>44</v>
      </c>
      <c r="M28" s="19">
        <f t="shared" si="30"/>
        <v>6.8181818181818177E-2</v>
      </c>
      <c r="N28" s="16">
        <v>0</v>
      </c>
      <c r="O28" s="20">
        <f t="shared" ref="O28:P28" si="46">D28/7</f>
        <v>0.42857142857142855</v>
      </c>
      <c r="P28" s="20">
        <f t="shared" si="46"/>
        <v>0</v>
      </c>
      <c r="Q28" s="16">
        <f t="shared" si="32"/>
        <v>0</v>
      </c>
      <c r="R28" s="16"/>
      <c r="S28" s="21">
        <v>3.1835686777920409</v>
      </c>
      <c r="T28" s="14">
        <v>2500</v>
      </c>
      <c r="U28" s="22">
        <v>44384</v>
      </c>
      <c r="V28" s="23" t="s">
        <v>428</v>
      </c>
      <c r="W28" s="30">
        <v>0</v>
      </c>
      <c r="X28" s="24">
        <f t="shared" si="33"/>
        <v>0</v>
      </c>
      <c r="Y28" s="25">
        <f t="shared" si="34"/>
        <v>0</v>
      </c>
      <c r="Z28" s="30">
        <v>0</v>
      </c>
      <c r="AA28" s="14" t="s">
        <v>35</v>
      </c>
      <c r="AB28" s="27">
        <f t="shared" si="35"/>
        <v>-0.69</v>
      </c>
      <c r="AC28" s="28">
        <v>0.30315593634259264</v>
      </c>
      <c r="AD28" s="25">
        <f t="shared" si="36"/>
        <v>-1.2550655764583334</v>
      </c>
      <c r="AE28" s="25">
        <v>-6.88</v>
      </c>
      <c r="AF28" s="25">
        <v>-20.464499999999902</v>
      </c>
      <c r="AG28" s="25">
        <v>0</v>
      </c>
    </row>
    <row r="29" spans="1:33" ht="15.75" customHeight="1">
      <c r="A29" s="14" t="s">
        <v>55</v>
      </c>
      <c r="B29" s="14" t="s">
        <v>45</v>
      </c>
      <c r="C29" s="15">
        <f t="shared" si="25"/>
        <v>39.950000000000003</v>
      </c>
      <c r="D29" s="16">
        <v>1</v>
      </c>
      <c r="E29" s="16">
        <v>0</v>
      </c>
      <c r="F29" s="17">
        <v>39.950000000000003</v>
      </c>
      <c r="G29" s="17">
        <v>0</v>
      </c>
      <c r="H29" s="18">
        <f t="shared" si="26"/>
        <v>0</v>
      </c>
      <c r="I29" s="18">
        <f t="shared" si="27"/>
        <v>0.15505994512759258</v>
      </c>
      <c r="J29" s="17">
        <f t="shared" si="28"/>
        <v>6.1946448078473235</v>
      </c>
      <c r="K29" s="17">
        <f t="shared" si="29"/>
        <v>6.1946448078473235</v>
      </c>
      <c r="L29" s="16">
        <v>3</v>
      </c>
      <c r="M29" s="19">
        <f t="shared" si="30"/>
        <v>0.33333333333333331</v>
      </c>
      <c r="N29" s="16">
        <v>0</v>
      </c>
      <c r="O29" s="20">
        <f t="shared" ref="O29:P29" si="47">D29/7</f>
        <v>0.14285714285714285</v>
      </c>
      <c r="P29" s="20">
        <f t="shared" si="47"/>
        <v>0</v>
      </c>
      <c r="Q29" s="16">
        <f t="shared" si="32"/>
        <v>0</v>
      </c>
      <c r="R29" s="16"/>
      <c r="S29" s="21">
        <v>3.708967851099831</v>
      </c>
      <c r="T29" s="14">
        <v>2500</v>
      </c>
      <c r="U29" s="22">
        <v>44386</v>
      </c>
      <c r="V29" s="23" t="s">
        <v>429</v>
      </c>
      <c r="W29" s="30">
        <v>0</v>
      </c>
      <c r="X29" s="24">
        <f t="shared" si="33"/>
        <v>0</v>
      </c>
      <c r="Y29" s="25">
        <f t="shared" si="34"/>
        <v>0</v>
      </c>
      <c r="Z29" s="30">
        <v>0</v>
      </c>
      <c r="AA29" s="14" t="s">
        <v>35</v>
      </c>
      <c r="AB29" s="27">
        <f t="shared" si="35"/>
        <v>-0.69</v>
      </c>
      <c r="AC29" s="28">
        <v>0.30315593634259264</v>
      </c>
      <c r="AD29" s="25">
        <f t="shared" si="36"/>
        <v>-0.41835519215277778</v>
      </c>
      <c r="AE29" s="25">
        <v>-6.88</v>
      </c>
      <c r="AF29" s="25">
        <v>-20.464499999999902</v>
      </c>
      <c r="AG29" s="25">
        <v>0</v>
      </c>
    </row>
    <row r="30" spans="1:33" ht="15.75" customHeight="1">
      <c r="A30" s="14" t="s">
        <v>57</v>
      </c>
      <c r="B30" s="14" t="s">
        <v>45</v>
      </c>
      <c r="C30" s="15">
        <f t="shared" si="25"/>
        <v>39.949999999999996</v>
      </c>
      <c r="D30" s="16">
        <v>10</v>
      </c>
      <c r="E30" s="16">
        <v>0</v>
      </c>
      <c r="F30" s="17">
        <v>399.49999999999994</v>
      </c>
      <c r="G30" s="17">
        <v>-0.08</v>
      </c>
      <c r="H30" s="18">
        <f t="shared" si="26"/>
        <v>2.0025031289111391E-4</v>
      </c>
      <c r="I30" s="18">
        <f t="shared" si="27"/>
        <v>0.15639166978340974</v>
      </c>
      <c r="J30" s="17">
        <f t="shared" si="28"/>
        <v>62.47847207847218</v>
      </c>
      <c r="K30" s="17">
        <f t="shared" si="29"/>
        <v>6.2478472078472178</v>
      </c>
      <c r="L30" s="16">
        <v>0</v>
      </c>
      <c r="M30" s="19" t="str">
        <f t="shared" si="30"/>
        <v>-</v>
      </c>
      <c r="N30" s="16">
        <v>9</v>
      </c>
      <c r="O30" s="20">
        <f t="shared" ref="O30:P30" si="48">D30/7</f>
        <v>1.4285714285714286</v>
      </c>
      <c r="P30" s="20">
        <f t="shared" si="48"/>
        <v>0</v>
      </c>
      <c r="Q30" s="16">
        <f t="shared" si="32"/>
        <v>6</v>
      </c>
      <c r="R30" s="16"/>
      <c r="S30" s="21">
        <v>0</v>
      </c>
      <c r="T30" s="14">
        <v>1900</v>
      </c>
      <c r="U30" s="22">
        <v>800</v>
      </c>
      <c r="V30" s="23" t="s">
        <v>430</v>
      </c>
      <c r="W30" s="30">
        <v>0</v>
      </c>
      <c r="X30" s="24">
        <f t="shared" si="33"/>
        <v>0</v>
      </c>
      <c r="Y30" s="25">
        <f t="shared" si="34"/>
        <v>0</v>
      </c>
      <c r="Z30" s="30">
        <v>0</v>
      </c>
      <c r="AA30" s="14" t="s">
        <v>35</v>
      </c>
      <c r="AB30" s="27">
        <f t="shared" si="35"/>
        <v>-0.69</v>
      </c>
      <c r="AC30" s="28">
        <v>0.30315593634259264</v>
      </c>
      <c r="AD30" s="25">
        <f t="shared" si="36"/>
        <v>-4.1835519215277781</v>
      </c>
      <c r="AE30" s="25">
        <v>-6.88</v>
      </c>
      <c r="AF30" s="25">
        <v>-20.403297599999998</v>
      </c>
      <c r="AG30" s="25">
        <v>0</v>
      </c>
    </row>
    <row r="31" spans="1:33" ht="15.75" customHeight="1">
      <c r="A31" s="14" t="s">
        <v>58</v>
      </c>
      <c r="B31" s="14" t="s">
        <v>45</v>
      </c>
      <c r="C31" s="15">
        <f t="shared" si="25"/>
        <v>39.950000000000003</v>
      </c>
      <c r="D31" s="16">
        <v>1</v>
      </c>
      <c r="E31" s="16">
        <v>3</v>
      </c>
      <c r="F31" s="17">
        <v>39.950000000000003</v>
      </c>
      <c r="G31" s="17">
        <v>0</v>
      </c>
      <c r="H31" s="18">
        <f t="shared" si="26"/>
        <v>0</v>
      </c>
      <c r="I31" s="18">
        <f t="shared" si="27"/>
        <v>0.15659192009630121</v>
      </c>
      <c r="J31" s="17">
        <f t="shared" si="28"/>
        <v>6.2558472078472338</v>
      </c>
      <c r="K31" s="17">
        <f t="shared" si="29"/>
        <v>6.2558472078472338</v>
      </c>
      <c r="L31" s="16">
        <v>22</v>
      </c>
      <c r="M31" s="19">
        <f t="shared" si="30"/>
        <v>4.5454545454545456E-2</v>
      </c>
      <c r="N31" s="16">
        <v>2</v>
      </c>
      <c r="O31" s="20">
        <f t="shared" ref="O31:P31" si="49">D31/7</f>
        <v>0.14285714285714285</v>
      </c>
      <c r="P31" s="20">
        <f t="shared" si="49"/>
        <v>0.42857142857142855</v>
      </c>
      <c r="Q31" s="16">
        <f t="shared" si="32"/>
        <v>3</v>
      </c>
      <c r="R31" s="16"/>
      <c r="S31" s="21" t="e">
        <v>#N/A</v>
      </c>
      <c r="T31" s="14">
        <v>300</v>
      </c>
      <c r="U31" s="22" t="s">
        <v>34</v>
      </c>
      <c r="V31" s="23" t="s">
        <v>431</v>
      </c>
      <c r="W31" s="30">
        <v>0</v>
      </c>
      <c r="X31" s="24">
        <f t="shared" si="33"/>
        <v>0</v>
      </c>
      <c r="Y31" s="25">
        <f t="shared" si="34"/>
        <v>0</v>
      </c>
      <c r="Z31" s="30">
        <v>0</v>
      </c>
      <c r="AA31" s="14" t="s">
        <v>35</v>
      </c>
      <c r="AB31" s="27">
        <f t="shared" si="35"/>
        <v>-0.69</v>
      </c>
      <c r="AC31" s="28">
        <v>0.30315593634259264</v>
      </c>
      <c r="AD31" s="25">
        <f t="shared" si="36"/>
        <v>-0.41835519215277778</v>
      </c>
      <c r="AE31" s="25">
        <v>-6.88</v>
      </c>
      <c r="AF31" s="25">
        <v>-20.403297599999991</v>
      </c>
      <c r="AG31" s="25">
        <v>0</v>
      </c>
    </row>
    <row r="32" spans="1:33" ht="15.75" customHeight="1">
      <c r="A32" s="14" t="s">
        <v>60</v>
      </c>
      <c r="B32" s="14"/>
      <c r="C32" s="15" t="str">
        <f t="shared" si="25"/>
        <v xml:space="preserve"> - </v>
      </c>
      <c r="D32" s="16">
        <v>0</v>
      </c>
      <c r="E32" s="16">
        <v>0</v>
      </c>
      <c r="F32" s="17">
        <v>0</v>
      </c>
      <c r="G32" s="17">
        <v>0</v>
      </c>
      <c r="H32" s="18" t="e">
        <f t="shared" si="26"/>
        <v>#DIV/0!</v>
      </c>
      <c r="I32" s="18" t="e">
        <f t="shared" si="27"/>
        <v>#DIV/0!</v>
      </c>
      <c r="J32" s="17">
        <f t="shared" si="28"/>
        <v>0</v>
      </c>
      <c r="K32" s="17" t="e">
        <f t="shared" si="29"/>
        <v>#DIV/0!</v>
      </c>
      <c r="L32" s="16">
        <v>0</v>
      </c>
      <c r="M32" s="19" t="str">
        <f t="shared" si="30"/>
        <v>-</v>
      </c>
      <c r="N32" s="16">
        <v>0</v>
      </c>
      <c r="O32" s="20">
        <f t="shared" ref="O32:P32" si="50">D32/7</f>
        <v>0</v>
      </c>
      <c r="P32" s="20">
        <f t="shared" si="50"/>
        <v>0</v>
      </c>
      <c r="Q32" s="16" t="e">
        <f t="shared" si="32"/>
        <v>#DIV/0!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0</v>
      </c>
      <c r="T32" s="14">
        <f ca="1">IFERROR(__xludf.DUMMYFUNCTION("IFERROR(VLOOKUP($B$2,IMPORTRANGE(""https://docs.google.com/spreadsheets/d/1KiWZV1ko8G7lnRucBRBd29jj3Be6ltMfljMDqzOkQmI/edit#gid=1381463014"",""Lookup!A:D""),4,FALSE),"""")"),300)</f>
        <v>300</v>
      </c>
      <c r="U32" s="22">
        <f ca="1">IFERROR(__xludf.DUMMYFUNCTION("IFERROR(VLOOKUP($B$2,IMPORTRANGE(""https://docs.google.com/spreadsheets/d/1KiWZV1ko8G7lnRucBRBd29jj3Be6ltMfljMDqzOkQmI/edit#gid=1381463014"",""Lookup!A:D""),3,FALSE),"""")"),800)</f>
        <v>800</v>
      </c>
      <c r="V32" s="23" t="str">
        <f ca="1">IFERROR(__xludf.DUMMYFUNCTION("IFERROR(VLOOKUP($B$2,IMPORTRANGE(""https://docs.google.com/spreadsheets/d/1KiWZV1ko8G7lnRucBRBd29jj3Be6ltMfljMDqzOkQmI/edit#gid=1381463014"",""Lookup!A:D""),2,FALSE),"""")"),"| 407  - 800 units 07/20| AGL259  - 800 units 11/01")</f>
        <v>| 407  - 800 units 07/20| AGL259  - 800 units 11/01</v>
      </c>
      <c r="W32" s="30">
        <v>0</v>
      </c>
      <c r="X32" s="24">
        <f t="shared" si="33"/>
        <v>0</v>
      </c>
      <c r="Y32" s="25">
        <f t="shared" si="34"/>
        <v>0</v>
      </c>
      <c r="Z32" s="30">
        <v>0</v>
      </c>
      <c r="AA32" s="14" t="s">
        <v>35</v>
      </c>
      <c r="AB32" s="27">
        <f t="shared" si="35"/>
        <v>-0.69</v>
      </c>
      <c r="AC32" s="28">
        <v>0.30315593634259264</v>
      </c>
      <c r="AD32" s="25">
        <f t="shared" si="36"/>
        <v>0</v>
      </c>
      <c r="AE32" s="25">
        <v>-6.88</v>
      </c>
      <c r="AF32" s="25">
        <v>-20.403297599999998</v>
      </c>
      <c r="AG32" s="25">
        <v>0</v>
      </c>
    </row>
    <row r="33" spans="1:33" ht="15.75" customHeight="1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16"/>
      <c r="S33" s="21"/>
      <c r="T33" s="31"/>
      <c r="U33" s="36"/>
      <c r="V33" s="1"/>
      <c r="W33" s="31"/>
      <c r="X33" s="31"/>
      <c r="Y33" s="31"/>
      <c r="Z33" s="31"/>
      <c r="AA33" s="2"/>
      <c r="AB33" s="31"/>
      <c r="AC33" s="31"/>
      <c r="AD33" s="31"/>
      <c r="AE33" s="37"/>
      <c r="AF33" s="37"/>
      <c r="AG33" s="37"/>
    </row>
    <row r="34" spans="1:33" ht="15.75" customHeight="1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6"/>
      <c r="V34" s="1"/>
      <c r="W34" s="31"/>
      <c r="X34" s="31"/>
      <c r="Y34" s="31"/>
      <c r="Z34" s="31"/>
      <c r="AA34" s="2"/>
      <c r="AB34" s="31"/>
      <c r="AC34" s="31"/>
      <c r="AD34" s="31"/>
      <c r="AE34" s="37"/>
      <c r="AF34" s="37"/>
      <c r="AG34" s="37"/>
    </row>
    <row r="35" spans="1:33" ht="15.75" customHeight="1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6"/>
      <c r="V35" s="1"/>
      <c r="W35" s="31"/>
      <c r="X35" s="31"/>
      <c r="Y35" s="31"/>
      <c r="Z35" s="31"/>
      <c r="AA35" s="2"/>
      <c r="AB35" s="31"/>
      <c r="AC35" s="31"/>
      <c r="AD35" s="31"/>
      <c r="AE35" s="37"/>
      <c r="AF35" s="37"/>
      <c r="AG35" s="37"/>
    </row>
    <row r="36" spans="1:33" ht="15.75" customHeight="1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6"/>
      <c r="V36" s="1"/>
      <c r="W36" s="31"/>
      <c r="X36" s="31"/>
      <c r="Y36" s="31"/>
      <c r="Z36" s="31"/>
      <c r="AA36" s="2"/>
      <c r="AB36" s="31"/>
      <c r="AC36" s="31"/>
      <c r="AD36" s="31"/>
      <c r="AE36" s="37"/>
      <c r="AF36" s="37"/>
      <c r="AG36" s="37"/>
    </row>
    <row r="37" spans="1:33" ht="15.75" customHeight="1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6"/>
      <c r="V37" s="1"/>
      <c r="W37" s="31"/>
      <c r="X37" s="31"/>
      <c r="Y37" s="31"/>
      <c r="Z37" s="31"/>
      <c r="AA37" s="2"/>
      <c r="AB37" s="31"/>
      <c r="AC37" s="31"/>
      <c r="AD37" s="31"/>
      <c r="AE37" s="37"/>
      <c r="AF37" s="37"/>
      <c r="AG37" s="37"/>
    </row>
    <row r="38" spans="1:33" ht="15.75" customHeight="1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6"/>
      <c r="V38" s="1"/>
      <c r="W38" s="31"/>
      <c r="X38" s="31"/>
      <c r="Y38" s="31"/>
      <c r="Z38" s="31"/>
      <c r="AA38" s="2"/>
      <c r="AB38" s="31"/>
      <c r="AC38" s="31"/>
      <c r="AD38" s="31"/>
      <c r="AE38" s="37"/>
      <c r="AF38" s="37"/>
      <c r="AG38" s="37"/>
    </row>
    <row r="39" spans="1:33" ht="15.75" customHeight="1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6"/>
      <c r="V39" s="1"/>
      <c r="W39" s="31"/>
      <c r="X39" s="31"/>
      <c r="Y39" s="31"/>
      <c r="Z39" s="31"/>
      <c r="AA39" s="2"/>
      <c r="AB39" s="31"/>
      <c r="AC39" s="31"/>
      <c r="AD39" s="31"/>
      <c r="AE39" s="37"/>
      <c r="AF39" s="37"/>
      <c r="AG39" s="37"/>
    </row>
    <row r="40" spans="1:33" ht="15.75" customHeight="1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6"/>
      <c r="V40" s="1"/>
      <c r="W40" s="31"/>
      <c r="X40" s="31"/>
      <c r="Y40" s="31"/>
      <c r="Z40" s="31"/>
      <c r="AA40" s="2"/>
      <c r="AB40" s="31"/>
      <c r="AC40" s="31"/>
      <c r="AD40" s="31"/>
      <c r="AE40" s="37"/>
      <c r="AF40" s="37"/>
      <c r="AG40" s="37"/>
    </row>
    <row r="41" spans="1:33" ht="15.75" customHeight="1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6"/>
      <c r="V41" s="1"/>
      <c r="W41" s="31"/>
      <c r="X41" s="31"/>
      <c r="Y41" s="31"/>
      <c r="Z41" s="31"/>
      <c r="AA41" s="2"/>
      <c r="AB41" s="31"/>
      <c r="AC41" s="31"/>
      <c r="AD41" s="31"/>
      <c r="AE41" s="37"/>
      <c r="AF41" s="37"/>
      <c r="AG41" s="37"/>
    </row>
    <row r="42" spans="1:33" ht="15.75" customHeight="1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6"/>
      <c r="V42" s="1"/>
      <c r="W42" s="31"/>
      <c r="X42" s="31"/>
      <c r="Y42" s="31"/>
      <c r="Z42" s="31"/>
      <c r="AA42" s="2"/>
      <c r="AB42" s="31"/>
      <c r="AC42" s="31"/>
      <c r="AD42" s="31"/>
      <c r="AE42" s="37"/>
      <c r="AF42" s="37"/>
      <c r="AG42" s="37"/>
    </row>
    <row r="43" spans="1:33" ht="15.75" customHeight="1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6"/>
      <c r="V43" s="1"/>
      <c r="W43" s="31"/>
      <c r="X43" s="31"/>
      <c r="Y43" s="31"/>
      <c r="Z43" s="31"/>
      <c r="AA43" s="2"/>
      <c r="AB43" s="31"/>
      <c r="AC43" s="31"/>
      <c r="AD43" s="31"/>
      <c r="AE43" s="37"/>
      <c r="AF43" s="37"/>
      <c r="AG43" s="37"/>
    </row>
    <row r="44" spans="1:33" ht="15.75" customHeight="1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6"/>
      <c r="V44" s="1"/>
      <c r="W44" s="31"/>
      <c r="X44" s="31"/>
      <c r="Y44" s="31"/>
      <c r="Z44" s="31"/>
      <c r="AA44" s="2"/>
      <c r="AB44" s="31"/>
      <c r="AC44" s="31"/>
      <c r="AD44" s="31"/>
      <c r="AE44" s="37"/>
      <c r="AF44" s="37"/>
      <c r="AG44" s="37"/>
    </row>
    <row r="45" spans="1:33" ht="15.75" customHeight="1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6"/>
      <c r="V45" s="1"/>
      <c r="W45" s="31"/>
      <c r="X45" s="31"/>
      <c r="Y45" s="31"/>
      <c r="Z45" s="31"/>
      <c r="AA45" s="2"/>
      <c r="AB45" s="31"/>
      <c r="AC45" s="31"/>
      <c r="AD45" s="31"/>
      <c r="AE45" s="37"/>
      <c r="AF45" s="37"/>
      <c r="AG45" s="37"/>
    </row>
    <row r="46" spans="1:33" ht="15.75" customHeight="1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6"/>
      <c r="V46" s="1"/>
      <c r="W46" s="31"/>
      <c r="X46" s="31"/>
      <c r="Y46" s="31"/>
      <c r="Z46" s="31"/>
      <c r="AA46" s="2"/>
      <c r="AB46" s="31"/>
      <c r="AC46" s="31"/>
      <c r="AD46" s="31"/>
      <c r="AE46" s="37"/>
      <c r="AF46" s="37"/>
      <c r="AG46" s="37"/>
    </row>
    <row r="47" spans="1:33" ht="15.75" customHeight="1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6"/>
      <c r="V47" s="1"/>
      <c r="W47" s="31"/>
      <c r="X47" s="31"/>
      <c r="Y47" s="31"/>
      <c r="Z47" s="31"/>
      <c r="AA47" s="2"/>
      <c r="AB47" s="31"/>
      <c r="AC47" s="31"/>
      <c r="AD47" s="31"/>
      <c r="AE47" s="37"/>
      <c r="AF47" s="37"/>
      <c r="AG47" s="37"/>
    </row>
    <row r="48" spans="1:33" ht="15.75" customHeight="1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6"/>
      <c r="V48" s="1"/>
      <c r="W48" s="31"/>
      <c r="X48" s="31"/>
      <c r="Y48" s="31"/>
      <c r="Z48" s="31"/>
      <c r="AA48" s="2"/>
      <c r="AB48" s="31"/>
      <c r="AC48" s="31"/>
      <c r="AD48" s="31"/>
      <c r="AE48" s="37"/>
      <c r="AF48" s="37"/>
      <c r="AG48" s="37"/>
    </row>
    <row r="49" spans="1:33" ht="15.75" customHeight="1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6"/>
      <c r="V49" s="1"/>
      <c r="W49" s="31"/>
      <c r="X49" s="31"/>
      <c r="Y49" s="31"/>
      <c r="Z49" s="31"/>
      <c r="AA49" s="2"/>
      <c r="AB49" s="31"/>
      <c r="AC49" s="31"/>
      <c r="AD49" s="31"/>
      <c r="AE49" s="37"/>
      <c r="AF49" s="37"/>
      <c r="AG49" s="37"/>
    </row>
    <row r="50" spans="1:33" ht="15.75" customHeight="1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6"/>
      <c r="V50" s="1"/>
      <c r="W50" s="31"/>
      <c r="X50" s="31"/>
      <c r="Y50" s="31"/>
      <c r="Z50" s="31"/>
      <c r="AA50" s="2"/>
      <c r="AB50" s="31"/>
      <c r="AC50" s="31"/>
      <c r="AD50" s="31"/>
      <c r="AE50" s="37"/>
      <c r="AF50" s="37"/>
      <c r="AG50" s="37"/>
    </row>
    <row r="51" spans="1:33" ht="15.75" customHeight="1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6"/>
      <c r="V51" s="1"/>
      <c r="W51" s="31"/>
      <c r="X51" s="31"/>
      <c r="Y51" s="31"/>
      <c r="Z51" s="31"/>
      <c r="AA51" s="2"/>
      <c r="AB51" s="31"/>
      <c r="AC51" s="31"/>
      <c r="AD51" s="31"/>
      <c r="AE51" s="37"/>
      <c r="AF51" s="37"/>
      <c r="AG51" s="37"/>
    </row>
    <row r="52" spans="1:33" ht="15.75" customHeight="1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6"/>
      <c r="V52" s="1"/>
      <c r="W52" s="31"/>
      <c r="X52" s="31"/>
      <c r="Y52" s="31"/>
      <c r="Z52" s="31"/>
      <c r="AA52" s="2"/>
      <c r="AB52" s="31"/>
      <c r="AC52" s="31"/>
      <c r="AD52" s="31"/>
      <c r="AE52" s="37"/>
      <c r="AF52" s="37"/>
      <c r="AG52" s="37"/>
    </row>
    <row r="53" spans="1:33" ht="15.75" customHeight="1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6"/>
      <c r="V53" s="1"/>
      <c r="W53" s="31"/>
      <c r="X53" s="31"/>
      <c r="Y53" s="31"/>
      <c r="Z53" s="31"/>
      <c r="AA53" s="2"/>
      <c r="AB53" s="31"/>
      <c r="AC53" s="31"/>
      <c r="AD53" s="31"/>
      <c r="AE53" s="37"/>
      <c r="AF53" s="37"/>
      <c r="AG53" s="37"/>
    </row>
    <row r="54" spans="1:33" ht="15.75" customHeight="1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6"/>
      <c r="V54" s="1"/>
      <c r="W54" s="31"/>
      <c r="X54" s="31"/>
      <c r="Y54" s="31"/>
      <c r="Z54" s="31"/>
      <c r="AA54" s="2"/>
      <c r="AB54" s="31"/>
      <c r="AC54" s="31"/>
      <c r="AD54" s="31"/>
      <c r="AE54" s="37"/>
      <c r="AF54" s="37"/>
      <c r="AG54" s="37"/>
    </row>
    <row r="55" spans="1:33" ht="15.75" customHeight="1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6"/>
      <c r="V55" s="1"/>
      <c r="W55" s="31"/>
      <c r="X55" s="31"/>
      <c r="Y55" s="31"/>
      <c r="Z55" s="31"/>
      <c r="AA55" s="2"/>
      <c r="AB55" s="31"/>
      <c r="AC55" s="31"/>
      <c r="AD55" s="31"/>
      <c r="AE55" s="37"/>
      <c r="AF55" s="37"/>
      <c r="AG55" s="37"/>
    </row>
    <row r="56" spans="1:33" ht="15.75" customHeight="1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6"/>
      <c r="V56" s="1"/>
      <c r="W56" s="31"/>
      <c r="X56" s="31"/>
      <c r="Y56" s="31"/>
      <c r="Z56" s="31"/>
      <c r="AA56" s="2"/>
      <c r="AB56" s="31"/>
      <c r="AC56" s="31"/>
      <c r="AD56" s="31"/>
      <c r="AE56" s="37"/>
      <c r="AF56" s="37"/>
      <c r="AG56" s="37"/>
    </row>
    <row r="57" spans="1:33" ht="15.75" customHeight="1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6"/>
      <c r="V57" s="1"/>
      <c r="W57" s="31"/>
      <c r="X57" s="31"/>
      <c r="Y57" s="31"/>
      <c r="Z57" s="31"/>
      <c r="AA57" s="2"/>
      <c r="AB57" s="31"/>
      <c r="AC57" s="31"/>
      <c r="AD57" s="31"/>
      <c r="AE57" s="37"/>
      <c r="AF57" s="37"/>
      <c r="AG57" s="37"/>
    </row>
    <row r="58" spans="1:33" ht="15.75" customHeight="1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6"/>
      <c r="V58" s="1"/>
      <c r="W58" s="31"/>
      <c r="X58" s="31"/>
      <c r="Y58" s="31"/>
      <c r="Z58" s="31"/>
      <c r="AA58" s="2"/>
      <c r="AB58" s="31"/>
      <c r="AC58" s="31"/>
      <c r="AD58" s="31"/>
      <c r="AE58" s="37"/>
      <c r="AF58" s="37"/>
      <c r="AG58" s="37"/>
    </row>
    <row r="59" spans="1:33" ht="15.75" customHeight="1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6"/>
      <c r="V59" s="1"/>
      <c r="W59" s="31"/>
      <c r="X59" s="31"/>
      <c r="Y59" s="31"/>
      <c r="Z59" s="31"/>
      <c r="AA59" s="2"/>
      <c r="AB59" s="31"/>
      <c r="AC59" s="31"/>
      <c r="AD59" s="31"/>
      <c r="AE59" s="37"/>
      <c r="AF59" s="37"/>
      <c r="AG59" s="37"/>
    </row>
    <row r="60" spans="1:33" ht="15.75" customHeight="1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6"/>
      <c r="V60" s="1"/>
      <c r="W60" s="31"/>
      <c r="X60" s="31"/>
      <c r="Y60" s="31"/>
      <c r="Z60" s="31"/>
      <c r="AA60" s="2"/>
      <c r="AB60" s="31"/>
      <c r="AC60" s="31"/>
      <c r="AD60" s="31"/>
      <c r="AE60" s="37"/>
      <c r="AF60" s="37"/>
      <c r="AG60" s="37"/>
    </row>
    <row r="61" spans="1:33" ht="15.75" customHeight="1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6"/>
      <c r="V61" s="1"/>
      <c r="W61" s="31"/>
      <c r="X61" s="31"/>
      <c r="Y61" s="31"/>
      <c r="Z61" s="31"/>
      <c r="AA61" s="2"/>
      <c r="AB61" s="31"/>
      <c r="AC61" s="31"/>
      <c r="AD61" s="31"/>
      <c r="AE61" s="37"/>
      <c r="AF61" s="37"/>
      <c r="AG61" s="37"/>
    </row>
    <row r="62" spans="1:33" ht="15.75" customHeight="1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6"/>
      <c r="V62" s="1"/>
      <c r="W62" s="31"/>
      <c r="X62" s="31"/>
      <c r="Y62" s="31"/>
      <c r="Z62" s="31"/>
      <c r="AA62" s="2"/>
      <c r="AB62" s="31"/>
      <c r="AC62" s="31"/>
      <c r="AD62" s="31"/>
      <c r="AE62" s="37"/>
      <c r="AF62" s="37"/>
      <c r="AG62" s="37"/>
    </row>
    <row r="63" spans="1:33" ht="15.75" customHeight="1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6"/>
      <c r="V63" s="1"/>
      <c r="W63" s="31"/>
      <c r="X63" s="31"/>
      <c r="Y63" s="31"/>
      <c r="Z63" s="31"/>
      <c r="AA63" s="2"/>
      <c r="AB63" s="31"/>
      <c r="AC63" s="31"/>
      <c r="AD63" s="31"/>
      <c r="AE63" s="37"/>
      <c r="AF63" s="37"/>
      <c r="AG63" s="37"/>
    </row>
    <row r="64" spans="1:33" ht="15.75" customHeight="1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6"/>
      <c r="V64" s="1"/>
      <c r="W64" s="31"/>
      <c r="X64" s="31"/>
      <c r="Y64" s="31"/>
      <c r="Z64" s="31"/>
      <c r="AA64" s="2"/>
      <c r="AB64" s="31"/>
      <c r="AC64" s="31"/>
      <c r="AD64" s="31"/>
      <c r="AE64" s="37"/>
      <c r="AF64" s="37"/>
      <c r="AG64" s="37"/>
    </row>
    <row r="65" spans="1:33" ht="15.75" customHeight="1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6"/>
      <c r="V65" s="1"/>
      <c r="W65" s="31"/>
      <c r="X65" s="31"/>
      <c r="Y65" s="31"/>
      <c r="Z65" s="31"/>
      <c r="AA65" s="2"/>
      <c r="AB65" s="31"/>
      <c r="AC65" s="31"/>
      <c r="AD65" s="31"/>
      <c r="AE65" s="37"/>
      <c r="AF65" s="37"/>
      <c r="AG65" s="37"/>
    </row>
    <row r="66" spans="1:33" ht="15.75" customHeight="1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6"/>
      <c r="V66" s="1"/>
      <c r="W66" s="31"/>
      <c r="X66" s="31"/>
      <c r="Y66" s="31"/>
      <c r="Z66" s="31"/>
      <c r="AA66" s="2"/>
      <c r="AB66" s="31"/>
      <c r="AC66" s="31"/>
      <c r="AD66" s="31"/>
      <c r="AE66" s="37"/>
      <c r="AF66" s="37"/>
      <c r="AG66" s="37"/>
    </row>
    <row r="67" spans="1:33" ht="15.75" customHeight="1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6"/>
      <c r="V67" s="1"/>
      <c r="W67" s="31"/>
      <c r="X67" s="31"/>
      <c r="Y67" s="31"/>
      <c r="Z67" s="31"/>
      <c r="AA67" s="2"/>
      <c r="AB67" s="31"/>
      <c r="AC67" s="31"/>
      <c r="AD67" s="31"/>
      <c r="AE67" s="37"/>
      <c r="AF67" s="37"/>
      <c r="AG67" s="37"/>
    </row>
    <row r="68" spans="1:33" ht="15.75" customHeight="1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6"/>
      <c r="V68" s="1"/>
      <c r="W68" s="31"/>
      <c r="X68" s="31"/>
      <c r="Y68" s="31"/>
      <c r="Z68" s="31"/>
      <c r="AA68" s="2"/>
      <c r="AB68" s="31"/>
      <c r="AC68" s="31"/>
      <c r="AD68" s="31"/>
      <c r="AE68" s="37"/>
      <c r="AF68" s="37"/>
      <c r="AG68" s="37"/>
    </row>
    <row r="69" spans="1:33" ht="15.75" customHeight="1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6"/>
      <c r="V69" s="1"/>
      <c r="W69" s="31"/>
      <c r="X69" s="31"/>
      <c r="Y69" s="31"/>
      <c r="Z69" s="31"/>
      <c r="AA69" s="2"/>
      <c r="AB69" s="31"/>
      <c r="AC69" s="31"/>
      <c r="AD69" s="31"/>
      <c r="AE69" s="37"/>
      <c r="AF69" s="37"/>
      <c r="AG69" s="37"/>
    </row>
    <row r="70" spans="1:33" ht="15.75" customHeight="1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6"/>
      <c r="V70" s="1"/>
      <c r="W70" s="31"/>
      <c r="X70" s="31"/>
      <c r="Y70" s="31"/>
      <c r="Z70" s="31"/>
      <c r="AA70" s="2"/>
      <c r="AB70" s="31"/>
      <c r="AC70" s="31"/>
      <c r="AD70" s="31"/>
      <c r="AE70" s="37"/>
      <c r="AF70" s="37"/>
      <c r="AG70" s="37"/>
    </row>
    <row r="71" spans="1:33" ht="15.75" customHeight="1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6"/>
      <c r="V71" s="1"/>
      <c r="W71" s="31"/>
      <c r="X71" s="31"/>
      <c r="Y71" s="31"/>
      <c r="Z71" s="31"/>
      <c r="AA71" s="2"/>
      <c r="AB71" s="31"/>
      <c r="AC71" s="31"/>
      <c r="AD71" s="31"/>
      <c r="AE71" s="37"/>
      <c r="AF71" s="37"/>
      <c r="AG71" s="37"/>
    </row>
    <row r="72" spans="1:33" ht="15.75" customHeight="1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6"/>
      <c r="V72" s="1"/>
      <c r="W72" s="31"/>
      <c r="X72" s="31"/>
      <c r="Y72" s="31"/>
      <c r="Z72" s="31"/>
      <c r="AA72" s="2"/>
      <c r="AB72" s="31"/>
      <c r="AC72" s="31"/>
      <c r="AD72" s="31"/>
      <c r="AE72" s="37"/>
      <c r="AF72" s="37"/>
      <c r="AG72" s="37"/>
    </row>
    <row r="73" spans="1:33" ht="15.75" customHeight="1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6"/>
      <c r="V73" s="1"/>
      <c r="W73" s="31"/>
      <c r="X73" s="31"/>
      <c r="Y73" s="31"/>
      <c r="Z73" s="31"/>
      <c r="AA73" s="2"/>
      <c r="AB73" s="31"/>
      <c r="AC73" s="31"/>
      <c r="AD73" s="31"/>
      <c r="AE73" s="37"/>
      <c r="AF73" s="37"/>
      <c r="AG73" s="37"/>
    </row>
    <row r="74" spans="1:33" ht="15.75" customHeight="1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6"/>
      <c r="V74" s="1"/>
      <c r="W74" s="31"/>
      <c r="X74" s="31"/>
      <c r="Y74" s="31"/>
      <c r="Z74" s="31"/>
      <c r="AA74" s="2"/>
      <c r="AB74" s="31"/>
      <c r="AC74" s="31"/>
      <c r="AD74" s="31"/>
      <c r="AE74" s="37"/>
      <c r="AF74" s="37"/>
      <c r="AG74" s="37"/>
    </row>
    <row r="75" spans="1:33" ht="15.75" customHeight="1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6"/>
      <c r="V75" s="1"/>
      <c r="W75" s="31"/>
      <c r="X75" s="31"/>
      <c r="Y75" s="31"/>
      <c r="Z75" s="31"/>
      <c r="AA75" s="2"/>
      <c r="AB75" s="31"/>
      <c r="AC75" s="31"/>
      <c r="AD75" s="31"/>
      <c r="AE75" s="37"/>
      <c r="AF75" s="37"/>
      <c r="AG75" s="37"/>
    </row>
    <row r="76" spans="1:33" ht="15.75" customHeight="1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6"/>
      <c r="V76" s="1"/>
      <c r="W76" s="31"/>
      <c r="X76" s="31"/>
      <c r="Y76" s="31"/>
      <c r="Z76" s="31"/>
      <c r="AA76" s="2"/>
      <c r="AB76" s="31"/>
      <c r="AC76" s="31"/>
      <c r="AD76" s="31"/>
      <c r="AE76" s="37"/>
      <c r="AF76" s="37"/>
      <c r="AG76" s="37"/>
    </row>
    <row r="77" spans="1:33" ht="15.75" customHeight="1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6"/>
      <c r="V77" s="1"/>
      <c r="W77" s="31"/>
      <c r="X77" s="31"/>
      <c r="Y77" s="31"/>
      <c r="Z77" s="31"/>
      <c r="AA77" s="2"/>
      <c r="AB77" s="31"/>
      <c r="AC77" s="31"/>
      <c r="AD77" s="31"/>
      <c r="AE77" s="37"/>
      <c r="AF77" s="37"/>
      <c r="AG77" s="37"/>
    </row>
    <row r="78" spans="1:33" ht="15.75" customHeight="1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6"/>
      <c r="V78" s="1"/>
      <c r="W78" s="31"/>
      <c r="X78" s="31"/>
      <c r="Y78" s="31"/>
      <c r="Z78" s="31"/>
      <c r="AA78" s="2"/>
      <c r="AB78" s="31"/>
      <c r="AC78" s="31"/>
      <c r="AD78" s="31"/>
      <c r="AE78" s="37"/>
      <c r="AF78" s="37"/>
      <c r="AG78" s="37"/>
    </row>
    <row r="79" spans="1:33" ht="15.75" customHeight="1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6"/>
      <c r="V79" s="1"/>
      <c r="W79" s="31"/>
      <c r="X79" s="31"/>
      <c r="Y79" s="31"/>
      <c r="Z79" s="31"/>
      <c r="AA79" s="2"/>
      <c r="AB79" s="31"/>
      <c r="AC79" s="31"/>
      <c r="AD79" s="31"/>
      <c r="AE79" s="37"/>
      <c r="AF79" s="37"/>
      <c r="AG79" s="37"/>
    </row>
    <row r="80" spans="1:33" ht="15.75" customHeight="1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6"/>
      <c r="V80" s="1"/>
      <c r="W80" s="31"/>
      <c r="X80" s="31"/>
      <c r="Y80" s="31"/>
      <c r="Z80" s="31"/>
      <c r="AA80" s="2"/>
      <c r="AB80" s="31"/>
      <c r="AC80" s="31"/>
      <c r="AD80" s="31"/>
      <c r="AE80" s="37"/>
      <c r="AF80" s="37"/>
      <c r="AG80" s="37"/>
    </row>
    <row r="81" spans="1:33" ht="15.75" customHeight="1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6"/>
      <c r="V81" s="1"/>
      <c r="W81" s="31"/>
      <c r="X81" s="31"/>
      <c r="Y81" s="31"/>
      <c r="Z81" s="31"/>
      <c r="AA81" s="2"/>
      <c r="AB81" s="31"/>
      <c r="AC81" s="31"/>
      <c r="AD81" s="31"/>
      <c r="AE81" s="37"/>
      <c r="AF81" s="37"/>
      <c r="AG81" s="37"/>
    </row>
    <row r="82" spans="1:33" ht="15.75" customHeight="1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6"/>
      <c r="V82" s="1"/>
      <c r="W82" s="31"/>
      <c r="X82" s="31"/>
      <c r="Y82" s="31"/>
      <c r="Z82" s="31"/>
      <c r="AA82" s="2"/>
      <c r="AB82" s="31"/>
      <c r="AC82" s="31"/>
      <c r="AD82" s="31"/>
      <c r="AE82" s="37"/>
      <c r="AF82" s="37"/>
      <c r="AG82" s="37"/>
    </row>
    <row r="83" spans="1:33" ht="15.75" customHeight="1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6"/>
      <c r="V83" s="1"/>
      <c r="W83" s="31"/>
      <c r="X83" s="31"/>
      <c r="Y83" s="31"/>
      <c r="Z83" s="31"/>
      <c r="AA83" s="2"/>
      <c r="AB83" s="31"/>
      <c r="AC83" s="31"/>
      <c r="AD83" s="31"/>
      <c r="AE83" s="37"/>
      <c r="AF83" s="37"/>
      <c r="AG83" s="37"/>
    </row>
    <row r="84" spans="1:33" ht="15.75" customHeight="1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6"/>
      <c r="V84" s="1"/>
      <c r="W84" s="31"/>
      <c r="X84" s="31"/>
      <c r="Y84" s="31"/>
      <c r="Z84" s="31"/>
      <c r="AA84" s="2"/>
      <c r="AB84" s="31"/>
      <c r="AC84" s="31"/>
      <c r="AD84" s="31"/>
      <c r="AE84" s="37"/>
      <c r="AF84" s="37"/>
      <c r="AG84" s="37"/>
    </row>
    <row r="85" spans="1:33" ht="15.75" customHeight="1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6"/>
      <c r="V85" s="1"/>
      <c r="W85" s="31"/>
      <c r="X85" s="31"/>
      <c r="Y85" s="31"/>
      <c r="Z85" s="31"/>
      <c r="AA85" s="2"/>
      <c r="AB85" s="31"/>
      <c r="AC85" s="31"/>
      <c r="AD85" s="31"/>
      <c r="AE85" s="37"/>
      <c r="AF85" s="37"/>
      <c r="AG85" s="37"/>
    </row>
    <row r="86" spans="1:33" ht="15.75" customHeight="1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6"/>
      <c r="V86" s="1"/>
      <c r="W86" s="31"/>
      <c r="X86" s="31"/>
      <c r="Y86" s="31"/>
      <c r="Z86" s="31"/>
      <c r="AA86" s="2"/>
      <c r="AB86" s="31"/>
      <c r="AC86" s="31"/>
      <c r="AD86" s="31"/>
      <c r="AE86" s="37"/>
      <c r="AF86" s="37"/>
      <c r="AG86" s="37"/>
    </row>
    <row r="87" spans="1:33" ht="15.75" customHeight="1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6"/>
      <c r="V87" s="1"/>
      <c r="W87" s="31"/>
      <c r="X87" s="31"/>
      <c r="Y87" s="31"/>
      <c r="Z87" s="31"/>
      <c r="AA87" s="2"/>
      <c r="AB87" s="31"/>
      <c r="AC87" s="31"/>
      <c r="AD87" s="31"/>
      <c r="AE87" s="37"/>
      <c r="AF87" s="37"/>
      <c r="AG87" s="37"/>
    </row>
    <row r="88" spans="1:33" ht="15.75" customHeight="1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6"/>
      <c r="V88" s="1"/>
      <c r="W88" s="31"/>
      <c r="X88" s="31"/>
      <c r="Y88" s="31"/>
      <c r="Z88" s="31"/>
      <c r="AA88" s="2"/>
      <c r="AB88" s="31"/>
      <c r="AC88" s="31"/>
      <c r="AD88" s="31"/>
      <c r="AE88" s="37"/>
      <c r="AF88" s="37"/>
      <c r="AG88" s="37"/>
    </row>
    <row r="89" spans="1:33" ht="15.75" customHeight="1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6"/>
      <c r="V89" s="1"/>
      <c r="W89" s="31"/>
      <c r="X89" s="31"/>
      <c r="Y89" s="31"/>
      <c r="Z89" s="31"/>
      <c r="AA89" s="2"/>
      <c r="AB89" s="31"/>
      <c r="AC89" s="31"/>
      <c r="AD89" s="31"/>
      <c r="AE89" s="37"/>
      <c r="AF89" s="37"/>
      <c r="AG89" s="37"/>
    </row>
    <row r="90" spans="1:33" ht="15.75" customHeight="1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6"/>
      <c r="V90" s="1"/>
      <c r="W90" s="31"/>
      <c r="X90" s="31"/>
      <c r="Y90" s="31"/>
      <c r="Z90" s="31"/>
      <c r="AA90" s="2"/>
      <c r="AB90" s="31"/>
      <c r="AC90" s="31"/>
      <c r="AD90" s="31"/>
      <c r="AE90" s="37"/>
      <c r="AF90" s="37"/>
      <c r="AG90" s="37"/>
    </row>
    <row r="91" spans="1:33" ht="15.75" customHeight="1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6"/>
      <c r="V91" s="1"/>
      <c r="W91" s="31"/>
      <c r="X91" s="31"/>
      <c r="Y91" s="31"/>
      <c r="Z91" s="31"/>
      <c r="AA91" s="2"/>
      <c r="AB91" s="31"/>
      <c r="AC91" s="31"/>
      <c r="AD91" s="31"/>
      <c r="AE91" s="37"/>
      <c r="AF91" s="37"/>
      <c r="AG91" s="37"/>
    </row>
    <row r="92" spans="1:33" ht="15.75" customHeight="1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6"/>
      <c r="V92" s="1"/>
      <c r="W92" s="31"/>
      <c r="X92" s="31"/>
      <c r="Y92" s="31"/>
      <c r="Z92" s="31"/>
      <c r="AA92" s="2"/>
      <c r="AB92" s="31"/>
      <c r="AC92" s="31"/>
      <c r="AD92" s="31"/>
      <c r="AE92" s="37"/>
      <c r="AF92" s="37"/>
      <c r="AG92" s="37"/>
    </row>
    <row r="93" spans="1:33" ht="15.75" customHeight="1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6"/>
      <c r="V93" s="1"/>
      <c r="W93" s="31"/>
      <c r="X93" s="31"/>
      <c r="Y93" s="31"/>
      <c r="Z93" s="31"/>
      <c r="AA93" s="2"/>
      <c r="AB93" s="31"/>
      <c r="AC93" s="31"/>
      <c r="AD93" s="31"/>
      <c r="AE93" s="37"/>
      <c r="AF93" s="37"/>
      <c r="AG93" s="37"/>
    </row>
    <row r="94" spans="1:33" ht="15.75" customHeight="1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6"/>
      <c r="V94" s="1"/>
      <c r="W94" s="31"/>
      <c r="X94" s="31"/>
      <c r="Y94" s="31"/>
      <c r="Z94" s="31"/>
      <c r="AA94" s="2"/>
      <c r="AB94" s="31"/>
      <c r="AC94" s="31"/>
      <c r="AD94" s="31"/>
      <c r="AE94" s="37"/>
      <c r="AF94" s="37"/>
      <c r="AG94" s="37"/>
    </row>
    <row r="95" spans="1:33" ht="15.75" customHeight="1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6"/>
      <c r="V95" s="1"/>
      <c r="W95" s="31"/>
      <c r="X95" s="31"/>
      <c r="Y95" s="31"/>
      <c r="Z95" s="31"/>
      <c r="AA95" s="2"/>
      <c r="AB95" s="31"/>
      <c r="AC95" s="31"/>
      <c r="AD95" s="31"/>
      <c r="AE95" s="37"/>
      <c r="AF95" s="37"/>
      <c r="AG95" s="37"/>
    </row>
    <row r="96" spans="1:33" ht="15.75" customHeight="1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6"/>
      <c r="V96" s="1"/>
      <c r="W96" s="31"/>
      <c r="X96" s="31"/>
      <c r="Y96" s="31"/>
      <c r="Z96" s="31"/>
      <c r="AA96" s="2"/>
      <c r="AB96" s="31"/>
      <c r="AC96" s="31"/>
      <c r="AD96" s="31"/>
      <c r="AE96" s="37"/>
      <c r="AF96" s="37"/>
      <c r="AG96" s="37"/>
    </row>
    <row r="97" spans="1:33" ht="15.75" customHeight="1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8"/>
      <c r="R97" s="38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8"/>
      <c r="R98" s="38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8"/>
      <c r="R99" s="38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8"/>
      <c r="R100" s="38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8"/>
      <c r="R101" s="38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8"/>
      <c r="R102" s="38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8"/>
      <c r="R103" s="38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8"/>
      <c r="R104" s="38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8"/>
      <c r="R105" s="38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8"/>
      <c r="R106" s="38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8"/>
      <c r="R107" s="38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8"/>
      <c r="R108" s="38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8"/>
      <c r="R109" s="38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8"/>
      <c r="R110" s="38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8"/>
      <c r="R111" s="38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8"/>
      <c r="R112" s="38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8"/>
      <c r="R113" s="38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8"/>
      <c r="R114" s="38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>
      <c r="A115" s="31"/>
      <c r="B115" s="31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>
      <c r="A116" s="31"/>
      <c r="B116" s="31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>
      <c r="A117" s="31"/>
      <c r="B117" s="31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>
      <c r="A118" s="31"/>
      <c r="B118" s="31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>
      <c r="A119" s="31"/>
      <c r="B119" s="31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>
      <c r="A120" s="31"/>
      <c r="B120" s="31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>
      <c r="A121" s="31"/>
      <c r="B121" s="31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>
      <c r="A122" s="31"/>
      <c r="B122" s="31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>
      <c r="A123" s="31"/>
      <c r="B123" s="31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>
      <c r="A124" s="31"/>
      <c r="B124" s="31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>
      <c r="A125" s="31"/>
      <c r="B125" s="31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>
      <c r="A126" s="31"/>
      <c r="B126" s="31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>
      <c r="A127" s="31"/>
      <c r="B127" s="31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>
      <c r="A128" s="31"/>
      <c r="B128" s="31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>
      <c r="A129" s="31"/>
      <c r="B129" s="31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>
      <c r="A130" s="31"/>
      <c r="B130" s="31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>
      <c r="A131" s="31"/>
      <c r="B131" s="31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>
      <c r="A132" s="31"/>
      <c r="B132" s="31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>
      <c r="A133" s="31"/>
      <c r="B133" s="31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>
      <c r="A134" s="31"/>
      <c r="B134" s="31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>
      <c r="A135" s="31"/>
      <c r="B135" s="31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>
      <c r="A136" s="31"/>
      <c r="B136" s="31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>
      <c r="A137" s="31"/>
      <c r="B137" s="31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>
      <c r="A138" s="31"/>
      <c r="B138" s="31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>
      <c r="A139" s="31"/>
      <c r="B139" s="31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>
      <c r="A140" s="31"/>
      <c r="B140" s="31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>
      <c r="A141" s="31"/>
      <c r="B141" s="31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2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>
      <c r="A142" s="31"/>
      <c r="B142" s="31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2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>
      <c r="A143" s="31"/>
      <c r="B143" s="31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2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>
      <c r="A144" s="31"/>
      <c r="B144" s="31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2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>
      <c r="A145" s="31"/>
      <c r="B145" s="31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2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>
      <c r="A146" s="31"/>
      <c r="B146" s="31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2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>
      <c r="A147" s="31"/>
      <c r="B147" s="31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2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>
      <c r="A148" s="31"/>
      <c r="B148" s="31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2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</row>
    <row r="149" spans="1:33" ht="15.75" customHeight="1">
      <c r="A149" s="14"/>
      <c r="B149" s="14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>
      <c r="A150" s="14"/>
      <c r="B150" s="14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>
      <c r="A151" s="14"/>
      <c r="B151" s="14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>
      <c r="A152" s="14"/>
      <c r="B152" s="14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>
      <c r="A153" s="14"/>
      <c r="B153" s="14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>
      <c r="A154" s="14"/>
      <c r="B154" s="14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>
      <c r="A155" s="14"/>
      <c r="B155" s="14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>
      <c r="A156" s="14"/>
      <c r="B156" s="14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>
      <c r="A157" s="14"/>
      <c r="B157" s="14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>
      <c r="A158" s="14"/>
      <c r="B158" s="14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>
      <c r="A159" s="14"/>
      <c r="B159" s="14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>
      <c r="A160" s="14"/>
      <c r="B160" s="14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>
      <c r="A161" s="14"/>
      <c r="B161" s="14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>
      <c r="A162" s="14"/>
      <c r="B162" s="14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>
      <c r="A163" s="14"/>
      <c r="B163" s="14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>
      <c r="A164" s="14"/>
      <c r="B164" s="14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>
      <c r="A165" s="14"/>
      <c r="B165" s="14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>
      <c r="A166" s="14"/>
      <c r="B166" s="14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>
      <c r="A167" s="14"/>
      <c r="B167" s="14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>
      <c r="A168" s="14"/>
      <c r="B168" s="14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>
      <c r="A169" s="14"/>
      <c r="B169" s="14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>
      <c r="A170" s="14"/>
      <c r="B170" s="14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>
      <c r="A171" s="14"/>
      <c r="B171" s="14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>
      <c r="A172" s="14"/>
      <c r="B172" s="14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>
      <c r="A173" s="14"/>
      <c r="B173" s="14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>
      <c r="A174" s="14"/>
      <c r="B174" s="14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>
      <c r="A175" s="14"/>
      <c r="B175" s="14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>
      <c r="A176" s="14"/>
      <c r="B176" s="14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>
      <c r="A177" s="14"/>
      <c r="B177" s="14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>
      <c r="A178" s="14"/>
      <c r="B178" s="14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>
      <c r="A179" s="14"/>
      <c r="B179" s="14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>
      <c r="A180" s="14"/>
      <c r="B180" s="14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>
      <c r="A181" s="14"/>
      <c r="B181" s="14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>
      <c r="A182" s="14"/>
      <c r="B182" s="14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>
      <c r="A183" s="14"/>
      <c r="B183" s="14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>
      <c r="A184" s="14"/>
      <c r="B184" s="14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>
      <c r="A185" s="14"/>
      <c r="B185" s="14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>
      <c r="A186" s="14"/>
      <c r="B186" s="14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>
      <c r="A187" s="14"/>
      <c r="B187" s="14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>
      <c r="A188" s="14"/>
      <c r="B188" s="14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>
      <c r="A189" s="14"/>
      <c r="B189" s="14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>
      <c r="A190" s="14"/>
      <c r="B190" s="14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>
      <c r="A191" s="14"/>
      <c r="B191" s="14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>
      <c r="A192" s="14"/>
      <c r="B192" s="14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>
      <c r="A193" s="14"/>
      <c r="B193" s="14"/>
      <c r="C193" s="39"/>
      <c r="D193" s="39"/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>
      <c r="A194" s="14"/>
      <c r="B194" s="14"/>
      <c r="C194" s="39"/>
      <c r="D194" s="39"/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>
      <c r="A195" s="14"/>
      <c r="B195" s="14"/>
      <c r="C195" s="39"/>
      <c r="D195" s="39"/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>
      <c r="A196" s="14"/>
      <c r="B196" s="14"/>
      <c r="C196" s="39"/>
      <c r="D196" s="39"/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>
      <c r="A197" s="14"/>
      <c r="B197" s="14"/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>
      <c r="A198" s="14"/>
      <c r="B198" s="14"/>
      <c r="C198" s="39"/>
      <c r="D198" s="39"/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>
      <c r="A199" s="14"/>
      <c r="B199" s="14"/>
      <c r="C199" s="39"/>
      <c r="D199" s="39"/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>
      <c r="A200" s="14"/>
      <c r="B200" s="14"/>
      <c r="C200" s="39"/>
      <c r="D200" s="39"/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>
      <c r="A201" s="14"/>
      <c r="B201" s="14"/>
      <c r="C201" s="39"/>
      <c r="D201" s="39"/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>
      <c r="A202" s="14"/>
      <c r="B202" s="14"/>
      <c r="C202" s="39"/>
      <c r="D202" s="39"/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>
      <c r="A203" s="14"/>
      <c r="B203" s="14"/>
      <c r="C203" s="39"/>
      <c r="D203" s="39"/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>
      <c r="A204" s="14"/>
      <c r="B204" s="14"/>
      <c r="C204" s="39"/>
      <c r="D204" s="39"/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>
      <c r="A205" s="14"/>
      <c r="B205" s="14"/>
      <c r="C205" s="39"/>
      <c r="D205" s="39"/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>
      <c r="A206" s="14"/>
      <c r="B206" s="14"/>
      <c r="C206" s="39"/>
      <c r="D206" s="39"/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>
      <c r="A207" s="14"/>
      <c r="B207" s="14"/>
      <c r="C207" s="39"/>
      <c r="D207" s="39"/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>
      <c r="A208" s="14"/>
      <c r="B208" s="14"/>
      <c r="C208" s="39"/>
      <c r="D208" s="39"/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>
      <c r="A209" s="14"/>
      <c r="B209" s="14"/>
      <c r="C209" s="39"/>
      <c r="D209" s="39"/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>
      <c r="A210" s="14"/>
      <c r="B210" s="14"/>
      <c r="C210" s="39"/>
      <c r="D210" s="39"/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>
      <c r="A211" s="14"/>
      <c r="B211" s="14"/>
      <c r="C211" s="39"/>
      <c r="D211" s="39"/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>
      <c r="A212" s="14"/>
      <c r="B212" s="14"/>
      <c r="C212" s="39"/>
      <c r="D212" s="39"/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>
      <c r="A213" s="14"/>
      <c r="B213" s="14"/>
      <c r="C213" s="39"/>
      <c r="D213" s="39"/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>
      <c r="A214" s="14"/>
      <c r="B214" s="14"/>
      <c r="C214" s="39"/>
      <c r="D214" s="39"/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>
      <c r="A215" s="14"/>
      <c r="B215" s="14"/>
      <c r="C215" s="39"/>
      <c r="D215" s="39"/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>
      <c r="A216" s="14"/>
      <c r="B216" s="14"/>
      <c r="C216" s="39"/>
      <c r="D216" s="39"/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>
      <c r="A217" s="14"/>
      <c r="B217" s="14"/>
      <c r="C217" s="39"/>
      <c r="D217" s="39"/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>
      <c r="A218" s="14"/>
      <c r="B218" s="14"/>
      <c r="C218" s="39"/>
      <c r="D218" s="39"/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>
      <c r="A219" s="14"/>
      <c r="B219" s="14"/>
      <c r="C219" s="39"/>
      <c r="D219" s="39"/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>
      <c r="A220" s="14"/>
      <c r="B220" s="14"/>
      <c r="C220" s="39"/>
      <c r="D220" s="39"/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>
      <c r="R221" s="30"/>
      <c r="S221" s="40"/>
    </row>
    <row r="222" spans="1:33" ht="15.75" customHeight="1">
      <c r="R222" s="30"/>
      <c r="S222" s="40"/>
    </row>
    <row r="223" spans="1:33" ht="15.75" customHeight="1">
      <c r="R223" s="30"/>
      <c r="S223" s="40"/>
    </row>
    <row r="224" spans="1:33" ht="15.75" customHeight="1">
      <c r="R224" s="30"/>
      <c r="S224" s="40"/>
    </row>
    <row r="225" spans="18:18" ht="15.75" customHeight="1">
      <c r="R225" s="30"/>
    </row>
    <row r="226" spans="18:18" ht="15.75" customHeight="1">
      <c r="R226" s="30"/>
    </row>
    <row r="227" spans="18:18" ht="15.75" customHeight="1">
      <c r="R227" s="30"/>
    </row>
    <row r="228" spans="18:18" ht="15.75" customHeight="1">
      <c r="R228" s="30"/>
    </row>
    <row r="229" spans="18:18" ht="15.75" customHeight="1">
      <c r="R229" s="30"/>
    </row>
    <row r="230" spans="18:18" ht="15.75" customHeight="1">
      <c r="R230" s="30"/>
    </row>
    <row r="231" spans="18:18" ht="15.75" customHeight="1">
      <c r="R231" s="30"/>
    </row>
    <row r="232" spans="18:18" ht="15.75" customHeight="1">
      <c r="R232" s="30"/>
    </row>
    <row r="233" spans="18:18" ht="15.75" customHeight="1">
      <c r="R233" s="30"/>
    </row>
    <row r="234" spans="18:18" ht="15.75" customHeight="1">
      <c r="R234" s="30"/>
    </row>
    <row r="235" spans="18:18" ht="15.75" customHeight="1">
      <c r="R235" s="30"/>
    </row>
    <row r="236" spans="18:18" ht="15.75" customHeight="1">
      <c r="R236" s="30"/>
    </row>
    <row r="237" spans="18:18" ht="15.75" customHeight="1">
      <c r="R237" s="30"/>
    </row>
    <row r="238" spans="18:18" ht="15.75" customHeight="1">
      <c r="R238" s="30"/>
    </row>
    <row r="239" spans="18:18" ht="15.75" customHeight="1">
      <c r="R239" s="30"/>
    </row>
    <row r="240" spans="18:18" ht="15.75" customHeight="1">
      <c r="R240" s="30"/>
    </row>
    <row r="241" spans="18:18" ht="15.75" customHeight="1">
      <c r="R241" s="30"/>
    </row>
    <row r="242" spans="18:18" ht="15.75" customHeight="1">
      <c r="R242" s="30"/>
    </row>
    <row r="243" spans="18:18" ht="15.75" customHeight="1">
      <c r="R243" s="30"/>
    </row>
    <row r="244" spans="18:18" ht="15.75" customHeight="1">
      <c r="R244" s="30"/>
    </row>
    <row r="245" spans="18:18" ht="15.75" customHeight="1">
      <c r="R245" s="30"/>
    </row>
    <row r="246" spans="18:18" ht="15.75" customHeight="1">
      <c r="R246" s="30"/>
    </row>
    <row r="247" spans="18:18" ht="15.75" customHeight="1">
      <c r="R247" s="30"/>
    </row>
    <row r="248" spans="18:18" ht="15.75" customHeight="1">
      <c r="R248" s="30"/>
    </row>
    <row r="249" spans="18:18" ht="15.75" customHeight="1">
      <c r="R249" s="30"/>
    </row>
    <row r="250" spans="18:18" ht="15.75" customHeight="1">
      <c r="R250" s="30"/>
    </row>
    <row r="251" spans="18:18" ht="15.75" customHeight="1">
      <c r="R251" s="30"/>
    </row>
    <row r="252" spans="18:18" ht="15.75" customHeight="1">
      <c r="R252" s="30"/>
    </row>
    <row r="253" spans="18:18" ht="15.75" customHeight="1">
      <c r="R253" s="30"/>
    </row>
    <row r="254" spans="18:18" ht="15.75" customHeight="1">
      <c r="R254" s="30"/>
    </row>
    <row r="255" spans="18:18" ht="15.75" customHeight="1">
      <c r="R255" s="30"/>
    </row>
    <row r="256" spans="18:18" ht="15.75" customHeight="1">
      <c r="R256" s="30"/>
    </row>
    <row r="257" spans="18:18" ht="15.75" customHeight="1">
      <c r="R257" s="30"/>
    </row>
    <row r="258" spans="18:18" ht="15.75" customHeight="1">
      <c r="R258" s="30"/>
    </row>
    <row r="259" spans="18:18" ht="15.75" customHeight="1">
      <c r="R259" s="30"/>
    </row>
    <row r="260" spans="18:18" ht="15.75" customHeight="1">
      <c r="R260" s="30"/>
    </row>
    <row r="261" spans="18:18" ht="15.75" customHeight="1">
      <c r="R261" s="30"/>
    </row>
    <row r="262" spans="18:18" ht="15.75" customHeight="1">
      <c r="R262" s="30"/>
    </row>
    <row r="263" spans="18:18" ht="15.75" customHeight="1">
      <c r="R263" s="30"/>
    </row>
    <row r="264" spans="18:18" ht="15.75" customHeight="1">
      <c r="R264" s="30"/>
    </row>
    <row r="265" spans="18:18" ht="15.75" customHeight="1">
      <c r="R265" s="30"/>
    </row>
    <row r="266" spans="18:18" ht="15.75" customHeight="1">
      <c r="R266" s="30"/>
    </row>
    <row r="267" spans="18:18" ht="15.75" customHeight="1">
      <c r="R267" s="30"/>
    </row>
    <row r="268" spans="18:18" ht="15.75" customHeight="1">
      <c r="R268" s="30"/>
    </row>
    <row r="269" spans="18:18" ht="15.75" customHeight="1">
      <c r="R269" s="30"/>
    </row>
    <row r="270" spans="18:18" ht="15.75" customHeight="1">
      <c r="R270" s="30"/>
    </row>
    <row r="271" spans="18:18" ht="15.75" customHeight="1">
      <c r="R271" s="30"/>
    </row>
    <row r="272" spans="18:18" ht="15.75" customHeight="1">
      <c r="R272" s="30"/>
    </row>
    <row r="273" spans="18:18" ht="15.75" customHeight="1">
      <c r="R273" s="30"/>
    </row>
    <row r="274" spans="18:18" ht="15.75" customHeight="1">
      <c r="R274" s="30"/>
    </row>
    <row r="275" spans="18:18" ht="15.75" customHeight="1">
      <c r="R275" s="30"/>
    </row>
    <row r="276" spans="18:18" ht="15.75" customHeight="1">
      <c r="R276" s="30"/>
    </row>
    <row r="277" spans="18:18" ht="15.75" customHeight="1">
      <c r="R277" s="30"/>
    </row>
    <row r="278" spans="18:18" ht="15.75" customHeight="1">
      <c r="R278" s="30"/>
    </row>
    <row r="279" spans="18:18" ht="15.75" customHeight="1">
      <c r="R279" s="30"/>
    </row>
    <row r="280" spans="18:18" ht="15.75" customHeight="1">
      <c r="R280" s="30"/>
    </row>
    <row r="281" spans="18:18" ht="15.75" customHeight="1">
      <c r="R281" s="30"/>
    </row>
    <row r="282" spans="18:18" ht="15.75" customHeight="1">
      <c r="R282" s="30"/>
    </row>
    <row r="283" spans="18:18" ht="15.75" customHeight="1">
      <c r="R283" s="30"/>
    </row>
    <row r="284" spans="18:18" ht="15.75" customHeight="1">
      <c r="R284" s="30"/>
    </row>
    <row r="285" spans="18:18" ht="15.75" customHeight="1">
      <c r="R285" s="30"/>
    </row>
    <row r="286" spans="18:18" ht="15.75" customHeight="1">
      <c r="R286" s="30"/>
    </row>
    <row r="287" spans="18:18" ht="15.75" customHeight="1">
      <c r="R287" s="30"/>
    </row>
    <row r="288" spans="18:18" ht="15.75" customHeight="1">
      <c r="R288" s="30"/>
    </row>
    <row r="289" spans="18:18" ht="15.75" customHeight="1">
      <c r="R289" s="30"/>
    </row>
    <row r="290" spans="18:18" ht="15.75" customHeight="1">
      <c r="R290" s="30"/>
    </row>
    <row r="291" spans="18:18" ht="15.75" customHeight="1">
      <c r="R291" s="30"/>
    </row>
    <row r="292" spans="18:18" ht="15.75" customHeight="1">
      <c r="R292" s="30"/>
    </row>
    <row r="293" spans="18:18" ht="15.75" customHeight="1">
      <c r="R293" s="30"/>
    </row>
    <row r="294" spans="18:18" ht="15.75" customHeight="1">
      <c r="R294" s="30"/>
    </row>
    <row r="295" spans="18:18" ht="15.75" customHeight="1">
      <c r="R295" s="30"/>
    </row>
    <row r="296" spans="18:18" ht="15.75" customHeight="1">
      <c r="R296" s="30"/>
    </row>
    <row r="297" spans="18:18" ht="15.75" customHeight="1">
      <c r="R297" s="30"/>
    </row>
    <row r="298" spans="18:18" ht="15.75" customHeight="1">
      <c r="R298" s="30"/>
    </row>
    <row r="299" spans="18:18" ht="15.75" customHeight="1">
      <c r="R299" s="30"/>
    </row>
    <row r="300" spans="18:18" ht="15.75" customHeight="1">
      <c r="R300" s="30"/>
    </row>
    <row r="301" spans="18:18" ht="15.75" customHeight="1">
      <c r="R301" s="30"/>
    </row>
    <row r="302" spans="18:18" ht="15.75" customHeight="1">
      <c r="R302" s="30"/>
    </row>
    <row r="303" spans="18:18" ht="15.75" customHeight="1">
      <c r="R303" s="30"/>
    </row>
    <row r="304" spans="18:18" ht="15.75" customHeight="1">
      <c r="R304" s="30"/>
    </row>
    <row r="305" spans="18:18" ht="15.75" customHeight="1">
      <c r="R305" s="30"/>
    </row>
    <row r="306" spans="18:18" ht="15.75" customHeight="1">
      <c r="R306" s="30"/>
    </row>
    <row r="307" spans="18:18" ht="15.75" customHeight="1">
      <c r="R307" s="30"/>
    </row>
    <row r="308" spans="18:18" ht="15.75" customHeight="1">
      <c r="R308" s="30"/>
    </row>
    <row r="309" spans="18:18" ht="15.75" customHeight="1">
      <c r="R309" s="30"/>
    </row>
    <row r="310" spans="18:18" ht="15.75" customHeight="1">
      <c r="R310" s="30"/>
    </row>
    <row r="311" spans="18:18" ht="15.75" customHeight="1">
      <c r="R311" s="30"/>
    </row>
    <row r="312" spans="18:18" ht="15.75" customHeight="1">
      <c r="R312" s="30"/>
    </row>
    <row r="313" spans="18:18" ht="15.75" customHeight="1">
      <c r="R313" s="30"/>
    </row>
    <row r="314" spans="18:18" ht="15.75" customHeight="1">
      <c r="R314" s="30"/>
    </row>
    <row r="315" spans="18:18" ht="15.75" customHeight="1">
      <c r="R315" s="30"/>
    </row>
    <row r="316" spans="18:18" ht="15.75" customHeight="1">
      <c r="R316" s="30"/>
    </row>
    <row r="317" spans="18:18" ht="15.75" customHeight="1">
      <c r="R317" s="30"/>
    </row>
    <row r="318" spans="18:18" ht="15.75" customHeight="1">
      <c r="R318" s="30"/>
    </row>
    <row r="319" spans="18:18" ht="15.75" customHeight="1">
      <c r="R319" s="30"/>
    </row>
    <row r="320" spans="18:18" ht="15.75" customHeight="1">
      <c r="R320" s="30"/>
    </row>
    <row r="321" spans="18:18" ht="15.75" customHeight="1">
      <c r="R321" s="30"/>
    </row>
    <row r="322" spans="18:18" ht="15.75" customHeight="1">
      <c r="R322" s="30"/>
    </row>
    <row r="323" spans="18:18" ht="15.75" customHeight="1">
      <c r="R323" s="30"/>
    </row>
    <row r="324" spans="18:18" ht="15.75" customHeight="1">
      <c r="R324" s="30"/>
    </row>
    <row r="325" spans="18:18" ht="15.75" customHeight="1">
      <c r="R325" s="30"/>
    </row>
    <row r="326" spans="18:18" ht="15.75" customHeight="1">
      <c r="R326" s="30"/>
    </row>
    <row r="327" spans="18:18" ht="15.75" customHeight="1">
      <c r="R327" s="30"/>
    </row>
    <row r="328" spans="18:18" ht="15.75" customHeight="1">
      <c r="R328" s="30"/>
    </row>
    <row r="329" spans="18:18" ht="15.75" customHeight="1">
      <c r="R329" s="30"/>
    </row>
    <row r="330" spans="18:18" ht="15.75" customHeight="1">
      <c r="R330" s="30"/>
    </row>
    <row r="331" spans="18:18" ht="15.75" customHeight="1">
      <c r="R331" s="30"/>
    </row>
    <row r="332" spans="18:18" ht="15.75" customHeight="1">
      <c r="R332" s="30"/>
    </row>
    <row r="333" spans="18:18" ht="15.75" customHeight="1">
      <c r="R333" s="30"/>
    </row>
    <row r="334" spans="18:18" ht="15.75" customHeight="1">
      <c r="R334" s="30"/>
    </row>
    <row r="335" spans="18:18" ht="15.75" customHeight="1">
      <c r="R335" s="30"/>
    </row>
    <row r="336" spans="18:18" ht="15.75" customHeight="1">
      <c r="R336" s="30"/>
    </row>
    <row r="337" spans="18:18" ht="15.75" customHeight="1">
      <c r="R337" s="30"/>
    </row>
    <row r="338" spans="18:18" ht="15.75" customHeight="1">
      <c r="R338" s="30"/>
    </row>
    <row r="339" spans="18:18" ht="15.75" customHeight="1">
      <c r="R339" s="30"/>
    </row>
    <row r="340" spans="18:18" ht="15.75" customHeight="1">
      <c r="R340" s="30"/>
    </row>
    <row r="341" spans="18:18" ht="15.75" customHeight="1">
      <c r="R341" s="30"/>
    </row>
    <row r="342" spans="18:18" ht="15.75" customHeight="1">
      <c r="R342" s="30"/>
    </row>
    <row r="343" spans="18:18" ht="15.75" customHeight="1">
      <c r="R343" s="30"/>
    </row>
    <row r="344" spans="18:18" ht="15.75" customHeight="1">
      <c r="R344" s="30"/>
    </row>
    <row r="345" spans="18:18" ht="15.75" customHeight="1">
      <c r="R345" s="30"/>
    </row>
    <row r="346" spans="18:18" ht="15.75" customHeight="1">
      <c r="R346" s="30"/>
    </row>
    <row r="347" spans="18:18" ht="15.75" customHeight="1">
      <c r="R347" s="30"/>
    </row>
    <row r="348" spans="18:18" ht="15.75" customHeight="1">
      <c r="R348" s="30"/>
    </row>
    <row r="349" spans="18:18" ht="15.75" customHeight="1">
      <c r="R349" s="30"/>
    </row>
    <row r="350" spans="18:18" ht="15.75" customHeight="1">
      <c r="R350" s="30"/>
    </row>
    <row r="351" spans="18:18" ht="15.75" customHeight="1">
      <c r="R351" s="30"/>
    </row>
    <row r="352" spans="18:18" ht="15.75" customHeight="1">
      <c r="R352" s="30"/>
    </row>
    <row r="353" spans="18:18" ht="15.75" customHeight="1">
      <c r="R353" s="30"/>
    </row>
    <row r="354" spans="18:18" ht="15.75" customHeight="1">
      <c r="R354" s="30"/>
    </row>
    <row r="355" spans="18:18" ht="15.75" customHeight="1">
      <c r="R355" s="30"/>
    </row>
    <row r="356" spans="18:18" ht="15.75" customHeight="1">
      <c r="R356" s="30"/>
    </row>
    <row r="357" spans="18:18" ht="15.75" customHeight="1">
      <c r="R357" s="30"/>
    </row>
    <row r="358" spans="18:18" ht="15.75" customHeight="1">
      <c r="R358" s="30"/>
    </row>
    <row r="359" spans="18:18" ht="15.75" customHeight="1">
      <c r="R359" s="30"/>
    </row>
    <row r="360" spans="18:18" ht="15.75" customHeight="1">
      <c r="R360" s="30"/>
    </row>
    <row r="361" spans="18:18" ht="15.75" customHeight="1">
      <c r="R361" s="30"/>
    </row>
    <row r="362" spans="18:18" ht="15.75" customHeight="1">
      <c r="R362" s="30"/>
    </row>
    <row r="363" spans="18:18" ht="15.75" customHeight="1">
      <c r="R363" s="30"/>
    </row>
    <row r="364" spans="18:18" ht="15.75" customHeight="1">
      <c r="R364" s="30"/>
    </row>
    <row r="365" spans="18:18" ht="15.75" customHeight="1">
      <c r="R365" s="30"/>
    </row>
    <row r="366" spans="18:18" ht="15.75" customHeight="1">
      <c r="R366" s="30"/>
    </row>
    <row r="367" spans="18:18" ht="15.75" customHeight="1">
      <c r="R367" s="30"/>
    </row>
    <row r="368" spans="18:18" ht="15.75" customHeight="1">
      <c r="R368" s="30"/>
    </row>
    <row r="369" spans="18:18" ht="15.75" customHeight="1">
      <c r="R369" s="30"/>
    </row>
    <row r="370" spans="18:18" ht="15.75" customHeight="1">
      <c r="R370" s="30"/>
    </row>
    <row r="371" spans="18:18" ht="15.75" customHeight="1">
      <c r="R371" s="30"/>
    </row>
    <row r="372" spans="18:18" ht="15.75" customHeight="1">
      <c r="R372" s="30"/>
    </row>
    <row r="373" spans="18:18" ht="15.75" customHeight="1">
      <c r="R373" s="30"/>
    </row>
    <row r="374" spans="18:18" ht="15.75" customHeight="1">
      <c r="R374" s="30"/>
    </row>
    <row r="375" spans="18:18" ht="15.75" customHeight="1">
      <c r="R375" s="30"/>
    </row>
    <row r="376" spans="18:18" ht="15.75" customHeight="1">
      <c r="R376" s="30"/>
    </row>
    <row r="377" spans="18:18" ht="15.75" customHeight="1">
      <c r="R377" s="30"/>
    </row>
    <row r="378" spans="18:18" ht="15.75" customHeight="1">
      <c r="R378" s="30"/>
    </row>
    <row r="379" spans="18:18" ht="15.75" customHeight="1">
      <c r="R379" s="30"/>
    </row>
    <row r="380" spans="18:18" ht="15.75" customHeight="1">
      <c r="R380" s="30"/>
    </row>
    <row r="381" spans="18:18" ht="15.75" customHeight="1">
      <c r="R381" s="30"/>
    </row>
    <row r="382" spans="18:18" ht="15.75" customHeight="1">
      <c r="R382" s="30"/>
    </row>
    <row r="383" spans="18:18" ht="15.75" customHeight="1">
      <c r="R383" s="30"/>
    </row>
    <row r="384" spans="18:18" ht="15.75" customHeight="1">
      <c r="R384" s="30"/>
    </row>
    <row r="385" spans="18:18" ht="15.75" customHeight="1">
      <c r="R385" s="30"/>
    </row>
    <row r="386" spans="18:18" ht="15.75" customHeight="1">
      <c r="R386" s="30"/>
    </row>
    <row r="387" spans="18:18" ht="15.75" customHeight="1">
      <c r="R387" s="30"/>
    </row>
    <row r="388" spans="18:18" ht="15.75" customHeight="1">
      <c r="R388" s="30"/>
    </row>
    <row r="389" spans="18:18" ht="15.75" customHeight="1">
      <c r="R389" s="30"/>
    </row>
    <row r="390" spans="18:18" ht="15.75" customHeight="1">
      <c r="R390" s="30"/>
    </row>
    <row r="391" spans="18:18" ht="15.75" customHeight="1">
      <c r="R391" s="30"/>
    </row>
    <row r="392" spans="18:18" ht="15.75" customHeight="1">
      <c r="R392" s="30"/>
    </row>
    <row r="393" spans="18:18" ht="15.75" customHeight="1">
      <c r="R393" s="30"/>
    </row>
    <row r="394" spans="18:18" ht="15.75" customHeight="1">
      <c r="R394" s="30"/>
    </row>
    <row r="395" spans="18:18" ht="15.75" customHeight="1">
      <c r="R395" s="30"/>
    </row>
    <row r="396" spans="18:18" ht="15.75" customHeight="1">
      <c r="R396" s="30"/>
    </row>
    <row r="397" spans="18:18" ht="15.75" customHeight="1">
      <c r="R397" s="30"/>
    </row>
    <row r="398" spans="18:18" ht="15.75" customHeight="1">
      <c r="R398" s="30"/>
    </row>
    <row r="399" spans="18:18" ht="15.75" customHeight="1">
      <c r="R399" s="30"/>
    </row>
    <row r="400" spans="18:18" ht="15.75" customHeight="1">
      <c r="R400" s="30"/>
    </row>
    <row r="401" spans="18:18" ht="15.75" customHeight="1">
      <c r="R401" s="30"/>
    </row>
    <row r="402" spans="18:18" ht="15.75" customHeight="1">
      <c r="R402" s="30"/>
    </row>
    <row r="403" spans="18:18" ht="15.75" customHeight="1">
      <c r="R403" s="30"/>
    </row>
    <row r="404" spans="18:18" ht="15.75" customHeight="1">
      <c r="R404" s="30"/>
    </row>
    <row r="405" spans="18:18" ht="15.75" customHeight="1">
      <c r="R405" s="30"/>
    </row>
    <row r="406" spans="18:18" ht="15.75" customHeight="1">
      <c r="R406" s="30"/>
    </row>
    <row r="407" spans="18:18" ht="15.75" customHeight="1">
      <c r="R407" s="30"/>
    </row>
    <row r="408" spans="18:18" ht="15.75" customHeight="1">
      <c r="R408" s="30"/>
    </row>
    <row r="409" spans="18:18" ht="15.75" customHeight="1">
      <c r="R409" s="30"/>
    </row>
    <row r="410" spans="18:18" ht="15.75" customHeight="1">
      <c r="R410" s="30"/>
    </row>
    <row r="411" spans="18:18" ht="15.75" customHeight="1">
      <c r="R411" s="30"/>
    </row>
    <row r="412" spans="18:18" ht="15.75" customHeight="1">
      <c r="R412" s="30"/>
    </row>
    <row r="413" spans="18:18" ht="15.75" customHeight="1">
      <c r="R413" s="30"/>
    </row>
    <row r="414" spans="18:18" ht="15.75" customHeight="1">
      <c r="R414" s="30"/>
    </row>
    <row r="415" spans="18:18" ht="15.75" customHeight="1">
      <c r="R415" s="30"/>
    </row>
    <row r="416" spans="18:18" ht="15.75" customHeight="1">
      <c r="R416" s="30"/>
    </row>
    <row r="417" spans="18:18" ht="15.75" customHeight="1">
      <c r="R417" s="30"/>
    </row>
    <row r="418" spans="18:18" ht="15.75" customHeight="1">
      <c r="R418" s="30"/>
    </row>
    <row r="419" spans="18:18" ht="15.75" customHeight="1">
      <c r="R419" s="30"/>
    </row>
    <row r="420" spans="18:18" ht="15.75" customHeight="1">
      <c r="R420" s="30"/>
    </row>
    <row r="421" spans="18:18" ht="15.75" customHeight="1">
      <c r="R421" s="30"/>
    </row>
    <row r="422" spans="18:18" ht="15.75" customHeight="1">
      <c r="R422" s="30"/>
    </row>
    <row r="423" spans="18:18" ht="15.75" customHeight="1">
      <c r="R423" s="30"/>
    </row>
    <row r="424" spans="18:18" ht="15.75" customHeight="1">
      <c r="R424" s="30"/>
    </row>
    <row r="425" spans="18:18" ht="15.75" customHeight="1">
      <c r="R425" s="30"/>
    </row>
    <row r="426" spans="18:18" ht="15.75" customHeight="1">
      <c r="R426" s="30"/>
    </row>
    <row r="427" spans="18:18" ht="15.75" customHeight="1">
      <c r="R427" s="30"/>
    </row>
    <row r="428" spans="18:18" ht="15.75" customHeight="1">
      <c r="R428" s="30"/>
    </row>
    <row r="429" spans="18:18" ht="15.75" customHeight="1">
      <c r="R429" s="30"/>
    </row>
    <row r="430" spans="18:18" ht="15.75" customHeight="1">
      <c r="R430" s="30"/>
    </row>
    <row r="431" spans="18:18" ht="15.75" customHeight="1">
      <c r="R431" s="30"/>
    </row>
    <row r="432" spans="18:18" ht="15.75" customHeight="1">
      <c r="R432" s="30"/>
    </row>
    <row r="433" spans="18:18" ht="15.75" customHeight="1">
      <c r="R433" s="30"/>
    </row>
    <row r="434" spans="18:18" ht="15.75" customHeight="1">
      <c r="R434" s="30"/>
    </row>
    <row r="435" spans="18:18" ht="15.75" customHeight="1">
      <c r="R435" s="30"/>
    </row>
    <row r="436" spans="18:18" ht="15.75" customHeight="1">
      <c r="R436" s="30"/>
    </row>
    <row r="437" spans="18:18" ht="15.75" customHeight="1">
      <c r="R437" s="30"/>
    </row>
    <row r="438" spans="18:18" ht="15.75" customHeight="1">
      <c r="R438" s="30"/>
    </row>
    <row r="439" spans="18:18" ht="15.75" customHeight="1">
      <c r="R439" s="30"/>
    </row>
    <row r="440" spans="18:18" ht="15.75" customHeight="1">
      <c r="R440" s="30"/>
    </row>
    <row r="441" spans="18:18" ht="15.75" customHeight="1">
      <c r="R441" s="30"/>
    </row>
    <row r="442" spans="18:18" ht="15.75" customHeight="1">
      <c r="R442" s="30"/>
    </row>
    <row r="443" spans="18:18" ht="15.75" customHeight="1">
      <c r="R443" s="30"/>
    </row>
    <row r="444" spans="18:18" ht="15.75" customHeight="1">
      <c r="R444" s="30"/>
    </row>
    <row r="445" spans="18:18" ht="15.75" customHeight="1">
      <c r="R445" s="30"/>
    </row>
    <row r="446" spans="18:18" ht="15.75" customHeight="1">
      <c r="R446" s="30"/>
    </row>
    <row r="447" spans="18:18" ht="15.75" customHeight="1">
      <c r="R447" s="30"/>
    </row>
    <row r="448" spans="18:18" ht="15.75" customHeight="1">
      <c r="R448" s="30"/>
    </row>
    <row r="449" spans="18:18" ht="15.75" customHeight="1">
      <c r="R449" s="30"/>
    </row>
    <row r="450" spans="18:18" ht="15.75" customHeight="1">
      <c r="R450" s="30"/>
    </row>
    <row r="451" spans="18:18" ht="15.75" customHeight="1">
      <c r="R451" s="30"/>
    </row>
    <row r="452" spans="18:18" ht="15.75" customHeight="1">
      <c r="R452" s="30"/>
    </row>
    <row r="453" spans="18:18" ht="15.75" customHeight="1">
      <c r="R453" s="30"/>
    </row>
    <row r="454" spans="18:18" ht="15.75" customHeight="1">
      <c r="R454" s="30"/>
    </row>
    <row r="455" spans="18:18" ht="15.75" customHeight="1">
      <c r="R455" s="30"/>
    </row>
    <row r="456" spans="18:18" ht="15.75" customHeight="1">
      <c r="R456" s="30"/>
    </row>
    <row r="457" spans="18:18" ht="15.75" customHeight="1">
      <c r="R457" s="30"/>
    </row>
    <row r="458" spans="18:18" ht="15.75" customHeight="1">
      <c r="R458" s="30"/>
    </row>
    <row r="459" spans="18:18" ht="15.75" customHeight="1">
      <c r="R459" s="30"/>
    </row>
    <row r="460" spans="18:18" ht="15.75" customHeight="1">
      <c r="R460" s="30"/>
    </row>
    <row r="461" spans="18:18" ht="15.75" customHeight="1">
      <c r="R461" s="30"/>
    </row>
    <row r="462" spans="18:18" ht="15.75" customHeight="1">
      <c r="R462" s="30"/>
    </row>
    <row r="463" spans="18:18" ht="15.75" customHeight="1">
      <c r="R463" s="30"/>
    </row>
    <row r="464" spans="18:18" ht="15.75" customHeight="1">
      <c r="R464" s="30"/>
    </row>
    <row r="465" spans="18:18" ht="15.75" customHeight="1">
      <c r="R465" s="30"/>
    </row>
    <row r="466" spans="18:18" ht="15.75" customHeight="1">
      <c r="R466" s="30"/>
    </row>
    <row r="467" spans="18:18" ht="15.75" customHeight="1">
      <c r="R467" s="30"/>
    </row>
    <row r="468" spans="18:18" ht="15.75" customHeight="1">
      <c r="R468" s="30"/>
    </row>
    <row r="469" spans="18:18" ht="15.75" customHeight="1">
      <c r="R469" s="30"/>
    </row>
    <row r="470" spans="18:18" ht="15.75" customHeight="1">
      <c r="R470" s="30"/>
    </row>
    <row r="471" spans="18:18" ht="15.75" customHeight="1">
      <c r="R471" s="30"/>
    </row>
    <row r="472" spans="18:18" ht="15.75" customHeight="1">
      <c r="R472" s="30"/>
    </row>
    <row r="473" spans="18:18" ht="15.75" customHeight="1">
      <c r="R473" s="30"/>
    </row>
    <row r="474" spans="18:18" ht="15.75" customHeight="1">
      <c r="R474" s="30"/>
    </row>
    <row r="475" spans="18:18" ht="15.75" customHeight="1">
      <c r="R475" s="30"/>
    </row>
    <row r="476" spans="18:18" ht="15.75" customHeight="1">
      <c r="R476" s="30"/>
    </row>
    <row r="477" spans="18:18" ht="15.75" customHeight="1">
      <c r="R477" s="30"/>
    </row>
    <row r="478" spans="18:18" ht="15.75" customHeight="1">
      <c r="R478" s="30"/>
    </row>
    <row r="479" spans="18:18" ht="15.75" customHeight="1">
      <c r="R479" s="30"/>
    </row>
    <row r="480" spans="18:18" ht="15.75" customHeight="1">
      <c r="R480" s="30"/>
    </row>
    <row r="481" spans="18:18" ht="15.75" customHeight="1">
      <c r="R481" s="30"/>
    </row>
    <row r="482" spans="18:18" ht="15.75" customHeight="1">
      <c r="R482" s="30"/>
    </row>
    <row r="483" spans="18:18" ht="15.75" customHeight="1">
      <c r="R483" s="30"/>
    </row>
    <row r="484" spans="18:18" ht="15.75" customHeight="1">
      <c r="R484" s="30"/>
    </row>
    <row r="485" spans="18:18" ht="15.75" customHeight="1">
      <c r="R485" s="30"/>
    </row>
    <row r="486" spans="18:18" ht="15.75" customHeight="1">
      <c r="R486" s="30"/>
    </row>
    <row r="487" spans="18:18" ht="15.75" customHeight="1">
      <c r="R487" s="30"/>
    </row>
    <row r="488" spans="18:18" ht="15.75" customHeight="1">
      <c r="R488" s="30"/>
    </row>
    <row r="489" spans="18:18" ht="15.75" customHeight="1">
      <c r="R489" s="30"/>
    </row>
    <row r="490" spans="18:18" ht="15.75" customHeight="1">
      <c r="R490" s="30"/>
    </row>
    <row r="491" spans="18:18" ht="15.75" customHeight="1">
      <c r="R491" s="30"/>
    </row>
    <row r="492" spans="18:18" ht="15.75" customHeight="1">
      <c r="R492" s="30"/>
    </row>
    <row r="493" spans="18:18" ht="15.75" customHeight="1">
      <c r="R493" s="30"/>
    </row>
    <row r="494" spans="18:18" ht="15.75" customHeight="1">
      <c r="R494" s="30"/>
    </row>
    <row r="495" spans="18:18" ht="15.75" customHeight="1">
      <c r="R495" s="30"/>
    </row>
    <row r="496" spans="18:18" ht="15.75" customHeight="1">
      <c r="R496" s="30"/>
    </row>
    <row r="497" spans="18:18" ht="15.75" customHeight="1">
      <c r="R497" s="30"/>
    </row>
    <row r="498" spans="18:18" ht="15.75" customHeight="1">
      <c r="R498" s="30"/>
    </row>
    <row r="499" spans="18:18" ht="15.75" customHeight="1">
      <c r="R499" s="30"/>
    </row>
    <row r="500" spans="18:18" ht="15.75" customHeight="1">
      <c r="R500" s="30"/>
    </row>
    <row r="501" spans="18:18" ht="15.75" customHeight="1">
      <c r="R501" s="30"/>
    </row>
    <row r="502" spans="18:18" ht="15.75" customHeight="1">
      <c r="R502" s="30"/>
    </row>
    <row r="503" spans="18:18" ht="15.75" customHeight="1">
      <c r="R503" s="30"/>
    </row>
    <row r="504" spans="18:18" ht="15.75" customHeight="1">
      <c r="R504" s="30"/>
    </row>
    <row r="505" spans="18:18" ht="15.75" customHeight="1">
      <c r="R505" s="30"/>
    </row>
    <row r="506" spans="18:18" ht="15.75" customHeight="1">
      <c r="R506" s="30"/>
    </row>
    <row r="507" spans="18:18" ht="15.75" customHeight="1">
      <c r="R507" s="30"/>
    </row>
    <row r="508" spans="18:18" ht="15.75" customHeight="1">
      <c r="R508" s="30"/>
    </row>
    <row r="509" spans="18:18" ht="15.75" customHeight="1">
      <c r="R509" s="30"/>
    </row>
    <row r="510" spans="18:18" ht="15.75" customHeight="1">
      <c r="R510" s="30"/>
    </row>
    <row r="511" spans="18:18" ht="15.75" customHeight="1">
      <c r="R511" s="30"/>
    </row>
    <row r="512" spans="18:18" ht="15.75" customHeight="1">
      <c r="R512" s="30"/>
    </row>
    <row r="513" spans="18:18" ht="15.75" customHeight="1">
      <c r="R513" s="30"/>
    </row>
    <row r="514" spans="18:18" ht="15.75" customHeight="1">
      <c r="R514" s="30"/>
    </row>
    <row r="515" spans="18:18" ht="15.75" customHeight="1">
      <c r="R515" s="30"/>
    </row>
    <row r="516" spans="18:18" ht="15.75" customHeight="1">
      <c r="R516" s="30"/>
    </row>
    <row r="517" spans="18:18" ht="15.75" customHeight="1">
      <c r="R517" s="30"/>
    </row>
    <row r="518" spans="18:18" ht="15.75" customHeight="1">
      <c r="R518" s="30"/>
    </row>
    <row r="519" spans="18:18" ht="15.75" customHeight="1">
      <c r="R519" s="30"/>
    </row>
    <row r="520" spans="18:18" ht="15.75" customHeight="1">
      <c r="R520" s="30"/>
    </row>
    <row r="521" spans="18:18" ht="15.75" customHeight="1">
      <c r="R521" s="30"/>
    </row>
    <row r="522" spans="18:18" ht="15.75" customHeight="1">
      <c r="R522" s="30"/>
    </row>
    <row r="523" spans="18:18" ht="15.75" customHeight="1">
      <c r="R523" s="30"/>
    </row>
    <row r="524" spans="18:18" ht="15.75" customHeight="1">
      <c r="R524" s="30"/>
    </row>
    <row r="525" spans="18:18" ht="15.75" customHeight="1">
      <c r="R525" s="30"/>
    </row>
    <row r="526" spans="18:18" ht="15.75" customHeight="1">
      <c r="R526" s="30"/>
    </row>
    <row r="527" spans="18:18" ht="15.75" customHeight="1">
      <c r="R527" s="30"/>
    </row>
    <row r="528" spans="18:18" ht="15.75" customHeight="1">
      <c r="R528" s="30"/>
    </row>
    <row r="529" spans="18:18" ht="15.75" customHeight="1">
      <c r="R529" s="30"/>
    </row>
    <row r="530" spans="18:18" ht="15.75" customHeight="1">
      <c r="R530" s="30"/>
    </row>
    <row r="531" spans="18:18" ht="15.75" customHeight="1">
      <c r="R531" s="30"/>
    </row>
    <row r="532" spans="18:18" ht="15.75" customHeight="1">
      <c r="R532" s="30"/>
    </row>
    <row r="533" spans="18:18" ht="15.75" customHeight="1">
      <c r="R533" s="30"/>
    </row>
    <row r="534" spans="18:18" ht="15.75" customHeight="1">
      <c r="R534" s="30"/>
    </row>
    <row r="535" spans="18:18" ht="15.75" customHeight="1">
      <c r="R535" s="30"/>
    </row>
    <row r="536" spans="18:18" ht="15.75" customHeight="1">
      <c r="R536" s="30"/>
    </row>
    <row r="537" spans="18:18" ht="15.75" customHeight="1">
      <c r="R537" s="30"/>
    </row>
    <row r="538" spans="18:18" ht="15.75" customHeight="1">
      <c r="R538" s="30"/>
    </row>
    <row r="539" spans="18:18" ht="15.75" customHeight="1">
      <c r="R539" s="30"/>
    </row>
    <row r="540" spans="18:18" ht="15.75" customHeight="1">
      <c r="R540" s="30"/>
    </row>
    <row r="541" spans="18:18" ht="15.75" customHeight="1">
      <c r="R541" s="30"/>
    </row>
    <row r="542" spans="18:18" ht="15.75" customHeight="1">
      <c r="R542" s="30"/>
    </row>
    <row r="543" spans="18:18" ht="15.75" customHeight="1">
      <c r="R543" s="30"/>
    </row>
    <row r="544" spans="18:18" ht="15.75" customHeight="1">
      <c r="R544" s="30"/>
    </row>
    <row r="545" spans="18:18" ht="15.75" customHeight="1">
      <c r="R545" s="30"/>
    </row>
    <row r="546" spans="18:18" ht="15.75" customHeight="1">
      <c r="R546" s="30"/>
    </row>
    <row r="547" spans="18:18" ht="15.75" customHeight="1">
      <c r="R547" s="30"/>
    </row>
    <row r="548" spans="18:18" ht="15.75" customHeight="1">
      <c r="R548" s="30"/>
    </row>
    <row r="549" spans="18:18" ht="15.75" customHeight="1">
      <c r="R549" s="30"/>
    </row>
    <row r="550" spans="18:18" ht="15.75" customHeight="1">
      <c r="R550" s="30"/>
    </row>
    <row r="551" spans="18:18" ht="15.75" customHeight="1">
      <c r="R551" s="30"/>
    </row>
    <row r="552" spans="18:18" ht="15.75" customHeight="1">
      <c r="R552" s="30"/>
    </row>
    <row r="553" spans="18:18" ht="15.75" customHeight="1">
      <c r="R553" s="30"/>
    </row>
    <row r="554" spans="18:18" ht="15.75" customHeight="1">
      <c r="R554" s="30"/>
    </row>
    <row r="555" spans="18:18" ht="15.75" customHeight="1">
      <c r="R555" s="30"/>
    </row>
    <row r="556" spans="18:18" ht="15.75" customHeight="1">
      <c r="R556" s="30"/>
    </row>
    <row r="557" spans="18:18" ht="15.75" customHeight="1">
      <c r="R557" s="30"/>
    </row>
    <row r="558" spans="18:18" ht="15.75" customHeight="1">
      <c r="R558" s="30"/>
    </row>
    <row r="559" spans="18:18" ht="15.75" customHeight="1">
      <c r="R559" s="30"/>
    </row>
    <row r="560" spans="18:18" ht="15.75" customHeight="1">
      <c r="R560" s="30"/>
    </row>
    <row r="561" spans="18:18" ht="15.75" customHeight="1">
      <c r="R561" s="30"/>
    </row>
    <row r="562" spans="18:18" ht="15.75" customHeight="1">
      <c r="R562" s="30"/>
    </row>
    <row r="563" spans="18:18" ht="15.75" customHeight="1">
      <c r="R563" s="30"/>
    </row>
    <row r="564" spans="18:18" ht="15.75" customHeight="1">
      <c r="R564" s="30"/>
    </row>
    <row r="565" spans="18:18" ht="15.75" customHeight="1">
      <c r="R565" s="30"/>
    </row>
    <row r="566" spans="18:18" ht="15.75" customHeight="1">
      <c r="R566" s="30"/>
    </row>
    <row r="567" spans="18:18" ht="15.75" customHeight="1">
      <c r="R567" s="30"/>
    </row>
    <row r="568" spans="18:18" ht="15.75" customHeight="1">
      <c r="R568" s="30"/>
    </row>
    <row r="569" spans="18:18" ht="15.75" customHeight="1">
      <c r="R569" s="30"/>
    </row>
    <row r="570" spans="18:18" ht="15.75" customHeight="1">
      <c r="R570" s="30"/>
    </row>
    <row r="571" spans="18:18" ht="15.75" customHeight="1">
      <c r="R571" s="30"/>
    </row>
    <row r="572" spans="18:18" ht="15.75" customHeight="1">
      <c r="R572" s="30"/>
    </row>
    <row r="573" spans="18:18" ht="15.75" customHeight="1">
      <c r="R573" s="30"/>
    </row>
    <row r="574" spans="18:18" ht="15.75" customHeight="1">
      <c r="R574" s="30"/>
    </row>
    <row r="575" spans="18:18" ht="15.75" customHeight="1">
      <c r="R575" s="30"/>
    </row>
    <row r="576" spans="18:18" ht="15.75" customHeight="1">
      <c r="R576" s="30"/>
    </row>
    <row r="577" spans="18:18" ht="15.75" customHeight="1">
      <c r="R577" s="30"/>
    </row>
    <row r="578" spans="18:18" ht="15.75" customHeight="1">
      <c r="R578" s="30"/>
    </row>
    <row r="579" spans="18:18" ht="15.75" customHeight="1">
      <c r="R579" s="30"/>
    </row>
    <row r="580" spans="18:18" ht="15.75" customHeight="1">
      <c r="R580" s="30"/>
    </row>
    <row r="581" spans="18:18" ht="15.75" customHeight="1">
      <c r="R581" s="30"/>
    </row>
    <row r="582" spans="18:18" ht="15.75" customHeight="1">
      <c r="R582" s="30"/>
    </row>
    <row r="583" spans="18:18" ht="15.75" customHeight="1">
      <c r="R583" s="30"/>
    </row>
    <row r="584" spans="18:18" ht="15.75" customHeight="1">
      <c r="R584" s="30"/>
    </row>
    <row r="585" spans="18:18" ht="15.75" customHeight="1">
      <c r="R585" s="30"/>
    </row>
    <row r="586" spans="18:18" ht="15.75" customHeight="1">
      <c r="R586" s="30"/>
    </row>
    <row r="587" spans="18:18" ht="15.75" customHeight="1">
      <c r="R587" s="30"/>
    </row>
    <row r="588" spans="18:18" ht="15.75" customHeight="1">
      <c r="R588" s="30"/>
    </row>
    <row r="589" spans="18:18" ht="15.75" customHeight="1">
      <c r="R589" s="30"/>
    </row>
    <row r="590" spans="18:18" ht="15.75" customHeight="1">
      <c r="R590" s="30"/>
    </row>
    <row r="591" spans="18:18" ht="15.75" customHeight="1">
      <c r="R591" s="30"/>
    </row>
    <row r="592" spans="18:18" ht="15.75" customHeight="1">
      <c r="R592" s="30"/>
    </row>
    <row r="593" spans="18:18" ht="15.75" customHeight="1">
      <c r="R593" s="30"/>
    </row>
    <row r="594" spans="18:18" ht="15.75" customHeight="1">
      <c r="R594" s="30"/>
    </row>
    <row r="595" spans="18:18" ht="15.75" customHeight="1">
      <c r="R595" s="30"/>
    </row>
    <row r="596" spans="18:18" ht="15.75" customHeight="1">
      <c r="R596" s="30"/>
    </row>
    <row r="597" spans="18:18" ht="15.75" customHeight="1">
      <c r="R597" s="30"/>
    </row>
    <row r="598" spans="18:18" ht="15.75" customHeight="1">
      <c r="R598" s="30"/>
    </row>
    <row r="599" spans="18:18" ht="15.75" customHeight="1">
      <c r="R599" s="30"/>
    </row>
    <row r="600" spans="18:18" ht="15.75" customHeight="1">
      <c r="R600" s="30"/>
    </row>
    <row r="601" spans="18:18" ht="15.75" customHeight="1">
      <c r="R601" s="30"/>
    </row>
    <row r="602" spans="18:18" ht="15.75" customHeight="1">
      <c r="R602" s="30"/>
    </row>
    <row r="603" spans="18:18" ht="15.75" customHeight="1">
      <c r="R603" s="30"/>
    </row>
    <row r="604" spans="18:18" ht="15.75" customHeight="1">
      <c r="R604" s="30"/>
    </row>
    <row r="605" spans="18:18" ht="15.75" customHeight="1">
      <c r="R605" s="30"/>
    </row>
    <row r="606" spans="18:18" ht="15.75" customHeight="1">
      <c r="R606" s="30"/>
    </row>
    <row r="607" spans="18:18" ht="15.75" customHeight="1">
      <c r="R607" s="30"/>
    </row>
    <row r="608" spans="18:18" ht="15.75" customHeight="1">
      <c r="R608" s="30"/>
    </row>
    <row r="609" spans="18:18" ht="15.75" customHeight="1">
      <c r="R609" s="30"/>
    </row>
    <row r="610" spans="18:18" ht="15.75" customHeight="1">
      <c r="R610" s="30"/>
    </row>
    <row r="611" spans="18:18" ht="15.75" customHeight="1">
      <c r="R611" s="30"/>
    </row>
    <row r="612" spans="18:18" ht="15.75" customHeight="1">
      <c r="R612" s="30"/>
    </row>
    <row r="613" spans="18:18" ht="15.75" customHeight="1">
      <c r="R613" s="30"/>
    </row>
    <row r="614" spans="18:18" ht="15.75" customHeight="1">
      <c r="R614" s="30"/>
    </row>
    <row r="615" spans="18:18" ht="15.75" customHeight="1">
      <c r="R615" s="30"/>
    </row>
    <row r="616" spans="18:18" ht="15.75" customHeight="1">
      <c r="R616" s="30"/>
    </row>
    <row r="617" spans="18:18" ht="15.75" customHeight="1">
      <c r="R617" s="30"/>
    </row>
    <row r="618" spans="18:18" ht="15.75" customHeight="1">
      <c r="R618" s="30"/>
    </row>
    <row r="619" spans="18:18" ht="15.75" customHeight="1">
      <c r="R619" s="30"/>
    </row>
    <row r="620" spans="18:18" ht="15.75" customHeight="1">
      <c r="R620" s="30"/>
    </row>
    <row r="621" spans="18:18" ht="15.75" customHeight="1">
      <c r="R621" s="30"/>
    </row>
    <row r="622" spans="18:18" ht="15.75" customHeight="1">
      <c r="R622" s="30"/>
    </row>
    <row r="623" spans="18:18" ht="15.75" customHeight="1">
      <c r="R623" s="30"/>
    </row>
    <row r="624" spans="18:18" ht="15.75" customHeight="1">
      <c r="R624" s="30"/>
    </row>
    <row r="625" spans="18:18" ht="15.75" customHeight="1">
      <c r="R625" s="30"/>
    </row>
    <row r="626" spans="18:18" ht="15.75" customHeight="1">
      <c r="R626" s="30"/>
    </row>
    <row r="627" spans="18:18" ht="15.75" customHeight="1">
      <c r="R627" s="30"/>
    </row>
    <row r="628" spans="18:18" ht="15.75" customHeight="1">
      <c r="R628" s="30"/>
    </row>
    <row r="629" spans="18:18" ht="15.75" customHeight="1">
      <c r="R629" s="30"/>
    </row>
    <row r="630" spans="18:18" ht="15.75" customHeight="1">
      <c r="R630" s="30"/>
    </row>
    <row r="631" spans="18:18" ht="15.75" customHeight="1">
      <c r="R631" s="30"/>
    </row>
    <row r="632" spans="18:18" ht="15.75" customHeight="1">
      <c r="R632" s="30"/>
    </row>
    <row r="633" spans="18:18" ht="15.75" customHeight="1">
      <c r="R633" s="30"/>
    </row>
    <row r="634" spans="18:18" ht="15.75" customHeight="1">
      <c r="R634" s="30"/>
    </row>
    <row r="635" spans="18:18" ht="15.75" customHeight="1">
      <c r="R635" s="30"/>
    </row>
    <row r="636" spans="18:18" ht="15.75" customHeight="1">
      <c r="R636" s="30"/>
    </row>
    <row r="637" spans="18:18" ht="15.75" customHeight="1">
      <c r="R637" s="30"/>
    </row>
    <row r="638" spans="18:18" ht="15.75" customHeight="1">
      <c r="R638" s="30"/>
    </row>
    <row r="639" spans="18:18" ht="15.75" customHeight="1">
      <c r="R639" s="30"/>
    </row>
    <row r="640" spans="18:18" ht="15.75" customHeight="1">
      <c r="R640" s="30"/>
    </row>
    <row r="641" spans="18:18" ht="15.75" customHeight="1">
      <c r="R641" s="30"/>
    </row>
    <row r="642" spans="18:18" ht="15.75" customHeight="1">
      <c r="R642" s="30"/>
    </row>
    <row r="643" spans="18:18" ht="15.75" customHeight="1">
      <c r="R643" s="30"/>
    </row>
    <row r="644" spans="18:18" ht="15.75" customHeight="1">
      <c r="R644" s="30"/>
    </row>
    <row r="645" spans="18:18" ht="15.75" customHeight="1">
      <c r="R645" s="30"/>
    </row>
    <row r="646" spans="18:18" ht="15.75" customHeight="1">
      <c r="R646" s="30"/>
    </row>
    <row r="647" spans="18:18" ht="15.75" customHeight="1">
      <c r="R647" s="30"/>
    </row>
    <row r="648" spans="18:18" ht="15.75" customHeight="1">
      <c r="R648" s="30"/>
    </row>
    <row r="649" spans="18:18" ht="15.75" customHeight="1">
      <c r="R649" s="30"/>
    </row>
    <row r="650" spans="18:18" ht="15.75" customHeight="1">
      <c r="R650" s="30"/>
    </row>
    <row r="651" spans="18:18" ht="15.75" customHeight="1">
      <c r="R651" s="30"/>
    </row>
    <row r="652" spans="18:18" ht="15.75" customHeight="1">
      <c r="R652" s="30"/>
    </row>
    <row r="653" spans="18:18" ht="15.75" customHeight="1">
      <c r="R653" s="30"/>
    </row>
    <row r="654" spans="18:18" ht="15.75" customHeight="1">
      <c r="R654" s="30"/>
    </row>
    <row r="655" spans="18:18" ht="15.75" customHeight="1">
      <c r="R655" s="30"/>
    </row>
    <row r="656" spans="18:18" ht="15.75" customHeight="1">
      <c r="R656" s="30"/>
    </row>
    <row r="657" spans="18:18" ht="15.75" customHeight="1">
      <c r="R657" s="30"/>
    </row>
    <row r="658" spans="18:18" ht="15.75" customHeight="1">
      <c r="R658" s="30"/>
    </row>
    <row r="659" spans="18:18" ht="15.75" customHeight="1">
      <c r="R659" s="30"/>
    </row>
    <row r="660" spans="18:18" ht="15.75" customHeight="1">
      <c r="R660" s="30"/>
    </row>
    <row r="661" spans="18:18" ht="15.75" customHeight="1">
      <c r="R661" s="30"/>
    </row>
    <row r="662" spans="18:18" ht="15.75" customHeight="1">
      <c r="R662" s="30"/>
    </row>
    <row r="663" spans="18:18" ht="15.75" customHeight="1">
      <c r="R663" s="30"/>
    </row>
    <row r="664" spans="18:18" ht="15.75" customHeight="1">
      <c r="R664" s="30"/>
    </row>
    <row r="665" spans="18:18" ht="15.75" customHeight="1">
      <c r="R665" s="30"/>
    </row>
    <row r="666" spans="18:18" ht="15.75" customHeight="1">
      <c r="R666" s="30"/>
    </row>
    <row r="667" spans="18:18" ht="15.75" customHeight="1">
      <c r="R667" s="30"/>
    </row>
    <row r="668" spans="18:18" ht="15.75" customHeight="1">
      <c r="R668" s="30"/>
    </row>
    <row r="669" spans="18:18" ht="15.75" customHeight="1">
      <c r="R669" s="30"/>
    </row>
    <row r="670" spans="18:18" ht="15.75" customHeight="1">
      <c r="R670" s="30"/>
    </row>
    <row r="671" spans="18:18" ht="15.75" customHeight="1">
      <c r="R671" s="30"/>
    </row>
    <row r="672" spans="18:18" ht="15.75" customHeight="1">
      <c r="R672" s="30"/>
    </row>
    <row r="673" spans="18:18" ht="15.75" customHeight="1">
      <c r="R673" s="30"/>
    </row>
    <row r="674" spans="18:18" ht="15.75" customHeight="1">
      <c r="R674" s="30"/>
    </row>
    <row r="675" spans="18:18" ht="15.75" customHeight="1">
      <c r="R675" s="30"/>
    </row>
    <row r="676" spans="18:18" ht="15.75" customHeight="1">
      <c r="R676" s="30"/>
    </row>
    <row r="677" spans="18:18" ht="15.75" customHeight="1">
      <c r="R677" s="30"/>
    </row>
    <row r="678" spans="18:18" ht="15.75" customHeight="1">
      <c r="R678" s="30"/>
    </row>
    <row r="679" spans="18:18" ht="15.75" customHeight="1">
      <c r="R679" s="30"/>
    </row>
    <row r="680" spans="18:18" ht="15.75" customHeight="1">
      <c r="R680" s="30"/>
    </row>
    <row r="681" spans="18:18" ht="15.75" customHeight="1">
      <c r="R681" s="30"/>
    </row>
    <row r="682" spans="18:18" ht="15.75" customHeight="1">
      <c r="R682" s="30"/>
    </row>
    <row r="683" spans="18:18" ht="15.75" customHeight="1">
      <c r="R683" s="30"/>
    </row>
    <row r="684" spans="18:18" ht="15.75" customHeight="1">
      <c r="R684" s="30"/>
    </row>
    <row r="685" spans="18:18" ht="15.75" customHeight="1">
      <c r="R685" s="30"/>
    </row>
    <row r="686" spans="18:18" ht="15.75" customHeight="1">
      <c r="R686" s="30"/>
    </row>
    <row r="687" spans="18:18" ht="15.75" customHeight="1">
      <c r="R687" s="30"/>
    </row>
    <row r="688" spans="18:18" ht="15.75" customHeight="1">
      <c r="R688" s="30"/>
    </row>
    <row r="689" spans="18:18" ht="15.75" customHeight="1">
      <c r="R689" s="30"/>
    </row>
    <row r="690" spans="18:18" ht="15.75" customHeight="1">
      <c r="R690" s="30"/>
    </row>
    <row r="691" spans="18:18" ht="15.75" customHeight="1">
      <c r="R691" s="30"/>
    </row>
    <row r="692" spans="18:18" ht="15.75" customHeight="1">
      <c r="R692" s="30"/>
    </row>
    <row r="693" spans="18:18" ht="15.75" customHeight="1">
      <c r="R693" s="30"/>
    </row>
    <row r="694" spans="18:18" ht="15.75" customHeight="1">
      <c r="R694" s="30"/>
    </row>
    <row r="695" spans="18:18" ht="15.75" customHeight="1">
      <c r="R695" s="30"/>
    </row>
    <row r="696" spans="18:18" ht="15.75" customHeight="1">
      <c r="R696" s="30"/>
    </row>
    <row r="697" spans="18:18" ht="15.75" customHeight="1">
      <c r="R697" s="30"/>
    </row>
    <row r="698" spans="18:18" ht="15.75" customHeight="1">
      <c r="R698" s="30"/>
    </row>
    <row r="699" spans="18:18" ht="15.75" customHeight="1">
      <c r="R699" s="30"/>
    </row>
    <row r="700" spans="18:18" ht="15.75" customHeight="1">
      <c r="R700" s="30"/>
    </row>
    <row r="701" spans="18:18" ht="15.75" customHeight="1">
      <c r="R701" s="30"/>
    </row>
    <row r="702" spans="18:18" ht="15.75" customHeight="1">
      <c r="R702" s="30"/>
    </row>
    <row r="703" spans="18:18" ht="15.75" customHeight="1">
      <c r="R703" s="30"/>
    </row>
    <row r="704" spans="18:18" ht="15.75" customHeight="1">
      <c r="R704" s="30"/>
    </row>
    <row r="705" spans="18:18" ht="15.75" customHeight="1">
      <c r="R705" s="30"/>
    </row>
    <row r="706" spans="18:18" ht="15.75" customHeight="1">
      <c r="R706" s="30"/>
    </row>
    <row r="707" spans="18:18" ht="15.75" customHeight="1">
      <c r="R707" s="30"/>
    </row>
    <row r="708" spans="18:18" ht="15.75" customHeight="1">
      <c r="R708" s="30"/>
    </row>
    <row r="709" spans="18:18" ht="15.75" customHeight="1">
      <c r="R709" s="30"/>
    </row>
    <row r="710" spans="18:18" ht="15.75" customHeight="1">
      <c r="R710" s="30"/>
    </row>
    <row r="711" spans="18:18" ht="15.75" customHeight="1">
      <c r="R711" s="30"/>
    </row>
    <row r="712" spans="18:18" ht="15.75" customHeight="1">
      <c r="R712" s="30"/>
    </row>
    <row r="713" spans="18:18" ht="15.75" customHeight="1">
      <c r="R713" s="30"/>
    </row>
    <row r="714" spans="18:18" ht="15.75" customHeight="1">
      <c r="R714" s="30"/>
    </row>
    <row r="715" spans="18:18" ht="15.75" customHeight="1">
      <c r="R715" s="30"/>
    </row>
    <row r="716" spans="18:18" ht="15.75" customHeight="1">
      <c r="R716" s="30"/>
    </row>
    <row r="717" spans="18:18" ht="15.75" customHeight="1">
      <c r="R717" s="30"/>
    </row>
    <row r="718" spans="18:18" ht="15.75" customHeight="1">
      <c r="R718" s="30"/>
    </row>
    <row r="719" spans="18:18" ht="15.75" customHeight="1">
      <c r="R719" s="30"/>
    </row>
    <row r="720" spans="18:18" ht="15.75" customHeight="1">
      <c r="R720" s="30"/>
    </row>
    <row r="721" spans="18:18" ht="15.75" customHeight="1">
      <c r="R721" s="30"/>
    </row>
    <row r="722" spans="18:18" ht="15.75" customHeight="1">
      <c r="R722" s="30"/>
    </row>
    <row r="723" spans="18:18" ht="15.75" customHeight="1">
      <c r="R723" s="30"/>
    </row>
    <row r="724" spans="18:18" ht="15.75" customHeight="1">
      <c r="R724" s="30"/>
    </row>
    <row r="725" spans="18:18" ht="15.75" customHeight="1">
      <c r="R725" s="30"/>
    </row>
    <row r="726" spans="18:18" ht="15.75" customHeight="1">
      <c r="R726" s="30"/>
    </row>
    <row r="727" spans="18:18" ht="15.75" customHeight="1">
      <c r="R727" s="30"/>
    </row>
    <row r="728" spans="18:18" ht="15.75" customHeight="1">
      <c r="R728" s="30"/>
    </row>
    <row r="729" spans="18:18" ht="15.75" customHeight="1">
      <c r="R729" s="30"/>
    </row>
    <row r="730" spans="18:18" ht="15.75" customHeight="1">
      <c r="R730" s="30"/>
    </row>
    <row r="731" spans="18:18" ht="15.75" customHeight="1">
      <c r="R731" s="30"/>
    </row>
    <row r="732" spans="18:18" ht="15.75" customHeight="1">
      <c r="R732" s="30"/>
    </row>
    <row r="733" spans="18:18" ht="15.75" customHeight="1">
      <c r="R733" s="30"/>
    </row>
    <row r="734" spans="18:18" ht="15.75" customHeight="1">
      <c r="R734" s="30"/>
    </row>
    <row r="735" spans="18:18" ht="15.75" customHeight="1">
      <c r="R735" s="30"/>
    </row>
    <row r="736" spans="18:18" ht="15.75" customHeight="1">
      <c r="R736" s="30"/>
    </row>
    <row r="737" spans="18:18" ht="15.75" customHeight="1">
      <c r="R737" s="30"/>
    </row>
    <row r="738" spans="18:18" ht="15.75" customHeight="1">
      <c r="R738" s="30"/>
    </row>
    <row r="739" spans="18:18" ht="15.75" customHeight="1">
      <c r="R739" s="30"/>
    </row>
    <row r="740" spans="18:18" ht="15.75" customHeight="1">
      <c r="R740" s="30"/>
    </row>
    <row r="741" spans="18:18" ht="15.75" customHeight="1">
      <c r="R741" s="30"/>
    </row>
    <row r="742" spans="18:18" ht="15.75" customHeight="1">
      <c r="R742" s="30"/>
    </row>
    <row r="743" spans="18:18" ht="15.75" customHeight="1">
      <c r="R743" s="30"/>
    </row>
    <row r="744" spans="18:18" ht="15.75" customHeight="1">
      <c r="R744" s="30"/>
    </row>
    <row r="745" spans="18:18" ht="15.75" customHeight="1">
      <c r="R745" s="30"/>
    </row>
    <row r="746" spans="18:18" ht="15.75" customHeight="1">
      <c r="R746" s="30"/>
    </row>
    <row r="747" spans="18:18" ht="15.75" customHeight="1">
      <c r="R747" s="30"/>
    </row>
    <row r="748" spans="18:18" ht="15.75" customHeight="1">
      <c r="R748" s="30"/>
    </row>
    <row r="749" spans="18:18" ht="15.75" customHeight="1">
      <c r="R749" s="30"/>
    </row>
    <row r="750" spans="18:18" ht="15.75" customHeight="1">
      <c r="R750" s="30"/>
    </row>
    <row r="751" spans="18:18" ht="15.75" customHeight="1">
      <c r="R751" s="30"/>
    </row>
    <row r="752" spans="18:18" ht="15.75" customHeight="1">
      <c r="R752" s="30"/>
    </row>
    <row r="753" spans="18:18" ht="15.75" customHeight="1">
      <c r="R753" s="30"/>
    </row>
    <row r="754" spans="18:18" ht="15.75" customHeight="1">
      <c r="R754" s="30"/>
    </row>
    <row r="755" spans="18:18" ht="15.75" customHeight="1">
      <c r="R755" s="30"/>
    </row>
    <row r="756" spans="18:18" ht="15.75" customHeight="1">
      <c r="R756" s="30"/>
    </row>
    <row r="757" spans="18:18" ht="15.75" customHeight="1">
      <c r="R757" s="30"/>
    </row>
    <row r="758" spans="18:18" ht="15.75" customHeight="1">
      <c r="R758" s="30"/>
    </row>
    <row r="759" spans="18:18" ht="15.75" customHeight="1">
      <c r="R759" s="30"/>
    </row>
    <row r="760" spans="18:18" ht="15.75" customHeight="1">
      <c r="R760" s="30"/>
    </row>
    <row r="761" spans="18:18" ht="15.75" customHeight="1">
      <c r="R761" s="30"/>
    </row>
    <row r="762" spans="18:18" ht="15.75" customHeight="1">
      <c r="R762" s="30"/>
    </row>
    <row r="763" spans="18:18" ht="15.75" customHeight="1">
      <c r="R763" s="30"/>
    </row>
    <row r="764" spans="18:18" ht="15.75" customHeight="1">
      <c r="R764" s="30"/>
    </row>
    <row r="765" spans="18:18" ht="15.75" customHeight="1">
      <c r="R765" s="30"/>
    </row>
    <row r="766" spans="18:18" ht="15.75" customHeight="1">
      <c r="R766" s="30"/>
    </row>
    <row r="767" spans="18:18" ht="15.75" customHeight="1">
      <c r="R767" s="30"/>
    </row>
    <row r="768" spans="18:18" ht="15.75" customHeight="1">
      <c r="R768" s="30"/>
    </row>
    <row r="769" spans="18:18" ht="15.75" customHeight="1">
      <c r="R769" s="30"/>
    </row>
    <row r="770" spans="18:18" ht="15.75" customHeight="1">
      <c r="R770" s="30"/>
    </row>
    <row r="771" spans="18:18" ht="15.75" customHeight="1">
      <c r="R771" s="30"/>
    </row>
    <row r="772" spans="18:18" ht="15.75" customHeight="1">
      <c r="R772" s="30"/>
    </row>
    <row r="773" spans="18:18" ht="15.75" customHeight="1">
      <c r="R773" s="30"/>
    </row>
    <row r="774" spans="18:18" ht="15.75" customHeight="1">
      <c r="R774" s="30"/>
    </row>
    <row r="775" spans="18:18" ht="15.75" customHeight="1">
      <c r="R775" s="30"/>
    </row>
    <row r="776" spans="18:18" ht="15.75" customHeight="1">
      <c r="R776" s="30"/>
    </row>
    <row r="777" spans="18:18" ht="15.75" customHeight="1">
      <c r="R777" s="30"/>
    </row>
    <row r="778" spans="18:18" ht="15.75" customHeight="1">
      <c r="R778" s="30"/>
    </row>
    <row r="779" spans="18:18" ht="15.75" customHeight="1">
      <c r="R779" s="30"/>
    </row>
    <row r="780" spans="18:18" ht="15.75" customHeight="1">
      <c r="R780" s="30"/>
    </row>
    <row r="781" spans="18:18" ht="15.75" customHeight="1">
      <c r="R781" s="30"/>
    </row>
    <row r="782" spans="18:18" ht="15.75" customHeight="1">
      <c r="R782" s="30"/>
    </row>
    <row r="783" spans="18:18" ht="15.75" customHeight="1">
      <c r="R783" s="30"/>
    </row>
    <row r="784" spans="18:18" ht="15.75" customHeight="1">
      <c r="R784" s="30"/>
    </row>
    <row r="785" spans="18:18" ht="15.75" customHeight="1">
      <c r="R785" s="30"/>
    </row>
    <row r="786" spans="18:18" ht="15.75" customHeight="1">
      <c r="R786" s="30"/>
    </row>
    <row r="787" spans="18:18" ht="15.75" customHeight="1">
      <c r="R787" s="30"/>
    </row>
    <row r="788" spans="18:18" ht="15.75" customHeight="1">
      <c r="R788" s="30"/>
    </row>
    <row r="789" spans="18:18" ht="15.75" customHeight="1">
      <c r="R789" s="30"/>
    </row>
    <row r="790" spans="18:18" ht="15.75" customHeight="1">
      <c r="R790" s="30"/>
    </row>
    <row r="791" spans="18:18" ht="15.75" customHeight="1">
      <c r="R791" s="30"/>
    </row>
    <row r="792" spans="18:18" ht="15.75" customHeight="1">
      <c r="R792" s="30"/>
    </row>
    <row r="793" spans="18:18" ht="15.75" customHeight="1">
      <c r="R793" s="30"/>
    </row>
    <row r="794" spans="18:18" ht="15.75" customHeight="1">
      <c r="R794" s="30"/>
    </row>
    <row r="795" spans="18:18" ht="15.75" customHeight="1">
      <c r="R795" s="30"/>
    </row>
    <row r="796" spans="18:18" ht="15.75" customHeight="1">
      <c r="R796" s="30"/>
    </row>
    <row r="797" spans="18:18" ht="15.75" customHeight="1">
      <c r="R797" s="30"/>
    </row>
    <row r="798" spans="18:18" ht="15.75" customHeight="1">
      <c r="R798" s="30"/>
    </row>
    <row r="799" spans="18:18" ht="15.75" customHeight="1">
      <c r="R799" s="30"/>
    </row>
    <row r="800" spans="18:18" ht="15.75" customHeight="1">
      <c r="R800" s="30"/>
    </row>
    <row r="801" spans="18:18" ht="15.75" customHeight="1">
      <c r="R801" s="30"/>
    </row>
    <row r="802" spans="18:18" ht="15.75" customHeight="1">
      <c r="R802" s="30"/>
    </row>
    <row r="803" spans="18:18" ht="15.75" customHeight="1">
      <c r="R803" s="30"/>
    </row>
    <row r="804" spans="18:18" ht="15.75" customHeight="1">
      <c r="R804" s="30"/>
    </row>
    <row r="805" spans="18:18" ht="15.75" customHeight="1">
      <c r="R805" s="30"/>
    </row>
    <row r="806" spans="18:18" ht="15.75" customHeight="1">
      <c r="R806" s="30"/>
    </row>
    <row r="807" spans="18:18" ht="15.75" customHeight="1">
      <c r="R807" s="30"/>
    </row>
    <row r="808" spans="18:18" ht="15.75" customHeight="1">
      <c r="R808" s="30"/>
    </row>
    <row r="809" spans="18:18" ht="15.75" customHeight="1">
      <c r="R809" s="30"/>
    </row>
    <row r="810" spans="18:18" ht="15.75" customHeight="1">
      <c r="R810" s="30"/>
    </row>
    <row r="811" spans="18:18" ht="15.75" customHeight="1">
      <c r="R811" s="30"/>
    </row>
    <row r="812" spans="18:18" ht="15.75" customHeight="1">
      <c r="R812" s="30"/>
    </row>
    <row r="813" spans="18:18" ht="15.75" customHeight="1">
      <c r="R813" s="30"/>
    </row>
    <row r="814" spans="18:18" ht="15.75" customHeight="1">
      <c r="R814" s="30"/>
    </row>
    <row r="815" spans="18:18" ht="15.75" customHeight="1">
      <c r="R815" s="30"/>
    </row>
    <row r="816" spans="18:18" ht="15.75" customHeight="1">
      <c r="R816" s="30"/>
    </row>
    <row r="817" spans="18:18" ht="15.75" customHeight="1">
      <c r="R817" s="30"/>
    </row>
    <row r="818" spans="18:18" ht="15.75" customHeight="1">
      <c r="R818" s="30"/>
    </row>
    <row r="819" spans="18:18" ht="15.75" customHeight="1">
      <c r="R819" s="30"/>
    </row>
    <row r="820" spans="18:18" ht="15.75" customHeight="1">
      <c r="R820" s="30"/>
    </row>
    <row r="821" spans="18:18" ht="15.75" customHeight="1">
      <c r="R821" s="30"/>
    </row>
    <row r="822" spans="18:18" ht="15.75" customHeight="1">
      <c r="R822" s="30"/>
    </row>
    <row r="823" spans="18:18" ht="15.75" customHeight="1">
      <c r="R823" s="30"/>
    </row>
    <row r="824" spans="18:18" ht="15.75" customHeight="1">
      <c r="R824" s="30"/>
    </row>
    <row r="825" spans="18:18" ht="15.75" customHeight="1">
      <c r="R825" s="30"/>
    </row>
    <row r="826" spans="18:18" ht="15.75" customHeight="1">
      <c r="R826" s="30"/>
    </row>
    <row r="827" spans="18:18" ht="15.75" customHeight="1">
      <c r="R827" s="30"/>
    </row>
    <row r="828" spans="18:18" ht="15.75" customHeight="1">
      <c r="R828" s="30"/>
    </row>
    <row r="829" spans="18:18" ht="15.75" customHeight="1">
      <c r="R829" s="30"/>
    </row>
    <row r="830" spans="18:18" ht="15.75" customHeight="1">
      <c r="R830" s="30"/>
    </row>
    <row r="831" spans="18:18" ht="15.75" customHeight="1">
      <c r="R831" s="30"/>
    </row>
    <row r="832" spans="18:18" ht="15.75" customHeight="1">
      <c r="R832" s="30"/>
    </row>
    <row r="833" spans="18:18" ht="15.75" customHeight="1">
      <c r="R833" s="30"/>
    </row>
    <row r="834" spans="18:18" ht="15.75" customHeight="1">
      <c r="R834" s="30"/>
    </row>
    <row r="835" spans="18:18" ht="15.75" customHeight="1">
      <c r="R835" s="30"/>
    </row>
    <row r="836" spans="18:18" ht="15.75" customHeight="1">
      <c r="R836" s="30"/>
    </row>
    <row r="837" spans="18:18" ht="15.75" customHeight="1">
      <c r="R837" s="30"/>
    </row>
    <row r="838" spans="18:18" ht="15.75" customHeight="1">
      <c r="R838" s="30"/>
    </row>
    <row r="839" spans="18:18" ht="15.75" customHeight="1">
      <c r="R839" s="30"/>
    </row>
    <row r="840" spans="18:18" ht="15.75" customHeight="1">
      <c r="R840" s="30"/>
    </row>
    <row r="841" spans="18:18" ht="15.75" customHeight="1">
      <c r="R841" s="30"/>
    </row>
    <row r="842" spans="18:18" ht="15.75" customHeight="1">
      <c r="R842" s="30"/>
    </row>
    <row r="843" spans="18:18" ht="15.75" customHeight="1">
      <c r="R843" s="30"/>
    </row>
    <row r="844" spans="18:18" ht="15.75" customHeight="1">
      <c r="R844" s="30"/>
    </row>
    <row r="845" spans="18:18" ht="15.75" customHeight="1">
      <c r="R845" s="30"/>
    </row>
    <row r="846" spans="18:18" ht="15.75" customHeight="1">
      <c r="R846" s="30"/>
    </row>
    <row r="847" spans="18:18" ht="15.75" customHeight="1">
      <c r="R847" s="30"/>
    </row>
    <row r="848" spans="18:18" ht="15.75" customHeight="1">
      <c r="R848" s="30"/>
    </row>
    <row r="849" spans="18:18" ht="15.75" customHeight="1">
      <c r="R849" s="30"/>
    </row>
    <row r="850" spans="18:18" ht="15.75" customHeight="1">
      <c r="R850" s="30"/>
    </row>
    <row r="851" spans="18:18" ht="15.75" customHeight="1">
      <c r="R851" s="30"/>
    </row>
    <row r="852" spans="18:18" ht="15.75" customHeight="1">
      <c r="R852" s="30"/>
    </row>
    <row r="853" spans="18:18" ht="15.75" customHeight="1">
      <c r="R853" s="30"/>
    </row>
    <row r="854" spans="18:18" ht="15.75" customHeight="1">
      <c r="R854" s="30"/>
    </row>
    <row r="855" spans="18:18" ht="15.75" customHeight="1">
      <c r="R855" s="30"/>
    </row>
    <row r="856" spans="18:18" ht="15.75" customHeight="1">
      <c r="R856" s="30"/>
    </row>
    <row r="857" spans="18:18" ht="15.75" customHeight="1">
      <c r="R857" s="30"/>
    </row>
    <row r="858" spans="18:18" ht="15.75" customHeight="1">
      <c r="R858" s="30"/>
    </row>
    <row r="859" spans="18:18" ht="15.75" customHeight="1">
      <c r="R859" s="30"/>
    </row>
    <row r="860" spans="18:18" ht="15.75" customHeight="1">
      <c r="R860" s="30"/>
    </row>
    <row r="861" spans="18:18" ht="15.75" customHeight="1">
      <c r="R861" s="30"/>
    </row>
    <row r="862" spans="18:18" ht="15.75" customHeight="1">
      <c r="R862" s="30"/>
    </row>
    <row r="863" spans="18:18" ht="15.75" customHeight="1">
      <c r="R863" s="30"/>
    </row>
    <row r="864" spans="18:18" ht="15.75" customHeight="1">
      <c r="R864" s="30"/>
    </row>
    <row r="865" spans="18:18" ht="15.75" customHeight="1">
      <c r="R865" s="30"/>
    </row>
    <row r="866" spans="18:18" ht="15.75" customHeight="1">
      <c r="R866" s="30"/>
    </row>
    <row r="867" spans="18:18" ht="15.75" customHeight="1">
      <c r="R867" s="30"/>
    </row>
    <row r="868" spans="18:18" ht="15.75" customHeight="1">
      <c r="R868" s="30"/>
    </row>
    <row r="869" spans="18:18" ht="15.75" customHeight="1">
      <c r="R869" s="30"/>
    </row>
    <row r="870" spans="18:18" ht="15.75" customHeight="1">
      <c r="R870" s="30"/>
    </row>
    <row r="871" spans="18:18" ht="15.75" customHeight="1">
      <c r="R871" s="30"/>
    </row>
    <row r="872" spans="18:18" ht="15.75" customHeight="1">
      <c r="R872" s="30"/>
    </row>
    <row r="873" spans="18:18" ht="15.75" customHeight="1">
      <c r="R873" s="30"/>
    </row>
    <row r="874" spans="18:18" ht="15.75" customHeight="1">
      <c r="R874" s="30"/>
    </row>
    <row r="875" spans="18:18" ht="15.75" customHeight="1">
      <c r="R875" s="30"/>
    </row>
    <row r="876" spans="18:18" ht="15.75" customHeight="1">
      <c r="R876" s="30"/>
    </row>
    <row r="877" spans="18:18" ht="15.75" customHeight="1">
      <c r="R877" s="30"/>
    </row>
    <row r="878" spans="18:18" ht="15.75" customHeight="1">
      <c r="R878" s="30"/>
    </row>
    <row r="879" spans="18:18" ht="15.75" customHeight="1">
      <c r="R879" s="30"/>
    </row>
    <row r="880" spans="18:18" ht="15.75" customHeight="1">
      <c r="R880" s="30"/>
    </row>
    <row r="881" spans="18:18" ht="15.75" customHeight="1">
      <c r="R881" s="30"/>
    </row>
    <row r="882" spans="18:18" ht="15.75" customHeight="1">
      <c r="R882" s="30"/>
    </row>
    <row r="883" spans="18:18" ht="15.75" customHeight="1">
      <c r="R883" s="30"/>
    </row>
    <row r="884" spans="18:18" ht="15.75" customHeight="1">
      <c r="R884" s="30"/>
    </row>
    <row r="885" spans="18:18" ht="15.75" customHeight="1">
      <c r="R885" s="30"/>
    </row>
    <row r="886" spans="18:18" ht="15.75" customHeight="1">
      <c r="R886" s="30"/>
    </row>
    <row r="887" spans="18:18" ht="15.75" customHeight="1">
      <c r="R887" s="30"/>
    </row>
    <row r="888" spans="18:18" ht="15.75" customHeight="1">
      <c r="R888" s="30"/>
    </row>
    <row r="889" spans="18:18" ht="15.75" customHeight="1">
      <c r="R889" s="30"/>
    </row>
    <row r="890" spans="18:18" ht="15.75" customHeight="1">
      <c r="R890" s="30"/>
    </row>
    <row r="891" spans="18:18" ht="15.75" customHeight="1">
      <c r="R891" s="30"/>
    </row>
    <row r="892" spans="18:18" ht="15.75" customHeight="1">
      <c r="R892" s="30"/>
    </row>
    <row r="893" spans="18:18" ht="15.75" customHeight="1">
      <c r="R893" s="30"/>
    </row>
    <row r="894" spans="18:18" ht="15.75" customHeight="1">
      <c r="R894" s="30"/>
    </row>
    <row r="895" spans="18:18" ht="15.75" customHeight="1">
      <c r="R895" s="30"/>
    </row>
    <row r="896" spans="18:18" ht="15.75" customHeight="1">
      <c r="R896" s="30"/>
    </row>
    <row r="897" spans="18:18" ht="15.75" customHeight="1">
      <c r="R897" s="30"/>
    </row>
    <row r="898" spans="18:18" ht="15.75" customHeight="1">
      <c r="R898" s="30"/>
    </row>
    <row r="899" spans="18:18" ht="15.75" customHeight="1">
      <c r="R899" s="30"/>
    </row>
    <row r="900" spans="18:18" ht="15.75" customHeight="1">
      <c r="R900" s="30"/>
    </row>
    <row r="901" spans="18:18" ht="15.75" customHeight="1">
      <c r="R901" s="30"/>
    </row>
    <row r="902" spans="18:18" ht="15.75" customHeight="1">
      <c r="R902" s="30"/>
    </row>
    <row r="903" spans="18:18" ht="15.75" customHeight="1">
      <c r="R903" s="30"/>
    </row>
    <row r="904" spans="18:18" ht="15.75" customHeight="1">
      <c r="R904" s="30"/>
    </row>
    <row r="905" spans="18:18" ht="15.75" customHeight="1">
      <c r="R905" s="30"/>
    </row>
    <row r="906" spans="18:18" ht="15.75" customHeight="1">
      <c r="R906" s="30"/>
    </row>
    <row r="907" spans="18:18" ht="15.75" customHeight="1">
      <c r="R907" s="30"/>
    </row>
    <row r="908" spans="18:18" ht="15.75" customHeight="1">
      <c r="R908" s="30"/>
    </row>
    <row r="909" spans="18:18" ht="15.75" customHeight="1">
      <c r="R909" s="30"/>
    </row>
    <row r="910" spans="18:18" ht="15.75" customHeight="1">
      <c r="R910" s="30"/>
    </row>
    <row r="911" spans="18:18" ht="15.75" customHeight="1">
      <c r="R911" s="30"/>
    </row>
    <row r="912" spans="18:18" ht="15.75" customHeight="1">
      <c r="R912" s="30"/>
    </row>
    <row r="913" spans="18:18" ht="15.75" customHeight="1">
      <c r="R913" s="30"/>
    </row>
    <row r="914" spans="18:18" ht="15.75" customHeight="1">
      <c r="R914" s="30"/>
    </row>
    <row r="915" spans="18:18" ht="15.75" customHeight="1">
      <c r="R915" s="30"/>
    </row>
    <row r="916" spans="18:18" ht="15.75" customHeight="1">
      <c r="R916" s="30"/>
    </row>
    <row r="917" spans="18:18" ht="15.75" customHeight="1">
      <c r="R917" s="30"/>
    </row>
    <row r="918" spans="18:18" ht="15.75" customHeight="1">
      <c r="R918" s="30"/>
    </row>
    <row r="919" spans="18:18" ht="15.75" customHeight="1">
      <c r="R919" s="30"/>
    </row>
    <row r="920" spans="18:18" ht="15.75" customHeight="1">
      <c r="R920" s="30"/>
    </row>
    <row r="921" spans="18:18" ht="15.75" customHeight="1">
      <c r="R921" s="30"/>
    </row>
    <row r="922" spans="18:18" ht="15.75" customHeight="1">
      <c r="R922" s="30"/>
    </row>
    <row r="923" spans="18:18" ht="15.75" customHeight="1">
      <c r="R923" s="30"/>
    </row>
    <row r="924" spans="18:18" ht="15.75" customHeight="1">
      <c r="R924" s="30"/>
    </row>
    <row r="925" spans="18:18" ht="15.75" customHeight="1">
      <c r="R925" s="30"/>
    </row>
    <row r="926" spans="18:18" ht="15.75" customHeight="1">
      <c r="R926" s="30"/>
    </row>
    <row r="927" spans="18:18" ht="15.75" customHeight="1">
      <c r="R927" s="30"/>
    </row>
    <row r="928" spans="18:18" ht="15.75" customHeight="1">
      <c r="R928" s="30"/>
    </row>
    <row r="929" spans="18:18" ht="15.75" customHeight="1">
      <c r="R929" s="30"/>
    </row>
    <row r="930" spans="18:18" ht="15.75" customHeight="1">
      <c r="R930" s="30"/>
    </row>
    <row r="931" spans="18:18" ht="15.75" customHeight="1">
      <c r="R931" s="30"/>
    </row>
    <row r="932" spans="18:18" ht="15.75" customHeight="1">
      <c r="R932" s="30"/>
    </row>
    <row r="933" spans="18:18" ht="15.75" customHeight="1">
      <c r="R933" s="30"/>
    </row>
    <row r="934" spans="18:18" ht="15.75" customHeight="1">
      <c r="R934" s="30"/>
    </row>
    <row r="935" spans="18:18" ht="15.75" customHeight="1">
      <c r="R935" s="30"/>
    </row>
    <row r="936" spans="18:18" ht="15.75" customHeight="1">
      <c r="R936" s="30"/>
    </row>
    <row r="937" spans="18:18" ht="15.75" customHeight="1">
      <c r="R937" s="30"/>
    </row>
    <row r="938" spans="18:18" ht="15.75" customHeight="1">
      <c r="R938" s="30"/>
    </row>
    <row r="939" spans="18:18" ht="15.75" customHeight="1">
      <c r="R939" s="30"/>
    </row>
    <row r="940" spans="18:18" ht="15.75" customHeight="1">
      <c r="R940" s="30"/>
    </row>
    <row r="941" spans="18:18" ht="15.75" customHeight="1">
      <c r="R941" s="30"/>
    </row>
    <row r="942" spans="18:18" ht="15.75" customHeight="1">
      <c r="R942" s="30"/>
    </row>
    <row r="943" spans="18:18" ht="15.75" customHeight="1">
      <c r="R943" s="30"/>
    </row>
    <row r="944" spans="18:18" ht="15.75" customHeight="1">
      <c r="R944" s="30"/>
    </row>
    <row r="945" spans="18:18" ht="15.75" customHeight="1">
      <c r="R945" s="30"/>
    </row>
    <row r="946" spans="18:18" ht="15.75" customHeight="1">
      <c r="R946" s="30"/>
    </row>
    <row r="947" spans="18:18" ht="15.75" customHeight="1">
      <c r="R947" s="30"/>
    </row>
    <row r="948" spans="18:18" ht="15.75" customHeight="1">
      <c r="R948" s="30"/>
    </row>
    <row r="949" spans="18:18" ht="15.75" customHeight="1">
      <c r="R949" s="30"/>
    </row>
    <row r="950" spans="18:18" ht="15.75" customHeight="1">
      <c r="R950" s="30"/>
    </row>
    <row r="951" spans="18:18" ht="15.75" customHeight="1">
      <c r="R951" s="30"/>
    </row>
    <row r="952" spans="18:18" ht="15.75" customHeight="1">
      <c r="R952" s="30"/>
    </row>
    <row r="953" spans="18:18" ht="15.75" customHeight="1">
      <c r="R953" s="30"/>
    </row>
    <row r="954" spans="18:18" ht="15.75" customHeight="1">
      <c r="R954" s="30"/>
    </row>
    <row r="955" spans="18:18" ht="15.75" customHeight="1">
      <c r="R955" s="30"/>
    </row>
    <row r="956" spans="18:18" ht="15.75" customHeight="1">
      <c r="R956" s="30"/>
    </row>
    <row r="957" spans="18:18" ht="15.75" customHeight="1">
      <c r="R957" s="30"/>
    </row>
    <row r="958" spans="18:18" ht="15.75" customHeight="1">
      <c r="R958" s="30"/>
    </row>
    <row r="959" spans="18:18" ht="15.75" customHeight="1">
      <c r="R959" s="30"/>
    </row>
    <row r="960" spans="18:18" ht="15.75" customHeight="1">
      <c r="R960" s="30"/>
    </row>
    <row r="961" spans="18:18" ht="15.75" customHeight="1">
      <c r="R961" s="30"/>
    </row>
    <row r="962" spans="18:18" ht="15.75" customHeight="1">
      <c r="R962" s="30"/>
    </row>
    <row r="963" spans="18:18" ht="15.75" customHeight="1">
      <c r="R963" s="30"/>
    </row>
    <row r="964" spans="18:18" ht="15.75" customHeight="1">
      <c r="R964" s="30"/>
    </row>
    <row r="965" spans="18:18" ht="15.75" customHeight="1">
      <c r="R965" s="30"/>
    </row>
    <row r="966" spans="18:18" ht="15.75" customHeight="1">
      <c r="R966" s="30"/>
    </row>
    <row r="967" spans="18:18" ht="15.75" customHeight="1">
      <c r="R967" s="30"/>
    </row>
    <row r="968" spans="18:18" ht="15.75" customHeight="1">
      <c r="R968" s="30"/>
    </row>
    <row r="969" spans="18:18" ht="15.75" customHeight="1">
      <c r="R969" s="30"/>
    </row>
    <row r="970" spans="18:18" ht="15.75" customHeight="1">
      <c r="R970" s="30"/>
    </row>
    <row r="971" spans="18:18" ht="15.75" customHeight="1">
      <c r="R971" s="30"/>
    </row>
    <row r="972" spans="18:18" ht="15.75" customHeight="1">
      <c r="R972" s="30"/>
    </row>
    <row r="973" spans="18:18" ht="15.75" customHeight="1">
      <c r="R973" s="30"/>
    </row>
    <row r="974" spans="18:18" ht="15.75" customHeight="1">
      <c r="R974" s="30"/>
    </row>
    <row r="975" spans="18:18" ht="15.75" customHeight="1">
      <c r="R975" s="30"/>
    </row>
    <row r="976" spans="18:18" ht="15.75" customHeight="1">
      <c r="R976" s="30"/>
    </row>
    <row r="977" spans="18:18" ht="15.75" customHeight="1">
      <c r="R977" s="30"/>
    </row>
    <row r="978" spans="18:18" ht="15.75" customHeight="1">
      <c r="R978" s="30"/>
    </row>
    <row r="979" spans="18:18" ht="15.75" customHeight="1">
      <c r="R979" s="30"/>
    </row>
    <row r="980" spans="18:18" ht="15.75" customHeight="1">
      <c r="R980" s="30"/>
    </row>
    <row r="981" spans="18:18" ht="15.75" customHeight="1">
      <c r="R981" s="30"/>
    </row>
    <row r="982" spans="18:18" ht="15.75" customHeight="1">
      <c r="R982" s="30"/>
    </row>
    <row r="983" spans="18:18" ht="15.75" customHeight="1">
      <c r="R983" s="30"/>
    </row>
    <row r="984" spans="18:18" ht="15.75" customHeight="1">
      <c r="R984" s="30"/>
    </row>
    <row r="985" spans="18:18" ht="15.75" customHeight="1">
      <c r="R985" s="30"/>
    </row>
    <row r="986" spans="18:18" ht="15.75" customHeight="1">
      <c r="R986" s="30"/>
    </row>
    <row r="987" spans="18:18" ht="15.75" customHeight="1">
      <c r="R987" s="30"/>
    </row>
    <row r="988" spans="18:18" ht="15.75" customHeight="1">
      <c r="R988" s="30"/>
    </row>
    <row r="989" spans="18:18" ht="15.75" customHeight="1">
      <c r="R989" s="30"/>
    </row>
    <row r="990" spans="18:18" ht="15.75" customHeight="1">
      <c r="R990" s="30"/>
    </row>
    <row r="991" spans="18:18" ht="15.75" customHeight="1">
      <c r="R991" s="30"/>
    </row>
    <row r="992" spans="18:18" ht="15.75" customHeight="1">
      <c r="R992" s="30"/>
    </row>
    <row r="993" spans="18:18" ht="15.75" customHeight="1">
      <c r="R993" s="30"/>
    </row>
    <row r="994" spans="18:18" ht="15.75" customHeight="1">
      <c r="R994" s="30"/>
    </row>
    <row r="995" spans="18:18" ht="15.75" customHeight="1">
      <c r="R995" s="30"/>
    </row>
    <row r="996" spans="18:18" ht="15.75" customHeight="1">
      <c r="R996" s="30"/>
    </row>
    <row r="997" spans="18:18" ht="15.75" customHeight="1">
      <c r="R997" s="30"/>
    </row>
    <row r="998" spans="18:18" ht="15.75" customHeight="1">
      <c r="R998" s="30"/>
    </row>
    <row r="999" spans="18:18" ht="15.75" customHeight="1">
      <c r="R999" s="30"/>
    </row>
    <row r="1000" spans="18:18" ht="15.75" customHeight="1">
      <c r="R1000" s="3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2.6640625" defaultRowHeight="15" customHeight="1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8.6640625" customWidth="1"/>
    <col min="6" max="6" width="9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16.33203125" customWidth="1"/>
    <col min="16" max="16" width="10" customWidth="1"/>
    <col min="17" max="18" width="7.33203125" customWidth="1"/>
    <col min="19" max="19" width="7.1640625" customWidth="1"/>
    <col min="20" max="20" width="15.83203125" customWidth="1"/>
    <col min="21" max="21" width="28.1640625" customWidth="1"/>
    <col min="22" max="22" width="62.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6640625" customWidth="1"/>
    <col min="32" max="32" width="10.1640625" customWidth="1"/>
    <col min="33" max="33" width="8.83203125" customWidth="1"/>
  </cols>
  <sheetData>
    <row r="1" spans="1:33" ht="18.75" customHeight="1">
      <c r="A1" s="46" t="str">
        <f ca="1">IFERROR(__xludf.DUMMYFUNCTION("IFERROR(VLOOKUP(B2,IMPORTRANGE(""https://docs.google.com/spreadsheets/d/1x0DhHglkXKoEBOD2MBsuK_EyIr1ouxD2ftIpqOYFa-k/edit?usp=sharing"",""Ubiquitty-SKU-Specific Info!B1:BJ5000""),3,FALSE),"""")"),"2 Pack of 25 Foot Outdoor Extension Cords with 3 Electrical Power Outlets - 10/3 SJTW Yellow 10 Gauge Lighted Extension Cable with 3 Prong Grounded Plug for Safety")</f>
        <v>2 Pack of 25 Foot Outdoor Extension Cords with 3 Electrical Power Outlets - 10/3 SJTW Yellow 10 Gauge Lighted Extension Cable with 3 Prong Grounded Plug for Safety</v>
      </c>
      <c r="B1" s="47"/>
      <c r="C1" s="48" t="s">
        <v>0</v>
      </c>
      <c r="D1" s="50" t="s">
        <v>1</v>
      </c>
      <c r="E1" s="50" t="s">
        <v>2</v>
      </c>
      <c r="F1" s="52" t="s">
        <v>3</v>
      </c>
      <c r="G1" s="52" t="s">
        <v>4</v>
      </c>
      <c r="H1" s="53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58" t="s">
        <v>10</v>
      </c>
      <c r="N1" s="59" t="s">
        <v>11</v>
      </c>
      <c r="O1" s="50" t="s">
        <v>12</v>
      </c>
      <c r="P1" s="50" t="s">
        <v>13</v>
      </c>
      <c r="Q1" s="57" t="s">
        <v>14</v>
      </c>
      <c r="R1" s="57" t="s">
        <v>15</v>
      </c>
      <c r="S1" s="60" t="s">
        <v>16</v>
      </c>
      <c r="T1" s="62" t="s">
        <v>2006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Info!B1:BJ5000""),2,FALSE),"""")"),"B08NFGTS8J")</f>
        <v>B08NFGTS8J</v>
      </c>
      <c r="B2" s="3" t="s">
        <v>432</v>
      </c>
      <c r="C2" s="49"/>
      <c r="D2" s="49"/>
      <c r="E2" s="51"/>
      <c r="F2" s="49"/>
      <c r="G2" s="49"/>
      <c r="H2" s="54"/>
      <c r="I2" s="49"/>
      <c r="J2" s="49"/>
      <c r="K2" s="54"/>
      <c r="L2" s="54"/>
      <c r="M2" s="54"/>
      <c r="N2" s="49"/>
      <c r="O2" s="49"/>
      <c r="P2" s="51"/>
      <c r="Q2" s="49"/>
      <c r="R2" s="49"/>
      <c r="S2" s="61"/>
      <c r="T2" s="47"/>
      <c r="U2" s="63"/>
      <c r="V2" s="63"/>
      <c r="W2" s="47"/>
      <c r="X2" s="47"/>
      <c r="Y2" s="47"/>
      <c r="Z2" s="47"/>
      <c r="AA2" s="63"/>
      <c r="AB2" s="63"/>
      <c r="AC2" s="63"/>
      <c r="AD2" s="63"/>
      <c r="AE2" s="47"/>
      <c r="AF2" s="47"/>
      <c r="AG2" s="47"/>
    </row>
    <row r="3" spans="1:33" ht="132" customHeight="1">
      <c r="A3" s="55" t="s">
        <v>31</v>
      </c>
      <c r="B3" s="56"/>
      <c r="C3" s="4">
        <f>((AE32+AF32)/0.85)*-1</f>
        <v>54.048574517647062</v>
      </c>
      <c r="D3" s="5">
        <f>SUM(D4:D99765)</f>
        <v>96</v>
      </c>
      <c r="E3" s="5"/>
      <c r="F3" s="6">
        <f t="shared" ref="F3:G3" si="0">SUM(F4:F99765)</f>
        <v>7368.76</v>
      </c>
      <c r="G3" s="6">
        <f t="shared" si="0"/>
        <v>-55.28</v>
      </c>
      <c r="H3" s="7">
        <f>G3/F3*-1</f>
        <v>7.501940625016963E-3</v>
      </c>
      <c r="I3" s="8">
        <f>J3/F3</f>
        <v>0.22799983594164183</v>
      </c>
      <c r="J3" s="6">
        <f>SUM(J4:J99765)</f>
        <v>1680.0760710933328</v>
      </c>
      <c r="K3" s="6">
        <f>J3/D3</f>
        <v>17.500792407222217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1 - April
1 - May
1 - June
1 - July
1 - Aug
1 - Sept
1 - Oct
1 - Nov
1 - Dec
 - Jan
 - Feb")</f>
        <v xml:space="preserve"> - March
1 - April
1 - May
1 - June
1 - July
1 - Aug
1 - Sept
1 - Oct
1 - Nov
1 -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4</v>
      </c>
      <c r="X3" s="7">
        <f>W3/D3</f>
        <v>4.1666666666666664E-2</v>
      </c>
      <c r="Y3" s="6"/>
      <c r="Z3" s="5"/>
      <c r="AA3" s="5"/>
      <c r="AB3" s="5"/>
      <c r="AC3" s="5"/>
      <c r="AD3" s="6">
        <f>SUM(AD4:AD99765)</f>
        <v>-65.501428906666661</v>
      </c>
      <c r="AE3" s="6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Info!B2:BZ3000""),37,FALSE)),"""")*-1"),-36.34128834)</f>
        <v>-36.341288339999998</v>
      </c>
      <c r="AG3" s="6">
        <f>SUM(AG4:AG99765)</f>
        <v>0</v>
      </c>
    </row>
    <row r="4" spans="1:33" ht="15.75" hidden="1" customHeight="1">
      <c r="A4" s="14"/>
      <c r="B4" s="14"/>
      <c r="C4" s="15"/>
      <c r="D4" s="16"/>
      <c r="E4" s="16"/>
      <c r="F4" s="17"/>
      <c r="G4" s="17"/>
      <c r="H4" s="18"/>
      <c r="I4" s="18"/>
      <c r="J4" s="17"/>
      <c r="K4" s="17"/>
      <c r="L4" s="16"/>
      <c r="M4" s="19"/>
      <c r="N4" s="16"/>
      <c r="O4" s="20"/>
      <c r="P4" s="20"/>
      <c r="Q4" s="16"/>
      <c r="R4" s="16"/>
      <c r="S4" s="21"/>
      <c r="T4" s="14"/>
      <c r="U4" s="22"/>
      <c r="V4" s="23"/>
      <c r="W4" s="14"/>
      <c r="X4" s="24"/>
      <c r="Y4" s="25"/>
      <c r="Z4" s="14"/>
      <c r="AA4" s="26"/>
      <c r="AB4" s="27"/>
      <c r="AC4" s="28"/>
      <c r="AD4" s="25"/>
      <c r="AE4" s="25"/>
      <c r="AF4" s="25"/>
      <c r="AG4" s="25"/>
    </row>
    <row r="5" spans="1:33" ht="15.75" hidden="1" customHeight="1">
      <c r="A5" s="14"/>
      <c r="B5" s="14"/>
      <c r="C5" s="15"/>
      <c r="D5" s="16"/>
      <c r="E5" s="16"/>
      <c r="F5" s="29"/>
      <c r="G5" s="29"/>
      <c r="H5" s="18"/>
      <c r="I5" s="18"/>
      <c r="J5" s="17"/>
      <c r="K5" s="17"/>
      <c r="L5" s="16"/>
      <c r="M5" s="19"/>
      <c r="N5" s="16"/>
      <c r="O5" s="20"/>
      <c r="P5" s="20"/>
      <c r="Q5" s="16"/>
      <c r="R5" s="16"/>
      <c r="S5" s="21"/>
      <c r="T5" s="14"/>
      <c r="U5" s="22"/>
      <c r="V5" s="23"/>
      <c r="W5" s="14"/>
      <c r="X5" s="24"/>
      <c r="Y5" s="25"/>
      <c r="Z5" s="14"/>
      <c r="AA5" s="14"/>
      <c r="AB5" s="27"/>
      <c r="AC5" s="28"/>
      <c r="AD5" s="25"/>
      <c r="AE5" s="25"/>
      <c r="AF5" s="25"/>
      <c r="AG5" s="25"/>
    </row>
    <row r="6" spans="1:33" ht="15.75" hidden="1" customHeight="1">
      <c r="A6" s="14"/>
      <c r="B6" s="14"/>
      <c r="C6" s="15"/>
      <c r="D6" s="16"/>
      <c r="E6" s="16"/>
      <c r="F6" s="29"/>
      <c r="G6" s="29"/>
      <c r="H6" s="18"/>
      <c r="I6" s="18"/>
      <c r="J6" s="17"/>
      <c r="K6" s="17"/>
      <c r="L6" s="16"/>
      <c r="M6" s="19"/>
      <c r="N6" s="16"/>
      <c r="O6" s="20"/>
      <c r="P6" s="20"/>
      <c r="Q6" s="16"/>
      <c r="R6" s="16"/>
      <c r="S6" s="21"/>
      <c r="T6" s="14"/>
      <c r="U6" s="22"/>
      <c r="V6" s="23"/>
      <c r="W6" s="14"/>
      <c r="X6" s="24"/>
      <c r="Y6" s="25"/>
      <c r="Z6" s="14"/>
      <c r="AA6" s="14"/>
      <c r="AB6" s="27"/>
      <c r="AC6" s="28"/>
      <c r="AD6" s="25"/>
      <c r="AE6" s="25"/>
      <c r="AF6" s="25"/>
      <c r="AG6" s="25"/>
    </row>
    <row r="7" spans="1:33" ht="15.75" hidden="1" customHeight="1">
      <c r="A7" s="14"/>
      <c r="B7" s="14"/>
      <c r="C7" s="15"/>
      <c r="D7" s="16"/>
      <c r="E7" s="16"/>
      <c r="F7" s="29"/>
      <c r="G7" s="29"/>
      <c r="H7" s="18"/>
      <c r="I7" s="18"/>
      <c r="J7" s="17"/>
      <c r="K7" s="17"/>
      <c r="L7" s="16"/>
      <c r="M7" s="19"/>
      <c r="N7" s="16"/>
      <c r="O7" s="20"/>
      <c r="P7" s="20"/>
      <c r="Q7" s="16"/>
      <c r="R7" s="16"/>
      <c r="S7" s="21"/>
      <c r="T7" s="14"/>
      <c r="U7" s="22"/>
      <c r="V7" s="23"/>
      <c r="W7" s="14"/>
      <c r="X7" s="24"/>
      <c r="Y7" s="25"/>
      <c r="Z7" s="14"/>
      <c r="AA7" s="14"/>
      <c r="AB7" s="27"/>
      <c r="AC7" s="28"/>
      <c r="AD7" s="25"/>
      <c r="AE7" s="25"/>
      <c r="AF7" s="25"/>
      <c r="AG7" s="25"/>
    </row>
    <row r="8" spans="1:33" ht="15.75" hidden="1" customHeight="1">
      <c r="A8" s="14"/>
      <c r="B8" s="14"/>
      <c r="C8" s="15"/>
      <c r="D8" s="16"/>
      <c r="E8" s="16"/>
      <c r="F8" s="29"/>
      <c r="G8" s="29"/>
      <c r="H8" s="18"/>
      <c r="I8" s="18"/>
      <c r="J8" s="17"/>
      <c r="K8" s="17"/>
      <c r="L8" s="16"/>
      <c r="M8" s="19"/>
      <c r="N8" s="16"/>
      <c r="O8" s="20"/>
      <c r="P8" s="20"/>
      <c r="Q8" s="16"/>
      <c r="R8" s="16"/>
      <c r="S8" s="21"/>
      <c r="T8" s="14"/>
      <c r="U8" s="22"/>
      <c r="V8" s="23"/>
      <c r="W8" s="14"/>
      <c r="X8" s="24"/>
      <c r="Y8" s="25"/>
      <c r="Z8" s="14"/>
      <c r="AA8" s="14"/>
      <c r="AB8" s="27"/>
      <c r="AC8" s="28"/>
      <c r="AD8" s="25"/>
      <c r="AE8" s="25"/>
      <c r="AF8" s="25"/>
      <c r="AG8" s="25"/>
    </row>
    <row r="9" spans="1:33" ht="15.75" hidden="1" customHeight="1">
      <c r="A9" s="14"/>
      <c r="B9" s="14"/>
      <c r="C9" s="15"/>
      <c r="D9" s="16"/>
      <c r="E9" s="16"/>
      <c r="F9" s="29"/>
      <c r="G9" s="29"/>
      <c r="H9" s="18"/>
      <c r="I9" s="18"/>
      <c r="J9" s="17"/>
      <c r="K9" s="17"/>
      <c r="L9" s="16"/>
      <c r="M9" s="19"/>
      <c r="N9" s="16"/>
      <c r="O9" s="20"/>
      <c r="P9" s="20"/>
      <c r="Q9" s="16"/>
      <c r="R9" s="16"/>
      <c r="S9" s="21"/>
      <c r="T9" s="14"/>
      <c r="U9" s="22"/>
      <c r="V9" s="23"/>
      <c r="W9" s="14"/>
      <c r="X9" s="24"/>
      <c r="Y9" s="25"/>
      <c r="Z9" s="14"/>
      <c r="AA9" s="14"/>
      <c r="AB9" s="27"/>
      <c r="AC9" s="28"/>
      <c r="AD9" s="25"/>
      <c r="AE9" s="25"/>
      <c r="AF9" s="25"/>
      <c r="AG9" s="25"/>
    </row>
    <row r="10" spans="1:33" ht="15.75" hidden="1" customHeight="1">
      <c r="A10" s="14"/>
      <c r="B10" s="14"/>
      <c r="C10" s="15"/>
      <c r="D10" s="16"/>
      <c r="E10" s="16"/>
      <c r="F10" s="29"/>
      <c r="G10" s="29"/>
      <c r="H10" s="18"/>
      <c r="I10" s="18"/>
      <c r="J10" s="17"/>
      <c r="K10" s="17"/>
      <c r="L10" s="16"/>
      <c r="M10" s="19"/>
      <c r="N10" s="16"/>
      <c r="O10" s="20"/>
      <c r="P10" s="20"/>
      <c r="Q10" s="16"/>
      <c r="R10" s="16"/>
      <c r="S10" s="21"/>
      <c r="T10" s="14"/>
      <c r="U10" s="22"/>
      <c r="V10" s="23"/>
      <c r="W10" s="14"/>
      <c r="X10" s="24"/>
      <c r="Y10" s="25"/>
      <c r="Z10" s="14"/>
      <c r="AA10" s="14"/>
      <c r="AB10" s="27"/>
      <c r="AC10" s="28"/>
      <c r="AD10" s="25"/>
      <c r="AE10" s="25"/>
      <c r="AF10" s="25"/>
      <c r="AG10" s="25"/>
    </row>
    <row r="11" spans="1:33" ht="15.75" hidden="1" customHeight="1">
      <c r="A11" s="14"/>
      <c r="B11" s="14"/>
      <c r="C11" s="15"/>
      <c r="D11" s="16"/>
      <c r="E11" s="16"/>
      <c r="F11" s="29"/>
      <c r="G11" s="29"/>
      <c r="H11" s="18"/>
      <c r="I11" s="18"/>
      <c r="J11" s="17"/>
      <c r="K11" s="17"/>
      <c r="L11" s="16"/>
      <c r="M11" s="19"/>
      <c r="N11" s="16"/>
      <c r="O11" s="20"/>
      <c r="P11" s="20"/>
      <c r="Q11" s="16"/>
      <c r="R11" s="16"/>
      <c r="S11" s="21"/>
      <c r="T11" s="14"/>
      <c r="U11" s="22"/>
      <c r="V11" s="23"/>
      <c r="W11" s="14"/>
      <c r="X11" s="24"/>
      <c r="Y11" s="25"/>
      <c r="Z11" s="14"/>
      <c r="AA11" s="14"/>
      <c r="AB11" s="27"/>
      <c r="AC11" s="28"/>
      <c r="AD11" s="25"/>
      <c r="AE11" s="25"/>
      <c r="AF11" s="25"/>
      <c r="AG11" s="25"/>
    </row>
    <row r="12" spans="1:33" ht="15.75" hidden="1" customHeight="1">
      <c r="A12" s="14"/>
      <c r="B12" s="14"/>
      <c r="C12" s="15"/>
      <c r="D12" s="16"/>
      <c r="E12" s="16"/>
      <c r="F12" s="29"/>
      <c r="G12" s="29"/>
      <c r="H12" s="18"/>
      <c r="I12" s="18"/>
      <c r="J12" s="17"/>
      <c r="K12" s="17"/>
      <c r="L12" s="16"/>
      <c r="M12" s="19"/>
      <c r="N12" s="16"/>
      <c r="O12" s="20"/>
      <c r="P12" s="20"/>
      <c r="Q12" s="16"/>
      <c r="R12" s="16"/>
      <c r="S12" s="21"/>
      <c r="T12" s="14"/>
      <c r="U12" s="22"/>
      <c r="V12" s="23"/>
      <c r="W12" s="14"/>
      <c r="X12" s="24"/>
      <c r="Y12" s="25"/>
      <c r="Z12" s="14"/>
      <c r="AA12" s="14"/>
      <c r="AB12" s="27"/>
      <c r="AC12" s="28"/>
      <c r="AD12" s="25"/>
      <c r="AE12" s="25"/>
      <c r="AF12" s="25"/>
      <c r="AG12" s="25"/>
    </row>
    <row r="13" spans="1:33" ht="15.75" hidden="1" customHeight="1">
      <c r="A13" s="14"/>
      <c r="B13" s="14"/>
      <c r="C13" s="15"/>
      <c r="D13" s="16"/>
      <c r="E13" s="16"/>
      <c r="F13" s="17"/>
      <c r="G13" s="29"/>
      <c r="H13" s="18"/>
      <c r="I13" s="18"/>
      <c r="J13" s="17"/>
      <c r="K13" s="17"/>
      <c r="L13" s="16"/>
      <c r="M13" s="19"/>
      <c r="N13" s="16"/>
      <c r="O13" s="20"/>
      <c r="P13" s="20"/>
      <c r="Q13" s="16"/>
      <c r="R13" s="16"/>
      <c r="S13" s="21"/>
      <c r="T13" s="14"/>
      <c r="U13" s="22"/>
      <c r="V13" s="23"/>
      <c r="W13" s="14"/>
      <c r="X13" s="24"/>
      <c r="Y13" s="25"/>
      <c r="Z13" s="14"/>
      <c r="AA13" s="14"/>
      <c r="AB13" s="27"/>
      <c r="AC13" s="28"/>
      <c r="AD13" s="25"/>
      <c r="AE13" s="25"/>
      <c r="AF13" s="25"/>
      <c r="AG13" s="25"/>
    </row>
    <row r="14" spans="1:33" ht="15.75" hidden="1" customHeight="1">
      <c r="A14" s="14"/>
      <c r="B14" s="14"/>
      <c r="C14" s="15"/>
      <c r="D14" s="16"/>
      <c r="E14" s="16"/>
      <c r="F14" s="17"/>
      <c r="G14" s="29"/>
      <c r="H14" s="18"/>
      <c r="I14" s="18"/>
      <c r="J14" s="17"/>
      <c r="K14" s="17"/>
      <c r="L14" s="16"/>
      <c r="M14" s="19"/>
      <c r="N14" s="16"/>
      <c r="O14" s="20"/>
      <c r="P14" s="20"/>
      <c r="Q14" s="16"/>
      <c r="R14" s="16"/>
      <c r="S14" s="21"/>
      <c r="T14" s="14"/>
      <c r="U14" s="22"/>
      <c r="V14" s="23"/>
      <c r="W14" s="14"/>
      <c r="X14" s="24"/>
      <c r="Y14" s="25"/>
      <c r="Z14" s="14"/>
      <c r="AA14" s="14"/>
      <c r="AB14" s="27"/>
      <c r="AC14" s="28"/>
      <c r="AD14" s="25"/>
      <c r="AE14" s="25"/>
      <c r="AF14" s="25"/>
      <c r="AG14" s="25"/>
    </row>
    <row r="15" spans="1:33" ht="15.75" hidden="1" customHeight="1">
      <c r="A15" s="14"/>
      <c r="B15" s="14"/>
      <c r="C15" s="15"/>
      <c r="D15" s="16"/>
      <c r="E15" s="16"/>
      <c r="F15" s="17"/>
      <c r="G15" s="29"/>
      <c r="H15" s="18"/>
      <c r="I15" s="18"/>
      <c r="J15" s="17"/>
      <c r="K15" s="17"/>
      <c r="L15" s="16"/>
      <c r="M15" s="19"/>
      <c r="N15" s="16"/>
      <c r="O15" s="20"/>
      <c r="P15" s="20"/>
      <c r="Q15" s="16"/>
      <c r="R15" s="16"/>
      <c r="S15" s="21"/>
      <c r="T15" s="14"/>
      <c r="U15" s="22"/>
      <c r="V15" s="23"/>
      <c r="W15" s="14"/>
      <c r="X15" s="24"/>
      <c r="Y15" s="25"/>
      <c r="Z15" s="14"/>
      <c r="AA15" s="14"/>
      <c r="AB15" s="27"/>
      <c r="AC15" s="28"/>
      <c r="AD15" s="25"/>
      <c r="AE15" s="25"/>
      <c r="AF15" s="25"/>
      <c r="AG15" s="25"/>
    </row>
    <row r="16" spans="1:33" ht="15.75" customHeight="1">
      <c r="A16" s="14" t="s">
        <v>38</v>
      </c>
      <c r="B16" s="14" t="s">
        <v>433</v>
      </c>
      <c r="C16" s="15">
        <f t="shared" ref="C16:C32" si="1">IFERROR(F16/D16," - ")</f>
        <v>64.731428571428566</v>
      </c>
      <c r="D16" s="16">
        <v>7</v>
      </c>
      <c r="E16" s="16">
        <v>0</v>
      </c>
      <c r="F16" s="17">
        <v>453.12</v>
      </c>
      <c r="G16" s="29">
        <v>0</v>
      </c>
      <c r="H16" s="18">
        <f t="shared" ref="H16:H32" si="2">G16/F16*-1</f>
        <v>0</v>
      </c>
      <c r="I16" s="18">
        <f t="shared" ref="I16:I32" si="3">J16/F16</f>
        <v>0.1410351653915568</v>
      </c>
      <c r="J16" s="17">
        <f t="shared" ref="J16:J32" si="4">F16*0.85+G16+AF16*D16+D16*AE16+AG16+AD16</f>
        <v>63.905854142222225</v>
      </c>
      <c r="K16" s="17">
        <f t="shared" ref="K16:K32" si="5">J16/D16</f>
        <v>9.1294077346031752</v>
      </c>
      <c r="L16" s="16">
        <v>16</v>
      </c>
      <c r="M16" s="19">
        <f t="shared" ref="M16:M32" si="6">IFERROR(D16/L16,"-")</f>
        <v>0.4375</v>
      </c>
      <c r="N16" s="16">
        <v>91</v>
      </c>
      <c r="O16" s="20">
        <f t="shared" ref="O16:P16" si="7">D16/7</f>
        <v>1</v>
      </c>
      <c r="P16" s="20">
        <f t="shared" si="7"/>
        <v>0</v>
      </c>
      <c r="Q16" s="16">
        <f t="shared" ref="Q16:Q32" si="8">ROUNDDOWN(N16/(O16+P16),0)</f>
        <v>91</v>
      </c>
      <c r="R16" s="16"/>
      <c r="S16" s="21">
        <v>0.23076923076923</v>
      </c>
      <c r="T16" s="14">
        <v>0</v>
      </c>
      <c r="U16" s="22" t="s">
        <v>34</v>
      </c>
      <c r="V16" s="23" t="s">
        <v>34</v>
      </c>
      <c r="W16" s="14">
        <v>0</v>
      </c>
      <c r="X16" s="24">
        <f t="shared" ref="X16:X32" si="9">IFERROR(W16/D16,0)</f>
        <v>0</v>
      </c>
      <c r="Y16" s="25">
        <f t="shared" ref="Y16:Y32" si="10">IFERROR(G16/(W16+Z16)*-1,0)</f>
        <v>0</v>
      </c>
      <c r="Z16" s="14">
        <v>0</v>
      </c>
      <c r="AA16" s="14" t="s">
        <v>35</v>
      </c>
      <c r="AB16" s="27">
        <f t="shared" ref="AB16:AB32" si="11">IF(OR(AA16="UsLargeStandardSize",AA16="UsSmallStandardSize"),-0.69,-0.48)</f>
        <v>-0.69</v>
      </c>
      <c r="AC16" s="28">
        <v>0.49442503703703705</v>
      </c>
      <c r="AD16" s="25">
        <f t="shared" ref="AD16:AD32" si="12">IFERROR(AB16*AC16*D16*2,0)</f>
        <v>-4.7761458577777773</v>
      </c>
      <c r="AE16" s="25">
        <v>-9.6</v>
      </c>
      <c r="AF16" s="25">
        <v>-35.61</v>
      </c>
      <c r="AG16" s="25">
        <v>0</v>
      </c>
    </row>
    <row r="17" spans="1:33" ht="15.75" customHeight="1">
      <c r="A17" s="14" t="s">
        <v>40</v>
      </c>
      <c r="B17" s="14" t="s">
        <v>111</v>
      </c>
      <c r="C17" s="15">
        <f t="shared" si="1"/>
        <v>71.624285714285705</v>
      </c>
      <c r="D17" s="16">
        <v>7</v>
      </c>
      <c r="E17" s="16">
        <v>0</v>
      </c>
      <c r="F17" s="17">
        <v>501.36999999999995</v>
      </c>
      <c r="G17" s="29">
        <v>-35.61</v>
      </c>
      <c r="H17" s="18">
        <f t="shared" si="2"/>
        <v>7.10253904302212E-2</v>
      </c>
      <c r="I17" s="18">
        <f t="shared" si="3"/>
        <v>0.13823793633887579</v>
      </c>
      <c r="J17" s="17">
        <f t="shared" si="4"/>
        <v>69.308354142222143</v>
      </c>
      <c r="K17" s="17">
        <f t="shared" si="5"/>
        <v>9.9011934488888773</v>
      </c>
      <c r="L17" s="16">
        <v>37</v>
      </c>
      <c r="M17" s="19">
        <f t="shared" si="6"/>
        <v>0.1891891891891892</v>
      </c>
      <c r="N17" s="16">
        <v>86</v>
      </c>
      <c r="O17" s="20">
        <f t="shared" ref="O17:P17" si="13">D17/7</f>
        <v>1</v>
      </c>
      <c r="P17" s="20">
        <f t="shared" si="13"/>
        <v>0</v>
      </c>
      <c r="Q17" s="16">
        <f t="shared" si="8"/>
        <v>86</v>
      </c>
      <c r="R17" s="16"/>
      <c r="S17" s="21">
        <v>0.40909090909090901</v>
      </c>
      <c r="T17" s="14">
        <v>0</v>
      </c>
      <c r="U17" s="22" t="s">
        <v>34</v>
      </c>
      <c r="V17" s="23" t="s">
        <v>34</v>
      </c>
      <c r="W17" s="14">
        <v>3</v>
      </c>
      <c r="X17" s="24">
        <f t="shared" si="9"/>
        <v>0.42857142857142855</v>
      </c>
      <c r="Y17" s="25">
        <f t="shared" si="10"/>
        <v>2.5435714285714286</v>
      </c>
      <c r="Z17" s="14">
        <v>11</v>
      </c>
      <c r="AA17" s="14" t="s">
        <v>35</v>
      </c>
      <c r="AB17" s="27">
        <f t="shared" si="11"/>
        <v>-0.69</v>
      </c>
      <c r="AC17" s="28">
        <v>0.49442503703703705</v>
      </c>
      <c r="AD17" s="25">
        <f t="shared" si="12"/>
        <v>-4.7761458577777773</v>
      </c>
      <c r="AE17" s="25">
        <v>-9.6</v>
      </c>
      <c r="AF17" s="25">
        <v>-35.61</v>
      </c>
      <c r="AG17" s="25">
        <v>0</v>
      </c>
    </row>
    <row r="18" spans="1:33" ht="15.75" customHeight="1">
      <c r="A18" s="14" t="s">
        <v>42</v>
      </c>
      <c r="B18" s="14" t="s">
        <v>66</v>
      </c>
      <c r="C18" s="15">
        <f t="shared" si="1"/>
        <v>71.228750000000005</v>
      </c>
      <c r="D18" s="16">
        <v>8</v>
      </c>
      <c r="E18" s="16">
        <v>0</v>
      </c>
      <c r="F18" s="17">
        <v>569.83000000000004</v>
      </c>
      <c r="G18" s="29">
        <v>-18.79</v>
      </c>
      <c r="H18" s="18">
        <f t="shared" si="2"/>
        <v>3.2974746854324971E-2</v>
      </c>
      <c r="I18" s="18">
        <f t="shared" si="3"/>
        <v>0.17273054698964796</v>
      </c>
      <c r="J18" s="17">
        <f t="shared" si="4"/>
        <v>98.427047591111105</v>
      </c>
      <c r="K18" s="17">
        <f t="shared" si="5"/>
        <v>12.303380948888888</v>
      </c>
      <c r="L18" s="16">
        <v>29</v>
      </c>
      <c r="M18" s="19">
        <f t="shared" si="6"/>
        <v>0.27586206896551724</v>
      </c>
      <c r="N18" s="16">
        <v>78</v>
      </c>
      <c r="O18" s="20">
        <f t="shared" ref="O18:P18" si="14">D18/7</f>
        <v>1.1428571428571428</v>
      </c>
      <c r="P18" s="20">
        <f t="shared" si="14"/>
        <v>0</v>
      </c>
      <c r="Q18" s="16">
        <f t="shared" si="8"/>
        <v>68</v>
      </c>
      <c r="R18" s="16"/>
      <c r="S18" s="21">
        <v>0.31491712707182301</v>
      </c>
      <c r="T18" s="14">
        <v>0</v>
      </c>
      <c r="U18" s="22">
        <v>0</v>
      </c>
      <c r="V18" s="23" t="s">
        <v>34</v>
      </c>
      <c r="W18" s="14">
        <v>1</v>
      </c>
      <c r="X18" s="24">
        <f t="shared" si="9"/>
        <v>0.125</v>
      </c>
      <c r="Y18" s="25">
        <f t="shared" si="10"/>
        <v>9.3949999999999996</v>
      </c>
      <c r="Z18" s="14">
        <v>1</v>
      </c>
      <c r="AA18" s="14" t="s">
        <v>35</v>
      </c>
      <c r="AB18" s="27">
        <f t="shared" si="11"/>
        <v>-0.69</v>
      </c>
      <c r="AC18" s="28">
        <v>0.49442503703703705</v>
      </c>
      <c r="AD18" s="25">
        <f t="shared" si="12"/>
        <v>-5.4584524088888884</v>
      </c>
      <c r="AE18" s="25">
        <v>-9.6</v>
      </c>
      <c r="AF18" s="25">
        <v>-35.61</v>
      </c>
      <c r="AG18" s="25">
        <v>0</v>
      </c>
    </row>
    <row r="19" spans="1:33" ht="15.75" customHeight="1">
      <c r="A19" s="14" t="s">
        <v>44</v>
      </c>
      <c r="B19" s="14" t="s">
        <v>434</v>
      </c>
      <c r="C19" s="15">
        <f t="shared" si="1"/>
        <v>73.071428571428569</v>
      </c>
      <c r="D19" s="16">
        <v>7</v>
      </c>
      <c r="E19" s="16">
        <v>0</v>
      </c>
      <c r="F19" s="17">
        <v>511.5</v>
      </c>
      <c r="G19" s="29">
        <v>-0.88</v>
      </c>
      <c r="H19" s="18">
        <f t="shared" si="2"/>
        <v>1.7204301075268817E-3</v>
      </c>
      <c r="I19" s="18">
        <f t="shared" si="3"/>
        <v>0.19759013517540988</v>
      </c>
      <c r="J19" s="17">
        <f t="shared" si="4"/>
        <v>101.06735414222216</v>
      </c>
      <c r="K19" s="17">
        <f t="shared" si="5"/>
        <v>14.43819344888888</v>
      </c>
      <c r="L19" s="16">
        <v>33</v>
      </c>
      <c r="M19" s="19">
        <f t="shared" si="6"/>
        <v>0.21212121212121213</v>
      </c>
      <c r="N19" s="16">
        <v>72</v>
      </c>
      <c r="O19" s="20">
        <f t="shared" ref="O19:P19" si="15">D19/7</f>
        <v>1</v>
      </c>
      <c r="P19" s="20">
        <f t="shared" si="15"/>
        <v>0</v>
      </c>
      <c r="Q19" s="16">
        <f t="shared" si="8"/>
        <v>72</v>
      </c>
      <c r="R19" s="16"/>
      <c r="S19" s="21">
        <v>0.42857142857142799</v>
      </c>
      <c r="T19" s="14">
        <v>0</v>
      </c>
      <c r="U19" s="22" t="s">
        <v>34</v>
      </c>
      <c r="V19" s="23" t="s">
        <v>34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14" t="s">
        <v>35</v>
      </c>
      <c r="AB19" s="27">
        <f t="shared" si="11"/>
        <v>-0.69</v>
      </c>
      <c r="AC19" s="28">
        <v>0.49442503703703705</v>
      </c>
      <c r="AD19" s="25">
        <f t="shared" si="12"/>
        <v>-4.7761458577777773</v>
      </c>
      <c r="AE19" s="25">
        <v>-9.6</v>
      </c>
      <c r="AF19" s="25">
        <v>-37.264500000000005</v>
      </c>
      <c r="AG19" s="25">
        <v>0</v>
      </c>
    </row>
    <row r="20" spans="1:33" ht="15.75" customHeight="1">
      <c r="A20" s="14" t="s">
        <v>46</v>
      </c>
      <c r="B20" s="14" t="s">
        <v>435</v>
      </c>
      <c r="C20" s="15">
        <f t="shared" si="1"/>
        <v>73.450000000000017</v>
      </c>
      <c r="D20" s="16">
        <v>8</v>
      </c>
      <c r="E20" s="16">
        <v>1</v>
      </c>
      <c r="F20" s="17">
        <v>587.60000000000014</v>
      </c>
      <c r="G20" s="29">
        <v>0</v>
      </c>
      <c r="H20" s="18">
        <f t="shared" si="2"/>
        <v>0</v>
      </c>
      <c r="I20" s="18">
        <f t="shared" si="3"/>
        <v>0.20266430835791549</v>
      </c>
      <c r="J20" s="17">
        <f t="shared" si="4"/>
        <v>119.08554759111117</v>
      </c>
      <c r="K20" s="17">
        <f t="shared" si="5"/>
        <v>14.885693448888896</v>
      </c>
      <c r="L20" s="16">
        <v>31</v>
      </c>
      <c r="M20" s="19">
        <f t="shared" si="6"/>
        <v>0.25806451612903225</v>
      </c>
      <c r="N20" s="16">
        <v>62</v>
      </c>
      <c r="O20" s="20">
        <f t="shared" ref="O20:P20" si="16">D20/7</f>
        <v>1.1428571428571428</v>
      </c>
      <c r="P20" s="20">
        <f t="shared" si="16"/>
        <v>0.14285714285714285</v>
      </c>
      <c r="Q20" s="16">
        <f t="shared" si="8"/>
        <v>48</v>
      </c>
      <c r="R20" s="16"/>
      <c r="S20" s="21">
        <v>0.894409937888198</v>
      </c>
      <c r="T20" s="14">
        <v>0</v>
      </c>
      <c r="U20" s="22" t="s">
        <v>34</v>
      </c>
      <c r="V20" s="23" t="s">
        <v>34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14" t="s">
        <v>35</v>
      </c>
      <c r="AB20" s="27">
        <f t="shared" si="11"/>
        <v>-0.69</v>
      </c>
      <c r="AC20" s="28">
        <v>0.49442503703703705</v>
      </c>
      <c r="AD20" s="25">
        <f t="shared" si="12"/>
        <v>-5.4584524088888884</v>
      </c>
      <c r="AE20" s="25">
        <v>-9.6</v>
      </c>
      <c r="AF20" s="25">
        <v>-37.264500000000005</v>
      </c>
      <c r="AG20" s="25">
        <v>0</v>
      </c>
    </row>
    <row r="21" spans="1:33" ht="15.75" customHeight="1">
      <c r="A21" s="14" t="s">
        <v>47</v>
      </c>
      <c r="B21" s="14" t="s">
        <v>436</v>
      </c>
      <c r="C21" s="15">
        <f t="shared" si="1"/>
        <v>74.95</v>
      </c>
      <c r="D21" s="16">
        <v>2</v>
      </c>
      <c r="E21" s="16">
        <v>0</v>
      </c>
      <c r="F21" s="17">
        <v>149.9</v>
      </c>
      <c r="G21" s="29">
        <v>0</v>
      </c>
      <c r="H21" s="18">
        <f t="shared" si="2"/>
        <v>0</v>
      </c>
      <c r="I21" s="18">
        <f t="shared" si="3"/>
        <v>0.21561965909124597</v>
      </c>
      <c r="J21" s="17">
        <f t="shared" si="4"/>
        <v>32.321386897777771</v>
      </c>
      <c r="K21" s="17">
        <f t="shared" si="5"/>
        <v>16.160693448888885</v>
      </c>
      <c r="L21" s="16">
        <v>10</v>
      </c>
      <c r="M21" s="19">
        <f t="shared" si="6"/>
        <v>0.2</v>
      </c>
      <c r="N21" s="16">
        <v>60</v>
      </c>
      <c r="O21" s="20">
        <f t="shared" ref="O21:P21" si="17">D21/7</f>
        <v>0.2857142857142857</v>
      </c>
      <c r="P21" s="20">
        <f t="shared" si="17"/>
        <v>0</v>
      </c>
      <c r="Q21" s="16">
        <f t="shared" si="8"/>
        <v>210</v>
      </c>
      <c r="R21" s="16"/>
      <c r="S21" s="21">
        <v>1.0738255033557</v>
      </c>
      <c r="T21" s="14">
        <v>120</v>
      </c>
      <c r="U21" s="22" t="s">
        <v>34</v>
      </c>
      <c r="V21" s="23" t="s">
        <v>34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14" t="s">
        <v>35</v>
      </c>
      <c r="AB21" s="27">
        <f t="shared" si="11"/>
        <v>-0.69</v>
      </c>
      <c r="AC21" s="28">
        <v>0.49442503703703705</v>
      </c>
      <c r="AD21" s="25">
        <f t="shared" si="12"/>
        <v>-1.3646131022222221</v>
      </c>
      <c r="AE21" s="25">
        <v>-9.6</v>
      </c>
      <c r="AF21" s="25">
        <v>-37.264500000000005</v>
      </c>
      <c r="AG21" s="25">
        <v>0</v>
      </c>
    </row>
    <row r="22" spans="1:33" ht="15.75" customHeight="1">
      <c r="A22" s="14" t="s">
        <v>48</v>
      </c>
      <c r="B22" s="14" t="s">
        <v>437</v>
      </c>
      <c r="C22" s="15">
        <f t="shared" si="1"/>
        <v>79.95</v>
      </c>
      <c r="D22" s="16">
        <v>51</v>
      </c>
      <c r="E22" s="16">
        <v>0</v>
      </c>
      <c r="F22" s="29">
        <v>4077.45</v>
      </c>
      <c r="G22" s="29">
        <v>0</v>
      </c>
      <c r="H22" s="18">
        <f t="shared" si="2"/>
        <v>0</v>
      </c>
      <c r="I22" s="18">
        <f t="shared" si="3"/>
        <v>0.25529322637759705</v>
      </c>
      <c r="J22" s="17">
        <f t="shared" si="4"/>
        <v>1040.945365893333</v>
      </c>
      <c r="K22" s="17">
        <f t="shared" si="5"/>
        <v>20.410693448888882</v>
      </c>
      <c r="L22" s="16">
        <v>28</v>
      </c>
      <c r="M22" s="19">
        <f t="shared" si="6"/>
        <v>1.8214285714285714</v>
      </c>
      <c r="N22" s="16">
        <v>14</v>
      </c>
      <c r="O22" s="20">
        <f t="shared" ref="O22:P22" si="18">D22/7</f>
        <v>7.2857142857142856</v>
      </c>
      <c r="P22" s="20">
        <f t="shared" si="18"/>
        <v>0</v>
      </c>
      <c r="Q22" s="16">
        <f t="shared" si="8"/>
        <v>1</v>
      </c>
      <c r="R22" s="16"/>
      <c r="S22" s="21">
        <v>1.16312056737588</v>
      </c>
      <c r="T22" s="14">
        <v>120</v>
      </c>
      <c r="U22" s="22" t="s">
        <v>34</v>
      </c>
      <c r="V22" s="23" t="s">
        <v>34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35</v>
      </c>
      <c r="AB22" s="27">
        <f t="shared" si="11"/>
        <v>-0.69</v>
      </c>
      <c r="AC22" s="28">
        <v>0.49442503703703705</v>
      </c>
      <c r="AD22" s="25">
        <f t="shared" si="12"/>
        <v>-34.797634106666663</v>
      </c>
      <c r="AE22" s="25">
        <v>-9.6</v>
      </c>
      <c r="AF22" s="25">
        <v>-37.264500000000005</v>
      </c>
      <c r="AG22" s="25">
        <v>0</v>
      </c>
    </row>
    <row r="23" spans="1:33" ht="15.75" customHeight="1">
      <c r="A23" s="14" t="s">
        <v>49</v>
      </c>
      <c r="B23" s="14" t="s">
        <v>438</v>
      </c>
      <c r="C23" s="15">
        <f t="shared" si="1"/>
        <v>87.94</v>
      </c>
      <c r="D23" s="16">
        <v>1</v>
      </c>
      <c r="E23" s="16">
        <v>0</v>
      </c>
      <c r="F23" s="17">
        <v>87.94</v>
      </c>
      <c r="G23" s="29">
        <v>0</v>
      </c>
      <c r="H23" s="18">
        <f t="shared" si="2"/>
        <v>0</v>
      </c>
      <c r="I23" s="18">
        <f t="shared" si="3"/>
        <v>0.30932673924140186</v>
      </c>
      <c r="J23" s="17">
        <f t="shared" si="4"/>
        <v>27.202193448888877</v>
      </c>
      <c r="K23" s="17">
        <f t="shared" si="5"/>
        <v>27.202193448888877</v>
      </c>
      <c r="L23" s="16">
        <v>18</v>
      </c>
      <c r="M23" s="19">
        <f t="shared" si="6"/>
        <v>5.5555555555555552E-2</v>
      </c>
      <c r="N23" s="16">
        <v>6</v>
      </c>
      <c r="O23" s="20">
        <f t="shared" ref="O23:P23" si="19">D23/7</f>
        <v>0.14285714285714285</v>
      </c>
      <c r="P23" s="20">
        <f t="shared" si="19"/>
        <v>0</v>
      </c>
      <c r="Q23" s="16">
        <f t="shared" si="8"/>
        <v>42</v>
      </c>
      <c r="R23" s="16"/>
      <c r="S23" s="21">
        <v>0.93805309734513198</v>
      </c>
      <c r="T23" s="14">
        <v>240</v>
      </c>
      <c r="U23" s="22" t="s">
        <v>34</v>
      </c>
      <c r="V23" s="23" t="s">
        <v>34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35</v>
      </c>
      <c r="AB23" s="27">
        <f t="shared" si="11"/>
        <v>-0.69</v>
      </c>
      <c r="AC23" s="28">
        <v>0.49442503703703705</v>
      </c>
      <c r="AD23" s="25">
        <f t="shared" si="12"/>
        <v>-0.68230655111111105</v>
      </c>
      <c r="AE23" s="25">
        <v>-9.6</v>
      </c>
      <c r="AF23" s="25">
        <v>-37.264500000000005</v>
      </c>
      <c r="AG23" s="25">
        <v>0</v>
      </c>
    </row>
    <row r="24" spans="1:33" ht="15.75" customHeight="1">
      <c r="A24" s="14" t="s">
        <v>50</v>
      </c>
      <c r="B24" s="14" t="s">
        <v>45</v>
      </c>
      <c r="C24" s="15">
        <f t="shared" si="1"/>
        <v>87.127499999999998</v>
      </c>
      <c r="D24" s="16">
        <v>4</v>
      </c>
      <c r="E24" s="16">
        <v>0</v>
      </c>
      <c r="F24" s="17">
        <v>348.51</v>
      </c>
      <c r="G24" s="17">
        <v>0</v>
      </c>
      <c r="H24" s="18">
        <f t="shared" si="2"/>
        <v>0</v>
      </c>
      <c r="I24" s="18">
        <f t="shared" si="3"/>
        <v>0.30428473729751088</v>
      </c>
      <c r="J24" s="17">
        <f t="shared" si="4"/>
        <v>106.04627379555552</v>
      </c>
      <c r="K24" s="17">
        <f t="shared" si="5"/>
        <v>26.51156844888888</v>
      </c>
      <c r="L24" s="16">
        <v>11</v>
      </c>
      <c r="M24" s="19">
        <f t="shared" si="6"/>
        <v>0.36363636363636365</v>
      </c>
      <c r="N24" s="16">
        <v>1</v>
      </c>
      <c r="O24" s="20">
        <f t="shared" ref="O24:P24" si="20">D24/7</f>
        <v>0.5714285714285714</v>
      </c>
      <c r="P24" s="20">
        <f t="shared" si="20"/>
        <v>0</v>
      </c>
      <c r="Q24" s="16">
        <f t="shared" si="8"/>
        <v>1</v>
      </c>
      <c r="R24" s="16"/>
      <c r="S24" s="21">
        <v>2.1714285714285699</v>
      </c>
      <c r="T24" s="14">
        <v>240</v>
      </c>
      <c r="U24" s="22" t="s">
        <v>34</v>
      </c>
      <c r="V24" s="23" t="s">
        <v>34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14" t="s">
        <v>35</v>
      </c>
      <c r="AB24" s="27">
        <f t="shared" si="11"/>
        <v>-0.69</v>
      </c>
      <c r="AC24" s="28">
        <v>0.49442503703703705</v>
      </c>
      <c r="AD24" s="25">
        <f t="shared" si="12"/>
        <v>-2.7292262044444442</v>
      </c>
      <c r="AE24" s="25">
        <v>-9.6</v>
      </c>
      <c r="AF24" s="25">
        <v>-37.264500000000005</v>
      </c>
      <c r="AG24" s="25">
        <v>0</v>
      </c>
    </row>
    <row r="25" spans="1:33" ht="15.75" customHeight="1">
      <c r="A25" s="14" t="s">
        <v>51</v>
      </c>
      <c r="B25" s="14"/>
      <c r="C25" s="15">
        <f t="shared" si="1"/>
        <v>81.540000000000006</v>
      </c>
      <c r="D25" s="16">
        <v>1</v>
      </c>
      <c r="E25" s="16">
        <v>0</v>
      </c>
      <c r="F25" s="17">
        <v>81.540000000000006</v>
      </c>
      <c r="G25" s="17">
        <v>0</v>
      </c>
      <c r="H25" s="18">
        <f t="shared" si="2"/>
        <v>0</v>
      </c>
      <c r="I25" s="18">
        <f t="shared" si="3"/>
        <v>0.26694497729812222</v>
      </c>
      <c r="J25" s="17">
        <f t="shared" si="4"/>
        <v>21.766693448888887</v>
      </c>
      <c r="K25" s="17">
        <f t="shared" si="5"/>
        <v>21.766693448888887</v>
      </c>
      <c r="L25" s="16">
        <v>1</v>
      </c>
      <c r="M25" s="19">
        <f t="shared" si="6"/>
        <v>1</v>
      </c>
      <c r="N25" s="16">
        <v>0</v>
      </c>
      <c r="O25" s="20">
        <f t="shared" ref="O25:P25" si="21">D25/7</f>
        <v>0.14285714285714285</v>
      </c>
      <c r="P25" s="20">
        <f t="shared" si="21"/>
        <v>0</v>
      </c>
      <c r="Q25" s="16">
        <f t="shared" si="8"/>
        <v>0</v>
      </c>
      <c r="R25" s="16"/>
      <c r="S25" s="21">
        <v>2.4713375796178338</v>
      </c>
      <c r="T25" s="14">
        <v>240</v>
      </c>
      <c r="U25" s="22" t="s">
        <v>34</v>
      </c>
      <c r="V25" s="23" t="s">
        <v>34</v>
      </c>
      <c r="W25" s="30">
        <v>0</v>
      </c>
      <c r="X25" s="24">
        <f t="shared" si="9"/>
        <v>0</v>
      </c>
      <c r="Y25" s="25">
        <f t="shared" si="10"/>
        <v>0</v>
      </c>
      <c r="Z25" s="30">
        <v>0</v>
      </c>
      <c r="AA25" s="14" t="s">
        <v>35</v>
      </c>
      <c r="AB25" s="27">
        <f t="shared" si="11"/>
        <v>-0.69</v>
      </c>
      <c r="AC25" s="28">
        <v>0.49442503703703705</v>
      </c>
      <c r="AD25" s="25">
        <f t="shared" si="12"/>
        <v>-0.68230655111111105</v>
      </c>
      <c r="AE25" s="25">
        <v>-9.6</v>
      </c>
      <c r="AF25" s="25">
        <v>-37.26</v>
      </c>
      <c r="AG25" s="25">
        <v>0</v>
      </c>
    </row>
    <row r="26" spans="1:33" ht="15.75" customHeight="1">
      <c r="A26" s="14" t="s">
        <v>52</v>
      </c>
      <c r="B26" s="14"/>
      <c r="C26" s="15" t="str">
        <f t="shared" si="1"/>
        <v xml:space="preserve"> - </v>
      </c>
      <c r="D26" s="16">
        <v>0</v>
      </c>
      <c r="E26" s="16">
        <v>0</v>
      </c>
      <c r="F26" s="17">
        <v>0</v>
      </c>
      <c r="G26" s="17">
        <v>0</v>
      </c>
      <c r="H26" s="18" t="e">
        <f t="shared" si="2"/>
        <v>#DIV/0!</v>
      </c>
      <c r="I26" s="18" t="e">
        <f t="shared" si="3"/>
        <v>#DIV/0!</v>
      </c>
      <c r="J26" s="17">
        <f t="shared" si="4"/>
        <v>0</v>
      </c>
      <c r="K26" s="17" t="e">
        <f t="shared" si="5"/>
        <v>#DIV/0!</v>
      </c>
      <c r="L26" s="16">
        <v>0</v>
      </c>
      <c r="M26" s="19" t="str">
        <f t="shared" si="6"/>
        <v>-</v>
      </c>
      <c r="N26" s="16">
        <v>0</v>
      </c>
      <c r="O26" s="20">
        <f t="shared" ref="O26:P26" si="22">D26/7</f>
        <v>0</v>
      </c>
      <c r="P26" s="20">
        <f t="shared" si="22"/>
        <v>0</v>
      </c>
      <c r="Q26" s="16" t="e">
        <f t="shared" si="8"/>
        <v>#DIV/0!</v>
      </c>
      <c r="R26" s="16"/>
      <c r="S26" s="21">
        <v>2.6040268456375841</v>
      </c>
      <c r="T26" s="14">
        <v>240</v>
      </c>
      <c r="U26" s="22" t="s">
        <v>34</v>
      </c>
      <c r="V26" s="23" t="s">
        <v>34</v>
      </c>
      <c r="W26" s="30">
        <v>0</v>
      </c>
      <c r="X26" s="24">
        <f t="shared" si="9"/>
        <v>0</v>
      </c>
      <c r="Y26" s="25">
        <f t="shared" si="10"/>
        <v>0</v>
      </c>
      <c r="Z26" s="30">
        <v>0</v>
      </c>
      <c r="AA26" s="14" t="s">
        <v>35</v>
      </c>
      <c r="AB26" s="27">
        <f t="shared" si="11"/>
        <v>-0.69</v>
      </c>
      <c r="AC26" s="28">
        <v>0.49442503703703705</v>
      </c>
      <c r="AD26" s="25">
        <f t="shared" si="12"/>
        <v>0</v>
      </c>
      <c r="AE26" s="25">
        <v>-9.6</v>
      </c>
      <c r="AF26" s="25">
        <v>-37.264499999999998</v>
      </c>
      <c r="AG26" s="25">
        <v>0</v>
      </c>
    </row>
    <row r="27" spans="1:33" ht="15.75" customHeight="1">
      <c r="A27" s="14" t="s">
        <v>53</v>
      </c>
      <c r="B27" s="14"/>
      <c r="C27" s="15" t="str">
        <f t="shared" si="1"/>
        <v xml:space="preserve"> - </v>
      </c>
      <c r="D27" s="16">
        <v>0</v>
      </c>
      <c r="E27" s="16">
        <v>0</v>
      </c>
      <c r="F27" s="17">
        <v>0</v>
      </c>
      <c r="G27" s="17">
        <v>0</v>
      </c>
      <c r="H27" s="18" t="e">
        <f t="shared" si="2"/>
        <v>#DIV/0!</v>
      </c>
      <c r="I27" s="18" t="e">
        <f t="shared" si="3"/>
        <v>#DIV/0!</v>
      </c>
      <c r="J27" s="17">
        <f t="shared" si="4"/>
        <v>0</v>
      </c>
      <c r="K27" s="17" t="e">
        <f t="shared" si="5"/>
        <v>#DIV/0!</v>
      </c>
      <c r="L27" s="16">
        <v>0</v>
      </c>
      <c r="M27" s="19" t="str">
        <f t="shared" si="6"/>
        <v>-</v>
      </c>
      <c r="N27" s="16">
        <v>0</v>
      </c>
      <c r="O27" s="20">
        <f t="shared" ref="O27:P27" si="23">D27/7</f>
        <v>0</v>
      </c>
      <c r="P27" s="20">
        <f t="shared" si="23"/>
        <v>0</v>
      </c>
      <c r="Q27" s="16" t="e">
        <f t="shared" si="8"/>
        <v>#DIV/0!</v>
      </c>
      <c r="R27" s="16"/>
      <c r="S27" s="21">
        <v>1.701754385964912</v>
      </c>
      <c r="T27" s="14">
        <v>240</v>
      </c>
      <c r="U27" s="22" t="s">
        <v>34</v>
      </c>
      <c r="V27" s="23" t="s">
        <v>34</v>
      </c>
      <c r="W27" s="30">
        <v>0</v>
      </c>
      <c r="X27" s="24">
        <f t="shared" si="9"/>
        <v>0</v>
      </c>
      <c r="Y27" s="25">
        <f t="shared" si="10"/>
        <v>0</v>
      </c>
      <c r="Z27" s="30">
        <v>0</v>
      </c>
      <c r="AA27" s="14" t="s">
        <v>35</v>
      </c>
      <c r="AB27" s="27">
        <f t="shared" si="11"/>
        <v>-0.69</v>
      </c>
      <c r="AC27" s="28">
        <v>0.49442503703703705</v>
      </c>
      <c r="AD27" s="25">
        <f t="shared" si="12"/>
        <v>0</v>
      </c>
      <c r="AE27" s="25">
        <v>-9.6</v>
      </c>
      <c r="AF27" s="25">
        <v>-37.390500000000003</v>
      </c>
      <c r="AG27" s="25">
        <v>0</v>
      </c>
    </row>
    <row r="28" spans="1:33" ht="15.75" customHeight="1">
      <c r="A28" s="14" t="s">
        <v>54</v>
      </c>
      <c r="B28" s="14"/>
      <c r="C28" s="15" t="str">
        <f t="shared" si="1"/>
        <v xml:space="preserve"> - </v>
      </c>
      <c r="D28" s="16">
        <v>0</v>
      </c>
      <c r="E28" s="16">
        <v>0</v>
      </c>
      <c r="F28" s="17">
        <v>0</v>
      </c>
      <c r="G28" s="17">
        <v>0</v>
      </c>
      <c r="H28" s="18" t="e">
        <f t="shared" si="2"/>
        <v>#DIV/0!</v>
      </c>
      <c r="I28" s="18" t="e">
        <f t="shared" si="3"/>
        <v>#DIV/0!</v>
      </c>
      <c r="J28" s="17">
        <f t="shared" si="4"/>
        <v>0</v>
      </c>
      <c r="K28" s="17" t="e">
        <f t="shared" si="5"/>
        <v>#DIV/0!</v>
      </c>
      <c r="L28" s="16">
        <v>0</v>
      </c>
      <c r="M28" s="19" t="str">
        <f t="shared" si="6"/>
        <v>-</v>
      </c>
      <c r="N28" s="16">
        <v>0</v>
      </c>
      <c r="O28" s="20">
        <f t="shared" ref="O28:P28" si="24">D28/7</f>
        <v>0</v>
      </c>
      <c r="P28" s="20">
        <f t="shared" si="24"/>
        <v>0</v>
      </c>
      <c r="Q28" s="16" t="e">
        <f t="shared" si="8"/>
        <v>#DIV/0!</v>
      </c>
      <c r="R28" s="16"/>
      <c r="S28" s="21">
        <v>0</v>
      </c>
      <c r="T28" s="14">
        <v>60</v>
      </c>
      <c r="U28" s="22" t="s">
        <v>34</v>
      </c>
      <c r="V28" s="23" t="s">
        <v>34</v>
      </c>
      <c r="W28" s="30">
        <v>0</v>
      </c>
      <c r="X28" s="24">
        <f t="shared" si="9"/>
        <v>0</v>
      </c>
      <c r="Y28" s="25">
        <f t="shared" si="10"/>
        <v>0</v>
      </c>
      <c r="Z28" s="30">
        <v>0</v>
      </c>
      <c r="AA28" s="14" t="s">
        <v>35</v>
      </c>
      <c r="AB28" s="27">
        <f t="shared" si="11"/>
        <v>-0.69</v>
      </c>
      <c r="AC28" s="28">
        <v>0.49442503703703705</v>
      </c>
      <c r="AD28" s="25">
        <f t="shared" si="12"/>
        <v>0</v>
      </c>
      <c r="AE28" s="25">
        <v>-9.6</v>
      </c>
      <c r="AF28" s="25">
        <v>-37.390500000000003</v>
      </c>
      <c r="AG28" s="25">
        <v>0</v>
      </c>
    </row>
    <row r="29" spans="1:33" ht="15.75" customHeight="1">
      <c r="A29" s="14" t="s">
        <v>55</v>
      </c>
      <c r="B29" s="14"/>
      <c r="C29" s="15" t="str">
        <f t="shared" si="1"/>
        <v xml:space="preserve"> - </v>
      </c>
      <c r="D29" s="16">
        <v>0</v>
      </c>
      <c r="E29" s="16">
        <v>0</v>
      </c>
      <c r="F29" s="17">
        <v>0</v>
      </c>
      <c r="G29" s="17">
        <v>0</v>
      </c>
      <c r="H29" s="18" t="e">
        <f t="shared" si="2"/>
        <v>#DIV/0!</v>
      </c>
      <c r="I29" s="18" t="e">
        <f t="shared" si="3"/>
        <v>#DIV/0!</v>
      </c>
      <c r="J29" s="17">
        <f t="shared" si="4"/>
        <v>0</v>
      </c>
      <c r="K29" s="17" t="e">
        <f t="shared" si="5"/>
        <v>#DIV/0!</v>
      </c>
      <c r="L29" s="16">
        <v>0</v>
      </c>
      <c r="M29" s="19" t="str">
        <f t="shared" si="6"/>
        <v>-</v>
      </c>
      <c r="N29" s="16">
        <v>0</v>
      </c>
      <c r="O29" s="20">
        <f t="shared" ref="O29:P29" si="25">D29/7</f>
        <v>0</v>
      </c>
      <c r="P29" s="20">
        <f t="shared" si="25"/>
        <v>0</v>
      </c>
      <c r="Q29" s="16" t="e">
        <f t="shared" si="8"/>
        <v>#DIV/0!</v>
      </c>
      <c r="R29" s="16"/>
      <c r="S29" s="21">
        <v>0</v>
      </c>
      <c r="T29" s="14">
        <v>60</v>
      </c>
      <c r="U29" s="22" t="s">
        <v>34</v>
      </c>
      <c r="V29" s="23" t="s">
        <v>34</v>
      </c>
      <c r="W29" s="30">
        <v>0</v>
      </c>
      <c r="X29" s="24">
        <f t="shared" si="9"/>
        <v>0</v>
      </c>
      <c r="Y29" s="25">
        <f t="shared" si="10"/>
        <v>0</v>
      </c>
      <c r="Z29" s="30">
        <v>0</v>
      </c>
      <c r="AA29" s="14" t="s">
        <v>35</v>
      </c>
      <c r="AB29" s="27">
        <f t="shared" si="11"/>
        <v>-0.69</v>
      </c>
      <c r="AC29" s="28">
        <v>0.49442503703703705</v>
      </c>
      <c r="AD29" s="25">
        <f t="shared" si="12"/>
        <v>0</v>
      </c>
      <c r="AE29" s="25">
        <v>-9.6</v>
      </c>
      <c r="AF29" s="25">
        <v>-37.390500000000003</v>
      </c>
      <c r="AG29" s="25">
        <v>0</v>
      </c>
    </row>
    <row r="30" spans="1:33" ht="15.75" customHeight="1">
      <c r="A30" s="14" t="s">
        <v>57</v>
      </c>
      <c r="B30" s="14"/>
      <c r="C30" s="15" t="str">
        <f t="shared" si="1"/>
        <v xml:space="preserve"> - </v>
      </c>
      <c r="D30" s="16">
        <v>0</v>
      </c>
      <c r="E30" s="16">
        <v>0</v>
      </c>
      <c r="F30" s="17">
        <v>0</v>
      </c>
      <c r="G30" s="17">
        <v>0</v>
      </c>
      <c r="H30" s="18" t="e">
        <f t="shared" si="2"/>
        <v>#DIV/0!</v>
      </c>
      <c r="I30" s="18" t="e">
        <f t="shared" si="3"/>
        <v>#DIV/0!</v>
      </c>
      <c r="J30" s="17">
        <f t="shared" si="4"/>
        <v>0</v>
      </c>
      <c r="K30" s="17" t="e">
        <f t="shared" si="5"/>
        <v>#DIV/0!</v>
      </c>
      <c r="L30" s="16">
        <v>0</v>
      </c>
      <c r="M30" s="19" t="str">
        <f t="shared" si="6"/>
        <v>-</v>
      </c>
      <c r="N30" s="16">
        <v>0</v>
      </c>
      <c r="O30" s="20">
        <f t="shared" ref="O30:P30" si="26">D30/7</f>
        <v>0</v>
      </c>
      <c r="P30" s="20">
        <f t="shared" si="26"/>
        <v>0</v>
      </c>
      <c r="Q30" s="16" t="e">
        <f t="shared" si="8"/>
        <v>#DIV/0!</v>
      </c>
      <c r="R30" s="16"/>
      <c r="S30" s="21">
        <v>0</v>
      </c>
      <c r="T30" s="14">
        <v>120</v>
      </c>
      <c r="U30" s="22" t="s">
        <v>34</v>
      </c>
      <c r="V30" s="23" t="s">
        <v>34</v>
      </c>
      <c r="W30" s="30">
        <v>0</v>
      </c>
      <c r="X30" s="24">
        <f t="shared" si="9"/>
        <v>0</v>
      </c>
      <c r="Y30" s="25">
        <f t="shared" si="10"/>
        <v>0</v>
      </c>
      <c r="Z30" s="30">
        <v>0</v>
      </c>
      <c r="AA30" s="14" t="s">
        <v>35</v>
      </c>
      <c r="AB30" s="27">
        <f t="shared" si="11"/>
        <v>-0.69</v>
      </c>
      <c r="AC30" s="28">
        <v>0.49442503703703705</v>
      </c>
      <c r="AD30" s="25">
        <f t="shared" si="12"/>
        <v>0</v>
      </c>
      <c r="AE30" s="25">
        <v>-9.6</v>
      </c>
      <c r="AF30" s="25">
        <v>-36.341288339999998</v>
      </c>
      <c r="AG30" s="25">
        <v>0</v>
      </c>
    </row>
    <row r="31" spans="1:33" ht="15.75" customHeight="1">
      <c r="A31" s="14" t="s">
        <v>58</v>
      </c>
      <c r="B31" s="14"/>
      <c r="C31" s="15" t="str">
        <f t="shared" si="1"/>
        <v xml:space="preserve"> - </v>
      </c>
      <c r="D31" s="16">
        <v>0</v>
      </c>
      <c r="E31" s="16">
        <v>0</v>
      </c>
      <c r="F31" s="17">
        <v>0</v>
      </c>
      <c r="G31" s="17">
        <v>0</v>
      </c>
      <c r="H31" s="18" t="e">
        <f t="shared" si="2"/>
        <v>#DIV/0!</v>
      </c>
      <c r="I31" s="18" t="e">
        <f t="shared" si="3"/>
        <v>#DIV/0!</v>
      </c>
      <c r="J31" s="17">
        <f t="shared" si="4"/>
        <v>0</v>
      </c>
      <c r="K31" s="17" t="e">
        <f t="shared" si="5"/>
        <v>#DIV/0!</v>
      </c>
      <c r="L31" s="16">
        <v>0</v>
      </c>
      <c r="M31" s="19" t="str">
        <f t="shared" si="6"/>
        <v>-</v>
      </c>
      <c r="N31" s="16">
        <v>0</v>
      </c>
      <c r="O31" s="20">
        <f t="shared" ref="O31:P31" si="27">D31/7</f>
        <v>0</v>
      </c>
      <c r="P31" s="20">
        <f t="shared" si="27"/>
        <v>0</v>
      </c>
      <c r="Q31" s="16" t="e">
        <f t="shared" si="8"/>
        <v>#DIV/0!</v>
      </c>
      <c r="R31" s="16"/>
      <c r="S31" s="21" t="e">
        <v>#N/A</v>
      </c>
      <c r="T31" s="14">
        <v>120</v>
      </c>
      <c r="U31" s="22" t="s">
        <v>34</v>
      </c>
      <c r="V31" s="23" t="s">
        <v>360</v>
      </c>
      <c r="W31" s="30">
        <v>0</v>
      </c>
      <c r="X31" s="24">
        <f t="shared" si="9"/>
        <v>0</v>
      </c>
      <c r="Y31" s="25">
        <f t="shared" si="10"/>
        <v>0</v>
      </c>
      <c r="Z31" s="30">
        <v>0</v>
      </c>
      <c r="AA31" s="14" t="s">
        <v>35</v>
      </c>
      <c r="AB31" s="27">
        <f t="shared" si="11"/>
        <v>-0.69</v>
      </c>
      <c r="AC31" s="28">
        <v>0.49442503703703705</v>
      </c>
      <c r="AD31" s="25">
        <f t="shared" si="12"/>
        <v>0</v>
      </c>
      <c r="AE31" s="25">
        <v>-9.6</v>
      </c>
      <c r="AF31" s="25">
        <v>-36.341288340000006</v>
      </c>
      <c r="AG31" s="25">
        <v>0</v>
      </c>
    </row>
    <row r="32" spans="1:33" ht="15.75" customHeight="1">
      <c r="A32" s="14" t="s">
        <v>60</v>
      </c>
      <c r="B32" s="14"/>
      <c r="C32" s="15" t="str">
        <f t="shared" si="1"/>
        <v xml:space="preserve"> - </v>
      </c>
      <c r="D32" s="16">
        <v>0</v>
      </c>
      <c r="E32" s="16">
        <v>0</v>
      </c>
      <c r="F32" s="17">
        <v>0</v>
      </c>
      <c r="G32" s="17">
        <v>0</v>
      </c>
      <c r="H32" s="18" t="e">
        <f t="shared" si="2"/>
        <v>#DIV/0!</v>
      </c>
      <c r="I32" s="18" t="e">
        <f t="shared" si="3"/>
        <v>#DIV/0!</v>
      </c>
      <c r="J32" s="17">
        <f t="shared" si="4"/>
        <v>0</v>
      </c>
      <c r="K32" s="17" t="e">
        <f t="shared" si="5"/>
        <v>#DIV/0!</v>
      </c>
      <c r="L32" s="16">
        <v>0</v>
      </c>
      <c r="M32" s="19" t="str">
        <f t="shared" si="6"/>
        <v>-</v>
      </c>
      <c r="N32" s="16">
        <v>0</v>
      </c>
      <c r="O32" s="20">
        <f t="shared" ref="O32:P32" si="28">D32/7</f>
        <v>0</v>
      </c>
      <c r="P32" s="20">
        <f t="shared" si="28"/>
        <v>0</v>
      </c>
      <c r="Q32" s="16" t="e">
        <f t="shared" si="8"/>
        <v>#DIV/0!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0</v>
      </c>
      <c r="T32" s="14">
        <f ca="1">IFERROR(__xludf.DUMMYFUNCTION("IFERROR(VLOOKUP($B$2,IMPORTRANGE(""https://docs.google.com/spreadsheets/d/1KiWZV1ko8G7lnRucBRBd29jj3Be6ltMfljMDqzOkQmI/edit#gid=1381463014"",""Lookup!A:D""),4,FALSE),"""")"),120)</f>
        <v>120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23" t="str">
        <f ca="1">IFERROR(__xludf.DUMMYFUNCTION("IFERROR(VLOOKUP($B$2,IMPORTRANGE(""https://docs.google.com/spreadsheets/d/1KiWZV1ko8G7lnRucBRBd29jj3Be6ltMfljMDqzOkQmI/edit#gid=1381463014"",""Lookup!A:D""),2,FALSE),"""")"),"No Transit, But 120 At Factory 50-75 days from Earliest Arrival")</f>
        <v>No Transit, But 120 At Factory 50-75 days from Earliest Arrival</v>
      </c>
      <c r="W32" s="30">
        <v>0</v>
      </c>
      <c r="X32" s="24">
        <f t="shared" si="9"/>
        <v>0</v>
      </c>
      <c r="Y32" s="25">
        <f t="shared" si="10"/>
        <v>0</v>
      </c>
      <c r="Z32" s="30">
        <v>0</v>
      </c>
      <c r="AA32" s="14" t="s">
        <v>35</v>
      </c>
      <c r="AB32" s="27">
        <f t="shared" si="11"/>
        <v>-0.69</v>
      </c>
      <c r="AC32" s="28">
        <v>0.49442503703703705</v>
      </c>
      <c r="AD32" s="25">
        <f t="shared" si="12"/>
        <v>0</v>
      </c>
      <c r="AE32" s="25">
        <v>-9.6</v>
      </c>
      <c r="AF32" s="25">
        <v>-36.341288339999998</v>
      </c>
      <c r="AG32" s="25">
        <v>0</v>
      </c>
    </row>
    <row r="33" spans="1:33" ht="15.75" customHeight="1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16"/>
      <c r="S33" s="21"/>
      <c r="T33" s="31"/>
      <c r="U33" s="36"/>
      <c r="V33" s="1"/>
      <c r="W33" s="31"/>
      <c r="X33" s="31"/>
      <c r="Y33" s="31"/>
      <c r="Z33" s="31"/>
      <c r="AA33" s="2"/>
      <c r="AB33" s="31"/>
      <c r="AC33" s="31"/>
      <c r="AD33" s="31"/>
      <c r="AE33" s="37"/>
      <c r="AF33" s="37"/>
      <c r="AG33" s="37"/>
    </row>
    <row r="34" spans="1:33" ht="15.75" customHeight="1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6"/>
      <c r="V34" s="1"/>
      <c r="W34" s="31"/>
      <c r="X34" s="31"/>
      <c r="Y34" s="31"/>
      <c r="Z34" s="31"/>
      <c r="AA34" s="2"/>
      <c r="AB34" s="31"/>
      <c r="AC34" s="31"/>
      <c r="AD34" s="31"/>
      <c r="AE34" s="37"/>
      <c r="AF34" s="37"/>
      <c r="AG34" s="37"/>
    </row>
    <row r="35" spans="1:33" ht="15.75" customHeight="1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6"/>
      <c r="V35" s="1"/>
      <c r="W35" s="31"/>
      <c r="X35" s="31"/>
      <c r="Y35" s="31"/>
      <c r="Z35" s="31"/>
      <c r="AA35" s="2"/>
      <c r="AB35" s="31"/>
      <c r="AC35" s="31"/>
      <c r="AD35" s="31"/>
      <c r="AE35" s="37"/>
      <c r="AF35" s="37"/>
      <c r="AG35" s="37"/>
    </row>
    <row r="36" spans="1:33" ht="15.75" customHeight="1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6"/>
      <c r="V36" s="1"/>
      <c r="W36" s="31"/>
      <c r="X36" s="31"/>
      <c r="Y36" s="31"/>
      <c r="Z36" s="31"/>
      <c r="AA36" s="2"/>
      <c r="AB36" s="31"/>
      <c r="AC36" s="31"/>
      <c r="AD36" s="31"/>
      <c r="AE36" s="37"/>
      <c r="AF36" s="37"/>
      <c r="AG36" s="37"/>
    </row>
    <row r="37" spans="1:33" ht="15.75" customHeight="1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6"/>
      <c r="V37" s="1"/>
      <c r="W37" s="31"/>
      <c r="X37" s="31"/>
      <c r="Y37" s="31"/>
      <c r="Z37" s="31"/>
      <c r="AA37" s="2"/>
      <c r="AB37" s="31"/>
      <c r="AC37" s="31"/>
      <c r="AD37" s="31"/>
      <c r="AE37" s="37"/>
      <c r="AF37" s="37"/>
      <c r="AG37" s="37"/>
    </row>
    <row r="38" spans="1:33" ht="15.75" customHeight="1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6"/>
      <c r="V38" s="1"/>
      <c r="W38" s="31"/>
      <c r="X38" s="31"/>
      <c r="Y38" s="31"/>
      <c r="Z38" s="31"/>
      <c r="AA38" s="2"/>
      <c r="AB38" s="31"/>
      <c r="AC38" s="31"/>
      <c r="AD38" s="31"/>
      <c r="AE38" s="37"/>
      <c r="AF38" s="37"/>
      <c r="AG38" s="37"/>
    </row>
    <row r="39" spans="1:33" ht="15.75" customHeight="1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6"/>
      <c r="V39" s="1"/>
      <c r="W39" s="31"/>
      <c r="X39" s="31"/>
      <c r="Y39" s="31"/>
      <c r="Z39" s="31"/>
      <c r="AA39" s="2"/>
      <c r="AB39" s="31"/>
      <c r="AC39" s="31"/>
      <c r="AD39" s="31"/>
      <c r="AE39" s="37"/>
      <c r="AF39" s="37"/>
      <c r="AG39" s="37"/>
    </row>
    <row r="40" spans="1:33" ht="15.75" customHeight="1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6"/>
      <c r="V40" s="1"/>
      <c r="W40" s="31"/>
      <c r="X40" s="31"/>
      <c r="Y40" s="31"/>
      <c r="Z40" s="31"/>
      <c r="AA40" s="2"/>
      <c r="AB40" s="31"/>
      <c r="AC40" s="31"/>
      <c r="AD40" s="31"/>
      <c r="AE40" s="37"/>
      <c r="AF40" s="37"/>
      <c r="AG40" s="37"/>
    </row>
    <row r="41" spans="1:33" ht="15.75" customHeight="1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6"/>
      <c r="V41" s="1"/>
      <c r="W41" s="31"/>
      <c r="X41" s="31"/>
      <c r="Y41" s="31"/>
      <c r="Z41" s="31"/>
      <c r="AA41" s="2"/>
      <c r="AB41" s="31"/>
      <c r="AC41" s="31"/>
      <c r="AD41" s="31"/>
      <c r="AE41" s="37"/>
      <c r="AF41" s="37"/>
      <c r="AG41" s="37"/>
    </row>
    <row r="42" spans="1:33" ht="15.75" customHeight="1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6"/>
      <c r="V42" s="1"/>
      <c r="W42" s="31"/>
      <c r="X42" s="31"/>
      <c r="Y42" s="31"/>
      <c r="Z42" s="31"/>
      <c r="AA42" s="2"/>
      <c r="AB42" s="31"/>
      <c r="AC42" s="31"/>
      <c r="AD42" s="31"/>
      <c r="AE42" s="37"/>
      <c r="AF42" s="37"/>
      <c r="AG42" s="37"/>
    </row>
    <row r="43" spans="1:33" ht="15.75" customHeight="1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6"/>
      <c r="V43" s="1"/>
      <c r="W43" s="31"/>
      <c r="X43" s="31"/>
      <c r="Y43" s="31"/>
      <c r="Z43" s="31"/>
      <c r="AA43" s="2"/>
      <c r="AB43" s="31"/>
      <c r="AC43" s="31"/>
      <c r="AD43" s="31"/>
      <c r="AE43" s="37"/>
      <c r="AF43" s="37"/>
      <c r="AG43" s="37"/>
    </row>
    <row r="44" spans="1:33" ht="15.75" customHeight="1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6"/>
      <c r="V44" s="1"/>
      <c r="W44" s="31"/>
      <c r="X44" s="31"/>
      <c r="Y44" s="31"/>
      <c r="Z44" s="31"/>
      <c r="AA44" s="2"/>
      <c r="AB44" s="31"/>
      <c r="AC44" s="31"/>
      <c r="AD44" s="31"/>
      <c r="AE44" s="37"/>
      <c r="AF44" s="37"/>
      <c r="AG44" s="37"/>
    </row>
    <row r="45" spans="1:33" ht="15.75" customHeight="1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6"/>
      <c r="V45" s="1"/>
      <c r="W45" s="31"/>
      <c r="X45" s="31"/>
      <c r="Y45" s="31"/>
      <c r="Z45" s="31"/>
      <c r="AA45" s="2"/>
      <c r="AB45" s="31"/>
      <c r="AC45" s="31"/>
      <c r="AD45" s="31"/>
      <c r="AE45" s="37"/>
      <c r="AF45" s="37"/>
      <c r="AG45" s="37"/>
    </row>
    <row r="46" spans="1:33" ht="15.75" customHeight="1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6"/>
      <c r="V46" s="1"/>
      <c r="W46" s="31"/>
      <c r="X46" s="31"/>
      <c r="Y46" s="31"/>
      <c r="Z46" s="31"/>
      <c r="AA46" s="2"/>
      <c r="AB46" s="31"/>
      <c r="AC46" s="31"/>
      <c r="AD46" s="31"/>
      <c r="AE46" s="37"/>
      <c r="AF46" s="37"/>
      <c r="AG46" s="37"/>
    </row>
    <row r="47" spans="1:33" ht="15.75" customHeight="1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6"/>
      <c r="V47" s="1"/>
      <c r="W47" s="31"/>
      <c r="X47" s="31"/>
      <c r="Y47" s="31"/>
      <c r="Z47" s="31"/>
      <c r="AA47" s="2"/>
      <c r="AB47" s="31"/>
      <c r="AC47" s="31"/>
      <c r="AD47" s="31"/>
      <c r="AE47" s="37"/>
      <c r="AF47" s="37"/>
      <c r="AG47" s="37"/>
    </row>
    <row r="48" spans="1:33" ht="15.75" customHeight="1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6"/>
      <c r="V48" s="1"/>
      <c r="W48" s="31"/>
      <c r="X48" s="31"/>
      <c r="Y48" s="31"/>
      <c r="Z48" s="31"/>
      <c r="AA48" s="2"/>
      <c r="AB48" s="31"/>
      <c r="AC48" s="31"/>
      <c r="AD48" s="31"/>
      <c r="AE48" s="37"/>
      <c r="AF48" s="37"/>
      <c r="AG48" s="37"/>
    </row>
    <row r="49" spans="1:33" ht="15.75" customHeight="1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6"/>
      <c r="V49" s="1"/>
      <c r="W49" s="31"/>
      <c r="X49" s="31"/>
      <c r="Y49" s="31"/>
      <c r="Z49" s="31"/>
      <c r="AA49" s="2"/>
      <c r="AB49" s="31"/>
      <c r="AC49" s="31"/>
      <c r="AD49" s="31"/>
      <c r="AE49" s="37"/>
      <c r="AF49" s="37"/>
      <c r="AG49" s="37"/>
    </row>
    <row r="50" spans="1:33" ht="15.75" customHeight="1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6"/>
      <c r="V50" s="1"/>
      <c r="W50" s="31"/>
      <c r="X50" s="31"/>
      <c r="Y50" s="31"/>
      <c r="Z50" s="31"/>
      <c r="AA50" s="2"/>
      <c r="AB50" s="31"/>
      <c r="AC50" s="31"/>
      <c r="AD50" s="31"/>
      <c r="AE50" s="37"/>
      <c r="AF50" s="37"/>
      <c r="AG50" s="37"/>
    </row>
    <row r="51" spans="1:33" ht="15.75" customHeight="1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6"/>
      <c r="V51" s="1"/>
      <c r="W51" s="31"/>
      <c r="X51" s="31"/>
      <c r="Y51" s="31"/>
      <c r="Z51" s="31"/>
      <c r="AA51" s="2"/>
      <c r="AB51" s="31"/>
      <c r="AC51" s="31"/>
      <c r="AD51" s="31"/>
      <c r="AE51" s="37"/>
      <c r="AF51" s="37"/>
      <c r="AG51" s="37"/>
    </row>
    <row r="52" spans="1:33" ht="15.75" customHeight="1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6"/>
      <c r="V52" s="1"/>
      <c r="W52" s="31"/>
      <c r="X52" s="31"/>
      <c r="Y52" s="31"/>
      <c r="Z52" s="31"/>
      <c r="AA52" s="2"/>
      <c r="AB52" s="31"/>
      <c r="AC52" s="31"/>
      <c r="AD52" s="31"/>
      <c r="AE52" s="37"/>
      <c r="AF52" s="37"/>
      <c r="AG52" s="37"/>
    </row>
    <row r="53" spans="1:33" ht="15.75" customHeight="1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6"/>
      <c r="V53" s="1"/>
      <c r="W53" s="31"/>
      <c r="X53" s="31"/>
      <c r="Y53" s="31"/>
      <c r="Z53" s="31"/>
      <c r="AA53" s="2"/>
      <c r="AB53" s="31"/>
      <c r="AC53" s="31"/>
      <c r="AD53" s="31"/>
      <c r="AE53" s="37"/>
      <c r="AF53" s="37"/>
      <c r="AG53" s="37"/>
    </row>
    <row r="54" spans="1:33" ht="15.75" customHeight="1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6"/>
      <c r="V54" s="1"/>
      <c r="W54" s="31"/>
      <c r="X54" s="31"/>
      <c r="Y54" s="31"/>
      <c r="Z54" s="31"/>
      <c r="AA54" s="2"/>
      <c r="AB54" s="31"/>
      <c r="AC54" s="31"/>
      <c r="AD54" s="31"/>
      <c r="AE54" s="37"/>
      <c r="AF54" s="37"/>
      <c r="AG54" s="37"/>
    </row>
    <row r="55" spans="1:33" ht="15.75" customHeight="1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6"/>
      <c r="V55" s="1"/>
      <c r="W55" s="31"/>
      <c r="X55" s="31"/>
      <c r="Y55" s="31"/>
      <c r="Z55" s="31"/>
      <c r="AA55" s="2"/>
      <c r="AB55" s="31"/>
      <c r="AC55" s="31"/>
      <c r="AD55" s="31"/>
      <c r="AE55" s="37"/>
      <c r="AF55" s="37"/>
      <c r="AG55" s="37"/>
    </row>
    <row r="56" spans="1:33" ht="15.75" customHeight="1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6"/>
      <c r="V56" s="1"/>
      <c r="W56" s="31"/>
      <c r="X56" s="31"/>
      <c r="Y56" s="31"/>
      <c r="Z56" s="31"/>
      <c r="AA56" s="2"/>
      <c r="AB56" s="31"/>
      <c r="AC56" s="31"/>
      <c r="AD56" s="31"/>
      <c r="AE56" s="37"/>
      <c r="AF56" s="37"/>
      <c r="AG56" s="37"/>
    </row>
    <row r="57" spans="1:33" ht="15.75" customHeight="1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6"/>
      <c r="V57" s="1"/>
      <c r="W57" s="31"/>
      <c r="X57" s="31"/>
      <c r="Y57" s="31"/>
      <c r="Z57" s="31"/>
      <c r="AA57" s="2"/>
      <c r="AB57" s="31"/>
      <c r="AC57" s="31"/>
      <c r="AD57" s="31"/>
      <c r="AE57" s="37"/>
      <c r="AF57" s="37"/>
      <c r="AG57" s="37"/>
    </row>
    <row r="58" spans="1:33" ht="15.75" customHeight="1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6"/>
      <c r="V58" s="1"/>
      <c r="W58" s="31"/>
      <c r="X58" s="31"/>
      <c r="Y58" s="31"/>
      <c r="Z58" s="31"/>
      <c r="AA58" s="2"/>
      <c r="AB58" s="31"/>
      <c r="AC58" s="31"/>
      <c r="AD58" s="31"/>
      <c r="AE58" s="37"/>
      <c r="AF58" s="37"/>
      <c r="AG58" s="37"/>
    </row>
    <row r="59" spans="1:33" ht="15.75" customHeight="1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6"/>
      <c r="V59" s="1"/>
      <c r="W59" s="31"/>
      <c r="X59" s="31"/>
      <c r="Y59" s="31"/>
      <c r="Z59" s="31"/>
      <c r="AA59" s="2"/>
      <c r="AB59" s="31"/>
      <c r="AC59" s="31"/>
      <c r="AD59" s="31"/>
      <c r="AE59" s="37"/>
      <c r="AF59" s="37"/>
      <c r="AG59" s="37"/>
    </row>
    <row r="60" spans="1:33" ht="15.75" customHeight="1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6"/>
      <c r="V60" s="1"/>
      <c r="W60" s="31"/>
      <c r="X60" s="31"/>
      <c r="Y60" s="31"/>
      <c r="Z60" s="31"/>
      <c r="AA60" s="2"/>
      <c r="AB60" s="31"/>
      <c r="AC60" s="31"/>
      <c r="AD60" s="31"/>
      <c r="AE60" s="37"/>
      <c r="AF60" s="37"/>
      <c r="AG60" s="37"/>
    </row>
    <row r="61" spans="1:33" ht="15.75" customHeight="1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6"/>
      <c r="V61" s="1"/>
      <c r="W61" s="31"/>
      <c r="X61" s="31"/>
      <c r="Y61" s="31"/>
      <c r="Z61" s="31"/>
      <c r="AA61" s="2"/>
      <c r="AB61" s="31"/>
      <c r="AC61" s="31"/>
      <c r="AD61" s="31"/>
      <c r="AE61" s="37"/>
      <c r="AF61" s="37"/>
      <c r="AG61" s="37"/>
    </row>
    <row r="62" spans="1:33" ht="15.75" customHeight="1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6"/>
      <c r="V62" s="1"/>
      <c r="W62" s="31"/>
      <c r="X62" s="31"/>
      <c r="Y62" s="31"/>
      <c r="Z62" s="31"/>
      <c r="AA62" s="2"/>
      <c r="AB62" s="31"/>
      <c r="AC62" s="31"/>
      <c r="AD62" s="31"/>
      <c r="AE62" s="37"/>
      <c r="AF62" s="37"/>
      <c r="AG62" s="37"/>
    </row>
    <row r="63" spans="1:33" ht="15.75" customHeight="1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6"/>
      <c r="V63" s="1"/>
      <c r="W63" s="31"/>
      <c r="X63" s="31"/>
      <c r="Y63" s="31"/>
      <c r="Z63" s="31"/>
      <c r="AA63" s="2"/>
      <c r="AB63" s="31"/>
      <c r="AC63" s="31"/>
      <c r="AD63" s="31"/>
      <c r="AE63" s="37"/>
      <c r="AF63" s="37"/>
      <c r="AG63" s="37"/>
    </row>
    <row r="64" spans="1:33" ht="15.75" customHeight="1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6"/>
      <c r="V64" s="1"/>
      <c r="W64" s="31"/>
      <c r="X64" s="31"/>
      <c r="Y64" s="31"/>
      <c r="Z64" s="31"/>
      <c r="AA64" s="2"/>
      <c r="AB64" s="31"/>
      <c r="AC64" s="31"/>
      <c r="AD64" s="31"/>
      <c r="AE64" s="37"/>
      <c r="AF64" s="37"/>
      <c r="AG64" s="37"/>
    </row>
    <row r="65" spans="1:33" ht="15.75" customHeight="1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6"/>
      <c r="V65" s="1"/>
      <c r="W65" s="31"/>
      <c r="X65" s="31"/>
      <c r="Y65" s="31"/>
      <c r="Z65" s="31"/>
      <c r="AA65" s="2"/>
      <c r="AB65" s="31"/>
      <c r="AC65" s="31"/>
      <c r="AD65" s="31"/>
      <c r="AE65" s="37"/>
      <c r="AF65" s="37"/>
      <c r="AG65" s="37"/>
    </row>
    <row r="66" spans="1:33" ht="15.75" customHeight="1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6"/>
      <c r="V66" s="1"/>
      <c r="W66" s="31"/>
      <c r="X66" s="31"/>
      <c r="Y66" s="31"/>
      <c r="Z66" s="31"/>
      <c r="AA66" s="2"/>
      <c r="AB66" s="31"/>
      <c r="AC66" s="31"/>
      <c r="AD66" s="31"/>
      <c r="AE66" s="37"/>
      <c r="AF66" s="37"/>
      <c r="AG66" s="37"/>
    </row>
    <row r="67" spans="1:33" ht="15.75" customHeight="1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6"/>
      <c r="V67" s="1"/>
      <c r="W67" s="31"/>
      <c r="X67" s="31"/>
      <c r="Y67" s="31"/>
      <c r="Z67" s="31"/>
      <c r="AA67" s="2"/>
      <c r="AB67" s="31"/>
      <c r="AC67" s="31"/>
      <c r="AD67" s="31"/>
      <c r="AE67" s="37"/>
      <c r="AF67" s="37"/>
      <c r="AG67" s="37"/>
    </row>
    <row r="68" spans="1:33" ht="15.75" customHeight="1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6"/>
      <c r="V68" s="1"/>
      <c r="W68" s="31"/>
      <c r="X68" s="31"/>
      <c r="Y68" s="31"/>
      <c r="Z68" s="31"/>
      <c r="AA68" s="2"/>
      <c r="AB68" s="31"/>
      <c r="AC68" s="31"/>
      <c r="AD68" s="31"/>
      <c r="AE68" s="37"/>
      <c r="AF68" s="37"/>
      <c r="AG68" s="37"/>
    </row>
    <row r="69" spans="1:33" ht="15.75" customHeight="1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6"/>
      <c r="V69" s="1"/>
      <c r="W69" s="31"/>
      <c r="X69" s="31"/>
      <c r="Y69" s="31"/>
      <c r="Z69" s="31"/>
      <c r="AA69" s="2"/>
      <c r="AB69" s="31"/>
      <c r="AC69" s="31"/>
      <c r="AD69" s="31"/>
      <c r="AE69" s="37"/>
      <c r="AF69" s="37"/>
      <c r="AG69" s="37"/>
    </row>
    <row r="70" spans="1:33" ht="15.75" customHeight="1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6"/>
      <c r="V70" s="1"/>
      <c r="W70" s="31"/>
      <c r="X70" s="31"/>
      <c r="Y70" s="31"/>
      <c r="Z70" s="31"/>
      <c r="AA70" s="2"/>
      <c r="AB70" s="31"/>
      <c r="AC70" s="31"/>
      <c r="AD70" s="31"/>
      <c r="AE70" s="37"/>
      <c r="AF70" s="37"/>
      <c r="AG70" s="37"/>
    </row>
    <row r="71" spans="1:33" ht="15.75" customHeight="1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6"/>
      <c r="V71" s="1"/>
      <c r="W71" s="31"/>
      <c r="X71" s="31"/>
      <c r="Y71" s="31"/>
      <c r="Z71" s="31"/>
      <c r="AA71" s="2"/>
      <c r="AB71" s="31"/>
      <c r="AC71" s="31"/>
      <c r="AD71" s="31"/>
      <c r="AE71" s="37"/>
      <c r="AF71" s="37"/>
      <c r="AG71" s="37"/>
    </row>
    <row r="72" spans="1:33" ht="15.75" customHeight="1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6"/>
      <c r="V72" s="1"/>
      <c r="W72" s="31"/>
      <c r="X72" s="31"/>
      <c r="Y72" s="31"/>
      <c r="Z72" s="31"/>
      <c r="AA72" s="2"/>
      <c r="AB72" s="31"/>
      <c r="AC72" s="31"/>
      <c r="AD72" s="31"/>
      <c r="AE72" s="37"/>
      <c r="AF72" s="37"/>
      <c r="AG72" s="37"/>
    </row>
    <row r="73" spans="1:33" ht="15.75" customHeight="1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6"/>
      <c r="V73" s="1"/>
      <c r="W73" s="31"/>
      <c r="X73" s="31"/>
      <c r="Y73" s="31"/>
      <c r="Z73" s="31"/>
      <c r="AA73" s="2"/>
      <c r="AB73" s="31"/>
      <c r="AC73" s="31"/>
      <c r="AD73" s="31"/>
      <c r="AE73" s="37"/>
      <c r="AF73" s="37"/>
      <c r="AG73" s="37"/>
    </row>
    <row r="74" spans="1:33" ht="15.75" customHeight="1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6"/>
      <c r="V74" s="1"/>
      <c r="W74" s="31"/>
      <c r="X74" s="31"/>
      <c r="Y74" s="31"/>
      <c r="Z74" s="31"/>
      <c r="AA74" s="2"/>
      <c r="AB74" s="31"/>
      <c r="AC74" s="31"/>
      <c r="AD74" s="31"/>
      <c r="AE74" s="37"/>
      <c r="AF74" s="37"/>
      <c r="AG74" s="37"/>
    </row>
    <row r="75" spans="1:33" ht="15.75" customHeight="1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6"/>
      <c r="V75" s="1"/>
      <c r="W75" s="31"/>
      <c r="X75" s="31"/>
      <c r="Y75" s="31"/>
      <c r="Z75" s="31"/>
      <c r="AA75" s="2"/>
      <c r="AB75" s="31"/>
      <c r="AC75" s="31"/>
      <c r="AD75" s="31"/>
      <c r="AE75" s="37"/>
      <c r="AF75" s="37"/>
      <c r="AG75" s="37"/>
    </row>
    <row r="76" spans="1:33" ht="15.75" customHeight="1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6"/>
      <c r="V76" s="1"/>
      <c r="W76" s="31"/>
      <c r="X76" s="31"/>
      <c r="Y76" s="31"/>
      <c r="Z76" s="31"/>
      <c r="AA76" s="2"/>
      <c r="AB76" s="31"/>
      <c r="AC76" s="31"/>
      <c r="AD76" s="31"/>
      <c r="AE76" s="37"/>
      <c r="AF76" s="37"/>
      <c r="AG76" s="37"/>
    </row>
    <row r="77" spans="1:33" ht="15.75" customHeight="1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6"/>
      <c r="V77" s="1"/>
      <c r="W77" s="31"/>
      <c r="X77" s="31"/>
      <c r="Y77" s="31"/>
      <c r="Z77" s="31"/>
      <c r="AA77" s="2"/>
      <c r="AB77" s="31"/>
      <c r="AC77" s="31"/>
      <c r="AD77" s="31"/>
      <c r="AE77" s="37"/>
      <c r="AF77" s="37"/>
      <c r="AG77" s="37"/>
    </row>
    <row r="78" spans="1:33" ht="15.75" customHeight="1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6"/>
      <c r="V78" s="1"/>
      <c r="W78" s="31"/>
      <c r="X78" s="31"/>
      <c r="Y78" s="31"/>
      <c r="Z78" s="31"/>
      <c r="AA78" s="2"/>
      <c r="AB78" s="31"/>
      <c r="AC78" s="31"/>
      <c r="AD78" s="31"/>
      <c r="AE78" s="37"/>
      <c r="AF78" s="37"/>
      <c r="AG78" s="37"/>
    </row>
    <row r="79" spans="1:33" ht="15.75" customHeight="1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6"/>
      <c r="V79" s="1"/>
      <c r="W79" s="31"/>
      <c r="X79" s="31"/>
      <c r="Y79" s="31"/>
      <c r="Z79" s="31"/>
      <c r="AA79" s="2"/>
      <c r="AB79" s="31"/>
      <c r="AC79" s="31"/>
      <c r="AD79" s="31"/>
      <c r="AE79" s="37"/>
      <c r="AF79" s="37"/>
      <c r="AG79" s="37"/>
    </row>
    <row r="80" spans="1:33" ht="15.75" customHeight="1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6"/>
      <c r="V80" s="1"/>
      <c r="W80" s="31"/>
      <c r="X80" s="31"/>
      <c r="Y80" s="31"/>
      <c r="Z80" s="31"/>
      <c r="AA80" s="2"/>
      <c r="AB80" s="31"/>
      <c r="AC80" s="31"/>
      <c r="AD80" s="31"/>
      <c r="AE80" s="37"/>
      <c r="AF80" s="37"/>
      <c r="AG80" s="37"/>
    </row>
    <row r="81" spans="1:33" ht="15.75" customHeight="1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6"/>
      <c r="V81" s="1"/>
      <c r="W81" s="31"/>
      <c r="X81" s="31"/>
      <c r="Y81" s="31"/>
      <c r="Z81" s="31"/>
      <c r="AA81" s="2"/>
      <c r="AB81" s="31"/>
      <c r="AC81" s="31"/>
      <c r="AD81" s="31"/>
      <c r="AE81" s="37"/>
      <c r="AF81" s="37"/>
      <c r="AG81" s="37"/>
    </row>
    <row r="82" spans="1:33" ht="15.75" customHeight="1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6"/>
      <c r="V82" s="1"/>
      <c r="W82" s="31"/>
      <c r="X82" s="31"/>
      <c r="Y82" s="31"/>
      <c r="Z82" s="31"/>
      <c r="AA82" s="2"/>
      <c r="AB82" s="31"/>
      <c r="AC82" s="31"/>
      <c r="AD82" s="31"/>
      <c r="AE82" s="37"/>
      <c r="AF82" s="37"/>
      <c r="AG82" s="37"/>
    </row>
    <row r="83" spans="1:33" ht="15.75" customHeight="1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6"/>
      <c r="V83" s="1"/>
      <c r="W83" s="31"/>
      <c r="X83" s="31"/>
      <c r="Y83" s="31"/>
      <c r="Z83" s="31"/>
      <c r="AA83" s="2"/>
      <c r="AB83" s="31"/>
      <c r="AC83" s="31"/>
      <c r="AD83" s="31"/>
      <c r="AE83" s="37"/>
      <c r="AF83" s="37"/>
      <c r="AG83" s="37"/>
    </row>
    <row r="84" spans="1:33" ht="15.75" customHeight="1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6"/>
      <c r="V84" s="1"/>
      <c r="W84" s="31"/>
      <c r="X84" s="31"/>
      <c r="Y84" s="31"/>
      <c r="Z84" s="31"/>
      <c r="AA84" s="2"/>
      <c r="AB84" s="31"/>
      <c r="AC84" s="31"/>
      <c r="AD84" s="31"/>
      <c r="AE84" s="37"/>
      <c r="AF84" s="37"/>
      <c r="AG84" s="37"/>
    </row>
    <row r="85" spans="1:33" ht="15.75" customHeight="1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6"/>
      <c r="V85" s="1"/>
      <c r="W85" s="31"/>
      <c r="X85" s="31"/>
      <c r="Y85" s="31"/>
      <c r="Z85" s="31"/>
      <c r="AA85" s="2"/>
      <c r="AB85" s="31"/>
      <c r="AC85" s="31"/>
      <c r="AD85" s="31"/>
      <c r="AE85" s="37"/>
      <c r="AF85" s="37"/>
      <c r="AG85" s="37"/>
    </row>
    <row r="86" spans="1:33" ht="15.75" customHeight="1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6"/>
      <c r="V86" s="1"/>
      <c r="W86" s="31"/>
      <c r="X86" s="31"/>
      <c r="Y86" s="31"/>
      <c r="Z86" s="31"/>
      <c r="AA86" s="2"/>
      <c r="AB86" s="31"/>
      <c r="AC86" s="31"/>
      <c r="AD86" s="31"/>
      <c r="AE86" s="37"/>
      <c r="AF86" s="37"/>
      <c r="AG86" s="37"/>
    </row>
    <row r="87" spans="1:33" ht="15.75" customHeight="1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6"/>
      <c r="V87" s="1"/>
      <c r="W87" s="31"/>
      <c r="X87" s="31"/>
      <c r="Y87" s="31"/>
      <c r="Z87" s="31"/>
      <c r="AA87" s="2"/>
      <c r="AB87" s="31"/>
      <c r="AC87" s="31"/>
      <c r="AD87" s="31"/>
      <c r="AE87" s="37"/>
      <c r="AF87" s="37"/>
      <c r="AG87" s="37"/>
    </row>
    <row r="88" spans="1:33" ht="15.75" customHeight="1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6"/>
      <c r="V88" s="1"/>
      <c r="W88" s="31"/>
      <c r="X88" s="31"/>
      <c r="Y88" s="31"/>
      <c r="Z88" s="31"/>
      <c r="AA88" s="2"/>
      <c r="AB88" s="31"/>
      <c r="AC88" s="31"/>
      <c r="AD88" s="31"/>
      <c r="AE88" s="37"/>
      <c r="AF88" s="37"/>
      <c r="AG88" s="37"/>
    </row>
    <row r="89" spans="1:33" ht="15.75" customHeight="1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6"/>
      <c r="V89" s="1"/>
      <c r="W89" s="31"/>
      <c r="X89" s="31"/>
      <c r="Y89" s="31"/>
      <c r="Z89" s="31"/>
      <c r="AA89" s="2"/>
      <c r="AB89" s="31"/>
      <c r="AC89" s="31"/>
      <c r="AD89" s="31"/>
      <c r="AE89" s="37"/>
      <c r="AF89" s="37"/>
      <c r="AG89" s="37"/>
    </row>
    <row r="90" spans="1:33" ht="15.75" customHeight="1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6"/>
      <c r="V90" s="1"/>
      <c r="W90" s="31"/>
      <c r="X90" s="31"/>
      <c r="Y90" s="31"/>
      <c r="Z90" s="31"/>
      <c r="AA90" s="2"/>
      <c r="AB90" s="31"/>
      <c r="AC90" s="31"/>
      <c r="AD90" s="31"/>
      <c r="AE90" s="37"/>
      <c r="AF90" s="37"/>
      <c r="AG90" s="37"/>
    </row>
    <row r="91" spans="1:33" ht="15.75" customHeight="1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6"/>
      <c r="V91" s="1"/>
      <c r="W91" s="31"/>
      <c r="X91" s="31"/>
      <c r="Y91" s="31"/>
      <c r="Z91" s="31"/>
      <c r="AA91" s="2"/>
      <c r="AB91" s="31"/>
      <c r="AC91" s="31"/>
      <c r="AD91" s="31"/>
      <c r="AE91" s="37"/>
      <c r="AF91" s="37"/>
      <c r="AG91" s="37"/>
    </row>
    <row r="92" spans="1:33" ht="15.75" customHeight="1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6"/>
      <c r="V92" s="1"/>
      <c r="W92" s="31"/>
      <c r="X92" s="31"/>
      <c r="Y92" s="31"/>
      <c r="Z92" s="31"/>
      <c r="AA92" s="2"/>
      <c r="AB92" s="31"/>
      <c r="AC92" s="31"/>
      <c r="AD92" s="31"/>
      <c r="AE92" s="37"/>
      <c r="AF92" s="37"/>
      <c r="AG92" s="37"/>
    </row>
    <row r="93" spans="1:33" ht="15.75" customHeight="1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6"/>
      <c r="V93" s="1"/>
      <c r="W93" s="31"/>
      <c r="X93" s="31"/>
      <c r="Y93" s="31"/>
      <c r="Z93" s="31"/>
      <c r="AA93" s="2"/>
      <c r="AB93" s="31"/>
      <c r="AC93" s="31"/>
      <c r="AD93" s="31"/>
      <c r="AE93" s="37"/>
      <c r="AF93" s="37"/>
      <c r="AG93" s="37"/>
    </row>
    <row r="94" spans="1:33" ht="15.75" customHeight="1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6"/>
      <c r="V94" s="1"/>
      <c r="W94" s="31"/>
      <c r="X94" s="31"/>
      <c r="Y94" s="31"/>
      <c r="Z94" s="31"/>
      <c r="AA94" s="2"/>
      <c r="AB94" s="31"/>
      <c r="AC94" s="31"/>
      <c r="AD94" s="31"/>
      <c r="AE94" s="37"/>
      <c r="AF94" s="37"/>
      <c r="AG94" s="37"/>
    </row>
    <row r="95" spans="1:33" ht="15.75" customHeight="1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6"/>
      <c r="V95" s="1"/>
      <c r="W95" s="31"/>
      <c r="X95" s="31"/>
      <c r="Y95" s="31"/>
      <c r="Z95" s="31"/>
      <c r="AA95" s="2"/>
      <c r="AB95" s="31"/>
      <c r="AC95" s="31"/>
      <c r="AD95" s="31"/>
      <c r="AE95" s="37"/>
      <c r="AF95" s="37"/>
      <c r="AG95" s="37"/>
    </row>
    <row r="96" spans="1:33" ht="15.75" customHeight="1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6"/>
      <c r="V96" s="1"/>
      <c r="W96" s="31"/>
      <c r="X96" s="31"/>
      <c r="Y96" s="31"/>
      <c r="Z96" s="31"/>
      <c r="AA96" s="2"/>
      <c r="AB96" s="31"/>
      <c r="AC96" s="31"/>
      <c r="AD96" s="31"/>
      <c r="AE96" s="37"/>
      <c r="AF96" s="37"/>
      <c r="AG96" s="37"/>
    </row>
    <row r="97" spans="1:33" ht="15.75" customHeight="1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8"/>
      <c r="R97" s="38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8"/>
      <c r="R98" s="38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8"/>
      <c r="R99" s="38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8"/>
      <c r="R100" s="38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8"/>
      <c r="R101" s="38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8"/>
      <c r="R102" s="38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8"/>
      <c r="R103" s="38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8"/>
      <c r="R104" s="38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8"/>
      <c r="R105" s="38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8"/>
      <c r="R106" s="38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8"/>
      <c r="R107" s="38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8"/>
      <c r="R108" s="38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8"/>
      <c r="R109" s="38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8"/>
      <c r="R110" s="38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8"/>
      <c r="R111" s="38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8"/>
      <c r="R112" s="38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8"/>
      <c r="R113" s="38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8"/>
      <c r="R114" s="38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>
      <c r="A115" s="31"/>
      <c r="B115" s="31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>
      <c r="A116" s="31"/>
      <c r="B116" s="31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>
      <c r="A117" s="31"/>
      <c r="B117" s="31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>
      <c r="A118" s="31"/>
      <c r="B118" s="31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>
      <c r="A119" s="31"/>
      <c r="B119" s="31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>
      <c r="A120" s="31"/>
      <c r="B120" s="31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>
      <c r="A121" s="31"/>
      <c r="B121" s="31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>
      <c r="A122" s="31"/>
      <c r="B122" s="31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>
      <c r="A123" s="31"/>
      <c r="B123" s="31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>
      <c r="A124" s="31"/>
      <c r="B124" s="31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>
      <c r="A125" s="31"/>
      <c r="B125" s="31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>
      <c r="A126" s="31"/>
      <c r="B126" s="31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>
      <c r="A127" s="31"/>
      <c r="B127" s="31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>
      <c r="A128" s="31"/>
      <c r="B128" s="31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>
      <c r="A129" s="31"/>
      <c r="B129" s="31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>
      <c r="A130" s="31"/>
      <c r="B130" s="31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>
      <c r="A131" s="31"/>
      <c r="B131" s="31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>
      <c r="A132" s="31"/>
      <c r="B132" s="31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>
      <c r="A133" s="31"/>
      <c r="B133" s="31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>
      <c r="A134" s="31"/>
      <c r="B134" s="31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>
      <c r="A135" s="31"/>
      <c r="B135" s="31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>
      <c r="A136" s="31"/>
      <c r="B136" s="31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>
      <c r="A137" s="31"/>
      <c r="B137" s="31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>
      <c r="A138" s="31"/>
      <c r="B138" s="31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>
      <c r="A139" s="31"/>
      <c r="B139" s="31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>
      <c r="A140" s="31"/>
      <c r="B140" s="31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>
      <c r="A141" s="31"/>
      <c r="B141" s="31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2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>
      <c r="A142" s="31"/>
      <c r="B142" s="31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2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>
      <c r="A143" s="31"/>
      <c r="B143" s="31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2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>
      <c r="A144" s="31"/>
      <c r="B144" s="31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2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>
      <c r="A145" s="31"/>
      <c r="B145" s="31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2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>
      <c r="A146" s="31"/>
      <c r="B146" s="31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2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>
      <c r="A147" s="31"/>
      <c r="B147" s="31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2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>
      <c r="A148" s="31"/>
      <c r="B148" s="31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2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</row>
    <row r="149" spans="1:33" ht="15.75" customHeight="1">
      <c r="A149" s="14"/>
      <c r="B149" s="14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>
      <c r="A150" s="14"/>
      <c r="B150" s="14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>
      <c r="A151" s="14"/>
      <c r="B151" s="14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>
      <c r="A152" s="14"/>
      <c r="B152" s="14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>
      <c r="A153" s="14"/>
      <c r="B153" s="14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>
      <c r="A154" s="14"/>
      <c r="B154" s="14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>
      <c r="A155" s="14"/>
      <c r="B155" s="14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>
      <c r="A156" s="14"/>
      <c r="B156" s="14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>
      <c r="A157" s="14"/>
      <c r="B157" s="14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>
      <c r="A158" s="14"/>
      <c r="B158" s="14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>
      <c r="A159" s="14"/>
      <c r="B159" s="14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>
      <c r="A160" s="14"/>
      <c r="B160" s="14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>
      <c r="A161" s="14"/>
      <c r="B161" s="14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>
      <c r="A162" s="14"/>
      <c r="B162" s="14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>
      <c r="A163" s="14"/>
      <c r="B163" s="14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>
      <c r="A164" s="14"/>
      <c r="B164" s="14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>
      <c r="A165" s="14"/>
      <c r="B165" s="14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>
      <c r="A166" s="14"/>
      <c r="B166" s="14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>
      <c r="A167" s="14"/>
      <c r="B167" s="14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>
      <c r="A168" s="14"/>
      <c r="B168" s="14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>
      <c r="A169" s="14"/>
      <c r="B169" s="14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>
      <c r="A170" s="14"/>
      <c r="B170" s="14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>
      <c r="A171" s="14"/>
      <c r="B171" s="14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>
      <c r="A172" s="14"/>
      <c r="B172" s="14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>
      <c r="A173" s="14"/>
      <c r="B173" s="14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>
      <c r="A174" s="14"/>
      <c r="B174" s="14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>
      <c r="A175" s="14"/>
      <c r="B175" s="14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>
      <c r="A176" s="14"/>
      <c r="B176" s="14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>
      <c r="A177" s="14"/>
      <c r="B177" s="14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>
      <c r="A178" s="14"/>
      <c r="B178" s="14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>
      <c r="A179" s="14"/>
      <c r="B179" s="14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>
      <c r="A180" s="14"/>
      <c r="B180" s="14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>
      <c r="A181" s="14"/>
      <c r="B181" s="14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>
      <c r="A182" s="14"/>
      <c r="B182" s="14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>
      <c r="A183" s="14"/>
      <c r="B183" s="14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>
      <c r="A184" s="14"/>
      <c r="B184" s="14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>
      <c r="A185" s="14"/>
      <c r="B185" s="14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>
      <c r="A186" s="14"/>
      <c r="B186" s="14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>
      <c r="A187" s="14"/>
      <c r="B187" s="14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>
      <c r="A188" s="14"/>
      <c r="B188" s="14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>
      <c r="A189" s="14"/>
      <c r="B189" s="14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>
      <c r="A190" s="14"/>
      <c r="B190" s="14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>
      <c r="A191" s="14"/>
      <c r="B191" s="14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>
      <c r="A192" s="14"/>
      <c r="B192" s="14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>
      <c r="A193" s="14"/>
      <c r="B193" s="14"/>
      <c r="C193" s="39"/>
      <c r="D193" s="39"/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>
      <c r="A194" s="14"/>
      <c r="B194" s="14"/>
      <c r="C194" s="39"/>
      <c r="D194" s="39"/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>
      <c r="A195" s="14"/>
      <c r="B195" s="14"/>
      <c r="C195" s="39"/>
      <c r="D195" s="39"/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>
      <c r="A196" s="14"/>
      <c r="B196" s="14"/>
      <c r="C196" s="39"/>
      <c r="D196" s="39"/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>
      <c r="A197" s="14"/>
      <c r="B197" s="14"/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>
      <c r="A198" s="14"/>
      <c r="B198" s="14"/>
      <c r="C198" s="39"/>
      <c r="D198" s="39"/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>
      <c r="A199" s="14"/>
      <c r="B199" s="14"/>
      <c r="C199" s="39"/>
      <c r="D199" s="39"/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>
      <c r="A200" s="14"/>
      <c r="B200" s="14"/>
      <c r="C200" s="39"/>
      <c r="D200" s="39"/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>
      <c r="A201" s="14"/>
      <c r="B201" s="14"/>
      <c r="C201" s="39"/>
      <c r="D201" s="39"/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>
      <c r="A202" s="14"/>
      <c r="B202" s="14"/>
      <c r="C202" s="39"/>
      <c r="D202" s="39"/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>
      <c r="A203" s="14"/>
      <c r="B203" s="14"/>
      <c r="C203" s="39"/>
      <c r="D203" s="39"/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>
      <c r="A204" s="14"/>
      <c r="B204" s="14"/>
      <c r="C204" s="39"/>
      <c r="D204" s="39"/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>
      <c r="A205" s="14"/>
      <c r="B205" s="14"/>
      <c r="C205" s="39"/>
      <c r="D205" s="39"/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>
      <c r="A206" s="14"/>
      <c r="B206" s="14"/>
      <c r="C206" s="39"/>
      <c r="D206" s="39"/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>
      <c r="A207" s="14"/>
      <c r="B207" s="14"/>
      <c r="C207" s="39"/>
      <c r="D207" s="39"/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>
      <c r="A208" s="14"/>
      <c r="B208" s="14"/>
      <c r="C208" s="39"/>
      <c r="D208" s="39"/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>
      <c r="A209" s="14"/>
      <c r="B209" s="14"/>
      <c r="C209" s="39"/>
      <c r="D209" s="39"/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>
      <c r="A210" s="14"/>
      <c r="B210" s="14"/>
      <c r="C210" s="39"/>
      <c r="D210" s="39"/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>
      <c r="A211" s="14"/>
      <c r="B211" s="14"/>
      <c r="C211" s="39"/>
      <c r="D211" s="39"/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>
      <c r="A212" s="14"/>
      <c r="B212" s="14"/>
      <c r="C212" s="39"/>
      <c r="D212" s="39"/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>
      <c r="A213" s="14"/>
      <c r="B213" s="14"/>
      <c r="C213" s="39"/>
      <c r="D213" s="39"/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>
      <c r="A214" s="14"/>
      <c r="B214" s="14"/>
      <c r="C214" s="39"/>
      <c r="D214" s="39"/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>
      <c r="A215" s="14"/>
      <c r="B215" s="14"/>
      <c r="C215" s="39"/>
      <c r="D215" s="39"/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>
      <c r="A216" s="14"/>
      <c r="B216" s="14"/>
      <c r="C216" s="39"/>
      <c r="D216" s="39"/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>
      <c r="A217" s="14"/>
      <c r="B217" s="14"/>
      <c r="C217" s="39"/>
      <c r="D217" s="39"/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>
      <c r="A218" s="14"/>
      <c r="B218" s="14"/>
      <c r="C218" s="39"/>
      <c r="D218" s="39"/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>
      <c r="A219" s="14"/>
      <c r="B219" s="14"/>
      <c r="C219" s="39"/>
      <c r="D219" s="39"/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>
      <c r="A220" s="14"/>
      <c r="B220" s="14"/>
      <c r="C220" s="39"/>
      <c r="D220" s="39"/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>
      <c r="R221" s="30"/>
      <c r="S221" s="40"/>
    </row>
    <row r="222" spans="1:33" ht="15.75" customHeight="1">
      <c r="R222" s="30"/>
      <c r="S222" s="40"/>
    </row>
    <row r="223" spans="1:33" ht="15.75" customHeight="1">
      <c r="R223" s="30"/>
      <c r="S223" s="40"/>
    </row>
    <row r="224" spans="1:33" ht="15.75" customHeight="1">
      <c r="R224" s="30"/>
      <c r="S224" s="40"/>
    </row>
    <row r="225" spans="18:18" ht="15.75" customHeight="1">
      <c r="R225" s="30"/>
    </row>
    <row r="226" spans="18:18" ht="15.75" customHeight="1">
      <c r="R226" s="30"/>
    </row>
    <row r="227" spans="18:18" ht="15.75" customHeight="1">
      <c r="R227" s="30"/>
    </row>
    <row r="228" spans="18:18" ht="15.75" customHeight="1">
      <c r="R228" s="30"/>
    </row>
    <row r="229" spans="18:18" ht="15.75" customHeight="1">
      <c r="R229" s="30"/>
    </row>
    <row r="230" spans="18:18" ht="15.75" customHeight="1">
      <c r="R230" s="30"/>
    </row>
    <row r="231" spans="18:18" ht="15.75" customHeight="1">
      <c r="R231" s="30"/>
    </row>
    <row r="232" spans="18:18" ht="15.75" customHeight="1">
      <c r="R232" s="30"/>
    </row>
    <row r="233" spans="18:18" ht="15.75" customHeight="1">
      <c r="R233" s="30"/>
    </row>
    <row r="234" spans="18:18" ht="15.75" customHeight="1">
      <c r="R234" s="30"/>
    </row>
    <row r="235" spans="18:18" ht="15.75" customHeight="1">
      <c r="R235" s="30"/>
    </row>
    <row r="236" spans="18:18" ht="15.75" customHeight="1">
      <c r="R236" s="30"/>
    </row>
    <row r="237" spans="18:18" ht="15.75" customHeight="1">
      <c r="R237" s="30"/>
    </row>
    <row r="238" spans="18:18" ht="15.75" customHeight="1">
      <c r="R238" s="30"/>
    </row>
    <row r="239" spans="18:18" ht="15.75" customHeight="1">
      <c r="R239" s="30"/>
    </row>
    <row r="240" spans="18:18" ht="15.75" customHeight="1">
      <c r="R240" s="30"/>
    </row>
    <row r="241" spans="18:18" ht="15.75" customHeight="1">
      <c r="R241" s="30"/>
    </row>
    <row r="242" spans="18:18" ht="15.75" customHeight="1">
      <c r="R242" s="30"/>
    </row>
    <row r="243" spans="18:18" ht="15.75" customHeight="1">
      <c r="R243" s="30"/>
    </row>
    <row r="244" spans="18:18" ht="15.75" customHeight="1">
      <c r="R244" s="30"/>
    </row>
    <row r="245" spans="18:18" ht="15.75" customHeight="1">
      <c r="R245" s="30"/>
    </row>
    <row r="246" spans="18:18" ht="15.75" customHeight="1">
      <c r="R246" s="30"/>
    </row>
    <row r="247" spans="18:18" ht="15.75" customHeight="1">
      <c r="R247" s="30"/>
    </row>
    <row r="248" spans="18:18" ht="15.75" customHeight="1">
      <c r="R248" s="30"/>
    </row>
    <row r="249" spans="18:18" ht="15.75" customHeight="1">
      <c r="R249" s="30"/>
    </row>
    <row r="250" spans="18:18" ht="15.75" customHeight="1">
      <c r="R250" s="30"/>
    </row>
    <row r="251" spans="18:18" ht="15.75" customHeight="1">
      <c r="R251" s="30"/>
    </row>
    <row r="252" spans="18:18" ht="15.75" customHeight="1">
      <c r="R252" s="30"/>
    </row>
    <row r="253" spans="18:18" ht="15.75" customHeight="1">
      <c r="R253" s="30"/>
    </row>
    <row r="254" spans="18:18" ht="15.75" customHeight="1">
      <c r="R254" s="30"/>
    </row>
    <row r="255" spans="18:18" ht="15.75" customHeight="1">
      <c r="R255" s="30"/>
    </row>
    <row r="256" spans="18:18" ht="15.75" customHeight="1">
      <c r="R256" s="30"/>
    </row>
    <row r="257" spans="18:18" ht="15.75" customHeight="1">
      <c r="R257" s="30"/>
    </row>
    <row r="258" spans="18:18" ht="15.75" customHeight="1">
      <c r="R258" s="30"/>
    </row>
    <row r="259" spans="18:18" ht="15.75" customHeight="1">
      <c r="R259" s="30"/>
    </row>
    <row r="260" spans="18:18" ht="15.75" customHeight="1">
      <c r="R260" s="30"/>
    </row>
    <row r="261" spans="18:18" ht="15.75" customHeight="1">
      <c r="R261" s="30"/>
    </row>
    <row r="262" spans="18:18" ht="15.75" customHeight="1">
      <c r="R262" s="30"/>
    </row>
    <row r="263" spans="18:18" ht="15.75" customHeight="1">
      <c r="R263" s="30"/>
    </row>
    <row r="264" spans="18:18" ht="15.75" customHeight="1">
      <c r="R264" s="30"/>
    </row>
    <row r="265" spans="18:18" ht="15.75" customHeight="1">
      <c r="R265" s="30"/>
    </row>
    <row r="266" spans="18:18" ht="15.75" customHeight="1">
      <c r="R266" s="30"/>
    </row>
    <row r="267" spans="18:18" ht="15.75" customHeight="1">
      <c r="R267" s="30"/>
    </row>
    <row r="268" spans="18:18" ht="15.75" customHeight="1">
      <c r="R268" s="30"/>
    </row>
    <row r="269" spans="18:18" ht="15.75" customHeight="1">
      <c r="R269" s="30"/>
    </row>
    <row r="270" spans="18:18" ht="15.75" customHeight="1">
      <c r="R270" s="30"/>
    </row>
    <row r="271" spans="18:18" ht="15.75" customHeight="1">
      <c r="R271" s="30"/>
    </row>
    <row r="272" spans="18:18" ht="15.75" customHeight="1">
      <c r="R272" s="30"/>
    </row>
    <row r="273" spans="18:18" ht="15.75" customHeight="1">
      <c r="R273" s="30"/>
    </row>
    <row r="274" spans="18:18" ht="15.75" customHeight="1">
      <c r="R274" s="30"/>
    </row>
    <row r="275" spans="18:18" ht="15.75" customHeight="1">
      <c r="R275" s="30"/>
    </row>
    <row r="276" spans="18:18" ht="15.75" customHeight="1">
      <c r="R276" s="30"/>
    </row>
    <row r="277" spans="18:18" ht="15.75" customHeight="1">
      <c r="R277" s="30"/>
    </row>
    <row r="278" spans="18:18" ht="15.75" customHeight="1">
      <c r="R278" s="30"/>
    </row>
    <row r="279" spans="18:18" ht="15.75" customHeight="1">
      <c r="R279" s="30"/>
    </row>
    <row r="280" spans="18:18" ht="15.75" customHeight="1">
      <c r="R280" s="30"/>
    </row>
    <row r="281" spans="18:18" ht="15.75" customHeight="1">
      <c r="R281" s="30"/>
    </row>
    <row r="282" spans="18:18" ht="15.75" customHeight="1">
      <c r="R282" s="30"/>
    </row>
    <row r="283" spans="18:18" ht="15.75" customHeight="1">
      <c r="R283" s="30"/>
    </row>
    <row r="284" spans="18:18" ht="15.75" customHeight="1">
      <c r="R284" s="30"/>
    </row>
    <row r="285" spans="18:18" ht="15.75" customHeight="1">
      <c r="R285" s="30"/>
    </row>
    <row r="286" spans="18:18" ht="15.75" customHeight="1">
      <c r="R286" s="30"/>
    </row>
    <row r="287" spans="18:18" ht="15.75" customHeight="1">
      <c r="R287" s="30"/>
    </row>
    <row r="288" spans="18:18" ht="15.75" customHeight="1">
      <c r="R288" s="30"/>
    </row>
    <row r="289" spans="18:18" ht="15.75" customHeight="1">
      <c r="R289" s="30"/>
    </row>
    <row r="290" spans="18:18" ht="15.75" customHeight="1">
      <c r="R290" s="30"/>
    </row>
    <row r="291" spans="18:18" ht="15.75" customHeight="1">
      <c r="R291" s="30"/>
    </row>
    <row r="292" spans="18:18" ht="15.75" customHeight="1">
      <c r="R292" s="30"/>
    </row>
    <row r="293" spans="18:18" ht="15.75" customHeight="1">
      <c r="R293" s="30"/>
    </row>
    <row r="294" spans="18:18" ht="15.75" customHeight="1">
      <c r="R294" s="30"/>
    </row>
    <row r="295" spans="18:18" ht="15.75" customHeight="1">
      <c r="R295" s="30"/>
    </row>
    <row r="296" spans="18:18" ht="15.75" customHeight="1">
      <c r="R296" s="30"/>
    </row>
    <row r="297" spans="18:18" ht="15.75" customHeight="1">
      <c r="R297" s="30"/>
    </row>
    <row r="298" spans="18:18" ht="15.75" customHeight="1">
      <c r="R298" s="30"/>
    </row>
    <row r="299" spans="18:18" ht="15.75" customHeight="1">
      <c r="R299" s="30"/>
    </row>
    <row r="300" spans="18:18" ht="15.75" customHeight="1">
      <c r="R300" s="30"/>
    </row>
    <row r="301" spans="18:18" ht="15.75" customHeight="1">
      <c r="R301" s="30"/>
    </row>
    <row r="302" spans="18:18" ht="15.75" customHeight="1">
      <c r="R302" s="30"/>
    </row>
    <row r="303" spans="18:18" ht="15.75" customHeight="1">
      <c r="R303" s="30"/>
    </row>
    <row r="304" spans="18:18" ht="15.75" customHeight="1">
      <c r="R304" s="30"/>
    </row>
    <row r="305" spans="18:18" ht="15.75" customHeight="1">
      <c r="R305" s="30"/>
    </row>
    <row r="306" spans="18:18" ht="15.75" customHeight="1">
      <c r="R306" s="30"/>
    </row>
    <row r="307" spans="18:18" ht="15.75" customHeight="1">
      <c r="R307" s="30"/>
    </row>
    <row r="308" spans="18:18" ht="15.75" customHeight="1">
      <c r="R308" s="30"/>
    </row>
    <row r="309" spans="18:18" ht="15.75" customHeight="1">
      <c r="R309" s="30"/>
    </row>
    <row r="310" spans="18:18" ht="15.75" customHeight="1">
      <c r="R310" s="30"/>
    </row>
    <row r="311" spans="18:18" ht="15.75" customHeight="1">
      <c r="R311" s="30"/>
    </row>
    <row r="312" spans="18:18" ht="15.75" customHeight="1">
      <c r="R312" s="30"/>
    </row>
    <row r="313" spans="18:18" ht="15.75" customHeight="1">
      <c r="R313" s="30"/>
    </row>
    <row r="314" spans="18:18" ht="15.75" customHeight="1">
      <c r="R314" s="30"/>
    </row>
    <row r="315" spans="18:18" ht="15.75" customHeight="1">
      <c r="R315" s="30"/>
    </row>
    <row r="316" spans="18:18" ht="15.75" customHeight="1">
      <c r="R316" s="30"/>
    </row>
    <row r="317" spans="18:18" ht="15.75" customHeight="1">
      <c r="R317" s="30"/>
    </row>
    <row r="318" spans="18:18" ht="15.75" customHeight="1">
      <c r="R318" s="30"/>
    </row>
    <row r="319" spans="18:18" ht="15.75" customHeight="1">
      <c r="R319" s="30"/>
    </row>
    <row r="320" spans="18:18" ht="15.75" customHeight="1">
      <c r="R320" s="30"/>
    </row>
    <row r="321" spans="18:18" ht="15.75" customHeight="1">
      <c r="R321" s="30"/>
    </row>
    <row r="322" spans="18:18" ht="15.75" customHeight="1">
      <c r="R322" s="30"/>
    </row>
    <row r="323" spans="18:18" ht="15.75" customHeight="1">
      <c r="R323" s="30"/>
    </row>
    <row r="324" spans="18:18" ht="15.75" customHeight="1">
      <c r="R324" s="30"/>
    </row>
    <row r="325" spans="18:18" ht="15.75" customHeight="1">
      <c r="R325" s="30"/>
    </row>
    <row r="326" spans="18:18" ht="15.75" customHeight="1">
      <c r="R326" s="30"/>
    </row>
    <row r="327" spans="18:18" ht="15.75" customHeight="1">
      <c r="R327" s="30"/>
    </row>
    <row r="328" spans="18:18" ht="15.75" customHeight="1">
      <c r="R328" s="30"/>
    </row>
    <row r="329" spans="18:18" ht="15.75" customHeight="1">
      <c r="R329" s="30"/>
    </row>
    <row r="330" spans="18:18" ht="15.75" customHeight="1">
      <c r="R330" s="30"/>
    </row>
    <row r="331" spans="18:18" ht="15.75" customHeight="1">
      <c r="R331" s="30"/>
    </row>
    <row r="332" spans="18:18" ht="15.75" customHeight="1">
      <c r="R332" s="30"/>
    </row>
    <row r="333" spans="18:18" ht="15.75" customHeight="1">
      <c r="R333" s="30"/>
    </row>
    <row r="334" spans="18:18" ht="15.75" customHeight="1">
      <c r="R334" s="30"/>
    </row>
    <row r="335" spans="18:18" ht="15.75" customHeight="1">
      <c r="R335" s="30"/>
    </row>
    <row r="336" spans="18:18" ht="15.75" customHeight="1">
      <c r="R336" s="30"/>
    </row>
    <row r="337" spans="18:18" ht="15.75" customHeight="1">
      <c r="R337" s="30"/>
    </row>
    <row r="338" spans="18:18" ht="15.75" customHeight="1">
      <c r="R338" s="30"/>
    </row>
    <row r="339" spans="18:18" ht="15.75" customHeight="1">
      <c r="R339" s="30"/>
    </row>
    <row r="340" spans="18:18" ht="15.75" customHeight="1">
      <c r="R340" s="30"/>
    </row>
    <row r="341" spans="18:18" ht="15.75" customHeight="1">
      <c r="R341" s="30"/>
    </row>
    <row r="342" spans="18:18" ht="15.75" customHeight="1">
      <c r="R342" s="30"/>
    </row>
    <row r="343" spans="18:18" ht="15.75" customHeight="1">
      <c r="R343" s="30"/>
    </row>
    <row r="344" spans="18:18" ht="15.75" customHeight="1">
      <c r="R344" s="30"/>
    </row>
    <row r="345" spans="18:18" ht="15.75" customHeight="1">
      <c r="R345" s="30"/>
    </row>
    <row r="346" spans="18:18" ht="15.75" customHeight="1">
      <c r="R346" s="30"/>
    </row>
    <row r="347" spans="18:18" ht="15.75" customHeight="1">
      <c r="R347" s="30"/>
    </row>
    <row r="348" spans="18:18" ht="15.75" customHeight="1">
      <c r="R348" s="30"/>
    </row>
    <row r="349" spans="18:18" ht="15.75" customHeight="1">
      <c r="R349" s="30"/>
    </row>
    <row r="350" spans="18:18" ht="15.75" customHeight="1">
      <c r="R350" s="30"/>
    </row>
    <row r="351" spans="18:18" ht="15.75" customHeight="1">
      <c r="R351" s="30"/>
    </row>
    <row r="352" spans="18:18" ht="15.75" customHeight="1">
      <c r="R352" s="30"/>
    </row>
    <row r="353" spans="18:18" ht="15.75" customHeight="1">
      <c r="R353" s="30"/>
    </row>
    <row r="354" spans="18:18" ht="15.75" customHeight="1">
      <c r="R354" s="30"/>
    </row>
    <row r="355" spans="18:18" ht="15.75" customHeight="1">
      <c r="R355" s="30"/>
    </row>
    <row r="356" spans="18:18" ht="15.75" customHeight="1">
      <c r="R356" s="30"/>
    </row>
    <row r="357" spans="18:18" ht="15.75" customHeight="1">
      <c r="R357" s="30"/>
    </row>
    <row r="358" spans="18:18" ht="15.75" customHeight="1">
      <c r="R358" s="30"/>
    </row>
    <row r="359" spans="18:18" ht="15.75" customHeight="1">
      <c r="R359" s="30"/>
    </row>
    <row r="360" spans="18:18" ht="15.75" customHeight="1">
      <c r="R360" s="30"/>
    </row>
    <row r="361" spans="18:18" ht="15.75" customHeight="1">
      <c r="R361" s="30"/>
    </row>
    <row r="362" spans="18:18" ht="15.75" customHeight="1">
      <c r="R362" s="30"/>
    </row>
    <row r="363" spans="18:18" ht="15.75" customHeight="1">
      <c r="R363" s="30"/>
    </row>
    <row r="364" spans="18:18" ht="15.75" customHeight="1">
      <c r="R364" s="30"/>
    </row>
    <row r="365" spans="18:18" ht="15.75" customHeight="1">
      <c r="R365" s="30"/>
    </row>
    <row r="366" spans="18:18" ht="15.75" customHeight="1">
      <c r="R366" s="30"/>
    </row>
    <row r="367" spans="18:18" ht="15.75" customHeight="1">
      <c r="R367" s="30"/>
    </row>
    <row r="368" spans="18:18" ht="15.75" customHeight="1">
      <c r="R368" s="30"/>
    </row>
    <row r="369" spans="18:18" ht="15.75" customHeight="1">
      <c r="R369" s="30"/>
    </row>
    <row r="370" spans="18:18" ht="15.75" customHeight="1">
      <c r="R370" s="30"/>
    </row>
    <row r="371" spans="18:18" ht="15.75" customHeight="1">
      <c r="R371" s="30"/>
    </row>
    <row r="372" spans="18:18" ht="15.75" customHeight="1">
      <c r="R372" s="30"/>
    </row>
    <row r="373" spans="18:18" ht="15.75" customHeight="1">
      <c r="R373" s="30"/>
    </row>
    <row r="374" spans="18:18" ht="15.75" customHeight="1">
      <c r="R374" s="30"/>
    </row>
    <row r="375" spans="18:18" ht="15.75" customHeight="1">
      <c r="R375" s="30"/>
    </row>
    <row r="376" spans="18:18" ht="15.75" customHeight="1">
      <c r="R376" s="30"/>
    </row>
    <row r="377" spans="18:18" ht="15.75" customHeight="1">
      <c r="R377" s="30"/>
    </row>
    <row r="378" spans="18:18" ht="15.75" customHeight="1">
      <c r="R378" s="30"/>
    </row>
    <row r="379" spans="18:18" ht="15.75" customHeight="1">
      <c r="R379" s="30"/>
    </row>
    <row r="380" spans="18:18" ht="15.75" customHeight="1">
      <c r="R380" s="30"/>
    </row>
    <row r="381" spans="18:18" ht="15.75" customHeight="1">
      <c r="R381" s="30"/>
    </row>
    <row r="382" spans="18:18" ht="15.75" customHeight="1">
      <c r="R382" s="30"/>
    </row>
    <row r="383" spans="18:18" ht="15.75" customHeight="1">
      <c r="R383" s="30"/>
    </row>
    <row r="384" spans="18:18" ht="15.75" customHeight="1">
      <c r="R384" s="30"/>
    </row>
    <row r="385" spans="18:18" ht="15.75" customHeight="1">
      <c r="R385" s="30"/>
    </row>
    <row r="386" spans="18:18" ht="15.75" customHeight="1">
      <c r="R386" s="30"/>
    </row>
    <row r="387" spans="18:18" ht="15.75" customHeight="1">
      <c r="R387" s="30"/>
    </row>
    <row r="388" spans="18:18" ht="15.75" customHeight="1">
      <c r="R388" s="30"/>
    </row>
    <row r="389" spans="18:18" ht="15.75" customHeight="1">
      <c r="R389" s="30"/>
    </row>
    <row r="390" spans="18:18" ht="15.75" customHeight="1">
      <c r="R390" s="30"/>
    </row>
    <row r="391" spans="18:18" ht="15.75" customHeight="1">
      <c r="R391" s="30"/>
    </row>
    <row r="392" spans="18:18" ht="15.75" customHeight="1">
      <c r="R392" s="30"/>
    </row>
    <row r="393" spans="18:18" ht="15.75" customHeight="1">
      <c r="R393" s="30"/>
    </row>
    <row r="394" spans="18:18" ht="15.75" customHeight="1">
      <c r="R394" s="30"/>
    </row>
    <row r="395" spans="18:18" ht="15.75" customHeight="1">
      <c r="R395" s="30"/>
    </row>
    <row r="396" spans="18:18" ht="15.75" customHeight="1">
      <c r="R396" s="30"/>
    </row>
    <row r="397" spans="18:18" ht="15.75" customHeight="1">
      <c r="R397" s="30"/>
    </row>
    <row r="398" spans="18:18" ht="15.75" customHeight="1">
      <c r="R398" s="30"/>
    </row>
    <row r="399" spans="18:18" ht="15.75" customHeight="1">
      <c r="R399" s="30"/>
    </row>
    <row r="400" spans="18:18" ht="15.75" customHeight="1">
      <c r="R400" s="30"/>
    </row>
    <row r="401" spans="18:18" ht="15.75" customHeight="1">
      <c r="R401" s="30"/>
    </row>
    <row r="402" spans="18:18" ht="15.75" customHeight="1">
      <c r="R402" s="30"/>
    </row>
    <row r="403" spans="18:18" ht="15.75" customHeight="1">
      <c r="R403" s="30"/>
    </row>
    <row r="404" spans="18:18" ht="15.75" customHeight="1">
      <c r="R404" s="30"/>
    </row>
    <row r="405" spans="18:18" ht="15.75" customHeight="1">
      <c r="R405" s="30"/>
    </row>
    <row r="406" spans="18:18" ht="15.75" customHeight="1">
      <c r="R406" s="30"/>
    </row>
    <row r="407" spans="18:18" ht="15.75" customHeight="1">
      <c r="R407" s="30"/>
    </row>
    <row r="408" spans="18:18" ht="15.75" customHeight="1">
      <c r="R408" s="30"/>
    </row>
    <row r="409" spans="18:18" ht="15.75" customHeight="1">
      <c r="R409" s="30"/>
    </row>
    <row r="410" spans="18:18" ht="15.75" customHeight="1">
      <c r="R410" s="30"/>
    </row>
    <row r="411" spans="18:18" ht="15.75" customHeight="1">
      <c r="R411" s="30"/>
    </row>
    <row r="412" spans="18:18" ht="15.75" customHeight="1">
      <c r="R412" s="30"/>
    </row>
    <row r="413" spans="18:18" ht="15.75" customHeight="1">
      <c r="R413" s="30"/>
    </row>
    <row r="414" spans="18:18" ht="15.75" customHeight="1">
      <c r="R414" s="30"/>
    </row>
    <row r="415" spans="18:18" ht="15.75" customHeight="1">
      <c r="R415" s="30"/>
    </row>
    <row r="416" spans="18:18" ht="15.75" customHeight="1">
      <c r="R416" s="30"/>
    </row>
    <row r="417" spans="18:18" ht="15.75" customHeight="1">
      <c r="R417" s="30"/>
    </row>
    <row r="418" spans="18:18" ht="15.75" customHeight="1">
      <c r="R418" s="30"/>
    </row>
    <row r="419" spans="18:18" ht="15.75" customHeight="1">
      <c r="R419" s="30"/>
    </row>
    <row r="420" spans="18:18" ht="15.75" customHeight="1">
      <c r="R420" s="30"/>
    </row>
    <row r="421" spans="18:18" ht="15.75" customHeight="1">
      <c r="R421" s="30"/>
    </row>
    <row r="422" spans="18:18" ht="15.75" customHeight="1">
      <c r="R422" s="30"/>
    </row>
    <row r="423" spans="18:18" ht="15.75" customHeight="1">
      <c r="R423" s="30"/>
    </row>
    <row r="424" spans="18:18" ht="15.75" customHeight="1">
      <c r="R424" s="30"/>
    </row>
    <row r="425" spans="18:18" ht="15.75" customHeight="1">
      <c r="R425" s="30"/>
    </row>
    <row r="426" spans="18:18" ht="15.75" customHeight="1">
      <c r="R426" s="30"/>
    </row>
    <row r="427" spans="18:18" ht="15.75" customHeight="1">
      <c r="R427" s="30"/>
    </row>
    <row r="428" spans="18:18" ht="15.75" customHeight="1">
      <c r="R428" s="30"/>
    </row>
    <row r="429" spans="18:18" ht="15.75" customHeight="1">
      <c r="R429" s="30"/>
    </row>
    <row r="430" spans="18:18" ht="15.75" customHeight="1">
      <c r="R430" s="30"/>
    </row>
    <row r="431" spans="18:18" ht="15.75" customHeight="1">
      <c r="R431" s="30"/>
    </row>
    <row r="432" spans="18:18" ht="15.75" customHeight="1">
      <c r="R432" s="30"/>
    </row>
    <row r="433" spans="18:18" ht="15.75" customHeight="1">
      <c r="R433" s="30"/>
    </row>
    <row r="434" spans="18:18" ht="15.75" customHeight="1">
      <c r="R434" s="30"/>
    </row>
    <row r="435" spans="18:18" ht="15.75" customHeight="1">
      <c r="R435" s="30"/>
    </row>
    <row r="436" spans="18:18" ht="15.75" customHeight="1">
      <c r="R436" s="30"/>
    </row>
    <row r="437" spans="18:18" ht="15.75" customHeight="1">
      <c r="R437" s="30"/>
    </row>
    <row r="438" spans="18:18" ht="15.75" customHeight="1">
      <c r="R438" s="30"/>
    </row>
    <row r="439" spans="18:18" ht="15.75" customHeight="1">
      <c r="R439" s="30"/>
    </row>
    <row r="440" spans="18:18" ht="15.75" customHeight="1">
      <c r="R440" s="30"/>
    </row>
    <row r="441" spans="18:18" ht="15.75" customHeight="1">
      <c r="R441" s="30"/>
    </row>
    <row r="442" spans="18:18" ht="15.75" customHeight="1">
      <c r="R442" s="30"/>
    </row>
    <row r="443" spans="18:18" ht="15.75" customHeight="1">
      <c r="R443" s="30"/>
    </row>
    <row r="444" spans="18:18" ht="15.75" customHeight="1">
      <c r="R444" s="30"/>
    </row>
    <row r="445" spans="18:18" ht="15.75" customHeight="1">
      <c r="R445" s="30"/>
    </row>
    <row r="446" spans="18:18" ht="15.75" customHeight="1">
      <c r="R446" s="30"/>
    </row>
    <row r="447" spans="18:18" ht="15.75" customHeight="1">
      <c r="R447" s="30"/>
    </row>
    <row r="448" spans="18:18" ht="15.75" customHeight="1">
      <c r="R448" s="30"/>
    </row>
    <row r="449" spans="18:18" ht="15.75" customHeight="1">
      <c r="R449" s="30"/>
    </row>
    <row r="450" spans="18:18" ht="15.75" customHeight="1">
      <c r="R450" s="30"/>
    </row>
    <row r="451" spans="18:18" ht="15.75" customHeight="1">
      <c r="R451" s="30"/>
    </row>
    <row r="452" spans="18:18" ht="15.75" customHeight="1">
      <c r="R452" s="30"/>
    </row>
    <row r="453" spans="18:18" ht="15.75" customHeight="1">
      <c r="R453" s="30"/>
    </row>
    <row r="454" spans="18:18" ht="15.75" customHeight="1">
      <c r="R454" s="30"/>
    </row>
    <row r="455" spans="18:18" ht="15.75" customHeight="1">
      <c r="R455" s="30"/>
    </row>
    <row r="456" spans="18:18" ht="15.75" customHeight="1">
      <c r="R456" s="30"/>
    </row>
    <row r="457" spans="18:18" ht="15.75" customHeight="1">
      <c r="R457" s="30"/>
    </row>
    <row r="458" spans="18:18" ht="15.75" customHeight="1">
      <c r="R458" s="30"/>
    </row>
    <row r="459" spans="18:18" ht="15.75" customHeight="1">
      <c r="R459" s="30"/>
    </row>
    <row r="460" spans="18:18" ht="15.75" customHeight="1">
      <c r="R460" s="30"/>
    </row>
    <row r="461" spans="18:18" ht="15.75" customHeight="1">
      <c r="R461" s="30"/>
    </row>
    <row r="462" spans="18:18" ht="15.75" customHeight="1">
      <c r="R462" s="30"/>
    </row>
    <row r="463" spans="18:18" ht="15.75" customHeight="1">
      <c r="R463" s="30"/>
    </row>
    <row r="464" spans="18:18" ht="15.75" customHeight="1">
      <c r="R464" s="30"/>
    </row>
    <row r="465" spans="18:18" ht="15.75" customHeight="1">
      <c r="R465" s="30"/>
    </row>
    <row r="466" spans="18:18" ht="15.75" customHeight="1">
      <c r="R466" s="30"/>
    </row>
    <row r="467" spans="18:18" ht="15.75" customHeight="1">
      <c r="R467" s="30"/>
    </row>
    <row r="468" spans="18:18" ht="15.75" customHeight="1">
      <c r="R468" s="30"/>
    </row>
    <row r="469" spans="18:18" ht="15.75" customHeight="1">
      <c r="R469" s="30"/>
    </row>
    <row r="470" spans="18:18" ht="15.75" customHeight="1">
      <c r="R470" s="30"/>
    </row>
    <row r="471" spans="18:18" ht="15.75" customHeight="1">
      <c r="R471" s="30"/>
    </row>
    <row r="472" spans="18:18" ht="15.75" customHeight="1">
      <c r="R472" s="30"/>
    </row>
    <row r="473" spans="18:18" ht="15.75" customHeight="1">
      <c r="R473" s="30"/>
    </row>
    <row r="474" spans="18:18" ht="15.75" customHeight="1">
      <c r="R474" s="30"/>
    </row>
    <row r="475" spans="18:18" ht="15.75" customHeight="1">
      <c r="R475" s="30"/>
    </row>
    <row r="476" spans="18:18" ht="15.75" customHeight="1">
      <c r="R476" s="30"/>
    </row>
    <row r="477" spans="18:18" ht="15.75" customHeight="1">
      <c r="R477" s="30"/>
    </row>
    <row r="478" spans="18:18" ht="15.75" customHeight="1">
      <c r="R478" s="30"/>
    </row>
    <row r="479" spans="18:18" ht="15.75" customHeight="1">
      <c r="R479" s="30"/>
    </row>
    <row r="480" spans="18:18" ht="15.75" customHeight="1">
      <c r="R480" s="30"/>
    </row>
    <row r="481" spans="18:18" ht="15.75" customHeight="1">
      <c r="R481" s="30"/>
    </row>
    <row r="482" spans="18:18" ht="15.75" customHeight="1">
      <c r="R482" s="30"/>
    </row>
    <row r="483" spans="18:18" ht="15.75" customHeight="1">
      <c r="R483" s="30"/>
    </row>
    <row r="484" spans="18:18" ht="15.75" customHeight="1">
      <c r="R484" s="30"/>
    </row>
    <row r="485" spans="18:18" ht="15.75" customHeight="1">
      <c r="R485" s="30"/>
    </row>
    <row r="486" spans="18:18" ht="15.75" customHeight="1">
      <c r="R486" s="30"/>
    </row>
    <row r="487" spans="18:18" ht="15.75" customHeight="1">
      <c r="R487" s="30"/>
    </row>
    <row r="488" spans="18:18" ht="15.75" customHeight="1">
      <c r="R488" s="30"/>
    </row>
    <row r="489" spans="18:18" ht="15.75" customHeight="1">
      <c r="R489" s="30"/>
    </row>
    <row r="490" spans="18:18" ht="15.75" customHeight="1">
      <c r="R490" s="30"/>
    </row>
    <row r="491" spans="18:18" ht="15.75" customHeight="1">
      <c r="R491" s="30"/>
    </row>
    <row r="492" spans="18:18" ht="15.75" customHeight="1">
      <c r="R492" s="30"/>
    </row>
    <row r="493" spans="18:18" ht="15.75" customHeight="1">
      <c r="R493" s="30"/>
    </row>
    <row r="494" spans="18:18" ht="15.75" customHeight="1">
      <c r="R494" s="30"/>
    </row>
    <row r="495" spans="18:18" ht="15.75" customHeight="1">
      <c r="R495" s="30"/>
    </row>
    <row r="496" spans="18:18" ht="15.75" customHeight="1">
      <c r="R496" s="30"/>
    </row>
    <row r="497" spans="18:18" ht="15.75" customHeight="1">
      <c r="R497" s="30"/>
    </row>
    <row r="498" spans="18:18" ht="15.75" customHeight="1">
      <c r="R498" s="30"/>
    </row>
    <row r="499" spans="18:18" ht="15.75" customHeight="1">
      <c r="R499" s="30"/>
    </row>
    <row r="500" spans="18:18" ht="15.75" customHeight="1">
      <c r="R500" s="30"/>
    </row>
    <row r="501" spans="18:18" ht="15.75" customHeight="1">
      <c r="R501" s="30"/>
    </row>
    <row r="502" spans="18:18" ht="15.75" customHeight="1">
      <c r="R502" s="30"/>
    </row>
    <row r="503" spans="18:18" ht="15.75" customHeight="1">
      <c r="R503" s="30"/>
    </row>
    <row r="504" spans="18:18" ht="15.75" customHeight="1">
      <c r="R504" s="30"/>
    </row>
    <row r="505" spans="18:18" ht="15.75" customHeight="1">
      <c r="R505" s="30"/>
    </row>
    <row r="506" spans="18:18" ht="15.75" customHeight="1">
      <c r="R506" s="30"/>
    </row>
    <row r="507" spans="18:18" ht="15.75" customHeight="1">
      <c r="R507" s="30"/>
    </row>
    <row r="508" spans="18:18" ht="15.75" customHeight="1">
      <c r="R508" s="30"/>
    </row>
    <row r="509" spans="18:18" ht="15.75" customHeight="1">
      <c r="R509" s="30"/>
    </row>
    <row r="510" spans="18:18" ht="15.75" customHeight="1">
      <c r="R510" s="30"/>
    </row>
    <row r="511" spans="18:18" ht="15.75" customHeight="1">
      <c r="R511" s="30"/>
    </row>
    <row r="512" spans="18:18" ht="15.75" customHeight="1">
      <c r="R512" s="30"/>
    </row>
    <row r="513" spans="18:18" ht="15.75" customHeight="1">
      <c r="R513" s="30"/>
    </row>
    <row r="514" spans="18:18" ht="15.75" customHeight="1">
      <c r="R514" s="30"/>
    </row>
    <row r="515" spans="18:18" ht="15.75" customHeight="1">
      <c r="R515" s="30"/>
    </row>
    <row r="516" spans="18:18" ht="15.75" customHeight="1">
      <c r="R516" s="30"/>
    </row>
    <row r="517" spans="18:18" ht="15.75" customHeight="1">
      <c r="R517" s="30"/>
    </row>
    <row r="518" spans="18:18" ht="15.75" customHeight="1">
      <c r="R518" s="30"/>
    </row>
    <row r="519" spans="18:18" ht="15.75" customHeight="1">
      <c r="R519" s="30"/>
    </row>
    <row r="520" spans="18:18" ht="15.75" customHeight="1">
      <c r="R520" s="30"/>
    </row>
    <row r="521" spans="18:18" ht="15.75" customHeight="1">
      <c r="R521" s="30"/>
    </row>
    <row r="522" spans="18:18" ht="15.75" customHeight="1">
      <c r="R522" s="30"/>
    </row>
    <row r="523" spans="18:18" ht="15.75" customHeight="1">
      <c r="R523" s="30"/>
    </row>
    <row r="524" spans="18:18" ht="15.75" customHeight="1">
      <c r="R524" s="30"/>
    </row>
    <row r="525" spans="18:18" ht="15.75" customHeight="1">
      <c r="R525" s="30"/>
    </row>
    <row r="526" spans="18:18" ht="15.75" customHeight="1">
      <c r="R526" s="30"/>
    </row>
    <row r="527" spans="18:18" ht="15.75" customHeight="1">
      <c r="R527" s="30"/>
    </row>
    <row r="528" spans="18:18" ht="15.75" customHeight="1">
      <c r="R528" s="30"/>
    </row>
    <row r="529" spans="18:18" ht="15.75" customHeight="1">
      <c r="R529" s="30"/>
    </row>
    <row r="530" spans="18:18" ht="15.75" customHeight="1">
      <c r="R530" s="30"/>
    </row>
    <row r="531" spans="18:18" ht="15.75" customHeight="1">
      <c r="R531" s="30"/>
    </row>
    <row r="532" spans="18:18" ht="15.75" customHeight="1">
      <c r="R532" s="30"/>
    </row>
    <row r="533" spans="18:18" ht="15.75" customHeight="1">
      <c r="R533" s="30"/>
    </row>
    <row r="534" spans="18:18" ht="15.75" customHeight="1">
      <c r="R534" s="30"/>
    </row>
    <row r="535" spans="18:18" ht="15.75" customHeight="1">
      <c r="R535" s="30"/>
    </row>
    <row r="536" spans="18:18" ht="15.75" customHeight="1">
      <c r="R536" s="30"/>
    </row>
    <row r="537" spans="18:18" ht="15.75" customHeight="1">
      <c r="R537" s="30"/>
    </row>
    <row r="538" spans="18:18" ht="15.75" customHeight="1">
      <c r="R538" s="30"/>
    </row>
    <row r="539" spans="18:18" ht="15.75" customHeight="1">
      <c r="R539" s="30"/>
    </row>
    <row r="540" spans="18:18" ht="15.75" customHeight="1">
      <c r="R540" s="30"/>
    </row>
    <row r="541" spans="18:18" ht="15.75" customHeight="1">
      <c r="R541" s="30"/>
    </row>
    <row r="542" spans="18:18" ht="15.75" customHeight="1">
      <c r="R542" s="30"/>
    </row>
    <row r="543" spans="18:18" ht="15.75" customHeight="1">
      <c r="R543" s="30"/>
    </row>
    <row r="544" spans="18:18" ht="15.75" customHeight="1">
      <c r="R544" s="30"/>
    </row>
    <row r="545" spans="18:18" ht="15.75" customHeight="1">
      <c r="R545" s="30"/>
    </row>
    <row r="546" spans="18:18" ht="15.75" customHeight="1">
      <c r="R546" s="30"/>
    </row>
    <row r="547" spans="18:18" ht="15.75" customHeight="1">
      <c r="R547" s="30"/>
    </row>
    <row r="548" spans="18:18" ht="15.75" customHeight="1">
      <c r="R548" s="30"/>
    </row>
    <row r="549" spans="18:18" ht="15.75" customHeight="1">
      <c r="R549" s="30"/>
    </row>
    <row r="550" spans="18:18" ht="15.75" customHeight="1">
      <c r="R550" s="30"/>
    </row>
    <row r="551" spans="18:18" ht="15.75" customHeight="1">
      <c r="R551" s="30"/>
    </row>
    <row r="552" spans="18:18" ht="15.75" customHeight="1">
      <c r="R552" s="30"/>
    </row>
    <row r="553" spans="18:18" ht="15.75" customHeight="1">
      <c r="R553" s="30"/>
    </row>
    <row r="554" spans="18:18" ht="15.75" customHeight="1">
      <c r="R554" s="30"/>
    </row>
    <row r="555" spans="18:18" ht="15.75" customHeight="1">
      <c r="R555" s="30"/>
    </row>
    <row r="556" spans="18:18" ht="15.75" customHeight="1">
      <c r="R556" s="30"/>
    </row>
    <row r="557" spans="18:18" ht="15.75" customHeight="1">
      <c r="R557" s="30"/>
    </row>
    <row r="558" spans="18:18" ht="15.75" customHeight="1">
      <c r="R558" s="30"/>
    </row>
    <row r="559" spans="18:18" ht="15.75" customHeight="1">
      <c r="R559" s="30"/>
    </row>
    <row r="560" spans="18:18" ht="15.75" customHeight="1">
      <c r="R560" s="30"/>
    </row>
    <row r="561" spans="18:18" ht="15.75" customHeight="1">
      <c r="R561" s="30"/>
    </row>
    <row r="562" spans="18:18" ht="15.75" customHeight="1">
      <c r="R562" s="30"/>
    </row>
    <row r="563" spans="18:18" ht="15.75" customHeight="1">
      <c r="R563" s="30"/>
    </row>
    <row r="564" spans="18:18" ht="15.75" customHeight="1">
      <c r="R564" s="30"/>
    </row>
    <row r="565" spans="18:18" ht="15.75" customHeight="1">
      <c r="R565" s="30"/>
    </row>
    <row r="566" spans="18:18" ht="15.75" customHeight="1">
      <c r="R566" s="30"/>
    </row>
    <row r="567" spans="18:18" ht="15.75" customHeight="1">
      <c r="R567" s="30"/>
    </row>
    <row r="568" spans="18:18" ht="15.75" customHeight="1">
      <c r="R568" s="30"/>
    </row>
    <row r="569" spans="18:18" ht="15.75" customHeight="1">
      <c r="R569" s="30"/>
    </row>
    <row r="570" spans="18:18" ht="15.75" customHeight="1">
      <c r="R570" s="30"/>
    </row>
    <row r="571" spans="18:18" ht="15.75" customHeight="1">
      <c r="R571" s="30"/>
    </row>
    <row r="572" spans="18:18" ht="15.75" customHeight="1">
      <c r="R572" s="30"/>
    </row>
    <row r="573" spans="18:18" ht="15.75" customHeight="1">
      <c r="R573" s="30"/>
    </row>
    <row r="574" spans="18:18" ht="15.75" customHeight="1">
      <c r="R574" s="30"/>
    </row>
    <row r="575" spans="18:18" ht="15.75" customHeight="1">
      <c r="R575" s="30"/>
    </row>
    <row r="576" spans="18:18" ht="15.75" customHeight="1">
      <c r="R576" s="30"/>
    </row>
    <row r="577" spans="18:18" ht="15.75" customHeight="1">
      <c r="R577" s="30"/>
    </row>
    <row r="578" spans="18:18" ht="15.75" customHeight="1">
      <c r="R578" s="30"/>
    </row>
    <row r="579" spans="18:18" ht="15.75" customHeight="1">
      <c r="R579" s="30"/>
    </row>
    <row r="580" spans="18:18" ht="15.75" customHeight="1">
      <c r="R580" s="30"/>
    </row>
    <row r="581" spans="18:18" ht="15.75" customHeight="1">
      <c r="R581" s="30"/>
    </row>
    <row r="582" spans="18:18" ht="15.75" customHeight="1">
      <c r="R582" s="30"/>
    </row>
    <row r="583" spans="18:18" ht="15.75" customHeight="1">
      <c r="R583" s="30"/>
    </row>
    <row r="584" spans="18:18" ht="15.75" customHeight="1">
      <c r="R584" s="30"/>
    </row>
    <row r="585" spans="18:18" ht="15.75" customHeight="1">
      <c r="R585" s="30"/>
    </row>
    <row r="586" spans="18:18" ht="15.75" customHeight="1">
      <c r="R586" s="30"/>
    </row>
    <row r="587" spans="18:18" ht="15.75" customHeight="1">
      <c r="R587" s="30"/>
    </row>
    <row r="588" spans="18:18" ht="15.75" customHeight="1">
      <c r="R588" s="30"/>
    </row>
    <row r="589" spans="18:18" ht="15.75" customHeight="1">
      <c r="R589" s="30"/>
    </row>
    <row r="590" spans="18:18" ht="15.75" customHeight="1">
      <c r="R590" s="30"/>
    </row>
    <row r="591" spans="18:18" ht="15.75" customHeight="1">
      <c r="R591" s="30"/>
    </row>
    <row r="592" spans="18:18" ht="15.75" customHeight="1">
      <c r="R592" s="30"/>
    </row>
    <row r="593" spans="18:18" ht="15.75" customHeight="1">
      <c r="R593" s="30"/>
    </row>
    <row r="594" spans="18:18" ht="15.75" customHeight="1">
      <c r="R594" s="30"/>
    </row>
    <row r="595" spans="18:18" ht="15.75" customHeight="1">
      <c r="R595" s="30"/>
    </row>
    <row r="596" spans="18:18" ht="15.75" customHeight="1">
      <c r="R596" s="30"/>
    </row>
    <row r="597" spans="18:18" ht="15.75" customHeight="1">
      <c r="R597" s="30"/>
    </row>
    <row r="598" spans="18:18" ht="15.75" customHeight="1">
      <c r="R598" s="30"/>
    </row>
    <row r="599" spans="18:18" ht="15.75" customHeight="1">
      <c r="R599" s="30"/>
    </row>
    <row r="600" spans="18:18" ht="15.75" customHeight="1">
      <c r="R600" s="30"/>
    </row>
    <row r="601" spans="18:18" ht="15.75" customHeight="1">
      <c r="R601" s="30"/>
    </row>
    <row r="602" spans="18:18" ht="15.75" customHeight="1">
      <c r="R602" s="30"/>
    </row>
    <row r="603" spans="18:18" ht="15.75" customHeight="1">
      <c r="R603" s="30"/>
    </row>
    <row r="604" spans="18:18" ht="15.75" customHeight="1">
      <c r="R604" s="30"/>
    </row>
    <row r="605" spans="18:18" ht="15.75" customHeight="1">
      <c r="R605" s="30"/>
    </row>
    <row r="606" spans="18:18" ht="15.75" customHeight="1">
      <c r="R606" s="30"/>
    </row>
    <row r="607" spans="18:18" ht="15.75" customHeight="1">
      <c r="R607" s="30"/>
    </row>
    <row r="608" spans="18:18" ht="15.75" customHeight="1">
      <c r="R608" s="30"/>
    </row>
    <row r="609" spans="18:18" ht="15.75" customHeight="1">
      <c r="R609" s="30"/>
    </row>
    <row r="610" spans="18:18" ht="15.75" customHeight="1">
      <c r="R610" s="30"/>
    </row>
    <row r="611" spans="18:18" ht="15.75" customHeight="1">
      <c r="R611" s="30"/>
    </row>
    <row r="612" spans="18:18" ht="15.75" customHeight="1">
      <c r="R612" s="30"/>
    </row>
    <row r="613" spans="18:18" ht="15.75" customHeight="1">
      <c r="R613" s="30"/>
    </row>
    <row r="614" spans="18:18" ht="15.75" customHeight="1">
      <c r="R614" s="30"/>
    </row>
    <row r="615" spans="18:18" ht="15.75" customHeight="1">
      <c r="R615" s="30"/>
    </row>
    <row r="616" spans="18:18" ht="15.75" customHeight="1">
      <c r="R616" s="30"/>
    </row>
    <row r="617" spans="18:18" ht="15.75" customHeight="1">
      <c r="R617" s="30"/>
    </row>
    <row r="618" spans="18:18" ht="15.75" customHeight="1">
      <c r="R618" s="30"/>
    </row>
    <row r="619" spans="18:18" ht="15.75" customHeight="1">
      <c r="R619" s="30"/>
    </row>
    <row r="620" spans="18:18" ht="15.75" customHeight="1">
      <c r="R620" s="30"/>
    </row>
    <row r="621" spans="18:18" ht="15.75" customHeight="1">
      <c r="R621" s="30"/>
    </row>
    <row r="622" spans="18:18" ht="15.75" customHeight="1">
      <c r="R622" s="30"/>
    </row>
    <row r="623" spans="18:18" ht="15.75" customHeight="1">
      <c r="R623" s="30"/>
    </row>
    <row r="624" spans="18:18" ht="15.75" customHeight="1">
      <c r="R624" s="30"/>
    </row>
    <row r="625" spans="18:18" ht="15.75" customHeight="1">
      <c r="R625" s="30"/>
    </row>
    <row r="626" spans="18:18" ht="15.75" customHeight="1">
      <c r="R626" s="30"/>
    </row>
    <row r="627" spans="18:18" ht="15.75" customHeight="1">
      <c r="R627" s="30"/>
    </row>
    <row r="628" spans="18:18" ht="15.75" customHeight="1">
      <c r="R628" s="30"/>
    </row>
    <row r="629" spans="18:18" ht="15.75" customHeight="1">
      <c r="R629" s="30"/>
    </row>
    <row r="630" spans="18:18" ht="15.75" customHeight="1">
      <c r="R630" s="30"/>
    </row>
    <row r="631" spans="18:18" ht="15.75" customHeight="1">
      <c r="R631" s="30"/>
    </row>
    <row r="632" spans="18:18" ht="15.75" customHeight="1">
      <c r="R632" s="30"/>
    </row>
    <row r="633" spans="18:18" ht="15.75" customHeight="1">
      <c r="R633" s="30"/>
    </row>
    <row r="634" spans="18:18" ht="15.75" customHeight="1">
      <c r="R634" s="30"/>
    </row>
    <row r="635" spans="18:18" ht="15.75" customHeight="1">
      <c r="R635" s="30"/>
    </row>
    <row r="636" spans="18:18" ht="15.75" customHeight="1">
      <c r="R636" s="30"/>
    </row>
    <row r="637" spans="18:18" ht="15.75" customHeight="1">
      <c r="R637" s="30"/>
    </row>
    <row r="638" spans="18:18" ht="15.75" customHeight="1">
      <c r="R638" s="30"/>
    </row>
    <row r="639" spans="18:18" ht="15.75" customHeight="1">
      <c r="R639" s="30"/>
    </row>
    <row r="640" spans="18:18" ht="15.75" customHeight="1">
      <c r="R640" s="30"/>
    </row>
    <row r="641" spans="18:18" ht="15.75" customHeight="1">
      <c r="R641" s="30"/>
    </row>
    <row r="642" spans="18:18" ht="15.75" customHeight="1">
      <c r="R642" s="30"/>
    </row>
    <row r="643" spans="18:18" ht="15.75" customHeight="1">
      <c r="R643" s="30"/>
    </row>
    <row r="644" spans="18:18" ht="15.75" customHeight="1">
      <c r="R644" s="30"/>
    </row>
    <row r="645" spans="18:18" ht="15.75" customHeight="1">
      <c r="R645" s="30"/>
    </row>
    <row r="646" spans="18:18" ht="15.75" customHeight="1">
      <c r="R646" s="30"/>
    </row>
    <row r="647" spans="18:18" ht="15.75" customHeight="1">
      <c r="R647" s="30"/>
    </row>
    <row r="648" spans="18:18" ht="15.75" customHeight="1">
      <c r="R648" s="30"/>
    </row>
    <row r="649" spans="18:18" ht="15.75" customHeight="1">
      <c r="R649" s="30"/>
    </row>
    <row r="650" spans="18:18" ht="15.75" customHeight="1">
      <c r="R650" s="30"/>
    </row>
    <row r="651" spans="18:18" ht="15.75" customHeight="1">
      <c r="R651" s="30"/>
    </row>
    <row r="652" spans="18:18" ht="15.75" customHeight="1">
      <c r="R652" s="30"/>
    </row>
    <row r="653" spans="18:18" ht="15.75" customHeight="1">
      <c r="R653" s="30"/>
    </row>
    <row r="654" spans="18:18" ht="15.75" customHeight="1">
      <c r="R654" s="30"/>
    </row>
    <row r="655" spans="18:18" ht="15.75" customHeight="1">
      <c r="R655" s="30"/>
    </row>
    <row r="656" spans="18:18" ht="15.75" customHeight="1">
      <c r="R656" s="30"/>
    </row>
    <row r="657" spans="18:18" ht="15.75" customHeight="1">
      <c r="R657" s="30"/>
    </row>
    <row r="658" spans="18:18" ht="15.75" customHeight="1">
      <c r="R658" s="30"/>
    </row>
    <row r="659" spans="18:18" ht="15.75" customHeight="1">
      <c r="R659" s="30"/>
    </row>
    <row r="660" spans="18:18" ht="15.75" customHeight="1">
      <c r="R660" s="30"/>
    </row>
    <row r="661" spans="18:18" ht="15.75" customHeight="1">
      <c r="R661" s="30"/>
    </row>
    <row r="662" spans="18:18" ht="15.75" customHeight="1">
      <c r="R662" s="30"/>
    </row>
    <row r="663" spans="18:18" ht="15.75" customHeight="1">
      <c r="R663" s="30"/>
    </row>
    <row r="664" spans="18:18" ht="15.75" customHeight="1">
      <c r="R664" s="30"/>
    </row>
    <row r="665" spans="18:18" ht="15.75" customHeight="1">
      <c r="R665" s="30"/>
    </row>
    <row r="666" spans="18:18" ht="15.75" customHeight="1">
      <c r="R666" s="30"/>
    </row>
    <row r="667" spans="18:18" ht="15.75" customHeight="1">
      <c r="R667" s="30"/>
    </row>
    <row r="668" spans="18:18" ht="15.75" customHeight="1">
      <c r="R668" s="30"/>
    </row>
    <row r="669" spans="18:18" ht="15.75" customHeight="1">
      <c r="R669" s="30"/>
    </row>
    <row r="670" spans="18:18" ht="15.75" customHeight="1">
      <c r="R670" s="30"/>
    </row>
    <row r="671" spans="18:18" ht="15.75" customHeight="1">
      <c r="R671" s="30"/>
    </row>
    <row r="672" spans="18:18" ht="15.75" customHeight="1">
      <c r="R672" s="30"/>
    </row>
    <row r="673" spans="18:18" ht="15.75" customHeight="1">
      <c r="R673" s="30"/>
    </row>
    <row r="674" spans="18:18" ht="15.75" customHeight="1">
      <c r="R674" s="30"/>
    </row>
    <row r="675" spans="18:18" ht="15.75" customHeight="1">
      <c r="R675" s="30"/>
    </row>
    <row r="676" spans="18:18" ht="15.75" customHeight="1">
      <c r="R676" s="30"/>
    </row>
    <row r="677" spans="18:18" ht="15.75" customHeight="1">
      <c r="R677" s="30"/>
    </row>
    <row r="678" spans="18:18" ht="15.75" customHeight="1">
      <c r="R678" s="30"/>
    </row>
    <row r="679" spans="18:18" ht="15.75" customHeight="1">
      <c r="R679" s="30"/>
    </row>
    <row r="680" spans="18:18" ht="15.75" customHeight="1">
      <c r="R680" s="30"/>
    </row>
    <row r="681" spans="18:18" ht="15.75" customHeight="1">
      <c r="R681" s="30"/>
    </row>
    <row r="682" spans="18:18" ht="15.75" customHeight="1">
      <c r="R682" s="30"/>
    </row>
    <row r="683" spans="18:18" ht="15.75" customHeight="1">
      <c r="R683" s="30"/>
    </row>
    <row r="684" spans="18:18" ht="15.75" customHeight="1">
      <c r="R684" s="30"/>
    </row>
    <row r="685" spans="18:18" ht="15.75" customHeight="1">
      <c r="R685" s="30"/>
    </row>
    <row r="686" spans="18:18" ht="15.75" customHeight="1">
      <c r="R686" s="30"/>
    </row>
    <row r="687" spans="18:18" ht="15.75" customHeight="1">
      <c r="R687" s="30"/>
    </row>
    <row r="688" spans="18:18" ht="15.75" customHeight="1">
      <c r="R688" s="30"/>
    </row>
    <row r="689" spans="18:18" ht="15.75" customHeight="1">
      <c r="R689" s="30"/>
    </row>
    <row r="690" spans="18:18" ht="15.75" customHeight="1">
      <c r="R690" s="30"/>
    </row>
    <row r="691" spans="18:18" ht="15.75" customHeight="1">
      <c r="R691" s="30"/>
    </row>
    <row r="692" spans="18:18" ht="15.75" customHeight="1">
      <c r="R692" s="30"/>
    </row>
    <row r="693" spans="18:18" ht="15.75" customHeight="1">
      <c r="R693" s="30"/>
    </row>
    <row r="694" spans="18:18" ht="15.75" customHeight="1">
      <c r="R694" s="30"/>
    </row>
    <row r="695" spans="18:18" ht="15.75" customHeight="1">
      <c r="R695" s="30"/>
    </row>
    <row r="696" spans="18:18" ht="15.75" customHeight="1">
      <c r="R696" s="30"/>
    </row>
    <row r="697" spans="18:18" ht="15.75" customHeight="1">
      <c r="R697" s="30"/>
    </row>
    <row r="698" spans="18:18" ht="15.75" customHeight="1">
      <c r="R698" s="30"/>
    </row>
    <row r="699" spans="18:18" ht="15.75" customHeight="1">
      <c r="R699" s="30"/>
    </row>
    <row r="700" spans="18:18" ht="15.75" customHeight="1">
      <c r="R700" s="30"/>
    </row>
    <row r="701" spans="18:18" ht="15.75" customHeight="1">
      <c r="R701" s="30"/>
    </row>
    <row r="702" spans="18:18" ht="15.75" customHeight="1">
      <c r="R702" s="30"/>
    </row>
    <row r="703" spans="18:18" ht="15.75" customHeight="1">
      <c r="R703" s="30"/>
    </row>
    <row r="704" spans="18:18" ht="15.75" customHeight="1">
      <c r="R704" s="30"/>
    </row>
    <row r="705" spans="18:18" ht="15.75" customHeight="1">
      <c r="R705" s="30"/>
    </row>
    <row r="706" spans="18:18" ht="15.75" customHeight="1">
      <c r="R706" s="30"/>
    </row>
    <row r="707" spans="18:18" ht="15.75" customHeight="1">
      <c r="R707" s="30"/>
    </row>
    <row r="708" spans="18:18" ht="15.75" customHeight="1">
      <c r="R708" s="30"/>
    </row>
    <row r="709" spans="18:18" ht="15.75" customHeight="1">
      <c r="R709" s="30"/>
    </row>
    <row r="710" spans="18:18" ht="15.75" customHeight="1">
      <c r="R710" s="30"/>
    </row>
    <row r="711" spans="18:18" ht="15.75" customHeight="1">
      <c r="R711" s="30"/>
    </row>
    <row r="712" spans="18:18" ht="15.75" customHeight="1">
      <c r="R712" s="30"/>
    </row>
    <row r="713" spans="18:18" ht="15.75" customHeight="1">
      <c r="R713" s="30"/>
    </row>
    <row r="714" spans="18:18" ht="15.75" customHeight="1">
      <c r="R714" s="30"/>
    </row>
    <row r="715" spans="18:18" ht="15.75" customHeight="1">
      <c r="R715" s="30"/>
    </row>
    <row r="716" spans="18:18" ht="15.75" customHeight="1">
      <c r="R716" s="30"/>
    </row>
    <row r="717" spans="18:18" ht="15.75" customHeight="1">
      <c r="R717" s="30"/>
    </row>
    <row r="718" spans="18:18" ht="15.75" customHeight="1">
      <c r="R718" s="30"/>
    </row>
    <row r="719" spans="18:18" ht="15.75" customHeight="1">
      <c r="R719" s="30"/>
    </row>
    <row r="720" spans="18:18" ht="15.75" customHeight="1">
      <c r="R720" s="30"/>
    </row>
    <row r="721" spans="18:18" ht="15.75" customHeight="1">
      <c r="R721" s="30"/>
    </row>
    <row r="722" spans="18:18" ht="15.75" customHeight="1">
      <c r="R722" s="30"/>
    </row>
    <row r="723" spans="18:18" ht="15.75" customHeight="1">
      <c r="R723" s="30"/>
    </row>
    <row r="724" spans="18:18" ht="15.75" customHeight="1">
      <c r="R724" s="30"/>
    </row>
    <row r="725" spans="18:18" ht="15.75" customHeight="1">
      <c r="R725" s="30"/>
    </row>
    <row r="726" spans="18:18" ht="15.75" customHeight="1">
      <c r="R726" s="30"/>
    </row>
    <row r="727" spans="18:18" ht="15.75" customHeight="1">
      <c r="R727" s="30"/>
    </row>
    <row r="728" spans="18:18" ht="15.75" customHeight="1">
      <c r="R728" s="30"/>
    </row>
    <row r="729" spans="18:18" ht="15.75" customHeight="1">
      <c r="R729" s="30"/>
    </row>
    <row r="730" spans="18:18" ht="15.75" customHeight="1">
      <c r="R730" s="30"/>
    </row>
    <row r="731" spans="18:18" ht="15.75" customHeight="1">
      <c r="R731" s="30"/>
    </row>
    <row r="732" spans="18:18" ht="15.75" customHeight="1">
      <c r="R732" s="30"/>
    </row>
    <row r="733" spans="18:18" ht="15.75" customHeight="1">
      <c r="R733" s="30"/>
    </row>
    <row r="734" spans="18:18" ht="15.75" customHeight="1">
      <c r="R734" s="30"/>
    </row>
    <row r="735" spans="18:18" ht="15.75" customHeight="1">
      <c r="R735" s="30"/>
    </row>
    <row r="736" spans="18:18" ht="15.75" customHeight="1">
      <c r="R736" s="30"/>
    </row>
    <row r="737" spans="18:18" ht="15.75" customHeight="1">
      <c r="R737" s="30"/>
    </row>
    <row r="738" spans="18:18" ht="15.75" customHeight="1">
      <c r="R738" s="30"/>
    </row>
    <row r="739" spans="18:18" ht="15.75" customHeight="1">
      <c r="R739" s="30"/>
    </row>
    <row r="740" spans="18:18" ht="15.75" customHeight="1">
      <c r="R740" s="30"/>
    </row>
    <row r="741" spans="18:18" ht="15.75" customHeight="1">
      <c r="R741" s="30"/>
    </row>
    <row r="742" spans="18:18" ht="15.75" customHeight="1">
      <c r="R742" s="30"/>
    </row>
    <row r="743" spans="18:18" ht="15.75" customHeight="1">
      <c r="R743" s="30"/>
    </row>
    <row r="744" spans="18:18" ht="15.75" customHeight="1">
      <c r="R744" s="30"/>
    </row>
    <row r="745" spans="18:18" ht="15.75" customHeight="1">
      <c r="R745" s="30"/>
    </row>
    <row r="746" spans="18:18" ht="15.75" customHeight="1">
      <c r="R746" s="30"/>
    </row>
    <row r="747" spans="18:18" ht="15.75" customHeight="1">
      <c r="R747" s="30"/>
    </row>
    <row r="748" spans="18:18" ht="15.75" customHeight="1">
      <c r="R748" s="30"/>
    </row>
    <row r="749" spans="18:18" ht="15.75" customHeight="1">
      <c r="R749" s="30"/>
    </row>
    <row r="750" spans="18:18" ht="15.75" customHeight="1">
      <c r="R750" s="30"/>
    </row>
    <row r="751" spans="18:18" ht="15.75" customHeight="1">
      <c r="R751" s="30"/>
    </row>
    <row r="752" spans="18:18" ht="15.75" customHeight="1">
      <c r="R752" s="30"/>
    </row>
    <row r="753" spans="18:18" ht="15.75" customHeight="1">
      <c r="R753" s="30"/>
    </row>
    <row r="754" spans="18:18" ht="15.75" customHeight="1">
      <c r="R754" s="30"/>
    </row>
    <row r="755" spans="18:18" ht="15.75" customHeight="1">
      <c r="R755" s="30"/>
    </row>
    <row r="756" spans="18:18" ht="15.75" customHeight="1">
      <c r="R756" s="30"/>
    </row>
    <row r="757" spans="18:18" ht="15.75" customHeight="1">
      <c r="R757" s="30"/>
    </row>
    <row r="758" spans="18:18" ht="15.75" customHeight="1">
      <c r="R758" s="30"/>
    </row>
    <row r="759" spans="18:18" ht="15.75" customHeight="1">
      <c r="R759" s="30"/>
    </row>
    <row r="760" spans="18:18" ht="15.75" customHeight="1">
      <c r="R760" s="30"/>
    </row>
    <row r="761" spans="18:18" ht="15.75" customHeight="1">
      <c r="R761" s="30"/>
    </row>
    <row r="762" spans="18:18" ht="15.75" customHeight="1">
      <c r="R762" s="30"/>
    </row>
    <row r="763" spans="18:18" ht="15.75" customHeight="1">
      <c r="R763" s="30"/>
    </row>
    <row r="764" spans="18:18" ht="15.75" customHeight="1">
      <c r="R764" s="30"/>
    </row>
    <row r="765" spans="18:18" ht="15.75" customHeight="1">
      <c r="R765" s="30"/>
    </row>
    <row r="766" spans="18:18" ht="15.75" customHeight="1">
      <c r="R766" s="30"/>
    </row>
    <row r="767" spans="18:18" ht="15.75" customHeight="1">
      <c r="R767" s="30"/>
    </row>
    <row r="768" spans="18:18" ht="15.75" customHeight="1">
      <c r="R768" s="30"/>
    </row>
    <row r="769" spans="18:18" ht="15.75" customHeight="1">
      <c r="R769" s="30"/>
    </row>
    <row r="770" spans="18:18" ht="15.75" customHeight="1">
      <c r="R770" s="30"/>
    </row>
    <row r="771" spans="18:18" ht="15.75" customHeight="1">
      <c r="R771" s="30"/>
    </row>
    <row r="772" spans="18:18" ht="15.75" customHeight="1">
      <c r="R772" s="30"/>
    </row>
    <row r="773" spans="18:18" ht="15.75" customHeight="1">
      <c r="R773" s="30"/>
    </row>
    <row r="774" spans="18:18" ht="15.75" customHeight="1">
      <c r="R774" s="30"/>
    </row>
    <row r="775" spans="18:18" ht="15.75" customHeight="1">
      <c r="R775" s="30"/>
    </row>
    <row r="776" spans="18:18" ht="15.75" customHeight="1">
      <c r="R776" s="30"/>
    </row>
    <row r="777" spans="18:18" ht="15.75" customHeight="1">
      <c r="R777" s="30"/>
    </row>
    <row r="778" spans="18:18" ht="15.75" customHeight="1">
      <c r="R778" s="30"/>
    </row>
    <row r="779" spans="18:18" ht="15.75" customHeight="1">
      <c r="R779" s="30"/>
    </row>
    <row r="780" spans="18:18" ht="15.75" customHeight="1">
      <c r="R780" s="30"/>
    </row>
    <row r="781" spans="18:18" ht="15.75" customHeight="1">
      <c r="R781" s="30"/>
    </row>
    <row r="782" spans="18:18" ht="15.75" customHeight="1">
      <c r="R782" s="30"/>
    </row>
    <row r="783" spans="18:18" ht="15.75" customHeight="1">
      <c r="R783" s="30"/>
    </row>
    <row r="784" spans="18:18" ht="15.75" customHeight="1">
      <c r="R784" s="30"/>
    </row>
    <row r="785" spans="18:18" ht="15.75" customHeight="1">
      <c r="R785" s="30"/>
    </row>
    <row r="786" spans="18:18" ht="15.75" customHeight="1">
      <c r="R786" s="30"/>
    </row>
    <row r="787" spans="18:18" ht="15.75" customHeight="1">
      <c r="R787" s="30"/>
    </row>
    <row r="788" spans="18:18" ht="15.75" customHeight="1">
      <c r="R788" s="30"/>
    </row>
    <row r="789" spans="18:18" ht="15.75" customHeight="1">
      <c r="R789" s="30"/>
    </row>
    <row r="790" spans="18:18" ht="15.75" customHeight="1">
      <c r="R790" s="30"/>
    </row>
    <row r="791" spans="18:18" ht="15.75" customHeight="1">
      <c r="R791" s="30"/>
    </row>
    <row r="792" spans="18:18" ht="15.75" customHeight="1">
      <c r="R792" s="30"/>
    </row>
    <row r="793" spans="18:18" ht="15.75" customHeight="1">
      <c r="R793" s="30"/>
    </row>
    <row r="794" spans="18:18" ht="15.75" customHeight="1">
      <c r="R794" s="30"/>
    </row>
    <row r="795" spans="18:18" ht="15.75" customHeight="1">
      <c r="R795" s="30"/>
    </row>
    <row r="796" spans="18:18" ht="15.75" customHeight="1">
      <c r="R796" s="30"/>
    </row>
    <row r="797" spans="18:18" ht="15.75" customHeight="1">
      <c r="R797" s="30"/>
    </row>
    <row r="798" spans="18:18" ht="15.75" customHeight="1">
      <c r="R798" s="30"/>
    </row>
    <row r="799" spans="18:18" ht="15.75" customHeight="1">
      <c r="R799" s="30"/>
    </row>
    <row r="800" spans="18:18" ht="15.75" customHeight="1">
      <c r="R800" s="30"/>
    </row>
    <row r="801" spans="18:18" ht="15.75" customHeight="1">
      <c r="R801" s="30"/>
    </row>
    <row r="802" spans="18:18" ht="15.75" customHeight="1">
      <c r="R802" s="30"/>
    </row>
    <row r="803" spans="18:18" ht="15.75" customHeight="1">
      <c r="R803" s="30"/>
    </row>
    <row r="804" spans="18:18" ht="15.75" customHeight="1">
      <c r="R804" s="30"/>
    </row>
    <row r="805" spans="18:18" ht="15.75" customHeight="1">
      <c r="R805" s="30"/>
    </row>
    <row r="806" spans="18:18" ht="15.75" customHeight="1">
      <c r="R806" s="30"/>
    </row>
    <row r="807" spans="18:18" ht="15.75" customHeight="1">
      <c r="R807" s="30"/>
    </row>
    <row r="808" spans="18:18" ht="15.75" customHeight="1">
      <c r="R808" s="30"/>
    </row>
    <row r="809" spans="18:18" ht="15.75" customHeight="1">
      <c r="R809" s="30"/>
    </row>
    <row r="810" spans="18:18" ht="15.75" customHeight="1">
      <c r="R810" s="30"/>
    </row>
    <row r="811" spans="18:18" ht="15.75" customHeight="1">
      <c r="R811" s="30"/>
    </row>
    <row r="812" spans="18:18" ht="15.75" customHeight="1">
      <c r="R812" s="30"/>
    </row>
    <row r="813" spans="18:18" ht="15.75" customHeight="1">
      <c r="R813" s="30"/>
    </row>
    <row r="814" spans="18:18" ht="15.75" customHeight="1">
      <c r="R814" s="30"/>
    </row>
    <row r="815" spans="18:18" ht="15.75" customHeight="1">
      <c r="R815" s="30"/>
    </row>
    <row r="816" spans="18:18" ht="15.75" customHeight="1">
      <c r="R816" s="30"/>
    </row>
    <row r="817" spans="18:18" ht="15.75" customHeight="1">
      <c r="R817" s="30"/>
    </row>
    <row r="818" spans="18:18" ht="15.75" customHeight="1">
      <c r="R818" s="30"/>
    </row>
    <row r="819" spans="18:18" ht="15.75" customHeight="1">
      <c r="R819" s="30"/>
    </row>
    <row r="820" spans="18:18" ht="15.75" customHeight="1">
      <c r="R820" s="30"/>
    </row>
    <row r="821" spans="18:18" ht="15.75" customHeight="1">
      <c r="R821" s="30"/>
    </row>
    <row r="822" spans="18:18" ht="15.75" customHeight="1">
      <c r="R822" s="30"/>
    </row>
    <row r="823" spans="18:18" ht="15.75" customHeight="1">
      <c r="R823" s="30"/>
    </row>
    <row r="824" spans="18:18" ht="15.75" customHeight="1">
      <c r="R824" s="30"/>
    </row>
    <row r="825" spans="18:18" ht="15.75" customHeight="1">
      <c r="R825" s="30"/>
    </row>
    <row r="826" spans="18:18" ht="15.75" customHeight="1">
      <c r="R826" s="30"/>
    </row>
    <row r="827" spans="18:18" ht="15.75" customHeight="1">
      <c r="R827" s="30"/>
    </row>
    <row r="828" spans="18:18" ht="15.75" customHeight="1">
      <c r="R828" s="30"/>
    </row>
    <row r="829" spans="18:18" ht="15.75" customHeight="1">
      <c r="R829" s="30"/>
    </row>
    <row r="830" spans="18:18" ht="15.75" customHeight="1">
      <c r="R830" s="30"/>
    </row>
    <row r="831" spans="18:18" ht="15.75" customHeight="1">
      <c r="R831" s="30"/>
    </row>
    <row r="832" spans="18:18" ht="15.75" customHeight="1">
      <c r="R832" s="30"/>
    </row>
    <row r="833" spans="18:18" ht="15.75" customHeight="1">
      <c r="R833" s="30"/>
    </row>
    <row r="834" spans="18:18" ht="15.75" customHeight="1">
      <c r="R834" s="30"/>
    </row>
    <row r="835" spans="18:18" ht="15.75" customHeight="1">
      <c r="R835" s="30"/>
    </row>
    <row r="836" spans="18:18" ht="15.75" customHeight="1">
      <c r="R836" s="30"/>
    </row>
    <row r="837" spans="18:18" ht="15.75" customHeight="1">
      <c r="R837" s="30"/>
    </row>
    <row r="838" spans="18:18" ht="15.75" customHeight="1">
      <c r="R838" s="30"/>
    </row>
    <row r="839" spans="18:18" ht="15.75" customHeight="1">
      <c r="R839" s="30"/>
    </row>
    <row r="840" spans="18:18" ht="15.75" customHeight="1">
      <c r="R840" s="30"/>
    </row>
    <row r="841" spans="18:18" ht="15.75" customHeight="1">
      <c r="R841" s="30"/>
    </row>
    <row r="842" spans="18:18" ht="15.75" customHeight="1">
      <c r="R842" s="30"/>
    </row>
    <row r="843" spans="18:18" ht="15.75" customHeight="1">
      <c r="R843" s="30"/>
    </row>
    <row r="844" spans="18:18" ht="15.75" customHeight="1">
      <c r="R844" s="30"/>
    </row>
    <row r="845" spans="18:18" ht="15.75" customHeight="1">
      <c r="R845" s="30"/>
    </row>
    <row r="846" spans="18:18" ht="15.75" customHeight="1">
      <c r="R846" s="30"/>
    </row>
    <row r="847" spans="18:18" ht="15.75" customHeight="1">
      <c r="R847" s="30"/>
    </row>
    <row r="848" spans="18:18" ht="15.75" customHeight="1">
      <c r="R848" s="30"/>
    </row>
    <row r="849" spans="18:18" ht="15.75" customHeight="1">
      <c r="R849" s="30"/>
    </row>
    <row r="850" spans="18:18" ht="15.75" customHeight="1">
      <c r="R850" s="30"/>
    </row>
    <row r="851" spans="18:18" ht="15.75" customHeight="1">
      <c r="R851" s="30"/>
    </row>
    <row r="852" spans="18:18" ht="15.75" customHeight="1">
      <c r="R852" s="30"/>
    </row>
    <row r="853" spans="18:18" ht="15.75" customHeight="1">
      <c r="R853" s="30"/>
    </row>
    <row r="854" spans="18:18" ht="15.75" customHeight="1">
      <c r="R854" s="30"/>
    </row>
    <row r="855" spans="18:18" ht="15.75" customHeight="1">
      <c r="R855" s="30"/>
    </row>
    <row r="856" spans="18:18" ht="15.75" customHeight="1">
      <c r="R856" s="30"/>
    </row>
    <row r="857" spans="18:18" ht="15.75" customHeight="1">
      <c r="R857" s="30"/>
    </row>
    <row r="858" spans="18:18" ht="15.75" customHeight="1">
      <c r="R858" s="30"/>
    </row>
    <row r="859" spans="18:18" ht="15.75" customHeight="1">
      <c r="R859" s="30"/>
    </row>
    <row r="860" spans="18:18" ht="15.75" customHeight="1">
      <c r="R860" s="30"/>
    </row>
    <row r="861" spans="18:18" ht="15.75" customHeight="1">
      <c r="R861" s="30"/>
    </row>
    <row r="862" spans="18:18" ht="15.75" customHeight="1">
      <c r="R862" s="30"/>
    </row>
    <row r="863" spans="18:18" ht="15.75" customHeight="1">
      <c r="R863" s="30"/>
    </row>
    <row r="864" spans="18:18" ht="15.75" customHeight="1">
      <c r="R864" s="30"/>
    </row>
    <row r="865" spans="18:18" ht="15.75" customHeight="1">
      <c r="R865" s="30"/>
    </row>
    <row r="866" spans="18:18" ht="15.75" customHeight="1">
      <c r="R866" s="30"/>
    </row>
    <row r="867" spans="18:18" ht="15.75" customHeight="1">
      <c r="R867" s="30"/>
    </row>
    <row r="868" spans="18:18" ht="15.75" customHeight="1">
      <c r="R868" s="30"/>
    </row>
    <row r="869" spans="18:18" ht="15.75" customHeight="1">
      <c r="R869" s="30"/>
    </row>
    <row r="870" spans="18:18" ht="15.75" customHeight="1">
      <c r="R870" s="30"/>
    </row>
    <row r="871" spans="18:18" ht="15.75" customHeight="1">
      <c r="R871" s="30"/>
    </row>
    <row r="872" spans="18:18" ht="15.75" customHeight="1">
      <c r="R872" s="30"/>
    </row>
    <row r="873" spans="18:18" ht="15.75" customHeight="1">
      <c r="R873" s="30"/>
    </row>
    <row r="874" spans="18:18" ht="15.75" customHeight="1">
      <c r="R874" s="30"/>
    </row>
    <row r="875" spans="18:18" ht="15.75" customHeight="1">
      <c r="R875" s="30"/>
    </row>
    <row r="876" spans="18:18" ht="15.75" customHeight="1">
      <c r="R876" s="30"/>
    </row>
    <row r="877" spans="18:18" ht="15.75" customHeight="1">
      <c r="R877" s="30"/>
    </row>
    <row r="878" spans="18:18" ht="15.75" customHeight="1">
      <c r="R878" s="30"/>
    </row>
    <row r="879" spans="18:18" ht="15.75" customHeight="1">
      <c r="R879" s="30"/>
    </row>
    <row r="880" spans="18:18" ht="15.75" customHeight="1">
      <c r="R880" s="30"/>
    </row>
    <row r="881" spans="18:18" ht="15.75" customHeight="1">
      <c r="R881" s="30"/>
    </row>
    <row r="882" spans="18:18" ht="15.75" customHeight="1">
      <c r="R882" s="30"/>
    </row>
    <row r="883" spans="18:18" ht="15.75" customHeight="1">
      <c r="R883" s="30"/>
    </row>
    <row r="884" spans="18:18" ht="15.75" customHeight="1">
      <c r="R884" s="30"/>
    </row>
    <row r="885" spans="18:18" ht="15.75" customHeight="1">
      <c r="R885" s="30"/>
    </row>
    <row r="886" spans="18:18" ht="15.75" customHeight="1">
      <c r="R886" s="30"/>
    </row>
    <row r="887" spans="18:18" ht="15.75" customHeight="1">
      <c r="R887" s="30"/>
    </row>
    <row r="888" spans="18:18" ht="15.75" customHeight="1">
      <c r="R888" s="30"/>
    </row>
    <row r="889" spans="18:18" ht="15.75" customHeight="1">
      <c r="R889" s="30"/>
    </row>
    <row r="890" spans="18:18" ht="15.75" customHeight="1">
      <c r="R890" s="30"/>
    </row>
    <row r="891" spans="18:18" ht="15.75" customHeight="1">
      <c r="R891" s="30"/>
    </row>
    <row r="892" spans="18:18" ht="15.75" customHeight="1">
      <c r="R892" s="30"/>
    </row>
    <row r="893" spans="18:18" ht="15.75" customHeight="1">
      <c r="R893" s="30"/>
    </row>
    <row r="894" spans="18:18" ht="15.75" customHeight="1">
      <c r="R894" s="30"/>
    </row>
    <row r="895" spans="18:18" ht="15.75" customHeight="1">
      <c r="R895" s="30"/>
    </row>
    <row r="896" spans="18:18" ht="15.75" customHeight="1">
      <c r="R896" s="30"/>
    </row>
    <row r="897" spans="18:18" ht="15.75" customHeight="1">
      <c r="R897" s="30"/>
    </row>
    <row r="898" spans="18:18" ht="15.75" customHeight="1">
      <c r="R898" s="30"/>
    </row>
    <row r="899" spans="18:18" ht="15.75" customHeight="1">
      <c r="R899" s="30"/>
    </row>
    <row r="900" spans="18:18" ht="15.75" customHeight="1">
      <c r="R900" s="30"/>
    </row>
    <row r="901" spans="18:18" ht="15.75" customHeight="1">
      <c r="R901" s="30"/>
    </row>
    <row r="902" spans="18:18" ht="15.75" customHeight="1">
      <c r="R902" s="30"/>
    </row>
    <row r="903" spans="18:18" ht="15.75" customHeight="1">
      <c r="R903" s="30"/>
    </row>
    <row r="904" spans="18:18" ht="15.75" customHeight="1">
      <c r="R904" s="30"/>
    </row>
    <row r="905" spans="18:18" ht="15.75" customHeight="1">
      <c r="R905" s="30"/>
    </row>
    <row r="906" spans="18:18" ht="15.75" customHeight="1">
      <c r="R906" s="30"/>
    </row>
    <row r="907" spans="18:18" ht="15.75" customHeight="1">
      <c r="R907" s="30"/>
    </row>
    <row r="908" spans="18:18" ht="15.75" customHeight="1">
      <c r="R908" s="30"/>
    </row>
    <row r="909" spans="18:18" ht="15.75" customHeight="1">
      <c r="R909" s="30"/>
    </row>
    <row r="910" spans="18:18" ht="15.75" customHeight="1">
      <c r="R910" s="30"/>
    </row>
    <row r="911" spans="18:18" ht="15.75" customHeight="1">
      <c r="R911" s="30"/>
    </row>
    <row r="912" spans="18:18" ht="15.75" customHeight="1">
      <c r="R912" s="30"/>
    </row>
    <row r="913" spans="18:18" ht="15.75" customHeight="1">
      <c r="R913" s="30"/>
    </row>
    <row r="914" spans="18:18" ht="15.75" customHeight="1">
      <c r="R914" s="30"/>
    </row>
    <row r="915" spans="18:18" ht="15.75" customHeight="1">
      <c r="R915" s="30"/>
    </row>
    <row r="916" spans="18:18" ht="15.75" customHeight="1">
      <c r="R916" s="30"/>
    </row>
    <row r="917" spans="18:18" ht="15.75" customHeight="1">
      <c r="R917" s="30"/>
    </row>
    <row r="918" spans="18:18" ht="15.75" customHeight="1">
      <c r="R918" s="30"/>
    </row>
    <row r="919" spans="18:18" ht="15.75" customHeight="1">
      <c r="R919" s="30"/>
    </row>
    <row r="920" spans="18:18" ht="15.75" customHeight="1">
      <c r="R920" s="30"/>
    </row>
    <row r="921" spans="18:18" ht="15.75" customHeight="1">
      <c r="R921" s="30"/>
    </row>
    <row r="922" spans="18:18" ht="15.75" customHeight="1">
      <c r="R922" s="30"/>
    </row>
    <row r="923" spans="18:18" ht="15.75" customHeight="1">
      <c r="R923" s="30"/>
    </row>
    <row r="924" spans="18:18" ht="15.75" customHeight="1">
      <c r="R924" s="30"/>
    </row>
    <row r="925" spans="18:18" ht="15.75" customHeight="1">
      <c r="R925" s="30"/>
    </row>
    <row r="926" spans="18:18" ht="15.75" customHeight="1">
      <c r="R926" s="30"/>
    </row>
    <row r="927" spans="18:18" ht="15.75" customHeight="1">
      <c r="R927" s="30"/>
    </row>
    <row r="928" spans="18:18" ht="15.75" customHeight="1">
      <c r="R928" s="30"/>
    </row>
    <row r="929" spans="18:18" ht="15.75" customHeight="1">
      <c r="R929" s="30"/>
    </row>
    <row r="930" spans="18:18" ht="15.75" customHeight="1">
      <c r="R930" s="30"/>
    </row>
    <row r="931" spans="18:18" ht="15.75" customHeight="1">
      <c r="R931" s="30"/>
    </row>
    <row r="932" spans="18:18" ht="15.75" customHeight="1">
      <c r="R932" s="30"/>
    </row>
    <row r="933" spans="18:18" ht="15.75" customHeight="1">
      <c r="R933" s="30"/>
    </row>
    <row r="934" spans="18:18" ht="15.75" customHeight="1">
      <c r="R934" s="30"/>
    </row>
    <row r="935" spans="18:18" ht="15.75" customHeight="1">
      <c r="R935" s="30"/>
    </row>
    <row r="936" spans="18:18" ht="15.75" customHeight="1">
      <c r="R936" s="30"/>
    </row>
    <row r="937" spans="18:18" ht="15.75" customHeight="1">
      <c r="R937" s="30"/>
    </row>
    <row r="938" spans="18:18" ht="15.75" customHeight="1">
      <c r="R938" s="30"/>
    </row>
    <row r="939" spans="18:18" ht="15.75" customHeight="1">
      <c r="R939" s="30"/>
    </row>
    <row r="940" spans="18:18" ht="15.75" customHeight="1">
      <c r="R940" s="30"/>
    </row>
    <row r="941" spans="18:18" ht="15.75" customHeight="1">
      <c r="R941" s="30"/>
    </row>
    <row r="942" spans="18:18" ht="15.75" customHeight="1">
      <c r="R942" s="30"/>
    </row>
    <row r="943" spans="18:18" ht="15.75" customHeight="1">
      <c r="R943" s="30"/>
    </row>
    <row r="944" spans="18:18" ht="15.75" customHeight="1">
      <c r="R944" s="30"/>
    </row>
    <row r="945" spans="18:18" ht="15.75" customHeight="1">
      <c r="R945" s="30"/>
    </row>
    <row r="946" spans="18:18" ht="15.75" customHeight="1">
      <c r="R946" s="30"/>
    </row>
    <row r="947" spans="18:18" ht="15.75" customHeight="1">
      <c r="R947" s="30"/>
    </row>
    <row r="948" spans="18:18" ht="15.75" customHeight="1">
      <c r="R948" s="30"/>
    </row>
    <row r="949" spans="18:18" ht="15.75" customHeight="1">
      <c r="R949" s="30"/>
    </row>
    <row r="950" spans="18:18" ht="15.75" customHeight="1">
      <c r="R950" s="30"/>
    </row>
    <row r="951" spans="18:18" ht="15.75" customHeight="1">
      <c r="R951" s="30"/>
    </row>
    <row r="952" spans="18:18" ht="15.75" customHeight="1">
      <c r="R952" s="30"/>
    </row>
    <row r="953" spans="18:18" ht="15.75" customHeight="1">
      <c r="R953" s="30"/>
    </row>
    <row r="954" spans="18:18" ht="15.75" customHeight="1">
      <c r="R954" s="30"/>
    </row>
    <row r="955" spans="18:18" ht="15.75" customHeight="1">
      <c r="R955" s="30"/>
    </row>
    <row r="956" spans="18:18" ht="15.75" customHeight="1">
      <c r="R956" s="30"/>
    </row>
    <row r="957" spans="18:18" ht="15.75" customHeight="1">
      <c r="R957" s="30"/>
    </row>
    <row r="958" spans="18:18" ht="15.75" customHeight="1">
      <c r="R958" s="30"/>
    </row>
    <row r="959" spans="18:18" ht="15.75" customHeight="1">
      <c r="R959" s="30"/>
    </row>
    <row r="960" spans="18:18" ht="15.75" customHeight="1">
      <c r="R960" s="30"/>
    </row>
    <row r="961" spans="18:18" ht="15.75" customHeight="1">
      <c r="R961" s="30"/>
    </row>
    <row r="962" spans="18:18" ht="15.75" customHeight="1">
      <c r="R962" s="30"/>
    </row>
    <row r="963" spans="18:18" ht="15.75" customHeight="1">
      <c r="R963" s="30"/>
    </row>
    <row r="964" spans="18:18" ht="15.75" customHeight="1">
      <c r="R964" s="30"/>
    </row>
    <row r="965" spans="18:18" ht="15.75" customHeight="1">
      <c r="R965" s="30"/>
    </row>
    <row r="966" spans="18:18" ht="15.75" customHeight="1">
      <c r="R966" s="30"/>
    </row>
    <row r="967" spans="18:18" ht="15.75" customHeight="1">
      <c r="R967" s="30"/>
    </row>
    <row r="968" spans="18:18" ht="15.75" customHeight="1">
      <c r="R968" s="30"/>
    </row>
    <row r="969" spans="18:18" ht="15.75" customHeight="1">
      <c r="R969" s="30"/>
    </row>
    <row r="970" spans="18:18" ht="15.75" customHeight="1">
      <c r="R970" s="30"/>
    </row>
    <row r="971" spans="18:18" ht="15.75" customHeight="1">
      <c r="R971" s="30"/>
    </row>
    <row r="972" spans="18:18" ht="15.75" customHeight="1">
      <c r="R972" s="30"/>
    </row>
    <row r="973" spans="18:18" ht="15.75" customHeight="1">
      <c r="R973" s="30"/>
    </row>
    <row r="974" spans="18:18" ht="15.75" customHeight="1">
      <c r="R974" s="30"/>
    </row>
    <row r="975" spans="18:18" ht="15.75" customHeight="1">
      <c r="R975" s="30"/>
    </row>
    <row r="976" spans="18:18" ht="15.75" customHeight="1">
      <c r="R976" s="30"/>
    </row>
    <row r="977" spans="18:18" ht="15.75" customHeight="1">
      <c r="R977" s="30"/>
    </row>
    <row r="978" spans="18:18" ht="15.75" customHeight="1">
      <c r="R978" s="30"/>
    </row>
    <row r="979" spans="18:18" ht="15.75" customHeight="1">
      <c r="R979" s="30"/>
    </row>
    <row r="980" spans="18:18" ht="15.75" customHeight="1">
      <c r="R980" s="30"/>
    </row>
    <row r="981" spans="18:18" ht="15.75" customHeight="1">
      <c r="R981" s="30"/>
    </row>
    <row r="982" spans="18:18" ht="15.75" customHeight="1">
      <c r="R982" s="30"/>
    </row>
    <row r="983" spans="18:18" ht="15.75" customHeight="1">
      <c r="R983" s="30"/>
    </row>
    <row r="984" spans="18:18" ht="15.75" customHeight="1">
      <c r="R984" s="30"/>
    </row>
    <row r="985" spans="18:18" ht="15.75" customHeight="1">
      <c r="R985" s="30"/>
    </row>
    <row r="986" spans="18:18" ht="15.75" customHeight="1">
      <c r="R986" s="30"/>
    </row>
    <row r="987" spans="18:18" ht="15.75" customHeight="1">
      <c r="R987" s="30"/>
    </row>
    <row r="988" spans="18:18" ht="15.75" customHeight="1">
      <c r="R988" s="30"/>
    </row>
    <row r="989" spans="18:18" ht="15.75" customHeight="1">
      <c r="R989" s="30"/>
    </row>
    <row r="990" spans="18:18" ht="15.75" customHeight="1">
      <c r="R990" s="30"/>
    </row>
    <row r="991" spans="18:18" ht="15.75" customHeight="1">
      <c r="R991" s="30"/>
    </row>
    <row r="992" spans="18:18" ht="15.75" customHeight="1">
      <c r="R992" s="30"/>
    </row>
    <row r="993" spans="18:18" ht="15.75" customHeight="1">
      <c r="R993" s="30"/>
    </row>
    <row r="994" spans="18:18" ht="15.75" customHeight="1">
      <c r="R994" s="30"/>
    </row>
    <row r="995" spans="18:18" ht="15.75" customHeight="1">
      <c r="R995" s="30"/>
    </row>
    <row r="996" spans="18:18" ht="15.75" customHeight="1">
      <c r="R996" s="30"/>
    </row>
    <row r="997" spans="18:18" ht="15.75" customHeight="1">
      <c r="R997" s="30"/>
    </row>
    <row r="998" spans="18:18" ht="15.75" customHeight="1">
      <c r="R998" s="30"/>
    </row>
    <row r="999" spans="18:18" ht="15.75" customHeight="1">
      <c r="R999" s="30"/>
    </row>
    <row r="1000" spans="18:18" ht="15.75" customHeight="1">
      <c r="R1000" s="3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2.6640625" defaultRowHeight="15" customHeight="1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8.6640625" customWidth="1"/>
    <col min="6" max="6" width="9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16.33203125" customWidth="1"/>
    <col min="16" max="16" width="10" customWidth="1"/>
    <col min="17" max="18" width="7.33203125" customWidth="1"/>
    <col min="19" max="19" width="7.1640625" customWidth="1"/>
    <col min="20" max="20" width="15.5" customWidth="1"/>
    <col min="21" max="21" width="25.33203125" customWidth="1"/>
    <col min="22" max="22" width="53.3320312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6640625" customWidth="1"/>
    <col min="32" max="32" width="10.1640625" customWidth="1"/>
    <col min="33" max="33" width="8.83203125" customWidth="1"/>
  </cols>
  <sheetData>
    <row r="1" spans="1:33" ht="18.75" customHeight="1">
      <c r="A1" s="46" t="str">
        <f ca="1">IFERROR(__xludf.DUMMYFUNCTION("IFERROR(VLOOKUP(B2,IMPORTRANGE(""https://docs.google.com/spreadsheets/d/1x0DhHglkXKoEBOD2MBsuK_EyIr1ouxD2ftIpqOYFa-k/edit?usp=sharing"",""Ubiquitty-SKU-Specific Info!B1:BJ5000""),3,FALSE),"""")"),"2 Pack of 25 Foot Lighted Outdoor Extension Cord - 10/3 SJTW Yellow 10 Gauge Extension Cable with 3 Prong Grounded Plug for Safety - Great for Garden and Major Appliances")</f>
        <v>2 Pack of 25 Foot Lighted Outdoor Extension Cord - 10/3 SJTW Yellow 10 Gauge Extension Cable with 3 Prong Grounded Plug for Safety - Great for Garden and Major Appliances</v>
      </c>
      <c r="B1" s="47"/>
      <c r="C1" s="48" t="s">
        <v>0</v>
      </c>
      <c r="D1" s="50" t="s">
        <v>1</v>
      </c>
      <c r="E1" s="50" t="s">
        <v>2</v>
      </c>
      <c r="F1" s="52" t="s">
        <v>3</v>
      </c>
      <c r="G1" s="52" t="s">
        <v>4</v>
      </c>
      <c r="H1" s="53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58" t="s">
        <v>10</v>
      </c>
      <c r="N1" s="59" t="s">
        <v>11</v>
      </c>
      <c r="O1" s="50" t="s">
        <v>12</v>
      </c>
      <c r="P1" s="50" t="s">
        <v>13</v>
      </c>
      <c r="Q1" s="57" t="s">
        <v>14</v>
      </c>
      <c r="R1" s="57" t="s">
        <v>15</v>
      </c>
      <c r="S1" s="60" t="s">
        <v>16</v>
      </c>
      <c r="T1" s="62" t="s">
        <v>2006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Info!B1:BJ5000""),2,FALSE),"""")"),"B07MTPPL83")</f>
        <v>B07MTPPL83</v>
      </c>
      <c r="B2" s="3" t="s">
        <v>439</v>
      </c>
      <c r="C2" s="49"/>
      <c r="D2" s="49"/>
      <c r="E2" s="51"/>
      <c r="F2" s="49"/>
      <c r="G2" s="49"/>
      <c r="H2" s="54"/>
      <c r="I2" s="49"/>
      <c r="J2" s="49"/>
      <c r="K2" s="54"/>
      <c r="L2" s="54"/>
      <c r="M2" s="54"/>
      <c r="N2" s="49"/>
      <c r="O2" s="49"/>
      <c r="P2" s="51"/>
      <c r="Q2" s="49"/>
      <c r="R2" s="49"/>
      <c r="S2" s="61"/>
      <c r="T2" s="47"/>
      <c r="U2" s="63"/>
      <c r="V2" s="63"/>
      <c r="W2" s="47"/>
      <c r="X2" s="47"/>
      <c r="Y2" s="47"/>
      <c r="Z2" s="47"/>
      <c r="AA2" s="63"/>
      <c r="AB2" s="63"/>
      <c r="AC2" s="63"/>
      <c r="AD2" s="63"/>
      <c r="AE2" s="47"/>
      <c r="AF2" s="47"/>
      <c r="AG2" s="47"/>
    </row>
    <row r="3" spans="1:33" ht="153.75" customHeight="1">
      <c r="A3" s="55" t="s">
        <v>31</v>
      </c>
      <c r="B3" s="56"/>
      <c r="C3" s="4">
        <f>((AE32+AF32)/0.85)*-1</f>
        <v>55.640090305882232</v>
      </c>
      <c r="D3" s="5">
        <f>SUM(D4:D99765)</f>
        <v>337</v>
      </c>
      <c r="E3" s="5"/>
      <c r="F3" s="6">
        <f t="shared" ref="F3:G3" si="0">SUM(F4:F99765)</f>
        <v>25342.660000000003</v>
      </c>
      <c r="G3" s="6">
        <f t="shared" si="0"/>
        <v>-0.12000000000000001</v>
      </c>
      <c r="H3" s="7">
        <f t="shared" ref="H3:H32" si="1">G3/F3*-1</f>
        <v>4.7350988412423947E-6</v>
      </c>
      <c r="I3" s="8">
        <f t="shared" ref="I3:I32" si="2">J3/F3</f>
        <v>0.27942774052884639</v>
      </c>
      <c r="J3" s="6">
        <f>SUM(J4:J99765)</f>
        <v>7081.4422227907753</v>
      </c>
      <c r="K3" s="6">
        <f t="shared" ref="K3:K32" si="3">J3/D3</f>
        <v>21.0131816700023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Sheet!a1:g5000""),2,FALSE),"""")"),"4 - March
4 - April
4 - May
4 - June
4 - July
3.5 - Aug
3 - Sept
3 - Oct
4 - Nov
5 - Dec
1.5 - Jan
1.5 - Feb")</f>
        <v>4 - March
4 - April
4 - May
4 - June
4 - July
3.5 - Aug
3 - Sept
3 - Oct
4 - Nov
5 - Dec
1.5 - Jan
1.5 -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QTY-1")</f>
        <v>Del QTY-1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QTY-0")</f>
        <v>US QTY-0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0</v>
      </c>
      <c r="X3" s="7">
        <f>W3/D3</f>
        <v>0</v>
      </c>
      <c r="Y3" s="6"/>
      <c r="Z3" s="5"/>
      <c r="AA3" s="5"/>
      <c r="AB3" s="5"/>
      <c r="AC3" s="5"/>
      <c r="AD3" s="6">
        <f>SUM(AD4:AD99765)</f>
        <v>-113.03541666666666</v>
      </c>
      <c r="AE3" s="6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Info!B2:BZ3000""),37,FALSE)),"""")*-1"),-38.6140767599999)</f>
        <v>-38.614076759999897</v>
      </c>
      <c r="AG3" s="6">
        <f>SUM(AG4:AG99765)</f>
        <v>0</v>
      </c>
    </row>
    <row r="4" spans="1:33" ht="15.75" customHeight="1">
      <c r="A4" s="14" t="s">
        <v>181</v>
      </c>
      <c r="B4" s="14" t="s">
        <v>343</v>
      </c>
      <c r="C4" s="15" t="str">
        <f t="shared" ref="C4:C32" si="4">IFERROR(F4/D4," - ")</f>
        <v xml:space="preserve"> - </v>
      </c>
      <c r="D4" s="16">
        <v>0</v>
      </c>
      <c r="E4" s="16">
        <v>0</v>
      </c>
      <c r="F4" s="17">
        <v>0</v>
      </c>
      <c r="G4" s="17">
        <v>0</v>
      </c>
      <c r="H4" s="18" t="e">
        <f t="shared" si="1"/>
        <v>#DIV/0!</v>
      </c>
      <c r="I4" s="18" t="e">
        <f t="shared" si="2"/>
        <v>#DIV/0!</v>
      </c>
      <c r="J4" s="17">
        <f t="shared" ref="J4:J32" si="5">F4*0.85+G4+AF4*D4+D4*AE4+AG4+AD4</f>
        <v>0</v>
      </c>
      <c r="K4" s="17" t="e">
        <f t="shared" si="3"/>
        <v>#DIV/0!</v>
      </c>
      <c r="L4" s="16">
        <v>0</v>
      </c>
      <c r="M4" s="19" t="str">
        <f t="shared" ref="M4:M32" si="6">IFERROR(D4/L4,"-")</f>
        <v>-</v>
      </c>
      <c r="N4" s="16">
        <v>1</v>
      </c>
      <c r="O4" s="20">
        <f t="shared" ref="O4:P4" si="7">D4/7</f>
        <v>0</v>
      </c>
      <c r="P4" s="20">
        <f t="shared" si="7"/>
        <v>0</v>
      </c>
      <c r="Q4" s="16" t="e">
        <f t="shared" ref="Q4:Q32" si="8">ROUNDDOWN(N4/(O4+P4),0)</f>
        <v>#DIV/0!</v>
      </c>
      <c r="R4" s="16"/>
      <c r="S4" s="21">
        <v>2.81987577639751</v>
      </c>
      <c r="T4" s="14">
        <v>180</v>
      </c>
      <c r="U4" s="22">
        <v>44</v>
      </c>
      <c r="V4" s="23" t="s">
        <v>440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26" t="e">
        <v>#N/A</v>
      </c>
      <c r="AB4" s="27" t="e">
        <f t="shared" ref="AB4:AB32" si="11">IF(OR(AA4="UsLargeStandardSize",AA4="UsSmallStandardSize"),-0.69,-0.48)</f>
        <v>#N/A</v>
      </c>
      <c r="AC4" s="28" t="e">
        <v>#N/A</v>
      </c>
      <c r="AD4" s="25">
        <f t="shared" ref="AD4:AD32" si="12">IFERROR(AB4*AC4*D4*2,0)</f>
        <v>0</v>
      </c>
      <c r="AE4" s="25">
        <v>0</v>
      </c>
      <c r="AF4" s="25">
        <v>-27.732564102564101</v>
      </c>
      <c r="AG4" s="25">
        <v>0</v>
      </c>
    </row>
    <row r="5" spans="1:33" ht="15.75" customHeight="1">
      <c r="A5" s="14" t="s">
        <v>183</v>
      </c>
      <c r="B5" s="14"/>
      <c r="C5" s="15" t="str">
        <f t="shared" si="4"/>
        <v xml:space="preserve"> - </v>
      </c>
      <c r="D5" s="16">
        <v>0</v>
      </c>
      <c r="E5" s="16">
        <v>0</v>
      </c>
      <c r="F5" s="29">
        <v>0</v>
      </c>
      <c r="G5" s="29">
        <v>0</v>
      </c>
      <c r="H5" s="18" t="e">
        <f t="shared" si="1"/>
        <v>#DIV/0!</v>
      </c>
      <c r="I5" s="18" t="e">
        <f t="shared" si="2"/>
        <v>#DIV/0!</v>
      </c>
      <c r="J5" s="17">
        <f t="shared" si="5"/>
        <v>0</v>
      </c>
      <c r="K5" s="17" t="e">
        <f t="shared" si="3"/>
        <v>#DIV/0!</v>
      </c>
      <c r="L5" s="16">
        <v>0</v>
      </c>
      <c r="M5" s="19" t="str">
        <f t="shared" si="6"/>
        <v>-</v>
      </c>
      <c r="N5" s="16">
        <v>1</v>
      </c>
      <c r="O5" s="20">
        <f t="shared" ref="O5:P5" si="13">D5/7</f>
        <v>0</v>
      </c>
      <c r="P5" s="20">
        <f t="shared" si="13"/>
        <v>0</v>
      </c>
      <c r="Q5" s="16" t="e">
        <f t="shared" si="8"/>
        <v>#DIV/0!</v>
      </c>
      <c r="R5" s="16"/>
      <c r="S5" s="21">
        <v>2.5256797583081498</v>
      </c>
      <c r="T5" s="14">
        <v>180</v>
      </c>
      <c r="U5" s="22">
        <v>44</v>
      </c>
      <c r="V5" s="23" t="s">
        <v>440</v>
      </c>
      <c r="W5" s="14">
        <v>0</v>
      </c>
      <c r="X5" s="24">
        <f t="shared" si="9"/>
        <v>0</v>
      </c>
      <c r="Y5" s="25">
        <f t="shared" si="10"/>
        <v>0</v>
      </c>
      <c r="Z5" s="14">
        <v>0</v>
      </c>
      <c r="AA5" s="14" t="e">
        <v>#N/A</v>
      </c>
      <c r="AB5" s="27" t="e">
        <f t="shared" si="11"/>
        <v>#N/A</v>
      </c>
      <c r="AC5" s="28" t="e">
        <v>#N/A</v>
      </c>
      <c r="AD5" s="25">
        <f t="shared" si="12"/>
        <v>0</v>
      </c>
      <c r="AE5" s="25">
        <v>0</v>
      </c>
      <c r="AF5" s="25">
        <v>-27.732564102564101</v>
      </c>
      <c r="AG5" s="25">
        <v>0</v>
      </c>
    </row>
    <row r="6" spans="1:33" ht="15.75" customHeight="1">
      <c r="A6" s="14" t="s">
        <v>185</v>
      </c>
      <c r="B6" s="14"/>
      <c r="C6" s="15" t="str">
        <f t="shared" si="4"/>
        <v xml:space="preserve"> - </v>
      </c>
      <c r="D6" s="16">
        <v>0</v>
      </c>
      <c r="E6" s="16">
        <v>0</v>
      </c>
      <c r="F6" s="29">
        <v>0</v>
      </c>
      <c r="G6" s="29">
        <v>0</v>
      </c>
      <c r="H6" s="18" t="e">
        <f t="shared" si="1"/>
        <v>#DIV/0!</v>
      </c>
      <c r="I6" s="18" t="e">
        <f t="shared" si="2"/>
        <v>#DIV/0!</v>
      </c>
      <c r="J6" s="17">
        <f t="shared" si="5"/>
        <v>0</v>
      </c>
      <c r="K6" s="17" t="e">
        <f t="shared" si="3"/>
        <v>#DIV/0!</v>
      </c>
      <c r="L6" s="16">
        <v>0</v>
      </c>
      <c r="M6" s="19" t="str">
        <f t="shared" si="6"/>
        <v>-</v>
      </c>
      <c r="N6" s="16">
        <v>1</v>
      </c>
      <c r="O6" s="20">
        <f t="shared" ref="O6:P6" si="14">D6/7</f>
        <v>0</v>
      </c>
      <c r="P6" s="20">
        <f t="shared" si="14"/>
        <v>0</v>
      </c>
      <c r="Q6" s="16" t="e">
        <f t="shared" si="8"/>
        <v>#DIV/0!</v>
      </c>
      <c r="R6" s="16"/>
      <c r="S6" s="21" t="e">
        <v>#N/A</v>
      </c>
      <c r="T6" s="14">
        <v>136</v>
      </c>
      <c r="U6" s="22" t="s">
        <v>34</v>
      </c>
      <c r="V6" s="23" t="s">
        <v>186</v>
      </c>
      <c r="W6" s="14">
        <v>0</v>
      </c>
      <c r="X6" s="24">
        <f t="shared" si="9"/>
        <v>0</v>
      </c>
      <c r="Y6" s="25">
        <f t="shared" si="10"/>
        <v>0</v>
      </c>
      <c r="Z6" s="14">
        <v>0</v>
      </c>
      <c r="AA6" s="14" t="e">
        <v>#N/A</v>
      </c>
      <c r="AB6" s="27" t="e">
        <f t="shared" si="11"/>
        <v>#N/A</v>
      </c>
      <c r="AC6" s="28" t="e">
        <v>#N/A</v>
      </c>
      <c r="AD6" s="25">
        <f t="shared" si="12"/>
        <v>0</v>
      </c>
      <c r="AE6" s="25">
        <v>0</v>
      </c>
      <c r="AF6" s="25">
        <v>-27.732564102564101</v>
      </c>
      <c r="AG6" s="25">
        <v>0</v>
      </c>
    </row>
    <row r="7" spans="1:33" ht="15.75" customHeight="1">
      <c r="A7" s="14" t="s">
        <v>187</v>
      </c>
      <c r="B7" s="14" t="s">
        <v>441</v>
      </c>
      <c r="C7" s="15" t="str">
        <f t="shared" si="4"/>
        <v xml:space="preserve"> - </v>
      </c>
      <c r="D7" s="16">
        <v>0</v>
      </c>
      <c r="E7" s="16">
        <v>0</v>
      </c>
      <c r="F7" s="29">
        <v>0</v>
      </c>
      <c r="G7" s="29">
        <v>0</v>
      </c>
      <c r="H7" s="18" t="e">
        <f t="shared" si="1"/>
        <v>#DIV/0!</v>
      </c>
      <c r="I7" s="18" t="e">
        <f t="shared" si="2"/>
        <v>#DIV/0!</v>
      </c>
      <c r="J7" s="17">
        <f t="shared" si="5"/>
        <v>0</v>
      </c>
      <c r="K7" s="17" t="e">
        <f t="shared" si="3"/>
        <v>#DIV/0!</v>
      </c>
      <c r="L7" s="16">
        <v>0</v>
      </c>
      <c r="M7" s="19" t="str">
        <f t="shared" si="6"/>
        <v>-</v>
      </c>
      <c r="N7" s="16">
        <v>41</v>
      </c>
      <c r="O7" s="20">
        <f t="shared" ref="O7:P7" si="15">D7/7</f>
        <v>0</v>
      </c>
      <c r="P7" s="20">
        <f t="shared" si="15"/>
        <v>0</v>
      </c>
      <c r="Q7" s="16" t="e">
        <f t="shared" si="8"/>
        <v>#DIV/0!</v>
      </c>
      <c r="R7" s="16"/>
      <c r="S7" s="21">
        <v>2.9367088607594898</v>
      </c>
      <c r="T7" s="14">
        <v>136</v>
      </c>
      <c r="U7" s="22">
        <v>136</v>
      </c>
      <c r="V7" s="23" t="s">
        <v>442</v>
      </c>
      <c r="W7" s="14">
        <v>0</v>
      </c>
      <c r="X7" s="24">
        <f t="shared" si="9"/>
        <v>0</v>
      </c>
      <c r="Y7" s="25">
        <f t="shared" si="10"/>
        <v>0</v>
      </c>
      <c r="Z7" s="14">
        <v>0</v>
      </c>
      <c r="AA7" s="14" t="e">
        <v>#N/A</v>
      </c>
      <c r="AB7" s="27" t="e">
        <f t="shared" si="11"/>
        <v>#N/A</v>
      </c>
      <c r="AC7" s="28" t="e">
        <v>#N/A</v>
      </c>
      <c r="AD7" s="25">
        <f t="shared" si="12"/>
        <v>0</v>
      </c>
      <c r="AE7" s="25">
        <v>0</v>
      </c>
      <c r="AF7" s="25">
        <v>-27.732564102564101</v>
      </c>
      <c r="AG7" s="25">
        <v>0</v>
      </c>
    </row>
    <row r="8" spans="1:33" ht="15.75" customHeight="1">
      <c r="A8" s="14" t="s">
        <v>189</v>
      </c>
      <c r="B8" s="14" t="s">
        <v>443</v>
      </c>
      <c r="C8" s="15">
        <f t="shared" si="4"/>
        <v>74.046666666666667</v>
      </c>
      <c r="D8" s="16">
        <v>6</v>
      </c>
      <c r="E8" s="16">
        <v>0</v>
      </c>
      <c r="F8" s="29">
        <v>444.28</v>
      </c>
      <c r="G8" s="29">
        <v>0</v>
      </c>
      <c r="H8" s="18">
        <f t="shared" si="1"/>
        <v>0</v>
      </c>
      <c r="I8" s="18">
        <f t="shared" si="2"/>
        <v>0.34646056540920145</v>
      </c>
      <c r="J8" s="17">
        <f t="shared" si="5"/>
        <v>153.9255</v>
      </c>
      <c r="K8" s="17">
        <f t="shared" si="3"/>
        <v>25.654250000000001</v>
      </c>
      <c r="L8" s="16">
        <v>28</v>
      </c>
      <c r="M8" s="19">
        <f t="shared" si="6"/>
        <v>0.21428571428571427</v>
      </c>
      <c r="N8" s="16">
        <v>39</v>
      </c>
      <c r="O8" s="20">
        <f t="shared" ref="O8:P8" si="16">D8/7</f>
        <v>0.8571428571428571</v>
      </c>
      <c r="P8" s="20">
        <f t="shared" si="16"/>
        <v>0</v>
      </c>
      <c r="Q8" s="16">
        <f t="shared" si="8"/>
        <v>45</v>
      </c>
      <c r="R8" s="16"/>
      <c r="S8" s="21">
        <v>3.1155778894472301</v>
      </c>
      <c r="T8" s="14">
        <v>136</v>
      </c>
      <c r="U8" s="22">
        <v>136</v>
      </c>
      <c r="V8" s="23" t="s">
        <v>444</v>
      </c>
      <c r="W8" s="14">
        <v>0</v>
      </c>
      <c r="X8" s="24">
        <f t="shared" si="9"/>
        <v>0</v>
      </c>
      <c r="Y8" s="25">
        <f t="shared" si="10"/>
        <v>0</v>
      </c>
      <c r="Z8" s="14">
        <v>0</v>
      </c>
      <c r="AA8" s="14" t="s">
        <v>35</v>
      </c>
      <c r="AB8" s="27">
        <f t="shared" si="11"/>
        <v>-0.69</v>
      </c>
      <c r="AC8" s="28">
        <v>0.24305555555555555</v>
      </c>
      <c r="AD8" s="25">
        <f t="shared" si="12"/>
        <v>-2.0124999999999997</v>
      </c>
      <c r="AE8" s="25">
        <v>-9.2200000000000006</v>
      </c>
      <c r="AF8" s="25">
        <v>-27.73</v>
      </c>
      <c r="AG8" s="25">
        <v>0</v>
      </c>
    </row>
    <row r="9" spans="1:33" ht="15.75" customHeight="1">
      <c r="A9" s="14" t="s">
        <v>191</v>
      </c>
      <c r="B9" s="14" t="s">
        <v>445</v>
      </c>
      <c r="C9" s="15">
        <f t="shared" si="4"/>
        <v>65.925454545454542</v>
      </c>
      <c r="D9" s="16">
        <v>33</v>
      </c>
      <c r="E9" s="16">
        <v>1</v>
      </c>
      <c r="F9" s="29">
        <v>2175.54</v>
      </c>
      <c r="G9" s="29">
        <v>0</v>
      </c>
      <c r="H9" s="18">
        <f t="shared" si="1"/>
        <v>0</v>
      </c>
      <c r="I9" s="18">
        <f t="shared" si="2"/>
        <v>0.27567172535766682</v>
      </c>
      <c r="J9" s="17">
        <f t="shared" si="5"/>
        <v>599.7348653846185</v>
      </c>
      <c r="K9" s="17">
        <f t="shared" si="3"/>
        <v>18.173783799533894</v>
      </c>
      <c r="L9" s="16">
        <v>74</v>
      </c>
      <c r="M9" s="19">
        <f t="shared" si="6"/>
        <v>0.44594594594594594</v>
      </c>
      <c r="N9" s="16">
        <v>10</v>
      </c>
      <c r="O9" s="20">
        <f t="shared" ref="O9:P9" si="17">D9/7</f>
        <v>4.7142857142857144</v>
      </c>
      <c r="P9" s="20">
        <f t="shared" si="17"/>
        <v>0.14285714285714285</v>
      </c>
      <c r="Q9" s="16">
        <f t="shared" si="8"/>
        <v>2</v>
      </c>
      <c r="R9" s="16"/>
      <c r="S9" s="21">
        <v>3.0813397129186599</v>
      </c>
      <c r="T9" s="14">
        <v>136</v>
      </c>
      <c r="U9" s="22">
        <v>136</v>
      </c>
      <c r="V9" s="23" t="s">
        <v>446</v>
      </c>
      <c r="W9" s="14">
        <v>0</v>
      </c>
      <c r="X9" s="24">
        <f t="shared" si="9"/>
        <v>0</v>
      </c>
      <c r="Y9" s="25">
        <f t="shared" si="10"/>
        <v>0</v>
      </c>
      <c r="Z9" s="14">
        <v>0</v>
      </c>
      <c r="AA9" s="14" t="s">
        <v>35</v>
      </c>
      <c r="AB9" s="27">
        <f t="shared" si="11"/>
        <v>-0.69</v>
      </c>
      <c r="AC9" s="28">
        <v>0.24305555555555555</v>
      </c>
      <c r="AD9" s="25">
        <f t="shared" si="12"/>
        <v>-11.06875</v>
      </c>
      <c r="AE9" s="25">
        <v>-9.2200000000000006</v>
      </c>
      <c r="AF9" s="25">
        <v>-28.307435897435798</v>
      </c>
      <c r="AG9" s="25">
        <v>0</v>
      </c>
    </row>
    <row r="10" spans="1:33" ht="15.75" customHeight="1">
      <c r="A10" s="14" t="s">
        <v>192</v>
      </c>
      <c r="B10" s="14" t="s">
        <v>343</v>
      </c>
      <c r="C10" s="15">
        <f t="shared" si="4"/>
        <v>74.183999999999997</v>
      </c>
      <c r="D10" s="16">
        <v>5</v>
      </c>
      <c r="E10" s="16">
        <v>0</v>
      </c>
      <c r="F10" s="29">
        <v>370.91999999999996</v>
      </c>
      <c r="G10" s="29">
        <v>0</v>
      </c>
      <c r="H10" s="18">
        <f t="shared" si="1"/>
        <v>0</v>
      </c>
      <c r="I10" s="18">
        <f t="shared" si="2"/>
        <v>0.33960891076104732</v>
      </c>
      <c r="J10" s="17">
        <f t="shared" si="5"/>
        <v>125.96773717948766</v>
      </c>
      <c r="K10" s="17">
        <f t="shared" si="3"/>
        <v>25.193547435897532</v>
      </c>
      <c r="L10" s="16">
        <v>11</v>
      </c>
      <c r="M10" s="19">
        <f t="shared" si="6"/>
        <v>0.45454545454545453</v>
      </c>
      <c r="N10" s="16">
        <v>0</v>
      </c>
      <c r="O10" s="20">
        <f t="shared" ref="O10:P10" si="18">D10/7</f>
        <v>0.7142857142857143</v>
      </c>
      <c r="P10" s="20">
        <f t="shared" si="18"/>
        <v>0</v>
      </c>
      <c r="Q10" s="16">
        <f t="shared" si="8"/>
        <v>0</v>
      </c>
      <c r="R10" s="16"/>
      <c r="S10" s="21">
        <v>4.4871794871794801</v>
      </c>
      <c r="T10" s="14">
        <v>136</v>
      </c>
      <c r="U10" s="22">
        <v>136</v>
      </c>
      <c r="V10" s="23" t="s">
        <v>447</v>
      </c>
      <c r="W10" s="14">
        <v>0</v>
      </c>
      <c r="X10" s="24">
        <f t="shared" si="9"/>
        <v>0</v>
      </c>
      <c r="Y10" s="25">
        <f t="shared" si="10"/>
        <v>0</v>
      </c>
      <c r="Z10" s="14">
        <v>0</v>
      </c>
      <c r="AA10" s="14" t="s">
        <v>35</v>
      </c>
      <c r="AB10" s="27">
        <f t="shared" si="11"/>
        <v>-0.69</v>
      </c>
      <c r="AC10" s="28">
        <v>0.24305555555555555</v>
      </c>
      <c r="AD10" s="25">
        <f t="shared" si="12"/>
        <v>-1.6770833333333333</v>
      </c>
      <c r="AE10" s="25">
        <v>-9.2200000000000006</v>
      </c>
      <c r="AF10" s="25">
        <v>-28.307435897435798</v>
      </c>
      <c r="AG10" s="25">
        <v>0</v>
      </c>
    </row>
    <row r="11" spans="1:33" ht="15.75" customHeight="1">
      <c r="A11" s="14" t="s">
        <v>193</v>
      </c>
      <c r="B11" s="14"/>
      <c r="C11" s="15" t="str">
        <f t="shared" si="4"/>
        <v xml:space="preserve"> - </v>
      </c>
      <c r="D11" s="16">
        <v>0</v>
      </c>
      <c r="E11" s="16">
        <v>0</v>
      </c>
      <c r="F11" s="29">
        <v>0</v>
      </c>
      <c r="G11" s="29">
        <v>0</v>
      </c>
      <c r="H11" s="18" t="e">
        <f t="shared" si="1"/>
        <v>#DIV/0!</v>
      </c>
      <c r="I11" s="18" t="e">
        <f t="shared" si="2"/>
        <v>#DIV/0!</v>
      </c>
      <c r="J11" s="17">
        <f t="shared" si="5"/>
        <v>0</v>
      </c>
      <c r="K11" s="17" t="e">
        <f t="shared" si="3"/>
        <v>#DIV/0!</v>
      </c>
      <c r="L11" s="16">
        <v>0</v>
      </c>
      <c r="M11" s="19" t="str">
        <f t="shared" si="6"/>
        <v>-</v>
      </c>
      <c r="N11" s="16">
        <v>0</v>
      </c>
      <c r="O11" s="20">
        <f t="shared" ref="O11:P11" si="19">D11/7</f>
        <v>0</v>
      </c>
      <c r="P11" s="20">
        <f t="shared" si="19"/>
        <v>0</v>
      </c>
      <c r="Q11" s="16" t="e">
        <f t="shared" si="8"/>
        <v>#DIV/0!</v>
      </c>
      <c r="R11" s="16"/>
      <c r="S11" s="21" t="e">
        <v>#N/A</v>
      </c>
      <c r="T11" s="14">
        <v>676</v>
      </c>
      <c r="U11" s="22">
        <v>136</v>
      </c>
      <c r="V11" s="23" t="s">
        <v>448</v>
      </c>
      <c r="W11" s="14">
        <v>0</v>
      </c>
      <c r="X11" s="24">
        <f t="shared" si="9"/>
        <v>0</v>
      </c>
      <c r="Y11" s="25">
        <f t="shared" si="10"/>
        <v>0</v>
      </c>
      <c r="Z11" s="14">
        <v>0</v>
      </c>
      <c r="AA11" s="14" t="e">
        <v>#N/A</v>
      </c>
      <c r="AB11" s="27" t="e">
        <f t="shared" si="11"/>
        <v>#N/A</v>
      </c>
      <c r="AC11" s="28" t="e">
        <v>#N/A</v>
      </c>
      <c r="AD11" s="25">
        <f t="shared" si="12"/>
        <v>0</v>
      </c>
      <c r="AE11" s="25">
        <v>0</v>
      </c>
      <c r="AF11" s="25">
        <v>-28.307435897435798</v>
      </c>
      <c r="AG11" s="25">
        <v>0</v>
      </c>
    </row>
    <row r="12" spans="1:33" ht="15.75" customHeight="1">
      <c r="A12" s="14" t="s">
        <v>195</v>
      </c>
      <c r="B12" s="14"/>
      <c r="C12" s="15" t="str">
        <f t="shared" si="4"/>
        <v xml:space="preserve"> - </v>
      </c>
      <c r="D12" s="16">
        <v>0</v>
      </c>
      <c r="E12" s="16">
        <v>0</v>
      </c>
      <c r="F12" s="29">
        <v>0</v>
      </c>
      <c r="G12" s="29">
        <v>0</v>
      </c>
      <c r="H12" s="18" t="e">
        <f t="shared" si="1"/>
        <v>#DIV/0!</v>
      </c>
      <c r="I12" s="18" t="e">
        <f t="shared" si="2"/>
        <v>#DIV/0!</v>
      </c>
      <c r="J12" s="17">
        <f t="shared" si="5"/>
        <v>0</v>
      </c>
      <c r="K12" s="17" t="e">
        <f t="shared" si="3"/>
        <v>#DIV/0!</v>
      </c>
      <c r="L12" s="16">
        <v>0</v>
      </c>
      <c r="M12" s="19" t="str">
        <f t="shared" si="6"/>
        <v>-</v>
      </c>
      <c r="N12" s="16">
        <v>0</v>
      </c>
      <c r="O12" s="20">
        <f t="shared" ref="O12:P12" si="20">D12/7</f>
        <v>0</v>
      </c>
      <c r="P12" s="20">
        <f t="shared" si="20"/>
        <v>0</v>
      </c>
      <c r="Q12" s="16" t="e">
        <f t="shared" si="8"/>
        <v>#DIV/0!</v>
      </c>
      <c r="R12" s="16"/>
      <c r="S12" s="21" t="e">
        <v>#N/A</v>
      </c>
      <c r="T12" s="14">
        <v>540</v>
      </c>
      <c r="U12" s="22" t="s">
        <v>34</v>
      </c>
      <c r="V12" s="23" t="s">
        <v>34</v>
      </c>
      <c r="W12" s="14">
        <v>0</v>
      </c>
      <c r="X12" s="24">
        <f t="shared" si="9"/>
        <v>0</v>
      </c>
      <c r="Y12" s="25">
        <f t="shared" si="10"/>
        <v>0</v>
      </c>
      <c r="Z12" s="14">
        <v>0</v>
      </c>
      <c r="AA12" s="14" t="e">
        <v>#N/A</v>
      </c>
      <c r="AB12" s="27" t="e">
        <f t="shared" si="11"/>
        <v>#N/A</v>
      </c>
      <c r="AC12" s="28" t="e">
        <v>#N/A</v>
      </c>
      <c r="AD12" s="25">
        <f t="shared" si="12"/>
        <v>0</v>
      </c>
      <c r="AE12" s="25">
        <v>0</v>
      </c>
      <c r="AF12" s="25">
        <v>-28.307435897435798</v>
      </c>
      <c r="AG12" s="25">
        <v>0</v>
      </c>
    </row>
    <row r="13" spans="1:33" ht="15.75" customHeight="1">
      <c r="A13" s="14" t="s">
        <v>197</v>
      </c>
      <c r="B13" s="14" t="s">
        <v>449</v>
      </c>
      <c r="C13" s="15">
        <f t="shared" si="4"/>
        <v>74.680000000000007</v>
      </c>
      <c r="D13" s="16">
        <v>3</v>
      </c>
      <c r="E13" s="16">
        <v>0</v>
      </c>
      <c r="F13" s="17">
        <v>224.04000000000002</v>
      </c>
      <c r="G13" s="29">
        <v>0</v>
      </c>
      <c r="H13" s="18">
        <f t="shared" si="1"/>
        <v>0</v>
      </c>
      <c r="I13" s="18">
        <f t="shared" si="2"/>
        <v>0.33894728619889314</v>
      </c>
      <c r="J13" s="17">
        <f t="shared" si="5"/>
        <v>75.937750000000023</v>
      </c>
      <c r="K13" s="17">
        <f t="shared" si="3"/>
        <v>25.31258333333334</v>
      </c>
      <c r="L13" s="16">
        <v>8</v>
      </c>
      <c r="M13" s="19">
        <f t="shared" si="6"/>
        <v>0.375</v>
      </c>
      <c r="N13" s="16">
        <v>133</v>
      </c>
      <c r="O13" s="20">
        <f t="shared" ref="O13:P13" si="21">D13/7</f>
        <v>0.42857142857142855</v>
      </c>
      <c r="P13" s="20">
        <f t="shared" si="21"/>
        <v>0</v>
      </c>
      <c r="Q13" s="16">
        <f t="shared" si="8"/>
        <v>310</v>
      </c>
      <c r="R13" s="16"/>
      <c r="S13" s="21">
        <v>2.4816326530612201</v>
      </c>
      <c r="T13" s="14">
        <v>540</v>
      </c>
      <c r="U13" s="22" t="s">
        <v>34</v>
      </c>
      <c r="V13" s="23" t="s">
        <v>34</v>
      </c>
      <c r="W13" s="14">
        <v>0</v>
      </c>
      <c r="X13" s="24">
        <f t="shared" si="9"/>
        <v>0</v>
      </c>
      <c r="Y13" s="25">
        <f t="shared" si="10"/>
        <v>0</v>
      </c>
      <c r="Z13" s="14">
        <v>0</v>
      </c>
      <c r="AA13" s="14" t="s">
        <v>35</v>
      </c>
      <c r="AB13" s="27">
        <f t="shared" si="11"/>
        <v>-0.69</v>
      </c>
      <c r="AC13" s="28">
        <v>0.24305555555555555</v>
      </c>
      <c r="AD13" s="25">
        <f t="shared" si="12"/>
        <v>-1.0062499999999999</v>
      </c>
      <c r="AE13" s="25">
        <v>-9.2200000000000006</v>
      </c>
      <c r="AF13" s="25">
        <v>-28.61</v>
      </c>
      <c r="AG13" s="25">
        <v>0</v>
      </c>
    </row>
    <row r="14" spans="1:33" ht="15.75" customHeight="1">
      <c r="A14" s="14" t="s">
        <v>32</v>
      </c>
      <c r="B14" s="14" t="s">
        <v>450</v>
      </c>
      <c r="C14" s="15">
        <f t="shared" si="4"/>
        <v>71.631500000000003</v>
      </c>
      <c r="D14" s="16">
        <v>20</v>
      </c>
      <c r="E14" s="16">
        <v>0</v>
      </c>
      <c r="F14" s="17">
        <v>1432.63</v>
      </c>
      <c r="G14" s="29">
        <v>0</v>
      </c>
      <c r="H14" s="18">
        <f t="shared" si="1"/>
        <v>0</v>
      </c>
      <c r="I14" s="18">
        <f t="shared" si="2"/>
        <v>0.31719785755335755</v>
      </c>
      <c r="J14" s="17">
        <f t="shared" si="5"/>
        <v>454.42716666666666</v>
      </c>
      <c r="K14" s="17">
        <f t="shared" si="3"/>
        <v>22.721358333333335</v>
      </c>
      <c r="L14" s="16">
        <v>44</v>
      </c>
      <c r="M14" s="19">
        <f t="shared" si="6"/>
        <v>0.45454545454545453</v>
      </c>
      <c r="N14" s="16">
        <v>113</v>
      </c>
      <c r="O14" s="20">
        <f t="shared" ref="O14:P14" si="22">D14/7</f>
        <v>2.8571428571428572</v>
      </c>
      <c r="P14" s="20">
        <f t="shared" si="22"/>
        <v>0</v>
      </c>
      <c r="Q14" s="16">
        <f t="shared" si="8"/>
        <v>39</v>
      </c>
      <c r="R14" s="16"/>
      <c r="S14" s="21">
        <v>2.52914798206278</v>
      </c>
      <c r="T14" s="14">
        <v>540</v>
      </c>
      <c r="U14" s="22" t="s">
        <v>34</v>
      </c>
      <c r="V14" s="23" t="s">
        <v>34</v>
      </c>
      <c r="W14" s="14">
        <v>0</v>
      </c>
      <c r="X14" s="24">
        <f t="shared" si="9"/>
        <v>0</v>
      </c>
      <c r="Y14" s="25">
        <f t="shared" si="10"/>
        <v>0</v>
      </c>
      <c r="Z14" s="14">
        <v>0</v>
      </c>
      <c r="AA14" s="14" t="s">
        <v>35</v>
      </c>
      <c r="AB14" s="27">
        <f t="shared" si="11"/>
        <v>-0.69</v>
      </c>
      <c r="AC14" s="28">
        <v>0.24305555555555555</v>
      </c>
      <c r="AD14" s="25">
        <f t="shared" si="12"/>
        <v>-6.708333333333333</v>
      </c>
      <c r="AE14" s="25">
        <v>-9.2200000000000006</v>
      </c>
      <c r="AF14" s="25">
        <v>-28.61</v>
      </c>
      <c r="AG14" s="25">
        <v>0</v>
      </c>
    </row>
    <row r="15" spans="1:33" ht="15.75" customHeight="1">
      <c r="A15" s="14" t="s">
        <v>36</v>
      </c>
      <c r="B15" s="14" t="s">
        <v>68</v>
      </c>
      <c r="C15" s="15">
        <f t="shared" si="4"/>
        <v>71.876666666666679</v>
      </c>
      <c r="D15" s="16">
        <v>9</v>
      </c>
      <c r="E15" s="16">
        <v>0</v>
      </c>
      <c r="F15" s="17">
        <v>646.8900000000001</v>
      </c>
      <c r="G15" s="29">
        <v>0</v>
      </c>
      <c r="H15" s="18">
        <f t="shared" si="1"/>
        <v>0</v>
      </c>
      <c r="I15" s="18">
        <f t="shared" si="2"/>
        <v>0.31901521124147852</v>
      </c>
      <c r="J15" s="17">
        <f t="shared" si="5"/>
        <v>206.36775000000006</v>
      </c>
      <c r="K15" s="17">
        <f t="shared" si="3"/>
        <v>22.929750000000006</v>
      </c>
      <c r="L15" s="16">
        <v>36</v>
      </c>
      <c r="M15" s="19">
        <f t="shared" si="6"/>
        <v>0.25</v>
      </c>
      <c r="N15" s="16">
        <v>97</v>
      </c>
      <c r="O15" s="20">
        <f t="shared" ref="O15:P15" si="23">D15/7</f>
        <v>1.2857142857142858</v>
      </c>
      <c r="P15" s="20">
        <f t="shared" si="23"/>
        <v>0</v>
      </c>
      <c r="Q15" s="16">
        <f t="shared" si="8"/>
        <v>75</v>
      </c>
      <c r="R15" s="16"/>
      <c r="S15" s="21">
        <v>2.79674796747967</v>
      </c>
      <c r="T15" s="14">
        <v>540</v>
      </c>
      <c r="U15" s="22" t="s">
        <v>34</v>
      </c>
      <c r="V15" s="23" t="s">
        <v>34</v>
      </c>
      <c r="W15" s="14">
        <v>0</v>
      </c>
      <c r="X15" s="24">
        <f t="shared" si="9"/>
        <v>0</v>
      </c>
      <c r="Y15" s="25">
        <f t="shared" si="10"/>
        <v>0</v>
      </c>
      <c r="Z15" s="14">
        <v>0</v>
      </c>
      <c r="AA15" s="14" t="s">
        <v>35</v>
      </c>
      <c r="AB15" s="27">
        <f t="shared" si="11"/>
        <v>-0.69</v>
      </c>
      <c r="AC15" s="28">
        <v>0.24305555555555555</v>
      </c>
      <c r="AD15" s="25">
        <f t="shared" si="12"/>
        <v>-3.0187499999999998</v>
      </c>
      <c r="AE15" s="25">
        <v>-9.2200000000000006</v>
      </c>
      <c r="AF15" s="25">
        <v>-28.61</v>
      </c>
      <c r="AG15" s="25">
        <v>0</v>
      </c>
    </row>
    <row r="16" spans="1:33" ht="15.75" customHeight="1">
      <c r="A16" s="14" t="s">
        <v>38</v>
      </c>
      <c r="B16" s="14" t="s">
        <v>451</v>
      </c>
      <c r="C16" s="15">
        <f t="shared" si="4"/>
        <v>71.238260869565224</v>
      </c>
      <c r="D16" s="16">
        <v>23</v>
      </c>
      <c r="E16" s="16">
        <v>0</v>
      </c>
      <c r="F16" s="17">
        <v>1638.48</v>
      </c>
      <c r="G16" s="29">
        <v>0</v>
      </c>
      <c r="H16" s="18">
        <f t="shared" si="1"/>
        <v>0</v>
      </c>
      <c r="I16" s="18">
        <f t="shared" si="2"/>
        <v>0.31425676033071315</v>
      </c>
      <c r="J16" s="17">
        <f t="shared" si="5"/>
        <v>514.90341666666689</v>
      </c>
      <c r="K16" s="17">
        <f t="shared" si="3"/>
        <v>22.387105072463779</v>
      </c>
      <c r="L16" s="16">
        <v>47</v>
      </c>
      <c r="M16" s="19">
        <f t="shared" si="6"/>
        <v>0.48936170212765956</v>
      </c>
      <c r="N16" s="16">
        <v>86</v>
      </c>
      <c r="O16" s="20">
        <f t="shared" ref="O16:P16" si="24">D16/7</f>
        <v>3.2857142857142856</v>
      </c>
      <c r="P16" s="20">
        <f t="shared" si="24"/>
        <v>0</v>
      </c>
      <c r="Q16" s="16">
        <f t="shared" si="8"/>
        <v>26</v>
      </c>
      <c r="R16" s="16"/>
      <c r="S16" s="21">
        <v>2.57894736842105</v>
      </c>
      <c r="T16" s="14">
        <v>540</v>
      </c>
      <c r="U16" s="22" t="s">
        <v>34</v>
      </c>
      <c r="V16" s="23" t="s">
        <v>34</v>
      </c>
      <c r="W16" s="14">
        <v>0</v>
      </c>
      <c r="X16" s="24">
        <f t="shared" si="9"/>
        <v>0</v>
      </c>
      <c r="Y16" s="25">
        <f t="shared" si="10"/>
        <v>0</v>
      </c>
      <c r="Z16" s="14">
        <v>0</v>
      </c>
      <c r="AA16" s="14" t="s">
        <v>35</v>
      </c>
      <c r="AB16" s="27">
        <f t="shared" si="11"/>
        <v>-0.69</v>
      </c>
      <c r="AC16" s="28">
        <v>0.24305555555555555</v>
      </c>
      <c r="AD16" s="25">
        <f t="shared" si="12"/>
        <v>-7.7145833333333327</v>
      </c>
      <c r="AE16" s="25">
        <v>-9.2200000000000006</v>
      </c>
      <c r="AF16" s="25">
        <v>-28.61</v>
      </c>
      <c r="AG16" s="25">
        <v>0</v>
      </c>
    </row>
    <row r="17" spans="1:33" ht="15.75" customHeight="1">
      <c r="A17" s="14" t="s">
        <v>40</v>
      </c>
      <c r="B17" s="14" t="s">
        <v>452</v>
      </c>
      <c r="C17" s="15">
        <f t="shared" si="4"/>
        <v>77.512500000000003</v>
      </c>
      <c r="D17" s="16">
        <v>16</v>
      </c>
      <c r="E17" s="16">
        <v>0</v>
      </c>
      <c r="F17" s="17">
        <v>1240.2</v>
      </c>
      <c r="G17" s="29">
        <v>0</v>
      </c>
      <c r="H17" s="18">
        <f t="shared" si="1"/>
        <v>0</v>
      </c>
      <c r="I17" s="18">
        <f t="shared" si="2"/>
        <v>0.35762242649035109</v>
      </c>
      <c r="J17" s="17">
        <f t="shared" si="5"/>
        <v>443.52333333333343</v>
      </c>
      <c r="K17" s="17">
        <f t="shared" si="3"/>
        <v>27.720208333333339</v>
      </c>
      <c r="L17" s="16">
        <v>57</v>
      </c>
      <c r="M17" s="19">
        <f t="shared" si="6"/>
        <v>0.2807017543859649</v>
      </c>
      <c r="N17" s="16">
        <v>66</v>
      </c>
      <c r="O17" s="20">
        <f t="shared" ref="O17:P17" si="25">D17/7</f>
        <v>2.2857142857142856</v>
      </c>
      <c r="P17" s="20">
        <f t="shared" si="25"/>
        <v>0</v>
      </c>
      <c r="Q17" s="16">
        <f t="shared" si="8"/>
        <v>28</v>
      </c>
      <c r="R17" s="16"/>
      <c r="S17" s="21">
        <v>1.75757575757575</v>
      </c>
      <c r="T17" s="14">
        <v>540</v>
      </c>
      <c r="U17" s="22" t="s">
        <v>34</v>
      </c>
      <c r="V17" s="23" t="s">
        <v>34</v>
      </c>
      <c r="W17" s="14">
        <v>0</v>
      </c>
      <c r="X17" s="24">
        <f t="shared" si="9"/>
        <v>0</v>
      </c>
      <c r="Y17" s="25">
        <f t="shared" si="10"/>
        <v>0</v>
      </c>
      <c r="Z17" s="14">
        <v>0</v>
      </c>
      <c r="AA17" s="14" t="s">
        <v>35</v>
      </c>
      <c r="AB17" s="27">
        <f t="shared" si="11"/>
        <v>-0.69</v>
      </c>
      <c r="AC17" s="28">
        <v>0.24305555555555555</v>
      </c>
      <c r="AD17" s="25">
        <f t="shared" si="12"/>
        <v>-5.3666666666666663</v>
      </c>
      <c r="AE17" s="25">
        <v>-9.2200000000000006</v>
      </c>
      <c r="AF17" s="25">
        <v>-28.61</v>
      </c>
      <c r="AG17" s="25">
        <v>0</v>
      </c>
    </row>
    <row r="18" spans="1:33" ht="15.75" customHeight="1">
      <c r="A18" s="14" t="s">
        <v>42</v>
      </c>
      <c r="B18" s="14" t="s">
        <v>68</v>
      </c>
      <c r="C18" s="15">
        <f t="shared" si="4"/>
        <v>78.241428571428557</v>
      </c>
      <c r="D18" s="16">
        <v>7</v>
      </c>
      <c r="E18" s="16">
        <v>0</v>
      </c>
      <c r="F18" s="17">
        <v>547.68999999999994</v>
      </c>
      <c r="G18" s="29">
        <v>0</v>
      </c>
      <c r="H18" s="18">
        <f t="shared" si="1"/>
        <v>0</v>
      </c>
      <c r="I18" s="18">
        <f t="shared" si="2"/>
        <v>0.36220961371091909</v>
      </c>
      <c r="J18" s="17">
        <f t="shared" si="5"/>
        <v>198.37858333333327</v>
      </c>
      <c r="K18" s="17">
        <f t="shared" si="3"/>
        <v>28.339797619047609</v>
      </c>
      <c r="L18" s="16">
        <v>67</v>
      </c>
      <c r="M18" s="19">
        <f t="shared" si="6"/>
        <v>0.1044776119402985</v>
      </c>
      <c r="N18" s="16">
        <v>59</v>
      </c>
      <c r="O18" s="20">
        <f t="shared" ref="O18:P18" si="26">D18/7</f>
        <v>1</v>
      </c>
      <c r="P18" s="20">
        <f t="shared" si="26"/>
        <v>0</v>
      </c>
      <c r="Q18" s="16">
        <f t="shared" si="8"/>
        <v>59</v>
      </c>
      <c r="R18" s="16"/>
      <c r="S18" s="21">
        <v>2.4117647058823501</v>
      </c>
      <c r="T18" s="14">
        <v>540</v>
      </c>
      <c r="U18" s="22">
        <v>0</v>
      </c>
      <c r="V18" s="23" t="s">
        <v>453</v>
      </c>
      <c r="W18" s="14">
        <v>0</v>
      </c>
      <c r="X18" s="24">
        <f t="shared" si="9"/>
        <v>0</v>
      </c>
      <c r="Y18" s="25">
        <f t="shared" si="10"/>
        <v>0</v>
      </c>
      <c r="Z18" s="14">
        <v>0</v>
      </c>
      <c r="AA18" s="14" t="s">
        <v>35</v>
      </c>
      <c r="AB18" s="27">
        <f t="shared" si="11"/>
        <v>-0.69</v>
      </c>
      <c r="AC18" s="28">
        <v>0.24305555555555555</v>
      </c>
      <c r="AD18" s="25">
        <f t="shared" si="12"/>
        <v>-2.3479166666666664</v>
      </c>
      <c r="AE18" s="25">
        <v>-9.2200000000000006</v>
      </c>
      <c r="AF18" s="25">
        <v>-28.61</v>
      </c>
      <c r="AG18" s="25">
        <v>0</v>
      </c>
    </row>
    <row r="19" spans="1:33" ht="15.75" customHeight="1">
      <c r="A19" s="14" t="s">
        <v>44</v>
      </c>
      <c r="B19" s="14" t="s">
        <v>454</v>
      </c>
      <c r="C19" s="15">
        <f t="shared" si="4"/>
        <v>83.390000000000015</v>
      </c>
      <c r="D19" s="16">
        <v>13</v>
      </c>
      <c r="E19" s="16">
        <v>0</v>
      </c>
      <c r="F19" s="17">
        <v>1084.0700000000002</v>
      </c>
      <c r="G19" s="29">
        <v>0</v>
      </c>
      <c r="H19" s="18">
        <f t="shared" si="1"/>
        <v>0</v>
      </c>
      <c r="I19" s="18">
        <f t="shared" si="2"/>
        <v>0.37658692089379225</v>
      </c>
      <c r="J19" s="17">
        <f t="shared" si="5"/>
        <v>408.24658333333343</v>
      </c>
      <c r="K19" s="17">
        <f t="shared" si="3"/>
        <v>31.403583333333341</v>
      </c>
      <c r="L19" s="16">
        <v>49</v>
      </c>
      <c r="M19" s="19">
        <f t="shared" si="6"/>
        <v>0.26530612244897961</v>
      </c>
      <c r="N19" s="16">
        <v>48</v>
      </c>
      <c r="O19" s="20">
        <f t="shared" ref="O19:P19" si="27">D19/7</f>
        <v>1.8571428571428572</v>
      </c>
      <c r="P19" s="20">
        <f t="shared" si="27"/>
        <v>0</v>
      </c>
      <c r="Q19" s="16">
        <f t="shared" si="8"/>
        <v>25</v>
      </c>
      <c r="R19" s="16"/>
      <c r="S19" s="21">
        <v>2.8172043010752601</v>
      </c>
      <c r="T19" s="14">
        <v>540</v>
      </c>
      <c r="U19" s="22">
        <v>240</v>
      </c>
      <c r="V19" s="23" t="s">
        <v>453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14" t="s">
        <v>35</v>
      </c>
      <c r="AB19" s="27">
        <f t="shared" si="11"/>
        <v>-0.69</v>
      </c>
      <c r="AC19" s="28">
        <v>0.24305555555555555</v>
      </c>
      <c r="AD19" s="25">
        <f t="shared" si="12"/>
        <v>-4.3604166666666666</v>
      </c>
      <c r="AE19" s="25">
        <v>-9.2200000000000006</v>
      </c>
      <c r="AF19" s="25">
        <v>-29.922499999999999</v>
      </c>
      <c r="AG19" s="25">
        <v>0</v>
      </c>
    </row>
    <row r="20" spans="1:33" ht="15.75" customHeight="1">
      <c r="A20" s="14" t="s">
        <v>46</v>
      </c>
      <c r="B20" s="14" t="s">
        <v>142</v>
      </c>
      <c r="C20" s="15">
        <f t="shared" si="4"/>
        <v>83.16279069767441</v>
      </c>
      <c r="D20" s="16">
        <v>43</v>
      </c>
      <c r="E20" s="16">
        <v>0</v>
      </c>
      <c r="F20" s="17">
        <v>3575.9999999999995</v>
      </c>
      <c r="G20" s="29">
        <v>0</v>
      </c>
      <c r="H20" s="18">
        <f t="shared" si="1"/>
        <v>0</v>
      </c>
      <c r="I20" s="18">
        <f t="shared" si="2"/>
        <v>0.37529350764354946</v>
      </c>
      <c r="J20" s="17">
        <f t="shared" si="5"/>
        <v>1342.0495833333327</v>
      </c>
      <c r="K20" s="17">
        <f t="shared" si="3"/>
        <v>31.210455426356575</v>
      </c>
      <c r="L20" s="16">
        <v>32</v>
      </c>
      <c r="M20" s="19">
        <f t="shared" si="6"/>
        <v>1.34375</v>
      </c>
      <c r="N20" s="16">
        <v>2</v>
      </c>
      <c r="O20" s="20">
        <f t="shared" ref="O20:P20" si="28">D20/7</f>
        <v>6.1428571428571432</v>
      </c>
      <c r="P20" s="20">
        <f t="shared" si="28"/>
        <v>0</v>
      </c>
      <c r="Q20" s="16">
        <f t="shared" si="8"/>
        <v>0</v>
      </c>
      <c r="R20" s="16"/>
      <c r="S20" s="21">
        <v>3.2747252747252702</v>
      </c>
      <c r="T20" s="14">
        <v>240</v>
      </c>
      <c r="U20" s="22">
        <v>240</v>
      </c>
      <c r="V20" s="23" t="s">
        <v>455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14" t="s">
        <v>35</v>
      </c>
      <c r="AB20" s="27">
        <f t="shared" si="11"/>
        <v>-0.69</v>
      </c>
      <c r="AC20" s="28">
        <v>0.24305555555555555</v>
      </c>
      <c r="AD20" s="25">
        <f t="shared" si="12"/>
        <v>-14.422916666666666</v>
      </c>
      <c r="AE20" s="25">
        <v>-9.2200000000000006</v>
      </c>
      <c r="AF20" s="25">
        <v>-29.922499999999999</v>
      </c>
      <c r="AG20" s="25">
        <v>0</v>
      </c>
    </row>
    <row r="21" spans="1:33" ht="15.75" customHeight="1">
      <c r="A21" s="14" t="s">
        <v>47</v>
      </c>
      <c r="B21" s="14" t="s">
        <v>45</v>
      </c>
      <c r="C21" s="15">
        <f t="shared" si="4"/>
        <v>94.54</v>
      </c>
      <c r="D21" s="16">
        <v>2</v>
      </c>
      <c r="E21" s="16">
        <v>0</v>
      </c>
      <c r="F21" s="17">
        <v>189.08</v>
      </c>
      <c r="G21" s="29">
        <v>-7.0000000000000007E-2</v>
      </c>
      <c r="H21" s="18">
        <f t="shared" si="1"/>
        <v>3.7021366617304846E-4</v>
      </c>
      <c r="I21" s="18">
        <f t="shared" si="2"/>
        <v>0.43205080741837681</v>
      </c>
      <c r="J21" s="17">
        <f t="shared" si="5"/>
        <v>81.692166666666694</v>
      </c>
      <c r="K21" s="17">
        <f t="shared" si="3"/>
        <v>40.846083333333347</v>
      </c>
      <c r="L21" s="16">
        <v>21</v>
      </c>
      <c r="M21" s="19">
        <f t="shared" si="6"/>
        <v>9.5238095238095233E-2</v>
      </c>
      <c r="N21" s="16">
        <v>1</v>
      </c>
      <c r="O21" s="20">
        <f t="shared" ref="O21:P21" si="29">D21/7</f>
        <v>0.2857142857142857</v>
      </c>
      <c r="P21" s="20">
        <f t="shared" si="29"/>
        <v>0</v>
      </c>
      <c r="Q21" s="16">
        <f t="shared" si="8"/>
        <v>3</v>
      </c>
      <c r="R21" s="16"/>
      <c r="S21" s="21">
        <v>2.6074074074074001</v>
      </c>
      <c r="T21" s="14">
        <v>540</v>
      </c>
      <c r="U21" s="22">
        <v>240</v>
      </c>
      <c r="V21" s="23" t="s">
        <v>456</v>
      </c>
      <c r="W21" s="14">
        <v>0</v>
      </c>
      <c r="X21" s="24">
        <f t="shared" si="9"/>
        <v>0</v>
      </c>
      <c r="Y21" s="25">
        <f t="shared" si="10"/>
        <v>7.0000000000000007E-2</v>
      </c>
      <c r="Z21" s="14">
        <v>1</v>
      </c>
      <c r="AA21" s="14" t="s">
        <v>35</v>
      </c>
      <c r="AB21" s="27">
        <f t="shared" si="11"/>
        <v>-0.69</v>
      </c>
      <c r="AC21" s="28">
        <v>0.24305555555555555</v>
      </c>
      <c r="AD21" s="25">
        <f t="shared" si="12"/>
        <v>-0.67083333333333328</v>
      </c>
      <c r="AE21" s="25">
        <v>-9.2200000000000006</v>
      </c>
      <c r="AF21" s="25">
        <v>-29.922499999999999</v>
      </c>
      <c r="AG21" s="25">
        <v>0</v>
      </c>
    </row>
    <row r="22" spans="1:33" ht="15.75" customHeight="1">
      <c r="A22" s="14" t="s">
        <v>48</v>
      </c>
      <c r="B22" s="14"/>
      <c r="C22" s="15">
        <f t="shared" si="4"/>
        <v>87.95</v>
      </c>
      <c r="D22" s="16">
        <v>1</v>
      </c>
      <c r="E22" s="16">
        <v>0</v>
      </c>
      <c r="F22" s="29">
        <v>87.95</v>
      </c>
      <c r="G22" s="29">
        <v>0</v>
      </c>
      <c r="H22" s="18">
        <f t="shared" si="1"/>
        <v>0</v>
      </c>
      <c r="I22" s="18">
        <f t="shared" si="2"/>
        <v>0.40113227212431313</v>
      </c>
      <c r="J22" s="17">
        <f t="shared" si="5"/>
        <v>35.279583333333342</v>
      </c>
      <c r="K22" s="17">
        <f t="shared" si="3"/>
        <v>35.279583333333342</v>
      </c>
      <c r="L22" s="16">
        <v>4</v>
      </c>
      <c r="M22" s="19">
        <f t="shared" si="6"/>
        <v>0.25</v>
      </c>
      <c r="N22" s="16">
        <v>0</v>
      </c>
      <c r="O22" s="20">
        <f t="shared" ref="O22:P22" si="30">D22/7</f>
        <v>0.14285714285714285</v>
      </c>
      <c r="P22" s="20">
        <f t="shared" si="30"/>
        <v>0</v>
      </c>
      <c r="Q22" s="16">
        <f t="shared" si="8"/>
        <v>0</v>
      </c>
      <c r="R22" s="16"/>
      <c r="S22" s="21" t="e">
        <v>#N/A</v>
      </c>
      <c r="T22" s="14">
        <v>320</v>
      </c>
      <c r="U22" s="22">
        <v>240</v>
      </c>
      <c r="V22" s="23" t="s">
        <v>457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35</v>
      </c>
      <c r="AB22" s="27">
        <f t="shared" si="11"/>
        <v>-0.69</v>
      </c>
      <c r="AC22" s="28">
        <v>0.24305555555555555</v>
      </c>
      <c r="AD22" s="25">
        <f t="shared" si="12"/>
        <v>-0.33541666666666664</v>
      </c>
      <c r="AE22" s="25">
        <v>-9.2200000000000006</v>
      </c>
      <c r="AF22" s="25">
        <v>-29.922499999999999</v>
      </c>
      <c r="AG22" s="25">
        <v>0</v>
      </c>
    </row>
    <row r="23" spans="1:33" ht="15.75" customHeight="1">
      <c r="A23" s="14" t="s">
        <v>49</v>
      </c>
      <c r="B23" s="14"/>
      <c r="C23" s="15" t="str">
        <f t="shared" si="4"/>
        <v xml:space="preserve"> - </v>
      </c>
      <c r="D23" s="16">
        <v>0</v>
      </c>
      <c r="E23" s="16">
        <v>0</v>
      </c>
      <c r="F23" s="17">
        <v>0</v>
      </c>
      <c r="G23" s="29">
        <v>0</v>
      </c>
      <c r="H23" s="18" t="e">
        <f t="shared" si="1"/>
        <v>#DIV/0!</v>
      </c>
      <c r="I23" s="18" t="e">
        <f t="shared" si="2"/>
        <v>#DIV/0!</v>
      </c>
      <c r="J23" s="17">
        <f t="shared" si="5"/>
        <v>0</v>
      </c>
      <c r="K23" s="17" t="e">
        <f t="shared" si="3"/>
        <v>#DIV/0!</v>
      </c>
      <c r="L23" s="16">
        <v>0</v>
      </c>
      <c r="M23" s="19" t="str">
        <f t="shared" si="6"/>
        <v>-</v>
      </c>
      <c r="N23" s="16">
        <v>0</v>
      </c>
      <c r="O23" s="20">
        <f t="shared" ref="O23:P23" si="31">D23/7</f>
        <v>0</v>
      </c>
      <c r="P23" s="20">
        <f t="shared" si="31"/>
        <v>0</v>
      </c>
      <c r="Q23" s="16" t="e">
        <f t="shared" si="8"/>
        <v>#DIV/0!</v>
      </c>
      <c r="R23" s="16"/>
      <c r="S23" s="21" t="e">
        <v>#N/A</v>
      </c>
      <c r="T23" s="14">
        <v>760</v>
      </c>
      <c r="U23" s="22">
        <v>240</v>
      </c>
      <c r="V23" s="23" t="s">
        <v>458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35</v>
      </c>
      <c r="AB23" s="27">
        <f t="shared" si="11"/>
        <v>-0.69</v>
      </c>
      <c r="AC23" s="28">
        <v>0.24305555555555555</v>
      </c>
      <c r="AD23" s="25">
        <f t="shared" si="12"/>
        <v>0</v>
      </c>
      <c r="AE23" s="25">
        <v>-9.2200000000000006</v>
      </c>
      <c r="AF23" s="25">
        <v>-29.922499999999999</v>
      </c>
      <c r="AG23" s="25">
        <v>0</v>
      </c>
    </row>
    <row r="24" spans="1:33" ht="15.75" customHeight="1">
      <c r="A24" s="14" t="s">
        <v>50</v>
      </c>
      <c r="B24" s="14"/>
      <c r="C24" s="15" t="str">
        <f t="shared" si="4"/>
        <v xml:space="preserve"> - </v>
      </c>
      <c r="D24" s="16">
        <v>0</v>
      </c>
      <c r="E24" s="16">
        <v>0</v>
      </c>
      <c r="F24" s="17">
        <v>0</v>
      </c>
      <c r="G24" s="17">
        <v>0</v>
      </c>
      <c r="H24" s="18" t="e">
        <f t="shared" si="1"/>
        <v>#DIV/0!</v>
      </c>
      <c r="I24" s="18" t="e">
        <f t="shared" si="2"/>
        <v>#DIV/0!</v>
      </c>
      <c r="J24" s="17">
        <f t="shared" si="5"/>
        <v>0</v>
      </c>
      <c r="K24" s="17" t="e">
        <f t="shared" si="3"/>
        <v>#DIV/0!</v>
      </c>
      <c r="L24" s="16">
        <v>0</v>
      </c>
      <c r="M24" s="19" t="str">
        <f t="shared" si="6"/>
        <v>-</v>
      </c>
      <c r="N24" s="16">
        <v>0</v>
      </c>
      <c r="O24" s="20">
        <f t="shared" ref="O24:P24" si="32">D24/7</f>
        <v>0</v>
      </c>
      <c r="P24" s="20">
        <f t="shared" si="32"/>
        <v>0</v>
      </c>
      <c r="Q24" s="16" t="e">
        <f t="shared" si="8"/>
        <v>#DIV/0!</v>
      </c>
      <c r="R24" s="16"/>
      <c r="S24" s="21" t="e">
        <v>#N/A</v>
      </c>
      <c r="T24" s="14">
        <v>760</v>
      </c>
      <c r="U24" s="22">
        <v>240</v>
      </c>
      <c r="V24" s="23" t="s">
        <v>458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14" t="s">
        <v>35</v>
      </c>
      <c r="AB24" s="27">
        <f t="shared" si="11"/>
        <v>-0.69</v>
      </c>
      <c r="AC24" s="28">
        <v>0.24305555555555555</v>
      </c>
      <c r="AD24" s="25">
        <f t="shared" si="12"/>
        <v>0</v>
      </c>
      <c r="AE24" s="25">
        <v>-9.2200000000000006</v>
      </c>
      <c r="AF24" s="25">
        <v>-29.922499999999999</v>
      </c>
      <c r="AG24" s="25">
        <v>0</v>
      </c>
    </row>
    <row r="25" spans="1:33" ht="15.75" customHeight="1">
      <c r="A25" s="14" t="s">
        <v>51</v>
      </c>
      <c r="B25" s="14"/>
      <c r="C25" s="15">
        <f t="shared" si="4"/>
        <v>87.95</v>
      </c>
      <c r="D25" s="16">
        <v>1</v>
      </c>
      <c r="E25" s="16">
        <v>0</v>
      </c>
      <c r="F25" s="17">
        <v>87.95</v>
      </c>
      <c r="G25" s="17">
        <v>0</v>
      </c>
      <c r="H25" s="18">
        <f t="shared" si="1"/>
        <v>0</v>
      </c>
      <c r="I25" s="18">
        <f t="shared" si="2"/>
        <v>0.40116069736592769</v>
      </c>
      <c r="J25" s="17">
        <f t="shared" si="5"/>
        <v>35.28208333333334</v>
      </c>
      <c r="K25" s="17">
        <f t="shared" si="3"/>
        <v>35.28208333333334</v>
      </c>
      <c r="L25" s="16">
        <v>7</v>
      </c>
      <c r="M25" s="19">
        <f t="shared" si="6"/>
        <v>0.14285714285714285</v>
      </c>
      <c r="N25" s="16">
        <v>0</v>
      </c>
      <c r="O25" s="20">
        <f t="shared" ref="O25:P25" si="33">D25/7</f>
        <v>0.14285714285714285</v>
      </c>
      <c r="P25" s="20">
        <f t="shared" si="33"/>
        <v>0</v>
      </c>
      <c r="Q25" s="16">
        <f t="shared" si="8"/>
        <v>0</v>
      </c>
      <c r="R25" s="16"/>
      <c r="S25" s="21">
        <v>0</v>
      </c>
      <c r="T25" s="14">
        <v>760</v>
      </c>
      <c r="U25" s="22">
        <v>240</v>
      </c>
      <c r="V25" s="23" t="s">
        <v>459</v>
      </c>
      <c r="W25" s="30">
        <v>0</v>
      </c>
      <c r="X25" s="24">
        <f t="shared" si="9"/>
        <v>0</v>
      </c>
      <c r="Y25" s="25">
        <f t="shared" si="10"/>
        <v>0</v>
      </c>
      <c r="Z25" s="30">
        <v>0</v>
      </c>
      <c r="AA25" s="14" t="s">
        <v>35</v>
      </c>
      <c r="AB25" s="27">
        <f t="shared" si="11"/>
        <v>-0.69</v>
      </c>
      <c r="AC25" s="28">
        <v>0.24305555555555555</v>
      </c>
      <c r="AD25" s="25">
        <f t="shared" si="12"/>
        <v>-0.33541666666666664</v>
      </c>
      <c r="AE25" s="25">
        <v>-9.2200000000000006</v>
      </c>
      <c r="AF25" s="25">
        <v>-29.92</v>
      </c>
      <c r="AG25" s="25">
        <v>0</v>
      </c>
    </row>
    <row r="26" spans="1:33" ht="15.75" customHeight="1">
      <c r="A26" s="14" t="s">
        <v>52</v>
      </c>
      <c r="B26" s="14"/>
      <c r="C26" s="15" t="str">
        <f t="shared" si="4"/>
        <v xml:space="preserve"> - </v>
      </c>
      <c r="D26" s="16">
        <v>0</v>
      </c>
      <c r="E26" s="16">
        <v>0</v>
      </c>
      <c r="F26" s="17">
        <v>0</v>
      </c>
      <c r="G26" s="17">
        <v>0</v>
      </c>
      <c r="H26" s="18" t="e">
        <f t="shared" si="1"/>
        <v>#DIV/0!</v>
      </c>
      <c r="I26" s="18" t="e">
        <f t="shared" si="2"/>
        <v>#DIV/0!</v>
      </c>
      <c r="J26" s="17">
        <f t="shared" si="5"/>
        <v>0</v>
      </c>
      <c r="K26" s="17" t="e">
        <f t="shared" si="3"/>
        <v>#DIV/0!</v>
      </c>
      <c r="L26" s="16">
        <v>0</v>
      </c>
      <c r="M26" s="19" t="str">
        <f t="shared" si="6"/>
        <v>-</v>
      </c>
      <c r="N26" s="16">
        <v>0</v>
      </c>
      <c r="O26" s="20">
        <f t="shared" ref="O26:P26" si="34">D26/7</f>
        <v>0</v>
      </c>
      <c r="P26" s="20">
        <f t="shared" si="34"/>
        <v>0</v>
      </c>
      <c r="Q26" s="16" t="e">
        <f t="shared" si="8"/>
        <v>#DIV/0!</v>
      </c>
      <c r="R26" s="16"/>
      <c r="S26" s="21">
        <v>0</v>
      </c>
      <c r="T26" s="14">
        <v>760</v>
      </c>
      <c r="U26" s="22">
        <v>240</v>
      </c>
      <c r="V26" s="23" t="s">
        <v>459</v>
      </c>
      <c r="W26" s="30">
        <v>0</v>
      </c>
      <c r="X26" s="24">
        <f t="shared" si="9"/>
        <v>0</v>
      </c>
      <c r="Y26" s="25">
        <f t="shared" si="10"/>
        <v>0</v>
      </c>
      <c r="Z26" s="30">
        <v>0</v>
      </c>
      <c r="AA26" s="14" t="s">
        <v>35</v>
      </c>
      <c r="AB26" s="27">
        <f t="shared" si="11"/>
        <v>-0.69</v>
      </c>
      <c r="AC26" s="28">
        <v>0.24305555555555555</v>
      </c>
      <c r="AD26" s="25">
        <f t="shared" si="12"/>
        <v>0</v>
      </c>
      <c r="AE26" s="25">
        <v>-9.2200000000000006</v>
      </c>
      <c r="AF26" s="25">
        <v>-29.922499999999999</v>
      </c>
      <c r="AG26" s="25">
        <v>0</v>
      </c>
    </row>
    <row r="27" spans="1:33" ht="15.75" customHeight="1">
      <c r="A27" s="14" t="s">
        <v>53</v>
      </c>
      <c r="B27" s="14" t="s">
        <v>460</v>
      </c>
      <c r="C27" s="15" t="str">
        <f t="shared" si="4"/>
        <v xml:space="preserve"> - </v>
      </c>
      <c r="D27" s="16">
        <v>0</v>
      </c>
      <c r="E27" s="16">
        <v>0</v>
      </c>
      <c r="F27" s="17">
        <v>0</v>
      </c>
      <c r="G27" s="17">
        <v>0</v>
      </c>
      <c r="H27" s="18" t="e">
        <f t="shared" si="1"/>
        <v>#DIV/0!</v>
      </c>
      <c r="I27" s="18" t="e">
        <f t="shared" si="2"/>
        <v>#DIV/0!</v>
      </c>
      <c r="J27" s="17">
        <f t="shared" si="5"/>
        <v>0</v>
      </c>
      <c r="K27" s="17" t="e">
        <f t="shared" si="3"/>
        <v>#DIV/0!</v>
      </c>
      <c r="L27" s="16">
        <v>0</v>
      </c>
      <c r="M27" s="19" t="str">
        <f t="shared" si="6"/>
        <v>-</v>
      </c>
      <c r="N27" s="16">
        <v>239</v>
      </c>
      <c r="O27" s="20">
        <f t="shared" ref="O27:P27" si="35">D27/7</f>
        <v>0</v>
      </c>
      <c r="P27" s="20">
        <f t="shared" si="35"/>
        <v>0</v>
      </c>
      <c r="Q27" s="16" t="e">
        <f t="shared" si="8"/>
        <v>#DIV/0!</v>
      </c>
      <c r="R27" s="16"/>
      <c r="S27" s="21">
        <v>1.142857142857143</v>
      </c>
      <c r="T27" s="14">
        <v>520</v>
      </c>
      <c r="U27" s="22">
        <v>80</v>
      </c>
      <c r="V27" s="23" t="s">
        <v>461</v>
      </c>
      <c r="W27" s="30">
        <v>0</v>
      </c>
      <c r="X27" s="24">
        <f t="shared" si="9"/>
        <v>0</v>
      </c>
      <c r="Y27" s="25">
        <f t="shared" si="10"/>
        <v>0</v>
      </c>
      <c r="Z27" s="30">
        <v>0</v>
      </c>
      <c r="AA27" s="14" t="s">
        <v>35</v>
      </c>
      <c r="AB27" s="27">
        <f t="shared" si="11"/>
        <v>-0.69</v>
      </c>
      <c r="AC27" s="28">
        <v>0.24305555555555555</v>
      </c>
      <c r="AD27" s="25">
        <f t="shared" si="12"/>
        <v>0</v>
      </c>
      <c r="AE27" s="25">
        <v>-8.68</v>
      </c>
      <c r="AF27" s="25">
        <v>-39.417000000000002</v>
      </c>
      <c r="AG27" s="25">
        <v>0</v>
      </c>
    </row>
    <row r="28" spans="1:33" ht="15.75" customHeight="1">
      <c r="A28" s="14" t="s">
        <v>54</v>
      </c>
      <c r="B28" s="14" t="s">
        <v>462</v>
      </c>
      <c r="C28" s="15">
        <f t="shared" si="4"/>
        <v>78.335882352941184</v>
      </c>
      <c r="D28" s="16">
        <v>17</v>
      </c>
      <c r="E28" s="16">
        <v>0</v>
      </c>
      <c r="F28" s="17">
        <v>1331.71</v>
      </c>
      <c r="G28" s="17">
        <v>0</v>
      </c>
      <c r="H28" s="18">
        <f t="shared" si="1"/>
        <v>0</v>
      </c>
      <c r="I28" s="18">
        <f t="shared" si="2"/>
        <v>0.23173394858239907</v>
      </c>
      <c r="J28" s="17">
        <f t="shared" si="5"/>
        <v>308.60241666666667</v>
      </c>
      <c r="K28" s="17">
        <f t="shared" si="3"/>
        <v>18.153083333333335</v>
      </c>
      <c r="L28" s="16">
        <v>49</v>
      </c>
      <c r="M28" s="19">
        <f t="shared" si="6"/>
        <v>0.34693877551020408</v>
      </c>
      <c r="N28" s="16">
        <v>224</v>
      </c>
      <c r="O28" s="20">
        <f t="shared" ref="O28:P28" si="36">D28/7</f>
        <v>2.4285714285714284</v>
      </c>
      <c r="P28" s="20">
        <f t="shared" si="36"/>
        <v>0</v>
      </c>
      <c r="Q28" s="16">
        <f t="shared" si="8"/>
        <v>92</v>
      </c>
      <c r="R28" s="16"/>
      <c r="S28" s="21">
        <v>1.2041884816753929</v>
      </c>
      <c r="T28" s="14">
        <v>500</v>
      </c>
      <c r="U28" s="22">
        <v>44384</v>
      </c>
      <c r="V28" s="23" t="s">
        <v>463</v>
      </c>
      <c r="W28" s="30">
        <v>0</v>
      </c>
      <c r="X28" s="24">
        <f t="shared" si="9"/>
        <v>0</v>
      </c>
      <c r="Y28" s="25">
        <f t="shared" si="10"/>
        <v>0</v>
      </c>
      <c r="Z28" s="30">
        <v>0</v>
      </c>
      <c r="AA28" s="14" t="s">
        <v>35</v>
      </c>
      <c r="AB28" s="27">
        <f t="shared" si="11"/>
        <v>-0.69</v>
      </c>
      <c r="AC28" s="28">
        <v>0.24305555555555555</v>
      </c>
      <c r="AD28" s="25">
        <f t="shared" si="12"/>
        <v>-5.7020833333333325</v>
      </c>
      <c r="AE28" s="25">
        <v>-8.68</v>
      </c>
      <c r="AF28" s="25">
        <v>-39.417000000000002</v>
      </c>
      <c r="AG28" s="25">
        <v>0</v>
      </c>
    </row>
    <row r="29" spans="1:33" ht="15.75" customHeight="1">
      <c r="A29" s="14" t="s">
        <v>55</v>
      </c>
      <c r="B29" s="14" t="s">
        <v>464</v>
      </c>
      <c r="C29" s="15">
        <f t="shared" si="4"/>
        <v>71.550869565217397</v>
      </c>
      <c r="D29" s="16">
        <v>69</v>
      </c>
      <c r="E29" s="16">
        <v>0</v>
      </c>
      <c r="F29" s="17">
        <v>4937.01</v>
      </c>
      <c r="G29" s="17">
        <v>-0.05</v>
      </c>
      <c r="H29" s="18">
        <f t="shared" si="1"/>
        <v>1.012758734537706E-5</v>
      </c>
      <c r="I29" s="18">
        <f t="shared" si="2"/>
        <v>0.17309500082033447</v>
      </c>
      <c r="J29" s="17">
        <f t="shared" si="5"/>
        <v>854.5717499999995</v>
      </c>
      <c r="K29" s="17">
        <f t="shared" si="3"/>
        <v>12.38509782608695</v>
      </c>
      <c r="L29" s="16">
        <v>59</v>
      </c>
      <c r="M29" s="19">
        <f t="shared" si="6"/>
        <v>1.1694915254237288</v>
      </c>
      <c r="N29" s="16">
        <v>62</v>
      </c>
      <c r="O29" s="20">
        <f t="shared" ref="O29:P29" si="37">D29/7</f>
        <v>9.8571428571428577</v>
      </c>
      <c r="P29" s="20">
        <f t="shared" si="37"/>
        <v>0</v>
      </c>
      <c r="Q29" s="16">
        <f t="shared" si="8"/>
        <v>6</v>
      </c>
      <c r="R29" s="16"/>
      <c r="S29" s="21">
        <v>2.3147208121827409</v>
      </c>
      <c r="T29" s="14">
        <v>500</v>
      </c>
      <c r="U29" s="22">
        <v>44386</v>
      </c>
      <c r="V29" s="23" t="s">
        <v>465</v>
      </c>
      <c r="W29" s="30">
        <v>0</v>
      </c>
      <c r="X29" s="24">
        <f t="shared" si="9"/>
        <v>0</v>
      </c>
      <c r="Y29" s="25">
        <f t="shared" si="10"/>
        <v>0</v>
      </c>
      <c r="Z29" s="30">
        <v>0</v>
      </c>
      <c r="AA29" s="14" t="s">
        <v>35</v>
      </c>
      <c r="AB29" s="27">
        <f t="shared" si="11"/>
        <v>-0.69</v>
      </c>
      <c r="AC29" s="28">
        <v>0.24305555555555555</v>
      </c>
      <c r="AD29" s="25">
        <f t="shared" si="12"/>
        <v>-23.143749999999997</v>
      </c>
      <c r="AE29" s="25">
        <v>-8.68</v>
      </c>
      <c r="AF29" s="25">
        <v>-39.417000000000002</v>
      </c>
      <c r="AG29" s="25">
        <v>0</v>
      </c>
    </row>
    <row r="30" spans="1:33" ht="15.75" customHeight="1">
      <c r="A30" s="14" t="s">
        <v>57</v>
      </c>
      <c r="B30" s="14" t="s">
        <v>451</v>
      </c>
      <c r="C30" s="15">
        <f t="shared" si="4"/>
        <v>75.559523809523796</v>
      </c>
      <c r="D30" s="16">
        <v>21</v>
      </c>
      <c r="E30" s="16">
        <v>0</v>
      </c>
      <c r="F30" s="17">
        <v>1586.7499999999998</v>
      </c>
      <c r="G30" s="17">
        <v>0</v>
      </c>
      <c r="H30" s="18">
        <f t="shared" si="1"/>
        <v>0</v>
      </c>
      <c r="I30" s="18">
        <f t="shared" si="2"/>
        <v>0.21964275282180681</v>
      </c>
      <c r="J30" s="17">
        <f t="shared" si="5"/>
        <v>348.51813804000193</v>
      </c>
      <c r="K30" s="17">
        <f t="shared" si="3"/>
        <v>16.596101811428664</v>
      </c>
      <c r="L30" s="16">
        <v>61</v>
      </c>
      <c r="M30" s="19">
        <f t="shared" si="6"/>
        <v>0.34426229508196721</v>
      </c>
      <c r="N30" s="16">
        <v>111</v>
      </c>
      <c r="O30" s="20">
        <f t="shared" ref="O30:P30" si="38">D30/7</f>
        <v>3</v>
      </c>
      <c r="P30" s="20">
        <f t="shared" si="38"/>
        <v>0</v>
      </c>
      <c r="Q30" s="16">
        <f t="shared" si="8"/>
        <v>37</v>
      </c>
      <c r="R30" s="16"/>
      <c r="S30" s="21">
        <v>3.051162790697675</v>
      </c>
      <c r="T30" s="14">
        <v>220</v>
      </c>
      <c r="U30" s="22">
        <v>220</v>
      </c>
      <c r="V30" s="23" t="s">
        <v>466</v>
      </c>
      <c r="W30" s="30">
        <v>0</v>
      </c>
      <c r="X30" s="24">
        <f t="shared" si="9"/>
        <v>0</v>
      </c>
      <c r="Y30" s="25">
        <f t="shared" si="10"/>
        <v>0</v>
      </c>
      <c r="Z30" s="30">
        <v>0</v>
      </c>
      <c r="AA30" s="14" t="s">
        <v>35</v>
      </c>
      <c r="AB30" s="27">
        <f t="shared" si="11"/>
        <v>-0.69</v>
      </c>
      <c r="AC30" s="28">
        <v>0.24305555555555555</v>
      </c>
      <c r="AD30" s="25">
        <f t="shared" si="12"/>
        <v>-7.0437499999999993</v>
      </c>
      <c r="AE30" s="25">
        <v>-8.68</v>
      </c>
      <c r="AF30" s="25">
        <v>-38.614076759999897</v>
      </c>
      <c r="AG30" s="25">
        <v>0</v>
      </c>
    </row>
    <row r="31" spans="1:33" ht="15.75" customHeight="1">
      <c r="A31" s="14" t="s">
        <v>58</v>
      </c>
      <c r="B31" s="14" t="s">
        <v>467</v>
      </c>
      <c r="C31" s="15">
        <f t="shared" si="4"/>
        <v>79.309583333333322</v>
      </c>
      <c r="D31" s="16">
        <v>24</v>
      </c>
      <c r="E31" s="16">
        <v>0</v>
      </c>
      <c r="F31" s="17">
        <v>1903.4299999999998</v>
      </c>
      <c r="G31" s="17">
        <v>0</v>
      </c>
      <c r="H31" s="18">
        <f t="shared" si="1"/>
        <v>0</v>
      </c>
      <c r="I31" s="18">
        <f t="shared" si="2"/>
        <v>0.24944844715067005</v>
      </c>
      <c r="J31" s="17">
        <f t="shared" si="5"/>
        <v>474.80765775999987</v>
      </c>
      <c r="K31" s="17">
        <f t="shared" si="3"/>
        <v>19.783652406666661</v>
      </c>
      <c r="L31" s="16">
        <v>67</v>
      </c>
      <c r="M31" s="19">
        <f t="shared" si="6"/>
        <v>0.35820895522388058</v>
      </c>
      <c r="N31" s="16">
        <v>97</v>
      </c>
      <c r="O31" s="20">
        <f t="shared" ref="O31:P31" si="39">D31/7</f>
        <v>3.4285714285714284</v>
      </c>
      <c r="P31" s="20">
        <f t="shared" si="39"/>
        <v>0</v>
      </c>
      <c r="Q31" s="16">
        <f t="shared" si="8"/>
        <v>28</v>
      </c>
      <c r="R31" s="16"/>
      <c r="S31" s="21">
        <v>3.6825396825396801</v>
      </c>
      <c r="T31" s="14" t="s">
        <v>34</v>
      </c>
      <c r="U31" s="22" t="s">
        <v>34</v>
      </c>
      <c r="V31" s="23" t="s">
        <v>468</v>
      </c>
      <c r="W31" s="30">
        <v>0</v>
      </c>
      <c r="X31" s="24">
        <f t="shared" si="9"/>
        <v>0</v>
      </c>
      <c r="Y31" s="25">
        <f t="shared" si="10"/>
        <v>0</v>
      </c>
      <c r="Z31" s="30">
        <v>0</v>
      </c>
      <c r="AA31" s="14" t="s">
        <v>35</v>
      </c>
      <c r="AB31" s="27">
        <f t="shared" si="11"/>
        <v>-0.69</v>
      </c>
      <c r="AC31" s="28">
        <v>0.24305555555555555</v>
      </c>
      <c r="AD31" s="25">
        <f t="shared" si="12"/>
        <v>-8.0499999999999989</v>
      </c>
      <c r="AE31" s="25">
        <v>-8.68</v>
      </c>
      <c r="AF31" s="25">
        <v>-38.614076759999996</v>
      </c>
      <c r="AG31" s="25">
        <v>0</v>
      </c>
    </row>
    <row r="32" spans="1:33" ht="15.75" customHeight="1">
      <c r="A32" s="14" t="s">
        <v>60</v>
      </c>
      <c r="B32" s="14"/>
      <c r="C32" s="15">
        <f t="shared" si="4"/>
        <v>76.584999999999994</v>
      </c>
      <c r="D32" s="16">
        <v>24</v>
      </c>
      <c r="E32" s="16">
        <v>1</v>
      </c>
      <c r="F32" s="17">
        <v>1838.04</v>
      </c>
      <c r="G32" s="17">
        <v>0</v>
      </c>
      <c r="H32" s="18">
        <f t="shared" si="1"/>
        <v>0</v>
      </c>
      <c r="I32" s="18">
        <f t="shared" si="2"/>
        <v>0.22808326138713106</v>
      </c>
      <c r="J32" s="17">
        <f t="shared" si="5"/>
        <v>419.22615776000237</v>
      </c>
      <c r="K32" s="17">
        <f t="shared" si="3"/>
        <v>17.467756573333432</v>
      </c>
      <c r="L32" s="16">
        <v>58</v>
      </c>
      <c r="M32" s="19">
        <f t="shared" si="6"/>
        <v>0.41379310344827586</v>
      </c>
      <c r="N32" s="16">
        <v>79</v>
      </c>
      <c r="O32" s="20">
        <f t="shared" ref="O32:P32" si="40">D32/7</f>
        <v>3.4285714285714284</v>
      </c>
      <c r="P32" s="20">
        <f t="shared" si="40"/>
        <v>0.14285714285714285</v>
      </c>
      <c r="Q32" s="16">
        <f t="shared" si="8"/>
        <v>22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2.0158311345646438</v>
      </c>
      <c r="T32" s="14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2" s="22">
        <f ca="1">IFERROR(__xludf.DUMMYFUNCTION("IFERROR(VLOOKUP($B$2,IMPORTRANGE(""https://docs.google.com/spreadsheets/d/1KiWZV1ko8G7lnRucBRBd29jj3Be6ltMfljMDqzOkQmI/edit#gid=1381463014"",""Lookup!A:D""),3,FALSE),"""")"),300)</f>
        <v>300</v>
      </c>
      <c r="V32" s="23" t="str">
        <f ca="1">IFERROR(__xludf.DUMMYFUNCTION("IFERROR(VLOOKUP($B$2,IMPORTRANGE(""https://docs.google.com/spreadsheets/d/1KiWZV1ko8G7lnRucBRBd29jj3Be6ltMfljMDqzOkQmI/edit#gid=1381463014"",""Lookup!A:D""),2,FALSE),"""")"),"| 410  - 300 units 07/20| AGL259  - 220 units 11/01")</f>
        <v>| 410  - 300 units 07/20| AGL259  - 220 units 11/01</v>
      </c>
      <c r="W32" s="30">
        <v>0</v>
      </c>
      <c r="X32" s="24">
        <f t="shared" si="9"/>
        <v>0</v>
      </c>
      <c r="Y32" s="25">
        <f t="shared" si="10"/>
        <v>0</v>
      </c>
      <c r="Z32" s="30">
        <v>0</v>
      </c>
      <c r="AA32" s="14" t="s">
        <v>35</v>
      </c>
      <c r="AB32" s="27">
        <f t="shared" si="11"/>
        <v>-0.69</v>
      </c>
      <c r="AC32" s="28">
        <v>0.24305555555555555</v>
      </c>
      <c r="AD32" s="25">
        <f t="shared" si="12"/>
        <v>-8.0499999999999989</v>
      </c>
      <c r="AE32" s="25">
        <v>-8.68</v>
      </c>
      <c r="AF32" s="25">
        <v>-38.614076759999897</v>
      </c>
      <c r="AG32" s="25">
        <v>0</v>
      </c>
    </row>
    <row r="33" spans="1:33" ht="15.75" customHeight="1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16"/>
      <c r="S33" s="21"/>
      <c r="T33" s="31"/>
      <c r="U33" s="36"/>
      <c r="V33" s="1"/>
      <c r="W33" s="31"/>
      <c r="X33" s="31"/>
      <c r="Y33" s="31"/>
      <c r="Z33" s="31"/>
      <c r="AA33" s="2"/>
      <c r="AB33" s="31"/>
      <c r="AC33" s="31"/>
      <c r="AD33" s="31"/>
      <c r="AE33" s="37"/>
      <c r="AF33" s="37"/>
      <c r="AG33" s="37"/>
    </row>
    <row r="34" spans="1:33" ht="15.75" customHeight="1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6"/>
      <c r="V34" s="1"/>
      <c r="W34" s="31"/>
      <c r="X34" s="31"/>
      <c r="Y34" s="31"/>
      <c r="Z34" s="31"/>
      <c r="AA34" s="2"/>
      <c r="AB34" s="31"/>
      <c r="AC34" s="31"/>
      <c r="AD34" s="31"/>
      <c r="AE34" s="37"/>
      <c r="AF34" s="37"/>
      <c r="AG34" s="37"/>
    </row>
    <row r="35" spans="1:33" ht="15.75" customHeight="1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6"/>
      <c r="V35" s="1"/>
      <c r="W35" s="31"/>
      <c r="X35" s="31"/>
      <c r="Y35" s="31"/>
      <c r="Z35" s="31"/>
      <c r="AA35" s="2"/>
      <c r="AB35" s="31"/>
      <c r="AC35" s="31"/>
      <c r="AD35" s="31"/>
      <c r="AE35" s="37"/>
      <c r="AF35" s="37"/>
      <c r="AG35" s="37"/>
    </row>
    <row r="36" spans="1:33" ht="15.75" customHeight="1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6"/>
      <c r="V36" s="1"/>
      <c r="W36" s="31"/>
      <c r="X36" s="31"/>
      <c r="Y36" s="31"/>
      <c r="Z36" s="31"/>
      <c r="AA36" s="2"/>
      <c r="AB36" s="31"/>
      <c r="AC36" s="31"/>
      <c r="AD36" s="31"/>
      <c r="AE36" s="37"/>
      <c r="AF36" s="37"/>
      <c r="AG36" s="37"/>
    </row>
    <row r="37" spans="1:33" ht="15.75" customHeight="1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6"/>
      <c r="V37" s="1"/>
      <c r="W37" s="31"/>
      <c r="X37" s="31"/>
      <c r="Y37" s="31"/>
      <c r="Z37" s="31"/>
      <c r="AA37" s="2"/>
      <c r="AB37" s="31"/>
      <c r="AC37" s="31"/>
      <c r="AD37" s="31"/>
      <c r="AE37" s="37"/>
      <c r="AF37" s="37"/>
      <c r="AG37" s="37"/>
    </row>
    <row r="38" spans="1:33" ht="15.75" customHeight="1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6"/>
      <c r="V38" s="1"/>
      <c r="W38" s="31"/>
      <c r="X38" s="31"/>
      <c r="Y38" s="31"/>
      <c r="Z38" s="31"/>
      <c r="AA38" s="2"/>
      <c r="AB38" s="31"/>
      <c r="AC38" s="31"/>
      <c r="AD38" s="31"/>
      <c r="AE38" s="37"/>
      <c r="AF38" s="37"/>
      <c r="AG38" s="37"/>
    </row>
    <row r="39" spans="1:33" ht="15.75" customHeight="1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6"/>
      <c r="V39" s="1"/>
      <c r="W39" s="31"/>
      <c r="X39" s="31"/>
      <c r="Y39" s="31"/>
      <c r="Z39" s="31"/>
      <c r="AA39" s="2"/>
      <c r="AB39" s="31"/>
      <c r="AC39" s="31"/>
      <c r="AD39" s="31"/>
      <c r="AE39" s="37"/>
      <c r="AF39" s="37"/>
      <c r="AG39" s="37"/>
    </row>
    <row r="40" spans="1:33" ht="15.75" customHeight="1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6"/>
      <c r="V40" s="1"/>
      <c r="W40" s="31"/>
      <c r="X40" s="31"/>
      <c r="Y40" s="31"/>
      <c r="Z40" s="31"/>
      <c r="AA40" s="2"/>
      <c r="AB40" s="31"/>
      <c r="AC40" s="31"/>
      <c r="AD40" s="31"/>
      <c r="AE40" s="37"/>
      <c r="AF40" s="37"/>
      <c r="AG40" s="37"/>
    </row>
    <row r="41" spans="1:33" ht="15.75" customHeight="1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6"/>
      <c r="V41" s="1"/>
      <c r="W41" s="31"/>
      <c r="X41" s="31"/>
      <c r="Y41" s="31"/>
      <c r="Z41" s="31"/>
      <c r="AA41" s="2"/>
      <c r="AB41" s="31"/>
      <c r="AC41" s="31"/>
      <c r="AD41" s="31"/>
      <c r="AE41" s="37"/>
      <c r="AF41" s="37"/>
      <c r="AG41" s="37"/>
    </row>
    <row r="42" spans="1:33" ht="15.75" customHeight="1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6"/>
      <c r="V42" s="1"/>
      <c r="W42" s="31"/>
      <c r="X42" s="31"/>
      <c r="Y42" s="31"/>
      <c r="Z42" s="31"/>
      <c r="AA42" s="2"/>
      <c r="AB42" s="31"/>
      <c r="AC42" s="31"/>
      <c r="AD42" s="31"/>
      <c r="AE42" s="37"/>
      <c r="AF42" s="37"/>
      <c r="AG42" s="37"/>
    </row>
    <row r="43" spans="1:33" ht="15.75" customHeight="1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6"/>
      <c r="V43" s="1"/>
      <c r="W43" s="31"/>
      <c r="X43" s="31"/>
      <c r="Y43" s="31"/>
      <c r="Z43" s="31"/>
      <c r="AA43" s="2"/>
      <c r="AB43" s="31"/>
      <c r="AC43" s="31"/>
      <c r="AD43" s="31"/>
      <c r="AE43" s="37"/>
      <c r="AF43" s="37"/>
      <c r="AG43" s="37"/>
    </row>
    <row r="44" spans="1:33" ht="15.75" customHeight="1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6"/>
      <c r="V44" s="1"/>
      <c r="W44" s="31"/>
      <c r="X44" s="31"/>
      <c r="Y44" s="31"/>
      <c r="Z44" s="31"/>
      <c r="AA44" s="2"/>
      <c r="AB44" s="31"/>
      <c r="AC44" s="31"/>
      <c r="AD44" s="31"/>
      <c r="AE44" s="37"/>
      <c r="AF44" s="37"/>
      <c r="AG44" s="37"/>
    </row>
    <row r="45" spans="1:33" ht="15.75" customHeight="1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6"/>
      <c r="V45" s="1"/>
      <c r="W45" s="31"/>
      <c r="X45" s="31"/>
      <c r="Y45" s="31"/>
      <c r="Z45" s="31"/>
      <c r="AA45" s="2"/>
      <c r="AB45" s="31"/>
      <c r="AC45" s="31"/>
      <c r="AD45" s="31"/>
      <c r="AE45" s="37"/>
      <c r="AF45" s="37"/>
      <c r="AG45" s="37"/>
    </row>
    <row r="46" spans="1:33" ht="15.75" customHeight="1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6"/>
      <c r="V46" s="1"/>
      <c r="W46" s="31"/>
      <c r="X46" s="31"/>
      <c r="Y46" s="31"/>
      <c r="Z46" s="31"/>
      <c r="AA46" s="2"/>
      <c r="AB46" s="31"/>
      <c r="AC46" s="31"/>
      <c r="AD46" s="31"/>
      <c r="AE46" s="37"/>
      <c r="AF46" s="37"/>
      <c r="AG46" s="37"/>
    </row>
    <row r="47" spans="1:33" ht="15.75" customHeight="1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6"/>
      <c r="V47" s="1"/>
      <c r="W47" s="31"/>
      <c r="X47" s="31"/>
      <c r="Y47" s="31"/>
      <c r="Z47" s="31"/>
      <c r="AA47" s="2"/>
      <c r="AB47" s="31"/>
      <c r="AC47" s="31"/>
      <c r="AD47" s="31"/>
      <c r="AE47" s="37"/>
      <c r="AF47" s="37"/>
      <c r="AG47" s="37"/>
    </row>
    <row r="48" spans="1:33" ht="15.75" customHeight="1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6"/>
      <c r="V48" s="1"/>
      <c r="W48" s="31"/>
      <c r="X48" s="31"/>
      <c r="Y48" s="31"/>
      <c r="Z48" s="31"/>
      <c r="AA48" s="2"/>
      <c r="AB48" s="31"/>
      <c r="AC48" s="31"/>
      <c r="AD48" s="31"/>
      <c r="AE48" s="37"/>
      <c r="AF48" s="37"/>
      <c r="AG48" s="37"/>
    </row>
    <row r="49" spans="1:33" ht="15.75" customHeight="1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6"/>
      <c r="V49" s="1"/>
      <c r="W49" s="31"/>
      <c r="X49" s="31"/>
      <c r="Y49" s="31"/>
      <c r="Z49" s="31"/>
      <c r="AA49" s="2"/>
      <c r="AB49" s="31"/>
      <c r="AC49" s="31"/>
      <c r="AD49" s="31"/>
      <c r="AE49" s="37"/>
      <c r="AF49" s="37"/>
      <c r="AG49" s="37"/>
    </row>
    <row r="50" spans="1:33" ht="15.75" customHeight="1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6"/>
      <c r="V50" s="1"/>
      <c r="W50" s="31"/>
      <c r="X50" s="31"/>
      <c r="Y50" s="31"/>
      <c r="Z50" s="31"/>
      <c r="AA50" s="2"/>
      <c r="AB50" s="31"/>
      <c r="AC50" s="31"/>
      <c r="AD50" s="31"/>
      <c r="AE50" s="37"/>
      <c r="AF50" s="37"/>
      <c r="AG50" s="37"/>
    </row>
    <row r="51" spans="1:33" ht="15.75" customHeight="1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6"/>
      <c r="V51" s="1"/>
      <c r="W51" s="31"/>
      <c r="X51" s="31"/>
      <c r="Y51" s="31"/>
      <c r="Z51" s="31"/>
      <c r="AA51" s="2"/>
      <c r="AB51" s="31"/>
      <c r="AC51" s="31"/>
      <c r="AD51" s="31"/>
      <c r="AE51" s="37"/>
      <c r="AF51" s="37"/>
      <c r="AG51" s="37"/>
    </row>
    <row r="52" spans="1:33" ht="15.75" customHeight="1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6"/>
      <c r="V52" s="1"/>
      <c r="W52" s="31"/>
      <c r="X52" s="31"/>
      <c r="Y52" s="31"/>
      <c r="Z52" s="31"/>
      <c r="AA52" s="2"/>
      <c r="AB52" s="31"/>
      <c r="AC52" s="31"/>
      <c r="AD52" s="31"/>
      <c r="AE52" s="37"/>
      <c r="AF52" s="37"/>
      <c r="AG52" s="37"/>
    </row>
    <row r="53" spans="1:33" ht="15.75" customHeight="1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6"/>
      <c r="V53" s="1"/>
      <c r="W53" s="31"/>
      <c r="X53" s="31"/>
      <c r="Y53" s="31"/>
      <c r="Z53" s="31"/>
      <c r="AA53" s="2"/>
      <c r="AB53" s="31"/>
      <c r="AC53" s="31"/>
      <c r="AD53" s="31"/>
      <c r="AE53" s="37"/>
      <c r="AF53" s="37"/>
      <c r="AG53" s="37"/>
    </row>
    <row r="54" spans="1:33" ht="15.75" customHeight="1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6"/>
      <c r="V54" s="1"/>
      <c r="W54" s="31"/>
      <c r="X54" s="31"/>
      <c r="Y54" s="31"/>
      <c r="Z54" s="31"/>
      <c r="AA54" s="2"/>
      <c r="AB54" s="31"/>
      <c r="AC54" s="31"/>
      <c r="AD54" s="31"/>
      <c r="AE54" s="37"/>
      <c r="AF54" s="37"/>
      <c r="AG54" s="37"/>
    </row>
    <row r="55" spans="1:33" ht="15.75" customHeight="1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6"/>
      <c r="V55" s="1"/>
      <c r="W55" s="31"/>
      <c r="X55" s="31"/>
      <c r="Y55" s="31"/>
      <c r="Z55" s="31"/>
      <c r="AA55" s="2"/>
      <c r="AB55" s="31"/>
      <c r="AC55" s="31"/>
      <c r="AD55" s="31"/>
      <c r="AE55" s="37"/>
      <c r="AF55" s="37"/>
      <c r="AG55" s="37"/>
    </row>
    <row r="56" spans="1:33" ht="15.75" customHeight="1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6"/>
      <c r="V56" s="1"/>
      <c r="W56" s="31"/>
      <c r="X56" s="31"/>
      <c r="Y56" s="31"/>
      <c r="Z56" s="31"/>
      <c r="AA56" s="2"/>
      <c r="AB56" s="31"/>
      <c r="AC56" s="31"/>
      <c r="AD56" s="31"/>
      <c r="AE56" s="37"/>
      <c r="AF56" s="37"/>
      <c r="AG56" s="37"/>
    </row>
    <row r="57" spans="1:33" ht="15.75" customHeight="1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6"/>
      <c r="V57" s="1"/>
      <c r="W57" s="31"/>
      <c r="X57" s="31"/>
      <c r="Y57" s="31"/>
      <c r="Z57" s="31"/>
      <c r="AA57" s="2"/>
      <c r="AB57" s="31"/>
      <c r="AC57" s="31"/>
      <c r="AD57" s="31"/>
      <c r="AE57" s="37"/>
      <c r="AF57" s="37"/>
      <c r="AG57" s="37"/>
    </row>
    <row r="58" spans="1:33" ht="15.75" customHeight="1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6"/>
      <c r="V58" s="1"/>
      <c r="W58" s="31"/>
      <c r="X58" s="31"/>
      <c r="Y58" s="31"/>
      <c r="Z58" s="31"/>
      <c r="AA58" s="2"/>
      <c r="AB58" s="31"/>
      <c r="AC58" s="31"/>
      <c r="AD58" s="31"/>
      <c r="AE58" s="37"/>
      <c r="AF58" s="37"/>
      <c r="AG58" s="37"/>
    </row>
    <row r="59" spans="1:33" ht="15.75" customHeight="1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6"/>
      <c r="V59" s="1"/>
      <c r="W59" s="31"/>
      <c r="X59" s="31"/>
      <c r="Y59" s="31"/>
      <c r="Z59" s="31"/>
      <c r="AA59" s="2"/>
      <c r="AB59" s="31"/>
      <c r="AC59" s="31"/>
      <c r="AD59" s="31"/>
      <c r="AE59" s="37"/>
      <c r="AF59" s="37"/>
      <c r="AG59" s="37"/>
    </row>
    <row r="60" spans="1:33" ht="15.75" customHeight="1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6"/>
      <c r="V60" s="1"/>
      <c r="W60" s="31"/>
      <c r="X60" s="31"/>
      <c r="Y60" s="31"/>
      <c r="Z60" s="31"/>
      <c r="AA60" s="2"/>
      <c r="AB60" s="31"/>
      <c r="AC60" s="31"/>
      <c r="AD60" s="31"/>
      <c r="AE60" s="37"/>
      <c r="AF60" s="37"/>
      <c r="AG60" s="37"/>
    </row>
    <row r="61" spans="1:33" ht="15.75" customHeight="1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6"/>
      <c r="V61" s="1"/>
      <c r="W61" s="31"/>
      <c r="X61" s="31"/>
      <c r="Y61" s="31"/>
      <c r="Z61" s="31"/>
      <c r="AA61" s="2"/>
      <c r="AB61" s="31"/>
      <c r="AC61" s="31"/>
      <c r="AD61" s="31"/>
      <c r="AE61" s="37"/>
      <c r="AF61" s="37"/>
      <c r="AG61" s="37"/>
    </row>
    <row r="62" spans="1:33" ht="15.75" customHeight="1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6"/>
      <c r="V62" s="1"/>
      <c r="W62" s="31"/>
      <c r="X62" s="31"/>
      <c r="Y62" s="31"/>
      <c r="Z62" s="31"/>
      <c r="AA62" s="2"/>
      <c r="AB62" s="31"/>
      <c r="AC62" s="31"/>
      <c r="AD62" s="31"/>
      <c r="AE62" s="37"/>
      <c r="AF62" s="37"/>
      <c r="AG62" s="37"/>
    </row>
    <row r="63" spans="1:33" ht="15.75" customHeight="1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6"/>
      <c r="V63" s="1"/>
      <c r="W63" s="31"/>
      <c r="X63" s="31"/>
      <c r="Y63" s="31"/>
      <c r="Z63" s="31"/>
      <c r="AA63" s="2"/>
      <c r="AB63" s="31"/>
      <c r="AC63" s="31"/>
      <c r="AD63" s="31"/>
      <c r="AE63" s="37"/>
      <c r="AF63" s="37"/>
      <c r="AG63" s="37"/>
    </row>
    <row r="64" spans="1:33" ht="15.75" customHeight="1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6"/>
      <c r="V64" s="1"/>
      <c r="W64" s="31"/>
      <c r="X64" s="31"/>
      <c r="Y64" s="31"/>
      <c r="Z64" s="31"/>
      <c r="AA64" s="2"/>
      <c r="AB64" s="31"/>
      <c r="AC64" s="31"/>
      <c r="AD64" s="31"/>
      <c r="AE64" s="37"/>
      <c r="AF64" s="37"/>
      <c r="AG64" s="37"/>
    </row>
    <row r="65" spans="1:33" ht="15.75" customHeight="1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6"/>
      <c r="V65" s="1"/>
      <c r="W65" s="31"/>
      <c r="X65" s="31"/>
      <c r="Y65" s="31"/>
      <c r="Z65" s="31"/>
      <c r="AA65" s="2"/>
      <c r="AB65" s="31"/>
      <c r="AC65" s="31"/>
      <c r="AD65" s="31"/>
      <c r="AE65" s="37"/>
      <c r="AF65" s="37"/>
      <c r="AG65" s="37"/>
    </row>
    <row r="66" spans="1:33" ht="15.75" customHeight="1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6"/>
      <c r="V66" s="1"/>
      <c r="W66" s="31"/>
      <c r="X66" s="31"/>
      <c r="Y66" s="31"/>
      <c r="Z66" s="31"/>
      <c r="AA66" s="2"/>
      <c r="AB66" s="31"/>
      <c r="AC66" s="31"/>
      <c r="AD66" s="31"/>
      <c r="AE66" s="37"/>
      <c r="AF66" s="37"/>
      <c r="AG66" s="37"/>
    </row>
    <row r="67" spans="1:33" ht="15.75" customHeight="1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6"/>
      <c r="V67" s="1"/>
      <c r="W67" s="31"/>
      <c r="X67" s="31"/>
      <c r="Y67" s="31"/>
      <c r="Z67" s="31"/>
      <c r="AA67" s="2"/>
      <c r="AB67" s="31"/>
      <c r="AC67" s="31"/>
      <c r="AD67" s="31"/>
      <c r="AE67" s="37"/>
      <c r="AF67" s="37"/>
      <c r="AG67" s="37"/>
    </row>
    <row r="68" spans="1:33" ht="15.75" customHeight="1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6"/>
      <c r="V68" s="1"/>
      <c r="W68" s="31"/>
      <c r="X68" s="31"/>
      <c r="Y68" s="31"/>
      <c r="Z68" s="31"/>
      <c r="AA68" s="2"/>
      <c r="AB68" s="31"/>
      <c r="AC68" s="31"/>
      <c r="AD68" s="31"/>
      <c r="AE68" s="37"/>
      <c r="AF68" s="37"/>
      <c r="AG68" s="37"/>
    </row>
    <row r="69" spans="1:33" ht="15.75" customHeight="1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6"/>
      <c r="V69" s="1"/>
      <c r="W69" s="31"/>
      <c r="X69" s="31"/>
      <c r="Y69" s="31"/>
      <c r="Z69" s="31"/>
      <c r="AA69" s="2"/>
      <c r="AB69" s="31"/>
      <c r="AC69" s="31"/>
      <c r="AD69" s="31"/>
      <c r="AE69" s="37"/>
      <c r="AF69" s="37"/>
      <c r="AG69" s="37"/>
    </row>
    <row r="70" spans="1:33" ht="15.75" customHeight="1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6"/>
      <c r="V70" s="1"/>
      <c r="W70" s="31"/>
      <c r="X70" s="31"/>
      <c r="Y70" s="31"/>
      <c r="Z70" s="31"/>
      <c r="AA70" s="2"/>
      <c r="AB70" s="31"/>
      <c r="AC70" s="31"/>
      <c r="AD70" s="31"/>
      <c r="AE70" s="37"/>
      <c r="AF70" s="37"/>
      <c r="AG70" s="37"/>
    </row>
    <row r="71" spans="1:33" ht="15.75" customHeight="1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6"/>
      <c r="V71" s="1"/>
      <c r="W71" s="31"/>
      <c r="X71" s="31"/>
      <c r="Y71" s="31"/>
      <c r="Z71" s="31"/>
      <c r="AA71" s="2"/>
      <c r="AB71" s="31"/>
      <c r="AC71" s="31"/>
      <c r="AD71" s="31"/>
      <c r="AE71" s="37"/>
      <c r="AF71" s="37"/>
      <c r="AG71" s="37"/>
    </row>
    <row r="72" spans="1:33" ht="15.75" customHeight="1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6"/>
      <c r="V72" s="1"/>
      <c r="W72" s="31"/>
      <c r="X72" s="31"/>
      <c r="Y72" s="31"/>
      <c r="Z72" s="31"/>
      <c r="AA72" s="2"/>
      <c r="AB72" s="31"/>
      <c r="AC72" s="31"/>
      <c r="AD72" s="31"/>
      <c r="AE72" s="37"/>
      <c r="AF72" s="37"/>
      <c r="AG72" s="37"/>
    </row>
    <row r="73" spans="1:33" ht="15.75" customHeight="1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6"/>
      <c r="V73" s="1"/>
      <c r="W73" s="31"/>
      <c r="X73" s="31"/>
      <c r="Y73" s="31"/>
      <c r="Z73" s="31"/>
      <c r="AA73" s="2"/>
      <c r="AB73" s="31"/>
      <c r="AC73" s="31"/>
      <c r="AD73" s="31"/>
      <c r="AE73" s="37"/>
      <c r="AF73" s="37"/>
      <c r="AG73" s="37"/>
    </row>
    <row r="74" spans="1:33" ht="15.75" customHeight="1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6"/>
      <c r="V74" s="1"/>
      <c r="W74" s="31"/>
      <c r="X74" s="31"/>
      <c r="Y74" s="31"/>
      <c r="Z74" s="31"/>
      <c r="AA74" s="2"/>
      <c r="AB74" s="31"/>
      <c r="AC74" s="31"/>
      <c r="AD74" s="31"/>
      <c r="AE74" s="37"/>
      <c r="AF74" s="37"/>
      <c r="AG74" s="37"/>
    </row>
    <row r="75" spans="1:33" ht="15.75" customHeight="1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6"/>
      <c r="V75" s="1"/>
      <c r="W75" s="31"/>
      <c r="X75" s="31"/>
      <c r="Y75" s="31"/>
      <c r="Z75" s="31"/>
      <c r="AA75" s="2"/>
      <c r="AB75" s="31"/>
      <c r="AC75" s="31"/>
      <c r="AD75" s="31"/>
      <c r="AE75" s="37"/>
      <c r="AF75" s="37"/>
      <c r="AG75" s="37"/>
    </row>
    <row r="76" spans="1:33" ht="15.75" customHeight="1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6"/>
      <c r="V76" s="1"/>
      <c r="W76" s="31"/>
      <c r="X76" s="31"/>
      <c r="Y76" s="31"/>
      <c r="Z76" s="31"/>
      <c r="AA76" s="2"/>
      <c r="AB76" s="31"/>
      <c r="AC76" s="31"/>
      <c r="AD76" s="31"/>
      <c r="AE76" s="37"/>
      <c r="AF76" s="37"/>
      <c r="AG76" s="37"/>
    </row>
    <row r="77" spans="1:33" ht="15.75" customHeight="1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6"/>
      <c r="V77" s="1"/>
      <c r="W77" s="31"/>
      <c r="X77" s="31"/>
      <c r="Y77" s="31"/>
      <c r="Z77" s="31"/>
      <c r="AA77" s="2"/>
      <c r="AB77" s="31"/>
      <c r="AC77" s="31"/>
      <c r="AD77" s="31"/>
      <c r="AE77" s="37"/>
      <c r="AF77" s="37"/>
      <c r="AG77" s="37"/>
    </row>
    <row r="78" spans="1:33" ht="15.75" customHeight="1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6"/>
      <c r="V78" s="1"/>
      <c r="W78" s="31"/>
      <c r="X78" s="31"/>
      <c r="Y78" s="31"/>
      <c r="Z78" s="31"/>
      <c r="AA78" s="2"/>
      <c r="AB78" s="31"/>
      <c r="AC78" s="31"/>
      <c r="AD78" s="31"/>
      <c r="AE78" s="37"/>
      <c r="AF78" s="37"/>
      <c r="AG78" s="37"/>
    </row>
    <row r="79" spans="1:33" ht="15.75" customHeight="1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6"/>
      <c r="V79" s="1"/>
      <c r="W79" s="31"/>
      <c r="X79" s="31"/>
      <c r="Y79" s="31"/>
      <c r="Z79" s="31"/>
      <c r="AA79" s="2"/>
      <c r="AB79" s="31"/>
      <c r="AC79" s="31"/>
      <c r="AD79" s="31"/>
      <c r="AE79" s="37"/>
      <c r="AF79" s="37"/>
      <c r="AG79" s="37"/>
    </row>
    <row r="80" spans="1:33" ht="15.75" customHeight="1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6"/>
      <c r="V80" s="1"/>
      <c r="W80" s="31"/>
      <c r="X80" s="31"/>
      <c r="Y80" s="31"/>
      <c r="Z80" s="31"/>
      <c r="AA80" s="2"/>
      <c r="AB80" s="31"/>
      <c r="AC80" s="31"/>
      <c r="AD80" s="31"/>
      <c r="AE80" s="37"/>
      <c r="AF80" s="37"/>
      <c r="AG80" s="37"/>
    </row>
    <row r="81" spans="1:33" ht="15.75" customHeight="1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6"/>
      <c r="V81" s="1"/>
      <c r="W81" s="31"/>
      <c r="X81" s="31"/>
      <c r="Y81" s="31"/>
      <c r="Z81" s="31"/>
      <c r="AA81" s="2"/>
      <c r="AB81" s="31"/>
      <c r="AC81" s="31"/>
      <c r="AD81" s="31"/>
      <c r="AE81" s="37"/>
      <c r="AF81" s="37"/>
      <c r="AG81" s="37"/>
    </row>
    <row r="82" spans="1:33" ht="15.75" customHeight="1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6"/>
      <c r="V82" s="1"/>
      <c r="W82" s="31"/>
      <c r="X82" s="31"/>
      <c r="Y82" s="31"/>
      <c r="Z82" s="31"/>
      <c r="AA82" s="2"/>
      <c r="AB82" s="31"/>
      <c r="AC82" s="31"/>
      <c r="AD82" s="31"/>
      <c r="AE82" s="37"/>
      <c r="AF82" s="37"/>
      <c r="AG82" s="37"/>
    </row>
    <row r="83" spans="1:33" ht="15.75" customHeight="1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6"/>
      <c r="V83" s="1"/>
      <c r="W83" s="31"/>
      <c r="X83" s="31"/>
      <c r="Y83" s="31"/>
      <c r="Z83" s="31"/>
      <c r="AA83" s="2"/>
      <c r="AB83" s="31"/>
      <c r="AC83" s="31"/>
      <c r="AD83" s="31"/>
      <c r="AE83" s="37"/>
      <c r="AF83" s="37"/>
      <c r="AG83" s="37"/>
    </row>
    <row r="84" spans="1:33" ht="15.75" customHeight="1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6"/>
      <c r="V84" s="1"/>
      <c r="W84" s="31"/>
      <c r="X84" s="31"/>
      <c r="Y84" s="31"/>
      <c r="Z84" s="31"/>
      <c r="AA84" s="2"/>
      <c r="AB84" s="31"/>
      <c r="AC84" s="31"/>
      <c r="AD84" s="31"/>
      <c r="AE84" s="37"/>
      <c r="AF84" s="37"/>
      <c r="AG84" s="37"/>
    </row>
    <row r="85" spans="1:33" ht="15.75" customHeight="1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6"/>
      <c r="V85" s="1"/>
      <c r="W85" s="31"/>
      <c r="X85" s="31"/>
      <c r="Y85" s="31"/>
      <c r="Z85" s="31"/>
      <c r="AA85" s="2"/>
      <c r="AB85" s="31"/>
      <c r="AC85" s="31"/>
      <c r="AD85" s="31"/>
      <c r="AE85" s="37"/>
      <c r="AF85" s="37"/>
      <c r="AG85" s="37"/>
    </row>
    <row r="86" spans="1:33" ht="15.75" customHeight="1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6"/>
      <c r="V86" s="1"/>
      <c r="W86" s="31"/>
      <c r="X86" s="31"/>
      <c r="Y86" s="31"/>
      <c r="Z86" s="31"/>
      <c r="AA86" s="2"/>
      <c r="AB86" s="31"/>
      <c r="AC86" s="31"/>
      <c r="AD86" s="31"/>
      <c r="AE86" s="37"/>
      <c r="AF86" s="37"/>
      <c r="AG86" s="37"/>
    </row>
    <row r="87" spans="1:33" ht="15.75" customHeight="1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6"/>
      <c r="V87" s="1"/>
      <c r="W87" s="31"/>
      <c r="X87" s="31"/>
      <c r="Y87" s="31"/>
      <c r="Z87" s="31"/>
      <c r="AA87" s="2"/>
      <c r="AB87" s="31"/>
      <c r="AC87" s="31"/>
      <c r="AD87" s="31"/>
      <c r="AE87" s="37"/>
      <c r="AF87" s="37"/>
      <c r="AG87" s="37"/>
    </row>
    <row r="88" spans="1:33" ht="15.75" customHeight="1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6"/>
      <c r="V88" s="1"/>
      <c r="W88" s="31"/>
      <c r="X88" s="31"/>
      <c r="Y88" s="31"/>
      <c r="Z88" s="31"/>
      <c r="AA88" s="2"/>
      <c r="AB88" s="31"/>
      <c r="AC88" s="31"/>
      <c r="AD88" s="31"/>
      <c r="AE88" s="37"/>
      <c r="AF88" s="37"/>
      <c r="AG88" s="37"/>
    </row>
    <row r="89" spans="1:33" ht="15.75" customHeight="1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6"/>
      <c r="V89" s="1"/>
      <c r="W89" s="31"/>
      <c r="X89" s="31"/>
      <c r="Y89" s="31"/>
      <c r="Z89" s="31"/>
      <c r="AA89" s="2"/>
      <c r="AB89" s="31"/>
      <c r="AC89" s="31"/>
      <c r="AD89" s="31"/>
      <c r="AE89" s="37"/>
      <c r="AF89" s="37"/>
      <c r="AG89" s="37"/>
    </row>
    <row r="90" spans="1:33" ht="15.75" customHeight="1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6"/>
      <c r="V90" s="1"/>
      <c r="W90" s="31"/>
      <c r="X90" s="31"/>
      <c r="Y90" s="31"/>
      <c r="Z90" s="31"/>
      <c r="AA90" s="2"/>
      <c r="AB90" s="31"/>
      <c r="AC90" s="31"/>
      <c r="AD90" s="31"/>
      <c r="AE90" s="37"/>
      <c r="AF90" s="37"/>
      <c r="AG90" s="37"/>
    </row>
    <row r="91" spans="1:33" ht="15.75" customHeight="1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6"/>
      <c r="V91" s="1"/>
      <c r="W91" s="31"/>
      <c r="X91" s="31"/>
      <c r="Y91" s="31"/>
      <c r="Z91" s="31"/>
      <c r="AA91" s="2"/>
      <c r="AB91" s="31"/>
      <c r="AC91" s="31"/>
      <c r="AD91" s="31"/>
      <c r="AE91" s="37"/>
      <c r="AF91" s="37"/>
      <c r="AG91" s="37"/>
    </row>
    <row r="92" spans="1:33" ht="15.75" customHeight="1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6"/>
      <c r="V92" s="1"/>
      <c r="W92" s="31"/>
      <c r="X92" s="31"/>
      <c r="Y92" s="31"/>
      <c r="Z92" s="31"/>
      <c r="AA92" s="2"/>
      <c r="AB92" s="31"/>
      <c r="AC92" s="31"/>
      <c r="AD92" s="31"/>
      <c r="AE92" s="37"/>
      <c r="AF92" s="37"/>
      <c r="AG92" s="37"/>
    </row>
    <row r="93" spans="1:33" ht="15.75" customHeight="1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6"/>
      <c r="V93" s="1"/>
      <c r="W93" s="31"/>
      <c r="X93" s="31"/>
      <c r="Y93" s="31"/>
      <c r="Z93" s="31"/>
      <c r="AA93" s="2"/>
      <c r="AB93" s="31"/>
      <c r="AC93" s="31"/>
      <c r="AD93" s="31"/>
      <c r="AE93" s="37"/>
      <c r="AF93" s="37"/>
      <c r="AG93" s="37"/>
    </row>
    <row r="94" spans="1:33" ht="15.75" customHeight="1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6"/>
      <c r="V94" s="1"/>
      <c r="W94" s="31"/>
      <c r="X94" s="31"/>
      <c r="Y94" s="31"/>
      <c r="Z94" s="31"/>
      <c r="AA94" s="2"/>
      <c r="AB94" s="31"/>
      <c r="AC94" s="31"/>
      <c r="AD94" s="31"/>
      <c r="AE94" s="37"/>
      <c r="AF94" s="37"/>
      <c r="AG94" s="37"/>
    </row>
    <row r="95" spans="1:33" ht="15.75" customHeight="1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6"/>
      <c r="V95" s="1"/>
      <c r="W95" s="31"/>
      <c r="X95" s="31"/>
      <c r="Y95" s="31"/>
      <c r="Z95" s="31"/>
      <c r="AA95" s="2"/>
      <c r="AB95" s="31"/>
      <c r="AC95" s="31"/>
      <c r="AD95" s="31"/>
      <c r="AE95" s="37"/>
      <c r="AF95" s="37"/>
      <c r="AG95" s="37"/>
    </row>
    <row r="96" spans="1:33" ht="15.75" customHeight="1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6"/>
      <c r="V96" s="1"/>
      <c r="W96" s="31"/>
      <c r="X96" s="31"/>
      <c r="Y96" s="31"/>
      <c r="Z96" s="31"/>
      <c r="AA96" s="2"/>
      <c r="AB96" s="31"/>
      <c r="AC96" s="31"/>
      <c r="AD96" s="31"/>
      <c r="AE96" s="37"/>
      <c r="AF96" s="37"/>
      <c r="AG96" s="37"/>
    </row>
    <row r="97" spans="1:33" ht="15.75" customHeight="1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8"/>
      <c r="R97" s="38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8"/>
      <c r="R98" s="38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8"/>
      <c r="R99" s="38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8"/>
      <c r="R100" s="38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8"/>
      <c r="R101" s="38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8"/>
      <c r="R102" s="38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8"/>
      <c r="R103" s="38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8"/>
      <c r="R104" s="38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8"/>
      <c r="R105" s="38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8"/>
      <c r="R106" s="38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8"/>
      <c r="R107" s="38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8"/>
      <c r="R108" s="38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8"/>
      <c r="R109" s="38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8"/>
      <c r="R110" s="38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8"/>
      <c r="R111" s="38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8"/>
      <c r="R112" s="38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8"/>
      <c r="R113" s="38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8"/>
      <c r="R114" s="38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>
      <c r="A115" s="31"/>
      <c r="B115" s="31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>
      <c r="A116" s="31"/>
      <c r="B116" s="31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>
      <c r="A117" s="31"/>
      <c r="B117" s="31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>
      <c r="A118" s="31"/>
      <c r="B118" s="31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>
      <c r="A119" s="31"/>
      <c r="B119" s="31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>
      <c r="A120" s="31"/>
      <c r="B120" s="31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>
      <c r="A121" s="31"/>
      <c r="B121" s="31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>
      <c r="A122" s="31"/>
      <c r="B122" s="31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>
      <c r="A123" s="31"/>
      <c r="B123" s="31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>
      <c r="A124" s="31"/>
      <c r="B124" s="31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>
      <c r="A125" s="31"/>
      <c r="B125" s="31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>
      <c r="A126" s="31"/>
      <c r="B126" s="31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>
      <c r="A127" s="31"/>
      <c r="B127" s="31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>
      <c r="A128" s="31"/>
      <c r="B128" s="31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>
      <c r="A129" s="31"/>
      <c r="B129" s="31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>
      <c r="A130" s="31"/>
      <c r="B130" s="31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>
      <c r="A131" s="31"/>
      <c r="B131" s="31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>
      <c r="A132" s="31"/>
      <c r="B132" s="31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>
      <c r="A133" s="31"/>
      <c r="B133" s="31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>
      <c r="A134" s="31"/>
      <c r="B134" s="31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>
      <c r="A135" s="31"/>
      <c r="B135" s="31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>
      <c r="A136" s="31"/>
      <c r="B136" s="31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>
      <c r="A137" s="31"/>
      <c r="B137" s="31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>
      <c r="A138" s="31"/>
      <c r="B138" s="31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>
      <c r="A139" s="31"/>
      <c r="B139" s="31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>
      <c r="A140" s="31"/>
      <c r="B140" s="31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>
      <c r="A141" s="31"/>
      <c r="B141" s="31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2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>
      <c r="A142" s="31"/>
      <c r="B142" s="31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2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>
      <c r="A143" s="31"/>
      <c r="B143" s="31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2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>
      <c r="A144" s="31"/>
      <c r="B144" s="31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2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>
      <c r="A145" s="31"/>
      <c r="B145" s="31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2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>
      <c r="A146" s="31"/>
      <c r="B146" s="31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2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>
      <c r="A147" s="31"/>
      <c r="B147" s="31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2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>
      <c r="A148" s="31"/>
      <c r="B148" s="31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2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</row>
    <row r="149" spans="1:33" ht="15.75" customHeight="1">
      <c r="A149" s="14"/>
      <c r="B149" s="14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>
      <c r="A150" s="14"/>
      <c r="B150" s="14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>
      <c r="A151" s="14"/>
      <c r="B151" s="14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>
      <c r="A152" s="14"/>
      <c r="B152" s="14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>
      <c r="A153" s="14"/>
      <c r="B153" s="14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>
      <c r="A154" s="14"/>
      <c r="B154" s="14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>
      <c r="A155" s="14"/>
      <c r="B155" s="14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>
      <c r="A156" s="14"/>
      <c r="B156" s="14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>
      <c r="A157" s="14"/>
      <c r="B157" s="14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>
      <c r="A158" s="14"/>
      <c r="B158" s="14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>
      <c r="A159" s="14"/>
      <c r="B159" s="14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>
      <c r="A160" s="14"/>
      <c r="B160" s="14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>
      <c r="A161" s="14"/>
      <c r="B161" s="14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>
      <c r="A162" s="14"/>
      <c r="B162" s="14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>
      <c r="A163" s="14"/>
      <c r="B163" s="14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>
      <c r="A164" s="14"/>
      <c r="B164" s="14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>
      <c r="A165" s="14"/>
      <c r="B165" s="14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>
      <c r="A166" s="14"/>
      <c r="B166" s="14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>
      <c r="A167" s="14"/>
      <c r="B167" s="14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>
      <c r="A168" s="14"/>
      <c r="B168" s="14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>
      <c r="A169" s="14"/>
      <c r="B169" s="14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>
      <c r="A170" s="14"/>
      <c r="B170" s="14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>
      <c r="A171" s="14"/>
      <c r="B171" s="14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>
      <c r="A172" s="14"/>
      <c r="B172" s="14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>
      <c r="A173" s="14"/>
      <c r="B173" s="14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>
      <c r="A174" s="14"/>
      <c r="B174" s="14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>
      <c r="A175" s="14"/>
      <c r="B175" s="14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>
      <c r="A176" s="14"/>
      <c r="B176" s="14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>
      <c r="A177" s="14"/>
      <c r="B177" s="14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>
      <c r="A178" s="14"/>
      <c r="B178" s="14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>
      <c r="A179" s="14"/>
      <c r="B179" s="14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>
      <c r="A180" s="14"/>
      <c r="B180" s="14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>
      <c r="A181" s="14"/>
      <c r="B181" s="14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>
      <c r="A182" s="14"/>
      <c r="B182" s="14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>
      <c r="A183" s="14"/>
      <c r="B183" s="14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>
      <c r="A184" s="14"/>
      <c r="B184" s="14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>
      <c r="A185" s="14"/>
      <c r="B185" s="14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>
      <c r="A186" s="14"/>
      <c r="B186" s="14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>
      <c r="A187" s="14"/>
      <c r="B187" s="14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>
      <c r="A188" s="14"/>
      <c r="B188" s="14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>
      <c r="A189" s="14"/>
      <c r="B189" s="14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>
      <c r="A190" s="14"/>
      <c r="B190" s="14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>
      <c r="A191" s="14"/>
      <c r="B191" s="14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>
      <c r="A192" s="14"/>
      <c r="B192" s="14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>
      <c r="A193" s="14"/>
      <c r="B193" s="14"/>
      <c r="C193" s="39"/>
      <c r="D193" s="39"/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>
      <c r="A194" s="14"/>
      <c r="B194" s="14"/>
      <c r="C194" s="39"/>
      <c r="D194" s="39"/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>
      <c r="A195" s="14"/>
      <c r="B195" s="14"/>
      <c r="C195" s="39"/>
      <c r="D195" s="39"/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>
      <c r="A196" s="14"/>
      <c r="B196" s="14"/>
      <c r="C196" s="39"/>
      <c r="D196" s="39"/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>
      <c r="A197" s="14"/>
      <c r="B197" s="14"/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>
      <c r="A198" s="14"/>
      <c r="B198" s="14"/>
      <c r="C198" s="39"/>
      <c r="D198" s="39"/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>
      <c r="A199" s="14"/>
      <c r="B199" s="14"/>
      <c r="C199" s="39"/>
      <c r="D199" s="39"/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>
      <c r="A200" s="14"/>
      <c r="B200" s="14"/>
      <c r="C200" s="39"/>
      <c r="D200" s="39"/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>
      <c r="A201" s="14"/>
      <c r="B201" s="14"/>
      <c r="C201" s="39"/>
      <c r="D201" s="39"/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>
      <c r="A202" s="14"/>
      <c r="B202" s="14"/>
      <c r="C202" s="39"/>
      <c r="D202" s="39"/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>
      <c r="A203" s="14"/>
      <c r="B203" s="14"/>
      <c r="C203" s="39"/>
      <c r="D203" s="39"/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>
      <c r="A204" s="14"/>
      <c r="B204" s="14"/>
      <c r="C204" s="39"/>
      <c r="D204" s="39"/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>
      <c r="A205" s="14"/>
      <c r="B205" s="14"/>
      <c r="C205" s="39"/>
      <c r="D205" s="39"/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>
      <c r="A206" s="14"/>
      <c r="B206" s="14"/>
      <c r="C206" s="39"/>
      <c r="D206" s="39"/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>
      <c r="A207" s="14"/>
      <c r="B207" s="14"/>
      <c r="C207" s="39"/>
      <c r="D207" s="39"/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>
      <c r="A208" s="14"/>
      <c r="B208" s="14"/>
      <c r="C208" s="39"/>
      <c r="D208" s="39"/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>
      <c r="A209" s="14"/>
      <c r="B209" s="14"/>
      <c r="C209" s="39"/>
      <c r="D209" s="39"/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>
      <c r="A210" s="14"/>
      <c r="B210" s="14"/>
      <c r="C210" s="39"/>
      <c r="D210" s="39"/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>
      <c r="A211" s="14"/>
      <c r="B211" s="14"/>
      <c r="C211" s="39"/>
      <c r="D211" s="39"/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>
      <c r="A212" s="14"/>
      <c r="B212" s="14"/>
      <c r="C212" s="39"/>
      <c r="D212" s="39"/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>
      <c r="A213" s="14"/>
      <c r="B213" s="14"/>
      <c r="C213" s="39"/>
      <c r="D213" s="39"/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>
      <c r="A214" s="14"/>
      <c r="B214" s="14"/>
      <c r="C214" s="39"/>
      <c r="D214" s="39"/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>
      <c r="A215" s="14"/>
      <c r="B215" s="14"/>
      <c r="C215" s="39"/>
      <c r="D215" s="39"/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>
      <c r="A216" s="14"/>
      <c r="B216" s="14"/>
      <c r="C216" s="39"/>
      <c r="D216" s="39"/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>
      <c r="A217" s="14"/>
      <c r="B217" s="14"/>
      <c r="C217" s="39"/>
      <c r="D217" s="39"/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>
      <c r="A218" s="14"/>
      <c r="B218" s="14"/>
      <c r="C218" s="39"/>
      <c r="D218" s="39"/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>
      <c r="A219" s="14"/>
      <c r="B219" s="14"/>
      <c r="C219" s="39"/>
      <c r="D219" s="39"/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>
      <c r="A220" s="14"/>
      <c r="B220" s="14"/>
      <c r="C220" s="39"/>
      <c r="D220" s="39"/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>
      <c r="R221" s="30"/>
      <c r="S221" s="40"/>
    </row>
    <row r="222" spans="1:33" ht="15.75" customHeight="1">
      <c r="R222" s="30"/>
      <c r="S222" s="40"/>
    </row>
    <row r="223" spans="1:33" ht="15.75" customHeight="1">
      <c r="R223" s="30"/>
      <c r="S223" s="40"/>
    </row>
    <row r="224" spans="1:33" ht="15.75" customHeight="1">
      <c r="R224" s="30"/>
      <c r="S224" s="40"/>
    </row>
    <row r="225" spans="18:18" ht="15.75" customHeight="1">
      <c r="R225" s="30"/>
    </row>
    <row r="226" spans="18:18" ht="15.75" customHeight="1">
      <c r="R226" s="30"/>
    </row>
    <row r="227" spans="18:18" ht="15.75" customHeight="1">
      <c r="R227" s="30"/>
    </row>
    <row r="228" spans="18:18" ht="15.75" customHeight="1">
      <c r="R228" s="30"/>
    </row>
    <row r="229" spans="18:18" ht="15.75" customHeight="1">
      <c r="R229" s="30"/>
    </row>
    <row r="230" spans="18:18" ht="15.75" customHeight="1">
      <c r="R230" s="30"/>
    </row>
    <row r="231" spans="18:18" ht="15.75" customHeight="1">
      <c r="R231" s="30"/>
    </row>
    <row r="232" spans="18:18" ht="15.75" customHeight="1">
      <c r="R232" s="30"/>
    </row>
    <row r="233" spans="18:18" ht="15.75" customHeight="1">
      <c r="R233" s="30"/>
    </row>
    <row r="234" spans="18:18" ht="15.75" customHeight="1">
      <c r="R234" s="30"/>
    </row>
    <row r="235" spans="18:18" ht="15.75" customHeight="1">
      <c r="R235" s="30"/>
    </row>
    <row r="236" spans="18:18" ht="15.75" customHeight="1">
      <c r="R236" s="30"/>
    </row>
    <row r="237" spans="18:18" ht="15.75" customHeight="1">
      <c r="R237" s="30"/>
    </row>
    <row r="238" spans="18:18" ht="15.75" customHeight="1">
      <c r="R238" s="30"/>
    </row>
    <row r="239" spans="18:18" ht="15.75" customHeight="1">
      <c r="R239" s="30"/>
    </row>
    <row r="240" spans="18:18" ht="15.75" customHeight="1">
      <c r="R240" s="30"/>
    </row>
    <row r="241" spans="18:18" ht="15.75" customHeight="1">
      <c r="R241" s="30"/>
    </row>
    <row r="242" spans="18:18" ht="15.75" customHeight="1">
      <c r="R242" s="30"/>
    </row>
    <row r="243" spans="18:18" ht="15.75" customHeight="1">
      <c r="R243" s="30"/>
    </row>
    <row r="244" spans="18:18" ht="15.75" customHeight="1">
      <c r="R244" s="30"/>
    </row>
    <row r="245" spans="18:18" ht="15.75" customHeight="1">
      <c r="R245" s="30"/>
    </row>
    <row r="246" spans="18:18" ht="15.75" customHeight="1">
      <c r="R246" s="30"/>
    </row>
    <row r="247" spans="18:18" ht="15.75" customHeight="1">
      <c r="R247" s="30"/>
    </row>
    <row r="248" spans="18:18" ht="15.75" customHeight="1">
      <c r="R248" s="30"/>
    </row>
    <row r="249" spans="18:18" ht="15.75" customHeight="1">
      <c r="R249" s="30"/>
    </row>
    <row r="250" spans="18:18" ht="15.75" customHeight="1">
      <c r="R250" s="30"/>
    </row>
    <row r="251" spans="18:18" ht="15.75" customHeight="1">
      <c r="R251" s="30"/>
    </row>
    <row r="252" spans="18:18" ht="15.75" customHeight="1">
      <c r="R252" s="30"/>
    </row>
    <row r="253" spans="18:18" ht="15.75" customHeight="1">
      <c r="R253" s="30"/>
    </row>
    <row r="254" spans="18:18" ht="15.75" customHeight="1">
      <c r="R254" s="30"/>
    </row>
    <row r="255" spans="18:18" ht="15.75" customHeight="1">
      <c r="R255" s="30"/>
    </row>
    <row r="256" spans="18:18" ht="15.75" customHeight="1">
      <c r="R256" s="30"/>
    </row>
    <row r="257" spans="18:18" ht="15.75" customHeight="1">
      <c r="R257" s="30"/>
    </row>
    <row r="258" spans="18:18" ht="15.75" customHeight="1">
      <c r="R258" s="30"/>
    </row>
    <row r="259" spans="18:18" ht="15.75" customHeight="1">
      <c r="R259" s="30"/>
    </row>
    <row r="260" spans="18:18" ht="15.75" customHeight="1">
      <c r="R260" s="30"/>
    </row>
    <row r="261" spans="18:18" ht="15.75" customHeight="1">
      <c r="R261" s="30"/>
    </row>
    <row r="262" spans="18:18" ht="15.75" customHeight="1">
      <c r="R262" s="30"/>
    </row>
    <row r="263" spans="18:18" ht="15.75" customHeight="1">
      <c r="R263" s="30"/>
    </row>
    <row r="264" spans="18:18" ht="15.75" customHeight="1">
      <c r="R264" s="30"/>
    </row>
    <row r="265" spans="18:18" ht="15.75" customHeight="1">
      <c r="R265" s="30"/>
    </row>
    <row r="266" spans="18:18" ht="15.75" customHeight="1">
      <c r="R266" s="30"/>
    </row>
    <row r="267" spans="18:18" ht="15.75" customHeight="1">
      <c r="R267" s="30"/>
    </row>
    <row r="268" spans="18:18" ht="15.75" customHeight="1">
      <c r="R268" s="30"/>
    </row>
    <row r="269" spans="18:18" ht="15.75" customHeight="1">
      <c r="R269" s="30"/>
    </row>
    <row r="270" spans="18:18" ht="15.75" customHeight="1">
      <c r="R270" s="30"/>
    </row>
    <row r="271" spans="18:18" ht="15.75" customHeight="1">
      <c r="R271" s="30"/>
    </row>
    <row r="272" spans="18:18" ht="15.75" customHeight="1">
      <c r="R272" s="30"/>
    </row>
    <row r="273" spans="18:18" ht="15.75" customHeight="1">
      <c r="R273" s="30"/>
    </row>
    <row r="274" spans="18:18" ht="15.75" customHeight="1">
      <c r="R274" s="30"/>
    </row>
    <row r="275" spans="18:18" ht="15.75" customHeight="1">
      <c r="R275" s="30"/>
    </row>
    <row r="276" spans="18:18" ht="15.75" customHeight="1">
      <c r="R276" s="30"/>
    </row>
    <row r="277" spans="18:18" ht="15.75" customHeight="1">
      <c r="R277" s="30"/>
    </row>
    <row r="278" spans="18:18" ht="15.75" customHeight="1">
      <c r="R278" s="30"/>
    </row>
    <row r="279" spans="18:18" ht="15.75" customHeight="1">
      <c r="R279" s="30"/>
    </row>
    <row r="280" spans="18:18" ht="15.75" customHeight="1">
      <c r="R280" s="30"/>
    </row>
    <row r="281" spans="18:18" ht="15.75" customHeight="1">
      <c r="R281" s="30"/>
    </row>
    <row r="282" spans="18:18" ht="15.75" customHeight="1">
      <c r="R282" s="30"/>
    </row>
    <row r="283" spans="18:18" ht="15.75" customHeight="1">
      <c r="R283" s="30"/>
    </row>
    <row r="284" spans="18:18" ht="15.75" customHeight="1">
      <c r="R284" s="30"/>
    </row>
    <row r="285" spans="18:18" ht="15.75" customHeight="1">
      <c r="R285" s="30"/>
    </row>
    <row r="286" spans="18:18" ht="15.75" customHeight="1">
      <c r="R286" s="30"/>
    </row>
    <row r="287" spans="18:18" ht="15.75" customHeight="1">
      <c r="R287" s="30"/>
    </row>
    <row r="288" spans="18:18" ht="15.75" customHeight="1">
      <c r="R288" s="30"/>
    </row>
    <row r="289" spans="18:18" ht="15.75" customHeight="1">
      <c r="R289" s="30"/>
    </row>
    <row r="290" spans="18:18" ht="15.75" customHeight="1">
      <c r="R290" s="30"/>
    </row>
    <row r="291" spans="18:18" ht="15.75" customHeight="1">
      <c r="R291" s="30"/>
    </row>
    <row r="292" spans="18:18" ht="15.75" customHeight="1">
      <c r="R292" s="30"/>
    </row>
    <row r="293" spans="18:18" ht="15.75" customHeight="1">
      <c r="R293" s="30"/>
    </row>
    <row r="294" spans="18:18" ht="15.75" customHeight="1">
      <c r="R294" s="30"/>
    </row>
    <row r="295" spans="18:18" ht="15.75" customHeight="1">
      <c r="R295" s="30"/>
    </row>
    <row r="296" spans="18:18" ht="15.75" customHeight="1">
      <c r="R296" s="30"/>
    </row>
    <row r="297" spans="18:18" ht="15.75" customHeight="1">
      <c r="R297" s="30"/>
    </row>
    <row r="298" spans="18:18" ht="15.75" customHeight="1">
      <c r="R298" s="30"/>
    </row>
    <row r="299" spans="18:18" ht="15.75" customHeight="1">
      <c r="R299" s="30"/>
    </row>
    <row r="300" spans="18:18" ht="15.75" customHeight="1">
      <c r="R300" s="30"/>
    </row>
    <row r="301" spans="18:18" ht="15.75" customHeight="1">
      <c r="R301" s="30"/>
    </row>
    <row r="302" spans="18:18" ht="15.75" customHeight="1">
      <c r="R302" s="30"/>
    </row>
    <row r="303" spans="18:18" ht="15.75" customHeight="1">
      <c r="R303" s="30"/>
    </row>
    <row r="304" spans="18:18" ht="15.75" customHeight="1">
      <c r="R304" s="30"/>
    </row>
    <row r="305" spans="18:18" ht="15.75" customHeight="1">
      <c r="R305" s="30"/>
    </row>
    <row r="306" spans="18:18" ht="15.75" customHeight="1">
      <c r="R306" s="30"/>
    </row>
    <row r="307" spans="18:18" ht="15.75" customHeight="1">
      <c r="R307" s="30"/>
    </row>
    <row r="308" spans="18:18" ht="15.75" customHeight="1">
      <c r="R308" s="30"/>
    </row>
    <row r="309" spans="18:18" ht="15.75" customHeight="1">
      <c r="R309" s="30"/>
    </row>
    <row r="310" spans="18:18" ht="15.75" customHeight="1">
      <c r="R310" s="30"/>
    </row>
    <row r="311" spans="18:18" ht="15.75" customHeight="1">
      <c r="R311" s="30"/>
    </row>
    <row r="312" spans="18:18" ht="15.75" customHeight="1">
      <c r="R312" s="30"/>
    </row>
    <row r="313" spans="18:18" ht="15.75" customHeight="1">
      <c r="R313" s="30"/>
    </row>
    <row r="314" spans="18:18" ht="15.75" customHeight="1">
      <c r="R314" s="30"/>
    </row>
    <row r="315" spans="18:18" ht="15.75" customHeight="1">
      <c r="R315" s="30"/>
    </row>
    <row r="316" spans="18:18" ht="15.75" customHeight="1">
      <c r="R316" s="30"/>
    </row>
    <row r="317" spans="18:18" ht="15.75" customHeight="1">
      <c r="R317" s="30"/>
    </row>
    <row r="318" spans="18:18" ht="15.75" customHeight="1">
      <c r="R318" s="30"/>
    </row>
    <row r="319" spans="18:18" ht="15.75" customHeight="1">
      <c r="R319" s="30"/>
    </row>
    <row r="320" spans="18:18" ht="15.75" customHeight="1">
      <c r="R320" s="30"/>
    </row>
    <row r="321" spans="18:18" ht="15.75" customHeight="1">
      <c r="R321" s="30"/>
    </row>
    <row r="322" spans="18:18" ht="15.75" customHeight="1">
      <c r="R322" s="30"/>
    </row>
    <row r="323" spans="18:18" ht="15.75" customHeight="1">
      <c r="R323" s="30"/>
    </row>
    <row r="324" spans="18:18" ht="15.75" customHeight="1">
      <c r="R324" s="30"/>
    </row>
    <row r="325" spans="18:18" ht="15.75" customHeight="1">
      <c r="R325" s="30"/>
    </row>
    <row r="326" spans="18:18" ht="15.75" customHeight="1">
      <c r="R326" s="30"/>
    </row>
    <row r="327" spans="18:18" ht="15.75" customHeight="1">
      <c r="R327" s="30"/>
    </row>
    <row r="328" spans="18:18" ht="15.75" customHeight="1">
      <c r="R328" s="30"/>
    </row>
    <row r="329" spans="18:18" ht="15.75" customHeight="1">
      <c r="R329" s="30"/>
    </row>
    <row r="330" spans="18:18" ht="15.75" customHeight="1">
      <c r="R330" s="30"/>
    </row>
    <row r="331" spans="18:18" ht="15.75" customHeight="1">
      <c r="R331" s="30"/>
    </row>
    <row r="332" spans="18:18" ht="15.75" customHeight="1">
      <c r="R332" s="30"/>
    </row>
    <row r="333" spans="18:18" ht="15.75" customHeight="1">
      <c r="R333" s="30"/>
    </row>
    <row r="334" spans="18:18" ht="15.75" customHeight="1">
      <c r="R334" s="30"/>
    </row>
    <row r="335" spans="18:18" ht="15.75" customHeight="1">
      <c r="R335" s="30"/>
    </row>
    <row r="336" spans="18:18" ht="15.75" customHeight="1">
      <c r="R336" s="30"/>
    </row>
    <row r="337" spans="18:18" ht="15.75" customHeight="1">
      <c r="R337" s="30"/>
    </row>
    <row r="338" spans="18:18" ht="15.75" customHeight="1">
      <c r="R338" s="30"/>
    </row>
    <row r="339" spans="18:18" ht="15.75" customHeight="1">
      <c r="R339" s="30"/>
    </row>
    <row r="340" spans="18:18" ht="15.75" customHeight="1">
      <c r="R340" s="30"/>
    </row>
    <row r="341" spans="18:18" ht="15.75" customHeight="1">
      <c r="R341" s="30"/>
    </row>
    <row r="342" spans="18:18" ht="15.75" customHeight="1">
      <c r="R342" s="30"/>
    </row>
    <row r="343" spans="18:18" ht="15.75" customHeight="1">
      <c r="R343" s="30"/>
    </row>
    <row r="344" spans="18:18" ht="15.75" customHeight="1">
      <c r="R344" s="30"/>
    </row>
    <row r="345" spans="18:18" ht="15.75" customHeight="1">
      <c r="R345" s="30"/>
    </row>
    <row r="346" spans="18:18" ht="15.75" customHeight="1">
      <c r="R346" s="30"/>
    </row>
    <row r="347" spans="18:18" ht="15.75" customHeight="1">
      <c r="R347" s="30"/>
    </row>
    <row r="348" spans="18:18" ht="15.75" customHeight="1">
      <c r="R348" s="30"/>
    </row>
    <row r="349" spans="18:18" ht="15.75" customHeight="1">
      <c r="R349" s="30"/>
    </row>
    <row r="350" spans="18:18" ht="15.75" customHeight="1">
      <c r="R350" s="30"/>
    </row>
    <row r="351" spans="18:18" ht="15.75" customHeight="1">
      <c r="R351" s="30"/>
    </row>
    <row r="352" spans="18:18" ht="15.75" customHeight="1">
      <c r="R352" s="30"/>
    </row>
    <row r="353" spans="18:18" ht="15.75" customHeight="1">
      <c r="R353" s="30"/>
    </row>
    <row r="354" spans="18:18" ht="15.75" customHeight="1">
      <c r="R354" s="30"/>
    </row>
    <row r="355" spans="18:18" ht="15.75" customHeight="1">
      <c r="R355" s="30"/>
    </row>
    <row r="356" spans="18:18" ht="15.75" customHeight="1">
      <c r="R356" s="30"/>
    </row>
    <row r="357" spans="18:18" ht="15.75" customHeight="1">
      <c r="R357" s="30"/>
    </row>
    <row r="358" spans="18:18" ht="15.75" customHeight="1">
      <c r="R358" s="30"/>
    </row>
    <row r="359" spans="18:18" ht="15.75" customHeight="1">
      <c r="R359" s="30"/>
    </row>
    <row r="360" spans="18:18" ht="15.75" customHeight="1">
      <c r="R360" s="30"/>
    </row>
    <row r="361" spans="18:18" ht="15.75" customHeight="1">
      <c r="R361" s="30"/>
    </row>
    <row r="362" spans="18:18" ht="15.75" customHeight="1">
      <c r="R362" s="30"/>
    </row>
    <row r="363" spans="18:18" ht="15.75" customHeight="1">
      <c r="R363" s="30"/>
    </row>
    <row r="364" spans="18:18" ht="15.75" customHeight="1">
      <c r="R364" s="30"/>
    </row>
    <row r="365" spans="18:18" ht="15.75" customHeight="1">
      <c r="R365" s="30"/>
    </row>
    <row r="366" spans="18:18" ht="15.75" customHeight="1">
      <c r="R366" s="30"/>
    </row>
    <row r="367" spans="18:18" ht="15.75" customHeight="1">
      <c r="R367" s="30"/>
    </row>
    <row r="368" spans="18:18" ht="15.75" customHeight="1">
      <c r="R368" s="30"/>
    </row>
    <row r="369" spans="18:18" ht="15.75" customHeight="1">
      <c r="R369" s="30"/>
    </row>
    <row r="370" spans="18:18" ht="15.75" customHeight="1">
      <c r="R370" s="30"/>
    </row>
    <row r="371" spans="18:18" ht="15.75" customHeight="1">
      <c r="R371" s="30"/>
    </row>
    <row r="372" spans="18:18" ht="15.75" customHeight="1">
      <c r="R372" s="30"/>
    </row>
    <row r="373" spans="18:18" ht="15.75" customHeight="1">
      <c r="R373" s="30"/>
    </row>
    <row r="374" spans="18:18" ht="15.75" customHeight="1">
      <c r="R374" s="30"/>
    </row>
    <row r="375" spans="18:18" ht="15.75" customHeight="1">
      <c r="R375" s="30"/>
    </row>
    <row r="376" spans="18:18" ht="15.75" customHeight="1">
      <c r="R376" s="30"/>
    </row>
    <row r="377" spans="18:18" ht="15.75" customHeight="1">
      <c r="R377" s="30"/>
    </row>
    <row r="378" spans="18:18" ht="15.75" customHeight="1">
      <c r="R378" s="30"/>
    </row>
    <row r="379" spans="18:18" ht="15.75" customHeight="1">
      <c r="R379" s="30"/>
    </row>
    <row r="380" spans="18:18" ht="15.75" customHeight="1">
      <c r="R380" s="30"/>
    </row>
    <row r="381" spans="18:18" ht="15.75" customHeight="1">
      <c r="R381" s="30"/>
    </row>
    <row r="382" spans="18:18" ht="15.75" customHeight="1">
      <c r="R382" s="30"/>
    </row>
    <row r="383" spans="18:18" ht="15.75" customHeight="1">
      <c r="R383" s="30"/>
    </row>
    <row r="384" spans="18:18" ht="15.75" customHeight="1">
      <c r="R384" s="30"/>
    </row>
    <row r="385" spans="18:18" ht="15.75" customHeight="1">
      <c r="R385" s="30"/>
    </row>
    <row r="386" spans="18:18" ht="15.75" customHeight="1">
      <c r="R386" s="30"/>
    </row>
    <row r="387" spans="18:18" ht="15.75" customHeight="1">
      <c r="R387" s="30"/>
    </row>
    <row r="388" spans="18:18" ht="15.75" customHeight="1">
      <c r="R388" s="30"/>
    </row>
    <row r="389" spans="18:18" ht="15.75" customHeight="1">
      <c r="R389" s="30"/>
    </row>
    <row r="390" spans="18:18" ht="15.75" customHeight="1">
      <c r="R390" s="30"/>
    </row>
    <row r="391" spans="18:18" ht="15.75" customHeight="1">
      <c r="R391" s="30"/>
    </row>
    <row r="392" spans="18:18" ht="15.75" customHeight="1">
      <c r="R392" s="30"/>
    </row>
    <row r="393" spans="18:18" ht="15.75" customHeight="1">
      <c r="R393" s="30"/>
    </row>
    <row r="394" spans="18:18" ht="15.75" customHeight="1">
      <c r="R394" s="30"/>
    </row>
    <row r="395" spans="18:18" ht="15.75" customHeight="1">
      <c r="R395" s="30"/>
    </row>
    <row r="396" spans="18:18" ht="15.75" customHeight="1">
      <c r="R396" s="30"/>
    </row>
    <row r="397" spans="18:18" ht="15.75" customHeight="1">
      <c r="R397" s="30"/>
    </row>
    <row r="398" spans="18:18" ht="15.75" customHeight="1">
      <c r="R398" s="30"/>
    </row>
    <row r="399" spans="18:18" ht="15.75" customHeight="1">
      <c r="R399" s="30"/>
    </row>
    <row r="400" spans="18:18" ht="15.75" customHeight="1">
      <c r="R400" s="30"/>
    </row>
    <row r="401" spans="18:18" ht="15.75" customHeight="1">
      <c r="R401" s="30"/>
    </row>
    <row r="402" spans="18:18" ht="15.75" customHeight="1">
      <c r="R402" s="30"/>
    </row>
    <row r="403" spans="18:18" ht="15.75" customHeight="1">
      <c r="R403" s="30"/>
    </row>
    <row r="404" spans="18:18" ht="15.75" customHeight="1">
      <c r="R404" s="30"/>
    </row>
    <row r="405" spans="18:18" ht="15.75" customHeight="1">
      <c r="R405" s="30"/>
    </row>
    <row r="406" spans="18:18" ht="15.75" customHeight="1">
      <c r="R406" s="30"/>
    </row>
    <row r="407" spans="18:18" ht="15.75" customHeight="1">
      <c r="R407" s="30"/>
    </row>
    <row r="408" spans="18:18" ht="15.75" customHeight="1">
      <c r="R408" s="30"/>
    </row>
    <row r="409" spans="18:18" ht="15.75" customHeight="1">
      <c r="R409" s="30"/>
    </row>
    <row r="410" spans="18:18" ht="15.75" customHeight="1">
      <c r="R410" s="30"/>
    </row>
    <row r="411" spans="18:18" ht="15.75" customHeight="1">
      <c r="R411" s="30"/>
    </row>
    <row r="412" spans="18:18" ht="15.75" customHeight="1">
      <c r="R412" s="30"/>
    </row>
    <row r="413" spans="18:18" ht="15.75" customHeight="1">
      <c r="R413" s="30"/>
    </row>
    <row r="414" spans="18:18" ht="15.75" customHeight="1">
      <c r="R414" s="30"/>
    </row>
    <row r="415" spans="18:18" ht="15.75" customHeight="1">
      <c r="R415" s="30"/>
    </row>
    <row r="416" spans="18:18" ht="15.75" customHeight="1">
      <c r="R416" s="30"/>
    </row>
    <row r="417" spans="18:18" ht="15.75" customHeight="1">
      <c r="R417" s="30"/>
    </row>
    <row r="418" spans="18:18" ht="15.75" customHeight="1">
      <c r="R418" s="30"/>
    </row>
    <row r="419" spans="18:18" ht="15.75" customHeight="1">
      <c r="R419" s="30"/>
    </row>
    <row r="420" spans="18:18" ht="15.75" customHeight="1">
      <c r="R420" s="30"/>
    </row>
    <row r="421" spans="18:18" ht="15.75" customHeight="1">
      <c r="R421" s="30"/>
    </row>
    <row r="422" spans="18:18" ht="15.75" customHeight="1">
      <c r="R422" s="30"/>
    </row>
    <row r="423" spans="18:18" ht="15.75" customHeight="1">
      <c r="R423" s="30"/>
    </row>
    <row r="424" spans="18:18" ht="15.75" customHeight="1">
      <c r="R424" s="30"/>
    </row>
    <row r="425" spans="18:18" ht="15.75" customHeight="1">
      <c r="R425" s="30"/>
    </row>
    <row r="426" spans="18:18" ht="15.75" customHeight="1">
      <c r="R426" s="30"/>
    </row>
    <row r="427" spans="18:18" ht="15.75" customHeight="1">
      <c r="R427" s="30"/>
    </row>
    <row r="428" spans="18:18" ht="15.75" customHeight="1">
      <c r="R428" s="30"/>
    </row>
    <row r="429" spans="18:18" ht="15.75" customHeight="1">
      <c r="R429" s="30"/>
    </row>
    <row r="430" spans="18:18" ht="15.75" customHeight="1">
      <c r="R430" s="30"/>
    </row>
    <row r="431" spans="18:18" ht="15.75" customHeight="1">
      <c r="R431" s="30"/>
    </row>
    <row r="432" spans="18:18" ht="15.75" customHeight="1">
      <c r="R432" s="30"/>
    </row>
    <row r="433" spans="18:18" ht="15.75" customHeight="1">
      <c r="R433" s="30"/>
    </row>
    <row r="434" spans="18:18" ht="15.75" customHeight="1">
      <c r="R434" s="30"/>
    </row>
    <row r="435" spans="18:18" ht="15.75" customHeight="1">
      <c r="R435" s="30"/>
    </row>
    <row r="436" spans="18:18" ht="15.75" customHeight="1">
      <c r="R436" s="30"/>
    </row>
    <row r="437" spans="18:18" ht="15.75" customHeight="1">
      <c r="R437" s="30"/>
    </row>
    <row r="438" spans="18:18" ht="15.75" customHeight="1">
      <c r="R438" s="30"/>
    </row>
    <row r="439" spans="18:18" ht="15.75" customHeight="1">
      <c r="R439" s="30"/>
    </row>
    <row r="440" spans="18:18" ht="15.75" customHeight="1">
      <c r="R440" s="30"/>
    </row>
    <row r="441" spans="18:18" ht="15.75" customHeight="1">
      <c r="R441" s="30"/>
    </row>
    <row r="442" spans="18:18" ht="15.75" customHeight="1">
      <c r="R442" s="30"/>
    </row>
    <row r="443" spans="18:18" ht="15.75" customHeight="1">
      <c r="R443" s="30"/>
    </row>
    <row r="444" spans="18:18" ht="15.75" customHeight="1">
      <c r="R444" s="30"/>
    </row>
    <row r="445" spans="18:18" ht="15.75" customHeight="1">
      <c r="R445" s="30"/>
    </row>
    <row r="446" spans="18:18" ht="15.75" customHeight="1">
      <c r="R446" s="30"/>
    </row>
    <row r="447" spans="18:18" ht="15.75" customHeight="1">
      <c r="R447" s="30"/>
    </row>
    <row r="448" spans="18:18" ht="15.75" customHeight="1">
      <c r="R448" s="30"/>
    </row>
    <row r="449" spans="18:18" ht="15.75" customHeight="1">
      <c r="R449" s="30"/>
    </row>
    <row r="450" spans="18:18" ht="15.75" customHeight="1">
      <c r="R450" s="30"/>
    </row>
    <row r="451" spans="18:18" ht="15.75" customHeight="1">
      <c r="R451" s="30"/>
    </row>
    <row r="452" spans="18:18" ht="15.75" customHeight="1">
      <c r="R452" s="30"/>
    </row>
    <row r="453" spans="18:18" ht="15.75" customHeight="1">
      <c r="R453" s="30"/>
    </row>
    <row r="454" spans="18:18" ht="15.75" customHeight="1">
      <c r="R454" s="30"/>
    </row>
    <row r="455" spans="18:18" ht="15.75" customHeight="1">
      <c r="R455" s="30"/>
    </row>
    <row r="456" spans="18:18" ht="15.75" customHeight="1">
      <c r="R456" s="30"/>
    </row>
    <row r="457" spans="18:18" ht="15.75" customHeight="1">
      <c r="R457" s="30"/>
    </row>
    <row r="458" spans="18:18" ht="15.75" customHeight="1">
      <c r="R458" s="30"/>
    </row>
    <row r="459" spans="18:18" ht="15.75" customHeight="1">
      <c r="R459" s="30"/>
    </row>
    <row r="460" spans="18:18" ht="15.75" customHeight="1">
      <c r="R460" s="30"/>
    </row>
    <row r="461" spans="18:18" ht="15.75" customHeight="1">
      <c r="R461" s="30"/>
    </row>
    <row r="462" spans="18:18" ht="15.75" customHeight="1">
      <c r="R462" s="30"/>
    </row>
    <row r="463" spans="18:18" ht="15.75" customHeight="1">
      <c r="R463" s="30"/>
    </row>
    <row r="464" spans="18:18" ht="15.75" customHeight="1">
      <c r="R464" s="30"/>
    </row>
    <row r="465" spans="18:18" ht="15.75" customHeight="1">
      <c r="R465" s="30"/>
    </row>
    <row r="466" spans="18:18" ht="15.75" customHeight="1">
      <c r="R466" s="30"/>
    </row>
    <row r="467" spans="18:18" ht="15.75" customHeight="1">
      <c r="R467" s="30"/>
    </row>
    <row r="468" spans="18:18" ht="15.75" customHeight="1">
      <c r="R468" s="30"/>
    </row>
    <row r="469" spans="18:18" ht="15.75" customHeight="1">
      <c r="R469" s="30"/>
    </row>
    <row r="470" spans="18:18" ht="15.75" customHeight="1">
      <c r="R470" s="30"/>
    </row>
    <row r="471" spans="18:18" ht="15.75" customHeight="1">
      <c r="R471" s="30"/>
    </row>
    <row r="472" spans="18:18" ht="15.75" customHeight="1">
      <c r="R472" s="30"/>
    </row>
    <row r="473" spans="18:18" ht="15.75" customHeight="1">
      <c r="R473" s="30"/>
    </row>
    <row r="474" spans="18:18" ht="15.75" customHeight="1">
      <c r="R474" s="30"/>
    </row>
    <row r="475" spans="18:18" ht="15.75" customHeight="1">
      <c r="R475" s="30"/>
    </row>
    <row r="476" spans="18:18" ht="15.75" customHeight="1">
      <c r="R476" s="30"/>
    </row>
    <row r="477" spans="18:18" ht="15.75" customHeight="1">
      <c r="R477" s="30"/>
    </row>
    <row r="478" spans="18:18" ht="15.75" customHeight="1">
      <c r="R478" s="30"/>
    </row>
    <row r="479" spans="18:18" ht="15.75" customHeight="1">
      <c r="R479" s="30"/>
    </row>
    <row r="480" spans="18:18" ht="15.75" customHeight="1">
      <c r="R480" s="30"/>
    </row>
    <row r="481" spans="18:18" ht="15.75" customHeight="1">
      <c r="R481" s="30"/>
    </row>
    <row r="482" spans="18:18" ht="15.75" customHeight="1">
      <c r="R482" s="30"/>
    </row>
    <row r="483" spans="18:18" ht="15.75" customHeight="1">
      <c r="R483" s="30"/>
    </row>
    <row r="484" spans="18:18" ht="15.75" customHeight="1">
      <c r="R484" s="30"/>
    </row>
    <row r="485" spans="18:18" ht="15.75" customHeight="1">
      <c r="R485" s="30"/>
    </row>
    <row r="486" spans="18:18" ht="15.75" customHeight="1">
      <c r="R486" s="30"/>
    </row>
    <row r="487" spans="18:18" ht="15.75" customHeight="1">
      <c r="R487" s="30"/>
    </row>
    <row r="488" spans="18:18" ht="15.75" customHeight="1">
      <c r="R488" s="30"/>
    </row>
    <row r="489" spans="18:18" ht="15.75" customHeight="1">
      <c r="R489" s="30"/>
    </row>
    <row r="490" spans="18:18" ht="15.75" customHeight="1">
      <c r="R490" s="30"/>
    </row>
    <row r="491" spans="18:18" ht="15.75" customHeight="1">
      <c r="R491" s="30"/>
    </row>
    <row r="492" spans="18:18" ht="15.75" customHeight="1">
      <c r="R492" s="30"/>
    </row>
    <row r="493" spans="18:18" ht="15.75" customHeight="1">
      <c r="R493" s="30"/>
    </row>
    <row r="494" spans="18:18" ht="15.75" customHeight="1">
      <c r="R494" s="30"/>
    </row>
    <row r="495" spans="18:18" ht="15.75" customHeight="1">
      <c r="R495" s="30"/>
    </row>
    <row r="496" spans="18:18" ht="15.75" customHeight="1">
      <c r="R496" s="30"/>
    </row>
    <row r="497" spans="18:18" ht="15.75" customHeight="1">
      <c r="R497" s="30"/>
    </row>
    <row r="498" spans="18:18" ht="15.75" customHeight="1">
      <c r="R498" s="30"/>
    </row>
    <row r="499" spans="18:18" ht="15.75" customHeight="1">
      <c r="R499" s="30"/>
    </row>
    <row r="500" spans="18:18" ht="15.75" customHeight="1">
      <c r="R500" s="30"/>
    </row>
    <row r="501" spans="18:18" ht="15.75" customHeight="1">
      <c r="R501" s="30"/>
    </row>
    <row r="502" spans="18:18" ht="15.75" customHeight="1">
      <c r="R502" s="30"/>
    </row>
    <row r="503" spans="18:18" ht="15.75" customHeight="1">
      <c r="R503" s="30"/>
    </row>
    <row r="504" spans="18:18" ht="15.75" customHeight="1">
      <c r="R504" s="30"/>
    </row>
    <row r="505" spans="18:18" ht="15.75" customHeight="1">
      <c r="R505" s="30"/>
    </row>
    <row r="506" spans="18:18" ht="15.75" customHeight="1">
      <c r="R506" s="30"/>
    </row>
    <row r="507" spans="18:18" ht="15.75" customHeight="1">
      <c r="R507" s="30"/>
    </row>
    <row r="508" spans="18:18" ht="15.75" customHeight="1">
      <c r="R508" s="30"/>
    </row>
    <row r="509" spans="18:18" ht="15.75" customHeight="1">
      <c r="R509" s="30"/>
    </row>
    <row r="510" spans="18:18" ht="15.75" customHeight="1">
      <c r="R510" s="30"/>
    </row>
    <row r="511" spans="18:18" ht="15.75" customHeight="1">
      <c r="R511" s="30"/>
    </row>
    <row r="512" spans="18:18" ht="15.75" customHeight="1">
      <c r="R512" s="30"/>
    </row>
    <row r="513" spans="18:18" ht="15.75" customHeight="1">
      <c r="R513" s="30"/>
    </row>
    <row r="514" spans="18:18" ht="15.75" customHeight="1">
      <c r="R514" s="30"/>
    </row>
    <row r="515" spans="18:18" ht="15.75" customHeight="1">
      <c r="R515" s="30"/>
    </row>
    <row r="516" spans="18:18" ht="15.75" customHeight="1">
      <c r="R516" s="30"/>
    </row>
    <row r="517" spans="18:18" ht="15.75" customHeight="1">
      <c r="R517" s="30"/>
    </row>
    <row r="518" spans="18:18" ht="15.75" customHeight="1">
      <c r="R518" s="30"/>
    </row>
    <row r="519" spans="18:18" ht="15.75" customHeight="1">
      <c r="R519" s="30"/>
    </row>
    <row r="520" spans="18:18" ht="15.75" customHeight="1">
      <c r="R520" s="30"/>
    </row>
    <row r="521" spans="18:18" ht="15.75" customHeight="1">
      <c r="R521" s="30"/>
    </row>
    <row r="522" spans="18:18" ht="15.75" customHeight="1">
      <c r="R522" s="30"/>
    </row>
    <row r="523" spans="18:18" ht="15.75" customHeight="1">
      <c r="R523" s="30"/>
    </row>
    <row r="524" spans="18:18" ht="15.75" customHeight="1">
      <c r="R524" s="30"/>
    </row>
    <row r="525" spans="18:18" ht="15.75" customHeight="1">
      <c r="R525" s="30"/>
    </row>
    <row r="526" spans="18:18" ht="15.75" customHeight="1">
      <c r="R526" s="30"/>
    </row>
    <row r="527" spans="18:18" ht="15.75" customHeight="1">
      <c r="R527" s="30"/>
    </row>
    <row r="528" spans="18:18" ht="15.75" customHeight="1">
      <c r="R528" s="30"/>
    </row>
    <row r="529" spans="18:18" ht="15.75" customHeight="1">
      <c r="R529" s="30"/>
    </row>
    <row r="530" spans="18:18" ht="15.75" customHeight="1">
      <c r="R530" s="30"/>
    </row>
    <row r="531" spans="18:18" ht="15.75" customHeight="1">
      <c r="R531" s="30"/>
    </row>
    <row r="532" spans="18:18" ht="15.75" customHeight="1">
      <c r="R532" s="30"/>
    </row>
    <row r="533" spans="18:18" ht="15.75" customHeight="1">
      <c r="R533" s="30"/>
    </row>
    <row r="534" spans="18:18" ht="15.75" customHeight="1">
      <c r="R534" s="30"/>
    </row>
    <row r="535" spans="18:18" ht="15.75" customHeight="1">
      <c r="R535" s="30"/>
    </row>
    <row r="536" spans="18:18" ht="15.75" customHeight="1">
      <c r="R536" s="30"/>
    </row>
    <row r="537" spans="18:18" ht="15.75" customHeight="1">
      <c r="R537" s="30"/>
    </row>
    <row r="538" spans="18:18" ht="15.75" customHeight="1">
      <c r="R538" s="30"/>
    </row>
    <row r="539" spans="18:18" ht="15.75" customHeight="1">
      <c r="R539" s="30"/>
    </row>
    <row r="540" spans="18:18" ht="15.75" customHeight="1">
      <c r="R540" s="30"/>
    </row>
    <row r="541" spans="18:18" ht="15.75" customHeight="1">
      <c r="R541" s="30"/>
    </row>
    <row r="542" spans="18:18" ht="15.75" customHeight="1">
      <c r="R542" s="30"/>
    </row>
    <row r="543" spans="18:18" ht="15.75" customHeight="1">
      <c r="R543" s="30"/>
    </row>
    <row r="544" spans="18:18" ht="15.75" customHeight="1">
      <c r="R544" s="30"/>
    </row>
    <row r="545" spans="18:18" ht="15.75" customHeight="1">
      <c r="R545" s="30"/>
    </row>
    <row r="546" spans="18:18" ht="15.75" customHeight="1">
      <c r="R546" s="30"/>
    </row>
    <row r="547" spans="18:18" ht="15.75" customHeight="1">
      <c r="R547" s="30"/>
    </row>
    <row r="548" spans="18:18" ht="15.75" customHeight="1">
      <c r="R548" s="30"/>
    </row>
    <row r="549" spans="18:18" ht="15.75" customHeight="1">
      <c r="R549" s="30"/>
    </row>
    <row r="550" spans="18:18" ht="15.75" customHeight="1">
      <c r="R550" s="30"/>
    </row>
    <row r="551" spans="18:18" ht="15.75" customHeight="1">
      <c r="R551" s="30"/>
    </row>
    <row r="552" spans="18:18" ht="15.75" customHeight="1">
      <c r="R552" s="30"/>
    </row>
    <row r="553" spans="18:18" ht="15.75" customHeight="1">
      <c r="R553" s="30"/>
    </row>
    <row r="554" spans="18:18" ht="15.75" customHeight="1">
      <c r="R554" s="30"/>
    </row>
    <row r="555" spans="18:18" ht="15.75" customHeight="1">
      <c r="R555" s="30"/>
    </row>
    <row r="556" spans="18:18" ht="15.75" customHeight="1">
      <c r="R556" s="30"/>
    </row>
    <row r="557" spans="18:18" ht="15.75" customHeight="1">
      <c r="R557" s="30"/>
    </row>
    <row r="558" spans="18:18" ht="15.75" customHeight="1">
      <c r="R558" s="30"/>
    </row>
    <row r="559" spans="18:18" ht="15.75" customHeight="1">
      <c r="R559" s="30"/>
    </row>
    <row r="560" spans="18:18" ht="15.75" customHeight="1">
      <c r="R560" s="30"/>
    </row>
    <row r="561" spans="18:18" ht="15.75" customHeight="1">
      <c r="R561" s="30"/>
    </row>
    <row r="562" spans="18:18" ht="15.75" customHeight="1">
      <c r="R562" s="30"/>
    </row>
    <row r="563" spans="18:18" ht="15.75" customHeight="1">
      <c r="R563" s="30"/>
    </row>
    <row r="564" spans="18:18" ht="15.75" customHeight="1">
      <c r="R564" s="30"/>
    </row>
    <row r="565" spans="18:18" ht="15.75" customHeight="1">
      <c r="R565" s="30"/>
    </row>
    <row r="566" spans="18:18" ht="15.75" customHeight="1">
      <c r="R566" s="30"/>
    </row>
    <row r="567" spans="18:18" ht="15.75" customHeight="1">
      <c r="R567" s="30"/>
    </row>
    <row r="568" spans="18:18" ht="15.75" customHeight="1">
      <c r="R568" s="30"/>
    </row>
    <row r="569" spans="18:18" ht="15.75" customHeight="1">
      <c r="R569" s="30"/>
    </row>
    <row r="570" spans="18:18" ht="15.75" customHeight="1">
      <c r="R570" s="30"/>
    </row>
    <row r="571" spans="18:18" ht="15.75" customHeight="1">
      <c r="R571" s="30"/>
    </row>
    <row r="572" spans="18:18" ht="15.75" customHeight="1">
      <c r="R572" s="30"/>
    </row>
    <row r="573" spans="18:18" ht="15.75" customHeight="1">
      <c r="R573" s="30"/>
    </row>
    <row r="574" spans="18:18" ht="15.75" customHeight="1">
      <c r="R574" s="30"/>
    </row>
    <row r="575" spans="18:18" ht="15.75" customHeight="1">
      <c r="R575" s="30"/>
    </row>
    <row r="576" spans="18:18" ht="15.75" customHeight="1">
      <c r="R576" s="30"/>
    </row>
    <row r="577" spans="18:18" ht="15.75" customHeight="1">
      <c r="R577" s="30"/>
    </row>
    <row r="578" spans="18:18" ht="15.75" customHeight="1">
      <c r="R578" s="30"/>
    </row>
    <row r="579" spans="18:18" ht="15.75" customHeight="1">
      <c r="R579" s="30"/>
    </row>
    <row r="580" spans="18:18" ht="15.75" customHeight="1">
      <c r="R580" s="30"/>
    </row>
    <row r="581" spans="18:18" ht="15.75" customHeight="1">
      <c r="R581" s="30"/>
    </row>
    <row r="582" spans="18:18" ht="15.75" customHeight="1">
      <c r="R582" s="30"/>
    </row>
    <row r="583" spans="18:18" ht="15.75" customHeight="1">
      <c r="R583" s="30"/>
    </row>
    <row r="584" spans="18:18" ht="15.75" customHeight="1">
      <c r="R584" s="30"/>
    </row>
    <row r="585" spans="18:18" ht="15.75" customHeight="1">
      <c r="R585" s="30"/>
    </row>
    <row r="586" spans="18:18" ht="15.75" customHeight="1">
      <c r="R586" s="30"/>
    </row>
    <row r="587" spans="18:18" ht="15.75" customHeight="1">
      <c r="R587" s="30"/>
    </row>
    <row r="588" spans="18:18" ht="15.75" customHeight="1">
      <c r="R588" s="30"/>
    </row>
    <row r="589" spans="18:18" ht="15.75" customHeight="1">
      <c r="R589" s="30"/>
    </row>
    <row r="590" spans="18:18" ht="15.75" customHeight="1">
      <c r="R590" s="30"/>
    </row>
    <row r="591" spans="18:18" ht="15.75" customHeight="1">
      <c r="R591" s="30"/>
    </row>
    <row r="592" spans="18:18" ht="15.75" customHeight="1">
      <c r="R592" s="30"/>
    </row>
    <row r="593" spans="18:18" ht="15.75" customHeight="1">
      <c r="R593" s="30"/>
    </row>
    <row r="594" spans="18:18" ht="15.75" customHeight="1">
      <c r="R594" s="30"/>
    </row>
    <row r="595" spans="18:18" ht="15.75" customHeight="1">
      <c r="R595" s="30"/>
    </row>
    <row r="596" spans="18:18" ht="15.75" customHeight="1">
      <c r="R596" s="30"/>
    </row>
    <row r="597" spans="18:18" ht="15.75" customHeight="1">
      <c r="R597" s="30"/>
    </row>
    <row r="598" spans="18:18" ht="15.75" customHeight="1">
      <c r="R598" s="30"/>
    </row>
    <row r="599" spans="18:18" ht="15.75" customHeight="1">
      <c r="R599" s="30"/>
    </row>
    <row r="600" spans="18:18" ht="15.75" customHeight="1">
      <c r="R600" s="30"/>
    </row>
    <row r="601" spans="18:18" ht="15.75" customHeight="1">
      <c r="R601" s="30"/>
    </row>
    <row r="602" spans="18:18" ht="15.75" customHeight="1">
      <c r="R602" s="30"/>
    </row>
    <row r="603" spans="18:18" ht="15.75" customHeight="1">
      <c r="R603" s="30"/>
    </row>
    <row r="604" spans="18:18" ht="15.75" customHeight="1">
      <c r="R604" s="30"/>
    </row>
    <row r="605" spans="18:18" ht="15.75" customHeight="1">
      <c r="R605" s="30"/>
    </row>
    <row r="606" spans="18:18" ht="15.75" customHeight="1">
      <c r="R606" s="30"/>
    </row>
    <row r="607" spans="18:18" ht="15.75" customHeight="1">
      <c r="R607" s="30"/>
    </row>
    <row r="608" spans="18:18" ht="15.75" customHeight="1">
      <c r="R608" s="30"/>
    </row>
    <row r="609" spans="18:18" ht="15.75" customHeight="1">
      <c r="R609" s="30"/>
    </row>
    <row r="610" spans="18:18" ht="15.75" customHeight="1">
      <c r="R610" s="30"/>
    </row>
    <row r="611" spans="18:18" ht="15.75" customHeight="1">
      <c r="R611" s="30"/>
    </row>
    <row r="612" spans="18:18" ht="15.75" customHeight="1">
      <c r="R612" s="30"/>
    </row>
    <row r="613" spans="18:18" ht="15.75" customHeight="1">
      <c r="R613" s="30"/>
    </row>
    <row r="614" spans="18:18" ht="15.75" customHeight="1">
      <c r="R614" s="30"/>
    </row>
    <row r="615" spans="18:18" ht="15.75" customHeight="1">
      <c r="R615" s="30"/>
    </row>
    <row r="616" spans="18:18" ht="15.75" customHeight="1">
      <c r="R616" s="30"/>
    </row>
    <row r="617" spans="18:18" ht="15.75" customHeight="1">
      <c r="R617" s="30"/>
    </row>
    <row r="618" spans="18:18" ht="15.75" customHeight="1">
      <c r="R618" s="30"/>
    </row>
    <row r="619" spans="18:18" ht="15.75" customHeight="1">
      <c r="R619" s="30"/>
    </row>
    <row r="620" spans="18:18" ht="15.75" customHeight="1">
      <c r="R620" s="30"/>
    </row>
    <row r="621" spans="18:18" ht="15.75" customHeight="1">
      <c r="R621" s="30"/>
    </row>
    <row r="622" spans="18:18" ht="15.75" customHeight="1">
      <c r="R622" s="30"/>
    </row>
    <row r="623" spans="18:18" ht="15.75" customHeight="1">
      <c r="R623" s="30"/>
    </row>
    <row r="624" spans="18:18" ht="15.75" customHeight="1">
      <c r="R624" s="30"/>
    </row>
    <row r="625" spans="18:18" ht="15.75" customHeight="1">
      <c r="R625" s="30"/>
    </row>
    <row r="626" spans="18:18" ht="15.75" customHeight="1">
      <c r="R626" s="30"/>
    </row>
    <row r="627" spans="18:18" ht="15.75" customHeight="1">
      <c r="R627" s="30"/>
    </row>
    <row r="628" spans="18:18" ht="15.75" customHeight="1">
      <c r="R628" s="30"/>
    </row>
    <row r="629" spans="18:18" ht="15.75" customHeight="1">
      <c r="R629" s="30"/>
    </row>
    <row r="630" spans="18:18" ht="15.75" customHeight="1">
      <c r="R630" s="30"/>
    </row>
    <row r="631" spans="18:18" ht="15.75" customHeight="1">
      <c r="R631" s="30"/>
    </row>
    <row r="632" spans="18:18" ht="15.75" customHeight="1">
      <c r="R632" s="30"/>
    </row>
    <row r="633" spans="18:18" ht="15.75" customHeight="1">
      <c r="R633" s="30"/>
    </row>
    <row r="634" spans="18:18" ht="15.75" customHeight="1">
      <c r="R634" s="30"/>
    </row>
    <row r="635" spans="18:18" ht="15.75" customHeight="1">
      <c r="R635" s="30"/>
    </row>
    <row r="636" spans="18:18" ht="15.75" customHeight="1">
      <c r="R636" s="30"/>
    </row>
    <row r="637" spans="18:18" ht="15.75" customHeight="1">
      <c r="R637" s="30"/>
    </row>
    <row r="638" spans="18:18" ht="15.75" customHeight="1">
      <c r="R638" s="30"/>
    </row>
    <row r="639" spans="18:18" ht="15.75" customHeight="1">
      <c r="R639" s="30"/>
    </row>
    <row r="640" spans="18:18" ht="15.75" customHeight="1">
      <c r="R640" s="30"/>
    </row>
    <row r="641" spans="18:18" ht="15.75" customHeight="1">
      <c r="R641" s="30"/>
    </row>
    <row r="642" spans="18:18" ht="15.75" customHeight="1">
      <c r="R642" s="30"/>
    </row>
    <row r="643" spans="18:18" ht="15.75" customHeight="1">
      <c r="R643" s="30"/>
    </row>
    <row r="644" spans="18:18" ht="15.75" customHeight="1">
      <c r="R644" s="30"/>
    </row>
    <row r="645" spans="18:18" ht="15.75" customHeight="1">
      <c r="R645" s="30"/>
    </row>
    <row r="646" spans="18:18" ht="15.75" customHeight="1">
      <c r="R646" s="30"/>
    </row>
    <row r="647" spans="18:18" ht="15.75" customHeight="1">
      <c r="R647" s="30"/>
    </row>
    <row r="648" spans="18:18" ht="15.75" customHeight="1">
      <c r="R648" s="30"/>
    </row>
    <row r="649" spans="18:18" ht="15.75" customHeight="1">
      <c r="R649" s="30"/>
    </row>
    <row r="650" spans="18:18" ht="15.75" customHeight="1">
      <c r="R650" s="30"/>
    </row>
    <row r="651" spans="18:18" ht="15.75" customHeight="1">
      <c r="R651" s="30"/>
    </row>
    <row r="652" spans="18:18" ht="15.75" customHeight="1">
      <c r="R652" s="30"/>
    </row>
    <row r="653" spans="18:18" ht="15.75" customHeight="1">
      <c r="R653" s="30"/>
    </row>
    <row r="654" spans="18:18" ht="15.75" customHeight="1">
      <c r="R654" s="30"/>
    </row>
    <row r="655" spans="18:18" ht="15.75" customHeight="1">
      <c r="R655" s="30"/>
    </row>
    <row r="656" spans="18:18" ht="15.75" customHeight="1">
      <c r="R656" s="30"/>
    </row>
    <row r="657" spans="18:18" ht="15.75" customHeight="1">
      <c r="R657" s="30"/>
    </row>
    <row r="658" spans="18:18" ht="15.75" customHeight="1">
      <c r="R658" s="30"/>
    </row>
    <row r="659" spans="18:18" ht="15.75" customHeight="1">
      <c r="R659" s="30"/>
    </row>
    <row r="660" spans="18:18" ht="15.75" customHeight="1">
      <c r="R660" s="30"/>
    </row>
    <row r="661" spans="18:18" ht="15.75" customHeight="1">
      <c r="R661" s="30"/>
    </row>
    <row r="662" spans="18:18" ht="15.75" customHeight="1">
      <c r="R662" s="30"/>
    </row>
    <row r="663" spans="18:18" ht="15.75" customHeight="1">
      <c r="R663" s="30"/>
    </row>
    <row r="664" spans="18:18" ht="15.75" customHeight="1">
      <c r="R664" s="30"/>
    </row>
    <row r="665" spans="18:18" ht="15.75" customHeight="1">
      <c r="R665" s="30"/>
    </row>
    <row r="666" spans="18:18" ht="15.75" customHeight="1">
      <c r="R666" s="30"/>
    </row>
    <row r="667" spans="18:18" ht="15.75" customHeight="1">
      <c r="R667" s="30"/>
    </row>
    <row r="668" spans="18:18" ht="15.75" customHeight="1">
      <c r="R668" s="30"/>
    </row>
    <row r="669" spans="18:18" ht="15.75" customHeight="1">
      <c r="R669" s="30"/>
    </row>
    <row r="670" spans="18:18" ht="15.75" customHeight="1">
      <c r="R670" s="30"/>
    </row>
    <row r="671" spans="18:18" ht="15.75" customHeight="1">
      <c r="R671" s="30"/>
    </row>
    <row r="672" spans="18:18" ht="15.75" customHeight="1">
      <c r="R672" s="30"/>
    </row>
    <row r="673" spans="18:18" ht="15.75" customHeight="1">
      <c r="R673" s="30"/>
    </row>
    <row r="674" spans="18:18" ht="15.75" customHeight="1">
      <c r="R674" s="30"/>
    </row>
    <row r="675" spans="18:18" ht="15.75" customHeight="1">
      <c r="R675" s="30"/>
    </row>
    <row r="676" spans="18:18" ht="15.75" customHeight="1">
      <c r="R676" s="30"/>
    </row>
    <row r="677" spans="18:18" ht="15.75" customHeight="1">
      <c r="R677" s="30"/>
    </row>
    <row r="678" spans="18:18" ht="15.75" customHeight="1">
      <c r="R678" s="30"/>
    </row>
    <row r="679" spans="18:18" ht="15.75" customHeight="1">
      <c r="R679" s="30"/>
    </row>
    <row r="680" spans="18:18" ht="15.75" customHeight="1">
      <c r="R680" s="30"/>
    </row>
    <row r="681" spans="18:18" ht="15.75" customHeight="1">
      <c r="R681" s="30"/>
    </row>
    <row r="682" spans="18:18" ht="15.75" customHeight="1">
      <c r="R682" s="30"/>
    </row>
    <row r="683" spans="18:18" ht="15.75" customHeight="1">
      <c r="R683" s="30"/>
    </row>
    <row r="684" spans="18:18" ht="15.75" customHeight="1">
      <c r="R684" s="30"/>
    </row>
    <row r="685" spans="18:18" ht="15.75" customHeight="1">
      <c r="R685" s="30"/>
    </row>
    <row r="686" spans="18:18" ht="15.75" customHeight="1">
      <c r="R686" s="30"/>
    </row>
    <row r="687" spans="18:18" ht="15.75" customHeight="1">
      <c r="R687" s="30"/>
    </row>
    <row r="688" spans="18:18" ht="15.75" customHeight="1">
      <c r="R688" s="30"/>
    </row>
    <row r="689" spans="18:18" ht="15.75" customHeight="1">
      <c r="R689" s="30"/>
    </row>
    <row r="690" spans="18:18" ht="15.75" customHeight="1">
      <c r="R690" s="30"/>
    </row>
    <row r="691" spans="18:18" ht="15.75" customHeight="1">
      <c r="R691" s="30"/>
    </row>
    <row r="692" spans="18:18" ht="15.75" customHeight="1">
      <c r="R692" s="30"/>
    </row>
    <row r="693" spans="18:18" ht="15.75" customHeight="1">
      <c r="R693" s="30"/>
    </row>
    <row r="694" spans="18:18" ht="15.75" customHeight="1">
      <c r="R694" s="30"/>
    </row>
    <row r="695" spans="18:18" ht="15.75" customHeight="1">
      <c r="R695" s="30"/>
    </row>
    <row r="696" spans="18:18" ht="15.75" customHeight="1">
      <c r="R696" s="30"/>
    </row>
    <row r="697" spans="18:18" ht="15.75" customHeight="1">
      <c r="R697" s="30"/>
    </row>
    <row r="698" spans="18:18" ht="15.75" customHeight="1">
      <c r="R698" s="30"/>
    </row>
    <row r="699" spans="18:18" ht="15.75" customHeight="1">
      <c r="R699" s="30"/>
    </row>
    <row r="700" spans="18:18" ht="15.75" customHeight="1">
      <c r="R700" s="30"/>
    </row>
    <row r="701" spans="18:18" ht="15.75" customHeight="1">
      <c r="R701" s="30"/>
    </row>
    <row r="702" spans="18:18" ht="15.75" customHeight="1">
      <c r="R702" s="30"/>
    </row>
    <row r="703" spans="18:18" ht="15.75" customHeight="1">
      <c r="R703" s="30"/>
    </row>
    <row r="704" spans="18:18" ht="15.75" customHeight="1">
      <c r="R704" s="30"/>
    </row>
    <row r="705" spans="18:18" ht="15.75" customHeight="1">
      <c r="R705" s="30"/>
    </row>
    <row r="706" spans="18:18" ht="15.75" customHeight="1">
      <c r="R706" s="30"/>
    </row>
    <row r="707" spans="18:18" ht="15.75" customHeight="1">
      <c r="R707" s="30"/>
    </row>
    <row r="708" spans="18:18" ht="15.75" customHeight="1">
      <c r="R708" s="30"/>
    </row>
    <row r="709" spans="18:18" ht="15.75" customHeight="1">
      <c r="R709" s="30"/>
    </row>
    <row r="710" spans="18:18" ht="15.75" customHeight="1">
      <c r="R710" s="30"/>
    </row>
    <row r="711" spans="18:18" ht="15.75" customHeight="1">
      <c r="R711" s="30"/>
    </row>
    <row r="712" spans="18:18" ht="15.75" customHeight="1">
      <c r="R712" s="30"/>
    </row>
    <row r="713" spans="18:18" ht="15.75" customHeight="1">
      <c r="R713" s="30"/>
    </row>
    <row r="714" spans="18:18" ht="15.75" customHeight="1">
      <c r="R714" s="30"/>
    </row>
    <row r="715" spans="18:18" ht="15.75" customHeight="1">
      <c r="R715" s="30"/>
    </row>
    <row r="716" spans="18:18" ht="15.75" customHeight="1">
      <c r="R716" s="30"/>
    </row>
    <row r="717" spans="18:18" ht="15.75" customHeight="1">
      <c r="R717" s="30"/>
    </row>
    <row r="718" spans="18:18" ht="15.75" customHeight="1">
      <c r="R718" s="30"/>
    </row>
    <row r="719" spans="18:18" ht="15.75" customHeight="1">
      <c r="R719" s="30"/>
    </row>
    <row r="720" spans="18:18" ht="15.75" customHeight="1">
      <c r="R720" s="30"/>
    </row>
    <row r="721" spans="18:18" ht="15.75" customHeight="1">
      <c r="R721" s="30"/>
    </row>
    <row r="722" spans="18:18" ht="15.75" customHeight="1">
      <c r="R722" s="30"/>
    </row>
    <row r="723" spans="18:18" ht="15.75" customHeight="1">
      <c r="R723" s="30"/>
    </row>
    <row r="724" spans="18:18" ht="15.75" customHeight="1">
      <c r="R724" s="30"/>
    </row>
    <row r="725" spans="18:18" ht="15.75" customHeight="1">
      <c r="R725" s="30"/>
    </row>
    <row r="726" spans="18:18" ht="15.75" customHeight="1">
      <c r="R726" s="30"/>
    </row>
    <row r="727" spans="18:18" ht="15.75" customHeight="1">
      <c r="R727" s="30"/>
    </row>
    <row r="728" spans="18:18" ht="15.75" customHeight="1">
      <c r="R728" s="30"/>
    </row>
    <row r="729" spans="18:18" ht="15.75" customHeight="1">
      <c r="R729" s="30"/>
    </row>
    <row r="730" spans="18:18" ht="15.75" customHeight="1">
      <c r="R730" s="30"/>
    </row>
    <row r="731" spans="18:18" ht="15.75" customHeight="1">
      <c r="R731" s="30"/>
    </row>
    <row r="732" spans="18:18" ht="15.75" customHeight="1">
      <c r="R732" s="30"/>
    </row>
    <row r="733" spans="18:18" ht="15.75" customHeight="1">
      <c r="R733" s="30"/>
    </row>
    <row r="734" spans="18:18" ht="15.75" customHeight="1">
      <c r="R734" s="30"/>
    </row>
    <row r="735" spans="18:18" ht="15.75" customHeight="1">
      <c r="R735" s="30"/>
    </row>
    <row r="736" spans="18:18" ht="15.75" customHeight="1">
      <c r="R736" s="30"/>
    </row>
    <row r="737" spans="18:18" ht="15.75" customHeight="1">
      <c r="R737" s="30"/>
    </row>
    <row r="738" spans="18:18" ht="15.75" customHeight="1">
      <c r="R738" s="30"/>
    </row>
    <row r="739" spans="18:18" ht="15.75" customHeight="1">
      <c r="R739" s="30"/>
    </row>
    <row r="740" spans="18:18" ht="15.75" customHeight="1">
      <c r="R740" s="30"/>
    </row>
    <row r="741" spans="18:18" ht="15.75" customHeight="1">
      <c r="R741" s="30"/>
    </row>
    <row r="742" spans="18:18" ht="15.75" customHeight="1">
      <c r="R742" s="30"/>
    </row>
    <row r="743" spans="18:18" ht="15.75" customHeight="1">
      <c r="R743" s="30"/>
    </row>
    <row r="744" spans="18:18" ht="15.75" customHeight="1">
      <c r="R744" s="30"/>
    </row>
    <row r="745" spans="18:18" ht="15.75" customHeight="1">
      <c r="R745" s="30"/>
    </row>
    <row r="746" spans="18:18" ht="15.75" customHeight="1">
      <c r="R746" s="30"/>
    </row>
    <row r="747" spans="18:18" ht="15.75" customHeight="1">
      <c r="R747" s="30"/>
    </row>
    <row r="748" spans="18:18" ht="15.75" customHeight="1">
      <c r="R748" s="30"/>
    </row>
    <row r="749" spans="18:18" ht="15.75" customHeight="1">
      <c r="R749" s="30"/>
    </row>
    <row r="750" spans="18:18" ht="15.75" customHeight="1">
      <c r="R750" s="30"/>
    </row>
    <row r="751" spans="18:18" ht="15.75" customHeight="1">
      <c r="R751" s="30"/>
    </row>
    <row r="752" spans="18:18" ht="15.75" customHeight="1">
      <c r="R752" s="30"/>
    </row>
    <row r="753" spans="18:18" ht="15.75" customHeight="1">
      <c r="R753" s="30"/>
    </row>
    <row r="754" spans="18:18" ht="15.75" customHeight="1">
      <c r="R754" s="30"/>
    </row>
    <row r="755" spans="18:18" ht="15.75" customHeight="1">
      <c r="R755" s="30"/>
    </row>
    <row r="756" spans="18:18" ht="15.75" customHeight="1">
      <c r="R756" s="30"/>
    </row>
    <row r="757" spans="18:18" ht="15.75" customHeight="1">
      <c r="R757" s="30"/>
    </row>
    <row r="758" spans="18:18" ht="15.75" customHeight="1">
      <c r="R758" s="30"/>
    </row>
    <row r="759" spans="18:18" ht="15.75" customHeight="1">
      <c r="R759" s="30"/>
    </row>
    <row r="760" spans="18:18" ht="15.75" customHeight="1">
      <c r="R760" s="30"/>
    </row>
    <row r="761" spans="18:18" ht="15.75" customHeight="1">
      <c r="R761" s="30"/>
    </row>
    <row r="762" spans="18:18" ht="15.75" customHeight="1">
      <c r="R762" s="30"/>
    </row>
    <row r="763" spans="18:18" ht="15.75" customHeight="1">
      <c r="R763" s="30"/>
    </row>
    <row r="764" spans="18:18" ht="15.75" customHeight="1">
      <c r="R764" s="30"/>
    </row>
    <row r="765" spans="18:18" ht="15.75" customHeight="1">
      <c r="R765" s="30"/>
    </row>
    <row r="766" spans="18:18" ht="15.75" customHeight="1">
      <c r="R766" s="30"/>
    </row>
    <row r="767" spans="18:18" ht="15.75" customHeight="1">
      <c r="R767" s="30"/>
    </row>
    <row r="768" spans="18:18" ht="15.75" customHeight="1">
      <c r="R768" s="30"/>
    </row>
    <row r="769" spans="18:18" ht="15.75" customHeight="1">
      <c r="R769" s="30"/>
    </row>
    <row r="770" spans="18:18" ht="15.75" customHeight="1">
      <c r="R770" s="30"/>
    </row>
    <row r="771" spans="18:18" ht="15.75" customHeight="1">
      <c r="R771" s="30"/>
    </row>
    <row r="772" spans="18:18" ht="15.75" customHeight="1">
      <c r="R772" s="30"/>
    </row>
    <row r="773" spans="18:18" ht="15.75" customHeight="1">
      <c r="R773" s="30"/>
    </row>
    <row r="774" spans="18:18" ht="15.75" customHeight="1">
      <c r="R774" s="30"/>
    </row>
    <row r="775" spans="18:18" ht="15.75" customHeight="1">
      <c r="R775" s="30"/>
    </row>
    <row r="776" spans="18:18" ht="15.75" customHeight="1">
      <c r="R776" s="30"/>
    </row>
    <row r="777" spans="18:18" ht="15.75" customHeight="1">
      <c r="R777" s="30"/>
    </row>
    <row r="778" spans="18:18" ht="15.75" customHeight="1">
      <c r="R778" s="30"/>
    </row>
    <row r="779" spans="18:18" ht="15.75" customHeight="1">
      <c r="R779" s="30"/>
    </row>
    <row r="780" spans="18:18" ht="15.75" customHeight="1">
      <c r="R780" s="30"/>
    </row>
    <row r="781" spans="18:18" ht="15.75" customHeight="1">
      <c r="R781" s="30"/>
    </row>
    <row r="782" spans="18:18" ht="15.75" customHeight="1">
      <c r="R782" s="30"/>
    </row>
    <row r="783" spans="18:18" ht="15.75" customHeight="1">
      <c r="R783" s="30"/>
    </row>
    <row r="784" spans="18:18" ht="15.75" customHeight="1">
      <c r="R784" s="30"/>
    </row>
    <row r="785" spans="18:18" ht="15.75" customHeight="1">
      <c r="R785" s="30"/>
    </row>
    <row r="786" spans="18:18" ht="15.75" customHeight="1">
      <c r="R786" s="30"/>
    </row>
    <row r="787" spans="18:18" ht="15.75" customHeight="1">
      <c r="R787" s="30"/>
    </row>
    <row r="788" spans="18:18" ht="15.75" customHeight="1">
      <c r="R788" s="30"/>
    </row>
    <row r="789" spans="18:18" ht="15.75" customHeight="1">
      <c r="R789" s="30"/>
    </row>
    <row r="790" spans="18:18" ht="15.75" customHeight="1">
      <c r="R790" s="30"/>
    </row>
    <row r="791" spans="18:18" ht="15.75" customHeight="1">
      <c r="R791" s="30"/>
    </row>
    <row r="792" spans="18:18" ht="15.75" customHeight="1">
      <c r="R792" s="30"/>
    </row>
    <row r="793" spans="18:18" ht="15.75" customHeight="1">
      <c r="R793" s="30"/>
    </row>
    <row r="794" spans="18:18" ht="15.75" customHeight="1">
      <c r="R794" s="30"/>
    </row>
    <row r="795" spans="18:18" ht="15.75" customHeight="1">
      <c r="R795" s="30"/>
    </row>
    <row r="796" spans="18:18" ht="15.75" customHeight="1">
      <c r="R796" s="30"/>
    </row>
    <row r="797" spans="18:18" ht="15.75" customHeight="1">
      <c r="R797" s="30"/>
    </row>
    <row r="798" spans="18:18" ht="15.75" customHeight="1">
      <c r="R798" s="30"/>
    </row>
    <row r="799" spans="18:18" ht="15.75" customHeight="1">
      <c r="R799" s="30"/>
    </row>
    <row r="800" spans="18:18" ht="15.75" customHeight="1">
      <c r="R800" s="30"/>
    </row>
    <row r="801" spans="18:18" ht="15.75" customHeight="1">
      <c r="R801" s="30"/>
    </row>
    <row r="802" spans="18:18" ht="15.75" customHeight="1">
      <c r="R802" s="30"/>
    </row>
    <row r="803" spans="18:18" ht="15.75" customHeight="1">
      <c r="R803" s="30"/>
    </row>
    <row r="804" spans="18:18" ht="15.75" customHeight="1">
      <c r="R804" s="30"/>
    </row>
    <row r="805" spans="18:18" ht="15.75" customHeight="1">
      <c r="R805" s="30"/>
    </row>
    <row r="806" spans="18:18" ht="15.75" customHeight="1">
      <c r="R806" s="30"/>
    </row>
    <row r="807" spans="18:18" ht="15.75" customHeight="1">
      <c r="R807" s="30"/>
    </row>
    <row r="808" spans="18:18" ht="15.75" customHeight="1">
      <c r="R808" s="30"/>
    </row>
    <row r="809" spans="18:18" ht="15.75" customHeight="1">
      <c r="R809" s="30"/>
    </row>
    <row r="810" spans="18:18" ht="15.75" customHeight="1">
      <c r="R810" s="30"/>
    </row>
    <row r="811" spans="18:18" ht="15.75" customHeight="1">
      <c r="R811" s="30"/>
    </row>
    <row r="812" spans="18:18" ht="15.75" customHeight="1">
      <c r="R812" s="30"/>
    </row>
    <row r="813" spans="18:18" ht="15.75" customHeight="1">
      <c r="R813" s="30"/>
    </row>
    <row r="814" spans="18:18" ht="15.75" customHeight="1">
      <c r="R814" s="30"/>
    </row>
    <row r="815" spans="18:18" ht="15.75" customHeight="1">
      <c r="R815" s="30"/>
    </row>
    <row r="816" spans="18:18" ht="15.75" customHeight="1">
      <c r="R816" s="30"/>
    </row>
    <row r="817" spans="18:18" ht="15.75" customHeight="1">
      <c r="R817" s="30"/>
    </row>
    <row r="818" spans="18:18" ht="15.75" customHeight="1">
      <c r="R818" s="30"/>
    </row>
    <row r="819" spans="18:18" ht="15.75" customHeight="1">
      <c r="R819" s="30"/>
    </row>
    <row r="820" spans="18:18" ht="15.75" customHeight="1">
      <c r="R820" s="30"/>
    </row>
    <row r="821" spans="18:18" ht="15.75" customHeight="1">
      <c r="R821" s="30"/>
    </row>
    <row r="822" spans="18:18" ht="15.75" customHeight="1">
      <c r="R822" s="30"/>
    </row>
    <row r="823" spans="18:18" ht="15.75" customHeight="1">
      <c r="R823" s="30"/>
    </row>
    <row r="824" spans="18:18" ht="15.75" customHeight="1">
      <c r="R824" s="30"/>
    </row>
    <row r="825" spans="18:18" ht="15.75" customHeight="1">
      <c r="R825" s="30"/>
    </row>
    <row r="826" spans="18:18" ht="15.75" customHeight="1">
      <c r="R826" s="30"/>
    </row>
    <row r="827" spans="18:18" ht="15.75" customHeight="1">
      <c r="R827" s="30"/>
    </row>
    <row r="828" spans="18:18" ht="15.75" customHeight="1">
      <c r="R828" s="30"/>
    </row>
    <row r="829" spans="18:18" ht="15.75" customHeight="1">
      <c r="R829" s="30"/>
    </row>
    <row r="830" spans="18:18" ht="15.75" customHeight="1">
      <c r="R830" s="30"/>
    </row>
    <row r="831" spans="18:18" ht="15.75" customHeight="1">
      <c r="R831" s="30"/>
    </row>
    <row r="832" spans="18:18" ht="15.75" customHeight="1">
      <c r="R832" s="30"/>
    </row>
    <row r="833" spans="18:18" ht="15.75" customHeight="1">
      <c r="R833" s="30"/>
    </row>
    <row r="834" spans="18:18" ht="15.75" customHeight="1">
      <c r="R834" s="30"/>
    </row>
    <row r="835" spans="18:18" ht="15.75" customHeight="1">
      <c r="R835" s="30"/>
    </row>
    <row r="836" spans="18:18" ht="15.75" customHeight="1">
      <c r="R836" s="30"/>
    </row>
    <row r="837" spans="18:18" ht="15.75" customHeight="1">
      <c r="R837" s="30"/>
    </row>
    <row r="838" spans="18:18" ht="15.75" customHeight="1">
      <c r="R838" s="30"/>
    </row>
    <row r="839" spans="18:18" ht="15.75" customHeight="1">
      <c r="R839" s="30"/>
    </row>
    <row r="840" spans="18:18" ht="15.75" customHeight="1">
      <c r="R840" s="30"/>
    </row>
    <row r="841" spans="18:18" ht="15.75" customHeight="1">
      <c r="R841" s="30"/>
    </row>
    <row r="842" spans="18:18" ht="15.75" customHeight="1">
      <c r="R842" s="30"/>
    </row>
    <row r="843" spans="18:18" ht="15.75" customHeight="1">
      <c r="R843" s="30"/>
    </row>
    <row r="844" spans="18:18" ht="15.75" customHeight="1">
      <c r="R844" s="30"/>
    </row>
    <row r="845" spans="18:18" ht="15.75" customHeight="1">
      <c r="R845" s="30"/>
    </row>
    <row r="846" spans="18:18" ht="15.75" customHeight="1">
      <c r="R846" s="30"/>
    </row>
    <row r="847" spans="18:18" ht="15.75" customHeight="1">
      <c r="R847" s="30"/>
    </row>
    <row r="848" spans="18:18" ht="15.75" customHeight="1">
      <c r="R848" s="30"/>
    </row>
    <row r="849" spans="18:18" ht="15.75" customHeight="1">
      <c r="R849" s="30"/>
    </row>
    <row r="850" spans="18:18" ht="15.75" customHeight="1">
      <c r="R850" s="30"/>
    </row>
    <row r="851" spans="18:18" ht="15.75" customHeight="1">
      <c r="R851" s="30"/>
    </row>
    <row r="852" spans="18:18" ht="15.75" customHeight="1">
      <c r="R852" s="30"/>
    </row>
    <row r="853" spans="18:18" ht="15.75" customHeight="1">
      <c r="R853" s="30"/>
    </row>
    <row r="854" spans="18:18" ht="15.75" customHeight="1">
      <c r="R854" s="30"/>
    </row>
    <row r="855" spans="18:18" ht="15.75" customHeight="1">
      <c r="R855" s="30"/>
    </row>
    <row r="856" spans="18:18" ht="15.75" customHeight="1">
      <c r="R856" s="30"/>
    </row>
    <row r="857" spans="18:18" ht="15.75" customHeight="1">
      <c r="R857" s="30"/>
    </row>
    <row r="858" spans="18:18" ht="15.75" customHeight="1">
      <c r="R858" s="30"/>
    </row>
    <row r="859" spans="18:18" ht="15.75" customHeight="1">
      <c r="R859" s="30"/>
    </row>
    <row r="860" spans="18:18" ht="15.75" customHeight="1">
      <c r="R860" s="30"/>
    </row>
    <row r="861" spans="18:18" ht="15.75" customHeight="1">
      <c r="R861" s="30"/>
    </row>
    <row r="862" spans="18:18" ht="15.75" customHeight="1">
      <c r="R862" s="30"/>
    </row>
    <row r="863" spans="18:18" ht="15.75" customHeight="1">
      <c r="R863" s="30"/>
    </row>
    <row r="864" spans="18:18" ht="15.75" customHeight="1">
      <c r="R864" s="30"/>
    </row>
    <row r="865" spans="18:18" ht="15.75" customHeight="1">
      <c r="R865" s="30"/>
    </row>
    <row r="866" spans="18:18" ht="15.75" customHeight="1">
      <c r="R866" s="30"/>
    </row>
    <row r="867" spans="18:18" ht="15.75" customHeight="1">
      <c r="R867" s="30"/>
    </row>
    <row r="868" spans="18:18" ht="15.75" customHeight="1">
      <c r="R868" s="30"/>
    </row>
    <row r="869" spans="18:18" ht="15.75" customHeight="1">
      <c r="R869" s="30"/>
    </row>
    <row r="870" spans="18:18" ht="15.75" customHeight="1">
      <c r="R870" s="30"/>
    </row>
    <row r="871" spans="18:18" ht="15.75" customHeight="1">
      <c r="R871" s="30"/>
    </row>
    <row r="872" spans="18:18" ht="15.75" customHeight="1">
      <c r="R872" s="30"/>
    </row>
    <row r="873" spans="18:18" ht="15.75" customHeight="1">
      <c r="R873" s="30"/>
    </row>
    <row r="874" spans="18:18" ht="15.75" customHeight="1">
      <c r="R874" s="30"/>
    </row>
    <row r="875" spans="18:18" ht="15.75" customHeight="1">
      <c r="R875" s="30"/>
    </row>
    <row r="876" spans="18:18" ht="15.75" customHeight="1">
      <c r="R876" s="30"/>
    </row>
    <row r="877" spans="18:18" ht="15.75" customHeight="1">
      <c r="R877" s="30"/>
    </row>
    <row r="878" spans="18:18" ht="15.75" customHeight="1">
      <c r="R878" s="30"/>
    </row>
    <row r="879" spans="18:18" ht="15.75" customHeight="1">
      <c r="R879" s="30"/>
    </row>
    <row r="880" spans="18:18" ht="15.75" customHeight="1">
      <c r="R880" s="30"/>
    </row>
    <row r="881" spans="18:18" ht="15.75" customHeight="1">
      <c r="R881" s="30"/>
    </row>
    <row r="882" spans="18:18" ht="15.75" customHeight="1">
      <c r="R882" s="30"/>
    </row>
    <row r="883" spans="18:18" ht="15.75" customHeight="1">
      <c r="R883" s="30"/>
    </row>
    <row r="884" spans="18:18" ht="15.75" customHeight="1">
      <c r="R884" s="30"/>
    </row>
    <row r="885" spans="18:18" ht="15.75" customHeight="1">
      <c r="R885" s="30"/>
    </row>
    <row r="886" spans="18:18" ht="15.75" customHeight="1">
      <c r="R886" s="30"/>
    </row>
    <row r="887" spans="18:18" ht="15.75" customHeight="1">
      <c r="R887" s="30"/>
    </row>
    <row r="888" spans="18:18" ht="15.75" customHeight="1">
      <c r="R888" s="30"/>
    </row>
    <row r="889" spans="18:18" ht="15.75" customHeight="1">
      <c r="R889" s="30"/>
    </row>
    <row r="890" spans="18:18" ht="15.75" customHeight="1">
      <c r="R890" s="30"/>
    </row>
    <row r="891" spans="18:18" ht="15.75" customHeight="1">
      <c r="R891" s="30"/>
    </row>
    <row r="892" spans="18:18" ht="15.75" customHeight="1">
      <c r="R892" s="30"/>
    </row>
    <row r="893" spans="18:18" ht="15.75" customHeight="1">
      <c r="R893" s="30"/>
    </row>
    <row r="894" spans="18:18" ht="15.75" customHeight="1">
      <c r="R894" s="30"/>
    </row>
    <row r="895" spans="18:18" ht="15.75" customHeight="1">
      <c r="R895" s="30"/>
    </row>
    <row r="896" spans="18:18" ht="15.75" customHeight="1">
      <c r="R896" s="30"/>
    </row>
    <row r="897" spans="18:18" ht="15.75" customHeight="1">
      <c r="R897" s="30"/>
    </row>
    <row r="898" spans="18:18" ht="15.75" customHeight="1">
      <c r="R898" s="30"/>
    </row>
    <row r="899" spans="18:18" ht="15.75" customHeight="1">
      <c r="R899" s="30"/>
    </row>
    <row r="900" spans="18:18" ht="15.75" customHeight="1">
      <c r="R900" s="30"/>
    </row>
    <row r="901" spans="18:18" ht="15.75" customHeight="1">
      <c r="R901" s="30"/>
    </row>
    <row r="902" spans="18:18" ht="15.75" customHeight="1">
      <c r="R902" s="30"/>
    </row>
    <row r="903" spans="18:18" ht="15.75" customHeight="1">
      <c r="R903" s="30"/>
    </row>
    <row r="904" spans="18:18" ht="15.75" customHeight="1">
      <c r="R904" s="30"/>
    </row>
    <row r="905" spans="18:18" ht="15.75" customHeight="1">
      <c r="R905" s="30"/>
    </row>
    <row r="906" spans="18:18" ht="15.75" customHeight="1">
      <c r="R906" s="30"/>
    </row>
    <row r="907" spans="18:18" ht="15.75" customHeight="1">
      <c r="R907" s="30"/>
    </row>
    <row r="908" spans="18:18" ht="15.75" customHeight="1">
      <c r="R908" s="30"/>
    </row>
    <row r="909" spans="18:18" ht="15.75" customHeight="1">
      <c r="R909" s="30"/>
    </row>
    <row r="910" spans="18:18" ht="15.75" customHeight="1">
      <c r="R910" s="30"/>
    </row>
    <row r="911" spans="18:18" ht="15.75" customHeight="1">
      <c r="R911" s="30"/>
    </row>
    <row r="912" spans="18:18" ht="15.75" customHeight="1">
      <c r="R912" s="30"/>
    </row>
    <row r="913" spans="18:18" ht="15.75" customHeight="1">
      <c r="R913" s="30"/>
    </row>
    <row r="914" spans="18:18" ht="15.75" customHeight="1">
      <c r="R914" s="30"/>
    </row>
    <row r="915" spans="18:18" ht="15.75" customHeight="1">
      <c r="R915" s="30"/>
    </row>
    <row r="916" spans="18:18" ht="15.75" customHeight="1">
      <c r="R916" s="30"/>
    </row>
    <row r="917" spans="18:18" ht="15.75" customHeight="1">
      <c r="R917" s="30"/>
    </row>
    <row r="918" spans="18:18" ht="15.75" customHeight="1">
      <c r="R918" s="30"/>
    </row>
    <row r="919" spans="18:18" ht="15.75" customHeight="1">
      <c r="R919" s="30"/>
    </row>
    <row r="920" spans="18:18" ht="15.75" customHeight="1">
      <c r="R920" s="30"/>
    </row>
    <row r="921" spans="18:18" ht="15.75" customHeight="1">
      <c r="R921" s="30"/>
    </row>
    <row r="922" spans="18:18" ht="15.75" customHeight="1">
      <c r="R922" s="30"/>
    </row>
    <row r="923" spans="18:18" ht="15.75" customHeight="1">
      <c r="R923" s="30"/>
    </row>
    <row r="924" spans="18:18" ht="15.75" customHeight="1">
      <c r="R924" s="30"/>
    </row>
    <row r="925" spans="18:18" ht="15.75" customHeight="1">
      <c r="R925" s="30"/>
    </row>
    <row r="926" spans="18:18" ht="15.75" customHeight="1">
      <c r="R926" s="30"/>
    </row>
    <row r="927" spans="18:18" ht="15.75" customHeight="1">
      <c r="R927" s="30"/>
    </row>
    <row r="928" spans="18:18" ht="15.75" customHeight="1">
      <c r="R928" s="30"/>
    </row>
    <row r="929" spans="18:18" ht="15.75" customHeight="1">
      <c r="R929" s="30"/>
    </row>
    <row r="930" spans="18:18" ht="15.75" customHeight="1">
      <c r="R930" s="30"/>
    </row>
    <row r="931" spans="18:18" ht="15.75" customHeight="1">
      <c r="R931" s="30"/>
    </row>
    <row r="932" spans="18:18" ht="15.75" customHeight="1">
      <c r="R932" s="30"/>
    </row>
    <row r="933" spans="18:18" ht="15.75" customHeight="1">
      <c r="R933" s="30"/>
    </row>
    <row r="934" spans="18:18" ht="15.75" customHeight="1">
      <c r="R934" s="30"/>
    </row>
    <row r="935" spans="18:18" ht="15.75" customHeight="1">
      <c r="R935" s="30"/>
    </row>
    <row r="936" spans="18:18" ht="15.75" customHeight="1">
      <c r="R936" s="30"/>
    </row>
    <row r="937" spans="18:18" ht="15.75" customHeight="1">
      <c r="R937" s="30"/>
    </row>
    <row r="938" spans="18:18" ht="15.75" customHeight="1">
      <c r="R938" s="30"/>
    </row>
    <row r="939" spans="18:18" ht="15.75" customHeight="1">
      <c r="R939" s="30"/>
    </row>
    <row r="940" spans="18:18" ht="15.75" customHeight="1">
      <c r="R940" s="30"/>
    </row>
    <row r="941" spans="18:18" ht="15.75" customHeight="1">
      <c r="R941" s="30"/>
    </row>
    <row r="942" spans="18:18" ht="15.75" customHeight="1">
      <c r="R942" s="30"/>
    </row>
    <row r="943" spans="18:18" ht="15.75" customHeight="1">
      <c r="R943" s="30"/>
    </row>
    <row r="944" spans="18:18" ht="15.75" customHeight="1">
      <c r="R944" s="30"/>
    </row>
    <row r="945" spans="18:18" ht="15.75" customHeight="1">
      <c r="R945" s="30"/>
    </row>
    <row r="946" spans="18:18" ht="15.75" customHeight="1">
      <c r="R946" s="30"/>
    </row>
    <row r="947" spans="18:18" ht="15.75" customHeight="1">
      <c r="R947" s="30"/>
    </row>
    <row r="948" spans="18:18" ht="15.75" customHeight="1">
      <c r="R948" s="30"/>
    </row>
    <row r="949" spans="18:18" ht="15.75" customHeight="1">
      <c r="R949" s="30"/>
    </row>
    <row r="950" spans="18:18" ht="15.75" customHeight="1">
      <c r="R950" s="30"/>
    </row>
    <row r="951" spans="18:18" ht="15.75" customHeight="1">
      <c r="R951" s="30"/>
    </row>
    <row r="952" spans="18:18" ht="15.75" customHeight="1">
      <c r="R952" s="30"/>
    </row>
    <row r="953" spans="18:18" ht="15.75" customHeight="1">
      <c r="R953" s="30"/>
    </row>
    <row r="954" spans="18:18" ht="15.75" customHeight="1">
      <c r="R954" s="30"/>
    </row>
    <row r="955" spans="18:18" ht="15.75" customHeight="1">
      <c r="R955" s="30"/>
    </row>
    <row r="956" spans="18:18" ht="15.75" customHeight="1">
      <c r="R956" s="30"/>
    </row>
    <row r="957" spans="18:18" ht="15.75" customHeight="1">
      <c r="R957" s="30"/>
    </row>
    <row r="958" spans="18:18" ht="15.75" customHeight="1">
      <c r="R958" s="30"/>
    </row>
    <row r="959" spans="18:18" ht="15.75" customHeight="1">
      <c r="R959" s="30"/>
    </row>
    <row r="960" spans="18:18" ht="15.75" customHeight="1">
      <c r="R960" s="30"/>
    </row>
    <row r="961" spans="18:18" ht="15.75" customHeight="1">
      <c r="R961" s="30"/>
    </row>
    <row r="962" spans="18:18" ht="15.75" customHeight="1">
      <c r="R962" s="30"/>
    </row>
    <row r="963" spans="18:18" ht="15.75" customHeight="1">
      <c r="R963" s="30"/>
    </row>
    <row r="964" spans="18:18" ht="15.75" customHeight="1">
      <c r="R964" s="30"/>
    </row>
    <row r="965" spans="18:18" ht="15.75" customHeight="1">
      <c r="R965" s="30"/>
    </row>
    <row r="966" spans="18:18" ht="15.75" customHeight="1">
      <c r="R966" s="30"/>
    </row>
    <row r="967" spans="18:18" ht="15.75" customHeight="1">
      <c r="R967" s="30"/>
    </row>
    <row r="968" spans="18:18" ht="15.75" customHeight="1">
      <c r="R968" s="30"/>
    </row>
    <row r="969" spans="18:18" ht="15.75" customHeight="1">
      <c r="R969" s="30"/>
    </row>
    <row r="970" spans="18:18" ht="15.75" customHeight="1">
      <c r="R970" s="30"/>
    </row>
    <row r="971" spans="18:18" ht="15.75" customHeight="1">
      <c r="R971" s="30"/>
    </row>
    <row r="972" spans="18:18" ht="15.75" customHeight="1">
      <c r="R972" s="30"/>
    </row>
    <row r="973" spans="18:18" ht="15.75" customHeight="1">
      <c r="R973" s="30"/>
    </row>
    <row r="974" spans="18:18" ht="15.75" customHeight="1">
      <c r="R974" s="30"/>
    </row>
    <row r="975" spans="18:18" ht="15.75" customHeight="1">
      <c r="R975" s="30"/>
    </row>
    <row r="976" spans="18:18" ht="15.75" customHeight="1">
      <c r="R976" s="30"/>
    </row>
    <row r="977" spans="18:18" ht="15.75" customHeight="1">
      <c r="R977" s="30"/>
    </row>
    <row r="978" spans="18:18" ht="15.75" customHeight="1">
      <c r="R978" s="30"/>
    </row>
    <row r="979" spans="18:18" ht="15.75" customHeight="1">
      <c r="R979" s="30"/>
    </row>
    <row r="980" spans="18:18" ht="15.75" customHeight="1">
      <c r="R980" s="30"/>
    </row>
    <row r="981" spans="18:18" ht="15.75" customHeight="1">
      <c r="R981" s="30"/>
    </row>
    <row r="982" spans="18:18" ht="15.75" customHeight="1">
      <c r="R982" s="30"/>
    </row>
    <row r="983" spans="18:18" ht="15.75" customHeight="1">
      <c r="R983" s="30"/>
    </row>
    <row r="984" spans="18:18" ht="15.75" customHeight="1">
      <c r="R984" s="30"/>
    </row>
    <row r="985" spans="18:18" ht="15.75" customHeight="1">
      <c r="R985" s="30"/>
    </row>
    <row r="986" spans="18:18" ht="15.75" customHeight="1">
      <c r="R986" s="30"/>
    </row>
    <row r="987" spans="18:18" ht="15.75" customHeight="1">
      <c r="R987" s="30"/>
    </row>
    <row r="988" spans="18:18" ht="15.75" customHeight="1">
      <c r="R988" s="30"/>
    </row>
    <row r="989" spans="18:18" ht="15.75" customHeight="1">
      <c r="R989" s="30"/>
    </row>
    <row r="990" spans="18:18" ht="15.75" customHeight="1">
      <c r="R990" s="30"/>
    </row>
    <row r="991" spans="18:18" ht="15.75" customHeight="1">
      <c r="R991" s="30"/>
    </row>
    <row r="992" spans="18:18" ht="15.75" customHeight="1">
      <c r="R992" s="30"/>
    </row>
    <row r="993" spans="18:18" ht="15.75" customHeight="1">
      <c r="R993" s="30"/>
    </row>
    <row r="994" spans="18:18" ht="15.75" customHeight="1">
      <c r="R994" s="30"/>
    </row>
    <row r="995" spans="18:18" ht="15.75" customHeight="1">
      <c r="R995" s="30"/>
    </row>
    <row r="996" spans="18:18" ht="15.75" customHeight="1">
      <c r="R996" s="30"/>
    </row>
    <row r="997" spans="18:18" ht="15.75" customHeight="1">
      <c r="R997" s="30"/>
    </row>
    <row r="998" spans="18:18" ht="15.75" customHeight="1">
      <c r="R998" s="30"/>
    </row>
    <row r="999" spans="18:18" ht="15.75" customHeight="1">
      <c r="R999" s="30"/>
    </row>
    <row r="1000" spans="18:18" ht="15.75" customHeight="1">
      <c r="R1000" s="3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2.6640625" defaultRowHeight="15" customHeight="1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8.6640625" customWidth="1"/>
    <col min="6" max="6" width="10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16.33203125" customWidth="1"/>
    <col min="16" max="16" width="10" customWidth="1"/>
    <col min="17" max="18" width="7.33203125" customWidth="1"/>
    <col min="19" max="19" width="7.1640625" customWidth="1"/>
    <col min="20" max="20" width="11.1640625" customWidth="1"/>
    <col min="21" max="21" width="22.6640625" customWidth="1"/>
    <col min="22" max="22" width="97.664062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6640625" customWidth="1"/>
    <col min="32" max="32" width="10.1640625" customWidth="1"/>
    <col min="33" max="33" width="8.83203125" customWidth="1"/>
  </cols>
  <sheetData>
    <row r="1" spans="1:33" ht="18.75" customHeight="1">
      <c r="A1" s="46" t="str">
        <f ca="1">IFERROR(__xludf.DUMMYFUNCTION("IFERROR(VLOOKUP(B2,IMPORTRANGE(""https://docs.google.com/spreadsheets/d/1x0DhHglkXKoEBOD2MBsuK_EyIr1ouxD2ftIpqOYFa-k/edit?usp=sharing"",""Ubiquitty-SKU-Specific Info!B1:BJ5000""),3,FALSE),"""")"),"50 Ft Lighted Outdoor Extension Cord - 10/3 SJTW Heavy Duty Yellow Cable with 3 Prong Grounded Plug for Safety - Great for Garden and Major Appliances")</f>
        <v>50 Ft Lighted Outdoor Extension Cord - 10/3 SJTW Heavy Duty Yellow Cable with 3 Prong Grounded Plug for Safety - Great for Garden and Major Appliances</v>
      </c>
      <c r="B1" s="47"/>
      <c r="C1" s="48" t="s">
        <v>0</v>
      </c>
      <c r="D1" s="50" t="s">
        <v>1</v>
      </c>
      <c r="E1" s="50" t="s">
        <v>2</v>
      </c>
      <c r="F1" s="52" t="s">
        <v>3</v>
      </c>
      <c r="G1" s="52" t="s">
        <v>4</v>
      </c>
      <c r="H1" s="53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58" t="s">
        <v>10</v>
      </c>
      <c r="N1" s="59" t="s">
        <v>11</v>
      </c>
      <c r="O1" s="50" t="s">
        <v>12</v>
      </c>
      <c r="P1" s="50" t="s">
        <v>13</v>
      </c>
      <c r="Q1" s="57" t="s">
        <v>14</v>
      </c>
      <c r="R1" s="57" t="s">
        <v>15</v>
      </c>
      <c r="S1" s="60" t="s">
        <v>16</v>
      </c>
      <c r="T1" s="62" t="s">
        <v>2006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Info!B1:BJ5000""),2,FALSE),"""")"),"B078KDZBBX")</f>
        <v>B078KDZBBX</v>
      </c>
      <c r="B2" s="3" t="s">
        <v>469</v>
      </c>
      <c r="C2" s="49"/>
      <c r="D2" s="49"/>
      <c r="E2" s="51"/>
      <c r="F2" s="49"/>
      <c r="G2" s="49"/>
      <c r="H2" s="54"/>
      <c r="I2" s="49"/>
      <c r="J2" s="49"/>
      <c r="K2" s="54"/>
      <c r="L2" s="54"/>
      <c r="M2" s="54"/>
      <c r="N2" s="49"/>
      <c r="O2" s="49"/>
      <c r="P2" s="51"/>
      <c r="Q2" s="49"/>
      <c r="R2" s="49"/>
      <c r="S2" s="61"/>
      <c r="T2" s="47"/>
      <c r="U2" s="63"/>
      <c r="V2" s="63"/>
      <c r="W2" s="47"/>
      <c r="X2" s="47"/>
      <c r="Y2" s="47"/>
      <c r="Z2" s="47"/>
      <c r="AA2" s="63"/>
      <c r="AB2" s="63"/>
      <c r="AC2" s="63"/>
      <c r="AD2" s="63"/>
      <c r="AE2" s="47"/>
      <c r="AF2" s="47"/>
      <c r="AG2" s="47"/>
    </row>
    <row r="3" spans="1:33" ht="141.75" customHeight="1">
      <c r="A3" s="55" t="s">
        <v>31</v>
      </c>
      <c r="B3" s="56"/>
      <c r="C3" s="4">
        <f>((AE32+AF32)/0.85)*-1</f>
        <v>52.593309881764711</v>
      </c>
      <c r="D3" s="5">
        <f>SUM(D4:D99765)</f>
        <v>1585</v>
      </c>
      <c r="E3" s="5"/>
      <c r="F3" s="6">
        <f t="shared" ref="F3:G3" si="0">SUM(F4:F99765)</f>
        <v>114412.08999999997</v>
      </c>
      <c r="G3" s="6">
        <f t="shared" si="0"/>
        <v>-457.28000000000003</v>
      </c>
      <c r="H3" s="7">
        <f t="shared" ref="H3:H32" si="1">G3/F3*-1</f>
        <v>3.9967804101821774E-3</v>
      </c>
      <c r="I3" s="8">
        <f t="shared" ref="I3:I32" si="2">J3/F3</f>
        <v>0.27306132880628375</v>
      </c>
      <c r="J3" s="6">
        <f>SUM(J4:J99765)</f>
        <v>31241.517326904119</v>
      </c>
      <c r="K3" s="6">
        <f t="shared" ref="K3:K32" si="3">J3/D3</f>
        <v>19.710736483851178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Sheet!a1:g5000""),2,FALSE),"""")"),"9.5 - March
9.5 - April
9.5 - May
9.5 - June
9.5 - July
10.5 - Aug
10.5 - Sept
13.5 - Oct
10 - Nov
10.5 - Dec
9 - Jan
9.5 - Feb")</f>
        <v>9.5 - March
9.5 - April
9.5 - May
9.5 - June
9.5 - July
10.5 - Aug
10.5 - Sept
13.5 - Oct
10 - Nov
10.5 - Dec
9 - Jan
9.5 -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QTY-1")</f>
        <v>Del QTY-1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QTY-0")</f>
        <v>US QTY-0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27</v>
      </c>
      <c r="X3" s="7">
        <f>W3/D3</f>
        <v>1.7034700315457414E-2</v>
      </c>
      <c r="Y3" s="6"/>
      <c r="Z3" s="5"/>
      <c r="AA3" s="5"/>
      <c r="AB3" s="5"/>
      <c r="AC3" s="5"/>
      <c r="AD3" s="6">
        <f>SUM(AD4:AD99765)</f>
        <v>-1018.8084592007383</v>
      </c>
      <c r="AE3" s="6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Info!B2:BZ3000""),37,FALSE)),"""")*-1"),-36.3243133995)</f>
        <v>-36.324313399499999</v>
      </c>
      <c r="AG3" s="6">
        <f>SUM(AG4:AG99765)</f>
        <v>0</v>
      </c>
    </row>
    <row r="4" spans="1:33" ht="15.75" customHeight="1">
      <c r="A4" s="14" t="s">
        <v>181</v>
      </c>
      <c r="B4" s="14" t="s">
        <v>68</v>
      </c>
      <c r="C4" s="15">
        <f t="shared" ref="C4:C32" si="4">IFERROR(F4/D4," - ")</f>
        <v>68.291406249999952</v>
      </c>
      <c r="D4" s="16">
        <v>64</v>
      </c>
      <c r="E4" s="16">
        <v>0</v>
      </c>
      <c r="F4" s="17">
        <v>4370.6499999999969</v>
      </c>
      <c r="G4" s="17">
        <v>0</v>
      </c>
      <c r="H4" s="18">
        <f t="shared" si="1"/>
        <v>0</v>
      </c>
      <c r="I4" s="18">
        <f t="shared" si="2"/>
        <v>0.29042100737817811</v>
      </c>
      <c r="J4" s="17">
        <f t="shared" ref="J4:J32" si="5">F4*0.85+G4+AF4*D4+D4*AE4+AG4+AD4</f>
        <v>1269.3285758974332</v>
      </c>
      <c r="K4" s="17">
        <f t="shared" si="3"/>
        <v>19.833258998397394</v>
      </c>
      <c r="L4" s="16">
        <v>136</v>
      </c>
      <c r="M4" s="19">
        <f t="shared" ref="M4:M32" si="6">IFERROR(D4/L4,"-")</f>
        <v>0.47058823529411764</v>
      </c>
      <c r="N4" s="16">
        <v>209</v>
      </c>
      <c r="O4" s="20">
        <f t="shared" ref="O4:P4" si="7">D4/7</f>
        <v>9.1428571428571423</v>
      </c>
      <c r="P4" s="20">
        <f t="shared" si="7"/>
        <v>0</v>
      </c>
      <c r="Q4" s="16">
        <f t="shared" ref="Q4:Q32" si="8">ROUNDDOWN(N4/(O4+P4),0)</f>
        <v>22</v>
      </c>
      <c r="R4" s="16"/>
      <c r="S4" s="21">
        <v>3.6015625</v>
      </c>
      <c r="T4" s="14">
        <v>826</v>
      </c>
      <c r="U4" s="22">
        <v>442</v>
      </c>
      <c r="V4" s="23" t="s">
        <v>470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26" t="s">
        <v>35</v>
      </c>
      <c r="AB4" s="27">
        <f t="shared" ref="AB4:AB32" si="11">IF(OR(AA4="UsLargeStandardSize",AA4="UsSmallStandardSize"),-0.69,-0.48)</f>
        <v>-0.69</v>
      </c>
      <c r="AC4" s="28">
        <v>0.49782638888888892</v>
      </c>
      <c r="AD4" s="25">
        <f t="shared" ref="AD4:AD32" si="12">IFERROR(AB4*AC4*D4*2,0)</f>
        <v>-43.968026666666667</v>
      </c>
      <c r="AE4" s="25">
        <v>-9.6</v>
      </c>
      <c r="AF4" s="25">
        <v>-27.927435897435895</v>
      </c>
      <c r="AG4" s="25">
        <v>0</v>
      </c>
    </row>
    <row r="5" spans="1:33" ht="15.75" customHeight="1">
      <c r="A5" s="14" t="s">
        <v>183</v>
      </c>
      <c r="B5" s="14" t="s">
        <v>68</v>
      </c>
      <c r="C5" s="15">
        <f t="shared" si="4"/>
        <v>68.255405405405341</v>
      </c>
      <c r="D5" s="16">
        <v>74</v>
      </c>
      <c r="E5" s="16">
        <v>0</v>
      </c>
      <c r="F5" s="29">
        <v>5050.8999999999951</v>
      </c>
      <c r="G5" s="29">
        <v>0</v>
      </c>
      <c r="H5" s="18">
        <f t="shared" si="1"/>
        <v>0</v>
      </c>
      <c r="I5" s="18">
        <f t="shared" si="2"/>
        <v>0.2901141983135313</v>
      </c>
      <c r="J5" s="17">
        <f t="shared" si="5"/>
        <v>1465.3378042618137</v>
      </c>
      <c r="K5" s="17">
        <f t="shared" si="3"/>
        <v>19.801862219754241</v>
      </c>
      <c r="L5" s="16">
        <v>223</v>
      </c>
      <c r="M5" s="19">
        <f t="shared" si="6"/>
        <v>0.33183856502242154</v>
      </c>
      <c r="N5" s="16">
        <v>214</v>
      </c>
      <c r="O5" s="20">
        <f t="shared" ref="O5:P5" si="13">D5/7</f>
        <v>10.571428571428571</v>
      </c>
      <c r="P5" s="20">
        <f t="shared" si="13"/>
        <v>0</v>
      </c>
      <c r="Q5" s="16">
        <f t="shared" si="8"/>
        <v>20</v>
      </c>
      <c r="R5" s="16"/>
      <c r="S5" s="21">
        <v>3.3244274809160301</v>
      </c>
      <c r="T5" s="14">
        <v>826</v>
      </c>
      <c r="U5" s="22">
        <v>442</v>
      </c>
      <c r="V5" s="23" t="s">
        <v>470</v>
      </c>
      <c r="W5" s="14">
        <v>0</v>
      </c>
      <c r="X5" s="24">
        <f t="shared" si="9"/>
        <v>0</v>
      </c>
      <c r="Y5" s="25">
        <f t="shared" si="10"/>
        <v>0</v>
      </c>
      <c r="Z5" s="14">
        <v>0</v>
      </c>
      <c r="AA5" s="14" t="s">
        <v>35</v>
      </c>
      <c r="AB5" s="27">
        <f t="shared" si="11"/>
        <v>-0.69</v>
      </c>
      <c r="AC5" s="28">
        <v>0.49840324449594442</v>
      </c>
      <c r="AD5" s="25">
        <f t="shared" si="12"/>
        <v>-50.896939327925836</v>
      </c>
      <c r="AE5" s="25">
        <v>-9.6</v>
      </c>
      <c r="AF5" s="25">
        <v>-27.927435897435895</v>
      </c>
      <c r="AG5" s="25">
        <v>0</v>
      </c>
    </row>
    <row r="6" spans="1:33" ht="15.75" customHeight="1">
      <c r="A6" s="14" t="s">
        <v>185</v>
      </c>
      <c r="B6" s="14" t="s">
        <v>471</v>
      </c>
      <c r="C6" s="15">
        <f t="shared" si="4"/>
        <v>68.853797468354401</v>
      </c>
      <c r="D6" s="16">
        <v>79</v>
      </c>
      <c r="E6" s="16">
        <v>26</v>
      </c>
      <c r="F6" s="29">
        <v>5439.449999999998</v>
      </c>
      <c r="G6" s="29">
        <v>-0.05</v>
      </c>
      <c r="H6" s="18">
        <f t="shared" si="1"/>
        <v>9.192105819522198E-6</v>
      </c>
      <c r="I6" s="18">
        <f t="shared" si="2"/>
        <v>0.29498240285063676</v>
      </c>
      <c r="J6" s="17">
        <f t="shared" si="5"/>
        <v>1604.5420311858957</v>
      </c>
      <c r="K6" s="17">
        <f t="shared" si="3"/>
        <v>20.310658622606276</v>
      </c>
      <c r="L6" s="16">
        <v>224</v>
      </c>
      <c r="M6" s="19">
        <f t="shared" si="6"/>
        <v>0.35267857142857145</v>
      </c>
      <c r="N6" s="16">
        <v>132</v>
      </c>
      <c r="O6" s="20">
        <f t="shared" ref="O6:P6" si="14">D6/7</f>
        <v>11.285714285714286</v>
      </c>
      <c r="P6" s="20">
        <f t="shared" si="14"/>
        <v>3.7142857142857144</v>
      </c>
      <c r="Q6" s="16">
        <f t="shared" si="8"/>
        <v>8</v>
      </c>
      <c r="R6" s="16"/>
      <c r="S6" s="21">
        <v>4.3529411764705799</v>
      </c>
      <c r="T6" s="14">
        <v>644</v>
      </c>
      <c r="U6" s="22">
        <v>260</v>
      </c>
      <c r="V6" s="23" t="s">
        <v>472</v>
      </c>
      <c r="W6" s="14">
        <v>0</v>
      </c>
      <c r="X6" s="24">
        <f t="shared" si="9"/>
        <v>0</v>
      </c>
      <c r="Y6" s="25">
        <f t="shared" si="10"/>
        <v>0</v>
      </c>
      <c r="Z6" s="14">
        <v>0</v>
      </c>
      <c r="AA6" s="14" t="s">
        <v>35</v>
      </c>
      <c r="AB6" s="27">
        <f t="shared" si="11"/>
        <v>-0.69</v>
      </c>
      <c r="AC6" s="28">
        <v>0.49782638888888892</v>
      </c>
      <c r="AD6" s="25">
        <f t="shared" si="12"/>
        <v>-54.273032916666665</v>
      </c>
      <c r="AE6" s="25">
        <v>-9.6</v>
      </c>
      <c r="AF6" s="25">
        <v>-27.927435897435895</v>
      </c>
      <c r="AG6" s="25">
        <v>0</v>
      </c>
    </row>
    <row r="7" spans="1:33" ht="15.75" customHeight="1">
      <c r="A7" s="14" t="s">
        <v>187</v>
      </c>
      <c r="B7" s="14" t="s">
        <v>473</v>
      </c>
      <c r="C7" s="15">
        <f t="shared" si="4"/>
        <v>74.423799999999957</v>
      </c>
      <c r="D7" s="16">
        <v>50</v>
      </c>
      <c r="E7" s="16">
        <v>1</v>
      </c>
      <c r="F7" s="29">
        <v>3721.1899999999978</v>
      </c>
      <c r="G7" s="29">
        <v>0</v>
      </c>
      <c r="H7" s="18">
        <f t="shared" si="1"/>
        <v>0</v>
      </c>
      <c r="I7" s="18">
        <f t="shared" si="2"/>
        <v>0.33652935869839246</v>
      </c>
      <c r="J7" s="17">
        <f t="shared" si="5"/>
        <v>1252.2896842948703</v>
      </c>
      <c r="K7" s="17">
        <f t="shared" si="3"/>
        <v>25.045793685897408</v>
      </c>
      <c r="L7" s="16">
        <v>195</v>
      </c>
      <c r="M7" s="19">
        <f t="shared" si="6"/>
        <v>0.25641025641025639</v>
      </c>
      <c r="N7" s="16">
        <v>74</v>
      </c>
      <c r="O7" s="20">
        <f t="shared" ref="O7:P7" si="15">D7/7</f>
        <v>7.1428571428571432</v>
      </c>
      <c r="P7" s="20">
        <f t="shared" si="15"/>
        <v>0.14285714285714285</v>
      </c>
      <c r="Q7" s="16">
        <f t="shared" si="8"/>
        <v>10</v>
      </c>
      <c r="R7" s="16"/>
      <c r="S7" s="21">
        <v>5.1958146487294403</v>
      </c>
      <c r="T7" s="14">
        <v>384</v>
      </c>
      <c r="U7" s="22">
        <v>260</v>
      </c>
      <c r="V7" s="23" t="s">
        <v>474</v>
      </c>
      <c r="W7" s="14">
        <v>0</v>
      </c>
      <c r="X7" s="24">
        <f t="shared" si="9"/>
        <v>0</v>
      </c>
      <c r="Y7" s="25">
        <f t="shared" si="10"/>
        <v>0</v>
      </c>
      <c r="Z7" s="14">
        <v>0</v>
      </c>
      <c r="AA7" s="14" t="s">
        <v>35</v>
      </c>
      <c r="AB7" s="27">
        <f t="shared" si="11"/>
        <v>-0.69</v>
      </c>
      <c r="AC7" s="28">
        <v>0.49782638888888892</v>
      </c>
      <c r="AD7" s="25">
        <f t="shared" si="12"/>
        <v>-34.350020833333332</v>
      </c>
      <c r="AE7" s="25">
        <v>-9.6</v>
      </c>
      <c r="AF7" s="25">
        <v>-27.927435897435895</v>
      </c>
      <c r="AG7" s="25">
        <v>0</v>
      </c>
    </row>
    <row r="8" spans="1:33" ht="15.75" customHeight="1">
      <c r="A8" s="14" t="s">
        <v>189</v>
      </c>
      <c r="B8" s="14" t="s">
        <v>475</v>
      </c>
      <c r="C8" s="15">
        <f t="shared" si="4"/>
        <v>81.498750000000015</v>
      </c>
      <c r="D8" s="16">
        <v>24</v>
      </c>
      <c r="E8" s="16">
        <v>0</v>
      </c>
      <c r="F8" s="29">
        <v>1955.9700000000003</v>
      </c>
      <c r="G8" s="29">
        <v>0</v>
      </c>
      <c r="H8" s="18">
        <f t="shared" si="1"/>
        <v>0</v>
      </c>
      <c r="I8" s="18">
        <f t="shared" si="2"/>
        <v>0.38107255735006168</v>
      </c>
      <c r="J8" s="17">
        <f t="shared" si="5"/>
        <v>745.36649000000023</v>
      </c>
      <c r="K8" s="17">
        <f t="shared" si="3"/>
        <v>31.056937083333342</v>
      </c>
      <c r="L8" s="16">
        <v>108</v>
      </c>
      <c r="M8" s="19">
        <f t="shared" si="6"/>
        <v>0.22222222222222221</v>
      </c>
      <c r="N8" s="16">
        <v>251</v>
      </c>
      <c r="O8" s="20">
        <f t="shared" ref="O8:P8" si="16">D8/7</f>
        <v>3.4285714285714284</v>
      </c>
      <c r="P8" s="20">
        <f t="shared" si="16"/>
        <v>0</v>
      </c>
      <c r="Q8" s="16">
        <f t="shared" si="8"/>
        <v>73</v>
      </c>
      <c r="R8" s="16"/>
      <c r="S8" s="21">
        <v>3.4032921810699501</v>
      </c>
      <c r="T8" s="14">
        <v>384</v>
      </c>
      <c r="U8" s="22">
        <v>124</v>
      </c>
      <c r="V8" s="23" t="s">
        <v>476</v>
      </c>
      <c r="W8" s="14">
        <v>0</v>
      </c>
      <c r="X8" s="24">
        <f t="shared" si="9"/>
        <v>0</v>
      </c>
      <c r="Y8" s="25">
        <f t="shared" si="10"/>
        <v>0</v>
      </c>
      <c r="Z8" s="14">
        <v>0</v>
      </c>
      <c r="AA8" s="14" t="s">
        <v>35</v>
      </c>
      <c r="AB8" s="27">
        <f t="shared" si="11"/>
        <v>-0.69</v>
      </c>
      <c r="AC8" s="28">
        <v>0.49782638888888892</v>
      </c>
      <c r="AD8" s="25">
        <f t="shared" si="12"/>
        <v>-16.488009999999999</v>
      </c>
      <c r="AE8" s="25">
        <v>-9.6</v>
      </c>
      <c r="AF8" s="25">
        <v>-27.93</v>
      </c>
      <c r="AG8" s="25">
        <v>0</v>
      </c>
    </row>
    <row r="9" spans="1:33" ht="15.75" customHeight="1">
      <c r="A9" s="14" t="s">
        <v>191</v>
      </c>
      <c r="B9" s="14" t="s">
        <v>477</v>
      </c>
      <c r="C9" s="15">
        <f t="shared" si="4"/>
        <v>79.583333333333329</v>
      </c>
      <c r="D9" s="16">
        <v>39</v>
      </c>
      <c r="E9" s="16">
        <v>5</v>
      </c>
      <c r="F9" s="29">
        <v>3103.75</v>
      </c>
      <c r="G9" s="29">
        <v>0</v>
      </c>
      <c r="H9" s="18">
        <f t="shared" si="1"/>
        <v>0</v>
      </c>
      <c r="I9" s="18">
        <f t="shared" si="2"/>
        <v>0.36271751389448259</v>
      </c>
      <c r="J9" s="17">
        <f t="shared" si="5"/>
        <v>1125.7844837500004</v>
      </c>
      <c r="K9" s="17">
        <f t="shared" si="3"/>
        <v>28.866268814102575</v>
      </c>
      <c r="L9" s="16">
        <v>158</v>
      </c>
      <c r="M9" s="19">
        <f t="shared" si="6"/>
        <v>0.24683544303797469</v>
      </c>
      <c r="N9" s="16">
        <v>212</v>
      </c>
      <c r="O9" s="20">
        <f t="shared" ref="O9:P9" si="17">D9/7</f>
        <v>5.5714285714285712</v>
      </c>
      <c r="P9" s="20">
        <f t="shared" si="17"/>
        <v>0.7142857142857143</v>
      </c>
      <c r="Q9" s="16">
        <f t="shared" si="8"/>
        <v>33</v>
      </c>
      <c r="R9" s="16"/>
      <c r="S9" s="21">
        <v>2.8207461328480399</v>
      </c>
      <c r="T9" s="14">
        <v>384</v>
      </c>
      <c r="U9" s="22">
        <v>260</v>
      </c>
      <c r="V9" s="23" t="s">
        <v>478</v>
      </c>
      <c r="W9" s="14">
        <v>0</v>
      </c>
      <c r="X9" s="24">
        <f t="shared" si="9"/>
        <v>0</v>
      </c>
      <c r="Y9" s="25">
        <f t="shared" si="10"/>
        <v>0</v>
      </c>
      <c r="Z9" s="14">
        <v>0</v>
      </c>
      <c r="AA9" s="14" t="s">
        <v>35</v>
      </c>
      <c r="AB9" s="27">
        <f t="shared" si="11"/>
        <v>-0.69</v>
      </c>
      <c r="AC9" s="28">
        <v>0.49782638888888892</v>
      </c>
      <c r="AD9" s="25">
        <f t="shared" si="12"/>
        <v>-26.793016250000001</v>
      </c>
      <c r="AE9" s="25">
        <v>-9.6</v>
      </c>
      <c r="AF9" s="25">
        <v>-28.492564102564099</v>
      </c>
      <c r="AG9" s="25">
        <v>0</v>
      </c>
    </row>
    <row r="10" spans="1:33" ht="15.75" customHeight="1">
      <c r="A10" s="14" t="s">
        <v>192</v>
      </c>
      <c r="B10" s="14" t="s">
        <v>160</v>
      </c>
      <c r="C10" s="15">
        <f t="shared" si="4"/>
        <v>75.673448275862086</v>
      </c>
      <c r="D10" s="16">
        <v>58</v>
      </c>
      <c r="E10" s="16">
        <v>1</v>
      </c>
      <c r="F10" s="29">
        <v>4389.0600000000013</v>
      </c>
      <c r="G10" s="29">
        <v>-0.15</v>
      </c>
      <c r="H10" s="18">
        <f t="shared" si="1"/>
        <v>3.4175882763051755E-5</v>
      </c>
      <c r="I10" s="18">
        <f t="shared" si="2"/>
        <v>0.33750649521414977</v>
      </c>
      <c r="J10" s="17">
        <f t="shared" si="5"/>
        <v>1481.3362578846165</v>
      </c>
      <c r="K10" s="17">
        <f t="shared" si="3"/>
        <v>25.540280308355456</v>
      </c>
      <c r="L10" s="16">
        <v>215</v>
      </c>
      <c r="M10" s="19">
        <f t="shared" si="6"/>
        <v>0.26976744186046514</v>
      </c>
      <c r="N10" s="16">
        <v>144</v>
      </c>
      <c r="O10" s="20">
        <f t="shared" ref="O10:P10" si="18">D10/7</f>
        <v>8.2857142857142865</v>
      </c>
      <c r="P10" s="20">
        <f t="shared" si="18"/>
        <v>0.14285714285714285</v>
      </c>
      <c r="Q10" s="16">
        <f t="shared" si="8"/>
        <v>17</v>
      </c>
      <c r="R10" s="16"/>
      <c r="S10" s="21">
        <v>3.6469221835075398</v>
      </c>
      <c r="T10" s="14">
        <v>384</v>
      </c>
      <c r="U10" s="22">
        <v>260</v>
      </c>
      <c r="V10" s="23" t="s">
        <v>479</v>
      </c>
      <c r="W10" s="14">
        <v>0</v>
      </c>
      <c r="X10" s="24">
        <f t="shared" si="9"/>
        <v>0</v>
      </c>
      <c r="Y10" s="25">
        <f t="shared" si="10"/>
        <v>0</v>
      </c>
      <c r="Z10" s="14">
        <v>0</v>
      </c>
      <c r="AA10" s="14" t="s">
        <v>35</v>
      </c>
      <c r="AB10" s="27">
        <f t="shared" si="11"/>
        <v>-0.69</v>
      </c>
      <c r="AC10" s="28">
        <v>0.49782638888888892</v>
      </c>
      <c r="AD10" s="25">
        <f t="shared" si="12"/>
        <v>-39.846024166666666</v>
      </c>
      <c r="AE10" s="25">
        <v>-9.6</v>
      </c>
      <c r="AF10" s="25">
        <v>-28.492564102564099</v>
      </c>
      <c r="AG10" s="25">
        <v>0</v>
      </c>
    </row>
    <row r="11" spans="1:33" ht="15.75" customHeight="1">
      <c r="A11" s="14" t="s">
        <v>193</v>
      </c>
      <c r="B11" s="14" t="s">
        <v>68</v>
      </c>
      <c r="C11" s="15">
        <f t="shared" si="4"/>
        <v>74.041406249999966</v>
      </c>
      <c r="D11" s="16">
        <v>64</v>
      </c>
      <c r="E11" s="16">
        <v>0</v>
      </c>
      <c r="F11" s="29">
        <v>4738.6499999999978</v>
      </c>
      <c r="G11" s="29">
        <v>0</v>
      </c>
      <c r="H11" s="18">
        <f t="shared" si="1"/>
        <v>0</v>
      </c>
      <c r="I11" s="18">
        <f t="shared" si="2"/>
        <v>0.32624489480531998</v>
      </c>
      <c r="J11" s="17">
        <f t="shared" si="5"/>
        <v>1545.9603707692288</v>
      </c>
      <c r="K11" s="17">
        <f t="shared" si="3"/>
        <v>24.1556307932692</v>
      </c>
      <c r="L11" s="16">
        <v>293</v>
      </c>
      <c r="M11" s="19">
        <f t="shared" si="6"/>
        <v>0.21843003412969283</v>
      </c>
      <c r="N11" s="16">
        <v>238</v>
      </c>
      <c r="O11" s="20">
        <f t="shared" ref="O11:P11" si="19">D11/7</f>
        <v>9.1428571428571423</v>
      </c>
      <c r="P11" s="20">
        <f t="shared" si="19"/>
        <v>0</v>
      </c>
      <c r="Q11" s="16">
        <f t="shared" si="8"/>
        <v>26</v>
      </c>
      <c r="R11" s="16"/>
      <c r="S11" s="21">
        <v>3.5254988913525498</v>
      </c>
      <c r="T11" s="14">
        <v>1584</v>
      </c>
      <c r="U11" s="22">
        <v>260</v>
      </c>
      <c r="V11" s="23" t="s">
        <v>479</v>
      </c>
      <c r="W11" s="14">
        <v>0</v>
      </c>
      <c r="X11" s="24">
        <f t="shared" si="9"/>
        <v>0</v>
      </c>
      <c r="Y11" s="25">
        <f t="shared" si="10"/>
        <v>0</v>
      </c>
      <c r="Z11" s="14">
        <v>0</v>
      </c>
      <c r="AA11" s="14" t="s">
        <v>35</v>
      </c>
      <c r="AB11" s="27">
        <f t="shared" si="11"/>
        <v>-0.69</v>
      </c>
      <c r="AC11" s="28">
        <v>0.49782638888888892</v>
      </c>
      <c r="AD11" s="25">
        <f t="shared" si="12"/>
        <v>-43.968026666666667</v>
      </c>
      <c r="AE11" s="25">
        <v>-9.6</v>
      </c>
      <c r="AF11" s="25">
        <v>-28.492564102564099</v>
      </c>
      <c r="AG11" s="25">
        <v>0</v>
      </c>
    </row>
    <row r="12" spans="1:33" ht="15.75" customHeight="1">
      <c r="A12" s="14" t="s">
        <v>195</v>
      </c>
      <c r="B12" s="14" t="s">
        <v>68</v>
      </c>
      <c r="C12" s="15">
        <f t="shared" si="4"/>
        <v>71.272131147540946</v>
      </c>
      <c r="D12" s="16">
        <v>61</v>
      </c>
      <c r="E12" s="16">
        <v>2</v>
      </c>
      <c r="F12" s="29">
        <v>4347.5999999999976</v>
      </c>
      <c r="G12" s="29">
        <v>0</v>
      </c>
      <c r="H12" s="18">
        <f t="shared" si="1"/>
        <v>0</v>
      </c>
      <c r="I12" s="18">
        <f t="shared" si="2"/>
        <v>0.30584560690425106</v>
      </c>
      <c r="J12" s="17">
        <f t="shared" si="5"/>
        <v>1329.6943605769211</v>
      </c>
      <c r="K12" s="17">
        <f t="shared" si="3"/>
        <v>21.798268206179035</v>
      </c>
      <c r="L12" s="16">
        <v>230</v>
      </c>
      <c r="M12" s="19">
        <f t="shared" si="6"/>
        <v>0.26521739130434785</v>
      </c>
      <c r="N12" s="16">
        <v>185</v>
      </c>
      <c r="O12" s="20">
        <f t="shared" ref="O12:P12" si="20">D12/7</f>
        <v>8.7142857142857135</v>
      </c>
      <c r="P12" s="20">
        <f t="shared" si="20"/>
        <v>0.2857142857142857</v>
      </c>
      <c r="Q12" s="16">
        <f t="shared" si="8"/>
        <v>20</v>
      </c>
      <c r="R12" s="16"/>
      <c r="S12" s="21">
        <v>4.3697478991596599</v>
      </c>
      <c r="T12" s="14">
        <v>1584</v>
      </c>
      <c r="U12" s="22">
        <v>260</v>
      </c>
      <c r="V12" s="23" t="s">
        <v>480</v>
      </c>
      <c r="W12" s="14">
        <v>0</v>
      </c>
      <c r="X12" s="24">
        <f t="shared" si="9"/>
        <v>0</v>
      </c>
      <c r="Y12" s="25">
        <f t="shared" si="10"/>
        <v>0</v>
      </c>
      <c r="Z12" s="14">
        <v>0</v>
      </c>
      <c r="AA12" s="14" t="s">
        <v>35</v>
      </c>
      <c r="AB12" s="27">
        <f t="shared" si="11"/>
        <v>-0.69</v>
      </c>
      <c r="AC12" s="28">
        <v>0.50034722222222217</v>
      </c>
      <c r="AD12" s="25">
        <f t="shared" si="12"/>
        <v>-42.119229166666656</v>
      </c>
      <c r="AE12" s="25">
        <v>-9.6</v>
      </c>
      <c r="AF12" s="25">
        <v>-28.492564102564099</v>
      </c>
      <c r="AG12" s="25">
        <v>0</v>
      </c>
    </row>
    <row r="13" spans="1:33" ht="15.75" customHeight="1">
      <c r="A13" s="14" t="s">
        <v>197</v>
      </c>
      <c r="B13" s="14" t="s">
        <v>481</v>
      </c>
      <c r="C13" s="15">
        <f t="shared" si="4"/>
        <v>73.127346938775545</v>
      </c>
      <c r="D13" s="16">
        <v>49</v>
      </c>
      <c r="E13" s="16">
        <v>3</v>
      </c>
      <c r="F13" s="17">
        <v>3583.2400000000016</v>
      </c>
      <c r="G13" s="29">
        <v>0</v>
      </c>
      <c r="H13" s="18">
        <f t="shared" si="1"/>
        <v>0</v>
      </c>
      <c r="I13" s="18">
        <f t="shared" si="2"/>
        <v>0.31558324891252998</v>
      </c>
      <c r="J13" s="17">
        <f t="shared" si="5"/>
        <v>1130.8105208333345</v>
      </c>
      <c r="K13" s="17">
        <f t="shared" si="3"/>
        <v>23.077765731292541</v>
      </c>
      <c r="L13" s="16">
        <v>139</v>
      </c>
      <c r="M13" s="19">
        <f t="shared" si="6"/>
        <v>0.35251798561151076</v>
      </c>
      <c r="N13" s="16">
        <v>124</v>
      </c>
      <c r="O13" s="20">
        <f t="shared" ref="O13:P13" si="21">D13/7</f>
        <v>7</v>
      </c>
      <c r="P13" s="20">
        <f t="shared" si="21"/>
        <v>0.42857142857142855</v>
      </c>
      <c r="Q13" s="16">
        <f t="shared" si="8"/>
        <v>16</v>
      </c>
      <c r="R13" s="16"/>
      <c r="S13" s="21">
        <v>3.6768149882903902</v>
      </c>
      <c r="T13" s="14">
        <v>1324</v>
      </c>
      <c r="U13" s="22">
        <v>124</v>
      </c>
      <c r="V13" s="23" t="s">
        <v>482</v>
      </c>
      <c r="W13" s="14">
        <v>0</v>
      </c>
      <c r="X13" s="24">
        <f t="shared" si="9"/>
        <v>0</v>
      </c>
      <c r="Y13" s="25">
        <f t="shared" si="10"/>
        <v>0</v>
      </c>
      <c r="Z13" s="14">
        <v>0</v>
      </c>
      <c r="AA13" s="14" t="s">
        <v>35</v>
      </c>
      <c r="AB13" s="27">
        <f t="shared" si="11"/>
        <v>-0.69</v>
      </c>
      <c r="AC13" s="28">
        <v>0.50034722222222217</v>
      </c>
      <c r="AD13" s="25">
        <f t="shared" si="12"/>
        <v>-33.833479166666663</v>
      </c>
      <c r="AE13" s="25">
        <v>-9.6</v>
      </c>
      <c r="AF13" s="25">
        <v>-28.79</v>
      </c>
      <c r="AG13" s="25">
        <v>0</v>
      </c>
    </row>
    <row r="14" spans="1:33" ht="15.75" customHeight="1">
      <c r="A14" s="14" t="s">
        <v>32</v>
      </c>
      <c r="B14" s="14" t="s">
        <v>483</v>
      </c>
      <c r="C14" s="15">
        <f t="shared" si="4"/>
        <v>69.573372093023224</v>
      </c>
      <c r="D14" s="16">
        <v>86</v>
      </c>
      <c r="E14" s="16">
        <v>0</v>
      </c>
      <c r="F14" s="17">
        <v>5983.3099999999977</v>
      </c>
      <c r="G14" s="29">
        <v>-0.08</v>
      </c>
      <c r="H14" s="18">
        <f t="shared" si="1"/>
        <v>1.337052567893023E-5</v>
      </c>
      <c r="I14" s="18">
        <f t="shared" si="2"/>
        <v>0.28827058796329541</v>
      </c>
      <c r="J14" s="17">
        <f t="shared" si="5"/>
        <v>1724.8122916666644</v>
      </c>
      <c r="K14" s="17">
        <f t="shared" si="3"/>
        <v>20.055956879844935</v>
      </c>
      <c r="L14" s="16">
        <v>214</v>
      </c>
      <c r="M14" s="19">
        <f t="shared" si="6"/>
        <v>0.40186915887850466</v>
      </c>
      <c r="N14" s="16">
        <v>308</v>
      </c>
      <c r="O14" s="20">
        <f t="shared" ref="O14:P14" si="22">D14/7</f>
        <v>12.285714285714286</v>
      </c>
      <c r="P14" s="20">
        <f t="shared" si="22"/>
        <v>0</v>
      </c>
      <c r="Q14" s="16">
        <f t="shared" si="8"/>
        <v>25</v>
      </c>
      <c r="R14" s="16"/>
      <c r="S14" s="21">
        <v>2.68869565217391</v>
      </c>
      <c r="T14" s="14">
        <v>1324</v>
      </c>
      <c r="U14" s="22">
        <v>124</v>
      </c>
      <c r="V14" s="23" t="s">
        <v>482</v>
      </c>
      <c r="W14" s="14">
        <v>0</v>
      </c>
      <c r="X14" s="24">
        <f t="shared" si="9"/>
        <v>0</v>
      </c>
      <c r="Y14" s="25">
        <f t="shared" si="10"/>
        <v>0</v>
      </c>
      <c r="Z14" s="14">
        <v>0</v>
      </c>
      <c r="AA14" s="14" t="s">
        <v>35</v>
      </c>
      <c r="AB14" s="27">
        <f t="shared" si="11"/>
        <v>-0.69</v>
      </c>
      <c r="AC14" s="28">
        <v>0.50034722222222217</v>
      </c>
      <c r="AD14" s="25">
        <f t="shared" si="12"/>
        <v>-59.381208333333319</v>
      </c>
      <c r="AE14" s="25">
        <v>-9.6</v>
      </c>
      <c r="AF14" s="25">
        <v>-28.79</v>
      </c>
      <c r="AG14" s="25">
        <v>0</v>
      </c>
    </row>
    <row r="15" spans="1:33" ht="15.75" customHeight="1">
      <c r="A15" s="14" t="s">
        <v>36</v>
      </c>
      <c r="B15" s="14" t="s">
        <v>484</v>
      </c>
      <c r="C15" s="15">
        <f t="shared" si="4"/>
        <v>70.715735294117621</v>
      </c>
      <c r="D15" s="16">
        <v>68</v>
      </c>
      <c r="E15" s="16">
        <v>1</v>
      </c>
      <c r="F15" s="17">
        <v>4808.6699999999983</v>
      </c>
      <c r="G15" s="29">
        <v>0</v>
      </c>
      <c r="H15" s="18">
        <f t="shared" si="1"/>
        <v>0</v>
      </c>
      <c r="I15" s="18">
        <f t="shared" si="2"/>
        <v>0.26921725064657498</v>
      </c>
      <c r="J15" s="17">
        <f t="shared" si="5"/>
        <v>1294.5769166666653</v>
      </c>
      <c r="K15" s="17">
        <f t="shared" si="3"/>
        <v>19.037895833333312</v>
      </c>
      <c r="L15" s="16">
        <v>198</v>
      </c>
      <c r="M15" s="19">
        <f t="shared" si="6"/>
        <v>0.34343434343434343</v>
      </c>
      <c r="N15" s="16">
        <v>237</v>
      </c>
      <c r="O15" s="20">
        <f t="shared" ref="O15:P15" si="23">D15/7</f>
        <v>9.7142857142857135</v>
      </c>
      <c r="P15" s="20">
        <f t="shared" si="23"/>
        <v>0.14285714285714285</v>
      </c>
      <c r="Q15" s="16">
        <f t="shared" si="8"/>
        <v>24</v>
      </c>
      <c r="R15" s="16"/>
      <c r="S15" s="21">
        <v>3.7478368355995002</v>
      </c>
      <c r="T15" s="14">
        <v>1324</v>
      </c>
      <c r="U15" s="22">
        <v>124</v>
      </c>
      <c r="V15" s="23" t="s">
        <v>482</v>
      </c>
      <c r="W15" s="14">
        <v>0</v>
      </c>
      <c r="X15" s="24">
        <f t="shared" si="9"/>
        <v>0</v>
      </c>
      <c r="Y15" s="25">
        <f t="shared" si="10"/>
        <v>0</v>
      </c>
      <c r="Z15" s="14">
        <v>0</v>
      </c>
      <c r="AA15" s="14" t="s">
        <v>35</v>
      </c>
      <c r="AB15" s="27">
        <f t="shared" si="11"/>
        <v>-0.69</v>
      </c>
      <c r="AC15" s="28">
        <v>0.50034722222222217</v>
      </c>
      <c r="AD15" s="25">
        <f t="shared" si="12"/>
        <v>-46.952583333333322</v>
      </c>
      <c r="AE15" s="25">
        <v>-9.6</v>
      </c>
      <c r="AF15" s="25">
        <v>-30.78</v>
      </c>
      <c r="AG15" s="25">
        <v>0</v>
      </c>
    </row>
    <row r="16" spans="1:33" ht="15.75" customHeight="1">
      <c r="A16" s="14" t="s">
        <v>38</v>
      </c>
      <c r="B16" s="14" t="s">
        <v>64</v>
      </c>
      <c r="C16" s="15">
        <f t="shared" si="4"/>
        <v>69.4785245901639</v>
      </c>
      <c r="D16" s="16">
        <v>61</v>
      </c>
      <c r="E16" s="16">
        <v>0</v>
      </c>
      <c r="F16" s="17">
        <v>4238.1899999999978</v>
      </c>
      <c r="G16" s="29">
        <v>0</v>
      </c>
      <c r="H16" s="18">
        <f t="shared" si="1"/>
        <v>0</v>
      </c>
      <c r="I16" s="18">
        <f t="shared" si="2"/>
        <v>0.25887519691975391</v>
      </c>
      <c r="J16" s="17">
        <f t="shared" si="5"/>
        <v>1097.1622708333311</v>
      </c>
      <c r="K16" s="17">
        <f t="shared" si="3"/>
        <v>17.986266734972642</v>
      </c>
      <c r="L16" s="16">
        <v>187</v>
      </c>
      <c r="M16" s="19">
        <f t="shared" si="6"/>
        <v>0.32620320855614976</v>
      </c>
      <c r="N16" s="16">
        <v>307</v>
      </c>
      <c r="O16" s="20">
        <f t="shared" ref="O16:P16" si="24">D16/7</f>
        <v>8.7142857142857135</v>
      </c>
      <c r="P16" s="20">
        <f t="shared" si="24"/>
        <v>0</v>
      </c>
      <c r="Q16" s="16">
        <f t="shared" si="8"/>
        <v>35</v>
      </c>
      <c r="R16" s="16"/>
      <c r="S16" s="21">
        <v>3.4594594594594499</v>
      </c>
      <c r="T16" s="14">
        <v>1324</v>
      </c>
      <c r="U16" s="22">
        <v>124</v>
      </c>
      <c r="V16" s="23" t="s">
        <v>482</v>
      </c>
      <c r="W16" s="14">
        <v>0</v>
      </c>
      <c r="X16" s="24">
        <f t="shared" si="9"/>
        <v>0</v>
      </c>
      <c r="Y16" s="25">
        <f t="shared" si="10"/>
        <v>0</v>
      </c>
      <c r="Z16" s="14">
        <v>0</v>
      </c>
      <c r="AA16" s="14" t="s">
        <v>35</v>
      </c>
      <c r="AB16" s="27">
        <f t="shared" si="11"/>
        <v>-0.69</v>
      </c>
      <c r="AC16" s="28">
        <v>0.50034722222222217</v>
      </c>
      <c r="AD16" s="25">
        <f t="shared" si="12"/>
        <v>-42.119229166666656</v>
      </c>
      <c r="AE16" s="25">
        <v>-9.6</v>
      </c>
      <c r="AF16" s="25">
        <v>-30.78</v>
      </c>
      <c r="AG16" s="25">
        <v>0</v>
      </c>
    </row>
    <row r="17" spans="1:33" ht="15.75" customHeight="1">
      <c r="A17" s="14" t="s">
        <v>40</v>
      </c>
      <c r="B17" s="14" t="s">
        <v>66</v>
      </c>
      <c r="C17" s="15">
        <f t="shared" si="4"/>
        <v>70.467422680412284</v>
      </c>
      <c r="D17" s="16">
        <v>97</v>
      </c>
      <c r="E17" s="16">
        <v>4</v>
      </c>
      <c r="F17" s="17">
        <v>6835.339999999992</v>
      </c>
      <c r="G17" s="29">
        <v>-146.16999999999996</v>
      </c>
      <c r="H17" s="18">
        <f t="shared" si="1"/>
        <v>2.1384451980442837E-2</v>
      </c>
      <c r="I17" s="18">
        <f t="shared" si="2"/>
        <v>0.24578624045524122</v>
      </c>
      <c r="J17" s="17">
        <f t="shared" si="5"/>
        <v>1680.0325208333265</v>
      </c>
      <c r="K17" s="17">
        <f t="shared" si="3"/>
        <v>17.319922895188935</v>
      </c>
      <c r="L17" s="16">
        <v>315</v>
      </c>
      <c r="M17" s="19">
        <f t="shared" si="6"/>
        <v>0.30793650793650795</v>
      </c>
      <c r="N17" s="16">
        <v>215</v>
      </c>
      <c r="O17" s="20">
        <f t="shared" ref="O17:P17" si="25">D17/7</f>
        <v>13.857142857142858</v>
      </c>
      <c r="P17" s="20">
        <f t="shared" si="25"/>
        <v>0.5714285714285714</v>
      </c>
      <c r="Q17" s="16">
        <f t="shared" si="8"/>
        <v>14</v>
      </c>
      <c r="R17" s="16"/>
      <c r="S17" s="21">
        <v>3.3560767590618301</v>
      </c>
      <c r="T17" s="14">
        <v>1324</v>
      </c>
      <c r="U17" s="22">
        <v>124</v>
      </c>
      <c r="V17" s="23" t="s">
        <v>485</v>
      </c>
      <c r="W17" s="14">
        <v>5</v>
      </c>
      <c r="X17" s="24">
        <f t="shared" si="9"/>
        <v>5.1546391752577317E-2</v>
      </c>
      <c r="Y17" s="25">
        <f t="shared" si="10"/>
        <v>13.288181818181814</v>
      </c>
      <c r="Z17" s="14">
        <v>6</v>
      </c>
      <c r="AA17" s="14" t="s">
        <v>35</v>
      </c>
      <c r="AB17" s="27">
        <f t="shared" si="11"/>
        <v>-0.69</v>
      </c>
      <c r="AC17" s="28">
        <v>0.50034722222222217</v>
      </c>
      <c r="AD17" s="25">
        <f t="shared" si="12"/>
        <v>-66.97647916666665</v>
      </c>
      <c r="AE17" s="25">
        <v>-9.6</v>
      </c>
      <c r="AF17" s="25">
        <v>-30.78</v>
      </c>
      <c r="AG17" s="25">
        <v>0</v>
      </c>
    </row>
    <row r="18" spans="1:33" ht="15.75" customHeight="1">
      <c r="A18" s="14" t="s">
        <v>42</v>
      </c>
      <c r="B18" s="14" t="s">
        <v>486</v>
      </c>
      <c r="C18" s="15">
        <f t="shared" si="4"/>
        <v>73.419074074074075</v>
      </c>
      <c r="D18" s="16">
        <v>54</v>
      </c>
      <c r="E18" s="16">
        <v>3</v>
      </c>
      <c r="F18" s="17">
        <v>3964.63</v>
      </c>
      <c r="G18" s="29">
        <v>-58.28</v>
      </c>
      <c r="H18" s="18">
        <f t="shared" si="1"/>
        <v>1.4699984613948842E-2</v>
      </c>
      <c r="I18" s="18">
        <f t="shared" si="2"/>
        <v>0.28352564417975312</v>
      </c>
      <c r="J18" s="17">
        <f t="shared" si="5"/>
        <v>1124.0742746843746</v>
      </c>
      <c r="K18" s="17">
        <f t="shared" si="3"/>
        <v>20.816190271932864</v>
      </c>
      <c r="L18" s="16">
        <v>219</v>
      </c>
      <c r="M18" s="19">
        <f t="shared" si="6"/>
        <v>0.24657534246575341</v>
      </c>
      <c r="N18" s="16">
        <v>153</v>
      </c>
      <c r="O18" s="20">
        <f t="shared" ref="O18:P18" si="26">D18/7</f>
        <v>7.7142857142857144</v>
      </c>
      <c r="P18" s="20">
        <f t="shared" si="26"/>
        <v>0.42857142857142855</v>
      </c>
      <c r="Q18" s="16">
        <f t="shared" si="8"/>
        <v>18</v>
      </c>
      <c r="R18" s="16"/>
      <c r="S18" s="21">
        <v>3.1960000000000002</v>
      </c>
      <c r="T18" s="14">
        <v>1500</v>
      </c>
      <c r="U18" s="22">
        <v>0</v>
      </c>
      <c r="V18" s="23" t="s">
        <v>487</v>
      </c>
      <c r="W18" s="14">
        <v>6</v>
      </c>
      <c r="X18" s="24">
        <f t="shared" si="9"/>
        <v>0.1111111111111111</v>
      </c>
      <c r="Y18" s="25">
        <f t="shared" si="10"/>
        <v>4.8566666666666665</v>
      </c>
      <c r="Z18" s="14">
        <v>6</v>
      </c>
      <c r="AA18" s="14" t="s">
        <v>35</v>
      </c>
      <c r="AB18" s="27">
        <f t="shared" si="11"/>
        <v>-0.69</v>
      </c>
      <c r="AC18" s="28">
        <v>0.37011842881944446</v>
      </c>
      <c r="AD18" s="25">
        <f t="shared" si="12"/>
        <v>-27.581225315624998</v>
      </c>
      <c r="AE18" s="25">
        <v>-9.2200000000000006</v>
      </c>
      <c r="AF18" s="25">
        <v>-30.78</v>
      </c>
      <c r="AG18" s="25">
        <v>0</v>
      </c>
    </row>
    <row r="19" spans="1:33" ht="15.75" customHeight="1">
      <c r="A19" s="14" t="s">
        <v>44</v>
      </c>
      <c r="B19" s="14" t="s">
        <v>488</v>
      </c>
      <c r="C19" s="15">
        <f t="shared" si="4"/>
        <v>74.168387096774197</v>
      </c>
      <c r="D19" s="16">
        <v>31</v>
      </c>
      <c r="E19" s="16">
        <v>0</v>
      </c>
      <c r="F19" s="17">
        <v>2299.2200000000003</v>
      </c>
      <c r="G19" s="29">
        <v>0</v>
      </c>
      <c r="H19" s="18">
        <f t="shared" si="1"/>
        <v>0</v>
      </c>
      <c r="I19" s="18">
        <f t="shared" si="2"/>
        <v>0.284614057643507</v>
      </c>
      <c r="J19" s="17">
        <f t="shared" si="5"/>
        <v>654.39033361510428</v>
      </c>
      <c r="K19" s="17">
        <f t="shared" si="3"/>
        <v>21.109365600487234</v>
      </c>
      <c r="L19" s="16">
        <v>170</v>
      </c>
      <c r="M19" s="19">
        <f t="shared" si="6"/>
        <v>0.18235294117647058</v>
      </c>
      <c r="N19" s="16">
        <v>249</v>
      </c>
      <c r="O19" s="20">
        <f t="shared" ref="O19:P19" si="27">D19/7</f>
        <v>4.4285714285714288</v>
      </c>
      <c r="P19" s="20">
        <f t="shared" si="27"/>
        <v>0</v>
      </c>
      <c r="Q19" s="16">
        <f t="shared" si="8"/>
        <v>56</v>
      </c>
      <c r="R19" s="16"/>
      <c r="S19" s="21">
        <v>3.3340635268346102</v>
      </c>
      <c r="T19" s="14">
        <v>1500</v>
      </c>
      <c r="U19" s="22">
        <v>400</v>
      </c>
      <c r="V19" s="23" t="s">
        <v>489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14" t="s">
        <v>35</v>
      </c>
      <c r="AB19" s="27">
        <f t="shared" si="11"/>
        <v>-0.69</v>
      </c>
      <c r="AC19" s="28">
        <v>0.37011842881944446</v>
      </c>
      <c r="AD19" s="25">
        <f t="shared" si="12"/>
        <v>-15.833666384895832</v>
      </c>
      <c r="AE19" s="25">
        <v>-9.2200000000000006</v>
      </c>
      <c r="AF19" s="25">
        <v>-32.203000000000003</v>
      </c>
      <c r="AG19" s="25">
        <v>0</v>
      </c>
    </row>
    <row r="20" spans="1:33" ht="15.75" customHeight="1">
      <c r="A20" s="14" t="s">
        <v>46</v>
      </c>
      <c r="B20" s="14" t="s">
        <v>490</v>
      </c>
      <c r="C20" s="15">
        <f t="shared" si="4"/>
        <v>74.440000000000026</v>
      </c>
      <c r="D20" s="16">
        <v>27</v>
      </c>
      <c r="E20" s="16">
        <v>3</v>
      </c>
      <c r="F20" s="17">
        <v>2009.8800000000006</v>
      </c>
      <c r="G20" s="29">
        <v>0</v>
      </c>
      <c r="H20" s="18">
        <f t="shared" si="1"/>
        <v>0</v>
      </c>
      <c r="I20" s="18">
        <f t="shared" si="2"/>
        <v>0.28667700924542139</v>
      </c>
      <c r="J20" s="17">
        <f t="shared" si="5"/>
        <v>576.18638734218769</v>
      </c>
      <c r="K20" s="17">
        <f t="shared" si="3"/>
        <v>21.340236568229173</v>
      </c>
      <c r="L20" s="16">
        <v>151</v>
      </c>
      <c r="M20" s="19">
        <f t="shared" si="6"/>
        <v>0.17880794701986755</v>
      </c>
      <c r="N20" s="16">
        <v>231</v>
      </c>
      <c r="O20" s="20">
        <f t="shared" ref="O20:P20" si="28">D20/7</f>
        <v>3.8571428571428572</v>
      </c>
      <c r="P20" s="20">
        <f t="shared" si="28"/>
        <v>0.42857142857142855</v>
      </c>
      <c r="Q20" s="16">
        <f t="shared" si="8"/>
        <v>53</v>
      </c>
      <c r="R20" s="16"/>
      <c r="S20" s="21">
        <v>3.0062893081761</v>
      </c>
      <c r="T20" s="14">
        <v>700</v>
      </c>
      <c r="U20" s="22">
        <v>80</v>
      </c>
      <c r="V20" s="23" t="s">
        <v>491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14" t="s">
        <v>35</v>
      </c>
      <c r="AB20" s="27">
        <f t="shared" si="11"/>
        <v>-0.69</v>
      </c>
      <c r="AC20" s="28">
        <v>0.37011842881944446</v>
      </c>
      <c r="AD20" s="25">
        <f t="shared" si="12"/>
        <v>-13.790612657812499</v>
      </c>
      <c r="AE20" s="25">
        <v>-9.2200000000000006</v>
      </c>
      <c r="AF20" s="25">
        <v>-32.203000000000003</v>
      </c>
      <c r="AG20" s="25">
        <v>0</v>
      </c>
    </row>
    <row r="21" spans="1:33" ht="15.75" customHeight="1">
      <c r="A21" s="14" t="s">
        <v>47</v>
      </c>
      <c r="B21" s="14" t="s">
        <v>492</v>
      </c>
      <c r="C21" s="15">
        <f t="shared" si="4"/>
        <v>70.855111111111086</v>
      </c>
      <c r="D21" s="16">
        <v>45</v>
      </c>
      <c r="E21" s="16">
        <v>0</v>
      </c>
      <c r="F21" s="17">
        <v>3188.4799999999991</v>
      </c>
      <c r="G21" s="29">
        <v>0</v>
      </c>
      <c r="H21" s="18">
        <f t="shared" si="1"/>
        <v>0</v>
      </c>
      <c r="I21" s="18">
        <f t="shared" si="2"/>
        <v>0.2581758849264576</v>
      </c>
      <c r="J21" s="17">
        <f t="shared" si="5"/>
        <v>823.18864557031134</v>
      </c>
      <c r="K21" s="17">
        <f t="shared" si="3"/>
        <v>18.293081012673586</v>
      </c>
      <c r="L21" s="16">
        <v>88</v>
      </c>
      <c r="M21" s="19">
        <f t="shared" si="6"/>
        <v>0.51136363636363635</v>
      </c>
      <c r="N21" s="16">
        <v>167</v>
      </c>
      <c r="O21" s="20">
        <f t="shared" ref="O21:P21" si="29">D21/7</f>
        <v>6.4285714285714288</v>
      </c>
      <c r="P21" s="20">
        <f t="shared" si="29"/>
        <v>0</v>
      </c>
      <c r="Q21" s="16">
        <f t="shared" si="8"/>
        <v>25</v>
      </c>
      <c r="R21" s="16"/>
      <c r="S21" s="21">
        <v>3.2263736263736198</v>
      </c>
      <c r="T21" s="14">
        <v>700</v>
      </c>
      <c r="U21" s="22">
        <v>80</v>
      </c>
      <c r="V21" s="23" t="s">
        <v>493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14" t="s">
        <v>35</v>
      </c>
      <c r="AB21" s="27">
        <f t="shared" si="11"/>
        <v>-0.69</v>
      </c>
      <c r="AC21" s="28">
        <v>0.37011842881944446</v>
      </c>
      <c r="AD21" s="25">
        <f t="shared" si="12"/>
        <v>-22.984354429687496</v>
      </c>
      <c r="AE21" s="25">
        <v>-9.2200000000000006</v>
      </c>
      <c r="AF21" s="25">
        <v>-32.203000000000003</v>
      </c>
      <c r="AG21" s="25">
        <v>0</v>
      </c>
    </row>
    <row r="22" spans="1:33" ht="15.75" customHeight="1">
      <c r="A22" s="14" t="s">
        <v>48</v>
      </c>
      <c r="B22" s="14" t="s">
        <v>490</v>
      </c>
      <c r="C22" s="15">
        <f t="shared" si="4"/>
        <v>72.73</v>
      </c>
      <c r="D22" s="16">
        <v>28</v>
      </c>
      <c r="E22" s="16">
        <v>0</v>
      </c>
      <c r="F22" s="29">
        <v>2036.4400000000003</v>
      </c>
      <c r="G22" s="29">
        <v>0</v>
      </c>
      <c r="H22" s="18">
        <f t="shared" si="1"/>
        <v>0</v>
      </c>
      <c r="I22" s="18">
        <f t="shared" si="2"/>
        <v>0.27343237409912236</v>
      </c>
      <c r="J22" s="17">
        <f t="shared" si="5"/>
        <v>556.82862391041681</v>
      </c>
      <c r="K22" s="17">
        <f t="shared" si="3"/>
        <v>19.886736568229171</v>
      </c>
      <c r="L22" s="16">
        <v>215</v>
      </c>
      <c r="M22" s="19">
        <f t="shared" si="6"/>
        <v>0.13023255813953488</v>
      </c>
      <c r="N22" s="16">
        <v>148</v>
      </c>
      <c r="O22" s="20">
        <f t="shared" ref="O22:P22" si="30">D22/7</f>
        <v>4</v>
      </c>
      <c r="P22" s="20">
        <f t="shared" si="30"/>
        <v>0</v>
      </c>
      <c r="Q22" s="16">
        <f t="shared" si="8"/>
        <v>37</v>
      </c>
      <c r="R22" s="16"/>
      <c r="S22" s="21">
        <v>4.0448179271708602</v>
      </c>
      <c r="T22" s="14">
        <v>900</v>
      </c>
      <c r="U22" s="22">
        <v>80</v>
      </c>
      <c r="V22" s="23" t="s">
        <v>493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35</v>
      </c>
      <c r="AB22" s="27">
        <f t="shared" si="11"/>
        <v>-0.69</v>
      </c>
      <c r="AC22" s="28">
        <v>0.37011842881944446</v>
      </c>
      <c r="AD22" s="25">
        <f t="shared" si="12"/>
        <v>-14.301376089583332</v>
      </c>
      <c r="AE22" s="25">
        <v>-9.2200000000000006</v>
      </c>
      <c r="AF22" s="25">
        <v>-32.203000000000003</v>
      </c>
      <c r="AG22" s="25">
        <v>0</v>
      </c>
    </row>
    <row r="23" spans="1:33" ht="15.75" customHeight="1">
      <c r="A23" s="14" t="s">
        <v>49</v>
      </c>
      <c r="B23" s="14" t="s">
        <v>68</v>
      </c>
      <c r="C23" s="15">
        <f t="shared" si="4"/>
        <v>72.38714285714282</v>
      </c>
      <c r="D23" s="16">
        <v>56</v>
      </c>
      <c r="E23" s="16">
        <v>7</v>
      </c>
      <c r="F23" s="17">
        <v>4053.679999999998</v>
      </c>
      <c r="G23" s="29">
        <v>0</v>
      </c>
      <c r="H23" s="18">
        <f t="shared" si="1"/>
        <v>0</v>
      </c>
      <c r="I23" s="18">
        <f t="shared" si="2"/>
        <v>0.27070149785400727</v>
      </c>
      <c r="J23" s="17">
        <f t="shared" si="5"/>
        <v>1097.3372478208316</v>
      </c>
      <c r="K23" s="17">
        <f t="shared" si="3"/>
        <v>19.595307996800564</v>
      </c>
      <c r="L23" s="16">
        <v>168</v>
      </c>
      <c r="M23" s="19">
        <f t="shared" si="6"/>
        <v>0.33333333333333331</v>
      </c>
      <c r="N23" s="16">
        <v>103</v>
      </c>
      <c r="O23" s="20">
        <f t="shared" ref="O23:P23" si="31">D23/7</f>
        <v>8</v>
      </c>
      <c r="P23" s="20">
        <f t="shared" si="31"/>
        <v>1</v>
      </c>
      <c r="Q23" s="16">
        <f t="shared" si="8"/>
        <v>11</v>
      </c>
      <c r="R23" s="16"/>
      <c r="S23" s="21">
        <v>3.4776299879081001</v>
      </c>
      <c r="T23" s="14">
        <v>600</v>
      </c>
      <c r="U23" s="22">
        <v>320</v>
      </c>
      <c r="V23" s="23" t="s">
        <v>494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35</v>
      </c>
      <c r="AB23" s="27">
        <f t="shared" si="11"/>
        <v>-0.69</v>
      </c>
      <c r="AC23" s="28">
        <v>0.37011842881944446</v>
      </c>
      <c r="AD23" s="25">
        <f t="shared" si="12"/>
        <v>-28.602752179166664</v>
      </c>
      <c r="AE23" s="25">
        <v>-9.2200000000000006</v>
      </c>
      <c r="AF23" s="25">
        <v>-32.203000000000003</v>
      </c>
      <c r="AG23" s="25">
        <v>0</v>
      </c>
    </row>
    <row r="24" spans="1:33" ht="15.75" customHeight="1">
      <c r="A24" s="14" t="s">
        <v>50</v>
      </c>
      <c r="B24" s="14" t="s">
        <v>495</v>
      </c>
      <c r="C24" s="15">
        <f t="shared" si="4"/>
        <v>71.949999999999974</v>
      </c>
      <c r="D24" s="16">
        <v>45</v>
      </c>
      <c r="E24" s="16">
        <v>1</v>
      </c>
      <c r="F24" s="17">
        <v>3237.7499999999991</v>
      </c>
      <c r="G24" s="17">
        <v>0</v>
      </c>
      <c r="H24" s="18">
        <f t="shared" si="1"/>
        <v>0</v>
      </c>
      <c r="I24" s="18">
        <f t="shared" si="2"/>
        <v>0.26718188420054406</v>
      </c>
      <c r="J24" s="17">
        <f t="shared" si="5"/>
        <v>865.06814557031134</v>
      </c>
      <c r="K24" s="17">
        <f t="shared" si="3"/>
        <v>19.223736568229143</v>
      </c>
      <c r="L24" s="16">
        <v>161</v>
      </c>
      <c r="M24" s="19">
        <f t="shared" si="6"/>
        <v>0.27950310559006208</v>
      </c>
      <c r="N24" s="16">
        <v>58</v>
      </c>
      <c r="O24" s="20">
        <f t="shared" ref="O24:P24" si="32">D24/7</f>
        <v>6.4285714285714288</v>
      </c>
      <c r="P24" s="20">
        <f t="shared" si="32"/>
        <v>0.14285714285714285</v>
      </c>
      <c r="Q24" s="16">
        <f t="shared" si="8"/>
        <v>8</v>
      </c>
      <c r="R24" s="16"/>
      <c r="S24" s="21">
        <v>3.1936936936936902</v>
      </c>
      <c r="T24" s="14">
        <v>1400</v>
      </c>
      <c r="U24" s="22">
        <v>80</v>
      </c>
      <c r="V24" s="23" t="s">
        <v>496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14" t="s">
        <v>35</v>
      </c>
      <c r="AB24" s="27">
        <f t="shared" si="11"/>
        <v>-0.69</v>
      </c>
      <c r="AC24" s="28">
        <v>0.37011842881944446</v>
      </c>
      <c r="AD24" s="25">
        <f t="shared" si="12"/>
        <v>-22.984354429687496</v>
      </c>
      <c r="AE24" s="25">
        <v>-9.2200000000000006</v>
      </c>
      <c r="AF24" s="25">
        <v>-32.203000000000003</v>
      </c>
      <c r="AG24" s="25">
        <v>0</v>
      </c>
    </row>
    <row r="25" spans="1:33" ht="15.75" customHeight="1">
      <c r="A25" s="14" t="s">
        <v>51</v>
      </c>
      <c r="B25" s="14" t="s">
        <v>45</v>
      </c>
      <c r="C25" s="15">
        <f t="shared" si="4"/>
        <v>75.694857142857146</v>
      </c>
      <c r="D25" s="16">
        <v>35</v>
      </c>
      <c r="E25" s="16">
        <v>0</v>
      </c>
      <c r="F25" s="17">
        <v>2649.32</v>
      </c>
      <c r="G25" s="17">
        <v>0</v>
      </c>
      <c r="H25" s="18">
        <f t="shared" si="1"/>
        <v>0</v>
      </c>
      <c r="I25" s="18">
        <f t="shared" si="2"/>
        <v>0.29605531981339395</v>
      </c>
      <c r="J25" s="17">
        <f t="shared" si="5"/>
        <v>784.34527988802085</v>
      </c>
      <c r="K25" s="17">
        <f t="shared" si="3"/>
        <v>22.40986513965774</v>
      </c>
      <c r="L25" s="16">
        <v>165</v>
      </c>
      <c r="M25" s="19">
        <f t="shared" si="6"/>
        <v>0.21212121212121213</v>
      </c>
      <c r="N25" s="16">
        <v>12</v>
      </c>
      <c r="O25" s="20">
        <f t="shared" ref="O25:P25" si="33">D25/7</f>
        <v>5</v>
      </c>
      <c r="P25" s="20">
        <f t="shared" si="33"/>
        <v>0</v>
      </c>
      <c r="Q25" s="16">
        <f t="shared" si="8"/>
        <v>2</v>
      </c>
      <c r="R25" s="16"/>
      <c r="S25" s="21">
        <v>3.6547144754316072</v>
      </c>
      <c r="T25" s="14">
        <v>1400</v>
      </c>
      <c r="U25" s="22">
        <v>80</v>
      </c>
      <c r="V25" s="23" t="s">
        <v>497</v>
      </c>
      <c r="W25" s="30">
        <v>0</v>
      </c>
      <c r="X25" s="24">
        <f t="shared" si="9"/>
        <v>0</v>
      </c>
      <c r="Y25" s="25">
        <f t="shared" si="10"/>
        <v>0</v>
      </c>
      <c r="Z25" s="30">
        <v>0</v>
      </c>
      <c r="AA25" s="14" t="s">
        <v>35</v>
      </c>
      <c r="AB25" s="27">
        <f t="shared" si="11"/>
        <v>-0.69</v>
      </c>
      <c r="AC25" s="28">
        <v>0.37011842881944446</v>
      </c>
      <c r="AD25" s="25">
        <f t="shared" si="12"/>
        <v>-17.876720111979164</v>
      </c>
      <c r="AE25" s="25">
        <v>-9.2200000000000006</v>
      </c>
      <c r="AF25" s="25">
        <v>-32.200000000000003</v>
      </c>
      <c r="AG25" s="25">
        <v>0</v>
      </c>
    </row>
    <row r="26" spans="1:33" ht="15.75" customHeight="1">
      <c r="A26" s="14" t="s">
        <v>52</v>
      </c>
      <c r="B26" s="14" t="s">
        <v>498</v>
      </c>
      <c r="C26" s="15">
        <f t="shared" si="4"/>
        <v>79.14</v>
      </c>
      <c r="D26" s="16">
        <v>21</v>
      </c>
      <c r="E26" s="16">
        <v>6</v>
      </c>
      <c r="F26" s="17">
        <v>1661.94</v>
      </c>
      <c r="G26" s="17">
        <v>0</v>
      </c>
      <c r="H26" s="18">
        <f t="shared" si="1"/>
        <v>0</v>
      </c>
      <c r="I26" s="18">
        <f t="shared" si="2"/>
        <v>0.32695522577999964</v>
      </c>
      <c r="J26" s="17">
        <f t="shared" si="5"/>
        <v>543.37996793281263</v>
      </c>
      <c r="K26" s="17">
        <f t="shared" si="3"/>
        <v>25.875236568229173</v>
      </c>
      <c r="L26" s="16">
        <v>61</v>
      </c>
      <c r="M26" s="19">
        <f t="shared" si="6"/>
        <v>0.34426229508196721</v>
      </c>
      <c r="N26" s="16">
        <v>5</v>
      </c>
      <c r="O26" s="20">
        <f t="shared" ref="O26:P26" si="34">D26/7</f>
        <v>3</v>
      </c>
      <c r="P26" s="20">
        <f t="shared" si="34"/>
        <v>0.8571428571428571</v>
      </c>
      <c r="Q26" s="16">
        <f t="shared" si="8"/>
        <v>1</v>
      </c>
      <c r="R26" s="16"/>
      <c r="S26" s="21">
        <v>4.5479452054794516</v>
      </c>
      <c r="T26" s="14">
        <v>1400</v>
      </c>
      <c r="U26" s="22">
        <v>320</v>
      </c>
      <c r="V26" s="23" t="s">
        <v>499</v>
      </c>
      <c r="W26" s="30">
        <v>0</v>
      </c>
      <c r="X26" s="24">
        <f t="shared" si="9"/>
        <v>0</v>
      </c>
      <c r="Y26" s="25">
        <f t="shared" si="10"/>
        <v>0</v>
      </c>
      <c r="Z26" s="30">
        <v>0</v>
      </c>
      <c r="AA26" s="14" t="s">
        <v>35</v>
      </c>
      <c r="AB26" s="27">
        <f t="shared" si="11"/>
        <v>-0.69</v>
      </c>
      <c r="AC26" s="28">
        <v>0.37011842881944446</v>
      </c>
      <c r="AD26" s="25">
        <f t="shared" si="12"/>
        <v>-10.726032067187498</v>
      </c>
      <c r="AE26" s="25">
        <v>-8.68</v>
      </c>
      <c r="AF26" s="25">
        <v>-32.203000000000003</v>
      </c>
      <c r="AG26" s="25">
        <v>0</v>
      </c>
    </row>
    <row r="27" spans="1:33" ht="15.75" customHeight="1">
      <c r="A27" s="14" t="s">
        <v>53</v>
      </c>
      <c r="B27" s="14" t="s">
        <v>500</v>
      </c>
      <c r="C27" s="15">
        <f t="shared" si="4"/>
        <v>78.78</v>
      </c>
      <c r="D27" s="16">
        <v>11</v>
      </c>
      <c r="E27" s="16">
        <v>0</v>
      </c>
      <c r="F27" s="17">
        <v>866.58</v>
      </c>
      <c r="G27" s="17">
        <v>0</v>
      </c>
      <c r="H27" s="18">
        <f t="shared" si="1"/>
        <v>0</v>
      </c>
      <c r="I27" s="18">
        <f t="shared" si="2"/>
        <v>0.25605149236137559</v>
      </c>
      <c r="J27" s="17">
        <f t="shared" si="5"/>
        <v>221.88910225052086</v>
      </c>
      <c r="K27" s="17">
        <f t="shared" si="3"/>
        <v>20.171736568229168</v>
      </c>
      <c r="L27" s="16">
        <v>93</v>
      </c>
      <c r="M27" s="19">
        <f t="shared" si="6"/>
        <v>0.11827956989247312</v>
      </c>
      <c r="N27" s="16">
        <v>400</v>
      </c>
      <c r="O27" s="20">
        <f t="shared" ref="O27:P27" si="35">D27/7</f>
        <v>1.5714285714285714</v>
      </c>
      <c r="P27" s="20">
        <f t="shared" si="35"/>
        <v>0</v>
      </c>
      <c r="Q27" s="16">
        <f t="shared" si="8"/>
        <v>254</v>
      </c>
      <c r="R27" s="16"/>
      <c r="S27" s="21">
        <v>2.203389830508474</v>
      </c>
      <c r="T27" s="14">
        <v>1000</v>
      </c>
      <c r="U27" s="22">
        <v>800</v>
      </c>
      <c r="V27" s="23" t="s">
        <v>501</v>
      </c>
      <c r="W27" s="30">
        <v>0</v>
      </c>
      <c r="X27" s="24">
        <f t="shared" si="9"/>
        <v>0</v>
      </c>
      <c r="Y27" s="25">
        <f t="shared" si="10"/>
        <v>0</v>
      </c>
      <c r="Z27" s="30">
        <v>0</v>
      </c>
      <c r="AA27" s="14" t="s">
        <v>35</v>
      </c>
      <c r="AB27" s="27">
        <f t="shared" si="11"/>
        <v>-0.69</v>
      </c>
      <c r="AC27" s="28">
        <v>0.37011842881944446</v>
      </c>
      <c r="AD27" s="25">
        <f t="shared" si="12"/>
        <v>-5.6183977494791657</v>
      </c>
      <c r="AE27" s="25">
        <v>-8.68</v>
      </c>
      <c r="AF27" s="25">
        <v>-37.600499999999997</v>
      </c>
      <c r="AG27" s="25">
        <v>0</v>
      </c>
    </row>
    <row r="28" spans="1:33" ht="15.75" customHeight="1">
      <c r="A28" s="14" t="s">
        <v>54</v>
      </c>
      <c r="B28" s="14" t="s">
        <v>502</v>
      </c>
      <c r="C28" s="15">
        <f t="shared" si="4"/>
        <v>69.531888888888886</v>
      </c>
      <c r="D28" s="16">
        <v>90</v>
      </c>
      <c r="E28" s="16">
        <v>2</v>
      </c>
      <c r="F28" s="17">
        <v>6257.87</v>
      </c>
      <c r="G28" s="17">
        <v>-241.7300000000001</v>
      </c>
      <c r="H28" s="18">
        <f t="shared" si="1"/>
        <v>3.8628159421656268E-2</v>
      </c>
      <c r="I28" s="18">
        <f t="shared" si="2"/>
        <v>0.13842502179505559</v>
      </c>
      <c r="J28" s="17">
        <f t="shared" si="5"/>
        <v>866.24579114062453</v>
      </c>
      <c r="K28" s="17">
        <f t="shared" si="3"/>
        <v>9.6249532348958287</v>
      </c>
      <c r="L28" s="16">
        <v>272</v>
      </c>
      <c r="M28" s="19">
        <f t="shared" si="6"/>
        <v>0.33088235294117646</v>
      </c>
      <c r="N28" s="16">
        <v>315</v>
      </c>
      <c r="O28" s="20">
        <f t="shared" ref="O28:P28" si="36">D28/7</f>
        <v>12.857142857142858</v>
      </c>
      <c r="P28" s="20">
        <f t="shared" si="36"/>
        <v>0.2857142857142857</v>
      </c>
      <c r="Q28" s="16">
        <f t="shared" si="8"/>
        <v>23</v>
      </c>
      <c r="R28" s="16"/>
      <c r="S28" s="21">
        <v>2.3147410358565739</v>
      </c>
      <c r="T28" s="14">
        <v>1600</v>
      </c>
      <c r="U28" s="22">
        <v>44384</v>
      </c>
      <c r="V28" s="23" t="s">
        <v>503</v>
      </c>
      <c r="W28" s="30">
        <v>16</v>
      </c>
      <c r="X28" s="24">
        <f t="shared" si="9"/>
        <v>0.17777777777777778</v>
      </c>
      <c r="Y28" s="25">
        <f t="shared" si="10"/>
        <v>6.0432500000000022</v>
      </c>
      <c r="Z28" s="30">
        <v>24</v>
      </c>
      <c r="AA28" s="14" t="s">
        <v>35</v>
      </c>
      <c r="AB28" s="27">
        <f t="shared" si="11"/>
        <v>-0.69</v>
      </c>
      <c r="AC28" s="28">
        <v>0.37011842881944446</v>
      </c>
      <c r="AD28" s="25">
        <f t="shared" si="12"/>
        <v>-45.968708859374992</v>
      </c>
      <c r="AE28" s="25">
        <v>-8.68</v>
      </c>
      <c r="AF28" s="25">
        <v>-37.600499999999997</v>
      </c>
      <c r="AG28" s="25">
        <v>0</v>
      </c>
    </row>
    <row r="29" spans="1:33" ht="15.75" customHeight="1">
      <c r="A29" s="14" t="s">
        <v>55</v>
      </c>
      <c r="B29" s="14" t="s">
        <v>68</v>
      </c>
      <c r="C29" s="15">
        <f t="shared" si="4"/>
        <v>70.936404494382018</v>
      </c>
      <c r="D29" s="16">
        <v>89</v>
      </c>
      <c r="E29" s="16">
        <v>0</v>
      </c>
      <c r="F29" s="17">
        <v>6313.34</v>
      </c>
      <c r="G29" s="17">
        <v>-10.72</v>
      </c>
      <c r="H29" s="18">
        <f t="shared" si="1"/>
        <v>1.6979918711807064E-3</v>
      </c>
      <c r="I29" s="18">
        <f t="shared" si="2"/>
        <v>0.19008425792627198</v>
      </c>
      <c r="J29" s="17">
        <f t="shared" si="5"/>
        <v>1200.06654893625</v>
      </c>
      <c r="K29" s="17">
        <f t="shared" si="3"/>
        <v>13.483893808272471</v>
      </c>
      <c r="L29" s="16">
        <v>246</v>
      </c>
      <c r="M29" s="19">
        <f t="shared" si="6"/>
        <v>0.36178861788617889</v>
      </c>
      <c r="N29" s="16">
        <v>176</v>
      </c>
      <c r="O29" s="20">
        <f t="shared" ref="O29:P29" si="37">D29/7</f>
        <v>12.714285714285714</v>
      </c>
      <c r="P29" s="20">
        <f t="shared" si="37"/>
        <v>0</v>
      </c>
      <c r="Q29" s="16">
        <f t="shared" si="8"/>
        <v>13</v>
      </c>
      <c r="R29" s="16"/>
      <c r="S29" s="21">
        <v>2.920863309352518</v>
      </c>
      <c r="T29" s="14">
        <v>1600</v>
      </c>
      <c r="U29" s="22">
        <v>44386</v>
      </c>
      <c r="V29" s="23" t="s">
        <v>504</v>
      </c>
      <c r="W29" s="30">
        <v>0</v>
      </c>
      <c r="X29" s="24">
        <f t="shared" si="9"/>
        <v>0</v>
      </c>
      <c r="Y29" s="25">
        <f t="shared" si="10"/>
        <v>10.72</v>
      </c>
      <c r="Z29" s="30">
        <v>1</v>
      </c>
      <c r="AA29" s="14" t="s">
        <v>35</v>
      </c>
      <c r="AB29" s="27">
        <f t="shared" si="11"/>
        <v>-0.69</v>
      </c>
      <c r="AC29" s="28">
        <v>0.51529027083333334</v>
      </c>
      <c r="AD29" s="25">
        <f t="shared" si="12"/>
        <v>-63.287951063749993</v>
      </c>
      <c r="AE29" s="25">
        <v>-8.3800000000000008</v>
      </c>
      <c r="AF29" s="25">
        <v>-37.600499999999997</v>
      </c>
      <c r="AG29" s="25">
        <v>0</v>
      </c>
    </row>
    <row r="30" spans="1:33" ht="15.75" customHeight="1">
      <c r="A30" s="14" t="s">
        <v>57</v>
      </c>
      <c r="B30" s="14" t="s">
        <v>451</v>
      </c>
      <c r="C30" s="15">
        <f t="shared" si="4"/>
        <v>70.546623376623415</v>
      </c>
      <c r="D30" s="16">
        <v>77</v>
      </c>
      <c r="E30" s="16">
        <v>0</v>
      </c>
      <c r="F30" s="17">
        <v>5432.0900000000029</v>
      </c>
      <c r="G30" s="17">
        <v>-7.0000000000000007E-2</v>
      </c>
      <c r="H30" s="18">
        <f t="shared" si="1"/>
        <v>1.2886384430302143E-5</v>
      </c>
      <c r="I30" s="18">
        <f t="shared" si="2"/>
        <v>0.20622258174289312</v>
      </c>
      <c r="J30" s="17">
        <f t="shared" si="5"/>
        <v>1120.219624059753</v>
      </c>
      <c r="K30" s="17">
        <f t="shared" si="3"/>
        <v>14.548306805970817</v>
      </c>
      <c r="L30" s="16">
        <v>277</v>
      </c>
      <c r="M30" s="19">
        <f t="shared" si="6"/>
        <v>0.27797833935018051</v>
      </c>
      <c r="N30" s="16">
        <v>117</v>
      </c>
      <c r="O30" s="20">
        <f t="shared" ref="O30:P30" si="38">D30/7</f>
        <v>11</v>
      </c>
      <c r="P30" s="20">
        <f t="shared" si="38"/>
        <v>0</v>
      </c>
      <c r="Q30" s="16">
        <f t="shared" si="8"/>
        <v>10</v>
      </c>
      <c r="R30" s="16"/>
      <c r="S30" s="21">
        <v>3.5741007194244609</v>
      </c>
      <c r="T30" s="14">
        <v>500</v>
      </c>
      <c r="U30" s="22">
        <v>350</v>
      </c>
      <c r="V30" s="23" t="s">
        <v>505</v>
      </c>
      <c r="W30" s="30">
        <v>0</v>
      </c>
      <c r="X30" s="24">
        <f t="shared" si="9"/>
        <v>0</v>
      </c>
      <c r="Y30" s="25">
        <f t="shared" si="10"/>
        <v>0</v>
      </c>
      <c r="Z30" s="30">
        <v>0</v>
      </c>
      <c r="AA30" s="14" t="s">
        <v>35</v>
      </c>
      <c r="AB30" s="27">
        <f t="shared" si="11"/>
        <v>-0.69</v>
      </c>
      <c r="AC30" s="28">
        <v>0.51529027083333334</v>
      </c>
      <c r="AD30" s="25">
        <f t="shared" si="12"/>
        <v>-54.754744178749995</v>
      </c>
      <c r="AE30" s="25">
        <v>-8.3800000000000008</v>
      </c>
      <c r="AF30" s="25">
        <v>-36.324313399499999</v>
      </c>
      <c r="AG30" s="25">
        <v>0</v>
      </c>
    </row>
    <row r="31" spans="1:33" ht="15.75" customHeight="1">
      <c r="A31" s="14" t="s">
        <v>58</v>
      </c>
      <c r="B31" s="14" t="s">
        <v>506</v>
      </c>
      <c r="C31" s="15">
        <f t="shared" si="4"/>
        <v>74.40073529411768</v>
      </c>
      <c r="D31" s="16">
        <v>68</v>
      </c>
      <c r="E31" s="16">
        <v>0</v>
      </c>
      <c r="F31" s="17">
        <v>5059.2500000000018</v>
      </c>
      <c r="G31" s="17">
        <v>0</v>
      </c>
      <c r="H31" s="18">
        <f t="shared" si="1"/>
        <v>0</v>
      </c>
      <c r="I31" s="18">
        <f t="shared" si="2"/>
        <v>0.239583801911153</v>
      </c>
      <c r="J31" s="17">
        <f t="shared" si="5"/>
        <v>1212.1143498190013</v>
      </c>
      <c r="K31" s="17">
        <f t="shared" si="3"/>
        <v>17.825211026750019</v>
      </c>
      <c r="L31" s="16">
        <v>261</v>
      </c>
      <c r="M31" s="19">
        <f t="shared" si="6"/>
        <v>0.26053639846743293</v>
      </c>
      <c r="N31" s="16">
        <v>75</v>
      </c>
      <c r="O31" s="20">
        <f t="shared" ref="O31:P31" si="39">D31/7</f>
        <v>9.7142857142857135</v>
      </c>
      <c r="P31" s="20">
        <f t="shared" si="39"/>
        <v>0</v>
      </c>
      <c r="Q31" s="16">
        <f t="shared" si="8"/>
        <v>7</v>
      </c>
      <c r="R31" s="16"/>
      <c r="S31" s="21">
        <v>4.9958847736625502</v>
      </c>
      <c r="T31" s="14">
        <v>150</v>
      </c>
      <c r="U31" s="22" t="s">
        <v>34</v>
      </c>
      <c r="V31" s="23" t="s">
        <v>507</v>
      </c>
      <c r="W31" s="30">
        <v>0</v>
      </c>
      <c r="X31" s="24">
        <f t="shared" si="9"/>
        <v>0</v>
      </c>
      <c r="Y31" s="25">
        <f t="shared" si="10"/>
        <v>0</v>
      </c>
      <c r="Z31" s="30">
        <v>0</v>
      </c>
      <c r="AA31" s="14" t="s">
        <v>35</v>
      </c>
      <c r="AB31" s="27">
        <f t="shared" si="11"/>
        <v>-0.69</v>
      </c>
      <c r="AC31" s="28">
        <v>0.51529027083333334</v>
      </c>
      <c r="AD31" s="25">
        <f t="shared" si="12"/>
        <v>-48.354839014999996</v>
      </c>
      <c r="AE31" s="25">
        <v>-8.3800000000000008</v>
      </c>
      <c r="AF31" s="25">
        <v>-36.324313399499999</v>
      </c>
      <c r="AG31" s="25">
        <v>0</v>
      </c>
    </row>
    <row r="32" spans="1:33" ht="15.75" customHeight="1">
      <c r="A32" s="14" t="s">
        <v>60</v>
      </c>
      <c r="B32" s="14"/>
      <c r="C32" s="15">
        <f t="shared" si="4"/>
        <v>82.813235294117646</v>
      </c>
      <c r="D32" s="16">
        <v>34</v>
      </c>
      <c r="E32" s="16">
        <v>0</v>
      </c>
      <c r="F32" s="17">
        <v>2815.65</v>
      </c>
      <c r="G32" s="17">
        <v>-0.03</v>
      </c>
      <c r="H32" s="18">
        <f t="shared" si="1"/>
        <v>1.0654733365297533E-5</v>
      </c>
      <c r="I32" s="18">
        <f t="shared" si="2"/>
        <v>0.30158166849910328</v>
      </c>
      <c r="J32" s="17">
        <f t="shared" si="5"/>
        <v>849.14842490950014</v>
      </c>
      <c r="K32" s="17">
        <f t="shared" si="3"/>
        <v>24.974953673808827</v>
      </c>
      <c r="L32" s="16">
        <v>213</v>
      </c>
      <c r="M32" s="19">
        <f t="shared" si="6"/>
        <v>0.15962441314553991</v>
      </c>
      <c r="N32" s="16">
        <v>37</v>
      </c>
      <c r="O32" s="20">
        <f t="shared" ref="O32:P32" si="40">D32/7</f>
        <v>4.8571428571428568</v>
      </c>
      <c r="P32" s="20">
        <f t="shared" si="40"/>
        <v>0</v>
      </c>
      <c r="Q32" s="16">
        <f t="shared" si="8"/>
        <v>7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3.0303030303030298</v>
      </c>
      <c r="T32" s="14">
        <f ca="1">IFERROR(__xludf.DUMMYFUNCTION("IFERROR(VLOOKUP($B$2,IMPORTRANGE(""https://docs.google.com/spreadsheets/d/1KiWZV1ko8G7lnRucBRBd29jj3Be6ltMfljMDqzOkQmI/edit#gid=1381463014"",""Lookup!A:D""),4,FALSE),"""")"),150)</f>
        <v>150</v>
      </c>
      <c r="U32" s="22">
        <f ca="1">IFERROR(__xludf.DUMMYFUNCTION("IFERROR(VLOOKUP($B$2,IMPORTRANGE(""https://docs.google.com/spreadsheets/d/1KiWZV1ko8G7lnRucBRBd29jj3Be6ltMfljMDqzOkQmI/edit#gid=1381463014"",""Lookup!A:D""),3,FALSE),"""")"),800)</f>
        <v>800</v>
      </c>
      <c r="V32" s="23" t="str">
        <f ca="1">IFERROR(__xludf.DUMMYFUNCTION("IFERROR(VLOOKUP($B$2,IMPORTRANGE(""https://docs.google.com/spreadsheets/d/1KiWZV1ko8G7lnRucBRBd29jj3Be6ltMfljMDqzOkQmI/edit#gid=1381463014"",""Lookup!A:D""),2,FALSE),"""")"),"| 406  - 800 units 07/22| AGL259  - 350 units 11/01")</f>
        <v>| 406  - 800 units 07/22| AGL259  - 350 units 11/01</v>
      </c>
      <c r="W32" s="30">
        <v>0</v>
      </c>
      <c r="X32" s="24">
        <f t="shared" si="9"/>
        <v>0</v>
      </c>
      <c r="Y32" s="25">
        <f t="shared" si="10"/>
        <v>0</v>
      </c>
      <c r="Z32" s="30">
        <v>0</v>
      </c>
      <c r="AA32" s="14" t="s">
        <v>35</v>
      </c>
      <c r="AB32" s="27">
        <f t="shared" si="11"/>
        <v>-0.69</v>
      </c>
      <c r="AC32" s="28">
        <v>0.51529027083333334</v>
      </c>
      <c r="AD32" s="25">
        <f t="shared" si="12"/>
        <v>-24.177419507499998</v>
      </c>
      <c r="AE32" s="25">
        <v>-8.3800000000000008</v>
      </c>
      <c r="AF32" s="25">
        <v>-36.324313399499999</v>
      </c>
      <c r="AG32" s="25">
        <v>0</v>
      </c>
    </row>
    <row r="33" spans="1:33" ht="15.75" customHeight="1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16"/>
      <c r="S33" s="21"/>
      <c r="T33" s="31"/>
      <c r="U33" s="36"/>
      <c r="V33" s="1"/>
      <c r="W33" s="31"/>
      <c r="X33" s="31"/>
      <c r="Y33" s="31"/>
      <c r="Z33" s="31"/>
      <c r="AA33" s="2"/>
      <c r="AB33" s="31"/>
      <c r="AC33" s="31"/>
      <c r="AD33" s="31"/>
      <c r="AE33" s="37"/>
      <c r="AF33" s="37"/>
      <c r="AG33" s="37"/>
    </row>
    <row r="34" spans="1:33" ht="15.75" customHeight="1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6"/>
      <c r="V34" s="1"/>
      <c r="W34" s="31"/>
      <c r="X34" s="31"/>
      <c r="Y34" s="31"/>
      <c r="Z34" s="31"/>
      <c r="AA34" s="2"/>
      <c r="AB34" s="31"/>
      <c r="AC34" s="31"/>
      <c r="AD34" s="31"/>
      <c r="AE34" s="37"/>
      <c r="AF34" s="37"/>
      <c r="AG34" s="37"/>
    </row>
    <row r="35" spans="1:33" ht="15.75" customHeight="1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6"/>
      <c r="V35" s="1"/>
      <c r="W35" s="31"/>
      <c r="X35" s="31"/>
      <c r="Y35" s="31"/>
      <c r="Z35" s="31"/>
      <c r="AA35" s="2"/>
      <c r="AB35" s="31"/>
      <c r="AC35" s="31"/>
      <c r="AD35" s="31"/>
      <c r="AE35" s="37"/>
      <c r="AF35" s="37"/>
      <c r="AG35" s="37"/>
    </row>
    <row r="36" spans="1:33" ht="15.75" customHeight="1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6"/>
      <c r="V36" s="1"/>
      <c r="W36" s="31"/>
      <c r="X36" s="31"/>
      <c r="Y36" s="31"/>
      <c r="Z36" s="31"/>
      <c r="AA36" s="2"/>
      <c r="AB36" s="31"/>
      <c r="AC36" s="31"/>
      <c r="AD36" s="31"/>
      <c r="AE36" s="37"/>
      <c r="AF36" s="37"/>
      <c r="AG36" s="37"/>
    </row>
    <row r="37" spans="1:33" ht="15.75" customHeight="1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6"/>
      <c r="V37" s="1"/>
      <c r="W37" s="31"/>
      <c r="X37" s="31"/>
      <c r="Y37" s="31"/>
      <c r="Z37" s="31"/>
      <c r="AA37" s="2"/>
      <c r="AB37" s="31"/>
      <c r="AC37" s="31"/>
      <c r="AD37" s="31"/>
      <c r="AE37" s="37"/>
      <c r="AF37" s="37"/>
      <c r="AG37" s="37"/>
    </row>
    <row r="38" spans="1:33" ht="15.75" customHeight="1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6"/>
      <c r="V38" s="1"/>
      <c r="W38" s="31"/>
      <c r="X38" s="31"/>
      <c r="Y38" s="31"/>
      <c r="Z38" s="31"/>
      <c r="AA38" s="2"/>
      <c r="AB38" s="31"/>
      <c r="AC38" s="31"/>
      <c r="AD38" s="31"/>
      <c r="AE38" s="37"/>
      <c r="AF38" s="37"/>
      <c r="AG38" s="37"/>
    </row>
    <row r="39" spans="1:33" ht="15.75" customHeight="1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6"/>
      <c r="V39" s="1"/>
      <c r="W39" s="31"/>
      <c r="X39" s="31"/>
      <c r="Y39" s="31"/>
      <c r="Z39" s="31"/>
      <c r="AA39" s="2"/>
      <c r="AB39" s="31"/>
      <c r="AC39" s="31"/>
      <c r="AD39" s="31"/>
      <c r="AE39" s="37"/>
      <c r="AF39" s="37"/>
      <c r="AG39" s="37"/>
    </row>
    <row r="40" spans="1:33" ht="15.75" customHeight="1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6"/>
      <c r="V40" s="1"/>
      <c r="W40" s="31"/>
      <c r="X40" s="31"/>
      <c r="Y40" s="31"/>
      <c r="Z40" s="31"/>
      <c r="AA40" s="2"/>
      <c r="AB40" s="31"/>
      <c r="AC40" s="31"/>
      <c r="AD40" s="31"/>
      <c r="AE40" s="37"/>
      <c r="AF40" s="37"/>
      <c r="AG40" s="37"/>
    </row>
    <row r="41" spans="1:33" ht="15.75" customHeight="1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6"/>
      <c r="V41" s="1"/>
      <c r="W41" s="31"/>
      <c r="X41" s="31"/>
      <c r="Y41" s="31"/>
      <c r="Z41" s="31"/>
      <c r="AA41" s="2"/>
      <c r="AB41" s="31"/>
      <c r="AC41" s="31"/>
      <c r="AD41" s="31"/>
      <c r="AE41" s="37"/>
      <c r="AF41" s="37"/>
      <c r="AG41" s="37"/>
    </row>
    <row r="42" spans="1:33" ht="15.75" customHeight="1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6"/>
      <c r="V42" s="1"/>
      <c r="W42" s="31"/>
      <c r="X42" s="31"/>
      <c r="Y42" s="31"/>
      <c r="Z42" s="31"/>
      <c r="AA42" s="2"/>
      <c r="AB42" s="31"/>
      <c r="AC42" s="31"/>
      <c r="AD42" s="31"/>
      <c r="AE42" s="37"/>
      <c r="AF42" s="37"/>
      <c r="AG42" s="37"/>
    </row>
    <row r="43" spans="1:33" ht="15.75" customHeight="1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6"/>
      <c r="V43" s="1"/>
      <c r="W43" s="31"/>
      <c r="X43" s="31"/>
      <c r="Y43" s="31"/>
      <c r="Z43" s="31"/>
      <c r="AA43" s="2"/>
      <c r="AB43" s="31"/>
      <c r="AC43" s="31"/>
      <c r="AD43" s="31"/>
      <c r="AE43" s="37"/>
      <c r="AF43" s="37"/>
      <c r="AG43" s="37"/>
    </row>
    <row r="44" spans="1:33" ht="15.75" customHeight="1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6"/>
      <c r="V44" s="1"/>
      <c r="W44" s="31"/>
      <c r="X44" s="31"/>
      <c r="Y44" s="31"/>
      <c r="Z44" s="31"/>
      <c r="AA44" s="2"/>
      <c r="AB44" s="31"/>
      <c r="AC44" s="31"/>
      <c r="AD44" s="31"/>
      <c r="AE44" s="37"/>
      <c r="AF44" s="37"/>
      <c r="AG44" s="37"/>
    </row>
    <row r="45" spans="1:33" ht="15.75" customHeight="1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6"/>
      <c r="V45" s="1"/>
      <c r="W45" s="31"/>
      <c r="X45" s="31"/>
      <c r="Y45" s="31"/>
      <c r="Z45" s="31"/>
      <c r="AA45" s="2"/>
      <c r="AB45" s="31"/>
      <c r="AC45" s="31"/>
      <c r="AD45" s="31"/>
      <c r="AE45" s="37"/>
      <c r="AF45" s="37"/>
      <c r="AG45" s="37"/>
    </row>
    <row r="46" spans="1:33" ht="15.75" customHeight="1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6"/>
      <c r="V46" s="1"/>
      <c r="W46" s="31"/>
      <c r="X46" s="31"/>
      <c r="Y46" s="31"/>
      <c r="Z46" s="31"/>
      <c r="AA46" s="2"/>
      <c r="AB46" s="31"/>
      <c r="AC46" s="31"/>
      <c r="AD46" s="31"/>
      <c r="AE46" s="37"/>
      <c r="AF46" s="37"/>
      <c r="AG46" s="37"/>
    </row>
    <row r="47" spans="1:33" ht="15.75" customHeight="1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6"/>
      <c r="V47" s="1"/>
      <c r="W47" s="31"/>
      <c r="X47" s="31"/>
      <c r="Y47" s="31"/>
      <c r="Z47" s="31"/>
      <c r="AA47" s="2"/>
      <c r="AB47" s="31"/>
      <c r="AC47" s="31"/>
      <c r="AD47" s="31"/>
      <c r="AE47" s="37"/>
      <c r="AF47" s="37"/>
      <c r="AG47" s="37"/>
    </row>
    <row r="48" spans="1:33" ht="15.75" customHeight="1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6"/>
      <c r="V48" s="1"/>
      <c r="W48" s="31"/>
      <c r="X48" s="31"/>
      <c r="Y48" s="31"/>
      <c r="Z48" s="31"/>
      <c r="AA48" s="2"/>
      <c r="AB48" s="31"/>
      <c r="AC48" s="31"/>
      <c r="AD48" s="31"/>
      <c r="AE48" s="37"/>
      <c r="AF48" s="37"/>
      <c r="AG48" s="37"/>
    </row>
    <row r="49" spans="1:33" ht="15.75" customHeight="1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6"/>
      <c r="V49" s="1"/>
      <c r="W49" s="31"/>
      <c r="X49" s="31"/>
      <c r="Y49" s="31"/>
      <c r="Z49" s="31"/>
      <c r="AA49" s="2"/>
      <c r="AB49" s="31"/>
      <c r="AC49" s="31"/>
      <c r="AD49" s="31"/>
      <c r="AE49" s="37"/>
      <c r="AF49" s="37"/>
      <c r="AG49" s="37"/>
    </row>
    <row r="50" spans="1:33" ht="15.75" customHeight="1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6"/>
      <c r="V50" s="1"/>
      <c r="W50" s="31"/>
      <c r="X50" s="31"/>
      <c r="Y50" s="31"/>
      <c r="Z50" s="31"/>
      <c r="AA50" s="2"/>
      <c r="AB50" s="31"/>
      <c r="AC50" s="31"/>
      <c r="AD50" s="31"/>
      <c r="AE50" s="37"/>
      <c r="AF50" s="37"/>
      <c r="AG50" s="37"/>
    </row>
    <row r="51" spans="1:33" ht="15.75" customHeight="1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6"/>
      <c r="V51" s="1"/>
      <c r="W51" s="31"/>
      <c r="X51" s="31"/>
      <c r="Y51" s="31"/>
      <c r="Z51" s="31"/>
      <c r="AA51" s="2"/>
      <c r="AB51" s="31"/>
      <c r="AC51" s="31"/>
      <c r="AD51" s="31"/>
      <c r="AE51" s="37"/>
      <c r="AF51" s="37"/>
      <c r="AG51" s="37"/>
    </row>
    <row r="52" spans="1:33" ht="15.75" customHeight="1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6"/>
      <c r="V52" s="1"/>
      <c r="W52" s="31"/>
      <c r="X52" s="31"/>
      <c r="Y52" s="31"/>
      <c r="Z52" s="31"/>
      <c r="AA52" s="2"/>
      <c r="AB52" s="31"/>
      <c r="AC52" s="31"/>
      <c r="AD52" s="31"/>
      <c r="AE52" s="37"/>
      <c r="AF52" s="37"/>
      <c r="AG52" s="37"/>
    </row>
    <row r="53" spans="1:33" ht="15.75" customHeight="1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6"/>
      <c r="V53" s="1"/>
      <c r="W53" s="31"/>
      <c r="X53" s="31"/>
      <c r="Y53" s="31"/>
      <c r="Z53" s="31"/>
      <c r="AA53" s="2"/>
      <c r="AB53" s="31"/>
      <c r="AC53" s="31"/>
      <c r="AD53" s="31"/>
      <c r="AE53" s="37"/>
      <c r="AF53" s="37"/>
      <c r="AG53" s="37"/>
    </row>
    <row r="54" spans="1:33" ht="15.75" customHeight="1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6"/>
      <c r="V54" s="1"/>
      <c r="W54" s="31"/>
      <c r="X54" s="31"/>
      <c r="Y54" s="31"/>
      <c r="Z54" s="31"/>
      <c r="AA54" s="2"/>
      <c r="AB54" s="31"/>
      <c r="AC54" s="31"/>
      <c r="AD54" s="31"/>
      <c r="AE54" s="37"/>
      <c r="AF54" s="37"/>
      <c r="AG54" s="37"/>
    </row>
    <row r="55" spans="1:33" ht="15.75" customHeight="1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6"/>
      <c r="V55" s="1"/>
      <c r="W55" s="31"/>
      <c r="X55" s="31"/>
      <c r="Y55" s="31"/>
      <c r="Z55" s="31"/>
      <c r="AA55" s="2"/>
      <c r="AB55" s="31"/>
      <c r="AC55" s="31"/>
      <c r="AD55" s="31"/>
      <c r="AE55" s="37"/>
      <c r="AF55" s="37"/>
      <c r="AG55" s="37"/>
    </row>
    <row r="56" spans="1:33" ht="15.75" customHeight="1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6"/>
      <c r="V56" s="1"/>
      <c r="W56" s="31"/>
      <c r="X56" s="31"/>
      <c r="Y56" s="31"/>
      <c r="Z56" s="31"/>
      <c r="AA56" s="2"/>
      <c r="AB56" s="31"/>
      <c r="AC56" s="31"/>
      <c r="AD56" s="31"/>
      <c r="AE56" s="37"/>
      <c r="AF56" s="37"/>
      <c r="AG56" s="37"/>
    </row>
    <row r="57" spans="1:33" ht="15.75" customHeight="1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6"/>
      <c r="V57" s="1"/>
      <c r="W57" s="31"/>
      <c r="X57" s="31"/>
      <c r="Y57" s="31"/>
      <c r="Z57" s="31"/>
      <c r="AA57" s="2"/>
      <c r="AB57" s="31"/>
      <c r="AC57" s="31"/>
      <c r="AD57" s="31"/>
      <c r="AE57" s="37"/>
      <c r="AF57" s="37"/>
      <c r="AG57" s="37"/>
    </row>
    <row r="58" spans="1:33" ht="15.75" customHeight="1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6"/>
      <c r="V58" s="1"/>
      <c r="W58" s="31"/>
      <c r="X58" s="31"/>
      <c r="Y58" s="31"/>
      <c r="Z58" s="31"/>
      <c r="AA58" s="2"/>
      <c r="AB58" s="31"/>
      <c r="AC58" s="31"/>
      <c r="AD58" s="31"/>
      <c r="AE58" s="37"/>
      <c r="AF58" s="37"/>
      <c r="AG58" s="37"/>
    </row>
    <row r="59" spans="1:33" ht="15.75" customHeight="1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6"/>
      <c r="V59" s="1"/>
      <c r="W59" s="31"/>
      <c r="X59" s="31"/>
      <c r="Y59" s="31"/>
      <c r="Z59" s="31"/>
      <c r="AA59" s="2"/>
      <c r="AB59" s="31"/>
      <c r="AC59" s="31"/>
      <c r="AD59" s="31"/>
      <c r="AE59" s="37"/>
      <c r="AF59" s="37"/>
      <c r="AG59" s="37"/>
    </row>
    <row r="60" spans="1:33" ht="15.75" customHeight="1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6"/>
      <c r="V60" s="1"/>
      <c r="W60" s="31"/>
      <c r="X60" s="31"/>
      <c r="Y60" s="31"/>
      <c r="Z60" s="31"/>
      <c r="AA60" s="2"/>
      <c r="AB60" s="31"/>
      <c r="AC60" s="31"/>
      <c r="AD60" s="31"/>
      <c r="AE60" s="37"/>
      <c r="AF60" s="37"/>
      <c r="AG60" s="37"/>
    </row>
    <row r="61" spans="1:33" ht="15.75" customHeight="1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6"/>
      <c r="V61" s="1"/>
      <c r="W61" s="31"/>
      <c r="X61" s="31"/>
      <c r="Y61" s="31"/>
      <c r="Z61" s="31"/>
      <c r="AA61" s="2"/>
      <c r="AB61" s="31"/>
      <c r="AC61" s="31"/>
      <c r="AD61" s="31"/>
      <c r="AE61" s="37"/>
      <c r="AF61" s="37"/>
      <c r="AG61" s="37"/>
    </row>
    <row r="62" spans="1:33" ht="15.75" customHeight="1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6"/>
      <c r="V62" s="1"/>
      <c r="W62" s="31"/>
      <c r="X62" s="31"/>
      <c r="Y62" s="31"/>
      <c r="Z62" s="31"/>
      <c r="AA62" s="2"/>
      <c r="AB62" s="31"/>
      <c r="AC62" s="31"/>
      <c r="AD62" s="31"/>
      <c r="AE62" s="37"/>
      <c r="AF62" s="37"/>
      <c r="AG62" s="37"/>
    </row>
    <row r="63" spans="1:33" ht="15.75" customHeight="1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6"/>
      <c r="V63" s="1"/>
      <c r="W63" s="31"/>
      <c r="X63" s="31"/>
      <c r="Y63" s="31"/>
      <c r="Z63" s="31"/>
      <c r="AA63" s="2"/>
      <c r="AB63" s="31"/>
      <c r="AC63" s="31"/>
      <c r="AD63" s="31"/>
      <c r="AE63" s="37"/>
      <c r="AF63" s="37"/>
      <c r="AG63" s="37"/>
    </row>
    <row r="64" spans="1:33" ht="15.75" customHeight="1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6"/>
      <c r="V64" s="1"/>
      <c r="W64" s="31"/>
      <c r="X64" s="31"/>
      <c r="Y64" s="31"/>
      <c r="Z64" s="31"/>
      <c r="AA64" s="2"/>
      <c r="AB64" s="31"/>
      <c r="AC64" s="31"/>
      <c r="AD64" s="31"/>
      <c r="AE64" s="37"/>
      <c r="AF64" s="37"/>
      <c r="AG64" s="37"/>
    </row>
    <row r="65" spans="1:33" ht="15.75" customHeight="1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6"/>
      <c r="V65" s="1"/>
      <c r="W65" s="31"/>
      <c r="X65" s="31"/>
      <c r="Y65" s="31"/>
      <c r="Z65" s="31"/>
      <c r="AA65" s="2"/>
      <c r="AB65" s="31"/>
      <c r="AC65" s="31"/>
      <c r="AD65" s="31"/>
      <c r="AE65" s="37"/>
      <c r="AF65" s="37"/>
      <c r="AG65" s="37"/>
    </row>
    <row r="66" spans="1:33" ht="15.75" customHeight="1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6"/>
      <c r="V66" s="1"/>
      <c r="W66" s="31"/>
      <c r="X66" s="31"/>
      <c r="Y66" s="31"/>
      <c r="Z66" s="31"/>
      <c r="AA66" s="2"/>
      <c r="AB66" s="31"/>
      <c r="AC66" s="31"/>
      <c r="AD66" s="31"/>
      <c r="AE66" s="37"/>
      <c r="AF66" s="37"/>
      <c r="AG66" s="37"/>
    </row>
    <row r="67" spans="1:33" ht="15.75" customHeight="1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6"/>
      <c r="V67" s="1"/>
      <c r="W67" s="31"/>
      <c r="X67" s="31"/>
      <c r="Y67" s="31"/>
      <c r="Z67" s="31"/>
      <c r="AA67" s="2"/>
      <c r="AB67" s="31"/>
      <c r="AC67" s="31"/>
      <c r="AD67" s="31"/>
      <c r="AE67" s="37"/>
      <c r="AF67" s="37"/>
      <c r="AG67" s="37"/>
    </row>
    <row r="68" spans="1:33" ht="15.75" customHeight="1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6"/>
      <c r="V68" s="1"/>
      <c r="W68" s="31"/>
      <c r="X68" s="31"/>
      <c r="Y68" s="31"/>
      <c r="Z68" s="31"/>
      <c r="AA68" s="2"/>
      <c r="AB68" s="31"/>
      <c r="AC68" s="31"/>
      <c r="AD68" s="31"/>
      <c r="AE68" s="37"/>
      <c r="AF68" s="37"/>
      <c r="AG68" s="37"/>
    </row>
    <row r="69" spans="1:33" ht="15.75" customHeight="1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6"/>
      <c r="V69" s="1"/>
      <c r="W69" s="31"/>
      <c r="X69" s="31"/>
      <c r="Y69" s="31"/>
      <c r="Z69" s="31"/>
      <c r="AA69" s="2"/>
      <c r="AB69" s="31"/>
      <c r="AC69" s="31"/>
      <c r="AD69" s="31"/>
      <c r="AE69" s="37"/>
      <c r="AF69" s="37"/>
      <c r="AG69" s="37"/>
    </row>
    <row r="70" spans="1:33" ht="15.75" customHeight="1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6"/>
      <c r="V70" s="1"/>
      <c r="W70" s="31"/>
      <c r="X70" s="31"/>
      <c r="Y70" s="31"/>
      <c r="Z70" s="31"/>
      <c r="AA70" s="2"/>
      <c r="AB70" s="31"/>
      <c r="AC70" s="31"/>
      <c r="AD70" s="31"/>
      <c r="AE70" s="37"/>
      <c r="AF70" s="37"/>
      <c r="AG70" s="37"/>
    </row>
    <row r="71" spans="1:33" ht="15.75" customHeight="1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6"/>
      <c r="V71" s="1"/>
      <c r="W71" s="31"/>
      <c r="X71" s="31"/>
      <c r="Y71" s="31"/>
      <c r="Z71" s="31"/>
      <c r="AA71" s="2"/>
      <c r="AB71" s="31"/>
      <c r="AC71" s="31"/>
      <c r="AD71" s="31"/>
      <c r="AE71" s="37"/>
      <c r="AF71" s="37"/>
      <c r="AG71" s="37"/>
    </row>
    <row r="72" spans="1:33" ht="15.75" customHeight="1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6"/>
      <c r="V72" s="1"/>
      <c r="W72" s="31"/>
      <c r="X72" s="31"/>
      <c r="Y72" s="31"/>
      <c r="Z72" s="31"/>
      <c r="AA72" s="2"/>
      <c r="AB72" s="31"/>
      <c r="AC72" s="31"/>
      <c r="AD72" s="31"/>
      <c r="AE72" s="37"/>
      <c r="AF72" s="37"/>
      <c r="AG72" s="37"/>
    </row>
    <row r="73" spans="1:33" ht="15.75" customHeight="1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6"/>
      <c r="V73" s="1"/>
      <c r="W73" s="31"/>
      <c r="X73" s="31"/>
      <c r="Y73" s="31"/>
      <c r="Z73" s="31"/>
      <c r="AA73" s="2"/>
      <c r="AB73" s="31"/>
      <c r="AC73" s="31"/>
      <c r="AD73" s="31"/>
      <c r="AE73" s="37"/>
      <c r="AF73" s="37"/>
      <c r="AG73" s="37"/>
    </row>
    <row r="74" spans="1:33" ht="15.75" customHeight="1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6"/>
      <c r="V74" s="1"/>
      <c r="W74" s="31"/>
      <c r="X74" s="31"/>
      <c r="Y74" s="31"/>
      <c r="Z74" s="31"/>
      <c r="AA74" s="2"/>
      <c r="AB74" s="31"/>
      <c r="AC74" s="31"/>
      <c r="AD74" s="31"/>
      <c r="AE74" s="37"/>
      <c r="AF74" s="37"/>
      <c r="AG74" s="37"/>
    </row>
    <row r="75" spans="1:33" ht="15.75" customHeight="1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6"/>
      <c r="V75" s="1"/>
      <c r="W75" s="31"/>
      <c r="X75" s="31"/>
      <c r="Y75" s="31"/>
      <c r="Z75" s="31"/>
      <c r="AA75" s="2"/>
      <c r="AB75" s="31"/>
      <c r="AC75" s="31"/>
      <c r="AD75" s="31"/>
      <c r="AE75" s="37"/>
      <c r="AF75" s="37"/>
      <c r="AG75" s="37"/>
    </row>
    <row r="76" spans="1:33" ht="15.75" customHeight="1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6"/>
      <c r="V76" s="1"/>
      <c r="W76" s="31"/>
      <c r="X76" s="31"/>
      <c r="Y76" s="31"/>
      <c r="Z76" s="31"/>
      <c r="AA76" s="2"/>
      <c r="AB76" s="31"/>
      <c r="AC76" s="31"/>
      <c r="AD76" s="31"/>
      <c r="AE76" s="37"/>
      <c r="AF76" s="37"/>
      <c r="AG76" s="37"/>
    </row>
    <row r="77" spans="1:33" ht="15.75" customHeight="1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6"/>
      <c r="V77" s="1"/>
      <c r="W77" s="31"/>
      <c r="X77" s="31"/>
      <c r="Y77" s="31"/>
      <c r="Z77" s="31"/>
      <c r="AA77" s="2"/>
      <c r="AB77" s="31"/>
      <c r="AC77" s="31"/>
      <c r="AD77" s="31"/>
      <c r="AE77" s="37"/>
      <c r="AF77" s="37"/>
      <c r="AG77" s="37"/>
    </row>
    <row r="78" spans="1:33" ht="15.75" customHeight="1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6"/>
      <c r="V78" s="1"/>
      <c r="W78" s="31"/>
      <c r="X78" s="31"/>
      <c r="Y78" s="31"/>
      <c r="Z78" s="31"/>
      <c r="AA78" s="2"/>
      <c r="AB78" s="31"/>
      <c r="AC78" s="31"/>
      <c r="AD78" s="31"/>
      <c r="AE78" s="37"/>
      <c r="AF78" s="37"/>
      <c r="AG78" s="37"/>
    </row>
    <row r="79" spans="1:33" ht="15.75" customHeight="1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6"/>
      <c r="V79" s="1"/>
      <c r="W79" s="31"/>
      <c r="X79" s="31"/>
      <c r="Y79" s="31"/>
      <c r="Z79" s="31"/>
      <c r="AA79" s="2"/>
      <c r="AB79" s="31"/>
      <c r="AC79" s="31"/>
      <c r="AD79" s="31"/>
      <c r="AE79" s="37"/>
      <c r="AF79" s="37"/>
      <c r="AG79" s="37"/>
    </row>
    <row r="80" spans="1:33" ht="15.75" customHeight="1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6"/>
      <c r="V80" s="1"/>
      <c r="W80" s="31"/>
      <c r="X80" s="31"/>
      <c r="Y80" s="31"/>
      <c r="Z80" s="31"/>
      <c r="AA80" s="2"/>
      <c r="AB80" s="31"/>
      <c r="AC80" s="31"/>
      <c r="AD80" s="31"/>
      <c r="AE80" s="37"/>
      <c r="AF80" s="37"/>
      <c r="AG80" s="37"/>
    </row>
    <row r="81" spans="1:33" ht="15.75" customHeight="1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6"/>
      <c r="V81" s="1"/>
      <c r="W81" s="31"/>
      <c r="X81" s="31"/>
      <c r="Y81" s="31"/>
      <c r="Z81" s="31"/>
      <c r="AA81" s="2"/>
      <c r="AB81" s="31"/>
      <c r="AC81" s="31"/>
      <c r="AD81" s="31"/>
      <c r="AE81" s="37"/>
      <c r="AF81" s="37"/>
      <c r="AG81" s="37"/>
    </row>
    <row r="82" spans="1:33" ht="15.75" customHeight="1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6"/>
      <c r="V82" s="1"/>
      <c r="W82" s="31"/>
      <c r="X82" s="31"/>
      <c r="Y82" s="31"/>
      <c r="Z82" s="31"/>
      <c r="AA82" s="2"/>
      <c r="AB82" s="31"/>
      <c r="AC82" s="31"/>
      <c r="AD82" s="31"/>
      <c r="AE82" s="37"/>
      <c r="AF82" s="37"/>
      <c r="AG82" s="37"/>
    </row>
    <row r="83" spans="1:33" ht="15.75" customHeight="1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6"/>
      <c r="V83" s="1"/>
      <c r="W83" s="31"/>
      <c r="X83" s="31"/>
      <c r="Y83" s="31"/>
      <c r="Z83" s="31"/>
      <c r="AA83" s="2"/>
      <c r="AB83" s="31"/>
      <c r="AC83" s="31"/>
      <c r="AD83" s="31"/>
      <c r="AE83" s="37"/>
      <c r="AF83" s="37"/>
      <c r="AG83" s="37"/>
    </row>
    <row r="84" spans="1:33" ht="15.75" customHeight="1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6"/>
      <c r="V84" s="1"/>
      <c r="W84" s="31"/>
      <c r="X84" s="31"/>
      <c r="Y84" s="31"/>
      <c r="Z84" s="31"/>
      <c r="AA84" s="2"/>
      <c r="AB84" s="31"/>
      <c r="AC84" s="31"/>
      <c r="AD84" s="31"/>
      <c r="AE84" s="37"/>
      <c r="AF84" s="37"/>
      <c r="AG84" s="37"/>
    </row>
    <row r="85" spans="1:33" ht="15.75" customHeight="1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6"/>
      <c r="V85" s="1"/>
      <c r="W85" s="31"/>
      <c r="X85" s="31"/>
      <c r="Y85" s="31"/>
      <c r="Z85" s="31"/>
      <c r="AA85" s="2"/>
      <c r="AB85" s="31"/>
      <c r="AC85" s="31"/>
      <c r="AD85" s="31"/>
      <c r="AE85" s="37"/>
      <c r="AF85" s="37"/>
      <c r="AG85" s="37"/>
    </row>
    <row r="86" spans="1:33" ht="15.75" customHeight="1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6"/>
      <c r="V86" s="1"/>
      <c r="W86" s="31"/>
      <c r="X86" s="31"/>
      <c r="Y86" s="31"/>
      <c r="Z86" s="31"/>
      <c r="AA86" s="2"/>
      <c r="AB86" s="31"/>
      <c r="AC86" s="31"/>
      <c r="AD86" s="31"/>
      <c r="AE86" s="37"/>
      <c r="AF86" s="37"/>
      <c r="AG86" s="37"/>
    </row>
    <row r="87" spans="1:33" ht="15.75" customHeight="1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6"/>
      <c r="V87" s="1"/>
      <c r="W87" s="31"/>
      <c r="X87" s="31"/>
      <c r="Y87" s="31"/>
      <c r="Z87" s="31"/>
      <c r="AA87" s="2"/>
      <c r="AB87" s="31"/>
      <c r="AC87" s="31"/>
      <c r="AD87" s="31"/>
      <c r="AE87" s="37"/>
      <c r="AF87" s="37"/>
      <c r="AG87" s="37"/>
    </row>
    <row r="88" spans="1:33" ht="15.75" customHeight="1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6"/>
      <c r="V88" s="1"/>
      <c r="W88" s="31"/>
      <c r="X88" s="31"/>
      <c r="Y88" s="31"/>
      <c r="Z88" s="31"/>
      <c r="AA88" s="2"/>
      <c r="AB88" s="31"/>
      <c r="AC88" s="31"/>
      <c r="AD88" s="31"/>
      <c r="AE88" s="37"/>
      <c r="AF88" s="37"/>
      <c r="AG88" s="37"/>
    </row>
    <row r="89" spans="1:33" ht="15.75" customHeight="1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6"/>
      <c r="V89" s="1"/>
      <c r="W89" s="31"/>
      <c r="X89" s="31"/>
      <c r="Y89" s="31"/>
      <c r="Z89" s="31"/>
      <c r="AA89" s="2"/>
      <c r="AB89" s="31"/>
      <c r="AC89" s="31"/>
      <c r="AD89" s="31"/>
      <c r="AE89" s="37"/>
      <c r="AF89" s="37"/>
      <c r="AG89" s="37"/>
    </row>
    <row r="90" spans="1:33" ht="15.75" customHeight="1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6"/>
      <c r="V90" s="1"/>
      <c r="W90" s="31"/>
      <c r="X90" s="31"/>
      <c r="Y90" s="31"/>
      <c r="Z90" s="31"/>
      <c r="AA90" s="2"/>
      <c r="AB90" s="31"/>
      <c r="AC90" s="31"/>
      <c r="AD90" s="31"/>
      <c r="AE90" s="37"/>
      <c r="AF90" s="37"/>
      <c r="AG90" s="37"/>
    </row>
    <row r="91" spans="1:33" ht="15.75" customHeight="1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6"/>
      <c r="V91" s="1"/>
      <c r="W91" s="31"/>
      <c r="X91" s="31"/>
      <c r="Y91" s="31"/>
      <c r="Z91" s="31"/>
      <c r="AA91" s="2"/>
      <c r="AB91" s="31"/>
      <c r="AC91" s="31"/>
      <c r="AD91" s="31"/>
      <c r="AE91" s="37"/>
      <c r="AF91" s="37"/>
      <c r="AG91" s="37"/>
    </row>
    <row r="92" spans="1:33" ht="15.75" customHeight="1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6"/>
      <c r="V92" s="1"/>
      <c r="W92" s="31"/>
      <c r="X92" s="31"/>
      <c r="Y92" s="31"/>
      <c r="Z92" s="31"/>
      <c r="AA92" s="2"/>
      <c r="AB92" s="31"/>
      <c r="AC92" s="31"/>
      <c r="AD92" s="31"/>
      <c r="AE92" s="37"/>
      <c r="AF92" s="37"/>
      <c r="AG92" s="37"/>
    </row>
    <row r="93" spans="1:33" ht="15.75" customHeight="1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6"/>
      <c r="V93" s="1"/>
      <c r="W93" s="31"/>
      <c r="X93" s="31"/>
      <c r="Y93" s="31"/>
      <c r="Z93" s="31"/>
      <c r="AA93" s="2"/>
      <c r="AB93" s="31"/>
      <c r="AC93" s="31"/>
      <c r="AD93" s="31"/>
      <c r="AE93" s="37"/>
      <c r="AF93" s="37"/>
      <c r="AG93" s="37"/>
    </row>
    <row r="94" spans="1:33" ht="15.75" customHeight="1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6"/>
      <c r="V94" s="1"/>
      <c r="W94" s="31"/>
      <c r="X94" s="31"/>
      <c r="Y94" s="31"/>
      <c r="Z94" s="31"/>
      <c r="AA94" s="2"/>
      <c r="AB94" s="31"/>
      <c r="AC94" s="31"/>
      <c r="AD94" s="31"/>
      <c r="AE94" s="37"/>
      <c r="AF94" s="37"/>
      <c r="AG94" s="37"/>
    </row>
    <row r="95" spans="1:33" ht="15.75" customHeight="1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6"/>
      <c r="V95" s="1"/>
      <c r="W95" s="31"/>
      <c r="X95" s="31"/>
      <c r="Y95" s="31"/>
      <c r="Z95" s="31"/>
      <c r="AA95" s="2"/>
      <c r="AB95" s="31"/>
      <c r="AC95" s="31"/>
      <c r="AD95" s="31"/>
      <c r="AE95" s="37"/>
      <c r="AF95" s="37"/>
      <c r="AG95" s="37"/>
    </row>
    <row r="96" spans="1:33" ht="15.75" customHeight="1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6"/>
      <c r="V96" s="1"/>
      <c r="W96" s="31"/>
      <c r="X96" s="31"/>
      <c r="Y96" s="31"/>
      <c r="Z96" s="31"/>
      <c r="AA96" s="2"/>
      <c r="AB96" s="31"/>
      <c r="AC96" s="31"/>
      <c r="AD96" s="31"/>
      <c r="AE96" s="37"/>
      <c r="AF96" s="37"/>
      <c r="AG96" s="37"/>
    </row>
    <row r="97" spans="1:33" ht="15.75" customHeight="1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8"/>
      <c r="R97" s="38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8"/>
      <c r="R98" s="38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8"/>
      <c r="R99" s="38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8"/>
      <c r="R100" s="38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8"/>
      <c r="R101" s="38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8"/>
      <c r="R102" s="38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8"/>
      <c r="R103" s="38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8"/>
      <c r="R104" s="38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8"/>
      <c r="R105" s="38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8"/>
      <c r="R106" s="38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8"/>
      <c r="R107" s="38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8"/>
      <c r="R108" s="38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8"/>
      <c r="R109" s="38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8"/>
      <c r="R110" s="38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8"/>
      <c r="R111" s="38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8"/>
      <c r="R112" s="38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8"/>
      <c r="R113" s="38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8"/>
      <c r="R114" s="38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>
      <c r="A115" s="31"/>
      <c r="B115" s="31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>
      <c r="A116" s="31"/>
      <c r="B116" s="31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>
      <c r="A117" s="31"/>
      <c r="B117" s="31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>
      <c r="A118" s="31"/>
      <c r="B118" s="31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>
      <c r="A119" s="31"/>
      <c r="B119" s="31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>
      <c r="A120" s="31"/>
      <c r="B120" s="31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>
      <c r="A121" s="31"/>
      <c r="B121" s="31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>
      <c r="A122" s="31"/>
      <c r="B122" s="31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>
      <c r="A123" s="31"/>
      <c r="B123" s="31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>
      <c r="A124" s="31"/>
      <c r="B124" s="31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>
      <c r="A125" s="31"/>
      <c r="B125" s="31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>
      <c r="A126" s="31"/>
      <c r="B126" s="31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>
      <c r="A127" s="31"/>
      <c r="B127" s="31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>
      <c r="A128" s="31"/>
      <c r="B128" s="31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>
      <c r="A129" s="31"/>
      <c r="B129" s="31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>
      <c r="A130" s="31"/>
      <c r="B130" s="31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>
      <c r="A131" s="31"/>
      <c r="B131" s="31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>
      <c r="A132" s="31"/>
      <c r="B132" s="31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>
      <c r="A133" s="31"/>
      <c r="B133" s="31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>
      <c r="A134" s="31"/>
      <c r="B134" s="31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>
      <c r="A135" s="31"/>
      <c r="B135" s="31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>
      <c r="A136" s="31"/>
      <c r="B136" s="31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>
      <c r="A137" s="31"/>
      <c r="B137" s="31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>
      <c r="A138" s="31"/>
      <c r="B138" s="31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>
      <c r="A139" s="31"/>
      <c r="B139" s="31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>
      <c r="A140" s="31"/>
      <c r="B140" s="31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>
      <c r="A141" s="31"/>
      <c r="B141" s="31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2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>
      <c r="A142" s="31"/>
      <c r="B142" s="31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2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>
      <c r="A143" s="31"/>
      <c r="B143" s="31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2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>
      <c r="A144" s="31"/>
      <c r="B144" s="31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2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>
      <c r="A145" s="31"/>
      <c r="B145" s="31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2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>
      <c r="A146" s="31"/>
      <c r="B146" s="31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2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>
      <c r="A147" s="31"/>
      <c r="B147" s="31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2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>
      <c r="A148" s="31"/>
      <c r="B148" s="31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2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</row>
    <row r="149" spans="1:33" ht="15.75" customHeight="1">
      <c r="A149" s="14"/>
      <c r="B149" s="14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>
      <c r="A150" s="14"/>
      <c r="B150" s="14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>
      <c r="A151" s="14"/>
      <c r="B151" s="14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>
      <c r="A152" s="14"/>
      <c r="B152" s="14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>
      <c r="A153" s="14"/>
      <c r="B153" s="14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>
      <c r="A154" s="14"/>
      <c r="B154" s="14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>
      <c r="A155" s="14"/>
      <c r="B155" s="14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>
      <c r="A156" s="14"/>
      <c r="B156" s="14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>
      <c r="A157" s="14"/>
      <c r="B157" s="14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>
      <c r="A158" s="14"/>
      <c r="B158" s="14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>
      <c r="A159" s="14"/>
      <c r="B159" s="14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>
      <c r="A160" s="14"/>
      <c r="B160" s="14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>
      <c r="A161" s="14"/>
      <c r="B161" s="14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>
      <c r="A162" s="14"/>
      <c r="B162" s="14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>
      <c r="A163" s="14"/>
      <c r="B163" s="14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>
      <c r="A164" s="14"/>
      <c r="B164" s="14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>
      <c r="A165" s="14"/>
      <c r="B165" s="14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>
      <c r="A166" s="14"/>
      <c r="B166" s="14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>
      <c r="A167" s="14"/>
      <c r="B167" s="14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>
      <c r="A168" s="14"/>
      <c r="B168" s="14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>
      <c r="A169" s="14"/>
      <c r="B169" s="14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>
      <c r="A170" s="14"/>
      <c r="B170" s="14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>
      <c r="A171" s="14"/>
      <c r="B171" s="14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>
      <c r="A172" s="14"/>
      <c r="B172" s="14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>
      <c r="A173" s="14"/>
      <c r="B173" s="14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>
      <c r="A174" s="14"/>
      <c r="B174" s="14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>
      <c r="A175" s="14"/>
      <c r="B175" s="14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>
      <c r="A176" s="14"/>
      <c r="B176" s="14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>
      <c r="A177" s="14"/>
      <c r="B177" s="14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>
      <c r="A178" s="14"/>
      <c r="B178" s="14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>
      <c r="A179" s="14"/>
      <c r="B179" s="14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>
      <c r="A180" s="14"/>
      <c r="B180" s="14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>
      <c r="A181" s="14"/>
      <c r="B181" s="14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>
      <c r="A182" s="14"/>
      <c r="B182" s="14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>
      <c r="A183" s="14"/>
      <c r="B183" s="14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>
      <c r="A184" s="14"/>
      <c r="B184" s="14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>
      <c r="A185" s="14"/>
      <c r="B185" s="14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>
      <c r="A186" s="14"/>
      <c r="B186" s="14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>
      <c r="A187" s="14"/>
      <c r="B187" s="14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>
      <c r="A188" s="14"/>
      <c r="B188" s="14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>
      <c r="A189" s="14"/>
      <c r="B189" s="14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>
      <c r="A190" s="14"/>
      <c r="B190" s="14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>
      <c r="A191" s="14"/>
      <c r="B191" s="14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>
      <c r="A192" s="14"/>
      <c r="B192" s="14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>
      <c r="A193" s="14"/>
      <c r="B193" s="14"/>
      <c r="C193" s="39"/>
      <c r="D193" s="39"/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>
      <c r="A194" s="14"/>
      <c r="B194" s="14"/>
      <c r="C194" s="39"/>
      <c r="D194" s="39"/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>
      <c r="A195" s="14"/>
      <c r="B195" s="14"/>
      <c r="C195" s="39"/>
      <c r="D195" s="39"/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>
      <c r="A196" s="14"/>
      <c r="B196" s="14"/>
      <c r="C196" s="39"/>
      <c r="D196" s="39"/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>
      <c r="A197" s="14"/>
      <c r="B197" s="14"/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>
      <c r="A198" s="14"/>
      <c r="B198" s="14"/>
      <c r="C198" s="39"/>
      <c r="D198" s="39"/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>
      <c r="A199" s="14"/>
      <c r="B199" s="14"/>
      <c r="C199" s="39"/>
      <c r="D199" s="39"/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>
      <c r="A200" s="14"/>
      <c r="B200" s="14"/>
      <c r="C200" s="39"/>
      <c r="D200" s="39"/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>
      <c r="A201" s="14"/>
      <c r="B201" s="14"/>
      <c r="C201" s="39"/>
      <c r="D201" s="39"/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>
      <c r="A202" s="14"/>
      <c r="B202" s="14"/>
      <c r="C202" s="39"/>
      <c r="D202" s="39"/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>
      <c r="A203" s="14"/>
      <c r="B203" s="14"/>
      <c r="C203" s="39"/>
      <c r="D203" s="39"/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>
      <c r="A204" s="14"/>
      <c r="B204" s="14"/>
      <c r="C204" s="39"/>
      <c r="D204" s="39"/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>
      <c r="A205" s="14"/>
      <c r="B205" s="14"/>
      <c r="C205" s="39"/>
      <c r="D205" s="39"/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>
      <c r="A206" s="14"/>
      <c r="B206" s="14"/>
      <c r="C206" s="39"/>
      <c r="D206" s="39"/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>
      <c r="A207" s="14"/>
      <c r="B207" s="14"/>
      <c r="C207" s="39"/>
      <c r="D207" s="39"/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>
      <c r="A208" s="14"/>
      <c r="B208" s="14"/>
      <c r="C208" s="39"/>
      <c r="D208" s="39"/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>
      <c r="A209" s="14"/>
      <c r="B209" s="14"/>
      <c r="C209" s="39"/>
      <c r="D209" s="39"/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>
      <c r="A210" s="14"/>
      <c r="B210" s="14"/>
      <c r="C210" s="39"/>
      <c r="D210" s="39"/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>
      <c r="A211" s="14"/>
      <c r="B211" s="14"/>
      <c r="C211" s="39"/>
      <c r="D211" s="39"/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>
      <c r="A212" s="14"/>
      <c r="B212" s="14"/>
      <c r="C212" s="39"/>
      <c r="D212" s="39"/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>
      <c r="A213" s="14"/>
      <c r="B213" s="14"/>
      <c r="C213" s="39"/>
      <c r="D213" s="39"/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>
      <c r="A214" s="14"/>
      <c r="B214" s="14"/>
      <c r="C214" s="39"/>
      <c r="D214" s="39"/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>
      <c r="A215" s="14"/>
      <c r="B215" s="14"/>
      <c r="C215" s="39"/>
      <c r="D215" s="39"/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>
      <c r="A216" s="14"/>
      <c r="B216" s="14"/>
      <c r="C216" s="39"/>
      <c r="D216" s="39"/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>
      <c r="A217" s="14"/>
      <c r="B217" s="14"/>
      <c r="C217" s="39"/>
      <c r="D217" s="39"/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>
      <c r="A218" s="14"/>
      <c r="B218" s="14"/>
      <c r="C218" s="39"/>
      <c r="D218" s="39"/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>
      <c r="A219" s="14"/>
      <c r="B219" s="14"/>
      <c r="C219" s="39"/>
      <c r="D219" s="39"/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>
      <c r="A220" s="14"/>
      <c r="B220" s="14"/>
      <c r="C220" s="39"/>
      <c r="D220" s="39"/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>
      <c r="R221" s="30"/>
      <c r="S221" s="40"/>
    </row>
    <row r="222" spans="1:33" ht="15.75" customHeight="1">
      <c r="R222" s="30"/>
      <c r="S222" s="40"/>
    </row>
    <row r="223" spans="1:33" ht="15.75" customHeight="1">
      <c r="R223" s="30"/>
      <c r="S223" s="40"/>
    </row>
    <row r="224" spans="1:33" ht="15.75" customHeight="1">
      <c r="R224" s="30"/>
      <c r="S224" s="40"/>
    </row>
    <row r="225" spans="18:18" ht="15.75" customHeight="1">
      <c r="R225" s="30"/>
    </row>
    <row r="226" spans="18:18" ht="15.75" customHeight="1">
      <c r="R226" s="30"/>
    </row>
    <row r="227" spans="18:18" ht="15.75" customHeight="1">
      <c r="R227" s="30"/>
    </row>
    <row r="228" spans="18:18" ht="15.75" customHeight="1">
      <c r="R228" s="30"/>
    </row>
    <row r="229" spans="18:18" ht="15.75" customHeight="1">
      <c r="R229" s="30"/>
    </row>
    <row r="230" spans="18:18" ht="15.75" customHeight="1">
      <c r="R230" s="30"/>
    </row>
    <row r="231" spans="18:18" ht="15.75" customHeight="1">
      <c r="R231" s="30"/>
    </row>
    <row r="232" spans="18:18" ht="15.75" customHeight="1">
      <c r="R232" s="30"/>
    </row>
    <row r="233" spans="18:18" ht="15.75" customHeight="1">
      <c r="R233" s="30"/>
    </row>
    <row r="234" spans="18:18" ht="15.75" customHeight="1">
      <c r="R234" s="30"/>
    </row>
    <row r="235" spans="18:18" ht="15.75" customHeight="1">
      <c r="R235" s="30"/>
    </row>
    <row r="236" spans="18:18" ht="15.75" customHeight="1">
      <c r="R236" s="30"/>
    </row>
    <row r="237" spans="18:18" ht="15.75" customHeight="1">
      <c r="R237" s="30"/>
    </row>
    <row r="238" spans="18:18" ht="15.75" customHeight="1">
      <c r="R238" s="30"/>
    </row>
    <row r="239" spans="18:18" ht="15.75" customHeight="1">
      <c r="R239" s="30"/>
    </row>
    <row r="240" spans="18:18" ht="15.75" customHeight="1">
      <c r="R240" s="30"/>
    </row>
    <row r="241" spans="18:18" ht="15.75" customHeight="1">
      <c r="R241" s="30"/>
    </row>
    <row r="242" spans="18:18" ht="15.75" customHeight="1">
      <c r="R242" s="30"/>
    </row>
    <row r="243" spans="18:18" ht="15.75" customHeight="1">
      <c r="R243" s="30"/>
    </row>
    <row r="244" spans="18:18" ht="15.75" customHeight="1">
      <c r="R244" s="30"/>
    </row>
    <row r="245" spans="18:18" ht="15.75" customHeight="1">
      <c r="R245" s="30"/>
    </row>
    <row r="246" spans="18:18" ht="15.75" customHeight="1">
      <c r="R246" s="30"/>
    </row>
    <row r="247" spans="18:18" ht="15.75" customHeight="1">
      <c r="R247" s="30"/>
    </row>
    <row r="248" spans="18:18" ht="15.75" customHeight="1">
      <c r="R248" s="30"/>
    </row>
    <row r="249" spans="18:18" ht="15.75" customHeight="1">
      <c r="R249" s="30"/>
    </row>
    <row r="250" spans="18:18" ht="15.75" customHeight="1">
      <c r="R250" s="30"/>
    </row>
    <row r="251" spans="18:18" ht="15.75" customHeight="1">
      <c r="R251" s="30"/>
    </row>
    <row r="252" spans="18:18" ht="15.75" customHeight="1">
      <c r="R252" s="30"/>
    </row>
    <row r="253" spans="18:18" ht="15.75" customHeight="1">
      <c r="R253" s="30"/>
    </row>
    <row r="254" spans="18:18" ht="15.75" customHeight="1">
      <c r="R254" s="30"/>
    </row>
    <row r="255" spans="18:18" ht="15.75" customHeight="1">
      <c r="R255" s="30"/>
    </row>
    <row r="256" spans="18:18" ht="15.75" customHeight="1">
      <c r="R256" s="30"/>
    </row>
    <row r="257" spans="18:18" ht="15.75" customHeight="1">
      <c r="R257" s="30"/>
    </row>
    <row r="258" spans="18:18" ht="15.75" customHeight="1">
      <c r="R258" s="30"/>
    </row>
    <row r="259" spans="18:18" ht="15.75" customHeight="1">
      <c r="R259" s="30"/>
    </row>
    <row r="260" spans="18:18" ht="15.75" customHeight="1">
      <c r="R260" s="30"/>
    </row>
    <row r="261" spans="18:18" ht="15.75" customHeight="1">
      <c r="R261" s="30"/>
    </row>
    <row r="262" spans="18:18" ht="15.75" customHeight="1">
      <c r="R262" s="30"/>
    </row>
    <row r="263" spans="18:18" ht="15.75" customHeight="1">
      <c r="R263" s="30"/>
    </row>
    <row r="264" spans="18:18" ht="15.75" customHeight="1">
      <c r="R264" s="30"/>
    </row>
    <row r="265" spans="18:18" ht="15.75" customHeight="1">
      <c r="R265" s="30"/>
    </row>
    <row r="266" spans="18:18" ht="15.75" customHeight="1">
      <c r="R266" s="30"/>
    </row>
    <row r="267" spans="18:18" ht="15.75" customHeight="1">
      <c r="R267" s="30"/>
    </row>
    <row r="268" spans="18:18" ht="15.75" customHeight="1">
      <c r="R268" s="30"/>
    </row>
    <row r="269" spans="18:18" ht="15.75" customHeight="1">
      <c r="R269" s="30"/>
    </row>
    <row r="270" spans="18:18" ht="15.75" customHeight="1">
      <c r="R270" s="30"/>
    </row>
    <row r="271" spans="18:18" ht="15.75" customHeight="1">
      <c r="R271" s="30"/>
    </row>
    <row r="272" spans="18:18" ht="15.75" customHeight="1">
      <c r="R272" s="30"/>
    </row>
    <row r="273" spans="18:18" ht="15.75" customHeight="1">
      <c r="R273" s="30"/>
    </row>
    <row r="274" spans="18:18" ht="15.75" customHeight="1">
      <c r="R274" s="30"/>
    </row>
    <row r="275" spans="18:18" ht="15.75" customHeight="1">
      <c r="R275" s="30"/>
    </row>
    <row r="276" spans="18:18" ht="15.75" customHeight="1">
      <c r="R276" s="30"/>
    </row>
    <row r="277" spans="18:18" ht="15.75" customHeight="1">
      <c r="R277" s="30"/>
    </row>
    <row r="278" spans="18:18" ht="15.75" customHeight="1">
      <c r="R278" s="30"/>
    </row>
    <row r="279" spans="18:18" ht="15.75" customHeight="1">
      <c r="R279" s="30"/>
    </row>
    <row r="280" spans="18:18" ht="15.75" customHeight="1">
      <c r="R280" s="30"/>
    </row>
    <row r="281" spans="18:18" ht="15.75" customHeight="1">
      <c r="R281" s="30"/>
    </row>
    <row r="282" spans="18:18" ht="15.75" customHeight="1">
      <c r="R282" s="30"/>
    </row>
    <row r="283" spans="18:18" ht="15.75" customHeight="1">
      <c r="R283" s="30"/>
    </row>
    <row r="284" spans="18:18" ht="15.75" customHeight="1">
      <c r="R284" s="30"/>
    </row>
    <row r="285" spans="18:18" ht="15.75" customHeight="1">
      <c r="R285" s="30"/>
    </row>
    <row r="286" spans="18:18" ht="15.75" customHeight="1">
      <c r="R286" s="30"/>
    </row>
    <row r="287" spans="18:18" ht="15.75" customHeight="1">
      <c r="R287" s="30"/>
    </row>
    <row r="288" spans="18:18" ht="15.75" customHeight="1">
      <c r="R288" s="30"/>
    </row>
    <row r="289" spans="18:18" ht="15.75" customHeight="1">
      <c r="R289" s="30"/>
    </row>
    <row r="290" spans="18:18" ht="15.75" customHeight="1">
      <c r="R290" s="30"/>
    </row>
    <row r="291" spans="18:18" ht="15.75" customHeight="1">
      <c r="R291" s="30"/>
    </row>
    <row r="292" spans="18:18" ht="15.75" customHeight="1">
      <c r="R292" s="30"/>
    </row>
    <row r="293" spans="18:18" ht="15.75" customHeight="1">
      <c r="R293" s="30"/>
    </row>
    <row r="294" spans="18:18" ht="15.75" customHeight="1">
      <c r="R294" s="30"/>
    </row>
    <row r="295" spans="18:18" ht="15.75" customHeight="1">
      <c r="R295" s="30"/>
    </row>
    <row r="296" spans="18:18" ht="15.75" customHeight="1">
      <c r="R296" s="30"/>
    </row>
    <row r="297" spans="18:18" ht="15.75" customHeight="1">
      <c r="R297" s="30"/>
    </row>
    <row r="298" spans="18:18" ht="15.75" customHeight="1">
      <c r="R298" s="30"/>
    </row>
    <row r="299" spans="18:18" ht="15.75" customHeight="1">
      <c r="R299" s="30"/>
    </row>
    <row r="300" spans="18:18" ht="15.75" customHeight="1">
      <c r="R300" s="30"/>
    </row>
    <row r="301" spans="18:18" ht="15.75" customHeight="1">
      <c r="R301" s="30"/>
    </row>
    <row r="302" spans="18:18" ht="15.75" customHeight="1">
      <c r="R302" s="30"/>
    </row>
    <row r="303" spans="18:18" ht="15.75" customHeight="1">
      <c r="R303" s="30"/>
    </row>
    <row r="304" spans="18:18" ht="15.75" customHeight="1">
      <c r="R304" s="30"/>
    </row>
    <row r="305" spans="18:18" ht="15.75" customHeight="1">
      <c r="R305" s="30"/>
    </row>
    <row r="306" spans="18:18" ht="15.75" customHeight="1">
      <c r="R306" s="30"/>
    </row>
    <row r="307" spans="18:18" ht="15.75" customHeight="1">
      <c r="R307" s="30"/>
    </row>
    <row r="308" spans="18:18" ht="15.75" customHeight="1">
      <c r="R308" s="30"/>
    </row>
    <row r="309" spans="18:18" ht="15.75" customHeight="1">
      <c r="R309" s="30"/>
    </row>
    <row r="310" spans="18:18" ht="15.75" customHeight="1">
      <c r="R310" s="30"/>
    </row>
    <row r="311" spans="18:18" ht="15.75" customHeight="1">
      <c r="R311" s="30"/>
    </row>
    <row r="312" spans="18:18" ht="15.75" customHeight="1">
      <c r="R312" s="30"/>
    </row>
    <row r="313" spans="18:18" ht="15.75" customHeight="1">
      <c r="R313" s="30"/>
    </row>
    <row r="314" spans="18:18" ht="15.75" customHeight="1">
      <c r="R314" s="30"/>
    </row>
    <row r="315" spans="18:18" ht="15.75" customHeight="1">
      <c r="R315" s="30"/>
    </row>
    <row r="316" spans="18:18" ht="15.75" customHeight="1">
      <c r="R316" s="30"/>
    </row>
    <row r="317" spans="18:18" ht="15.75" customHeight="1">
      <c r="R317" s="30"/>
    </row>
    <row r="318" spans="18:18" ht="15.75" customHeight="1">
      <c r="R318" s="30"/>
    </row>
    <row r="319" spans="18:18" ht="15.75" customHeight="1">
      <c r="R319" s="30"/>
    </row>
    <row r="320" spans="18:18" ht="15.75" customHeight="1">
      <c r="R320" s="30"/>
    </row>
    <row r="321" spans="18:18" ht="15.75" customHeight="1">
      <c r="R321" s="30"/>
    </row>
    <row r="322" spans="18:18" ht="15.75" customHeight="1">
      <c r="R322" s="30"/>
    </row>
    <row r="323" spans="18:18" ht="15.75" customHeight="1">
      <c r="R323" s="30"/>
    </row>
    <row r="324" spans="18:18" ht="15.75" customHeight="1">
      <c r="R324" s="30"/>
    </row>
    <row r="325" spans="18:18" ht="15.75" customHeight="1">
      <c r="R325" s="30"/>
    </row>
    <row r="326" spans="18:18" ht="15.75" customHeight="1">
      <c r="R326" s="30"/>
    </row>
    <row r="327" spans="18:18" ht="15.75" customHeight="1">
      <c r="R327" s="30"/>
    </row>
    <row r="328" spans="18:18" ht="15.75" customHeight="1">
      <c r="R328" s="30"/>
    </row>
    <row r="329" spans="18:18" ht="15.75" customHeight="1">
      <c r="R329" s="30"/>
    </row>
    <row r="330" spans="18:18" ht="15.75" customHeight="1">
      <c r="R330" s="30"/>
    </row>
    <row r="331" spans="18:18" ht="15.75" customHeight="1">
      <c r="R331" s="30"/>
    </row>
    <row r="332" spans="18:18" ht="15.75" customHeight="1">
      <c r="R332" s="30"/>
    </row>
    <row r="333" spans="18:18" ht="15.75" customHeight="1">
      <c r="R333" s="30"/>
    </row>
    <row r="334" spans="18:18" ht="15.75" customHeight="1">
      <c r="R334" s="30"/>
    </row>
    <row r="335" spans="18:18" ht="15.75" customHeight="1">
      <c r="R335" s="30"/>
    </row>
    <row r="336" spans="18:18" ht="15.75" customHeight="1">
      <c r="R336" s="30"/>
    </row>
    <row r="337" spans="18:18" ht="15.75" customHeight="1">
      <c r="R337" s="30"/>
    </row>
    <row r="338" spans="18:18" ht="15.75" customHeight="1">
      <c r="R338" s="30"/>
    </row>
    <row r="339" spans="18:18" ht="15.75" customHeight="1">
      <c r="R339" s="30"/>
    </row>
    <row r="340" spans="18:18" ht="15.75" customHeight="1">
      <c r="R340" s="30"/>
    </row>
    <row r="341" spans="18:18" ht="15.75" customHeight="1">
      <c r="R341" s="30"/>
    </row>
    <row r="342" spans="18:18" ht="15.75" customHeight="1">
      <c r="R342" s="30"/>
    </row>
    <row r="343" spans="18:18" ht="15.75" customHeight="1">
      <c r="R343" s="30"/>
    </row>
    <row r="344" spans="18:18" ht="15.75" customHeight="1">
      <c r="R344" s="30"/>
    </row>
    <row r="345" spans="18:18" ht="15.75" customHeight="1">
      <c r="R345" s="30"/>
    </row>
    <row r="346" spans="18:18" ht="15.75" customHeight="1">
      <c r="R346" s="30"/>
    </row>
    <row r="347" spans="18:18" ht="15.75" customHeight="1">
      <c r="R347" s="30"/>
    </row>
    <row r="348" spans="18:18" ht="15.75" customHeight="1">
      <c r="R348" s="30"/>
    </row>
    <row r="349" spans="18:18" ht="15.75" customHeight="1">
      <c r="R349" s="30"/>
    </row>
    <row r="350" spans="18:18" ht="15.75" customHeight="1">
      <c r="R350" s="30"/>
    </row>
    <row r="351" spans="18:18" ht="15.75" customHeight="1">
      <c r="R351" s="30"/>
    </row>
    <row r="352" spans="18:18" ht="15.75" customHeight="1">
      <c r="R352" s="30"/>
    </row>
    <row r="353" spans="18:18" ht="15.75" customHeight="1">
      <c r="R353" s="30"/>
    </row>
    <row r="354" spans="18:18" ht="15.75" customHeight="1">
      <c r="R354" s="30"/>
    </row>
    <row r="355" spans="18:18" ht="15.75" customHeight="1">
      <c r="R355" s="30"/>
    </row>
    <row r="356" spans="18:18" ht="15.75" customHeight="1">
      <c r="R356" s="30"/>
    </row>
    <row r="357" spans="18:18" ht="15.75" customHeight="1">
      <c r="R357" s="30"/>
    </row>
    <row r="358" spans="18:18" ht="15.75" customHeight="1">
      <c r="R358" s="30"/>
    </row>
    <row r="359" spans="18:18" ht="15.75" customHeight="1">
      <c r="R359" s="30"/>
    </row>
    <row r="360" spans="18:18" ht="15.75" customHeight="1">
      <c r="R360" s="30"/>
    </row>
    <row r="361" spans="18:18" ht="15.75" customHeight="1">
      <c r="R361" s="30"/>
    </row>
    <row r="362" spans="18:18" ht="15.75" customHeight="1">
      <c r="R362" s="30"/>
    </row>
    <row r="363" spans="18:18" ht="15.75" customHeight="1">
      <c r="R363" s="30"/>
    </row>
    <row r="364" spans="18:18" ht="15.75" customHeight="1">
      <c r="R364" s="30"/>
    </row>
    <row r="365" spans="18:18" ht="15.75" customHeight="1">
      <c r="R365" s="30"/>
    </row>
    <row r="366" spans="18:18" ht="15.75" customHeight="1">
      <c r="R366" s="30"/>
    </row>
    <row r="367" spans="18:18" ht="15.75" customHeight="1">
      <c r="R367" s="30"/>
    </row>
    <row r="368" spans="18:18" ht="15.75" customHeight="1">
      <c r="R368" s="30"/>
    </row>
    <row r="369" spans="18:18" ht="15.75" customHeight="1">
      <c r="R369" s="30"/>
    </row>
    <row r="370" spans="18:18" ht="15.75" customHeight="1">
      <c r="R370" s="30"/>
    </row>
    <row r="371" spans="18:18" ht="15.75" customHeight="1">
      <c r="R371" s="30"/>
    </row>
    <row r="372" spans="18:18" ht="15.75" customHeight="1">
      <c r="R372" s="30"/>
    </row>
    <row r="373" spans="18:18" ht="15.75" customHeight="1">
      <c r="R373" s="30"/>
    </row>
    <row r="374" spans="18:18" ht="15.75" customHeight="1">
      <c r="R374" s="30"/>
    </row>
    <row r="375" spans="18:18" ht="15.75" customHeight="1">
      <c r="R375" s="30"/>
    </row>
    <row r="376" spans="18:18" ht="15.75" customHeight="1">
      <c r="R376" s="30"/>
    </row>
    <row r="377" spans="18:18" ht="15.75" customHeight="1">
      <c r="R377" s="30"/>
    </row>
    <row r="378" spans="18:18" ht="15.75" customHeight="1">
      <c r="R378" s="30"/>
    </row>
    <row r="379" spans="18:18" ht="15.75" customHeight="1">
      <c r="R379" s="30"/>
    </row>
    <row r="380" spans="18:18" ht="15.75" customHeight="1">
      <c r="R380" s="30"/>
    </row>
    <row r="381" spans="18:18" ht="15.75" customHeight="1">
      <c r="R381" s="30"/>
    </row>
    <row r="382" spans="18:18" ht="15.75" customHeight="1">
      <c r="R382" s="30"/>
    </row>
    <row r="383" spans="18:18" ht="15.75" customHeight="1">
      <c r="R383" s="30"/>
    </row>
    <row r="384" spans="18:18" ht="15.75" customHeight="1">
      <c r="R384" s="30"/>
    </row>
    <row r="385" spans="18:18" ht="15.75" customHeight="1">
      <c r="R385" s="30"/>
    </row>
    <row r="386" spans="18:18" ht="15.75" customHeight="1">
      <c r="R386" s="30"/>
    </row>
    <row r="387" spans="18:18" ht="15.75" customHeight="1">
      <c r="R387" s="30"/>
    </row>
    <row r="388" spans="18:18" ht="15.75" customHeight="1">
      <c r="R388" s="30"/>
    </row>
    <row r="389" spans="18:18" ht="15.75" customHeight="1">
      <c r="R389" s="30"/>
    </row>
    <row r="390" spans="18:18" ht="15.75" customHeight="1">
      <c r="R390" s="30"/>
    </row>
    <row r="391" spans="18:18" ht="15.75" customHeight="1">
      <c r="R391" s="30"/>
    </row>
    <row r="392" spans="18:18" ht="15.75" customHeight="1">
      <c r="R392" s="30"/>
    </row>
    <row r="393" spans="18:18" ht="15.75" customHeight="1">
      <c r="R393" s="30"/>
    </row>
    <row r="394" spans="18:18" ht="15.75" customHeight="1">
      <c r="R394" s="30"/>
    </row>
    <row r="395" spans="18:18" ht="15.75" customHeight="1">
      <c r="R395" s="30"/>
    </row>
    <row r="396" spans="18:18" ht="15.75" customHeight="1">
      <c r="R396" s="30"/>
    </row>
    <row r="397" spans="18:18" ht="15.75" customHeight="1">
      <c r="R397" s="30"/>
    </row>
    <row r="398" spans="18:18" ht="15.75" customHeight="1">
      <c r="R398" s="30"/>
    </row>
    <row r="399" spans="18:18" ht="15.75" customHeight="1">
      <c r="R399" s="30"/>
    </row>
    <row r="400" spans="18:18" ht="15.75" customHeight="1">
      <c r="R400" s="30"/>
    </row>
    <row r="401" spans="18:18" ht="15.75" customHeight="1">
      <c r="R401" s="30"/>
    </row>
    <row r="402" spans="18:18" ht="15.75" customHeight="1">
      <c r="R402" s="30"/>
    </row>
    <row r="403" spans="18:18" ht="15.75" customHeight="1">
      <c r="R403" s="30"/>
    </row>
    <row r="404" spans="18:18" ht="15.75" customHeight="1">
      <c r="R404" s="30"/>
    </row>
    <row r="405" spans="18:18" ht="15.75" customHeight="1">
      <c r="R405" s="30"/>
    </row>
    <row r="406" spans="18:18" ht="15.75" customHeight="1">
      <c r="R406" s="30"/>
    </row>
    <row r="407" spans="18:18" ht="15.75" customHeight="1">
      <c r="R407" s="30"/>
    </row>
    <row r="408" spans="18:18" ht="15.75" customHeight="1">
      <c r="R408" s="30"/>
    </row>
    <row r="409" spans="18:18" ht="15.75" customHeight="1">
      <c r="R409" s="30"/>
    </row>
    <row r="410" spans="18:18" ht="15.75" customHeight="1">
      <c r="R410" s="30"/>
    </row>
    <row r="411" spans="18:18" ht="15.75" customHeight="1">
      <c r="R411" s="30"/>
    </row>
    <row r="412" spans="18:18" ht="15.75" customHeight="1">
      <c r="R412" s="30"/>
    </row>
    <row r="413" spans="18:18" ht="15.75" customHeight="1">
      <c r="R413" s="30"/>
    </row>
    <row r="414" spans="18:18" ht="15.75" customHeight="1">
      <c r="R414" s="30"/>
    </row>
    <row r="415" spans="18:18" ht="15.75" customHeight="1">
      <c r="R415" s="30"/>
    </row>
    <row r="416" spans="18:18" ht="15.75" customHeight="1">
      <c r="R416" s="30"/>
    </row>
    <row r="417" spans="18:18" ht="15.75" customHeight="1">
      <c r="R417" s="30"/>
    </row>
    <row r="418" spans="18:18" ht="15.75" customHeight="1">
      <c r="R418" s="30"/>
    </row>
    <row r="419" spans="18:18" ht="15.75" customHeight="1">
      <c r="R419" s="30"/>
    </row>
    <row r="420" spans="18:18" ht="15.75" customHeight="1">
      <c r="R420" s="30"/>
    </row>
    <row r="421" spans="18:18" ht="15.75" customHeight="1">
      <c r="R421" s="30"/>
    </row>
    <row r="422" spans="18:18" ht="15.75" customHeight="1">
      <c r="R422" s="30"/>
    </row>
    <row r="423" spans="18:18" ht="15.75" customHeight="1">
      <c r="R423" s="30"/>
    </row>
    <row r="424" spans="18:18" ht="15.75" customHeight="1">
      <c r="R424" s="30"/>
    </row>
    <row r="425" spans="18:18" ht="15.75" customHeight="1">
      <c r="R425" s="30"/>
    </row>
    <row r="426" spans="18:18" ht="15.75" customHeight="1">
      <c r="R426" s="30"/>
    </row>
    <row r="427" spans="18:18" ht="15.75" customHeight="1">
      <c r="R427" s="30"/>
    </row>
    <row r="428" spans="18:18" ht="15.75" customHeight="1">
      <c r="R428" s="30"/>
    </row>
    <row r="429" spans="18:18" ht="15.75" customHeight="1">
      <c r="R429" s="30"/>
    </row>
    <row r="430" spans="18:18" ht="15.75" customHeight="1">
      <c r="R430" s="30"/>
    </row>
    <row r="431" spans="18:18" ht="15.75" customHeight="1">
      <c r="R431" s="30"/>
    </row>
    <row r="432" spans="18:18" ht="15.75" customHeight="1">
      <c r="R432" s="30"/>
    </row>
    <row r="433" spans="18:18" ht="15.75" customHeight="1">
      <c r="R433" s="30"/>
    </row>
    <row r="434" spans="18:18" ht="15.75" customHeight="1">
      <c r="R434" s="30"/>
    </row>
    <row r="435" spans="18:18" ht="15.75" customHeight="1">
      <c r="R435" s="30"/>
    </row>
    <row r="436" spans="18:18" ht="15.75" customHeight="1">
      <c r="R436" s="30"/>
    </row>
    <row r="437" spans="18:18" ht="15.75" customHeight="1">
      <c r="R437" s="30"/>
    </row>
    <row r="438" spans="18:18" ht="15.75" customHeight="1">
      <c r="R438" s="30"/>
    </row>
    <row r="439" spans="18:18" ht="15.75" customHeight="1">
      <c r="R439" s="30"/>
    </row>
    <row r="440" spans="18:18" ht="15.75" customHeight="1">
      <c r="R440" s="30"/>
    </row>
    <row r="441" spans="18:18" ht="15.75" customHeight="1">
      <c r="R441" s="30"/>
    </row>
    <row r="442" spans="18:18" ht="15.75" customHeight="1">
      <c r="R442" s="30"/>
    </row>
    <row r="443" spans="18:18" ht="15.75" customHeight="1">
      <c r="R443" s="30"/>
    </row>
    <row r="444" spans="18:18" ht="15.75" customHeight="1">
      <c r="R444" s="30"/>
    </row>
    <row r="445" spans="18:18" ht="15.75" customHeight="1">
      <c r="R445" s="30"/>
    </row>
    <row r="446" spans="18:18" ht="15.75" customHeight="1">
      <c r="R446" s="30"/>
    </row>
    <row r="447" spans="18:18" ht="15.75" customHeight="1">
      <c r="R447" s="30"/>
    </row>
    <row r="448" spans="18:18" ht="15.75" customHeight="1">
      <c r="R448" s="30"/>
    </row>
    <row r="449" spans="18:18" ht="15.75" customHeight="1">
      <c r="R449" s="30"/>
    </row>
    <row r="450" spans="18:18" ht="15.75" customHeight="1">
      <c r="R450" s="30"/>
    </row>
    <row r="451" spans="18:18" ht="15.75" customHeight="1">
      <c r="R451" s="30"/>
    </row>
    <row r="452" spans="18:18" ht="15.75" customHeight="1">
      <c r="R452" s="30"/>
    </row>
    <row r="453" spans="18:18" ht="15.75" customHeight="1">
      <c r="R453" s="30"/>
    </row>
    <row r="454" spans="18:18" ht="15.75" customHeight="1">
      <c r="R454" s="30"/>
    </row>
    <row r="455" spans="18:18" ht="15.75" customHeight="1">
      <c r="R455" s="30"/>
    </row>
    <row r="456" spans="18:18" ht="15.75" customHeight="1">
      <c r="R456" s="30"/>
    </row>
    <row r="457" spans="18:18" ht="15.75" customHeight="1">
      <c r="R457" s="30"/>
    </row>
    <row r="458" spans="18:18" ht="15.75" customHeight="1">
      <c r="R458" s="30"/>
    </row>
    <row r="459" spans="18:18" ht="15.75" customHeight="1">
      <c r="R459" s="30"/>
    </row>
    <row r="460" spans="18:18" ht="15.75" customHeight="1">
      <c r="R460" s="30"/>
    </row>
    <row r="461" spans="18:18" ht="15.75" customHeight="1">
      <c r="R461" s="30"/>
    </row>
    <row r="462" spans="18:18" ht="15.75" customHeight="1">
      <c r="R462" s="30"/>
    </row>
    <row r="463" spans="18:18" ht="15.75" customHeight="1">
      <c r="R463" s="30"/>
    </row>
    <row r="464" spans="18:18" ht="15.75" customHeight="1">
      <c r="R464" s="30"/>
    </row>
    <row r="465" spans="18:18" ht="15.75" customHeight="1">
      <c r="R465" s="30"/>
    </row>
    <row r="466" spans="18:18" ht="15.75" customHeight="1">
      <c r="R466" s="30"/>
    </row>
    <row r="467" spans="18:18" ht="15.75" customHeight="1">
      <c r="R467" s="30"/>
    </row>
    <row r="468" spans="18:18" ht="15.75" customHeight="1">
      <c r="R468" s="30"/>
    </row>
    <row r="469" spans="18:18" ht="15.75" customHeight="1">
      <c r="R469" s="30"/>
    </row>
    <row r="470" spans="18:18" ht="15.75" customHeight="1">
      <c r="R470" s="30"/>
    </row>
    <row r="471" spans="18:18" ht="15.75" customHeight="1">
      <c r="R471" s="30"/>
    </row>
    <row r="472" spans="18:18" ht="15.75" customHeight="1">
      <c r="R472" s="30"/>
    </row>
    <row r="473" spans="18:18" ht="15.75" customHeight="1">
      <c r="R473" s="30"/>
    </row>
    <row r="474" spans="18:18" ht="15.75" customHeight="1">
      <c r="R474" s="30"/>
    </row>
    <row r="475" spans="18:18" ht="15.75" customHeight="1">
      <c r="R475" s="30"/>
    </row>
    <row r="476" spans="18:18" ht="15.75" customHeight="1">
      <c r="R476" s="30"/>
    </row>
    <row r="477" spans="18:18" ht="15.75" customHeight="1">
      <c r="R477" s="30"/>
    </row>
    <row r="478" spans="18:18" ht="15.75" customHeight="1">
      <c r="R478" s="30"/>
    </row>
    <row r="479" spans="18:18" ht="15.75" customHeight="1">
      <c r="R479" s="30"/>
    </row>
    <row r="480" spans="18:18" ht="15.75" customHeight="1">
      <c r="R480" s="30"/>
    </row>
    <row r="481" spans="18:18" ht="15.75" customHeight="1">
      <c r="R481" s="30"/>
    </row>
    <row r="482" spans="18:18" ht="15.75" customHeight="1">
      <c r="R482" s="30"/>
    </row>
    <row r="483" spans="18:18" ht="15.75" customHeight="1">
      <c r="R483" s="30"/>
    </row>
    <row r="484" spans="18:18" ht="15.75" customHeight="1">
      <c r="R484" s="30"/>
    </row>
    <row r="485" spans="18:18" ht="15.75" customHeight="1">
      <c r="R485" s="30"/>
    </row>
    <row r="486" spans="18:18" ht="15.75" customHeight="1">
      <c r="R486" s="30"/>
    </row>
    <row r="487" spans="18:18" ht="15.75" customHeight="1">
      <c r="R487" s="30"/>
    </row>
    <row r="488" spans="18:18" ht="15.75" customHeight="1">
      <c r="R488" s="30"/>
    </row>
    <row r="489" spans="18:18" ht="15.75" customHeight="1">
      <c r="R489" s="30"/>
    </row>
    <row r="490" spans="18:18" ht="15.75" customHeight="1">
      <c r="R490" s="30"/>
    </row>
    <row r="491" spans="18:18" ht="15.75" customHeight="1">
      <c r="R491" s="30"/>
    </row>
    <row r="492" spans="18:18" ht="15.75" customHeight="1">
      <c r="R492" s="30"/>
    </row>
    <row r="493" spans="18:18" ht="15.75" customHeight="1">
      <c r="R493" s="30"/>
    </row>
    <row r="494" spans="18:18" ht="15.75" customHeight="1">
      <c r="R494" s="30"/>
    </row>
    <row r="495" spans="18:18" ht="15.75" customHeight="1">
      <c r="R495" s="30"/>
    </row>
    <row r="496" spans="18:18" ht="15.75" customHeight="1">
      <c r="R496" s="30"/>
    </row>
    <row r="497" spans="18:18" ht="15.75" customHeight="1">
      <c r="R497" s="30"/>
    </row>
    <row r="498" spans="18:18" ht="15.75" customHeight="1">
      <c r="R498" s="30"/>
    </row>
    <row r="499" spans="18:18" ht="15.75" customHeight="1">
      <c r="R499" s="30"/>
    </row>
    <row r="500" spans="18:18" ht="15.75" customHeight="1">
      <c r="R500" s="30"/>
    </row>
    <row r="501" spans="18:18" ht="15.75" customHeight="1">
      <c r="R501" s="30"/>
    </row>
    <row r="502" spans="18:18" ht="15.75" customHeight="1">
      <c r="R502" s="30"/>
    </row>
    <row r="503" spans="18:18" ht="15.75" customHeight="1">
      <c r="R503" s="30"/>
    </row>
    <row r="504" spans="18:18" ht="15.75" customHeight="1">
      <c r="R504" s="30"/>
    </row>
    <row r="505" spans="18:18" ht="15.75" customHeight="1">
      <c r="R505" s="30"/>
    </row>
    <row r="506" spans="18:18" ht="15.75" customHeight="1">
      <c r="R506" s="30"/>
    </row>
    <row r="507" spans="18:18" ht="15.75" customHeight="1">
      <c r="R507" s="30"/>
    </row>
    <row r="508" spans="18:18" ht="15.75" customHeight="1">
      <c r="R508" s="30"/>
    </row>
    <row r="509" spans="18:18" ht="15.75" customHeight="1">
      <c r="R509" s="30"/>
    </row>
    <row r="510" spans="18:18" ht="15.75" customHeight="1">
      <c r="R510" s="30"/>
    </row>
    <row r="511" spans="18:18" ht="15.75" customHeight="1">
      <c r="R511" s="30"/>
    </row>
    <row r="512" spans="18:18" ht="15.75" customHeight="1">
      <c r="R512" s="30"/>
    </row>
    <row r="513" spans="18:18" ht="15.75" customHeight="1">
      <c r="R513" s="30"/>
    </row>
    <row r="514" spans="18:18" ht="15.75" customHeight="1">
      <c r="R514" s="30"/>
    </row>
    <row r="515" spans="18:18" ht="15.75" customHeight="1">
      <c r="R515" s="30"/>
    </row>
    <row r="516" spans="18:18" ht="15.75" customHeight="1">
      <c r="R516" s="30"/>
    </row>
    <row r="517" spans="18:18" ht="15.75" customHeight="1">
      <c r="R517" s="30"/>
    </row>
    <row r="518" spans="18:18" ht="15.75" customHeight="1">
      <c r="R518" s="30"/>
    </row>
    <row r="519" spans="18:18" ht="15.75" customHeight="1">
      <c r="R519" s="30"/>
    </row>
    <row r="520" spans="18:18" ht="15.75" customHeight="1">
      <c r="R520" s="30"/>
    </row>
    <row r="521" spans="18:18" ht="15.75" customHeight="1">
      <c r="R521" s="30"/>
    </row>
    <row r="522" spans="18:18" ht="15.75" customHeight="1">
      <c r="R522" s="30"/>
    </row>
    <row r="523" spans="18:18" ht="15.75" customHeight="1">
      <c r="R523" s="30"/>
    </row>
    <row r="524" spans="18:18" ht="15.75" customHeight="1">
      <c r="R524" s="30"/>
    </row>
    <row r="525" spans="18:18" ht="15.75" customHeight="1">
      <c r="R525" s="30"/>
    </row>
    <row r="526" spans="18:18" ht="15.75" customHeight="1">
      <c r="R526" s="30"/>
    </row>
    <row r="527" spans="18:18" ht="15.75" customHeight="1">
      <c r="R527" s="30"/>
    </row>
    <row r="528" spans="18:18" ht="15.75" customHeight="1">
      <c r="R528" s="30"/>
    </row>
    <row r="529" spans="18:18" ht="15.75" customHeight="1">
      <c r="R529" s="30"/>
    </row>
    <row r="530" spans="18:18" ht="15.75" customHeight="1">
      <c r="R530" s="30"/>
    </row>
    <row r="531" spans="18:18" ht="15.75" customHeight="1">
      <c r="R531" s="30"/>
    </row>
    <row r="532" spans="18:18" ht="15.75" customHeight="1">
      <c r="R532" s="30"/>
    </row>
    <row r="533" spans="18:18" ht="15.75" customHeight="1">
      <c r="R533" s="30"/>
    </row>
    <row r="534" spans="18:18" ht="15.75" customHeight="1">
      <c r="R534" s="30"/>
    </row>
    <row r="535" spans="18:18" ht="15.75" customHeight="1">
      <c r="R535" s="30"/>
    </row>
    <row r="536" spans="18:18" ht="15.75" customHeight="1">
      <c r="R536" s="30"/>
    </row>
    <row r="537" spans="18:18" ht="15.75" customHeight="1">
      <c r="R537" s="30"/>
    </row>
    <row r="538" spans="18:18" ht="15.75" customHeight="1">
      <c r="R538" s="30"/>
    </row>
    <row r="539" spans="18:18" ht="15.75" customHeight="1">
      <c r="R539" s="30"/>
    </row>
    <row r="540" spans="18:18" ht="15.75" customHeight="1">
      <c r="R540" s="30"/>
    </row>
    <row r="541" spans="18:18" ht="15.75" customHeight="1">
      <c r="R541" s="30"/>
    </row>
    <row r="542" spans="18:18" ht="15.75" customHeight="1">
      <c r="R542" s="30"/>
    </row>
    <row r="543" spans="18:18" ht="15.75" customHeight="1">
      <c r="R543" s="30"/>
    </row>
    <row r="544" spans="18:18" ht="15.75" customHeight="1">
      <c r="R544" s="30"/>
    </row>
    <row r="545" spans="18:18" ht="15.75" customHeight="1">
      <c r="R545" s="30"/>
    </row>
    <row r="546" spans="18:18" ht="15.75" customHeight="1">
      <c r="R546" s="30"/>
    </row>
    <row r="547" spans="18:18" ht="15.75" customHeight="1">
      <c r="R547" s="30"/>
    </row>
    <row r="548" spans="18:18" ht="15.75" customHeight="1">
      <c r="R548" s="30"/>
    </row>
    <row r="549" spans="18:18" ht="15.75" customHeight="1">
      <c r="R549" s="30"/>
    </row>
    <row r="550" spans="18:18" ht="15.75" customHeight="1">
      <c r="R550" s="30"/>
    </row>
    <row r="551" spans="18:18" ht="15.75" customHeight="1">
      <c r="R551" s="30"/>
    </row>
    <row r="552" spans="18:18" ht="15.75" customHeight="1">
      <c r="R552" s="30"/>
    </row>
    <row r="553" spans="18:18" ht="15.75" customHeight="1">
      <c r="R553" s="30"/>
    </row>
    <row r="554" spans="18:18" ht="15.75" customHeight="1">
      <c r="R554" s="30"/>
    </row>
    <row r="555" spans="18:18" ht="15.75" customHeight="1">
      <c r="R555" s="30"/>
    </row>
    <row r="556" spans="18:18" ht="15.75" customHeight="1">
      <c r="R556" s="30"/>
    </row>
    <row r="557" spans="18:18" ht="15.75" customHeight="1">
      <c r="R557" s="30"/>
    </row>
    <row r="558" spans="18:18" ht="15.75" customHeight="1">
      <c r="R558" s="30"/>
    </row>
    <row r="559" spans="18:18" ht="15.75" customHeight="1">
      <c r="R559" s="30"/>
    </row>
    <row r="560" spans="18:18" ht="15.75" customHeight="1">
      <c r="R560" s="30"/>
    </row>
    <row r="561" spans="18:18" ht="15.75" customHeight="1">
      <c r="R561" s="30"/>
    </row>
    <row r="562" spans="18:18" ht="15.75" customHeight="1">
      <c r="R562" s="30"/>
    </row>
    <row r="563" spans="18:18" ht="15.75" customHeight="1">
      <c r="R563" s="30"/>
    </row>
    <row r="564" spans="18:18" ht="15.75" customHeight="1">
      <c r="R564" s="30"/>
    </row>
    <row r="565" spans="18:18" ht="15.75" customHeight="1">
      <c r="R565" s="30"/>
    </row>
    <row r="566" spans="18:18" ht="15.75" customHeight="1">
      <c r="R566" s="30"/>
    </row>
    <row r="567" spans="18:18" ht="15.75" customHeight="1">
      <c r="R567" s="30"/>
    </row>
    <row r="568" spans="18:18" ht="15.75" customHeight="1">
      <c r="R568" s="30"/>
    </row>
    <row r="569" spans="18:18" ht="15.75" customHeight="1">
      <c r="R569" s="30"/>
    </row>
    <row r="570" spans="18:18" ht="15.75" customHeight="1">
      <c r="R570" s="30"/>
    </row>
    <row r="571" spans="18:18" ht="15.75" customHeight="1">
      <c r="R571" s="30"/>
    </row>
    <row r="572" spans="18:18" ht="15.75" customHeight="1">
      <c r="R572" s="30"/>
    </row>
    <row r="573" spans="18:18" ht="15.75" customHeight="1">
      <c r="R573" s="30"/>
    </row>
    <row r="574" spans="18:18" ht="15.75" customHeight="1">
      <c r="R574" s="30"/>
    </row>
    <row r="575" spans="18:18" ht="15.75" customHeight="1">
      <c r="R575" s="30"/>
    </row>
    <row r="576" spans="18:18" ht="15.75" customHeight="1">
      <c r="R576" s="30"/>
    </row>
    <row r="577" spans="18:18" ht="15.75" customHeight="1">
      <c r="R577" s="30"/>
    </row>
    <row r="578" spans="18:18" ht="15.75" customHeight="1">
      <c r="R578" s="30"/>
    </row>
    <row r="579" spans="18:18" ht="15.75" customHeight="1">
      <c r="R579" s="30"/>
    </row>
    <row r="580" spans="18:18" ht="15.75" customHeight="1">
      <c r="R580" s="30"/>
    </row>
    <row r="581" spans="18:18" ht="15.75" customHeight="1">
      <c r="R581" s="30"/>
    </row>
    <row r="582" spans="18:18" ht="15.75" customHeight="1">
      <c r="R582" s="30"/>
    </row>
    <row r="583" spans="18:18" ht="15.75" customHeight="1">
      <c r="R583" s="30"/>
    </row>
    <row r="584" spans="18:18" ht="15.75" customHeight="1">
      <c r="R584" s="30"/>
    </row>
    <row r="585" spans="18:18" ht="15.75" customHeight="1">
      <c r="R585" s="30"/>
    </row>
    <row r="586" spans="18:18" ht="15.75" customHeight="1">
      <c r="R586" s="30"/>
    </row>
    <row r="587" spans="18:18" ht="15.75" customHeight="1">
      <c r="R587" s="30"/>
    </row>
    <row r="588" spans="18:18" ht="15.75" customHeight="1">
      <c r="R588" s="30"/>
    </row>
    <row r="589" spans="18:18" ht="15.75" customHeight="1">
      <c r="R589" s="30"/>
    </row>
    <row r="590" spans="18:18" ht="15.75" customHeight="1">
      <c r="R590" s="30"/>
    </row>
    <row r="591" spans="18:18" ht="15.75" customHeight="1">
      <c r="R591" s="30"/>
    </row>
    <row r="592" spans="18:18" ht="15.75" customHeight="1">
      <c r="R592" s="30"/>
    </row>
    <row r="593" spans="18:18" ht="15.75" customHeight="1">
      <c r="R593" s="30"/>
    </row>
    <row r="594" spans="18:18" ht="15.75" customHeight="1">
      <c r="R594" s="30"/>
    </row>
    <row r="595" spans="18:18" ht="15.75" customHeight="1">
      <c r="R595" s="30"/>
    </row>
    <row r="596" spans="18:18" ht="15.75" customHeight="1">
      <c r="R596" s="30"/>
    </row>
    <row r="597" spans="18:18" ht="15.75" customHeight="1">
      <c r="R597" s="30"/>
    </row>
    <row r="598" spans="18:18" ht="15.75" customHeight="1">
      <c r="R598" s="30"/>
    </row>
    <row r="599" spans="18:18" ht="15.75" customHeight="1">
      <c r="R599" s="30"/>
    </row>
    <row r="600" spans="18:18" ht="15.75" customHeight="1">
      <c r="R600" s="30"/>
    </row>
    <row r="601" spans="18:18" ht="15.75" customHeight="1">
      <c r="R601" s="30"/>
    </row>
    <row r="602" spans="18:18" ht="15.75" customHeight="1">
      <c r="R602" s="30"/>
    </row>
    <row r="603" spans="18:18" ht="15.75" customHeight="1">
      <c r="R603" s="30"/>
    </row>
    <row r="604" spans="18:18" ht="15.75" customHeight="1">
      <c r="R604" s="30"/>
    </row>
    <row r="605" spans="18:18" ht="15.75" customHeight="1">
      <c r="R605" s="30"/>
    </row>
    <row r="606" spans="18:18" ht="15.75" customHeight="1">
      <c r="R606" s="30"/>
    </row>
    <row r="607" spans="18:18" ht="15.75" customHeight="1">
      <c r="R607" s="30"/>
    </row>
    <row r="608" spans="18:18" ht="15.75" customHeight="1">
      <c r="R608" s="30"/>
    </row>
    <row r="609" spans="18:18" ht="15.75" customHeight="1">
      <c r="R609" s="30"/>
    </row>
    <row r="610" spans="18:18" ht="15.75" customHeight="1">
      <c r="R610" s="30"/>
    </row>
    <row r="611" spans="18:18" ht="15.75" customHeight="1">
      <c r="R611" s="30"/>
    </row>
    <row r="612" spans="18:18" ht="15.75" customHeight="1">
      <c r="R612" s="30"/>
    </row>
    <row r="613" spans="18:18" ht="15.75" customHeight="1">
      <c r="R613" s="30"/>
    </row>
    <row r="614" spans="18:18" ht="15.75" customHeight="1">
      <c r="R614" s="30"/>
    </row>
    <row r="615" spans="18:18" ht="15.75" customHeight="1">
      <c r="R615" s="30"/>
    </row>
    <row r="616" spans="18:18" ht="15.75" customHeight="1">
      <c r="R616" s="30"/>
    </row>
    <row r="617" spans="18:18" ht="15.75" customHeight="1">
      <c r="R617" s="30"/>
    </row>
    <row r="618" spans="18:18" ht="15.75" customHeight="1">
      <c r="R618" s="30"/>
    </row>
    <row r="619" spans="18:18" ht="15.75" customHeight="1">
      <c r="R619" s="30"/>
    </row>
    <row r="620" spans="18:18" ht="15.75" customHeight="1">
      <c r="R620" s="30"/>
    </row>
    <row r="621" spans="18:18" ht="15.75" customHeight="1">
      <c r="R621" s="30"/>
    </row>
    <row r="622" spans="18:18" ht="15.75" customHeight="1">
      <c r="R622" s="30"/>
    </row>
    <row r="623" spans="18:18" ht="15.75" customHeight="1">
      <c r="R623" s="30"/>
    </row>
    <row r="624" spans="18:18" ht="15.75" customHeight="1">
      <c r="R624" s="30"/>
    </row>
    <row r="625" spans="18:18" ht="15.75" customHeight="1">
      <c r="R625" s="30"/>
    </row>
    <row r="626" spans="18:18" ht="15.75" customHeight="1">
      <c r="R626" s="30"/>
    </row>
    <row r="627" spans="18:18" ht="15.75" customHeight="1">
      <c r="R627" s="30"/>
    </row>
    <row r="628" spans="18:18" ht="15.75" customHeight="1">
      <c r="R628" s="30"/>
    </row>
    <row r="629" spans="18:18" ht="15.75" customHeight="1">
      <c r="R629" s="30"/>
    </row>
    <row r="630" spans="18:18" ht="15.75" customHeight="1">
      <c r="R630" s="30"/>
    </row>
    <row r="631" spans="18:18" ht="15.75" customHeight="1">
      <c r="R631" s="30"/>
    </row>
    <row r="632" spans="18:18" ht="15.75" customHeight="1">
      <c r="R632" s="30"/>
    </row>
    <row r="633" spans="18:18" ht="15.75" customHeight="1">
      <c r="R633" s="30"/>
    </row>
    <row r="634" spans="18:18" ht="15.75" customHeight="1">
      <c r="R634" s="30"/>
    </row>
    <row r="635" spans="18:18" ht="15.75" customHeight="1">
      <c r="R635" s="30"/>
    </row>
    <row r="636" spans="18:18" ht="15.75" customHeight="1">
      <c r="R636" s="30"/>
    </row>
    <row r="637" spans="18:18" ht="15.75" customHeight="1">
      <c r="R637" s="30"/>
    </row>
    <row r="638" spans="18:18" ht="15.75" customHeight="1">
      <c r="R638" s="30"/>
    </row>
    <row r="639" spans="18:18" ht="15.75" customHeight="1">
      <c r="R639" s="30"/>
    </row>
    <row r="640" spans="18:18" ht="15.75" customHeight="1">
      <c r="R640" s="30"/>
    </row>
    <row r="641" spans="18:18" ht="15.75" customHeight="1">
      <c r="R641" s="30"/>
    </row>
    <row r="642" spans="18:18" ht="15.75" customHeight="1">
      <c r="R642" s="30"/>
    </row>
    <row r="643" spans="18:18" ht="15.75" customHeight="1">
      <c r="R643" s="30"/>
    </row>
    <row r="644" spans="18:18" ht="15.75" customHeight="1">
      <c r="R644" s="30"/>
    </row>
    <row r="645" spans="18:18" ht="15.75" customHeight="1">
      <c r="R645" s="30"/>
    </row>
    <row r="646" spans="18:18" ht="15.75" customHeight="1">
      <c r="R646" s="30"/>
    </row>
    <row r="647" spans="18:18" ht="15.75" customHeight="1">
      <c r="R647" s="30"/>
    </row>
    <row r="648" spans="18:18" ht="15.75" customHeight="1">
      <c r="R648" s="30"/>
    </row>
    <row r="649" spans="18:18" ht="15.75" customHeight="1">
      <c r="R649" s="30"/>
    </row>
    <row r="650" spans="18:18" ht="15.75" customHeight="1">
      <c r="R650" s="30"/>
    </row>
    <row r="651" spans="18:18" ht="15.75" customHeight="1">
      <c r="R651" s="30"/>
    </row>
    <row r="652" spans="18:18" ht="15.75" customHeight="1">
      <c r="R652" s="30"/>
    </row>
    <row r="653" spans="18:18" ht="15.75" customHeight="1">
      <c r="R653" s="30"/>
    </row>
    <row r="654" spans="18:18" ht="15.75" customHeight="1">
      <c r="R654" s="30"/>
    </row>
    <row r="655" spans="18:18" ht="15.75" customHeight="1">
      <c r="R655" s="30"/>
    </row>
    <row r="656" spans="18:18" ht="15.75" customHeight="1">
      <c r="R656" s="30"/>
    </row>
    <row r="657" spans="18:18" ht="15.75" customHeight="1">
      <c r="R657" s="30"/>
    </row>
    <row r="658" spans="18:18" ht="15.75" customHeight="1">
      <c r="R658" s="30"/>
    </row>
    <row r="659" spans="18:18" ht="15.75" customHeight="1">
      <c r="R659" s="30"/>
    </row>
    <row r="660" spans="18:18" ht="15.75" customHeight="1">
      <c r="R660" s="30"/>
    </row>
    <row r="661" spans="18:18" ht="15.75" customHeight="1">
      <c r="R661" s="30"/>
    </row>
    <row r="662" spans="18:18" ht="15.75" customHeight="1">
      <c r="R662" s="30"/>
    </row>
    <row r="663" spans="18:18" ht="15.75" customHeight="1">
      <c r="R663" s="30"/>
    </row>
    <row r="664" spans="18:18" ht="15.75" customHeight="1">
      <c r="R664" s="30"/>
    </row>
    <row r="665" spans="18:18" ht="15.75" customHeight="1">
      <c r="R665" s="30"/>
    </row>
    <row r="666" spans="18:18" ht="15.75" customHeight="1">
      <c r="R666" s="30"/>
    </row>
    <row r="667" spans="18:18" ht="15.75" customHeight="1">
      <c r="R667" s="30"/>
    </row>
    <row r="668" spans="18:18" ht="15.75" customHeight="1">
      <c r="R668" s="30"/>
    </row>
    <row r="669" spans="18:18" ht="15.75" customHeight="1">
      <c r="R669" s="30"/>
    </row>
    <row r="670" spans="18:18" ht="15.75" customHeight="1">
      <c r="R670" s="30"/>
    </row>
    <row r="671" spans="18:18" ht="15.75" customHeight="1">
      <c r="R671" s="30"/>
    </row>
    <row r="672" spans="18:18" ht="15.75" customHeight="1">
      <c r="R672" s="30"/>
    </row>
    <row r="673" spans="18:18" ht="15.75" customHeight="1">
      <c r="R673" s="30"/>
    </row>
    <row r="674" spans="18:18" ht="15.75" customHeight="1">
      <c r="R674" s="30"/>
    </row>
    <row r="675" spans="18:18" ht="15.75" customHeight="1">
      <c r="R675" s="30"/>
    </row>
    <row r="676" spans="18:18" ht="15.75" customHeight="1">
      <c r="R676" s="30"/>
    </row>
    <row r="677" spans="18:18" ht="15.75" customHeight="1">
      <c r="R677" s="30"/>
    </row>
    <row r="678" spans="18:18" ht="15.75" customHeight="1">
      <c r="R678" s="30"/>
    </row>
    <row r="679" spans="18:18" ht="15.75" customHeight="1">
      <c r="R679" s="30"/>
    </row>
    <row r="680" spans="18:18" ht="15.75" customHeight="1">
      <c r="R680" s="30"/>
    </row>
    <row r="681" spans="18:18" ht="15.75" customHeight="1">
      <c r="R681" s="30"/>
    </row>
    <row r="682" spans="18:18" ht="15.75" customHeight="1">
      <c r="R682" s="30"/>
    </row>
    <row r="683" spans="18:18" ht="15.75" customHeight="1">
      <c r="R683" s="30"/>
    </row>
    <row r="684" spans="18:18" ht="15.75" customHeight="1">
      <c r="R684" s="30"/>
    </row>
    <row r="685" spans="18:18" ht="15.75" customHeight="1">
      <c r="R685" s="30"/>
    </row>
    <row r="686" spans="18:18" ht="15.75" customHeight="1">
      <c r="R686" s="30"/>
    </row>
    <row r="687" spans="18:18" ht="15.75" customHeight="1">
      <c r="R687" s="30"/>
    </row>
    <row r="688" spans="18:18" ht="15.75" customHeight="1">
      <c r="R688" s="30"/>
    </row>
    <row r="689" spans="18:18" ht="15.75" customHeight="1">
      <c r="R689" s="30"/>
    </row>
    <row r="690" spans="18:18" ht="15.75" customHeight="1">
      <c r="R690" s="30"/>
    </row>
    <row r="691" spans="18:18" ht="15.75" customHeight="1">
      <c r="R691" s="30"/>
    </row>
    <row r="692" spans="18:18" ht="15.75" customHeight="1">
      <c r="R692" s="30"/>
    </row>
    <row r="693" spans="18:18" ht="15.75" customHeight="1">
      <c r="R693" s="30"/>
    </row>
    <row r="694" spans="18:18" ht="15.75" customHeight="1">
      <c r="R694" s="30"/>
    </row>
    <row r="695" spans="18:18" ht="15.75" customHeight="1">
      <c r="R695" s="30"/>
    </row>
    <row r="696" spans="18:18" ht="15.75" customHeight="1">
      <c r="R696" s="30"/>
    </row>
    <row r="697" spans="18:18" ht="15.75" customHeight="1">
      <c r="R697" s="30"/>
    </row>
    <row r="698" spans="18:18" ht="15.75" customHeight="1">
      <c r="R698" s="30"/>
    </row>
    <row r="699" spans="18:18" ht="15.75" customHeight="1">
      <c r="R699" s="30"/>
    </row>
    <row r="700" spans="18:18" ht="15.75" customHeight="1">
      <c r="R700" s="30"/>
    </row>
    <row r="701" spans="18:18" ht="15.75" customHeight="1">
      <c r="R701" s="30"/>
    </row>
    <row r="702" spans="18:18" ht="15.75" customHeight="1">
      <c r="R702" s="30"/>
    </row>
    <row r="703" spans="18:18" ht="15.75" customHeight="1">
      <c r="R703" s="30"/>
    </row>
    <row r="704" spans="18:18" ht="15.75" customHeight="1">
      <c r="R704" s="30"/>
    </row>
    <row r="705" spans="18:18" ht="15.75" customHeight="1">
      <c r="R705" s="30"/>
    </row>
    <row r="706" spans="18:18" ht="15.75" customHeight="1">
      <c r="R706" s="30"/>
    </row>
    <row r="707" spans="18:18" ht="15.75" customHeight="1">
      <c r="R707" s="30"/>
    </row>
    <row r="708" spans="18:18" ht="15.75" customHeight="1">
      <c r="R708" s="30"/>
    </row>
    <row r="709" spans="18:18" ht="15.75" customHeight="1">
      <c r="R709" s="30"/>
    </row>
    <row r="710" spans="18:18" ht="15.75" customHeight="1">
      <c r="R710" s="30"/>
    </row>
    <row r="711" spans="18:18" ht="15.75" customHeight="1">
      <c r="R711" s="30"/>
    </row>
    <row r="712" spans="18:18" ht="15.75" customHeight="1">
      <c r="R712" s="30"/>
    </row>
    <row r="713" spans="18:18" ht="15.75" customHeight="1">
      <c r="R713" s="30"/>
    </row>
    <row r="714" spans="18:18" ht="15.75" customHeight="1">
      <c r="R714" s="30"/>
    </row>
    <row r="715" spans="18:18" ht="15.75" customHeight="1">
      <c r="R715" s="30"/>
    </row>
    <row r="716" spans="18:18" ht="15.75" customHeight="1">
      <c r="R716" s="30"/>
    </row>
    <row r="717" spans="18:18" ht="15.75" customHeight="1">
      <c r="R717" s="30"/>
    </row>
    <row r="718" spans="18:18" ht="15.75" customHeight="1">
      <c r="R718" s="30"/>
    </row>
    <row r="719" spans="18:18" ht="15.75" customHeight="1">
      <c r="R719" s="30"/>
    </row>
    <row r="720" spans="18:18" ht="15.75" customHeight="1">
      <c r="R720" s="30"/>
    </row>
    <row r="721" spans="18:18" ht="15.75" customHeight="1">
      <c r="R721" s="30"/>
    </row>
    <row r="722" spans="18:18" ht="15.75" customHeight="1">
      <c r="R722" s="30"/>
    </row>
    <row r="723" spans="18:18" ht="15.75" customHeight="1">
      <c r="R723" s="30"/>
    </row>
    <row r="724" spans="18:18" ht="15.75" customHeight="1">
      <c r="R724" s="30"/>
    </row>
    <row r="725" spans="18:18" ht="15.75" customHeight="1">
      <c r="R725" s="30"/>
    </row>
    <row r="726" spans="18:18" ht="15.75" customHeight="1">
      <c r="R726" s="30"/>
    </row>
    <row r="727" spans="18:18" ht="15.75" customHeight="1">
      <c r="R727" s="30"/>
    </row>
    <row r="728" spans="18:18" ht="15.75" customHeight="1">
      <c r="R728" s="30"/>
    </row>
    <row r="729" spans="18:18" ht="15.75" customHeight="1">
      <c r="R729" s="30"/>
    </row>
    <row r="730" spans="18:18" ht="15.75" customHeight="1">
      <c r="R730" s="30"/>
    </row>
    <row r="731" spans="18:18" ht="15.75" customHeight="1">
      <c r="R731" s="30"/>
    </row>
    <row r="732" spans="18:18" ht="15.75" customHeight="1">
      <c r="R732" s="30"/>
    </row>
    <row r="733" spans="18:18" ht="15.75" customHeight="1">
      <c r="R733" s="30"/>
    </row>
    <row r="734" spans="18:18" ht="15.75" customHeight="1">
      <c r="R734" s="30"/>
    </row>
    <row r="735" spans="18:18" ht="15.75" customHeight="1">
      <c r="R735" s="30"/>
    </row>
    <row r="736" spans="18:18" ht="15.75" customHeight="1">
      <c r="R736" s="30"/>
    </row>
    <row r="737" spans="18:18" ht="15.75" customHeight="1">
      <c r="R737" s="30"/>
    </row>
    <row r="738" spans="18:18" ht="15.75" customHeight="1">
      <c r="R738" s="30"/>
    </row>
    <row r="739" spans="18:18" ht="15.75" customHeight="1">
      <c r="R739" s="30"/>
    </row>
    <row r="740" spans="18:18" ht="15.75" customHeight="1">
      <c r="R740" s="30"/>
    </row>
    <row r="741" spans="18:18" ht="15.75" customHeight="1">
      <c r="R741" s="30"/>
    </row>
    <row r="742" spans="18:18" ht="15.75" customHeight="1">
      <c r="R742" s="30"/>
    </row>
    <row r="743" spans="18:18" ht="15.75" customHeight="1">
      <c r="R743" s="30"/>
    </row>
    <row r="744" spans="18:18" ht="15.75" customHeight="1">
      <c r="R744" s="30"/>
    </row>
    <row r="745" spans="18:18" ht="15.75" customHeight="1">
      <c r="R745" s="30"/>
    </row>
    <row r="746" spans="18:18" ht="15.75" customHeight="1">
      <c r="R746" s="30"/>
    </row>
    <row r="747" spans="18:18" ht="15.75" customHeight="1">
      <c r="R747" s="30"/>
    </row>
    <row r="748" spans="18:18" ht="15.75" customHeight="1">
      <c r="R748" s="30"/>
    </row>
    <row r="749" spans="18:18" ht="15.75" customHeight="1">
      <c r="R749" s="30"/>
    </row>
    <row r="750" spans="18:18" ht="15.75" customHeight="1">
      <c r="R750" s="30"/>
    </row>
    <row r="751" spans="18:18" ht="15.75" customHeight="1">
      <c r="R751" s="30"/>
    </row>
    <row r="752" spans="18:18" ht="15.75" customHeight="1">
      <c r="R752" s="30"/>
    </row>
    <row r="753" spans="18:18" ht="15.75" customHeight="1">
      <c r="R753" s="30"/>
    </row>
    <row r="754" spans="18:18" ht="15.75" customHeight="1">
      <c r="R754" s="30"/>
    </row>
    <row r="755" spans="18:18" ht="15.75" customHeight="1">
      <c r="R755" s="30"/>
    </row>
    <row r="756" spans="18:18" ht="15.75" customHeight="1">
      <c r="R756" s="30"/>
    </row>
    <row r="757" spans="18:18" ht="15.75" customHeight="1">
      <c r="R757" s="30"/>
    </row>
    <row r="758" spans="18:18" ht="15.75" customHeight="1">
      <c r="R758" s="30"/>
    </row>
    <row r="759" spans="18:18" ht="15.75" customHeight="1">
      <c r="R759" s="30"/>
    </row>
    <row r="760" spans="18:18" ht="15.75" customHeight="1">
      <c r="R760" s="30"/>
    </row>
    <row r="761" spans="18:18" ht="15.75" customHeight="1">
      <c r="R761" s="30"/>
    </row>
    <row r="762" spans="18:18" ht="15.75" customHeight="1">
      <c r="R762" s="30"/>
    </row>
    <row r="763" spans="18:18" ht="15.75" customHeight="1">
      <c r="R763" s="30"/>
    </row>
    <row r="764" spans="18:18" ht="15.75" customHeight="1">
      <c r="R764" s="30"/>
    </row>
    <row r="765" spans="18:18" ht="15.75" customHeight="1">
      <c r="R765" s="30"/>
    </row>
    <row r="766" spans="18:18" ht="15.75" customHeight="1">
      <c r="R766" s="30"/>
    </row>
    <row r="767" spans="18:18" ht="15.75" customHeight="1">
      <c r="R767" s="30"/>
    </row>
    <row r="768" spans="18:18" ht="15.75" customHeight="1">
      <c r="R768" s="30"/>
    </row>
    <row r="769" spans="18:18" ht="15.75" customHeight="1">
      <c r="R769" s="30"/>
    </row>
    <row r="770" spans="18:18" ht="15.75" customHeight="1">
      <c r="R770" s="30"/>
    </row>
    <row r="771" spans="18:18" ht="15.75" customHeight="1">
      <c r="R771" s="30"/>
    </row>
    <row r="772" spans="18:18" ht="15.75" customHeight="1">
      <c r="R772" s="30"/>
    </row>
    <row r="773" spans="18:18" ht="15.75" customHeight="1">
      <c r="R773" s="30"/>
    </row>
    <row r="774" spans="18:18" ht="15.75" customHeight="1">
      <c r="R774" s="30"/>
    </row>
    <row r="775" spans="18:18" ht="15.75" customHeight="1">
      <c r="R775" s="30"/>
    </row>
    <row r="776" spans="18:18" ht="15.75" customHeight="1">
      <c r="R776" s="30"/>
    </row>
    <row r="777" spans="18:18" ht="15.75" customHeight="1">
      <c r="R777" s="30"/>
    </row>
    <row r="778" spans="18:18" ht="15.75" customHeight="1">
      <c r="R778" s="30"/>
    </row>
    <row r="779" spans="18:18" ht="15.75" customHeight="1">
      <c r="R779" s="30"/>
    </row>
    <row r="780" spans="18:18" ht="15.75" customHeight="1">
      <c r="R780" s="30"/>
    </row>
    <row r="781" spans="18:18" ht="15.75" customHeight="1">
      <c r="R781" s="30"/>
    </row>
    <row r="782" spans="18:18" ht="15.75" customHeight="1">
      <c r="R782" s="30"/>
    </row>
    <row r="783" spans="18:18" ht="15.75" customHeight="1">
      <c r="R783" s="30"/>
    </row>
    <row r="784" spans="18:18" ht="15.75" customHeight="1">
      <c r="R784" s="30"/>
    </row>
    <row r="785" spans="18:18" ht="15.75" customHeight="1">
      <c r="R785" s="30"/>
    </row>
    <row r="786" spans="18:18" ht="15.75" customHeight="1">
      <c r="R786" s="30"/>
    </row>
    <row r="787" spans="18:18" ht="15.75" customHeight="1">
      <c r="R787" s="30"/>
    </row>
    <row r="788" spans="18:18" ht="15.75" customHeight="1">
      <c r="R788" s="30"/>
    </row>
    <row r="789" spans="18:18" ht="15.75" customHeight="1">
      <c r="R789" s="30"/>
    </row>
    <row r="790" spans="18:18" ht="15.75" customHeight="1">
      <c r="R790" s="30"/>
    </row>
    <row r="791" spans="18:18" ht="15.75" customHeight="1">
      <c r="R791" s="30"/>
    </row>
    <row r="792" spans="18:18" ht="15.75" customHeight="1">
      <c r="R792" s="30"/>
    </row>
    <row r="793" spans="18:18" ht="15.75" customHeight="1">
      <c r="R793" s="30"/>
    </row>
    <row r="794" spans="18:18" ht="15.75" customHeight="1">
      <c r="R794" s="30"/>
    </row>
    <row r="795" spans="18:18" ht="15.75" customHeight="1">
      <c r="R795" s="30"/>
    </row>
    <row r="796" spans="18:18" ht="15.75" customHeight="1">
      <c r="R796" s="30"/>
    </row>
    <row r="797" spans="18:18" ht="15.75" customHeight="1">
      <c r="R797" s="30"/>
    </row>
    <row r="798" spans="18:18" ht="15.75" customHeight="1">
      <c r="R798" s="30"/>
    </row>
    <row r="799" spans="18:18" ht="15.75" customHeight="1">
      <c r="R799" s="30"/>
    </row>
    <row r="800" spans="18:18" ht="15.75" customHeight="1">
      <c r="R800" s="30"/>
    </row>
    <row r="801" spans="18:18" ht="15.75" customHeight="1">
      <c r="R801" s="30"/>
    </row>
    <row r="802" spans="18:18" ht="15.75" customHeight="1">
      <c r="R802" s="30"/>
    </row>
    <row r="803" spans="18:18" ht="15.75" customHeight="1">
      <c r="R803" s="30"/>
    </row>
    <row r="804" spans="18:18" ht="15.75" customHeight="1">
      <c r="R804" s="30"/>
    </row>
    <row r="805" spans="18:18" ht="15.75" customHeight="1">
      <c r="R805" s="30"/>
    </row>
    <row r="806" spans="18:18" ht="15.75" customHeight="1">
      <c r="R806" s="30"/>
    </row>
    <row r="807" spans="18:18" ht="15.75" customHeight="1">
      <c r="R807" s="30"/>
    </row>
    <row r="808" spans="18:18" ht="15.75" customHeight="1">
      <c r="R808" s="30"/>
    </row>
    <row r="809" spans="18:18" ht="15.75" customHeight="1">
      <c r="R809" s="30"/>
    </row>
    <row r="810" spans="18:18" ht="15.75" customHeight="1">
      <c r="R810" s="30"/>
    </row>
    <row r="811" spans="18:18" ht="15.75" customHeight="1">
      <c r="R811" s="30"/>
    </row>
    <row r="812" spans="18:18" ht="15.75" customHeight="1">
      <c r="R812" s="30"/>
    </row>
    <row r="813" spans="18:18" ht="15.75" customHeight="1">
      <c r="R813" s="30"/>
    </row>
    <row r="814" spans="18:18" ht="15.75" customHeight="1">
      <c r="R814" s="30"/>
    </row>
    <row r="815" spans="18:18" ht="15.75" customHeight="1">
      <c r="R815" s="30"/>
    </row>
    <row r="816" spans="18:18" ht="15.75" customHeight="1">
      <c r="R816" s="30"/>
    </row>
    <row r="817" spans="18:18" ht="15.75" customHeight="1">
      <c r="R817" s="30"/>
    </row>
    <row r="818" spans="18:18" ht="15.75" customHeight="1">
      <c r="R818" s="30"/>
    </row>
    <row r="819" spans="18:18" ht="15.75" customHeight="1">
      <c r="R819" s="30"/>
    </row>
    <row r="820" spans="18:18" ht="15.75" customHeight="1">
      <c r="R820" s="30"/>
    </row>
    <row r="821" spans="18:18" ht="15.75" customHeight="1">
      <c r="R821" s="30"/>
    </row>
    <row r="822" spans="18:18" ht="15.75" customHeight="1">
      <c r="R822" s="30"/>
    </row>
    <row r="823" spans="18:18" ht="15.75" customHeight="1">
      <c r="R823" s="30"/>
    </row>
    <row r="824" spans="18:18" ht="15.75" customHeight="1">
      <c r="R824" s="30"/>
    </row>
    <row r="825" spans="18:18" ht="15.75" customHeight="1">
      <c r="R825" s="30"/>
    </row>
    <row r="826" spans="18:18" ht="15.75" customHeight="1">
      <c r="R826" s="30"/>
    </row>
    <row r="827" spans="18:18" ht="15.75" customHeight="1">
      <c r="R827" s="30"/>
    </row>
    <row r="828" spans="18:18" ht="15.75" customHeight="1">
      <c r="R828" s="30"/>
    </row>
    <row r="829" spans="18:18" ht="15.75" customHeight="1">
      <c r="R829" s="30"/>
    </row>
    <row r="830" spans="18:18" ht="15.75" customHeight="1">
      <c r="R830" s="30"/>
    </row>
    <row r="831" spans="18:18" ht="15.75" customHeight="1">
      <c r="R831" s="30"/>
    </row>
    <row r="832" spans="18:18" ht="15.75" customHeight="1">
      <c r="R832" s="30"/>
    </row>
    <row r="833" spans="18:18" ht="15.75" customHeight="1">
      <c r="R833" s="30"/>
    </row>
    <row r="834" spans="18:18" ht="15.75" customHeight="1">
      <c r="R834" s="30"/>
    </row>
    <row r="835" spans="18:18" ht="15.75" customHeight="1">
      <c r="R835" s="30"/>
    </row>
    <row r="836" spans="18:18" ht="15.75" customHeight="1">
      <c r="R836" s="30"/>
    </row>
    <row r="837" spans="18:18" ht="15.75" customHeight="1">
      <c r="R837" s="30"/>
    </row>
    <row r="838" spans="18:18" ht="15.75" customHeight="1">
      <c r="R838" s="30"/>
    </row>
    <row r="839" spans="18:18" ht="15.75" customHeight="1">
      <c r="R839" s="30"/>
    </row>
    <row r="840" spans="18:18" ht="15.75" customHeight="1">
      <c r="R840" s="30"/>
    </row>
    <row r="841" spans="18:18" ht="15.75" customHeight="1">
      <c r="R841" s="30"/>
    </row>
    <row r="842" spans="18:18" ht="15.75" customHeight="1">
      <c r="R842" s="30"/>
    </row>
    <row r="843" spans="18:18" ht="15.75" customHeight="1">
      <c r="R843" s="30"/>
    </row>
    <row r="844" spans="18:18" ht="15.75" customHeight="1">
      <c r="R844" s="30"/>
    </row>
    <row r="845" spans="18:18" ht="15.75" customHeight="1">
      <c r="R845" s="30"/>
    </row>
    <row r="846" spans="18:18" ht="15.75" customHeight="1">
      <c r="R846" s="30"/>
    </row>
    <row r="847" spans="18:18" ht="15.75" customHeight="1">
      <c r="R847" s="30"/>
    </row>
    <row r="848" spans="18:18" ht="15.75" customHeight="1">
      <c r="R848" s="30"/>
    </row>
    <row r="849" spans="18:18" ht="15.75" customHeight="1">
      <c r="R849" s="30"/>
    </row>
    <row r="850" spans="18:18" ht="15.75" customHeight="1">
      <c r="R850" s="30"/>
    </row>
    <row r="851" spans="18:18" ht="15.75" customHeight="1">
      <c r="R851" s="30"/>
    </row>
    <row r="852" spans="18:18" ht="15.75" customHeight="1">
      <c r="R852" s="30"/>
    </row>
    <row r="853" spans="18:18" ht="15.75" customHeight="1">
      <c r="R853" s="30"/>
    </row>
    <row r="854" spans="18:18" ht="15.75" customHeight="1">
      <c r="R854" s="30"/>
    </row>
    <row r="855" spans="18:18" ht="15.75" customHeight="1">
      <c r="R855" s="30"/>
    </row>
    <row r="856" spans="18:18" ht="15.75" customHeight="1">
      <c r="R856" s="30"/>
    </row>
    <row r="857" spans="18:18" ht="15.75" customHeight="1">
      <c r="R857" s="30"/>
    </row>
    <row r="858" spans="18:18" ht="15.75" customHeight="1">
      <c r="R858" s="30"/>
    </row>
    <row r="859" spans="18:18" ht="15.75" customHeight="1">
      <c r="R859" s="30"/>
    </row>
    <row r="860" spans="18:18" ht="15.75" customHeight="1">
      <c r="R860" s="30"/>
    </row>
    <row r="861" spans="18:18" ht="15.75" customHeight="1">
      <c r="R861" s="30"/>
    </row>
    <row r="862" spans="18:18" ht="15.75" customHeight="1">
      <c r="R862" s="30"/>
    </row>
    <row r="863" spans="18:18" ht="15.75" customHeight="1">
      <c r="R863" s="30"/>
    </row>
    <row r="864" spans="18:18" ht="15.75" customHeight="1">
      <c r="R864" s="30"/>
    </row>
    <row r="865" spans="18:18" ht="15.75" customHeight="1">
      <c r="R865" s="30"/>
    </row>
    <row r="866" spans="18:18" ht="15.75" customHeight="1">
      <c r="R866" s="30"/>
    </row>
    <row r="867" spans="18:18" ht="15.75" customHeight="1">
      <c r="R867" s="30"/>
    </row>
    <row r="868" spans="18:18" ht="15.75" customHeight="1">
      <c r="R868" s="30"/>
    </row>
    <row r="869" spans="18:18" ht="15.75" customHeight="1">
      <c r="R869" s="30"/>
    </row>
    <row r="870" spans="18:18" ht="15.75" customHeight="1">
      <c r="R870" s="30"/>
    </row>
    <row r="871" spans="18:18" ht="15.75" customHeight="1">
      <c r="R871" s="30"/>
    </row>
    <row r="872" spans="18:18" ht="15.75" customHeight="1">
      <c r="R872" s="30"/>
    </row>
    <row r="873" spans="18:18" ht="15.75" customHeight="1">
      <c r="R873" s="30"/>
    </row>
    <row r="874" spans="18:18" ht="15.75" customHeight="1">
      <c r="R874" s="30"/>
    </row>
    <row r="875" spans="18:18" ht="15.75" customHeight="1">
      <c r="R875" s="30"/>
    </row>
    <row r="876" spans="18:18" ht="15.75" customHeight="1">
      <c r="R876" s="30"/>
    </row>
    <row r="877" spans="18:18" ht="15.75" customHeight="1">
      <c r="R877" s="30"/>
    </row>
    <row r="878" spans="18:18" ht="15.75" customHeight="1">
      <c r="R878" s="30"/>
    </row>
    <row r="879" spans="18:18" ht="15.75" customHeight="1">
      <c r="R879" s="30"/>
    </row>
    <row r="880" spans="18:18" ht="15.75" customHeight="1">
      <c r="R880" s="30"/>
    </row>
    <row r="881" spans="18:18" ht="15.75" customHeight="1">
      <c r="R881" s="30"/>
    </row>
    <row r="882" spans="18:18" ht="15.75" customHeight="1">
      <c r="R882" s="30"/>
    </row>
    <row r="883" spans="18:18" ht="15.75" customHeight="1">
      <c r="R883" s="30"/>
    </row>
    <row r="884" spans="18:18" ht="15.75" customHeight="1">
      <c r="R884" s="30"/>
    </row>
    <row r="885" spans="18:18" ht="15.75" customHeight="1">
      <c r="R885" s="30"/>
    </row>
    <row r="886" spans="18:18" ht="15.75" customHeight="1">
      <c r="R886" s="30"/>
    </row>
    <row r="887" spans="18:18" ht="15.75" customHeight="1">
      <c r="R887" s="30"/>
    </row>
    <row r="888" spans="18:18" ht="15.75" customHeight="1">
      <c r="R888" s="30"/>
    </row>
    <row r="889" spans="18:18" ht="15.75" customHeight="1">
      <c r="R889" s="30"/>
    </row>
    <row r="890" spans="18:18" ht="15.75" customHeight="1">
      <c r="R890" s="30"/>
    </row>
    <row r="891" spans="18:18" ht="15.75" customHeight="1">
      <c r="R891" s="30"/>
    </row>
    <row r="892" spans="18:18" ht="15.75" customHeight="1">
      <c r="R892" s="30"/>
    </row>
    <row r="893" spans="18:18" ht="15.75" customHeight="1">
      <c r="R893" s="30"/>
    </row>
    <row r="894" spans="18:18" ht="15.75" customHeight="1">
      <c r="R894" s="30"/>
    </row>
    <row r="895" spans="18:18" ht="15.75" customHeight="1">
      <c r="R895" s="30"/>
    </row>
    <row r="896" spans="18:18" ht="15.75" customHeight="1">
      <c r="R896" s="30"/>
    </row>
    <row r="897" spans="18:18" ht="15.75" customHeight="1">
      <c r="R897" s="30"/>
    </row>
    <row r="898" spans="18:18" ht="15.75" customHeight="1">
      <c r="R898" s="30"/>
    </row>
    <row r="899" spans="18:18" ht="15.75" customHeight="1">
      <c r="R899" s="30"/>
    </row>
    <row r="900" spans="18:18" ht="15.75" customHeight="1">
      <c r="R900" s="30"/>
    </row>
    <row r="901" spans="18:18" ht="15.75" customHeight="1">
      <c r="R901" s="30"/>
    </row>
    <row r="902" spans="18:18" ht="15.75" customHeight="1">
      <c r="R902" s="30"/>
    </row>
    <row r="903" spans="18:18" ht="15.75" customHeight="1">
      <c r="R903" s="30"/>
    </row>
    <row r="904" spans="18:18" ht="15.75" customHeight="1">
      <c r="R904" s="30"/>
    </row>
    <row r="905" spans="18:18" ht="15.75" customHeight="1">
      <c r="R905" s="30"/>
    </row>
    <row r="906" spans="18:18" ht="15.75" customHeight="1">
      <c r="R906" s="30"/>
    </row>
    <row r="907" spans="18:18" ht="15.75" customHeight="1">
      <c r="R907" s="30"/>
    </row>
    <row r="908" spans="18:18" ht="15.75" customHeight="1">
      <c r="R908" s="30"/>
    </row>
    <row r="909" spans="18:18" ht="15.75" customHeight="1">
      <c r="R909" s="30"/>
    </row>
    <row r="910" spans="18:18" ht="15.75" customHeight="1">
      <c r="R910" s="30"/>
    </row>
    <row r="911" spans="18:18" ht="15.75" customHeight="1">
      <c r="R911" s="30"/>
    </row>
    <row r="912" spans="18:18" ht="15.75" customHeight="1">
      <c r="R912" s="30"/>
    </row>
    <row r="913" spans="18:18" ht="15.75" customHeight="1">
      <c r="R913" s="30"/>
    </row>
    <row r="914" spans="18:18" ht="15.75" customHeight="1">
      <c r="R914" s="30"/>
    </row>
    <row r="915" spans="18:18" ht="15.75" customHeight="1">
      <c r="R915" s="30"/>
    </row>
    <row r="916" spans="18:18" ht="15.75" customHeight="1">
      <c r="R916" s="30"/>
    </row>
    <row r="917" spans="18:18" ht="15.75" customHeight="1">
      <c r="R917" s="30"/>
    </row>
    <row r="918" spans="18:18" ht="15.75" customHeight="1">
      <c r="R918" s="30"/>
    </row>
    <row r="919" spans="18:18" ht="15.75" customHeight="1">
      <c r="R919" s="30"/>
    </row>
    <row r="920" spans="18:18" ht="15.75" customHeight="1">
      <c r="R920" s="30"/>
    </row>
    <row r="921" spans="18:18" ht="15.75" customHeight="1">
      <c r="R921" s="30"/>
    </row>
    <row r="922" spans="18:18" ht="15.75" customHeight="1">
      <c r="R922" s="30"/>
    </row>
    <row r="923" spans="18:18" ht="15.75" customHeight="1">
      <c r="R923" s="30"/>
    </row>
    <row r="924" spans="18:18" ht="15.75" customHeight="1">
      <c r="R924" s="30"/>
    </row>
    <row r="925" spans="18:18" ht="15.75" customHeight="1">
      <c r="R925" s="30"/>
    </row>
    <row r="926" spans="18:18" ht="15.75" customHeight="1">
      <c r="R926" s="30"/>
    </row>
    <row r="927" spans="18:18" ht="15.75" customHeight="1">
      <c r="R927" s="30"/>
    </row>
    <row r="928" spans="18:18" ht="15.75" customHeight="1">
      <c r="R928" s="30"/>
    </row>
    <row r="929" spans="18:18" ht="15.75" customHeight="1">
      <c r="R929" s="30"/>
    </row>
    <row r="930" spans="18:18" ht="15.75" customHeight="1">
      <c r="R930" s="30"/>
    </row>
    <row r="931" spans="18:18" ht="15.75" customHeight="1">
      <c r="R931" s="30"/>
    </row>
    <row r="932" spans="18:18" ht="15.75" customHeight="1">
      <c r="R932" s="30"/>
    </row>
    <row r="933" spans="18:18" ht="15.75" customHeight="1">
      <c r="R933" s="30"/>
    </row>
    <row r="934" spans="18:18" ht="15.75" customHeight="1">
      <c r="R934" s="30"/>
    </row>
    <row r="935" spans="18:18" ht="15.75" customHeight="1">
      <c r="R935" s="30"/>
    </row>
    <row r="936" spans="18:18" ht="15.75" customHeight="1">
      <c r="R936" s="30"/>
    </row>
    <row r="937" spans="18:18" ht="15.75" customHeight="1">
      <c r="R937" s="30"/>
    </row>
    <row r="938" spans="18:18" ht="15.75" customHeight="1">
      <c r="R938" s="30"/>
    </row>
    <row r="939" spans="18:18" ht="15.75" customHeight="1">
      <c r="R939" s="30"/>
    </row>
    <row r="940" spans="18:18" ht="15.75" customHeight="1">
      <c r="R940" s="30"/>
    </row>
    <row r="941" spans="18:18" ht="15.75" customHeight="1">
      <c r="R941" s="30"/>
    </row>
    <row r="942" spans="18:18" ht="15.75" customHeight="1">
      <c r="R942" s="30"/>
    </row>
    <row r="943" spans="18:18" ht="15.75" customHeight="1">
      <c r="R943" s="30"/>
    </row>
    <row r="944" spans="18:18" ht="15.75" customHeight="1">
      <c r="R944" s="30"/>
    </row>
    <row r="945" spans="18:18" ht="15.75" customHeight="1">
      <c r="R945" s="30"/>
    </row>
    <row r="946" spans="18:18" ht="15.75" customHeight="1">
      <c r="R946" s="30"/>
    </row>
    <row r="947" spans="18:18" ht="15.75" customHeight="1">
      <c r="R947" s="30"/>
    </row>
    <row r="948" spans="18:18" ht="15.75" customHeight="1">
      <c r="R948" s="30"/>
    </row>
    <row r="949" spans="18:18" ht="15.75" customHeight="1">
      <c r="R949" s="30"/>
    </row>
    <row r="950" spans="18:18" ht="15.75" customHeight="1">
      <c r="R950" s="30"/>
    </row>
    <row r="951" spans="18:18" ht="15.75" customHeight="1">
      <c r="R951" s="30"/>
    </row>
    <row r="952" spans="18:18" ht="15.75" customHeight="1">
      <c r="R952" s="30"/>
    </row>
    <row r="953" spans="18:18" ht="15.75" customHeight="1">
      <c r="R953" s="30"/>
    </row>
    <row r="954" spans="18:18" ht="15.75" customHeight="1">
      <c r="R954" s="30"/>
    </row>
    <row r="955" spans="18:18" ht="15.75" customHeight="1">
      <c r="R955" s="30"/>
    </row>
    <row r="956" spans="18:18" ht="15.75" customHeight="1">
      <c r="R956" s="30"/>
    </row>
    <row r="957" spans="18:18" ht="15.75" customHeight="1">
      <c r="R957" s="30"/>
    </row>
    <row r="958" spans="18:18" ht="15.75" customHeight="1">
      <c r="R958" s="30"/>
    </row>
    <row r="959" spans="18:18" ht="15.75" customHeight="1">
      <c r="R959" s="30"/>
    </row>
    <row r="960" spans="18:18" ht="15.75" customHeight="1">
      <c r="R960" s="30"/>
    </row>
    <row r="961" spans="18:18" ht="15.75" customHeight="1">
      <c r="R961" s="30"/>
    </row>
    <row r="962" spans="18:18" ht="15.75" customHeight="1">
      <c r="R962" s="30"/>
    </row>
    <row r="963" spans="18:18" ht="15.75" customHeight="1">
      <c r="R963" s="30"/>
    </row>
    <row r="964" spans="18:18" ht="15.75" customHeight="1">
      <c r="R964" s="30"/>
    </row>
    <row r="965" spans="18:18" ht="15.75" customHeight="1">
      <c r="R965" s="30"/>
    </row>
    <row r="966" spans="18:18" ht="15.75" customHeight="1">
      <c r="R966" s="30"/>
    </row>
    <row r="967" spans="18:18" ht="15.75" customHeight="1">
      <c r="R967" s="30"/>
    </row>
    <row r="968" spans="18:18" ht="15.75" customHeight="1">
      <c r="R968" s="30"/>
    </row>
    <row r="969" spans="18:18" ht="15.75" customHeight="1">
      <c r="R969" s="30"/>
    </row>
    <row r="970" spans="18:18" ht="15.75" customHeight="1">
      <c r="R970" s="30"/>
    </row>
    <row r="971" spans="18:18" ht="15.75" customHeight="1">
      <c r="R971" s="30"/>
    </row>
    <row r="972" spans="18:18" ht="15.75" customHeight="1">
      <c r="R972" s="30"/>
    </row>
    <row r="973" spans="18:18" ht="15.75" customHeight="1">
      <c r="R973" s="30"/>
    </row>
    <row r="974" spans="18:18" ht="15.75" customHeight="1">
      <c r="R974" s="30"/>
    </row>
    <row r="975" spans="18:18" ht="15.75" customHeight="1">
      <c r="R975" s="30"/>
    </row>
    <row r="976" spans="18:18" ht="15.75" customHeight="1">
      <c r="R976" s="30"/>
    </row>
    <row r="977" spans="18:18" ht="15.75" customHeight="1">
      <c r="R977" s="30"/>
    </row>
    <row r="978" spans="18:18" ht="15.75" customHeight="1">
      <c r="R978" s="30"/>
    </row>
    <row r="979" spans="18:18" ht="15.75" customHeight="1">
      <c r="R979" s="30"/>
    </row>
    <row r="980" spans="18:18" ht="15.75" customHeight="1">
      <c r="R980" s="30"/>
    </row>
    <row r="981" spans="18:18" ht="15.75" customHeight="1">
      <c r="R981" s="30"/>
    </row>
    <row r="982" spans="18:18" ht="15.75" customHeight="1">
      <c r="R982" s="30"/>
    </row>
    <row r="983" spans="18:18" ht="15.75" customHeight="1">
      <c r="R983" s="30"/>
    </row>
    <row r="984" spans="18:18" ht="15.75" customHeight="1">
      <c r="R984" s="30"/>
    </row>
    <row r="985" spans="18:18" ht="15.75" customHeight="1">
      <c r="R985" s="30"/>
    </row>
    <row r="986" spans="18:18" ht="15.75" customHeight="1">
      <c r="R986" s="30"/>
    </row>
    <row r="987" spans="18:18" ht="15.75" customHeight="1">
      <c r="R987" s="30"/>
    </row>
    <row r="988" spans="18:18" ht="15.75" customHeight="1">
      <c r="R988" s="30"/>
    </row>
    <row r="989" spans="18:18" ht="15.75" customHeight="1">
      <c r="R989" s="30"/>
    </row>
    <row r="990" spans="18:18" ht="15.75" customHeight="1">
      <c r="R990" s="30"/>
    </row>
    <row r="991" spans="18:18" ht="15.75" customHeight="1">
      <c r="R991" s="30"/>
    </row>
    <row r="992" spans="18:18" ht="15.75" customHeight="1">
      <c r="R992" s="30"/>
    </row>
    <row r="993" spans="18:18" ht="15.75" customHeight="1">
      <c r="R993" s="30"/>
    </row>
    <row r="994" spans="18:18" ht="15.75" customHeight="1">
      <c r="R994" s="30"/>
    </row>
    <row r="995" spans="18:18" ht="15.75" customHeight="1">
      <c r="R995" s="30"/>
    </row>
    <row r="996" spans="18:18" ht="15.75" customHeight="1">
      <c r="R996" s="30"/>
    </row>
    <row r="997" spans="18:18" ht="15.75" customHeight="1">
      <c r="R997" s="30"/>
    </row>
    <row r="998" spans="18:18" ht="15.75" customHeight="1">
      <c r="R998" s="30"/>
    </row>
    <row r="999" spans="18:18" ht="15.75" customHeight="1">
      <c r="R999" s="30"/>
    </row>
    <row r="1000" spans="18:18" ht="15.75" customHeight="1">
      <c r="R1000" s="3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2.6640625" defaultRowHeight="15" customHeight="1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8.6640625" customWidth="1"/>
    <col min="6" max="6" width="9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16.33203125" customWidth="1"/>
    <col min="16" max="16" width="10" customWidth="1"/>
    <col min="17" max="18" width="7.33203125" customWidth="1"/>
    <col min="19" max="19" width="7.1640625" customWidth="1"/>
    <col min="20" max="20" width="11.1640625" customWidth="1"/>
    <col min="21" max="21" width="18.1640625" customWidth="1"/>
    <col min="22" max="22" width="128.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6640625" customWidth="1"/>
    <col min="32" max="32" width="10.1640625" customWidth="1"/>
    <col min="33" max="33" width="8.83203125" customWidth="1"/>
  </cols>
  <sheetData>
    <row r="1" spans="1:33" ht="18.75" customHeight="1">
      <c r="A1" s="46" t="str">
        <f ca="1">IFERROR(__xludf.DUMMYFUNCTION("IFERROR(VLOOKUP(B2,IMPORTRANGE(""https://docs.google.com/spreadsheets/d/1x0DhHglkXKoEBOD2MBsuK_EyIr1ouxD2ftIpqOYFa-k/edit?usp=sharing"",""Ubiquitty-SKU-Specific Info!B1:BJ5000""),3,FALSE),"""")"),"50 Ft Lighted Outdoor Extension Cord with 3 Electrical Power Outlets - 10/3 SJTW Heavy Duty Yellow Cable with 3 Prong Grounded Plug for Safety")</f>
        <v>50 Ft Lighted Outdoor Extension Cord with 3 Electrical Power Outlets - 10/3 SJTW Heavy Duty Yellow Cable with 3 Prong Grounded Plug for Safety</v>
      </c>
      <c r="B1" s="47"/>
      <c r="C1" s="48" t="s">
        <v>0</v>
      </c>
      <c r="D1" s="50" t="s">
        <v>1</v>
      </c>
      <c r="E1" s="50" t="s">
        <v>2</v>
      </c>
      <c r="F1" s="52" t="s">
        <v>3</v>
      </c>
      <c r="G1" s="52" t="s">
        <v>4</v>
      </c>
      <c r="H1" s="53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58" t="s">
        <v>10</v>
      </c>
      <c r="N1" s="59" t="s">
        <v>11</v>
      </c>
      <c r="O1" s="50" t="s">
        <v>12</v>
      </c>
      <c r="P1" s="50" t="s">
        <v>13</v>
      </c>
      <c r="Q1" s="57" t="s">
        <v>14</v>
      </c>
      <c r="R1" s="57" t="s">
        <v>15</v>
      </c>
      <c r="S1" s="60" t="s">
        <v>16</v>
      </c>
      <c r="T1" s="62" t="s">
        <v>2006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Info!B1:BJ5000""),2,FALSE),"""")"),"B078KBCXKT")</f>
        <v>B078KBCXKT</v>
      </c>
      <c r="B2" s="3" t="s">
        <v>508</v>
      </c>
      <c r="C2" s="49"/>
      <c r="D2" s="49"/>
      <c r="E2" s="51"/>
      <c r="F2" s="49"/>
      <c r="G2" s="49"/>
      <c r="H2" s="54"/>
      <c r="I2" s="49"/>
      <c r="J2" s="49"/>
      <c r="K2" s="54"/>
      <c r="L2" s="54"/>
      <c r="M2" s="54"/>
      <c r="N2" s="49"/>
      <c r="O2" s="49"/>
      <c r="P2" s="51"/>
      <c r="Q2" s="49"/>
      <c r="R2" s="49"/>
      <c r="S2" s="61"/>
      <c r="T2" s="47"/>
      <c r="U2" s="63"/>
      <c r="V2" s="63"/>
      <c r="W2" s="47"/>
      <c r="X2" s="47"/>
      <c r="Y2" s="47"/>
      <c r="Z2" s="47"/>
      <c r="AA2" s="63"/>
      <c r="AB2" s="63"/>
      <c r="AC2" s="63"/>
      <c r="AD2" s="63"/>
      <c r="AE2" s="47"/>
      <c r="AF2" s="47"/>
      <c r="AG2" s="47"/>
    </row>
    <row r="3" spans="1:33" ht="173.25" customHeight="1">
      <c r="A3" s="55" t="s">
        <v>31</v>
      </c>
      <c r="B3" s="56"/>
      <c r="C3" s="4">
        <f>((AE32+AF32)/0.85)*-1</f>
        <v>53.034972717647058</v>
      </c>
      <c r="D3" s="5">
        <f>SUM(D4:D99765)</f>
        <v>927</v>
      </c>
      <c r="E3" s="5"/>
      <c r="F3" s="6">
        <f t="shared" ref="F3:G3" si="0">SUM(F4:F99765)</f>
        <v>61775.37999999999</v>
      </c>
      <c r="G3" s="6">
        <f t="shared" si="0"/>
        <v>-0.56000000000000005</v>
      </c>
      <c r="H3" s="7">
        <f t="shared" ref="H3:H32" si="1">G3/F3*-1</f>
        <v>9.0651000447103705E-6</v>
      </c>
      <c r="I3" s="8">
        <f t="shared" ref="I3:I32" si="2">J3/F3</f>
        <v>0.19732893479440461</v>
      </c>
      <c r="J3" s="6">
        <f>SUM(J4:J99765)</f>
        <v>12190.069931919565</v>
      </c>
      <c r="K3" s="6">
        <f t="shared" ref="K3:K32" si="3">J3/D3</f>
        <v>13.150021501531354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Sheet!a1:g5000""),2,FALSE),"""")"),"7 - March
4.5 - April
4.5 - May
6 - June
12 - July
13 - Aug
4.5 - Sept
6.5 - Oct
9 - Nov
8.5 - Dec
8 - Jan
7 - Feb")</f>
        <v>7 - March
4.5 - April
4.5 - May
6 - June
12 - July
13 - Aug
4.5 - Sept
6.5 - Oct
9 - Nov
8.5 - Dec
8 - Jan
7 -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QTY-1")</f>
        <v>Del QTY-1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QTY-0")</f>
        <v>US QTY-0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0</v>
      </c>
      <c r="X3" s="7">
        <f>W3/D3</f>
        <v>0</v>
      </c>
      <c r="Y3" s="6"/>
      <c r="Z3" s="5"/>
      <c r="AA3" s="5"/>
      <c r="AB3" s="5"/>
      <c r="AC3" s="5"/>
      <c r="AD3" s="6">
        <f>SUM(AD4:AD99765)</f>
        <v>-525.6435756199304</v>
      </c>
      <c r="AE3" s="6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Info!B2:BZ3000""),37,FALSE)),"""")*-1"),-36.09972681)</f>
        <v>-36.09972681</v>
      </c>
      <c r="AG3" s="6">
        <f>SUM(AG4:AG99765)</f>
        <v>0</v>
      </c>
    </row>
    <row r="4" spans="1:33" ht="15.75" customHeight="1">
      <c r="A4" s="14" t="s">
        <v>181</v>
      </c>
      <c r="B4" s="14" t="s">
        <v>509</v>
      </c>
      <c r="C4" s="15">
        <f t="shared" ref="C4:C32" si="4">IFERROR(F4/D4," - ")</f>
        <v>72.285000000000025</v>
      </c>
      <c r="D4" s="16">
        <v>30</v>
      </c>
      <c r="E4" s="16">
        <v>0</v>
      </c>
      <c r="F4" s="17">
        <v>2168.5500000000006</v>
      </c>
      <c r="G4" s="17">
        <v>0</v>
      </c>
      <c r="H4" s="18">
        <f t="shared" si="1"/>
        <v>0</v>
      </c>
      <c r="I4" s="18">
        <f t="shared" si="2"/>
        <v>0.31763291316601139</v>
      </c>
      <c r="J4" s="17">
        <f t="shared" ref="J4:J32" si="5">F4*0.85+G4+AF4*D4+D4*AE4+AG4+AD4</f>
        <v>688.80285384615422</v>
      </c>
      <c r="K4" s="17">
        <f t="shared" si="3"/>
        <v>22.96009512820514</v>
      </c>
      <c r="L4" s="16">
        <v>98</v>
      </c>
      <c r="M4" s="19">
        <f t="shared" ref="M4:M32" si="6">IFERROR(D4/L4,"-")</f>
        <v>0.30612244897959184</v>
      </c>
      <c r="N4" s="16">
        <v>20</v>
      </c>
      <c r="O4" s="20">
        <f t="shared" ref="O4:P4" si="7">D4/7</f>
        <v>4.2857142857142856</v>
      </c>
      <c r="P4" s="20">
        <f t="shared" si="7"/>
        <v>0</v>
      </c>
      <c r="Q4" s="16">
        <f t="shared" ref="Q4:Q32" si="8">ROUNDDOWN(N4/(O4+P4),0)</f>
        <v>4</v>
      </c>
      <c r="R4" s="16"/>
      <c r="S4" s="21">
        <v>4.4778156996587004</v>
      </c>
      <c r="T4" s="14">
        <v>1120</v>
      </c>
      <c r="U4" s="22">
        <v>20</v>
      </c>
      <c r="V4" s="23" t="s">
        <v>510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26" t="s">
        <v>35</v>
      </c>
      <c r="AB4" s="27">
        <f t="shared" ref="AB4:AB32" si="11">IF(OR(AA4="UsLargeStandardSize",AA4="UsSmallStandardSize"),-0.69,-0.48)</f>
        <v>-0.69</v>
      </c>
      <c r="AC4" s="28">
        <v>0.41088888888888886</v>
      </c>
      <c r="AD4" s="25">
        <f t="shared" ref="AD4:AD32" si="12">IFERROR(AB4*AC4*D4*2,0)</f>
        <v>-17.010799999999996</v>
      </c>
      <c r="AE4" s="25">
        <v>-9.6</v>
      </c>
      <c r="AF4" s="25">
        <v>-28.315128205128204</v>
      </c>
      <c r="AG4" s="25">
        <v>0</v>
      </c>
    </row>
    <row r="5" spans="1:33" ht="15.75" customHeight="1">
      <c r="A5" s="14" t="s">
        <v>183</v>
      </c>
      <c r="B5" s="14" t="s">
        <v>45</v>
      </c>
      <c r="C5" s="15">
        <f t="shared" si="4"/>
        <v>77.054000000000002</v>
      </c>
      <c r="D5" s="16">
        <v>15</v>
      </c>
      <c r="E5" s="16">
        <v>0</v>
      </c>
      <c r="F5" s="29">
        <v>1155.81</v>
      </c>
      <c r="G5" s="29">
        <v>0</v>
      </c>
      <c r="H5" s="18">
        <f t="shared" si="1"/>
        <v>0</v>
      </c>
      <c r="I5" s="18">
        <f t="shared" si="2"/>
        <v>0.35057346908501091</v>
      </c>
      <c r="J5" s="17">
        <f t="shared" si="5"/>
        <v>405.19632130314642</v>
      </c>
      <c r="K5" s="17">
        <f t="shared" si="3"/>
        <v>27.013088086876429</v>
      </c>
      <c r="L5" s="16">
        <v>90</v>
      </c>
      <c r="M5" s="19">
        <f t="shared" si="6"/>
        <v>0.16666666666666666</v>
      </c>
      <c r="N5" s="16">
        <v>14</v>
      </c>
      <c r="O5" s="20">
        <f t="shared" ref="O5:P5" si="13">D5/7</f>
        <v>2.1428571428571428</v>
      </c>
      <c r="P5" s="20">
        <f t="shared" si="13"/>
        <v>0</v>
      </c>
      <c r="Q5" s="16">
        <f t="shared" si="8"/>
        <v>6</v>
      </c>
      <c r="R5" s="16"/>
      <c r="S5" s="21">
        <v>5.1572815533980503</v>
      </c>
      <c r="T5" s="14">
        <v>1120</v>
      </c>
      <c r="U5" s="22">
        <v>20</v>
      </c>
      <c r="V5" s="23" t="s">
        <v>511</v>
      </c>
      <c r="W5" s="14">
        <v>0</v>
      </c>
      <c r="X5" s="24">
        <f t="shared" si="9"/>
        <v>0</v>
      </c>
      <c r="Y5" s="25">
        <f t="shared" si="10"/>
        <v>0</v>
      </c>
      <c r="Z5" s="14">
        <v>0</v>
      </c>
      <c r="AA5" s="14" t="s">
        <v>35</v>
      </c>
      <c r="AB5" s="27">
        <f t="shared" si="11"/>
        <v>-0.69</v>
      </c>
      <c r="AC5" s="28">
        <v>0.41136500579374274</v>
      </c>
      <c r="AD5" s="25">
        <f t="shared" si="12"/>
        <v>-8.5152556199304748</v>
      </c>
      <c r="AE5" s="25">
        <v>-9.6</v>
      </c>
      <c r="AF5" s="25">
        <v>-28.315128205128204</v>
      </c>
      <c r="AG5" s="25">
        <v>0</v>
      </c>
    </row>
    <row r="6" spans="1:33" ht="15.75" customHeight="1">
      <c r="A6" s="14" t="s">
        <v>185</v>
      </c>
      <c r="B6" s="14" t="s">
        <v>45</v>
      </c>
      <c r="C6" s="15">
        <f t="shared" si="4"/>
        <v>82.44</v>
      </c>
      <c r="D6" s="16">
        <v>8</v>
      </c>
      <c r="E6" s="16">
        <v>0</v>
      </c>
      <c r="F6" s="29">
        <v>659.52</v>
      </c>
      <c r="G6" s="29">
        <v>-0.08</v>
      </c>
      <c r="H6" s="18">
        <f t="shared" si="1"/>
        <v>1.21300339640951E-4</v>
      </c>
      <c r="I6" s="18">
        <f t="shared" si="2"/>
        <v>0.38308885405391946</v>
      </c>
      <c r="J6" s="17">
        <f t="shared" si="5"/>
        <v>252.65476102564097</v>
      </c>
      <c r="K6" s="17">
        <f t="shared" si="3"/>
        <v>31.581845128205121</v>
      </c>
      <c r="L6" s="16">
        <v>79</v>
      </c>
      <c r="M6" s="19">
        <f t="shared" si="6"/>
        <v>0.10126582278481013</v>
      </c>
      <c r="N6" s="16">
        <v>4</v>
      </c>
      <c r="O6" s="20">
        <f t="shared" ref="O6:P6" si="14">D6/7</f>
        <v>1.1428571428571428</v>
      </c>
      <c r="P6" s="20">
        <f t="shared" si="14"/>
        <v>0</v>
      </c>
      <c r="Q6" s="16">
        <f t="shared" si="8"/>
        <v>3</v>
      </c>
      <c r="R6" s="16"/>
      <c r="S6" s="21">
        <v>5.1254752851710998</v>
      </c>
      <c r="T6" s="14">
        <v>1306</v>
      </c>
      <c r="U6" s="22">
        <v>132</v>
      </c>
      <c r="V6" s="23" t="s">
        <v>512</v>
      </c>
      <c r="W6" s="14">
        <v>0</v>
      </c>
      <c r="X6" s="24">
        <f t="shared" si="9"/>
        <v>0</v>
      </c>
      <c r="Y6" s="25">
        <f t="shared" si="10"/>
        <v>0</v>
      </c>
      <c r="Z6" s="14">
        <v>0</v>
      </c>
      <c r="AA6" s="14" t="s">
        <v>35</v>
      </c>
      <c r="AB6" s="27">
        <f t="shared" si="11"/>
        <v>-0.69</v>
      </c>
      <c r="AC6" s="28">
        <v>0.41088888888888886</v>
      </c>
      <c r="AD6" s="25">
        <f t="shared" si="12"/>
        <v>-4.5362133333333325</v>
      </c>
      <c r="AE6" s="25">
        <v>-9.6</v>
      </c>
      <c r="AF6" s="25">
        <v>-28.315128205128204</v>
      </c>
      <c r="AG6" s="25">
        <v>0</v>
      </c>
    </row>
    <row r="7" spans="1:33" ht="15.75" customHeight="1">
      <c r="A7" s="14" t="s">
        <v>187</v>
      </c>
      <c r="B7" s="14" t="s">
        <v>513</v>
      </c>
      <c r="C7" s="15">
        <f t="shared" si="4"/>
        <v>82.44</v>
      </c>
      <c r="D7" s="16">
        <v>3</v>
      </c>
      <c r="E7" s="16">
        <v>0</v>
      </c>
      <c r="F7" s="29">
        <v>247.32</v>
      </c>
      <c r="G7" s="29">
        <v>-0.02</v>
      </c>
      <c r="H7" s="18">
        <f t="shared" si="1"/>
        <v>8.0866893093967332E-5</v>
      </c>
      <c r="I7" s="18">
        <f t="shared" si="2"/>
        <v>0.38312928750046643</v>
      </c>
      <c r="J7" s="17">
        <f t="shared" si="5"/>
        <v>94.755535384615357</v>
      </c>
      <c r="K7" s="17">
        <f t="shared" si="3"/>
        <v>31.585178461538451</v>
      </c>
      <c r="L7" s="16">
        <v>79</v>
      </c>
      <c r="M7" s="19">
        <f t="shared" si="6"/>
        <v>3.7974683544303799E-2</v>
      </c>
      <c r="N7" s="16">
        <v>2</v>
      </c>
      <c r="O7" s="20">
        <f t="shared" ref="O7:P7" si="15">D7/7</f>
        <v>0.42857142857142855</v>
      </c>
      <c r="P7" s="20">
        <f t="shared" si="15"/>
        <v>0</v>
      </c>
      <c r="Q7" s="16">
        <f t="shared" si="8"/>
        <v>4</v>
      </c>
      <c r="R7" s="16"/>
      <c r="S7" s="21">
        <v>6.25171624713958</v>
      </c>
      <c r="T7" s="14">
        <v>1306</v>
      </c>
      <c r="U7" s="22">
        <v>132</v>
      </c>
      <c r="V7" s="23" t="s">
        <v>514</v>
      </c>
      <c r="W7" s="14">
        <v>0</v>
      </c>
      <c r="X7" s="24">
        <f t="shared" si="9"/>
        <v>0</v>
      </c>
      <c r="Y7" s="25">
        <f t="shared" si="10"/>
        <v>0</v>
      </c>
      <c r="Z7" s="14">
        <v>0</v>
      </c>
      <c r="AA7" s="14" t="s">
        <v>35</v>
      </c>
      <c r="AB7" s="27">
        <f t="shared" si="11"/>
        <v>-0.69</v>
      </c>
      <c r="AC7" s="28">
        <v>0.41088888888888886</v>
      </c>
      <c r="AD7" s="25">
        <f t="shared" si="12"/>
        <v>-1.7010799999999997</v>
      </c>
      <c r="AE7" s="25">
        <v>-9.6</v>
      </c>
      <c r="AF7" s="25">
        <v>-28.315128205128204</v>
      </c>
      <c r="AG7" s="25">
        <v>0</v>
      </c>
    </row>
    <row r="8" spans="1:33" ht="15.75" customHeight="1">
      <c r="A8" s="14" t="s">
        <v>189</v>
      </c>
      <c r="B8" s="14" t="s">
        <v>515</v>
      </c>
      <c r="C8" s="15">
        <f t="shared" si="4"/>
        <v>94.946666666666673</v>
      </c>
      <c r="D8" s="16">
        <v>3</v>
      </c>
      <c r="E8" s="16">
        <v>0</v>
      </c>
      <c r="F8" s="29">
        <v>284.84000000000003</v>
      </c>
      <c r="G8" s="29">
        <v>0</v>
      </c>
      <c r="H8" s="18">
        <f t="shared" si="1"/>
        <v>0</v>
      </c>
      <c r="I8" s="18">
        <f t="shared" si="2"/>
        <v>0.44464583625895249</v>
      </c>
      <c r="J8" s="17">
        <f t="shared" si="5"/>
        <v>126.65292000000004</v>
      </c>
      <c r="K8" s="17">
        <f t="shared" si="3"/>
        <v>42.21764000000001</v>
      </c>
      <c r="L8" s="16">
        <v>44</v>
      </c>
      <c r="M8" s="19">
        <f t="shared" si="6"/>
        <v>6.8181818181818177E-2</v>
      </c>
      <c r="N8" s="16">
        <v>132</v>
      </c>
      <c r="O8" s="20">
        <f t="shared" ref="O8:P8" si="16">D8/7</f>
        <v>0.42857142857142855</v>
      </c>
      <c r="P8" s="20">
        <f t="shared" si="16"/>
        <v>0</v>
      </c>
      <c r="Q8" s="16">
        <f t="shared" si="8"/>
        <v>308</v>
      </c>
      <c r="R8" s="16"/>
      <c r="S8" s="21">
        <v>3.3645390070921901</v>
      </c>
      <c r="T8" s="14">
        <v>1768</v>
      </c>
      <c r="U8" s="22">
        <v>120</v>
      </c>
      <c r="V8" s="23" t="s">
        <v>516</v>
      </c>
      <c r="W8" s="14">
        <v>0</v>
      </c>
      <c r="X8" s="24">
        <f t="shared" si="9"/>
        <v>0</v>
      </c>
      <c r="Y8" s="25">
        <f t="shared" si="10"/>
        <v>0</v>
      </c>
      <c r="Z8" s="14">
        <v>0</v>
      </c>
      <c r="AA8" s="14" t="s">
        <v>35</v>
      </c>
      <c r="AB8" s="27">
        <f t="shared" si="11"/>
        <v>-0.69</v>
      </c>
      <c r="AC8" s="28">
        <v>0.41088888888888886</v>
      </c>
      <c r="AD8" s="25">
        <f t="shared" si="12"/>
        <v>-1.7010799999999997</v>
      </c>
      <c r="AE8" s="25">
        <v>-9.6</v>
      </c>
      <c r="AF8" s="25">
        <v>-28.32</v>
      </c>
      <c r="AG8" s="25">
        <v>0</v>
      </c>
    </row>
    <row r="9" spans="1:33" ht="15.75" customHeight="1">
      <c r="A9" s="14" t="s">
        <v>191</v>
      </c>
      <c r="B9" s="14" t="s">
        <v>517</v>
      </c>
      <c r="C9" s="15">
        <f t="shared" si="4"/>
        <v>66.728000000000009</v>
      </c>
      <c r="D9" s="16">
        <v>25</v>
      </c>
      <c r="E9" s="16">
        <v>10</v>
      </c>
      <c r="F9" s="29">
        <v>1668.2</v>
      </c>
      <c r="G9" s="29">
        <v>0</v>
      </c>
      <c r="H9" s="18">
        <f t="shared" si="1"/>
        <v>0</v>
      </c>
      <c r="I9" s="18">
        <f t="shared" si="2"/>
        <v>0.26461008180166695</v>
      </c>
      <c r="J9" s="17">
        <f t="shared" si="5"/>
        <v>441.42253846154085</v>
      </c>
      <c r="K9" s="17">
        <f t="shared" si="3"/>
        <v>17.656901538461636</v>
      </c>
      <c r="L9" s="16">
        <v>73</v>
      </c>
      <c r="M9" s="19">
        <f t="shared" si="6"/>
        <v>0.34246575342465752</v>
      </c>
      <c r="N9" s="16">
        <v>115</v>
      </c>
      <c r="O9" s="20">
        <f t="shared" ref="O9:P9" si="17">D9/7</f>
        <v>3.5714285714285716</v>
      </c>
      <c r="P9" s="20">
        <f t="shared" si="17"/>
        <v>1.4285714285714286</v>
      </c>
      <c r="Q9" s="16">
        <f t="shared" si="8"/>
        <v>23</v>
      </c>
      <c r="R9" s="16"/>
      <c r="S9" s="21">
        <v>3.22306525037936</v>
      </c>
      <c r="T9" s="14">
        <v>1768</v>
      </c>
      <c r="U9" s="22">
        <v>120</v>
      </c>
      <c r="V9" s="23" t="s">
        <v>518</v>
      </c>
      <c r="W9" s="14">
        <v>0</v>
      </c>
      <c r="X9" s="24">
        <f t="shared" si="9"/>
        <v>0</v>
      </c>
      <c r="Y9" s="25">
        <f t="shared" si="10"/>
        <v>0</v>
      </c>
      <c r="Z9" s="14">
        <v>0</v>
      </c>
      <c r="AA9" s="14" t="s">
        <v>35</v>
      </c>
      <c r="AB9" s="27">
        <f t="shared" si="11"/>
        <v>-0.69</v>
      </c>
      <c r="AC9" s="28">
        <v>0.41088888888888886</v>
      </c>
      <c r="AD9" s="25">
        <f t="shared" si="12"/>
        <v>-14.175666666666665</v>
      </c>
      <c r="AE9" s="25">
        <v>-9.6</v>
      </c>
      <c r="AF9" s="25">
        <v>-28.894871794871701</v>
      </c>
      <c r="AG9" s="25">
        <v>0</v>
      </c>
    </row>
    <row r="10" spans="1:33" ht="15.75" customHeight="1">
      <c r="A10" s="14" t="s">
        <v>192</v>
      </c>
      <c r="B10" s="14" t="s">
        <v>45</v>
      </c>
      <c r="C10" s="15">
        <f t="shared" si="4"/>
        <v>60.236190476190444</v>
      </c>
      <c r="D10" s="16">
        <v>84</v>
      </c>
      <c r="E10" s="16">
        <v>0</v>
      </c>
      <c r="F10" s="29">
        <v>5059.8399999999974</v>
      </c>
      <c r="G10" s="29">
        <v>-7.0000000000000007E-2</v>
      </c>
      <c r="H10" s="18">
        <f t="shared" si="1"/>
        <v>1.3834429547179366E-5</v>
      </c>
      <c r="I10" s="18">
        <f t="shared" si="2"/>
        <v>0.20150726687618101</v>
      </c>
      <c r="J10" s="17">
        <f t="shared" si="5"/>
        <v>1019.5945292307752</v>
      </c>
      <c r="K10" s="17">
        <f t="shared" si="3"/>
        <v>12.138030109890181</v>
      </c>
      <c r="L10" s="16">
        <v>172</v>
      </c>
      <c r="M10" s="19">
        <f t="shared" si="6"/>
        <v>0.48837209302325579</v>
      </c>
      <c r="N10" s="16">
        <v>16</v>
      </c>
      <c r="O10" s="20">
        <f t="shared" ref="O10:P10" si="18">D10/7</f>
        <v>12</v>
      </c>
      <c r="P10" s="20">
        <f t="shared" si="18"/>
        <v>0</v>
      </c>
      <c r="Q10" s="16">
        <f t="shared" si="8"/>
        <v>1</v>
      </c>
      <c r="R10" s="16"/>
      <c r="S10" s="21">
        <v>3.4657980456025999</v>
      </c>
      <c r="T10" s="14">
        <v>968</v>
      </c>
      <c r="U10" s="22">
        <v>100</v>
      </c>
      <c r="V10" s="23" t="s">
        <v>519</v>
      </c>
      <c r="W10" s="14">
        <v>0</v>
      </c>
      <c r="X10" s="24">
        <f t="shared" si="9"/>
        <v>0</v>
      </c>
      <c r="Y10" s="25">
        <f t="shared" si="10"/>
        <v>0</v>
      </c>
      <c r="Z10" s="14">
        <v>0</v>
      </c>
      <c r="AA10" s="14" t="s">
        <v>35</v>
      </c>
      <c r="AB10" s="27">
        <f t="shared" si="11"/>
        <v>-0.69</v>
      </c>
      <c r="AC10" s="28">
        <v>0.41088888888888886</v>
      </c>
      <c r="AD10" s="25">
        <f t="shared" si="12"/>
        <v>-47.630239999999993</v>
      </c>
      <c r="AE10" s="25">
        <v>-9.6</v>
      </c>
      <c r="AF10" s="25">
        <v>-28.894871794871701</v>
      </c>
      <c r="AG10" s="25">
        <v>0</v>
      </c>
    </row>
    <row r="11" spans="1:33" ht="15.75" customHeight="1">
      <c r="A11" s="14" t="s">
        <v>193</v>
      </c>
      <c r="B11" s="14" t="s">
        <v>45</v>
      </c>
      <c r="C11" s="15">
        <f t="shared" si="4"/>
        <v>62.433333333333337</v>
      </c>
      <c r="D11" s="16">
        <v>21</v>
      </c>
      <c r="E11" s="16">
        <v>2</v>
      </c>
      <c r="F11" s="29">
        <v>1311.1000000000001</v>
      </c>
      <c r="G11" s="29">
        <v>-0.08</v>
      </c>
      <c r="H11" s="18">
        <f t="shared" si="1"/>
        <v>6.1017466249713976E-5</v>
      </c>
      <c r="I11" s="18">
        <f t="shared" si="2"/>
        <v>0.22428123888924908</v>
      </c>
      <c r="J11" s="17">
        <f t="shared" si="5"/>
        <v>294.05513230769452</v>
      </c>
      <c r="K11" s="17">
        <f t="shared" si="3"/>
        <v>14.002625347985454</v>
      </c>
      <c r="L11" s="16">
        <v>243</v>
      </c>
      <c r="M11" s="19">
        <f t="shared" si="6"/>
        <v>8.6419753086419748E-2</v>
      </c>
      <c r="N11" s="16">
        <v>1</v>
      </c>
      <c r="O11" s="20">
        <f t="shared" ref="O11:P11" si="19">D11/7</f>
        <v>3</v>
      </c>
      <c r="P11" s="20">
        <f t="shared" si="19"/>
        <v>0.2857142857142857</v>
      </c>
      <c r="Q11" s="16">
        <f t="shared" si="8"/>
        <v>0</v>
      </c>
      <c r="R11" s="16"/>
      <c r="S11" s="21">
        <v>5.3297297297297197</v>
      </c>
      <c r="T11" s="14">
        <v>1268</v>
      </c>
      <c r="U11" s="22">
        <v>100</v>
      </c>
      <c r="V11" s="23" t="s">
        <v>520</v>
      </c>
      <c r="W11" s="14">
        <v>0</v>
      </c>
      <c r="X11" s="24">
        <f t="shared" si="9"/>
        <v>0</v>
      </c>
      <c r="Y11" s="25">
        <f t="shared" si="10"/>
        <v>0</v>
      </c>
      <c r="Z11" s="14">
        <v>0</v>
      </c>
      <c r="AA11" s="14" t="s">
        <v>35</v>
      </c>
      <c r="AB11" s="27">
        <f t="shared" si="11"/>
        <v>-0.69</v>
      </c>
      <c r="AC11" s="28">
        <v>0.41088888888888886</v>
      </c>
      <c r="AD11" s="25">
        <f t="shared" si="12"/>
        <v>-11.907559999999998</v>
      </c>
      <c r="AE11" s="25">
        <v>-9.6</v>
      </c>
      <c r="AF11" s="25">
        <v>-28.894871794871701</v>
      </c>
      <c r="AG11" s="25">
        <v>0</v>
      </c>
    </row>
    <row r="12" spans="1:33" ht="15.75" customHeight="1">
      <c r="A12" s="14" t="s">
        <v>195</v>
      </c>
      <c r="B12" s="14" t="s">
        <v>45</v>
      </c>
      <c r="C12" s="15" t="str">
        <f t="shared" si="4"/>
        <v xml:space="preserve"> - </v>
      </c>
      <c r="D12" s="16">
        <v>0</v>
      </c>
      <c r="E12" s="16">
        <v>0</v>
      </c>
      <c r="F12" s="29">
        <v>0</v>
      </c>
      <c r="G12" s="29">
        <v>0</v>
      </c>
      <c r="H12" s="18" t="e">
        <f t="shared" si="1"/>
        <v>#DIV/0!</v>
      </c>
      <c r="I12" s="18" t="e">
        <f t="shared" si="2"/>
        <v>#DIV/0!</v>
      </c>
      <c r="J12" s="17">
        <f t="shared" si="5"/>
        <v>0</v>
      </c>
      <c r="K12" s="17" t="e">
        <f t="shared" si="3"/>
        <v>#DIV/0!</v>
      </c>
      <c r="L12" s="16">
        <v>0</v>
      </c>
      <c r="M12" s="19" t="str">
        <f t="shared" si="6"/>
        <v>-</v>
      </c>
      <c r="N12" s="16">
        <v>0</v>
      </c>
      <c r="O12" s="20">
        <f t="shared" ref="O12:P12" si="20">D12/7</f>
        <v>0</v>
      </c>
      <c r="P12" s="20">
        <f t="shared" si="20"/>
        <v>0</v>
      </c>
      <c r="Q12" s="16" t="e">
        <f t="shared" si="8"/>
        <v>#DIV/0!</v>
      </c>
      <c r="R12" s="16"/>
      <c r="S12" s="21">
        <v>5.3214285714285703</v>
      </c>
      <c r="T12" s="14">
        <v>1168</v>
      </c>
      <c r="U12" s="22">
        <v>68</v>
      </c>
      <c r="V12" s="23" t="s">
        <v>521</v>
      </c>
      <c r="W12" s="14">
        <v>0</v>
      </c>
      <c r="X12" s="24">
        <f t="shared" si="9"/>
        <v>0</v>
      </c>
      <c r="Y12" s="25">
        <f t="shared" si="10"/>
        <v>0</v>
      </c>
      <c r="Z12" s="14">
        <v>0</v>
      </c>
      <c r="AA12" s="14" t="e">
        <v>#N/A</v>
      </c>
      <c r="AB12" s="27" t="e">
        <f t="shared" si="11"/>
        <v>#N/A</v>
      </c>
      <c r="AC12" s="28" t="e">
        <v>#N/A</v>
      </c>
      <c r="AD12" s="25">
        <f t="shared" si="12"/>
        <v>0</v>
      </c>
      <c r="AE12" s="25">
        <v>0</v>
      </c>
      <c r="AF12" s="25">
        <v>-28.894871794871701</v>
      </c>
      <c r="AG12" s="25">
        <v>0</v>
      </c>
    </row>
    <row r="13" spans="1:33" ht="15.75" customHeight="1">
      <c r="A13" s="14" t="s">
        <v>197</v>
      </c>
      <c r="B13" s="14" t="s">
        <v>522</v>
      </c>
      <c r="C13" s="15">
        <f t="shared" si="4"/>
        <v>58.342592592592581</v>
      </c>
      <c r="D13" s="16">
        <v>54</v>
      </c>
      <c r="E13" s="16">
        <v>1</v>
      </c>
      <c r="F13" s="17">
        <v>3150.4999999999995</v>
      </c>
      <c r="G13" s="29">
        <v>0</v>
      </c>
      <c r="H13" s="18">
        <f t="shared" si="1"/>
        <v>0</v>
      </c>
      <c r="I13" s="18">
        <f t="shared" si="2"/>
        <v>0.17524378987462305</v>
      </c>
      <c r="J13" s="17">
        <f t="shared" si="5"/>
        <v>552.10555999999985</v>
      </c>
      <c r="K13" s="17">
        <f t="shared" si="3"/>
        <v>10.224177037037034</v>
      </c>
      <c r="L13" s="16">
        <v>68</v>
      </c>
      <c r="M13" s="19">
        <f t="shared" si="6"/>
        <v>0.79411764705882348</v>
      </c>
      <c r="N13" s="16">
        <v>61</v>
      </c>
      <c r="O13" s="20">
        <f t="shared" ref="O13:P13" si="21">D13/7</f>
        <v>7.7142857142857144</v>
      </c>
      <c r="P13" s="20">
        <f t="shared" si="21"/>
        <v>0.14285714285714285</v>
      </c>
      <c r="Q13" s="16">
        <f t="shared" si="8"/>
        <v>7</v>
      </c>
      <c r="R13" s="16"/>
      <c r="S13" s="21">
        <v>3.16279069767441</v>
      </c>
      <c r="T13" s="14">
        <v>1168</v>
      </c>
      <c r="U13" s="22">
        <v>68</v>
      </c>
      <c r="V13" s="23" t="s">
        <v>523</v>
      </c>
      <c r="W13" s="14">
        <v>0</v>
      </c>
      <c r="X13" s="24">
        <f t="shared" si="9"/>
        <v>0</v>
      </c>
      <c r="Y13" s="25">
        <f t="shared" si="10"/>
        <v>0</v>
      </c>
      <c r="Z13" s="14">
        <v>0</v>
      </c>
      <c r="AA13" s="14" t="s">
        <v>35</v>
      </c>
      <c r="AB13" s="27">
        <f t="shared" si="11"/>
        <v>-0.69</v>
      </c>
      <c r="AC13" s="28">
        <v>0.41088888888888886</v>
      </c>
      <c r="AD13" s="25">
        <f t="shared" si="12"/>
        <v>-30.619439999999994</v>
      </c>
      <c r="AE13" s="25">
        <v>-9.6</v>
      </c>
      <c r="AF13" s="25">
        <v>-29.2</v>
      </c>
      <c r="AG13" s="25">
        <v>0</v>
      </c>
    </row>
    <row r="14" spans="1:33" ht="15.75" customHeight="1">
      <c r="A14" s="14" t="s">
        <v>32</v>
      </c>
      <c r="B14" s="14" t="s">
        <v>68</v>
      </c>
      <c r="C14" s="15">
        <f t="shared" si="4"/>
        <v>60.288437500000008</v>
      </c>
      <c r="D14" s="16">
        <v>32</v>
      </c>
      <c r="E14" s="16">
        <v>0</v>
      </c>
      <c r="F14" s="17">
        <v>1929.2300000000002</v>
      </c>
      <c r="G14" s="29">
        <v>0</v>
      </c>
      <c r="H14" s="18">
        <f t="shared" si="1"/>
        <v>0</v>
      </c>
      <c r="I14" s="18">
        <f t="shared" si="2"/>
        <v>0.19702194485191851</v>
      </c>
      <c r="J14" s="17">
        <f t="shared" si="5"/>
        <v>380.10064666666682</v>
      </c>
      <c r="K14" s="17">
        <f t="shared" si="3"/>
        <v>11.878145208333338</v>
      </c>
      <c r="L14" s="16">
        <v>147</v>
      </c>
      <c r="M14" s="19">
        <f t="shared" si="6"/>
        <v>0.21768707482993196</v>
      </c>
      <c r="N14" s="16">
        <v>24</v>
      </c>
      <c r="O14" s="20">
        <f t="shared" ref="O14:P14" si="22">D14/7</f>
        <v>4.5714285714285712</v>
      </c>
      <c r="P14" s="20">
        <f t="shared" si="22"/>
        <v>0</v>
      </c>
      <c r="Q14" s="16">
        <f t="shared" si="8"/>
        <v>5</v>
      </c>
      <c r="R14" s="16"/>
      <c r="S14" s="21">
        <v>3.52657004830917</v>
      </c>
      <c r="T14" s="14">
        <v>1168</v>
      </c>
      <c r="U14" s="22">
        <v>68</v>
      </c>
      <c r="V14" s="23" t="s">
        <v>523</v>
      </c>
      <c r="W14" s="14">
        <v>0</v>
      </c>
      <c r="X14" s="24">
        <f t="shared" si="9"/>
        <v>0</v>
      </c>
      <c r="Y14" s="25">
        <f t="shared" si="10"/>
        <v>0</v>
      </c>
      <c r="Z14" s="14">
        <v>0</v>
      </c>
      <c r="AA14" s="14" t="s">
        <v>35</v>
      </c>
      <c r="AB14" s="27">
        <f t="shared" si="11"/>
        <v>-0.69</v>
      </c>
      <c r="AC14" s="28">
        <v>0.41088888888888886</v>
      </c>
      <c r="AD14" s="25">
        <f t="shared" si="12"/>
        <v>-18.14485333333333</v>
      </c>
      <c r="AE14" s="25">
        <v>-9.6</v>
      </c>
      <c r="AF14" s="25">
        <v>-29.2</v>
      </c>
      <c r="AG14" s="25">
        <v>0</v>
      </c>
    </row>
    <row r="15" spans="1:33" ht="15.75" customHeight="1">
      <c r="A15" s="14" t="s">
        <v>36</v>
      </c>
      <c r="B15" s="14" t="s">
        <v>45</v>
      </c>
      <c r="C15" s="15">
        <f t="shared" si="4"/>
        <v>59.99</v>
      </c>
      <c r="D15" s="16">
        <v>16</v>
      </c>
      <c r="E15" s="16">
        <v>0</v>
      </c>
      <c r="F15" s="17">
        <v>959.84</v>
      </c>
      <c r="G15" s="29">
        <v>-0.03</v>
      </c>
      <c r="H15" s="18">
        <f t="shared" si="1"/>
        <v>3.125520920153359E-5</v>
      </c>
      <c r="I15" s="18">
        <f t="shared" si="2"/>
        <v>0.11906314941379124</v>
      </c>
      <c r="J15" s="17">
        <f t="shared" si="5"/>
        <v>114.2815733333334</v>
      </c>
      <c r="K15" s="17">
        <f t="shared" si="3"/>
        <v>7.1425983333333374</v>
      </c>
      <c r="L15" s="16">
        <v>64</v>
      </c>
      <c r="M15" s="19">
        <f t="shared" si="6"/>
        <v>0.25</v>
      </c>
      <c r="N15" s="16">
        <v>5</v>
      </c>
      <c r="O15" s="20">
        <f t="shared" ref="O15:P15" si="23">D15/7</f>
        <v>2.2857142857142856</v>
      </c>
      <c r="P15" s="20">
        <f t="shared" si="23"/>
        <v>0</v>
      </c>
      <c r="Q15" s="16">
        <f t="shared" si="8"/>
        <v>2</v>
      </c>
      <c r="R15" s="16"/>
      <c r="S15" s="21">
        <v>8.1265822784810098</v>
      </c>
      <c r="T15" s="14">
        <v>1168</v>
      </c>
      <c r="U15" s="22">
        <v>68</v>
      </c>
      <c r="V15" s="23" t="s">
        <v>524</v>
      </c>
      <c r="W15" s="14">
        <v>0</v>
      </c>
      <c r="X15" s="24">
        <f t="shared" si="9"/>
        <v>0</v>
      </c>
      <c r="Y15" s="25">
        <f t="shared" si="10"/>
        <v>0</v>
      </c>
      <c r="Z15" s="14">
        <v>0</v>
      </c>
      <c r="AA15" s="14" t="s">
        <v>35</v>
      </c>
      <c r="AB15" s="27">
        <f t="shared" si="11"/>
        <v>-0.69</v>
      </c>
      <c r="AC15" s="28">
        <v>0.41088888888888886</v>
      </c>
      <c r="AD15" s="25">
        <f t="shared" si="12"/>
        <v>-9.0724266666666651</v>
      </c>
      <c r="AE15" s="25">
        <v>-9.6</v>
      </c>
      <c r="AF15" s="25">
        <v>-33.68</v>
      </c>
      <c r="AG15" s="25">
        <v>0</v>
      </c>
    </row>
    <row r="16" spans="1:33" ht="15.75" customHeight="1">
      <c r="A16" s="14" t="s">
        <v>38</v>
      </c>
      <c r="B16" s="14"/>
      <c r="C16" s="15" t="str">
        <f t="shared" si="4"/>
        <v xml:space="preserve"> - </v>
      </c>
      <c r="D16" s="16">
        <v>0</v>
      </c>
      <c r="E16" s="16">
        <v>0</v>
      </c>
      <c r="F16" s="17">
        <v>0</v>
      </c>
      <c r="G16" s="29">
        <v>0</v>
      </c>
      <c r="H16" s="18" t="e">
        <f t="shared" si="1"/>
        <v>#DIV/0!</v>
      </c>
      <c r="I16" s="18" t="e">
        <f t="shared" si="2"/>
        <v>#DIV/0!</v>
      </c>
      <c r="J16" s="17">
        <f t="shared" si="5"/>
        <v>0</v>
      </c>
      <c r="K16" s="17" t="e">
        <f t="shared" si="3"/>
        <v>#DIV/0!</v>
      </c>
      <c r="L16" s="16">
        <v>0</v>
      </c>
      <c r="M16" s="19" t="str">
        <f t="shared" si="6"/>
        <v>-</v>
      </c>
      <c r="N16" s="16">
        <v>0</v>
      </c>
      <c r="O16" s="20">
        <f t="shared" ref="O16:P16" si="24">D16/7</f>
        <v>0</v>
      </c>
      <c r="P16" s="20">
        <f t="shared" si="24"/>
        <v>0</v>
      </c>
      <c r="Q16" s="16" t="e">
        <f t="shared" si="8"/>
        <v>#DIV/0!</v>
      </c>
      <c r="R16" s="16"/>
      <c r="S16" s="21" t="e">
        <v>#N/A</v>
      </c>
      <c r="T16" s="14">
        <v>1168</v>
      </c>
      <c r="U16" s="22">
        <v>68</v>
      </c>
      <c r="V16" s="23" t="s">
        <v>525</v>
      </c>
      <c r="W16" s="14">
        <v>0</v>
      </c>
      <c r="X16" s="24">
        <f t="shared" si="9"/>
        <v>0</v>
      </c>
      <c r="Y16" s="25">
        <f t="shared" si="10"/>
        <v>0</v>
      </c>
      <c r="Z16" s="14">
        <v>0</v>
      </c>
      <c r="AA16" s="14" t="e">
        <v>#N/A</v>
      </c>
      <c r="AB16" s="27" t="e">
        <f t="shared" si="11"/>
        <v>#N/A</v>
      </c>
      <c r="AC16" s="28" t="e">
        <v>#N/A</v>
      </c>
      <c r="AD16" s="25">
        <f t="shared" si="12"/>
        <v>0</v>
      </c>
      <c r="AE16" s="25">
        <v>0</v>
      </c>
      <c r="AF16" s="25">
        <v>-33.68</v>
      </c>
      <c r="AG16" s="25">
        <v>0</v>
      </c>
    </row>
    <row r="17" spans="1:33" ht="15.75" customHeight="1">
      <c r="A17" s="14" t="s">
        <v>40</v>
      </c>
      <c r="B17" s="14" t="s">
        <v>68</v>
      </c>
      <c r="C17" s="15">
        <f t="shared" si="4"/>
        <v>60.452068965517221</v>
      </c>
      <c r="D17" s="16">
        <v>29</v>
      </c>
      <c r="E17" s="16">
        <v>0</v>
      </c>
      <c r="F17" s="17">
        <v>1753.1099999999994</v>
      </c>
      <c r="G17" s="29">
        <v>0</v>
      </c>
      <c r="H17" s="18">
        <f t="shared" si="1"/>
        <v>0</v>
      </c>
      <c r="I17" s="18">
        <f t="shared" si="2"/>
        <v>0.12468112478205372</v>
      </c>
      <c r="J17" s="17">
        <f t="shared" si="5"/>
        <v>218.57972666666612</v>
      </c>
      <c r="K17" s="17">
        <f t="shared" si="3"/>
        <v>7.5372319540229693</v>
      </c>
      <c r="L17" s="16">
        <v>43</v>
      </c>
      <c r="M17" s="19">
        <f t="shared" si="6"/>
        <v>0.67441860465116277</v>
      </c>
      <c r="N17" s="16">
        <v>48</v>
      </c>
      <c r="O17" s="20">
        <f t="shared" ref="O17:P17" si="25">D17/7</f>
        <v>4.1428571428571432</v>
      </c>
      <c r="P17" s="20">
        <f t="shared" si="25"/>
        <v>0</v>
      </c>
      <c r="Q17" s="16">
        <f t="shared" si="8"/>
        <v>11</v>
      </c>
      <c r="R17" s="16"/>
      <c r="S17" s="21">
        <v>2.8883116883116799</v>
      </c>
      <c r="T17" s="14">
        <v>1048</v>
      </c>
      <c r="U17" s="22">
        <v>68</v>
      </c>
      <c r="V17" s="23" t="s">
        <v>526</v>
      </c>
      <c r="W17" s="14">
        <v>0</v>
      </c>
      <c r="X17" s="24">
        <f t="shared" si="9"/>
        <v>0</v>
      </c>
      <c r="Y17" s="25">
        <f t="shared" si="10"/>
        <v>0</v>
      </c>
      <c r="Z17" s="14">
        <v>0</v>
      </c>
      <c r="AA17" s="14" t="s">
        <v>35</v>
      </c>
      <c r="AB17" s="27">
        <f t="shared" si="11"/>
        <v>-0.69</v>
      </c>
      <c r="AC17" s="28">
        <v>0.41088888888888886</v>
      </c>
      <c r="AD17" s="25">
        <f t="shared" si="12"/>
        <v>-16.443773333333329</v>
      </c>
      <c r="AE17" s="25">
        <v>-9.6</v>
      </c>
      <c r="AF17" s="25">
        <v>-33.68</v>
      </c>
      <c r="AG17" s="25">
        <v>0</v>
      </c>
    </row>
    <row r="18" spans="1:33" ht="15.75" customHeight="1">
      <c r="A18" s="14" t="s">
        <v>42</v>
      </c>
      <c r="B18" s="14" t="s">
        <v>273</v>
      </c>
      <c r="C18" s="15">
        <f t="shared" si="4"/>
        <v>60.365573770491871</v>
      </c>
      <c r="D18" s="16">
        <v>61</v>
      </c>
      <c r="E18" s="16">
        <v>3</v>
      </c>
      <c r="F18" s="17">
        <v>3682.3000000000043</v>
      </c>
      <c r="G18" s="29">
        <v>0</v>
      </c>
      <c r="H18" s="18">
        <f t="shared" si="1"/>
        <v>0</v>
      </c>
      <c r="I18" s="18">
        <f t="shared" si="2"/>
        <v>0.12364184703401036</v>
      </c>
      <c r="J18" s="17">
        <f t="shared" si="5"/>
        <v>455.28637333333688</v>
      </c>
      <c r="K18" s="17">
        <f t="shared" si="3"/>
        <v>7.4637110382514242</v>
      </c>
      <c r="L18" s="16">
        <v>156</v>
      </c>
      <c r="M18" s="19">
        <f t="shared" si="6"/>
        <v>0.39102564102564102</v>
      </c>
      <c r="N18" s="16">
        <v>161</v>
      </c>
      <c r="O18" s="20">
        <f t="shared" ref="O18:P18" si="26">D18/7</f>
        <v>8.7142857142857135</v>
      </c>
      <c r="P18" s="20">
        <f t="shared" si="26"/>
        <v>0.42857142857142855</v>
      </c>
      <c r="Q18" s="16">
        <f t="shared" si="8"/>
        <v>17</v>
      </c>
      <c r="R18" s="16"/>
      <c r="S18" s="21">
        <v>3.2493573264781399</v>
      </c>
      <c r="T18" s="14">
        <v>1234</v>
      </c>
      <c r="U18" s="22">
        <v>0</v>
      </c>
      <c r="V18" s="23" t="s">
        <v>527</v>
      </c>
      <c r="W18" s="14">
        <v>0</v>
      </c>
      <c r="X18" s="24">
        <f t="shared" si="9"/>
        <v>0</v>
      </c>
      <c r="Y18" s="25">
        <f t="shared" si="10"/>
        <v>0</v>
      </c>
      <c r="Z18" s="14">
        <v>0</v>
      </c>
      <c r="AA18" s="14" t="s">
        <v>35</v>
      </c>
      <c r="AB18" s="27">
        <f t="shared" si="11"/>
        <v>-0.69</v>
      </c>
      <c r="AC18" s="28">
        <v>0.41088888888888886</v>
      </c>
      <c r="AD18" s="25">
        <f t="shared" si="12"/>
        <v>-34.588626666666663</v>
      </c>
      <c r="AE18" s="25">
        <v>-9.6</v>
      </c>
      <c r="AF18" s="25">
        <v>-33.68</v>
      </c>
      <c r="AG18" s="25">
        <v>0</v>
      </c>
    </row>
    <row r="19" spans="1:33" ht="15.75" customHeight="1">
      <c r="A19" s="14" t="s">
        <v>44</v>
      </c>
      <c r="B19" s="14" t="s">
        <v>528</v>
      </c>
      <c r="C19" s="15">
        <f t="shared" si="4"/>
        <v>65.365000000000052</v>
      </c>
      <c r="D19" s="16">
        <v>56</v>
      </c>
      <c r="E19" s="16">
        <v>11</v>
      </c>
      <c r="F19" s="17">
        <v>3660.4400000000028</v>
      </c>
      <c r="G19" s="29">
        <v>-0.1</v>
      </c>
      <c r="H19" s="18">
        <f t="shared" si="1"/>
        <v>2.7319120105779614E-5</v>
      </c>
      <c r="I19" s="18">
        <f t="shared" si="2"/>
        <v>0.15522737885791546</v>
      </c>
      <c r="J19" s="17">
        <f t="shared" si="5"/>
        <v>568.2005066666685</v>
      </c>
      <c r="K19" s="17">
        <f t="shared" si="3"/>
        <v>10.146437619047651</v>
      </c>
      <c r="L19" s="16">
        <v>159</v>
      </c>
      <c r="M19" s="19">
        <f t="shared" si="6"/>
        <v>0.3522012578616352</v>
      </c>
      <c r="N19" s="16">
        <v>490</v>
      </c>
      <c r="O19" s="20">
        <f t="shared" ref="O19:P19" si="27">D19/7</f>
        <v>8</v>
      </c>
      <c r="P19" s="20">
        <f t="shared" si="27"/>
        <v>1.5714285714285714</v>
      </c>
      <c r="Q19" s="16">
        <f t="shared" si="8"/>
        <v>51</v>
      </c>
      <c r="R19" s="16"/>
      <c r="S19" s="21">
        <v>2.2695924764890201</v>
      </c>
      <c r="T19" s="14">
        <v>892</v>
      </c>
      <c r="U19" s="22" t="s">
        <v>34</v>
      </c>
      <c r="V19" s="23" t="s">
        <v>34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14" t="s">
        <v>35</v>
      </c>
      <c r="AB19" s="27">
        <f t="shared" si="11"/>
        <v>-0.69</v>
      </c>
      <c r="AC19" s="28">
        <v>0.41088888888888886</v>
      </c>
      <c r="AD19" s="25">
        <f t="shared" si="12"/>
        <v>-31.753493333333328</v>
      </c>
      <c r="AE19" s="25">
        <v>-9.6</v>
      </c>
      <c r="AF19" s="25">
        <v>-35.245000000000005</v>
      </c>
      <c r="AG19" s="25">
        <v>0</v>
      </c>
    </row>
    <row r="20" spans="1:33" ht="15.75" customHeight="1">
      <c r="A20" s="14" t="s">
        <v>46</v>
      </c>
      <c r="B20" s="14" t="s">
        <v>68</v>
      </c>
      <c r="C20" s="15">
        <f t="shared" si="4"/>
        <v>67.843404255319101</v>
      </c>
      <c r="D20" s="16">
        <v>47</v>
      </c>
      <c r="E20" s="16">
        <v>3</v>
      </c>
      <c r="F20" s="17">
        <v>3188.6399999999981</v>
      </c>
      <c r="G20" s="29">
        <v>0</v>
      </c>
      <c r="H20" s="18">
        <f t="shared" si="1"/>
        <v>0</v>
      </c>
      <c r="I20" s="18">
        <f t="shared" si="2"/>
        <v>0.18063461120310378</v>
      </c>
      <c r="J20" s="17">
        <f t="shared" si="5"/>
        <v>575.97874666666451</v>
      </c>
      <c r="K20" s="17">
        <f t="shared" si="3"/>
        <v>12.254866950354565</v>
      </c>
      <c r="L20" s="16">
        <v>176</v>
      </c>
      <c r="M20" s="19">
        <f t="shared" si="6"/>
        <v>0.26704545454545453</v>
      </c>
      <c r="N20" s="16">
        <v>427</v>
      </c>
      <c r="O20" s="20">
        <f t="shared" ref="O20:P20" si="28">D20/7</f>
        <v>6.7142857142857144</v>
      </c>
      <c r="P20" s="20">
        <f t="shared" si="28"/>
        <v>0.42857142857142855</v>
      </c>
      <c r="Q20" s="16">
        <f t="shared" si="8"/>
        <v>59</v>
      </c>
      <c r="R20" s="16"/>
      <c r="S20" s="21">
        <v>3.5537190082644599</v>
      </c>
      <c r="T20" s="14">
        <v>892</v>
      </c>
      <c r="U20" s="22" t="s">
        <v>34</v>
      </c>
      <c r="V20" s="23" t="s">
        <v>34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14" t="s">
        <v>35</v>
      </c>
      <c r="AB20" s="27">
        <f t="shared" si="11"/>
        <v>-0.69</v>
      </c>
      <c r="AC20" s="28">
        <v>0.41088888888888886</v>
      </c>
      <c r="AD20" s="25">
        <f t="shared" si="12"/>
        <v>-26.650253333333328</v>
      </c>
      <c r="AE20" s="25">
        <v>-9.6</v>
      </c>
      <c r="AF20" s="25">
        <v>-35.245000000000005</v>
      </c>
      <c r="AG20" s="25">
        <v>0</v>
      </c>
    </row>
    <row r="21" spans="1:33" ht="15.75" customHeight="1">
      <c r="A21" s="14" t="s">
        <v>47</v>
      </c>
      <c r="B21" s="14" t="s">
        <v>529</v>
      </c>
      <c r="C21" s="15">
        <f t="shared" si="4"/>
        <v>67.770980392156872</v>
      </c>
      <c r="D21" s="16">
        <v>51</v>
      </c>
      <c r="E21" s="16">
        <v>3</v>
      </c>
      <c r="F21" s="17">
        <v>3456.32</v>
      </c>
      <c r="G21" s="29">
        <v>0</v>
      </c>
      <c r="H21" s="18">
        <f t="shared" si="1"/>
        <v>0</v>
      </c>
      <c r="I21" s="18">
        <f t="shared" si="2"/>
        <v>0.17991928988056649</v>
      </c>
      <c r="J21" s="17">
        <f t="shared" si="5"/>
        <v>621.85863999999958</v>
      </c>
      <c r="K21" s="17">
        <f t="shared" si="3"/>
        <v>12.193306666666658</v>
      </c>
      <c r="L21" s="16">
        <v>87</v>
      </c>
      <c r="M21" s="19">
        <f t="shared" si="6"/>
        <v>0.58620689655172409</v>
      </c>
      <c r="N21" s="16">
        <v>363</v>
      </c>
      <c r="O21" s="20">
        <f t="shared" ref="O21:P21" si="29">D21/7</f>
        <v>7.2857142857142856</v>
      </c>
      <c r="P21" s="20">
        <f t="shared" si="29"/>
        <v>0.42857142857142855</v>
      </c>
      <c r="Q21" s="16">
        <f t="shared" si="8"/>
        <v>47</v>
      </c>
      <c r="R21" s="16"/>
      <c r="S21" s="21">
        <v>2.7042253521126698</v>
      </c>
      <c r="T21" s="14">
        <v>892</v>
      </c>
      <c r="U21" s="22" t="s">
        <v>34</v>
      </c>
      <c r="V21" s="23" t="s">
        <v>34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14" t="s">
        <v>35</v>
      </c>
      <c r="AB21" s="27">
        <f t="shared" si="11"/>
        <v>-0.69</v>
      </c>
      <c r="AC21" s="28">
        <v>0.41088888888888886</v>
      </c>
      <c r="AD21" s="25">
        <f t="shared" si="12"/>
        <v>-28.918359999999996</v>
      </c>
      <c r="AE21" s="25">
        <v>-9.6</v>
      </c>
      <c r="AF21" s="25">
        <v>-35.245000000000005</v>
      </c>
      <c r="AG21" s="25">
        <v>0</v>
      </c>
    </row>
    <row r="22" spans="1:33" ht="15.75" customHeight="1">
      <c r="A22" s="14" t="s">
        <v>48</v>
      </c>
      <c r="B22" s="14" t="s">
        <v>530</v>
      </c>
      <c r="C22" s="15">
        <f t="shared" si="4"/>
        <v>68.768235294117616</v>
      </c>
      <c r="D22" s="16">
        <v>68</v>
      </c>
      <c r="E22" s="16">
        <v>0</v>
      </c>
      <c r="F22" s="29">
        <v>4676.239999999998</v>
      </c>
      <c r="G22" s="29">
        <v>0</v>
      </c>
      <c r="H22" s="18">
        <f t="shared" si="1"/>
        <v>0</v>
      </c>
      <c r="I22" s="18">
        <f t="shared" si="2"/>
        <v>0.18963658551884954</v>
      </c>
      <c r="J22" s="17">
        <f t="shared" si="5"/>
        <v>886.78618666666466</v>
      </c>
      <c r="K22" s="17">
        <f t="shared" si="3"/>
        <v>13.040973333333303</v>
      </c>
      <c r="L22" s="16">
        <v>151</v>
      </c>
      <c r="M22" s="19">
        <f t="shared" si="6"/>
        <v>0.45033112582781459</v>
      </c>
      <c r="N22" s="16">
        <v>309</v>
      </c>
      <c r="O22" s="20">
        <f t="shared" ref="O22:P22" si="30">D22/7</f>
        <v>9.7142857142857135</v>
      </c>
      <c r="P22" s="20">
        <f t="shared" si="30"/>
        <v>0</v>
      </c>
      <c r="Q22" s="16">
        <f t="shared" si="8"/>
        <v>31</v>
      </c>
      <c r="R22" s="16"/>
      <c r="S22" s="21">
        <v>2.9858356940509898</v>
      </c>
      <c r="T22" s="14">
        <v>1000</v>
      </c>
      <c r="U22" s="22">
        <v>108</v>
      </c>
      <c r="V22" s="23" t="s">
        <v>531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35</v>
      </c>
      <c r="AB22" s="27">
        <f t="shared" si="11"/>
        <v>-0.69</v>
      </c>
      <c r="AC22" s="28">
        <v>0.41088888888888886</v>
      </c>
      <c r="AD22" s="25">
        <f t="shared" si="12"/>
        <v>-38.557813333333328</v>
      </c>
      <c r="AE22" s="25">
        <v>-9.6</v>
      </c>
      <c r="AF22" s="25">
        <v>-35.245000000000005</v>
      </c>
      <c r="AG22" s="25">
        <v>0</v>
      </c>
    </row>
    <row r="23" spans="1:33" ht="15.75" customHeight="1">
      <c r="A23" s="14" t="s">
        <v>49</v>
      </c>
      <c r="B23" s="14" t="s">
        <v>532</v>
      </c>
      <c r="C23" s="15">
        <f t="shared" si="4"/>
        <v>70.422333333333341</v>
      </c>
      <c r="D23" s="16">
        <v>30</v>
      </c>
      <c r="E23" s="16">
        <v>1</v>
      </c>
      <c r="F23" s="17">
        <v>2112.67</v>
      </c>
      <c r="G23" s="29">
        <v>0</v>
      </c>
      <c r="H23" s="18">
        <f t="shared" si="1"/>
        <v>0</v>
      </c>
      <c r="I23" s="18">
        <f t="shared" si="2"/>
        <v>0.20514737275580186</v>
      </c>
      <c r="J23" s="17">
        <f t="shared" si="5"/>
        <v>433.40869999999995</v>
      </c>
      <c r="K23" s="17">
        <f t="shared" si="3"/>
        <v>14.446956666666665</v>
      </c>
      <c r="L23" s="16">
        <v>129</v>
      </c>
      <c r="M23" s="19">
        <f t="shared" si="6"/>
        <v>0.23255813953488372</v>
      </c>
      <c r="N23" s="16">
        <v>281</v>
      </c>
      <c r="O23" s="20">
        <f t="shared" ref="O23:P23" si="31">D23/7</f>
        <v>4.2857142857142856</v>
      </c>
      <c r="P23" s="20">
        <f t="shared" si="31"/>
        <v>0.14285714285714285</v>
      </c>
      <c r="Q23" s="16">
        <f t="shared" si="8"/>
        <v>63</v>
      </c>
      <c r="R23" s="16"/>
      <c r="S23" s="21">
        <v>3.3139158576051702</v>
      </c>
      <c r="T23" s="14">
        <v>752</v>
      </c>
      <c r="U23" s="22">
        <v>108</v>
      </c>
      <c r="V23" s="23" t="s">
        <v>531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35</v>
      </c>
      <c r="AB23" s="27">
        <f t="shared" si="11"/>
        <v>-0.69</v>
      </c>
      <c r="AC23" s="28">
        <v>0.41088888888888886</v>
      </c>
      <c r="AD23" s="25">
        <f t="shared" si="12"/>
        <v>-17.010799999999996</v>
      </c>
      <c r="AE23" s="25">
        <v>-9.6</v>
      </c>
      <c r="AF23" s="25">
        <v>-35.245000000000005</v>
      </c>
      <c r="AG23" s="25">
        <v>0</v>
      </c>
    </row>
    <row r="24" spans="1:33" ht="15.75" customHeight="1">
      <c r="A24" s="14" t="s">
        <v>50</v>
      </c>
      <c r="B24" s="14" t="s">
        <v>68</v>
      </c>
      <c r="C24" s="15">
        <f t="shared" si="4"/>
        <v>70.470526315789471</v>
      </c>
      <c r="D24" s="16">
        <v>38</v>
      </c>
      <c r="E24" s="16">
        <v>0</v>
      </c>
      <c r="F24" s="17">
        <v>2677.8799999999997</v>
      </c>
      <c r="G24" s="17">
        <v>-7.0000000000000007E-2</v>
      </c>
      <c r="H24" s="18">
        <f t="shared" si="1"/>
        <v>2.6140080959565034E-5</v>
      </c>
      <c r="I24" s="18">
        <f t="shared" si="2"/>
        <v>0.20556223081940428</v>
      </c>
      <c r="J24" s="17">
        <f t="shared" si="5"/>
        <v>550.47098666666625</v>
      </c>
      <c r="K24" s="17">
        <f t="shared" si="3"/>
        <v>14.486078596491216</v>
      </c>
      <c r="L24" s="16">
        <v>147</v>
      </c>
      <c r="M24" s="19">
        <f t="shared" si="6"/>
        <v>0.25850340136054423</v>
      </c>
      <c r="N24" s="16">
        <v>250</v>
      </c>
      <c r="O24" s="20">
        <f t="shared" ref="O24:P24" si="32">D24/7</f>
        <v>5.4285714285714288</v>
      </c>
      <c r="P24" s="20">
        <f t="shared" si="32"/>
        <v>0</v>
      </c>
      <c r="Q24" s="16">
        <f t="shared" si="8"/>
        <v>46</v>
      </c>
      <c r="R24" s="16"/>
      <c r="S24" s="21">
        <v>2.6367239101717299</v>
      </c>
      <c r="T24" s="14">
        <v>856</v>
      </c>
      <c r="U24" s="22">
        <v>212</v>
      </c>
      <c r="V24" s="23" t="s">
        <v>533</v>
      </c>
      <c r="W24" s="14">
        <v>0</v>
      </c>
      <c r="X24" s="24">
        <f t="shared" si="9"/>
        <v>0</v>
      </c>
      <c r="Y24" s="25">
        <f t="shared" si="10"/>
        <v>3.5000000000000003E-2</v>
      </c>
      <c r="Z24" s="14">
        <v>2</v>
      </c>
      <c r="AA24" s="14" t="s">
        <v>35</v>
      </c>
      <c r="AB24" s="27">
        <f t="shared" si="11"/>
        <v>-0.69</v>
      </c>
      <c r="AC24" s="28">
        <v>0.41088888888888886</v>
      </c>
      <c r="AD24" s="25">
        <f t="shared" si="12"/>
        <v>-21.547013333333329</v>
      </c>
      <c r="AE24" s="25">
        <v>-9.6</v>
      </c>
      <c r="AF24" s="25">
        <v>-35.245000000000005</v>
      </c>
      <c r="AG24" s="25">
        <v>0</v>
      </c>
    </row>
    <row r="25" spans="1:33" ht="15.75" customHeight="1">
      <c r="A25" s="14" t="s">
        <v>51</v>
      </c>
      <c r="B25" s="14" t="s">
        <v>68</v>
      </c>
      <c r="C25" s="15">
        <f t="shared" si="4"/>
        <v>70.965909090909093</v>
      </c>
      <c r="D25" s="16">
        <v>44</v>
      </c>
      <c r="E25" s="16">
        <v>2</v>
      </c>
      <c r="F25" s="17">
        <v>3122.5</v>
      </c>
      <c r="G25" s="17">
        <v>0</v>
      </c>
      <c r="H25" s="18">
        <f t="shared" si="1"/>
        <v>0</v>
      </c>
      <c r="I25" s="18">
        <f t="shared" si="2"/>
        <v>0.21001627755537766</v>
      </c>
      <c r="J25" s="17">
        <f t="shared" si="5"/>
        <v>655.77582666666672</v>
      </c>
      <c r="K25" s="17">
        <f t="shared" si="3"/>
        <v>14.903996060606062</v>
      </c>
      <c r="L25" s="16">
        <v>150</v>
      </c>
      <c r="M25" s="19">
        <f t="shared" si="6"/>
        <v>0.29333333333333333</v>
      </c>
      <c r="N25" s="16">
        <v>199</v>
      </c>
      <c r="O25" s="20">
        <f t="shared" ref="O25:P25" si="33">D25/7</f>
        <v>6.2857142857142856</v>
      </c>
      <c r="P25" s="20">
        <f t="shared" si="33"/>
        <v>0.2857142857142857</v>
      </c>
      <c r="Q25" s="16">
        <f t="shared" si="8"/>
        <v>30</v>
      </c>
      <c r="R25" s="16"/>
      <c r="S25" s="21">
        <v>3.4054927302100162</v>
      </c>
      <c r="T25" s="14">
        <v>856</v>
      </c>
      <c r="U25" s="22">
        <v>212</v>
      </c>
      <c r="V25" s="23" t="s">
        <v>533</v>
      </c>
      <c r="W25" s="30">
        <v>0</v>
      </c>
      <c r="X25" s="24">
        <f t="shared" si="9"/>
        <v>0</v>
      </c>
      <c r="Y25" s="25">
        <f t="shared" si="10"/>
        <v>0</v>
      </c>
      <c r="Z25" s="30">
        <v>0</v>
      </c>
      <c r="AA25" s="14" t="s">
        <v>35</v>
      </c>
      <c r="AB25" s="27">
        <f t="shared" si="11"/>
        <v>-0.69</v>
      </c>
      <c r="AC25" s="28">
        <v>0.41088888888888886</v>
      </c>
      <c r="AD25" s="25">
        <f t="shared" si="12"/>
        <v>-24.949173333333327</v>
      </c>
      <c r="AE25" s="25">
        <v>-9.6</v>
      </c>
      <c r="AF25" s="25">
        <v>-35.25</v>
      </c>
      <c r="AG25" s="25">
        <v>0</v>
      </c>
    </row>
    <row r="26" spans="1:33" ht="15.75" customHeight="1">
      <c r="A26" s="14" t="s">
        <v>52</v>
      </c>
      <c r="B26" s="14" t="s">
        <v>534</v>
      </c>
      <c r="C26" s="15">
        <f t="shared" si="4"/>
        <v>70.61666666666666</v>
      </c>
      <c r="D26" s="16">
        <v>30</v>
      </c>
      <c r="E26" s="16">
        <v>1</v>
      </c>
      <c r="F26" s="17">
        <v>2118.5</v>
      </c>
      <c r="G26" s="17">
        <v>0</v>
      </c>
      <c r="H26" s="18">
        <f t="shared" si="1"/>
        <v>0</v>
      </c>
      <c r="I26" s="18">
        <f t="shared" si="2"/>
        <v>0.21570177012036815</v>
      </c>
      <c r="J26" s="17">
        <f t="shared" si="5"/>
        <v>456.96419999999995</v>
      </c>
      <c r="K26" s="17">
        <f t="shared" si="3"/>
        <v>15.232139999999998</v>
      </c>
      <c r="L26" s="16">
        <v>163</v>
      </c>
      <c r="M26" s="19">
        <f t="shared" si="6"/>
        <v>0.18404907975460122</v>
      </c>
      <c r="N26" s="16">
        <v>170</v>
      </c>
      <c r="O26" s="20">
        <f t="shared" ref="O26:P26" si="34">D26/7</f>
        <v>4.2857142857142856</v>
      </c>
      <c r="P26" s="20">
        <f t="shared" si="34"/>
        <v>0.14285714285714285</v>
      </c>
      <c r="Q26" s="16">
        <f t="shared" si="8"/>
        <v>38</v>
      </c>
      <c r="R26" s="16"/>
      <c r="S26" s="21">
        <v>2.7083854818523152</v>
      </c>
      <c r="T26" s="14">
        <v>856</v>
      </c>
      <c r="U26" s="22">
        <v>212</v>
      </c>
      <c r="V26" s="23" t="s">
        <v>533</v>
      </c>
      <c r="W26" s="30">
        <v>0</v>
      </c>
      <c r="X26" s="24">
        <f t="shared" si="9"/>
        <v>0</v>
      </c>
      <c r="Y26" s="25">
        <f t="shared" si="10"/>
        <v>0</v>
      </c>
      <c r="Z26" s="30">
        <v>0</v>
      </c>
      <c r="AA26" s="14" t="s">
        <v>35</v>
      </c>
      <c r="AB26" s="27">
        <f t="shared" si="11"/>
        <v>-0.69</v>
      </c>
      <c r="AC26" s="28">
        <v>0.41088888888888886</v>
      </c>
      <c r="AD26" s="25">
        <f t="shared" si="12"/>
        <v>-17.010799999999996</v>
      </c>
      <c r="AE26" s="25">
        <v>-8.98</v>
      </c>
      <c r="AF26" s="25">
        <v>-35.244999999999997</v>
      </c>
      <c r="AG26" s="25">
        <v>0</v>
      </c>
    </row>
    <row r="27" spans="1:33" ht="15.75" customHeight="1">
      <c r="A27" s="14" t="s">
        <v>53</v>
      </c>
      <c r="B27" s="14" t="s">
        <v>68</v>
      </c>
      <c r="C27" s="15">
        <f t="shared" si="4"/>
        <v>69.987843137254899</v>
      </c>
      <c r="D27" s="16">
        <v>51</v>
      </c>
      <c r="E27" s="16">
        <v>0</v>
      </c>
      <c r="F27" s="17">
        <v>3569.38</v>
      </c>
      <c r="G27" s="17">
        <v>0</v>
      </c>
      <c r="H27" s="18">
        <f t="shared" si="1"/>
        <v>0</v>
      </c>
      <c r="I27" s="18">
        <f t="shared" si="2"/>
        <v>0.18564852719519911</v>
      </c>
      <c r="J27" s="17">
        <f t="shared" si="5"/>
        <v>662.65013999999985</v>
      </c>
      <c r="K27" s="17">
        <f t="shared" si="3"/>
        <v>12.993139999999997</v>
      </c>
      <c r="L27" s="16">
        <v>125</v>
      </c>
      <c r="M27" s="19">
        <f t="shared" si="6"/>
        <v>0.40799999999999997</v>
      </c>
      <c r="N27" s="16">
        <v>126</v>
      </c>
      <c r="O27" s="20">
        <f t="shared" ref="O27:P27" si="35">D27/7</f>
        <v>7.2857142857142856</v>
      </c>
      <c r="P27" s="20">
        <f t="shared" si="35"/>
        <v>0</v>
      </c>
      <c r="Q27" s="16">
        <f t="shared" si="8"/>
        <v>17</v>
      </c>
      <c r="R27" s="16"/>
      <c r="S27" s="21">
        <v>3.1585185185185192</v>
      </c>
      <c r="T27" s="14">
        <v>856</v>
      </c>
      <c r="U27" s="22">
        <v>212</v>
      </c>
      <c r="V27" s="23" t="s">
        <v>535</v>
      </c>
      <c r="W27" s="30">
        <v>0</v>
      </c>
      <c r="X27" s="24">
        <f t="shared" si="9"/>
        <v>0</v>
      </c>
      <c r="Y27" s="25">
        <f t="shared" si="10"/>
        <v>0</v>
      </c>
      <c r="Z27" s="30">
        <v>0</v>
      </c>
      <c r="AA27" s="14" t="s">
        <v>35</v>
      </c>
      <c r="AB27" s="27">
        <f t="shared" si="11"/>
        <v>-0.69</v>
      </c>
      <c r="AC27" s="28">
        <v>0.41088888888888886</v>
      </c>
      <c r="AD27" s="25">
        <f t="shared" si="12"/>
        <v>-28.918359999999996</v>
      </c>
      <c r="AE27" s="25">
        <v>-8.98</v>
      </c>
      <c r="AF27" s="25">
        <v>-36.9495</v>
      </c>
      <c r="AG27" s="25">
        <v>0</v>
      </c>
    </row>
    <row r="28" spans="1:33" ht="15.75" customHeight="1">
      <c r="A28" s="14" t="s">
        <v>54</v>
      </c>
      <c r="B28" s="14" t="s">
        <v>158</v>
      </c>
      <c r="C28" s="15">
        <f t="shared" si="4"/>
        <v>69.127142857142857</v>
      </c>
      <c r="D28" s="16">
        <v>42</v>
      </c>
      <c r="E28" s="16">
        <v>0</v>
      </c>
      <c r="F28" s="17">
        <v>2903.34</v>
      </c>
      <c r="G28" s="17">
        <v>0</v>
      </c>
      <c r="H28" s="18">
        <f t="shared" si="1"/>
        <v>0</v>
      </c>
      <c r="I28" s="18">
        <f t="shared" si="2"/>
        <v>0.17737670407186204</v>
      </c>
      <c r="J28" s="17">
        <f t="shared" si="5"/>
        <v>514.98487999999998</v>
      </c>
      <c r="K28" s="17">
        <f t="shared" si="3"/>
        <v>12.261544761904762</v>
      </c>
      <c r="L28" s="16">
        <v>187</v>
      </c>
      <c r="M28" s="19">
        <f t="shared" si="6"/>
        <v>0.22459893048128343</v>
      </c>
      <c r="N28" s="16">
        <v>82</v>
      </c>
      <c r="O28" s="20">
        <f t="shared" ref="O28:P28" si="36">D28/7</f>
        <v>6</v>
      </c>
      <c r="P28" s="20">
        <f t="shared" si="36"/>
        <v>0</v>
      </c>
      <c r="Q28" s="16">
        <f t="shared" si="8"/>
        <v>13</v>
      </c>
      <c r="R28" s="16"/>
      <c r="S28" s="21">
        <v>2.5866050808314092</v>
      </c>
      <c r="T28" s="14">
        <v>1692</v>
      </c>
      <c r="U28" s="22">
        <v>44384</v>
      </c>
      <c r="V28" s="23" t="s">
        <v>536</v>
      </c>
      <c r="W28" s="30">
        <v>0</v>
      </c>
      <c r="X28" s="24">
        <f t="shared" si="9"/>
        <v>0</v>
      </c>
      <c r="Y28" s="25">
        <f t="shared" si="10"/>
        <v>0</v>
      </c>
      <c r="Z28" s="30">
        <v>0</v>
      </c>
      <c r="AA28" s="14" t="s">
        <v>35</v>
      </c>
      <c r="AB28" s="27">
        <f t="shared" si="11"/>
        <v>-0.69</v>
      </c>
      <c r="AC28" s="28">
        <v>0.41088888888888886</v>
      </c>
      <c r="AD28" s="25">
        <f t="shared" si="12"/>
        <v>-23.815119999999997</v>
      </c>
      <c r="AE28" s="25">
        <v>-8.98</v>
      </c>
      <c r="AF28" s="25">
        <v>-36.9495</v>
      </c>
      <c r="AG28" s="25">
        <v>0</v>
      </c>
    </row>
    <row r="29" spans="1:33" ht="15.75" customHeight="1">
      <c r="A29" s="14" t="s">
        <v>55</v>
      </c>
      <c r="B29" s="14" t="s">
        <v>537</v>
      </c>
      <c r="C29" s="15">
        <f t="shared" si="4"/>
        <v>70.181777777777768</v>
      </c>
      <c r="D29" s="16">
        <v>45</v>
      </c>
      <c r="E29" s="16">
        <v>0</v>
      </c>
      <c r="F29" s="17">
        <v>3158.18</v>
      </c>
      <c r="G29" s="17">
        <v>-0.11</v>
      </c>
      <c r="H29" s="18">
        <f t="shared" si="1"/>
        <v>3.483018700644042E-5</v>
      </c>
      <c r="I29" s="18">
        <f t="shared" si="2"/>
        <v>0.18744951206074381</v>
      </c>
      <c r="J29" s="17">
        <f t="shared" si="5"/>
        <v>591.99929999999983</v>
      </c>
      <c r="K29" s="17">
        <f t="shared" si="3"/>
        <v>13.155539999999997</v>
      </c>
      <c r="L29" s="16">
        <v>194</v>
      </c>
      <c r="M29" s="19">
        <f t="shared" si="6"/>
        <v>0.23195876288659795</v>
      </c>
      <c r="N29" s="16">
        <v>37</v>
      </c>
      <c r="O29" s="20">
        <f t="shared" ref="O29:P29" si="37">D29/7</f>
        <v>6.4285714285714288</v>
      </c>
      <c r="P29" s="20">
        <f t="shared" si="37"/>
        <v>0</v>
      </c>
      <c r="Q29" s="16">
        <f t="shared" si="8"/>
        <v>5</v>
      </c>
      <c r="R29" s="16"/>
      <c r="S29" s="21">
        <v>3.3258426966292141</v>
      </c>
      <c r="T29" s="14">
        <v>1892</v>
      </c>
      <c r="U29" s="22">
        <v>44386</v>
      </c>
      <c r="V29" s="23" t="s">
        <v>538</v>
      </c>
      <c r="W29" s="30">
        <v>0</v>
      </c>
      <c r="X29" s="24">
        <f t="shared" si="9"/>
        <v>0</v>
      </c>
      <c r="Y29" s="25">
        <f t="shared" si="10"/>
        <v>0</v>
      </c>
      <c r="Z29" s="30">
        <v>0</v>
      </c>
      <c r="AA29" s="14" t="s">
        <v>35</v>
      </c>
      <c r="AB29" s="27">
        <f t="shared" si="11"/>
        <v>-0.69</v>
      </c>
      <c r="AC29" s="28">
        <v>0.41088888888888886</v>
      </c>
      <c r="AD29" s="25">
        <f t="shared" si="12"/>
        <v>-25.516199999999994</v>
      </c>
      <c r="AE29" s="25">
        <v>-8.98</v>
      </c>
      <c r="AF29" s="25">
        <v>-36.9495</v>
      </c>
      <c r="AG29" s="25">
        <v>0</v>
      </c>
    </row>
    <row r="30" spans="1:33" ht="15.75" customHeight="1">
      <c r="A30" s="14" t="s">
        <v>57</v>
      </c>
      <c r="B30" s="14" t="s">
        <v>45</v>
      </c>
      <c r="C30" s="15">
        <f t="shared" si="4"/>
        <v>70.472812499999989</v>
      </c>
      <c r="D30" s="16">
        <v>32</v>
      </c>
      <c r="E30" s="16">
        <v>0</v>
      </c>
      <c r="F30" s="17">
        <v>2255.1299999999997</v>
      </c>
      <c r="G30" s="17">
        <v>0</v>
      </c>
      <c r="H30" s="18">
        <f t="shared" si="1"/>
        <v>0</v>
      </c>
      <c r="I30" s="18">
        <f t="shared" si="2"/>
        <v>0.20227853327598244</v>
      </c>
      <c r="J30" s="17">
        <f t="shared" si="5"/>
        <v>456.16438874666619</v>
      </c>
      <c r="K30" s="17">
        <f t="shared" si="3"/>
        <v>14.255137148333318</v>
      </c>
      <c r="L30" s="16">
        <v>122</v>
      </c>
      <c r="M30" s="19">
        <f t="shared" si="6"/>
        <v>0.26229508196721313</v>
      </c>
      <c r="N30" s="16">
        <v>13</v>
      </c>
      <c r="O30" s="20">
        <f t="shared" ref="O30:P30" si="38">D30/7</f>
        <v>4.5714285714285712</v>
      </c>
      <c r="P30" s="20">
        <f t="shared" si="38"/>
        <v>0</v>
      </c>
      <c r="Q30" s="16">
        <f t="shared" si="8"/>
        <v>2</v>
      </c>
      <c r="R30" s="16"/>
      <c r="S30" s="21">
        <v>3.6406480117820319</v>
      </c>
      <c r="T30" s="14">
        <v>980</v>
      </c>
      <c r="U30" s="22">
        <v>252</v>
      </c>
      <c r="V30" s="23" t="s">
        <v>539</v>
      </c>
      <c r="W30" s="30">
        <v>0</v>
      </c>
      <c r="X30" s="24">
        <f t="shared" si="9"/>
        <v>0</v>
      </c>
      <c r="Y30" s="25">
        <f t="shared" si="10"/>
        <v>0</v>
      </c>
      <c r="Z30" s="30">
        <v>0</v>
      </c>
      <c r="AA30" s="14" t="s">
        <v>35</v>
      </c>
      <c r="AB30" s="27">
        <f t="shared" si="11"/>
        <v>-0.69</v>
      </c>
      <c r="AC30" s="28">
        <v>0.41088888888888886</v>
      </c>
      <c r="AD30" s="25">
        <f t="shared" si="12"/>
        <v>-18.14485333333333</v>
      </c>
      <c r="AE30" s="25">
        <v>-8.98</v>
      </c>
      <c r="AF30" s="25">
        <v>-36.09972681</v>
      </c>
      <c r="AG30" s="25">
        <v>0</v>
      </c>
    </row>
    <row r="31" spans="1:33" ht="15.75" customHeight="1">
      <c r="A31" s="14" t="s">
        <v>58</v>
      </c>
      <c r="B31" s="14" t="s">
        <v>45</v>
      </c>
      <c r="C31" s="15">
        <f t="shared" si="4"/>
        <v>70.5</v>
      </c>
      <c r="D31" s="16">
        <v>4</v>
      </c>
      <c r="E31" s="16">
        <v>1</v>
      </c>
      <c r="F31" s="17">
        <v>282</v>
      </c>
      <c r="G31" s="17">
        <v>0</v>
      </c>
      <c r="H31" s="18">
        <f t="shared" si="1"/>
        <v>0</v>
      </c>
      <c r="I31" s="18">
        <f t="shared" si="2"/>
        <v>0.20252831947990529</v>
      </c>
      <c r="J31" s="17">
        <f t="shared" si="5"/>
        <v>57.112986093333291</v>
      </c>
      <c r="K31" s="17">
        <f t="shared" si="3"/>
        <v>14.278246523333323</v>
      </c>
      <c r="L31" s="16">
        <v>88</v>
      </c>
      <c r="M31" s="19">
        <f t="shared" si="6"/>
        <v>4.5454545454545456E-2</v>
      </c>
      <c r="N31" s="16">
        <v>0</v>
      </c>
      <c r="O31" s="20">
        <f t="shared" ref="O31:P31" si="39">D31/7</f>
        <v>0.5714285714285714</v>
      </c>
      <c r="P31" s="20">
        <f t="shared" si="39"/>
        <v>0.14285714285714285</v>
      </c>
      <c r="Q31" s="16">
        <f t="shared" si="8"/>
        <v>0</v>
      </c>
      <c r="R31" s="16"/>
      <c r="S31" s="21">
        <v>3.41690962099125</v>
      </c>
      <c r="T31" s="14" t="s">
        <v>34</v>
      </c>
      <c r="U31" s="22" t="s">
        <v>34</v>
      </c>
      <c r="V31" s="23" t="s">
        <v>540</v>
      </c>
      <c r="W31" s="30">
        <v>0</v>
      </c>
      <c r="X31" s="24">
        <f t="shared" si="9"/>
        <v>0</v>
      </c>
      <c r="Y31" s="25">
        <f t="shared" si="10"/>
        <v>0</v>
      </c>
      <c r="Z31" s="30">
        <v>0</v>
      </c>
      <c r="AA31" s="14" t="s">
        <v>35</v>
      </c>
      <c r="AB31" s="27">
        <f t="shared" si="11"/>
        <v>-0.69</v>
      </c>
      <c r="AC31" s="28">
        <v>0.41088888888888886</v>
      </c>
      <c r="AD31" s="25">
        <f t="shared" si="12"/>
        <v>-2.2681066666666663</v>
      </c>
      <c r="AE31" s="25">
        <v>-8.98</v>
      </c>
      <c r="AF31" s="25">
        <v>-36.099726810000007</v>
      </c>
      <c r="AG31" s="25">
        <v>0</v>
      </c>
    </row>
    <row r="32" spans="1:33" ht="15.75" customHeight="1">
      <c r="A32" s="14" t="s">
        <v>60</v>
      </c>
      <c r="B32" s="14"/>
      <c r="C32" s="15">
        <f t="shared" si="4"/>
        <v>70.5</v>
      </c>
      <c r="D32" s="16">
        <v>8</v>
      </c>
      <c r="E32" s="16">
        <v>0</v>
      </c>
      <c r="F32" s="17">
        <v>564</v>
      </c>
      <c r="G32" s="17">
        <v>0</v>
      </c>
      <c r="H32" s="18">
        <f t="shared" si="1"/>
        <v>0</v>
      </c>
      <c r="I32" s="18">
        <f t="shared" si="2"/>
        <v>0.20252831947990538</v>
      </c>
      <c r="J32" s="17">
        <f t="shared" si="5"/>
        <v>114.22597218666664</v>
      </c>
      <c r="K32" s="17">
        <f t="shared" si="3"/>
        <v>14.27824652333333</v>
      </c>
      <c r="L32" s="16">
        <v>70</v>
      </c>
      <c r="M32" s="19">
        <f t="shared" si="6"/>
        <v>0.11428571428571428</v>
      </c>
      <c r="N32" s="16">
        <v>80</v>
      </c>
      <c r="O32" s="20">
        <f t="shared" ref="O32:P32" si="40">D32/7</f>
        <v>1.1428571428571428</v>
      </c>
      <c r="P32" s="20">
        <f t="shared" si="40"/>
        <v>0</v>
      </c>
      <c r="Q32" s="16">
        <f t="shared" si="8"/>
        <v>70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2.1227887617065559</v>
      </c>
      <c r="T32" s="14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2" s="22">
        <f ca="1">IFERROR(__xludf.DUMMYFUNCTION("IFERROR(VLOOKUP($B$2,IMPORTRANGE(""https://docs.google.com/spreadsheets/d/1KiWZV1ko8G7lnRucBRBd29jj3Be6ltMfljMDqzOkQmI/edit#gid=1381463014"",""Lookup!A:D""),3,FALSE),"""")"),452)</f>
        <v>452</v>
      </c>
      <c r="V32" s="23" t="str">
        <f ca="1">IFERROR(__xludf.DUMMYFUNCTION("IFERROR(VLOOKUP($B$2,IMPORTRANGE(""https://docs.google.com/spreadsheets/d/1KiWZV1ko8G7lnRucBRBd29jj3Be6ltMfljMDqzOkQmI/edit#gid=1381463014"",""Lookup!A:D""),2,FALSE),"""")"),"| 414  - 252 units 08/02| 418  - 200 units 09/03| AGL259  - 528 units 11/01")</f>
        <v>| 414  - 252 units 08/02| 418  - 200 units 09/03| AGL259  - 528 units 11/01</v>
      </c>
      <c r="W32" s="30">
        <v>0</v>
      </c>
      <c r="X32" s="24">
        <f t="shared" si="9"/>
        <v>0</v>
      </c>
      <c r="Y32" s="25">
        <f t="shared" si="10"/>
        <v>0</v>
      </c>
      <c r="Z32" s="30">
        <v>0</v>
      </c>
      <c r="AA32" s="14" t="s">
        <v>35</v>
      </c>
      <c r="AB32" s="27">
        <f t="shared" si="11"/>
        <v>-0.69</v>
      </c>
      <c r="AC32" s="28">
        <v>0.41088888888888886</v>
      </c>
      <c r="AD32" s="25">
        <f t="shared" si="12"/>
        <v>-4.5362133333333325</v>
      </c>
      <c r="AE32" s="25">
        <v>-8.98</v>
      </c>
      <c r="AF32" s="25">
        <v>-36.09972681</v>
      </c>
      <c r="AG32" s="25">
        <v>0</v>
      </c>
    </row>
    <row r="33" spans="1:33" ht="15.75" customHeight="1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16"/>
      <c r="S33" s="21"/>
      <c r="T33" s="31"/>
      <c r="U33" s="36"/>
      <c r="V33" s="1"/>
      <c r="W33" s="31"/>
      <c r="X33" s="31"/>
      <c r="Y33" s="31"/>
      <c r="Z33" s="31"/>
      <c r="AA33" s="2"/>
      <c r="AB33" s="31"/>
      <c r="AC33" s="31"/>
      <c r="AD33" s="31"/>
      <c r="AE33" s="37"/>
      <c r="AF33" s="37"/>
      <c r="AG33" s="37"/>
    </row>
    <row r="34" spans="1:33" ht="15.75" customHeight="1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6"/>
      <c r="V34" s="1"/>
      <c r="W34" s="31"/>
      <c r="X34" s="31"/>
      <c r="Y34" s="31"/>
      <c r="Z34" s="31"/>
      <c r="AA34" s="2"/>
      <c r="AB34" s="31"/>
      <c r="AC34" s="31"/>
      <c r="AD34" s="31"/>
      <c r="AE34" s="37"/>
      <c r="AF34" s="37"/>
      <c r="AG34" s="37"/>
    </row>
    <row r="35" spans="1:33" ht="15.75" customHeight="1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6"/>
      <c r="V35" s="1"/>
      <c r="W35" s="31"/>
      <c r="X35" s="31"/>
      <c r="Y35" s="31"/>
      <c r="Z35" s="31"/>
      <c r="AA35" s="2"/>
      <c r="AB35" s="31"/>
      <c r="AC35" s="31"/>
      <c r="AD35" s="31"/>
      <c r="AE35" s="37"/>
      <c r="AF35" s="37"/>
      <c r="AG35" s="37"/>
    </row>
    <row r="36" spans="1:33" ht="15.75" customHeight="1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6"/>
      <c r="V36" s="1"/>
      <c r="W36" s="31"/>
      <c r="X36" s="31"/>
      <c r="Y36" s="31"/>
      <c r="Z36" s="31"/>
      <c r="AA36" s="2"/>
      <c r="AB36" s="31"/>
      <c r="AC36" s="31"/>
      <c r="AD36" s="31"/>
      <c r="AE36" s="37"/>
      <c r="AF36" s="37"/>
      <c r="AG36" s="37"/>
    </row>
    <row r="37" spans="1:33" ht="15.75" customHeight="1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6"/>
      <c r="V37" s="1"/>
      <c r="W37" s="31"/>
      <c r="X37" s="31"/>
      <c r="Y37" s="31"/>
      <c r="Z37" s="31"/>
      <c r="AA37" s="2"/>
      <c r="AB37" s="31"/>
      <c r="AC37" s="31"/>
      <c r="AD37" s="31"/>
      <c r="AE37" s="37"/>
      <c r="AF37" s="37"/>
      <c r="AG37" s="37"/>
    </row>
    <row r="38" spans="1:33" ht="15.75" customHeight="1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6"/>
      <c r="V38" s="1"/>
      <c r="W38" s="31"/>
      <c r="X38" s="31"/>
      <c r="Y38" s="31"/>
      <c r="Z38" s="31"/>
      <c r="AA38" s="2"/>
      <c r="AB38" s="31"/>
      <c r="AC38" s="31"/>
      <c r="AD38" s="31"/>
      <c r="AE38" s="37"/>
      <c r="AF38" s="37"/>
      <c r="AG38" s="37"/>
    </row>
    <row r="39" spans="1:33" ht="15.75" customHeight="1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6"/>
      <c r="V39" s="1"/>
      <c r="W39" s="31"/>
      <c r="X39" s="31"/>
      <c r="Y39" s="31"/>
      <c r="Z39" s="31"/>
      <c r="AA39" s="2"/>
      <c r="AB39" s="31"/>
      <c r="AC39" s="31"/>
      <c r="AD39" s="31"/>
      <c r="AE39" s="37"/>
      <c r="AF39" s="37"/>
      <c r="AG39" s="37"/>
    </row>
    <row r="40" spans="1:33" ht="15.75" customHeight="1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6"/>
      <c r="V40" s="1"/>
      <c r="W40" s="31"/>
      <c r="X40" s="31"/>
      <c r="Y40" s="31"/>
      <c r="Z40" s="31"/>
      <c r="AA40" s="2"/>
      <c r="AB40" s="31"/>
      <c r="AC40" s="31"/>
      <c r="AD40" s="31"/>
      <c r="AE40" s="37"/>
      <c r="AF40" s="37"/>
      <c r="AG40" s="37"/>
    </row>
    <row r="41" spans="1:33" ht="15.75" customHeight="1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6"/>
      <c r="V41" s="1"/>
      <c r="W41" s="31"/>
      <c r="X41" s="31"/>
      <c r="Y41" s="31"/>
      <c r="Z41" s="31"/>
      <c r="AA41" s="2"/>
      <c r="AB41" s="31"/>
      <c r="AC41" s="31"/>
      <c r="AD41" s="31"/>
      <c r="AE41" s="37"/>
      <c r="AF41" s="37"/>
      <c r="AG41" s="37"/>
    </row>
    <row r="42" spans="1:33" ht="15.75" customHeight="1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6"/>
      <c r="V42" s="1"/>
      <c r="W42" s="31"/>
      <c r="X42" s="31"/>
      <c r="Y42" s="31"/>
      <c r="Z42" s="31"/>
      <c r="AA42" s="2"/>
      <c r="AB42" s="31"/>
      <c r="AC42" s="31"/>
      <c r="AD42" s="31"/>
      <c r="AE42" s="37"/>
      <c r="AF42" s="37"/>
      <c r="AG42" s="37"/>
    </row>
    <row r="43" spans="1:33" ht="15.75" customHeight="1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6"/>
      <c r="V43" s="1"/>
      <c r="W43" s="31"/>
      <c r="X43" s="31"/>
      <c r="Y43" s="31"/>
      <c r="Z43" s="31"/>
      <c r="AA43" s="2"/>
      <c r="AB43" s="31"/>
      <c r="AC43" s="31"/>
      <c r="AD43" s="31"/>
      <c r="AE43" s="37"/>
      <c r="AF43" s="37"/>
      <c r="AG43" s="37"/>
    </row>
    <row r="44" spans="1:33" ht="15.75" customHeight="1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6"/>
      <c r="V44" s="1"/>
      <c r="W44" s="31"/>
      <c r="X44" s="31"/>
      <c r="Y44" s="31"/>
      <c r="Z44" s="31"/>
      <c r="AA44" s="2"/>
      <c r="AB44" s="31"/>
      <c r="AC44" s="31"/>
      <c r="AD44" s="31"/>
      <c r="AE44" s="37"/>
      <c r="AF44" s="37"/>
      <c r="AG44" s="37"/>
    </row>
    <row r="45" spans="1:33" ht="15.75" customHeight="1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6"/>
      <c r="V45" s="1"/>
      <c r="W45" s="31"/>
      <c r="X45" s="31"/>
      <c r="Y45" s="31"/>
      <c r="Z45" s="31"/>
      <c r="AA45" s="2"/>
      <c r="AB45" s="31"/>
      <c r="AC45" s="31"/>
      <c r="AD45" s="31"/>
      <c r="AE45" s="37"/>
      <c r="AF45" s="37"/>
      <c r="AG45" s="37"/>
    </row>
    <row r="46" spans="1:33" ht="15.75" customHeight="1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6"/>
      <c r="V46" s="1"/>
      <c r="W46" s="31"/>
      <c r="X46" s="31"/>
      <c r="Y46" s="31"/>
      <c r="Z46" s="31"/>
      <c r="AA46" s="2"/>
      <c r="AB46" s="31"/>
      <c r="AC46" s="31"/>
      <c r="AD46" s="31"/>
      <c r="AE46" s="37"/>
      <c r="AF46" s="37"/>
      <c r="AG46" s="37"/>
    </row>
    <row r="47" spans="1:33" ht="15.75" customHeight="1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6"/>
      <c r="V47" s="1"/>
      <c r="W47" s="31"/>
      <c r="X47" s="31"/>
      <c r="Y47" s="31"/>
      <c r="Z47" s="31"/>
      <c r="AA47" s="2"/>
      <c r="AB47" s="31"/>
      <c r="AC47" s="31"/>
      <c r="AD47" s="31"/>
      <c r="AE47" s="37"/>
      <c r="AF47" s="37"/>
      <c r="AG47" s="37"/>
    </row>
    <row r="48" spans="1:33" ht="15.75" customHeight="1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6"/>
      <c r="V48" s="1"/>
      <c r="W48" s="31"/>
      <c r="X48" s="31"/>
      <c r="Y48" s="31"/>
      <c r="Z48" s="31"/>
      <c r="AA48" s="2"/>
      <c r="AB48" s="31"/>
      <c r="AC48" s="31"/>
      <c r="AD48" s="31"/>
      <c r="AE48" s="37"/>
      <c r="AF48" s="37"/>
      <c r="AG48" s="37"/>
    </row>
    <row r="49" spans="1:33" ht="15.75" customHeight="1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6"/>
      <c r="V49" s="1"/>
      <c r="W49" s="31"/>
      <c r="X49" s="31"/>
      <c r="Y49" s="31"/>
      <c r="Z49" s="31"/>
      <c r="AA49" s="2"/>
      <c r="AB49" s="31"/>
      <c r="AC49" s="31"/>
      <c r="AD49" s="31"/>
      <c r="AE49" s="37"/>
      <c r="AF49" s="37"/>
      <c r="AG49" s="37"/>
    </row>
    <row r="50" spans="1:33" ht="15.75" customHeight="1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6"/>
      <c r="V50" s="1"/>
      <c r="W50" s="31"/>
      <c r="X50" s="31"/>
      <c r="Y50" s="31"/>
      <c r="Z50" s="31"/>
      <c r="AA50" s="2"/>
      <c r="AB50" s="31"/>
      <c r="AC50" s="31"/>
      <c r="AD50" s="31"/>
      <c r="AE50" s="37"/>
      <c r="AF50" s="37"/>
      <c r="AG50" s="37"/>
    </row>
    <row r="51" spans="1:33" ht="15.75" customHeight="1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6"/>
      <c r="V51" s="1"/>
      <c r="W51" s="31"/>
      <c r="X51" s="31"/>
      <c r="Y51" s="31"/>
      <c r="Z51" s="31"/>
      <c r="AA51" s="2"/>
      <c r="AB51" s="31"/>
      <c r="AC51" s="31"/>
      <c r="AD51" s="31"/>
      <c r="AE51" s="37"/>
      <c r="AF51" s="37"/>
      <c r="AG51" s="37"/>
    </row>
    <row r="52" spans="1:33" ht="15.75" customHeight="1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6"/>
      <c r="V52" s="1"/>
      <c r="W52" s="31"/>
      <c r="X52" s="31"/>
      <c r="Y52" s="31"/>
      <c r="Z52" s="31"/>
      <c r="AA52" s="2"/>
      <c r="AB52" s="31"/>
      <c r="AC52" s="31"/>
      <c r="AD52" s="31"/>
      <c r="AE52" s="37"/>
      <c r="AF52" s="37"/>
      <c r="AG52" s="37"/>
    </row>
    <row r="53" spans="1:33" ht="15.75" customHeight="1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6"/>
      <c r="V53" s="1"/>
      <c r="W53" s="31"/>
      <c r="X53" s="31"/>
      <c r="Y53" s="31"/>
      <c r="Z53" s="31"/>
      <c r="AA53" s="2"/>
      <c r="AB53" s="31"/>
      <c r="AC53" s="31"/>
      <c r="AD53" s="31"/>
      <c r="AE53" s="37"/>
      <c r="AF53" s="37"/>
      <c r="AG53" s="37"/>
    </row>
    <row r="54" spans="1:33" ht="15.75" customHeight="1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6"/>
      <c r="V54" s="1"/>
      <c r="W54" s="31"/>
      <c r="X54" s="31"/>
      <c r="Y54" s="31"/>
      <c r="Z54" s="31"/>
      <c r="AA54" s="2"/>
      <c r="AB54" s="31"/>
      <c r="AC54" s="31"/>
      <c r="AD54" s="31"/>
      <c r="AE54" s="37"/>
      <c r="AF54" s="37"/>
      <c r="AG54" s="37"/>
    </row>
    <row r="55" spans="1:33" ht="15.75" customHeight="1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6"/>
      <c r="V55" s="1"/>
      <c r="W55" s="31"/>
      <c r="X55" s="31"/>
      <c r="Y55" s="31"/>
      <c r="Z55" s="31"/>
      <c r="AA55" s="2"/>
      <c r="AB55" s="31"/>
      <c r="AC55" s="31"/>
      <c r="AD55" s="31"/>
      <c r="AE55" s="37"/>
      <c r="AF55" s="37"/>
      <c r="AG55" s="37"/>
    </row>
    <row r="56" spans="1:33" ht="15.75" customHeight="1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6"/>
      <c r="V56" s="1"/>
      <c r="W56" s="31"/>
      <c r="X56" s="31"/>
      <c r="Y56" s="31"/>
      <c r="Z56" s="31"/>
      <c r="AA56" s="2"/>
      <c r="AB56" s="31"/>
      <c r="AC56" s="31"/>
      <c r="AD56" s="31"/>
      <c r="AE56" s="37"/>
      <c r="AF56" s="37"/>
      <c r="AG56" s="37"/>
    </row>
    <row r="57" spans="1:33" ht="15.75" customHeight="1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6"/>
      <c r="V57" s="1"/>
      <c r="W57" s="31"/>
      <c r="X57" s="31"/>
      <c r="Y57" s="31"/>
      <c r="Z57" s="31"/>
      <c r="AA57" s="2"/>
      <c r="AB57" s="31"/>
      <c r="AC57" s="31"/>
      <c r="AD57" s="31"/>
      <c r="AE57" s="37"/>
      <c r="AF57" s="37"/>
      <c r="AG57" s="37"/>
    </row>
    <row r="58" spans="1:33" ht="15.75" customHeight="1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6"/>
      <c r="V58" s="1"/>
      <c r="W58" s="31"/>
      <c r="X58" s="31"/>
      <c r="Y58" s="31"/>
      <c r="Z58" s="31"/>
      <c r="AA58" s="2"/>
      <c r="AB58" s="31"/>
      <c r="AC58" s="31"/>
      <c r="AD58" s="31"/>
      <c r="AE58" s="37"/>
      <c r="AF58" s="37"/>
      <c r="AG58" s="37"/>
    </row>
    <row r="59" spans="1:33" ht="15.75" customHeight="1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6"/>
      <c r="V59" s="1"/>
      <c r="W59" s="31"/>
      <c r="X59" s="31"/>
      <c r="Y59" s="31"/>
      <c r="Z59" s="31"/>
      <c r="AA59" s="2"/>
      <c r="AB59" s="31"/>
      <c r="AC59" s="31"/>
      <c r="AD59" s="31"/>
      <c r="AE59" s="37"/>
      <c r="AF59" s="37"/>
      <c r="AG59" s="37"/>
    </row>
    <row r="60" spans="1:33" ht="15.75" customHeight="1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6"/>
      <c r="V60" s="1"/>
      <c r="W60" s="31"/>
      <c r="X60" s="31"/>
      <c r="Y60" s="31"/>
      <c r="Z60" s="31"/>
      <c r="AA60" s="2"/>
      <c r="AB60" s="31"/>
      <c r="AC60" s="31"/>
      <c r="AD60" s="31"/>
      <c r="AE60" s="37"/>
      <c r="AF60" s="37"/>
      <c r="AG60" s="37"/>
    </row>
    <row r="61" spans="1:33" ht="15.75" customHeight="1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6"/>
      <c r="V61" s="1"/>
      <c r="W61" s="31"/>
      <c r="X61" s="31"/>
      <c r="Y61" s="31"/>
      <c r="Z61" s="31"/>
      <c r="AA61" s="2"/>
      <c r="AB61" s="31"/>
      <c r="AC61" s="31"/>
      <c r="AD61" s="31"/>
      <c r="AE61" s="37"/>
      <c r="AF61" s="37"/>
      <c r="AG61" s="37"/>
    </row>
    <row r="62" spans="1:33" ht="15.75" customHeight="1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6"/>
      <c r="V62" s="1"/>
      <c r="W62" s="31"/>
      <c r="X62" s="31"/>
      <c r="Y62" s="31"/>
      <c r="Z62" s="31"/>
      <c r="AA62" s="2"/>
      <c r="AB62" s="31"/>
      <c r="AC62" s="31"/>
      <c r="AD62" s="31"/>
      <c r="AE62" s="37"/>
      <c r="AF62" s="37"/>
      <c r="AG62" s="37"/>
    </row>
    <row r="63" spans="1:33" ht="15.75" customHeight="1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6"/>
      <c r="V63" s="1"/>
      <c r="W63" s="31"/>
      <c r="X63" s="31"/>
      <c r="Y63" s="31"/>
      <c r="Z63" s="31"/>
      <c r="AA63" s="2"/>
      <c r="AB63" s="31"/>
      <c r="AC63" s="31"/>
      <c r="AD63" s="31"/>
      <c r="AE63" s="37"/>
      <c r="AF63" s="37"/>
      <c r="AG63" s="37"/>
    </row>
    <row r="64" spans="1:33" ht="15.75" customHeight="1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6"/>
      <c r="V64" s="1"/>
      <c r="W64" s="31"/>
      <c r="X64" s="31"/>
      <c r="Y64" s="31"/>
      <c r="Z64" s="31"/>
      <c r="AA64" s="2"/>
      <c r="AB64" s="31"/>
      <c r="AC64" s="31"/>
      <c r="AD64" s="31"/>
      <c r="AE64" s="37"/>
      <c r="AF64" s="37"/>
      <c r="AG64" s="37"/>
    </row>
    <row r="65" spans="1:33" ht="15.75" customHeight="1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6"/>
      <c r="V65" s="1"/>
      <c r="W65" s="31"/>
      <c r="X65" s="31"/>
      <c r="Y65" s="31"/>
      <c r="Z65" s="31"/>
      <c r="AA65" s="2"/>
      <c r="AB65" s="31"/>
      <c r="AC65" s="31"/>
      <c r="AD65" s="31"/>
      <c r="AE65" s="37"/>
      <c r="AF65" s="37"/>
      <c r="AG65" s="37"/>
    </row>
    <row r="66" spans="1:33" ht="15.75" customHeight="1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6"/>
      <c r="V66" s="1"/>
      <c r="W66" s="31"/>
      <c r="X66" s="31"/>
      <c r="Y66" s="31"/>
      <c r="Z66" s="31"/>
      <c r="AA66" s="2"/>
      <c r="AB66" s="31"/>
      <c r="AC66" s="31"/>
      <c r="AD66" s="31"/>
      <c r="AE66" s="37"/>
      <c r="AF66" s="37"/>
      <c r="AG66" s="37"/>
    </row>
    <row r="67" spans="1:33" ht="15.75" customHeight="1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6"/>
      <c r="V67" s="1"/>
      <c r="W67" s="31"/>
      <c r="X67" s="31"/>
      <c r="Y67" s="31"/>
      <c r="Z67" s="31"/>
      <c r="AA67" s="2"/>
      <c r="AB67" s="31"/>
      <c r="AC67" s="31"/>
      <c r="AD67" s="31"/>
      <c r="AE67" s="37"/>
      <c r="AF67" s="37"/>
      <c r="AG67" s="37"/>
    </row>
    <row r="68" spans="1:33" ht="15.75" customHeight="1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6"/>
      <c r="V68" s="1"/>
      <c r="W68" s="31"/>
      <c r="X68" s="31"/>
      <c r="Y68" s="31"/>
      <c r="Z68" s="31"/>
      <c r="AA68" s="2"/>
      <c r="AB68" s="31"/>
      <c r="AC68" s="31"/>
      <c r="AD68" s="31"/>
      <c r="AE68" s="37"/>
      <c r="AF68" s="37"/>
      <c r="AG68" s="37"/>
    </row>
    <row r="69" spans="1:33" ht="15.75" customHeight="1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6"/>
      <c r="V69" s="1"/>
      <c r="W69" s="31"/>
      <c r="X69" s="31"/>
      <c r="Y69" s="31"/>
      <c r="Z69" s="31"/>
      <c r="AA69" s="2"/>
      <c r="AB69" s="31"/>
      <c r="AC69" s="31"/>
      <c r="AD69" s="31"/>
      <c r="AE69" s="37"/>
      <c r="AF69" s="37"/>
      <c r="AG69" s="37"/>
    </row>
    <row r="70" spans="1:33" ht="15.75" customHeight="1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6"/>
      <c r="V70" s="1"/>
      <c r="W70" s="31"/>
      <c r="X70" s="31"/>
      <c r="Y70" s="31"/>
      <c r="Z70" s="31"/>
      <c r="AA70" s="2"/>
      <c r="AB70" s="31"/>
      <c r="AC70" s="31"/>
      <c r="AD70" s="31"/>
      <c r="AE70" s="37"/>
      <c r="AF70" s="37"/>
      <c r="AG70" s="37"/>
    </row>
    <row r="71" spans="1:33" ht="15.75" customHeight="1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6"/>
      <c r="V71" s="1"/>
      <c r="W71" s="31"/>
      <c r="X71" s="31"/>
      <c r="Y71" s="31"/>
      <c r="Z71" s="31"/>
      <c r="AA71" s="2"/>
      <c r="AB71" s="31"/>
      <c r="AC71" s="31"/>
      <c r="AD71" s="31"/>
      <c r="AE71" s="37"/>
      <c r="AF71" s="37"/>
      <c r="AG71" s="37"/>
    </row>
    <row r="72" spans="1:33" ht="15.75" customHeight="1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6"/>
      <c r="V72" s="1"/>
      <c r="W72" s="31"/>
      <c r="X72" s="31"/>
      <c r="Y72" s="31"/>
      <c r="Z72" s="31"/>
      <c r="AA72" s="2"/>
      <c r="AB72" s="31"/>
      <c r="AC72" s="31"/>
      <c r="AD72" s="31"/>
      <c r="AE72" s="37"/>
      <c r="AF72" s="37"/>
      <c r="AG72" s="37"/>
    </row>
    <row r="73" spans="1:33" ht="15.75" customHeight="1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6"/>
      <c r="V73" s="1"/>
      <c r="W73" s="31"/>
      <c r="X73" s="31"/>
      <c r="Y73" s="31"/>
      <c r="Z73" s="31"/>
      <c r="AA73" s="2"/>
      <c r="AB73" s="31"/>
      <c r="AC73" s="31"/>
      <c r="AD73" s="31"/>
      <c r="AE73" s="37"/>
      <c r="AF73" s="37"/>
      <c r="AG73" s="37"/>
    </row>
    <row r="74" spans="1:33" ht="15.75" customHeight="1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6"/>
      <c r="V74" s="1"/>
      <c r="W74" s="31"/>
      <c r="X74" s="31"/>
      <c r="Y74" s="31"/>
      <c r="Z74" s="31"/>
      <c r="AA74" s="2"/>
      <c r="AB74" s="31"/>
      <c r="AC74" s="31"/>
      <c r="AD74" s="31"/>
      <c r="AE74" s="37"/>
      <c r="AF74" s="37"/>
      <c r="AG74" s="37"/>
    </row>
    <row r="75" spans="1:33" ht="15.75" customHeight="1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6"/>
      <c r="V75" s="1"/>
      <c r="W75" s="31"/>
      <c r="X75" s="31"/>
      <c r="Y75" s="31"/>
      <c r="Z75" s="31"/>
      <c r="AA75" s="2"/>
      <c r="AB75" s="31"/>
      <c r="AC75" s="31"/>
      <c r="AD75" s="31"/>
      <c r="AE75" s="37"/>
      <c r="AF75" s="37"/>
      <c r="AG75" s="37"/>
    </row>
    <row r="76" spans="1:33" ht="15.75" customHeight="1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6"/>
      <c r="V76" s="1"/>
      <c r="W76" s="31"/>
      <c r="X76" s="31"/>
      <c r="Y76" s="31"/>
      <c r="Z76" s="31"/>
      <c r="AA76" s="2"/>
      <c r="AB76" s="31"/>
      <c r="AC76" s="31"/>
      <c r="AD76" s="31"/>
      <c r="AE76" s="37"/>
      <c r="AF76" s="37"/>
      <c r="AG76" s="37"/>
    </row>
    <row r="77" spans="1:33" ht="15.75" customHeight="1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6"/>
      <c r="V77" s="1"/>
      <c r="W77" s="31"/>
      <c r="X77" s="31"/>
      <c r="Y77" s="31"/>
      <c r="Z77" s="31"/>
      <c r="AA77" s="2"/>
      <c r="AB77" s="31"/>
      <c r="AC77" s="31"/>
      <c r="AD77" s="31"/>
      <c r="AE77" s="37"/>
      <c r="AF77" s="37"/>
      <c r="AG77" s="37"/>
    </row>
    <row r="78" spans="1:33" ht="15.75" customHeight="1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6"/>
      <c r="V78" s="1"/>
      <c r="W78" s="31"/>
      <c r="X78" s="31"/>
      <c r="Y78" s="31"/>
      <c r="Z78" s="31"/>
      <c r="AA78" s="2"/>
      <c r="AB78" s="31"/>
      <c r="AC78" s="31"/>
      <c r="AD78" s="31"/>
      <c r="AE78" s="37"/>
      <c r="AF78" s="37"/>
      <c r="AG78" s="37"/>
    </row>
    <row r="79" spans="1:33" ht="15.75" customHeight="1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6"/>
      <c r="V79" s="1"/>
      <c r="W79" s="31"/>
      <c r="X79" s="31"/>
      <c r="Y79" s="31"/>
      <c r="Z79" s="31"/>
      <c r="AA79" s="2"/>
      <c r="AB79" s="31"/>
      <c r="AC79" s="31"/>
      <c r="AD79" s="31"/>
      <c r="AE79" s="37"/>
      <c r="AF79" s="37"/>
      <c r="AG79" s="37"/>
    </row>
    <row r="80" spans="1:33" ht="15.75" customHeight="1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6"/>
      <c r="V80" s="1"/>
      <c r="W80" s="31"/>
      <c r="X80" s="31"/>
      <c r="Y80" s="31"/>
      <c r="Z80" s="31"/>
      <c r="AA80" s="2"/>
      <c r="AB80" s="31"/>
      <c r="AC80" s="31"/>
      <c r="AD80" s="31"/>
      <c r="AE80" s="37"/>
      <c r="AF80" s="37"/>
      <c r="AG80" s="37"/>
    </row>
    <row r="81" spans="1:33" ht="15.75" customHeight="1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6"/>
      <c r="V81" s="1"/>
      <c r="W81" s="31"/>
      <c r="X81" s="31"/>
      <c r="Y81" s="31"/>
      <c r="Z81" s="31"/>
      <c r="AA81" s="2"/>
      <c r="AB81" s="31"/>
      <c r="AC81" s="31"/>
      <c r="AD81" s="31"/>
      <c r="AE81" s="37"/>
      <c r="AF81" s="37"/>
      <c r="AG81" s="37"/>
    </row>
    <row r="82" spans="1:33" ht="15.75" customHeight="1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6"/>
      <c r="V82" s="1"/>
      <c r="W82" s="31"/>
      <c r="X82" s="31"/>
      <c r="Y82" s="31"/>
      <c r="Z82" s="31"/>
      <c r="AA82" s="2"/>
      <c r="AB82" s="31"/>
      <c r="AC82" s="31"/>
      <c r="AD82" s="31"/>
      <c r="AE82" s="37"/>
      <c r="AF82" s="37"/>
      <c r="AG82" s="37"/>
    </row>
    <row r="83" spans="1:33" ht="15.75" customHeight="1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6"/>
      <c r="V83" s="1"/>
      <c r="W83" s="31"/>
      <c r="X83" s="31"/>
      <c r="Y83" s="31"/>
      <c r="Z83" s="31"/>
      <c r="AA83" s="2"/>
      <c r="AB83" s="31"/>
      <c r="AC83" s="31"/>
      <c r="AD83" s="31"/>
      <c r="AE83" s="37"/>
      <c r="AF83" s="37"/>
      <c r="AG83" s="37"/>
    </row>
    <row r="84" spans="1:33" ht="15.75" customHeight="1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6"/>
      <c r="V84" s="1"/>
      <c r="W84" s="31"/>
      <c r="X84" s="31"/>
      <c r="Y84" s="31"/>
      <c r="Z84" s="31"/>
      <c r="AA84" s="2"/>
      <c r="AB84" s="31"/>
      <c r="AC84" s="31"/>
      <c r="AD84" s="31"/>
      <c r="AE84" s="37"/>
      <c r="AF84" s="37"/>
      <c r="AG84" s="37"/>
    </row>
    <row r="85" spans="1:33" ht="15.75" customHeight="1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6"/>
      <c r="V85" s="1"/>
      <c r="W85" s="31"/>
      <c r="X85" s="31"/>
      <c r="Y85" s="31"/>
      <c r="Z85" s="31"/>
      <c r="AA85" s="2"/>
      <c r="AB85" s="31"/>
      <c r="AC85" s="31"/>
      <c r="AD85" s="31"/>
      <c r="AE85" s="37"/>
      <c r="AF85" s="37"/>
      <c r="AG85" s="37"/>
    </row>
    <row r="86" spans="1:33" ht="15.75" customHeight="1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6"/>
      <c r="V86" s="1"/>
      <c r="W86" s="31"/>
      <c r="X86" s="31"/>
      <c r="Y86" s="31"/>
      <c r="Z86" s="31"/>
      <c r="AA86" s="2"/>
      <c r="AB86" s="31"/>
      <c r="AC86" s="31"/>
      <c r="AD86" s="31"/>
      <c r="AE86" s="37"/>
      <c r="AF86" s="37"/>
      <c r="AG86" s="37"/>
    </row>
    <row r="87" spans="1:33" ht="15.75" customHeight="1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6"/>
      <c r="V87" s="1"/>
      <c r="W87" s="31"/>
      <c r="X87" s="31"/>
      <c r="Y87" s="31"/>
      <c r="Z87" s="31"/>
      <c r="AA87" s="2"/>
      <c r="AB87" s="31"/>
      <c r="AC87" s="31"/>
      <c r="AD87" s="31"/>
      <c r="AE87" s="37"/>
      <c r="AF87" s="37"/>
      <c r="AG87" s="37"/>
    </row>
    <row r="88" spans="1:33" ht="15.75" customHeight="1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6"/>
      <c r="V88" s="1"/>
      <c r="W88" s="31"/>
      <c r="X88" s="31"/>
      <c r="Y88" s="31"/>
      <c r="Z88" s="31"/>
      <c r="AA88" s="2"/>
      <c r="AB88" s="31"/>
      <c r="AC88" s="31"/>
      <c r="AD88" s="31"/>
      <c r="AE88" s="37"/>
      <c r="AF88" s="37"/>
      <c r="AG88" s="37"/>
    </row>
    <row r="89" spans="1:33" ht="15.75" customHeight="1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6"/>
      <c r="V89" s="1"/>
      <c r="W89" s="31"/>
      <c r="X89" s="31"/>
      <c r="Y89" s="31"/>
      <c r="Z89" s="31"/>
      <c r="AA89" s="2"/>
      <c r="AB89" s="31"/>
      <c r="AC89" s="31"/>
      <c r="AD89" s="31"/>
      <c r="AE89" s="37"/>
      <c r="AF89" s="37"/>
      <c r="AG89" s="37"/>
    </row>
    <row r="90" spans="1:33" ht="15.75" customHeight="1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6"/>
      <c r="V90" s="1"/>
      <c r="W90" s="31"/>
      <c r="X90" s="31"/>
      <c r="Y90" s="31"/>
      <c r="Z90" s="31"/>
      <c r="AA90" s="2"/>
      <c r="AB90" s="31"/>
      <c r="AC90" s="31"/>
      <c r="AD90" s="31"/>
      <c r="AE90" s="37"/>
      <c r="AF90" s="37"/>
      <c r="AG90" s="37"/>
    </row>
    <row r="91" spans="1:33" ht="15.75" customHeight="1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6"/>
      <c r="V91" s="1"/>
      <c r="W91" s="31"/>
      <c r="X91" s="31"/>
      <c r="Y91" s="31"/>
      <c r="Z91" s="31"/>
      <c r="AA91" s="2"/>
      <c r="AB91" s="31"/>
      <c r="AC91" s="31"/>
      <c r="AD91" s="31"/>
      <c r="AE91" s="37"/>
      <c r="AF91" s="37"/>
      <c r="AG91" s="37"/>
    </row>
    <row r="92" spans="1:33" ht="15.75" customHeight="1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6"/>
      <c r="V92" s="1"/>
      <c r="W92" s="31"/>
      <c r="X92" s="31"/>
      <c r="Y92" s="31"/>
      <c r="Z92" s="31"/>
      <c r="AA92" s="2"/>
      <c r="AB92" s="31"/>
      <c r="AC92" s="31"/>
      <c r="AD92" s="31"/>
      <c r="AE92" s="37"/>
      <c r="AF92" s="37"/>
      <c r="AG92" s="37"/>
    </row>
    <row r="93" spans="1:33" ht="15.75" customHeight="1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6"/>
      <c r="V93" s="1"/>
      <c r="W93" s="31"/>
      <c r="X93" s="31"/>
      <c r="Y93" s="31"/>
      <c r="Z93" s="31"/>
      <c r="AA93" s="2"/>
      <c r="AB93" s="31"/>
      <c r="AC93" s="31"/>
      <c r="AD93" s="31"/>
      <c r="AE93" s="37"/>
      <c r="AF93" s="37"/>
      <c r="AG93" s="37"/>
    </row>
    <row r="94" spans="1:33" ht="15.75" customHeight="1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6"/>
      <c r="V94" s="1"/>
      <c r="W94" s="31"/>
      <c r="X94" s="31"/>
      <c r="Y94" s="31"/>
      <c r="Z94" s="31"/>
      <c r="AA94" s="2"/>
      <c r="AB94" s="31"/>
      <c r="AC94" s="31"/>
      <c r="AD94" s="31"/>
      <c r="AE94" s="37"/>
      <c r="AF94" s="37"/>
      <c r="AG94" s="37"/>
    </row>
    <row r="95" spans="1:33" ht="15.75" customHeight="1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6"/>
      <c r="V95" s="1"/>
      <c r="W95" s="31"/>
      <c r="X95" s="31"/>
      <c r="Y95" s="31"/>
      <c r="Z95" s="31"/>
      <c r="AA95" s="2"/>
      <c r="AB95" s="31"/>
      <c r="AC95" s="31"/>
      <c r="AD95" s="31"/>
      <c r="AE95" s="37"/>
      <c r="AF95" s="37"/>
      <c r="AG95" s="37"/>
    </row>
    <row r="96" spans="1:33" ht="15.75" customHeight="1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6"/>
      <c r="V96" s="1"/>
      <c r="W96" s="31"/>
      <c r="X96" s="31"/>
      <c r="Y96" s="31"/>
      <c r="Z96" s="31"/>
      <c r="AA96" s="2"/>
      <c r="AB96" s="31"/>
      <c r="AC96" s="31"/>
      <c r="AD96" s="31"/>
      <c r="AE96" s="37"/>
      <c r="AF96" s="37"/>
      <c r="AG96" s="37"/>
    </row>
    <row r="97" spans="1:33" ht="15.75" customHeight="1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8"/>
      <c r="R97" s="38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8"/>
      <c r="R98" s="38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8"/>
      <c r="R99" s="38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8"/>
      <c r="R100" s="38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8"/>
      <c r="R101" s="38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8"/>
      <c r="R102" s="38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8"/>
      <c r="R103" s="38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8"/>
      <c r="R104" s="38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8"/>
      <c r="R105" s="38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8"/>
      <c r="R106" s="38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8"/>
      <c r="R107" s="38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8"/>
      <c r="R108" s="38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8"/>
      <c r="R109" s="38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8"/>
      <c r="R110" s="38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8"/>
      <c r="R111" s="38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8"/>
      <c r="R112" s="38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8"/>
      <c r="R113" s="38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8"/>
      <c r="R114" s="38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>
      <c r="A115" s="31"/>
      <c r="B115" s="31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>
      <c r="A116" s="31"/>
      <c r="B116" s="31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>
      <c r="A117" s="31"/>
      <c r="B117" s="31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>
      <c r="A118" s="31"/>
      <c r="B118" s="31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>
      <c r="A119" s="31"/>
      <c r="B119" s="31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>
      <c r="A120" s="31"/>
      <c r="B120" s="31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>
      <c r="A121" s="31"/>
      <c r="B121" s="31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>
      <c r="A122" s="31"/>
      <c r="B122" s="31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>
      <c r="A123" s="31"/>
      <c r="B123" s="31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>
      <c r="A124" s="31"/>
      <c r="B124" s="31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>
      <c r="A125" s="31"/>
      <c r="B125" s="31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>
      <c r="A126" s="31"/>
      <c r="B126" s="31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>
      <c r="A127" s="31"/>
      <c r="B127" s="31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>
      <c r="A128" s="31"/>
      <c r="B128" s="31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>
      <c r="A129" s="31"/>
      <c r="B129" s="31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>
      <c r="A130" s="31"/>
      <c r="B130" s="31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>
      <c r="A131" s="31"/>
      <c r="B131" s="31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>
      <c r="A132" s="31"/>
      <c r="B132" s="31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>
      <c r="A133" s="31"/>
      <c r="B133" s="31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>
      <c r="A134" s="31"/>
      <c r="B134" s="31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>
      <c r="A135" s="31"/>
      <c r="B135" s="31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>
      <c r="A136" s="31"/>
      <c r="B136" s="31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>
      <c r="A137" s="31"/>
      <c r="B137" s="31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>
      <c r="A138" s="31"/>
      <c r="B138" s="31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>
      <c r="A139" s="31"/>
      <c r="B139" s="31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>
      <c r="A140" s="31"/>
      <c r="B140" s="31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>
      <c r="A141" s="31"/>
      <c r="B141" s="31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2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>
      <c r="A142" s="31"/>
      <c r="B142" s="31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2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>
      <c r="A143" s="31"/>
      <c r="B143" s="31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2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>
      <c r="A144" s="31"/>
      <c r="B144" s="31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2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>
      <c r="A145" s="31"/>
      <c r="B145" s="31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2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>
      <c r="A146" s="31"/>
      <c r="B146" s="31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2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>
      <c r="A147" s="31"/>
      <c r="B147" s="31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2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>
      <c r="A148" s="31"/>
      <c r="B148" s="31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2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</row>
    <row r="149" spans="1:33" ht="15.75" customHeight="1">
      <c r="A149" s="14"/>
      <c r="B149" s="14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>
      <c r="A150" s="14"/>
      <c r="B150" s="14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>
      <c r="A151" s="14"/>
      <c r="B151" s="14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>
      <c r="A152" s="14"/>
      <c r="B152" s="14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>
      <c r="A153" s="14"/>
      <c r="B153" s="14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>
      <c r="A154" s="14"/>
      <c r="B154" s="14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>
      <c r="A155" s="14"/>
      <c r="B155" s="14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>
      <c r="A156" s="14"/>
      <c r="B156" s="14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>
      <c r="A157" s="14"/>
      <c r="B157" s="14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>
      <c r="A158" s="14"/>
      <c r="B158" s="14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>
      <c r="A159" s="14"/>
      <c r="B159" s="14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>
      <c r="A160" s="14"/>
      <c r="B160" s="14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>
      <c r="A161" s="14"/>
      <c r="B161" s="14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>
      <c r="A162" s="14"/>
      <c r="B162" s="14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>
      <c r="A163" s="14"/>
      <c r="B163" s="14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>
      <c r="A164" s="14"/>
      <c r="B164" s="14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>
      <c r="A165" s="14"/>
      <c r="B165" s="14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>
      <c r="A166" s="14"/>
      <c r="B166" s="14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>
      <c r="A167" s="14"/>
      <c r="B167" s="14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>
      <c r="A168" s="14"/>
      <c r="B168" s="14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>
      <c r="A169" s="14"/>
      <c r="B169" s="14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>
      <c r="A170" s="14"/>
      <c r="B170" s="14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>
      <c r="A171" s="14"/>
      <c r="B171" s="14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>
      <c r="A172" s="14"/>
      <c r="B172" s="14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>
      <c r="A173" s="14"/>
      <c r="B173" s="14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>
      <c r="A174" s="14"/>
      <c r="B174" s="14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>
      <c r="A175" s="14"/>
      <c r="B175" s="14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>
      <c r="A176" s="14"/>
      <c r="B176" s="14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>
      <c r="A177" s="14"/>
      <c r="B177" s="14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>
      <c r="A178" s="14"/>
      <c r="B178" s="14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>
      <c r="A179" s="14"/>
      <c r="B179" s="14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>
      <c r="A180" s="14"/>
      <c r="B180" s="14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>
      <c r="A181" s="14"/>
      <c r="B181" s="14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>
      <c r="A182" s="14"/>
      <c r="B182" s="14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>
      <c r="A183" s="14"/>
      <c r="B183" s="14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>
      <c r="A184" s="14"/>
      <c r="B184" s="14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>
      <c r="A185" s="14"/>
      <c r="B185" s="14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>
      <c r="A186" s="14"/>
      <c r="B186" s="14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>
      <c r="A187" s="14"/>
      <c r="B187" s="14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>
      <c r="A188" s="14"/>
      <c r="B188" s="14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>
      <c r="A189" s="14"/>
      <c r="B189" s="14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>
      <c r="A190" s="14"/>
      <c r="B190" s="14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>
      <c r="A191" s="14"/>
      <c r="B191" s="14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>
      <c r="A192" s="14"/>
      <c r="B192" s="14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>
      <c r="A193" s="14"/>
      <c r="B193" s="14"/>
      <c r="C193" s="39"/>
      <c r="D193" s="39"/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>
      <c r="A194" s="14"/>
      <c r="B194" s="14"/>
      <c r="C194" s="39"/>
      <c r="D194" s="39"/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>
      <c r="A195" s="14"/>
      <c r="B195" s="14"/>
      <c r="C195" s="39"/>
      <c r="D195" s="39"/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>
      <c r="A196" s="14"/>
      <c r="B196" s="14"/>
      <c r="C196" s="39"/>
      <c r="D196" s="39"/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>
      <c r="A197" s="14"/>
      <c r="B197" s="14"/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>
      <c r="A198" s="14"/>
      <c r="B198" s="14"/>
      <c r="C198" s="39"/>
      <c r="D198" s="39"/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>
      <c r="A199" s="14"/>
      <c r="B199" s="14"/>
      <c r="C199" s="39"/>
      <c r="D199" s="39"/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>
      <c r="A200" s="14"/>
      <c r="B200" s="14"/>
      <c r="C200" s="39"/>
      <c r="D200" s="39"/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>
      <c r="A201" s="14"/>
      <c r="B201" s="14"/>
      <c r="C201" s="39"/>
      <c r="D201" s="39"/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>
      <c r="A202" s="14"/>
      <c r="B202" s="14"/>
      <c r="C202" s="39"/>
      <c r="D202" s="39"/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>
      <c r="A203" s="14"/>
      <c r="B203" s="14"/>
      <c r="C203" s="39"/>
      <c r="D203" s="39"/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>
      <c r="A204" s="14"/>
      <c r="B204" s="14"/>
      <c r="C204" s="39"/>
      <c r="D204" s="39"/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>
      <c r="A205" s="14"/>
      <c r="B205" s="14"/>
      <c r="C205" s="39"/>
      <c r="D205" s="39"/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>
      <c r="A206" s="14"/>
      <c r="B206" s="14"/>
      <c r="C206" s="39"/>
      <c r="D206" s="39"/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>
      <c r="A207" s="14"/>
      <c r="B207" s="14"/>
      <c r="C207" s="39"/>
      <c r="D207" s="39"/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>
      <c r="A208" s="14"/>
      <c r="B208" s="14"/>
      <c r="C208" s="39"/>
      <c r="D208" s="39"/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>
      <c r="A209" s="14"/>
      <c r="B209" s="14"/>
      <c r="C209" s="39"/>
      <c r="D209" s="39"/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>
      <c r="A210" s="14"/>
      <c r="B210" s="14"/>
      <c r="C210" s="39"/>
      <c r="D210" s="39"/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>
      <c r="A211" s="14"/>
      <c r="B211" s="14"/>
      <c r="C211" s="39"/>
      <c r="D211" s="39"/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>
      <c r="A212" s="14"/>
      <c r="B212" s="14"/>
      <c r="C212" s="39"/>
      <c r="D212" s="39"/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>
      <c r="A213" s="14"/>
      <c r="B213" s="14"/>
      <c r="C213" s="39"/>
      <c r="D213" s="39"/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>
      <c r="A214" s="14"/>
      <c r="B214" s="14"/>
      <c r="C214" s="39"/>
      <c r="D214" s="39"/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>
      <c r="A215" s="14"/>
      <c r="B215" s="14"/>
      <c r="C215" s="39"/>
      <c r="D215" s="39"/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>
      <c r="A216" s="14"/>
      <c r="B216" s="14"/>
      <c r="C216" s="39"/>
      <c r="D216" s="39"/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>
      <c r="A217" s="14"/>
      <c r="B217" s="14"/>
      <c r="C217" s="39"/>
      <c r="D217" s="39"/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>
      <c r="A218" s="14"/>
      <c r="B218" s="14"/>
      <c r="C218" s="39"/>
      <c r="D218" s="39"/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>
      <c r="A219" s="14"/>
      <c r="B219" s="14"/>
      <c r="C219" s="39"/>
      <c r="D219" s="39"/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>
      <c r="A220" s="14"/>
      <c r="B220" s="14"/>
      <c r="C220" s="39"/>
      <c r="D220" s="39"/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>
      <c r="R221" s="30"/>
      <c r="S221" s="40"/>
    </row>
    <row r="222" spans="1:33" ht="15.75" customHeight="1">
      <c r="R222" s="30"/>
      <c r="S222" s="40"/>
    </row>
    <row r="223" spans="1:33" ht="15.75" customHeight="1">
      <c r="R223" s="30"/>
      <c r="S223" s="40"/>
    </row>
    <row r="224" spans="1:33" ht="15.75" customHeight="1">
      <c r="R224" s="30"/>
      <c r="S224" s="40"/>
    </row>
    <row r="225" spans="18:18" ht="15.75" customHeight="1">
      <c r="R225" s="30"/>
    </row>
    <row r="226" spans="18:18" ht="15.75" customHeight="1">
      <c r="R226" s="30"/>
    </row>
    <row r="227" spans="18:18" ht="15.75" customHeight="1">
      <c r="R227" s="30"/>
    </row>
    <row r="228" spans="18:18" ht="15.75" customHeight="1">
      <c r="R228" s="30"/>
    </row>
    <row r="229" spans="18:18" ht="15.75" customHeight="1">
      <c r="R229" s="30"/>
    </row>
    <row r="230" spans="18:18" ht="15.75" customHeight="1">
      <c r="R230" s="30"/>
    </row>
    <row r="231" spans="18:18" ht="15.75" customHeight="1">
      <c r="R231" s="30"/>
    </row>
    <row r="232" spans="18:18" ht="15.75" customHeight="1">
      <c r="R232" s="30"/>
    </row>
    <row r="233" spans="18:18" ht="15.75" customHeight="1">
      <c r="R233" s="30"/>
    </row>
    <row r="234" spans="18:18" ht="15.75" customHeight="1">
      <c r="R234" s="30"/>
    </row>
    <row r="235" spans="18:18" ht="15.75" customHeight="1">
      <c r="R235" s="30"/>
    </row>
    <row r="236" spans="18:18" ht="15.75" customHeight="1">
      <c r="R236" s="30"/>
    </row>
    <row r="237" spans="18:18" ht="15.75" customHeight="1">
      <c r="R237" s="30"/>
    </row>
    <row r="238" spans="18:18" ht="15.75" customHeight="1">
      <c r="R238" s="30"/>
    </row>
    <row r="239" spans="18:18" ht="15.75" customHeight="1">
      <c r="R239" s="30"/>
    </row>
    <row r="240" spans="18:18" ht="15.75" customHeight="1">
      <c r="R240" s="30"/>
    </row>
    <row r="241" spans="18:18" ht="15.75" customHeight="1">
      <c r="R241" s="30"/>
    </row>
    <row r="242" spans="18:18" ht="15.75" customHeight="1">
      <c r="R242" s="30"/>
    </row>
    <row r="243" spans="18:18" ht="15.75" customHeight="1">
      <c r="R243" s="30"/>
    </row>
    <row r="244" spans="18:18" ht="15.75" customHeight="1">
      <c r="R244" s="30"/>
    </row>
    <row r="245" spans="18:18" ht="15.75" customHeight="1">
      <c r="R245" s="30"/>
    </row>
    <row r="246" spans="18:18" ht="15.75" customHeight="1">
      <c r="R246" s="30"/>
    </row>
    <row r="247" spans="18:18" ht="15.75" customHeight="1">
      <c r="R247" s="30"/>
    </row>
    <row r="248" spans="18:18" ht="15.75" customHeight="1">
      <c r="R248" s="30"/>
    </row>
    <row r="249" spans="18:18" ht="15.75" customHeight="1">
      <c r="R249" s="30"/>
    </row>
    <row r="250" spans="18:18" ht="15.75" customHeight="1">
      <c r="R250" s="30"/>
    </row>
    <row r="251" spans="18:18" ht="15.75" customHeight="1">
      <c r="R251" s="30"/>
    </row>
    <row r="252" spans="18:18" ht="15.75" customHeight="1">
      <c r="R252" s="30"/>
    </row>
    <row r="253" spans="18:18" ht="15.75" customHeight="1">
      <c r="R253" s="30"/>
    </row>
    <row r="254" spans="18:18" ht="15.75" customHeight="1">
      <c r="R254" s="30"/>
    </row>
    <row r="255" spans="18:18" ht="15.75" customHeight="1">
      <c r="R255" s="30"/>
    </row>
    <row r="256" spans="18:18" ht="15.75" customHeight="1">
      <c r="R256" s="30"/>
    </row>
    <row r="257" spans="18:18" ht="15.75" customHeight="1">
      <c r="R257" s="30"/>
    </row>
    <row r="258" spans="18:18" ht="15.75" customHeight="1">
      <c r="R258" s="30"/>
    </row>
    <row r="259" spans="18:18" ht="15.75" customHeight="1">
      <c r="R259" s="30"/>
    </row>
    <row r="260" spans="18:18" ht="15.75" customHeight="1">
      <c r="R260" s="30"/>
    </row>
    <row r="261" spans="18:18" ht="15.75" customHeight="1">
      <c r="R261" s="30"/>
    </row>
    <row r="262" spans="18:18" ht="15.75" customHeight="1">
      <c r="R262" s="30"/>
    </row>
    <row r="263" spans="18:18" ht="15.75" customHeight="1">
      <c r="R263" s="30"/>
    </row>
    <row r="264" spans="18:18" ht="15.75" customHeight="1">
      <c r="R264" s="30"/>
    </row>
    <row r="265" spans="18:18" ht="15.75" customHeight="1">
      <c r="R265" s="30"/>
    </row>
    <row r="266" spans="18:18" ht="15.75" customHeight="1">
      <c r="R266" s="30"/>
    </row>
    <row r="267" spans="18:18" ht="15.75" customHeight="1">
      <c r="R267" s="30"/>
    </row>
    <row r="268" spans="18:18" ht="15.75" customHeight="1">
      <c r="R268" s="30"/>
    </row>
    <row r="269" spans="18:18" ht="15.75" customHeight="1">
      <c r="R269" s="30"/>
    </row>
    <row r="270" spans="18:18" ht="15.75" customHeight="1">
      <c r="R270" s="30"/>
    </row>
    <row r="271" spans="18:18" ht="15.75" customHeight="1">
      <c r="R271" s="30"/>
    </row>
    <row r="272" spans="18:18" ht="15.75" customHeight="1">
      <c r="R272" s="30"/>
    </row>
    <row r="273" spans="18:18" ht="15.75" customHeight="1">
      <c r="R273" s="30"/>
    </row>
    <row r="274" spans="18:18" ht="15.75" customHeight="1">
      <c r="R274" s="30"/>
    </row>
    <row r="275" spans="18:18" ht="15.75" customHeight="1">
      <c r="R275" s="30"/>
    </row>
    <row r="276" spans="18:18" ht="15.75" customHeight="1">
      <c r="R276" s="30"/>
    </row>
    <row r="277" spans="18:18" ht="15.75" customHeight="1">
      <c r="R277" s="30"/>
    </row>
    <row r="278" spans="18:18" ht="15.75" customHeight="1">
      <c r="R278" s="30"/>
    </row>
    <row r="279" spans="18:18" ht="15.75" customHeight="1">
      <c r="R279" s="30"/>
    </row>
    <row r="280" spans="18:18" ht="15.75" customHeight="1">
      <c r="R280" s="30"/>
    </row>
    <row r="281" spans="18:18" ht="15.75" customHeight="1">
      <c r="R281" s="30"/>
    </row>
    <row r="282" spans="18:18" ht="15.75" customHeight="1">
      <c r="R282" s="30"/>
    </row>
    <row r="283" spans="18:18" ht="15.75" customHeight="1">
      <c r="R283" s="30"/>
    </row>
    <row r="284" spans="18:18" ht="15.75" customHeight="1">
      <c r="R284" s="30"/>
    </row>
    <row r="285" spans="18:18" ht="15.75" customHeight="1">
      <c r="R285" s="30"/>
    </row>
    <row r="286" spans="18:18" ht="15.75" customHeight="1">
      <c r="R286" s="30"/>
    </row>
    <row r="287" spans="18:18" ht="15.75" customHeight="1">
      <c r="R287" s="30"/>
    </row>
    <row r="288" spans="18:18" ht="15.75" customHeight="1">
      <c r="R288" s="30"/>
    </row>
    <row r="289" spans="18:18" ht="15.75" customHeight="1">
      <c r="R289" s="30"/>
    </row>
    <row r="290" spans="18:18" ht="15.75" customHeight="1">
      <c r="R290" s="30"/>
    </row>
    <row r="291" spans="18:18" ht="15.75" customHeight="1">
      <c r="R291" s="30"/>
    </row>
    <row r="292" spans="18:18" ht="15.75" customHeight="1">
      <c r="R292" s="30"/>
    </row>
    <row r="293" spans="18:18" ht="15.75" customHeight="1">
      <c r="R293" s="30"/>
    </row>
    <row r="294" spans="18:18" ht="15.75" customHeight="1">
      <c r="R294" s="30"/>
    </row>
    <row r="295" spans="18:18" ht="15.75" customHeight="1">
      <c r="R295" s="30"/>
    </row>
    <row r="296" spans="18:18" ht="15.75" customHeight="1">
      <c r="R296" s="30"/>
    </row>
    <row r="297" spans="18:18" ht="15.75" customHeight="1">
      <c r="R297" s="30"/>
    </row>
    <row r="298" spans="18:18" ht="15.75" customHeight="1">
      <c r="R298" s="30"/>
    </row>
    <row r="299" spans="18:18" ht="15.75" customHeight="1">
      <c r="R299" s="30"/>
    </row>
    <row r="300" spans="18:18" ht="15.75" customHeight="1">
      <c r="R300" s="30"/>
    </row>
    <row r="301" spans="18:18" ht="15.75" customHeight="1">
      <c r="R301" s="30"/>
    </row>
    <row r="302" spans="18:18" ht="15.75" customHeight="1">
      <c r="R302" s="30"/>
    </row>
    <row r="303" spans="18:18" ht="15.75" customHeight="1">
      <c r="R303" s="30"/>
    </row>
    <row r="304" spans="18:18" ht="15.75" customHeight="1">
      <c r="R304" s="30"/>
    </row>
    <row r="305" spans="18:18" ht="15.75" customHeight="1">
      <c r="R305" s="30"/>
    </row>
    <row r="306" spans="18:18" ht="15.75" customHeight="1">
      <c r="R306" s="30"/>
    </row>
    <row r="307" spans="18:18" ht="15.75" customHeight="1">
      <c r="R307" s="30"/>
    </row>
    <row r="308" spans="18:18" ht="15.75" customHeight="1">
      <c r="R308" s="30"/>
    </row>
    <row r="309" spans="18:18" ht="15.75" customHeight="1">
      <c r="R309" s="30"/>
    </row>
    <row r="310" spans="18:18" ht="15.75" customHeight="1">
      <c r="R310" s="30"/>
    </row>
    <row r="311" spans="18:18" ht="15.75" customHeight="1">
      <c r="R311" s="30"/>
    </row>
    <row r="312" spans="18:18" ht="15.75" customHeight="1">
      <c r="R312" s="30"/>
    </row>
    <row r="313" spans="18:18" ht="15.75" customHeight="1">
      <c r="R313" s="30"/>
    </row>
    <row r="314" spans="18:18" ht="15.75" customHeight="1">
      <c r="R314" s="30"/>
    </row>
    <row r="315" spans="18:18" ht="15.75" customHeight="1">
      <c r="R315" s="30"/>
    </row>
    <row r="316" spans="18:18" ht="15.75" customHeight="1">
      <c r="R316" s="30"/>
    </row>
    <row r="317" spans="18:18" ht="15.75" customHeight="1">
      <c r="R317" s="30"/>
    </row>
    <row r="318" spans="18:18" ht="15.75" customHeight="1">
      <c r="R318" s="30"/>
    </row>
    <row r="319" spans="18:18" ht="15.75" customHeight="1">
      <c r="R319" s="30"/>
    </row>
    <row r="320" spans="18:18" ht="15.75" customHeight="1">
      <c r="R320" s="30"/>
    </row>
    <row r="321" spans="18:18" ht="15.75" customHeight="1">
      <c r="R321" s="30"/>
    </row>
    <row r="322" spans="18:18" ht="15.75" customHeight="1">
      <c r="R322" s="30"/>
    </row>
    <row r="323" spans="18:18" ht="15.75" customHeight="1">
      <c r="R323" s="30"/>
    </row>
    <row r="324" spans="18:18" ht="15.75" customHeight="1">
      <c r="R324" s="30"/>
    </row>
    <row r="325" spans="18:18" ht="15.75" customHeight="1">
      <c r="R325" s="30"/>
    </row>
    <row r="326" spans="18:18" ht="15.75" customHeight="1">
      <c r="R326" s="30"/>
    </row>
    <row r="327" spans="18:18" ht="15.75" customHeight="1">
      <c r="R327" s="30"/>
    </row>
    <row r="328" spans="18:18" ht="15.75" customHeight="1">
      <c r="R328" s="30"/>
    </row>
    <row r="329" spans="18:18" ht="15.75" customHeight="1">
      <c r="R329" s="30"/>
    </row>
    <row r="330" spans="18:18" ht="15.75" customHeight="1">
      <c r="R330" s="30"/>
    </row>
    <row r="331" spans="18:18" ht="15.75" customHeight="1">
      <c r="R331" s="30"/>
    </row>
    <row r="332" spans="18:18" ht="15.75" customHeight="1">
      <c r="R332" s="30"/>
    </row>
    <row r="333" spans="18:18" ht="15.75" customHeight="1">
      <c r="R333" s="30"/>
    </row>
    <row r="334" spans="18:18" ht="15.75" customHeight="1">
      <c r="R334" s="30"/>
    </row>
    <row r="335" spans="18:18" ht="15.75" customHeight="1">
      <c r="R335" s="30"/>
    </row>
    <row r="336" spans="18:18" ht="15.75" customHeight="1">
      <c r="R336" s="30"/>
    </row>
    <row r="337" spans="18:18" ht="15.75" customHeight="1">
      <c r="R337" s="30"/>
    </row>
    <row r="338" spans="18:18" ht="15.75" customHeight="1">
      <c r="R338" s="30"/>
    </row>
    <row r="339" spans="18:18" ht="15.75" customHeight="1">
      <c r="R339" s="30"/>
    </row>
    <row r="340" spans="18:18" ht="15.75" customHeight="1">
      <c r="R340" s="30"/>
    </row>
    <row r="341" spans="18:18" ht="15.75" customHeight="1">
      <c r="R341" s="30"/>
    </row>
    <row r="342" spans="18:18" ht="15.75" customHeight="1">
      <c r="R342" s="30"/>
    </row>
    <row r="343" spans="18:18" ht="15.75" customHeight="1">
      <c r="R343" s="30"/>
    </row>
    <row r="344" spans="18:18" ht="15.75" customHeight="1">
      <c r="R344" s="30"/>
    </row>
    <row r="345" spans="18:18" ht="15.75" customHeight="1">
      <c r="R345" s="30"/>
    </row>
    <row r="346" spans="18:18" ht="15.75" customHeight="1">
      <c r="R346" s="30"/>
    </row>
    <row r="347" spans="18:18" ht="15.75" customHeight="1">
      <c r="R347" s="30"/>
    </row>
    <row r="348" spans="18:18" ht="15.75" customHeight="1">
      <c r="R348" s="30"/>
    </row>
    <row r="349" spans="18:18" ht="15.75" customHeight="1">
      <c r="R349" s="30"/>
    </row>
    <row r="350" spans="18:18" ht="15.75" customHeight="1">
      <c r="R350" s="30"/>
    </row>
    <row r="351" spans="18:18" ht="15.75" customHeight="1">
      <c r="R351" s="30"/>
    </row>
    <row r="352" spans="18:18" ht="15.75" customHeight="1">
      <c r="R352" s="30"/>
    </row>
    <row r="353" spans="18:18" ht="15.75" customHeight="1">
      <c r="R353" s="30"/>
    </row>
    <row r="354" spans="18:18" ht="15.75" customHeight="1">
      <c r="R354" s="30"/>
    </row>
    <row r="355" spans="18:18" ht="15.75" customHeight="1">
      <c r="R355" s="30"/>
    </row>
    <row r="356" spans="18:18" ht="15.75" customHeight="1">
      <c r="R356" s="30"/>
    </row>
    <row r="357" spans="18:18" ht="15.75" customHeight="1">
      <c r="R357" s="30"/>
    </row>
    <row r="358" spans="18:18" ht="15.75" customHeight="1">
      <c r="R358" s="30"/>
    </row>
    <row r="359" spans="18:18" ht="15.75" customHeight="1">
      <c r="R359" s="30"/>
    </row>
    <row r="360" spans="18:18" ht="15.75" customHeight="1">
      <c r="R360" s="30"/>
    </row>
    <row r="361" spans="18:18" ht="15.75" customHeight="1">
      <c r="R361" s="30"/>
    </row>
    <row r="362" spans="18:18" ht="15.75" customHeight="1">
      <c r="R362" s="30"/>
    </row>
    <row r="363" spans="18:18" ht="15.75" customHeight="1">
      <c r="R363" s="30"/>
    </row>
    <row r="364" spans="18:18" ht="15.75" customHeight="1">
      <c r="R364" s="30"/>
    </row>
    <row r="365" spans="18:18" ht="15.75" customHeight="1">
      <c r="R365" s="30"/>
    </row>
    <row r="366" spans="18:18" ht="15.75" customHeight="1">
      <c r="R366" s="30"/>
    </row>
    <row r="367" spans="18:18" ht="15.75" customHeight="1">
      <c r="R367" s="30"/>
    </row>
    <row r="368" spans="18:18" ht="15.75" customHeight="1">
      <c r="R368" s="30"/>
    </row>
    <row r="369" spans="18:18" ht="15.75" customHeight="1">
      <c r="R369" s="30"/>
    </row>
    <row r="370" spans="18:18" ht="15.75" customHeight="1">
      <c r="R370" s="30"/>
    </row>
    <row r="371" spans="18:18" ht="15.75" customHeight="1">
      <c r="R371" s="30"/>
    </row>
    <row r="372" spans="18:18" ht="15.75" customHeight="1">
      <c r="R372" s="30"/>
    </row>
    <row r="373" spans="18:18" ht="15.75" customHeight="1">
      <c r="R373" s="30"/>
    </row>
    <row r="374" spans="18:18" ht="15.75" customHeight="1">
      <c r="R374" s="30"/>
    </row>
    <row r="375" spans="18:18" ht="15.75" customHeight="1">
      <c r="R375" s="30"/>
    </row>
    <row r="376" spans="18:18" ht="15.75" customHeight="1">
      <c r="R376" s="30"/>
    </row>
    <row r="377" spans="18:18" ht="15.75" customHeight="1">
      <c r="R377" s="30"/>
    </row>
    <row r="378" spans="18:18" ht="15.75" customHeight="1">
      <c r="R378" s="30"/>
    </row>
    <row r="379" spans="18:18" ht="15.75" customHeight="1">
      <c r="R379" s="30"/>
    </row>
    <row r="380" spans="18:18" ht="15.75" customHeight="1">
      <c r="R380" s="30"/>
    </row>
    <row r="381" spans="18:18" ht="15.75" customHeight="1">
      <c r="R381" s="30"/>
    </row>
    <row r="382" spans="18:18" ht="15.75" customHeight="1">
      <c r="R382" s="30"/>
    </row>
    <row r="383" spans="18:18" ht="15.75" customHeight="1">
      <c r="R383" s="30"/>
    </row>
    <row r="384" spans="18:18" ht="15.75" customHeight="1">
      <c r="R384" s="30"/>
    </row>
    <row r="385" spans="18:18" ht="15.75" customHeight="1">
      <c r="R385" s="30"/>
    </row>
    <row r="386" spans="18:18" ht="15.75" customHeight="1">
      <c r="R386" s="30"/>
    </row>
    <row r="387" spans="18:18" ht="15.75" customHeight="1">
      <c r="R387" s="30"/>
    </row>
    <row r="388" spans="18:18" ht="15.75" customHeight="1">
      <c r="R388" s="30"/>
    </row>
    <row r="389" spans="18:18" ht="15.75" customHeight="1">
      <c r="R389" s="30"/>
    </row>
    <row r="390" spans="18:18" ht="15.75" customHeight="1">
      <c r="R390" s="30"/>
    </row>
    <row r="391" spans="18:18" ht="15.75" customHeight="1">
      <c r="R391" s="30"/>
    </row>
    <row r="392" spans="18:18" ht="15.75" customHeight="1">
      <c r="R392" s="30"/>
    </row>
    <row r="393" spans="18:18" ht="15.75" customHeight="1">
      <c r="R393" s="30"/>
    </row>
    <row r="394" spans="18:18" ht="15.75" customHeight="1">
      <c r="R394" s="30"/>
    </row>
    <row r="395" spans="18:18" ht="15.75" customHeight="1">
      <c r="R395" s="30"/>
    </row>
    <row r="396" spans="18:18" ht="15.75" customHeight="1">
      <c r="R396" s="30"/>
    </row>
    <row r="397" spans="18:18" ht="15.75" customHeight="1">
      <c r="R397" s="30"/>
    </row>
    <row r="398" spans="18:18" ht="15.75" customHeight="1">
      <c r="R398" s="30"/>
    </row>
    <row r="399" spans="18:18" ht="15.75" customHeight="1">
      <c r="R399" s="30"/>
    </row>
    <row r="400" spans="18:18" ht="15.75" customHeight="1">
      <c r="R400" s="30"/>
    </row>
    <row r="401" spans="18:18" ht="15.75" customHeight="1">
      <c r="R401" s="30"/>
    </row>
    <row r="402" spans="18:18" ht="15.75" customHeight="1">
      <c r="R402" s="30"/>
    </row>
    <row r="403" spans="18:18" ht="15.75" customHeight="1">
      <c r="R403" s="30"/>
    </row>
    <row r="404" spans="18:18" ht="15.75" customHeight="1">
      <c r="R404" s="30"/>
    </row>
    <row r="405" spans="18:18" ht="15.75" customHeight="1">
      <c r="R405" s="30"/>
    </row>
    <row r="406" spans="18:18" ht="15.75" customHeight="1">
      <c r="R406" s="30"/>
    </row>
    <row r="407" spans="18:18" ht="15.75" customHeight="1">
      <c r="R407" s="30"/>
    </row>
    <row r="408" spans="18:18" ht="15.75" customHeight="1">
      <c r="R408" s="30"/>
    </row>
    <row r="409" spans="18:18" ht="15.75" customHeight="1">
      <c r="R409" s="30"/>
    </row>
    <row r="410" spans="18:18" ht="15.75" customHeight="1">
      <c r="R410" s="30"/>
    </row>
    <row r="411" spans="18:18" ht="15.75" customHeight="1">
      <c r="R411" s="30"/>
    </row>
    <row r="412" spans="18:18" ht="15.75" customHeight="1">
      <c r="R412" s="30"/>
    </row>
    <row r="413" spans="18:18" ht="15.75" customHeight="1">
      <c r="R413" s="30"/>
    </row>
    <row r="414" spans="18:18" ht="15.75" customHeight="1">
      <c r="R414" s="30"/>
    </row>
    <row r="415" spans="18:18" ht="15.75" customHeight="1">
      <c r="R415" s="30"/>
    </row>
    <row r="416" spans="18:18" ht="15.75" customHeight="1">
      <c r="R416" s="30"/>
    </row>
    <row r="417" spans="18:18" ht="15.75" customHeight="1">
      <c r="R417" s="30"/>
    </row>
    <row r="418" spans="18:18" ht="15.75" customHeight="1">
      <c r="R418" s="30"/>
    </row>
    <row r="419" spans="18:18" ht="15.75" customHeight="1">
      <c r="R419" s="30"/>
    </row>
    <row r="420" spans="18:18" ht="15.75" customHeight="1">
      <c r="R420" s="30"/>
    </row>
    <row r="421" spans="18:18" ht="15.75" customHeight="1">
      <c r="R421" s="30"/>
    </row>
    <row r="422" spans="18:18" ht="15.75" customHeight="1">
      <c r="R422" s="30"/>
    </row>
    <row r="423" spans="18:18" ht="15.75" customHeight="1">
      <c r="R423" s="30"/>
    </row>
    <row r="424" spans="18:18" ht="15.75" customHeight="1">
      <c r="R424" s="30"/>
    </row>
    <row r="425" spans="18:18" ht="15.75" customHeight="1">
      <c r="R425" s="30"/>
    </row>
    <row r="426" spans="18:18" ht="15.75" customHeight="1">
      <c r="R426" s="30"/>
    </row>
    <row r="427" spans="18:18" ht="15.75" customHeight="1">
      <c r="R427" s="30"/>
    </row>
    <row r="428" spans="18:18" ht="15.75" customHeight="1">
      <c r="R428" s="30"/>
    </row>
    <row r="429" spans="18:18" ht="15.75" customHeight="1">
      <c r="R429" s="30"/>
    </row>
    <row r="430" spans="18:18" ht="15.75" customHeight="1">
      <c r="R430" s="30"/>
    </row>
    <row r="431" spans="18:18" ht="15.75" customHeight="1">
      <c r="R431" s="30"/>
    </row>
    <row r="432" spans="18:18" ht="15.75" customHeight="1">
      <c r="R432" s="30"/>
    </row>
    <row r="433" spans="18:18" ht="15.75" customHeight="1">
      <c r="R433" s="30"/>
    </row>
    <row r="434" spans="18:18" ht="15.75" customHeight="1">
      <c r="R434" s="30"/>
    </row>
    <row r="435" spans="18:18" ht="15.75" customHeight="1">
      <c r="R435" s="30"/>
    </row>
    <row r="436" spans="18:18" ht="15.75" customHeight="1">
      <c r="R436" s="30"/>
    </row>
    <row r="437" spans="18:18" ht="15.75" customHeight="1">
      <c r="R437" s="30"/>
    </row>
    <row r="438" spans="18:18" ht="15.75" customHeight="1">
      <c r="R438" s="30"/>
    </row>
    <row r="439" spans="18:18" ht="15.75" customHeight="1">
      <c r="R439" s="30"/>
    </row>
    <row r="440" spans="18:18" ht="15.75" customHeight="1">
      <c r="R440" s="30"/>
    </row>
    <row r="441" spans="18:18" ht="15.75" customHeight="1">
      <c r="R441" s="30"/>
    </row>
    <row r="442" spans="18:18" ht="15.75" customHeight="1">
      <c r="R442" s="30"/>
    </row>
    <row r="443" spans="18:18" ht="15.75" customHeight="1">
      <c r="R443" s="30"/>
    </row>
    <row r="444" spans="18:18" ht="15.75" customHeight="1">
      <c r="R444" s="30"/>
    </row>
    <row r="445" spans="18:18" ht="15.75" customHeight="1">
      <c r="R445" s="30"/>
    </row>
    <row r="446" spans="18:18" ht="15.75" customHeight="1">
      <c r="R446" s="30"/>
    </row>
    <row r="447" spans="18:18" ht="15.75" customHeight="1">
      <c r="R447" s="30"/>
    </row>
    <row r="448" spans="18:18" ht="15.75" customHeight="1">
      <c r="R448" s="30"/>
    </row>
    <row r="449" spans="18:18" ht="15.75" customHeight="1">
      <c r="R449" s="30"/>
    </row>
    <row r="450" spans="18:18" ht="15.75" customHeight="1">
      <c r="R450" s="30"/>
    </row>
    <row r="451" spans="18:18" ht="15.75" customHeight="1">
      <c r="R451" s="30"/>
    </row>
    <row r="452" spans="18:18" ht="15.75" customHeight="1">
      <c r="R452" s="30"/>
    </row>
    <row r="453" spans="18:18" ht="15.75" customHeight="1">
      <c r="R453" s="30"/>
    </row>
    <row r="454" spans="18:18" ht="15.75" customHeight="1">
      <c r="R454" s="30"/>
    </row>
    <row r="455" spans="18:18" ht="15.75" customHeight="1">
      <c r="R455" s="30"/>
    </row>
    <row r="456" spans="18:18" ht="15.75" customHeight="1">
      <c r="R456" s="30"/>
    </row>
    <row r="457" spans="18:18" ht="15.75" customHeight="1">
      <c r="R457" s="30"/>
    </row>
    <row r="458" spans="18:18" ht="15.75" customHeight="1">
      <c r="R458" s="30"/>
    </row>
    <row r="459" spans="18:18" ht="15.75" customHeight="1">
      <c r="R459" s="30"/>
    </row>
    <row r="460" spans="18:18" ht="15.75" customHeight="1">
      <c r="R460" s="30"/>
    </row>
    <row r="461" spans="18:18" ht="15.75" customHeight="1">
      <c r="R461" s="30"/>
    </row>
    <row r="462" spans="18:18" ht="15.75" customHeight="1">
      <c r="R462" s="30"/>
    </row>
    <row r="463" spans="18:18" ht="15.75" customHeight="1">
      <c r="R463" s="30"/>
    </row>
    <row r="464" spans="18:18" ht="15.75" customHeight="1">
      <c r="R464" s="30"/>
    </row>
    <row r="465" spans="18:18" ht="15.75" customHeight="1">
      <c r="R465" s="30"/>
    </row>
    <row r="466" spans="18:18" ht="15.75" customHeight="1">
      <c r="R466" s="30"/>
    </row>
    <row r="467" spans="18:18" ht="15.75" customHeight="1">
      <c r="R467" s="30"/>
    </row>
    <row r="468" spans="18:18" ht="15.75" customHeight="1">
      <c r="R468" s="30"/>
    </row>
    <row r="469" spans="18:18" ht="15.75" customHeight="1">
      <c r="R469" s="30"/>
    </row>
    <row r="470" spans="18:18" ht="15.75" customHeight="1">
      <c r="R470" s="30"/>
    </row>
    <row r="471" spans="18:18" ht="15.75" customHeight="1">
      <c r="R471" s="30"/>
    </row>
    <row r="472" spans="18:18" ht="15.75" customHeight="1">
      <c r="R472" s="30"/>
    </row>
    <row r="473" spans="18:18" ht="15.75" customHeight="1">
      <c r="R473" s="30"/>
    </row>
    <row r="474" spans="18:18" ht="15.75" customHeight="1">
      <c r="R474" s="30"/>
    </row>
    <row r="475" spans="18:18" ht="15.75" customHeight="1">
      <c r="R475" s="30"/>
    </row>
    <row r="476" spans="18:18" ht="15.75" customHeight="1">
      <c r="R476" s="30"/>
    </row>
    <row r="477" spans="18:18" ht="15.75" customHeight="1">
      <c r="R477" s="30"/>
    </row>
    <row r="478" spans="18:18" ht="15.75" customHeight="1">
      <c r="R478" s="30"/>
    </row>
    <row r="479" spans="18:18" ht="15.75" customHeight="1">
      <c r="R479" s="30"/>
    </row>
    <row r="480" spans="18:18" ht="15.75" customHeight="1">
      <c r="R480" s="30"/>
    </row>
    <row r="481" spans="18:18" ht="15.75" customHeight="1">
      <c r="R481" s="30"/>
    </row>
    <row r="482" spans="18:18" ht="15.75" customHeight="1">
      <c r="R482" s="30"/>
    </row>
    <row r="483" spans="18:18" ht="15.75" customHeight="1">
      <c r="R483" s="30"/>
    </row>
    <row r="484" spans="18:18" ht="15.75" customHeight="1">
      <c r="R484" s="30"/>
    </row>
    <row r="485" spans="18:18" ht="15.75" customHeight="1">
      <c r="R485" s="30"/>
    </row>
    <row r="486" spans="18:18" ht="15.75" customHeight="1">
      <c r="R486" s="30"/>
    </row>
    <row r="487" spans="18:18" ht="15.75" customHeight="1">
      <c r="R487" s="30"/>
    </row>
    <row r="488" spans="18:18" ht="15.75" customHeight="1">
      <c r="R488" s="30"/>
    </row>
    <row r="489" spans="18:18" ht="15.75" customHeight="1">
      <c r="R489" s="30"/>
    </row>
    <row r="490" spans="18:18" ht="15.75" customHeight="1">
      <c r="R490" s="30"/>
    </row>
    <row r="491" spans="18:18" ht="15.75" customHeight="1">
      <c r="R491" s="30"/>
    </row>
    <row r="492" spans="18:18" ht="15.75" customHeight="1">
      <c r="R492" s="30"/>
    </row>
    <row r="493" spans="18:18" ht="15.75" customHeight="1">
      <c r="R493" s="30"/>
    </row>
    <row r="494" spans="18:18" ht="15.75" customHeight="1">
      <c r="R494" s="30"/>
    </row>
    <row r="495" spans="18:18" ht="15.75" customHeight="1">
      <c r="R495" s="30"/>
    </row>
    <row r="496" spans="18:18" ht="15.75" customHeight="1">
      <c r="R496" s="30"/>
    </row>
    <row r="497" spans="18:18" ht="15.75" customHeight="1">
      <c r="R497" s="30"/>
    </row>
    <row r="498" spans="18:18" ht="15.75" customHeight="1">
      <c r="R498" s="30"/>
    </row>
    <row r="499" spans="18:18" ht="15.75" customHeight="1">
      <c r="R499" s="30"/>
    </row>
    <row r="500" spans="18:18" ht="15.75" customHeight="1">
      <c r="R500" s="30"/>
    </row>
    <row r="501" spans="18:18" ht="15.75" customHeight="1">
      <c r="R501" s="30"/>
    </row>
    <row r="502" spans="18:18" ht="15.75" customHeight="1">
      <c r="R502" s="30"/>
    </row>
    <row r="503" spans="18:18" ht="15.75" customHeight="1">
      <c r="R503" s="30"/>
    </row>
    <row r="504" spans="18:18" ht="15.75" customHeight="1">
      <c r="R504" s="30"/>
    </row>
    <row r="505" spans="18:18" ht="15.75" customHeight="1">
      <c r="R505" s="30"/>
    </row>
    <row r="506" spans="18:18" ht="15.75" customHeight="1">
      <c r="R506" s="30"/>
    </row>
    <row r="507" spans="18:18" ht="15.75" customHeight="1">
      <c r="R507" s="30"/>
    </row>
    <row r="508" spans="18:18" ht="15.75" customHeight="1">
      <c r="R508" s="30"/>
    </row>
    <row r="509" spans="18:18" ht="15.75" customHeight="1">
      <c r="R509" s="30"/>
    </row>
    <row r="510" spans="18:18" ht="15.75" customHeight="1">
      <c r="R510" s="30"/>
    </row>
    <row r="511" spans="18:18" ht="15.75" customHeight="1">
      <c r="R511" s="30"/>
    </row>
    <row r="512" spans="18:18" ht="15.75" customHeight="1">
      <c r="R512" s="30"/>
    </row>
    <row r="513" spans="18:18" ht="15.75" customHeight="1">
      <c r="R513" s="30"/>
    </row>
    <row r="514" spans="18:18" ht="15.75" customHeight="1">
      <c r="R514" s="30"/>
    </row>
    <row r="515" spans="18:18" ht="15.75" customHeight="1">
      <c r="R515" s="30"/>
    </row>
    <row r="516" spans="18:18" ht="15.75" customHeight="1">
      <c r="R516" s="30"/>
    </row>
    <row r="517" spans="18:18" ht="15.75" customHeight="1">
      <c r="R517" s="30"/>
    </row>
    <row r="518" spans="18:18" ht="15.75" customHeight="1">
      <c r="R518" s="30"/>
    </row>
    <row r="519" spans="18:18" ht="15.75" customHeight="1">
      <c r="R519" s="30"/>
    </row>
    <row r="520" spans="18:18" ht="15.75" customHeight="1">
      <c r="R520" s="30"/>
    </row>
    <row r="521" spans="18:18" ht="15.75" customHeight="1">
      <c r="R521" s="30"/>
    </row>
    <row r="522" spans="18:18" ht="15.75" customHeight="1">
      <c r="R522" s="30"/>
    </row>
    <row r="523" spans="18:18" ht="15.75" customHeight="1">
      <c r="R523" s="30"/>
    </row>
    <row r="524" spans="18:18" ht="15.75" customHeight="1">
      <c r="R524" s="30"/>
    </row>
    <row r="525" spans="18:18" ht="15.75" customHeight="1">
      <c r="R525" s="30"/>
    </row>
    <row r="526" spans="18:18" ht="15.75" customHeight="1">
      <c r="R526" s="30"/>
    </row>
    <row r="527" spans="18:18" ht="15.75" customHeight="1">
      <c r="R527" s="30"/>
    </row>
    <row r="528" spans="18:18" ht="15.75" customHeight="1">
      <c r="R528" s="30"/>
    </row>
    <row r="529" spans="18:18" ht="15.75" customHeight="1">
      <c r="R529" s="30"/>
    </row>
    <row r="530" spans="18:18" ht="15.75" customHeight="1">
      <c r="R530" s="30"/>
    </row>
    <row r="531" spans="18:18" ht="15.75" customHeight="1">
      <c r="R531" s="30"/>
    </row>
    <row r="532" spans="18:18" ht="15.75" customHeight="1">
      <c r="R532" s="30"/>
    </row>
    <row r="533" spans="18:18" ht="15.75" customHeight="1">
      <c r="R533" s="30"/>
    </row>
    <row r="534" spans="18:18" ht="15.75" customHeight="1">
      <c r="R534" s="30"/>
    </row>
    <row r="535" spans="18:18" ht="15.75" customHeight="1">
      <c r="R535" s="30"/>
    </row>
    <row r="536" spans="18:18" ht="15.75" customHeight="1">
      <c r="R536" s="30"/>
    </row>
    <row r="537" spans="18:18" ht="15.75" customHeight="1">
      <c r="R537" s="30"/>
    </row>
    <row r="538" spans="18:18" ht="15.75" customHeight="1">
      <c r="R538" s="30"/>
    </row>
    <row r="539" spans="18:18" ht="15.75" customHeight="1">
      <c r="R539" s="30"/>
    </row>
    <row r="540" spans="18:18" ht="15.75" customHeight="1">
      <c r="R540" s="30"/>
    </row>
    <row r="541" spans="18:18" ht="15.75" customHeight="1">
      <c r="R541" s="30"/>
    </row>
    <row r="542" spans="18:18" ht="15.75" customHeight="1">
      <c r="R542" s="30"/>
    </row>
    <row r="543" spans="18:18" ht="15.75" customHeight="1">
      <c r="R543" s="30"/>
    </row>
    <row r="544" spans="18:18" ht="15.75" customHeight="1">
      <c r="R544" s="30"/>
    </row>
    <row r="545" spans="18:18" ht="15.75" customHeight="1">
      <c r="R545" s="30"/>
    </row>
    <row r="546" spans="18:18" ht="15.75" customHeight="1">
      <c r="R546" s="30"/>
    </row>
    <row r="547" spans="18:18" ht="15.75" customHeight="1">
      <c r="R547" s="30"/>
    </row>
    <row r="548" spans="18:18" ht="15.75" customHeight="1">
      <c r="R548" s="30"/>
    </row>
    <row r="549" spans="18:18" ht="15.75" customHeight="1">
      <c r="R549" s="30"/>
    </row>
    <row r="550" spans="18:18" ht="15.75" customHeight="1">
      <c r="R550" s="30"/>
    </row>
    <row r="551" spans="18:18" ht="15.75" customHeight="1">
      <c r="R551" s="30"/>
    </row>
    <row r="552" spans="18:18" ht="15.75" customHeight="1">
      <c r="R552" s="30"/>
    </row>
    <row r="553" spans="18:18" ht="15.75" customHeight="1">
      <c r="R553" s="30"/>
    </row>
    <row r="554" spans="18:18" ht="15.75" customHeight="1">
      <c r="R554" s="30"/>
    </row>
    <row r="555" spans="18:18" ht="15.75" customHeight="1">
      <c r="R555" s="30"/>
    </row>
    <row r="556" spans="18:18" ht="15.75" customHeight="1">
      <c r="R556" s="30"/>
    </row>
    <row r="557" spans="18:18" ht="15.75" customHeight="1">
      <c r="R557" s="30"/>
    </row>
    <row r="558" spans="18:18" ht="15.75" customHeight="1">
      <c r="R558" s="30"/>
    </row>
    <row r="559" spans="18:18" ht="15.75" customHeight="1">
      <c r="R559" s="30"/>
    </row>
    <row r="560" spans="18:18" ht="15.75" customHeight="1">
      <c r="R560" s="30"/>
    </row>
    <row r="561" spans="18:18" ht="15.75" customHeight="1">
      <c r="R561" s="30"/>
    </row>
    <row r="562" spans="18:18" ht="15.75" customHeight="1">
      <c r="R562" s="30"/>
    </row>
    <row r="563" spans="18:18" ht="15.75" customHeight="1">
      <c r="R563" s="30"/>
    </row>
    <row r="564" spans="18:18" ht="15.75" customHeight="1">
      <c r="R564" s="30"/>
    </row>
    <row r="565" spans="18:18" ht="15.75" customHeight="1">
      <c r="R565" s="30"/>
    </row>
    <row r="566" spans="18:18" ht="15.75" customHeight="1">
      <c r="R566" s="30"/>
    </row>
    <row r="567" spans="18:18" ht="15.75" customHeight="1">
      <c r="R567" s="30"/>
    </row>
    <row r="568" spans="18:18" ht="15.75" customHeight="1">
      <c r="R568" s="30"/>
    </row>
    <row r="569" spans="18:18" ht="15.75" customHeight="1">
      <c r="R569" s="30"/>
    </row>
    <row r="570" spans="18:18" ht="15.75" customHeight="1">
      <c r="R570" s="30"/>
    </row>
    <row r="571" spans="18:18" ht="15.75" customHeight="1">
      <c r="R571" s="30"/>
    </row>
    <row r="572" spans="18:18" ht="15.75" customHeight="1">
      <c r="R572" s="30"/>
    </row>
    <row r="573" spans="18:18" ht="15.75" customHeight="1">
      <c r="R573" s="30"/>
    </row>
    <row r="574" spans="18:18" ht="15.75" customHeight="1">
      <c r="R574" s="30"/>
    </row>
    <row r="575" spans="18:18" ht="15.75" customHeight="1">
      <c r="R575" s="30"/>
    </row>
    <row r="576" spans="18:18" ht="15.75" customHeight="1">
      <c r="R576" s="30"/>
    </row>
    <row r="577" spans="18:18" ht="15.75" customHeight="1">
      <c r="R577" s="30"/>
    </row>
    <row r="578" spans="18:18" ht="15.75" customHeight="1">
      <c r="R578" s="30"/>
    </row>
    <row r="579" spans="18:18" ht="15.75" customHeight="1">
      <c r="R579" s="30"/>
    </row>
    <row r="580" spans="18:18" ht="15.75" customHeight="1">
      <c r="R580" s="30"/>
    </row>
    <row r="581" spans="18:18" ht="15.75" customHeight="1">
      <c r="R581" s="30"/>
    </row>
    <row r="582" spans="18:18" ht="15.75" customHeight="1">
      <c r="R582" s="30"/>
    </row>
    <row r="583" spans="18:18" ht="15.75" customHeight="1">
      <c r="R583" s="30"/>
    </row>
    <row r="584" spans="18:18" ht="15.75" customHeight="1">
      <c r="R584" s="30"/>
    </row>
    <row r="585" spans="18:18" ht="15.75" customHeight="1">
      <c r="R585" s="30"/>
    </row>
    <row r="586" spans="18:18" ht="15.75" customHeight="1">
      <c r="R586" s="30"/>
    </row>
    <row r="587" spans="18:18" ht="15.75" customHeight="1">
      <c r="R587" s="30"/>
    </row>
    <row r="588" spans="18:18" ht="15.75" customHeight="1">
      <c r="R588" s="30"/>
    </row>
    <row r="589" spans="18:18" ht="15.75" customHeight="1">
      <c r="R589" s="30"/>
    </row>
    <row r="590" spans="18:18" ht="15.75" customHeight="1">
      <c r="R590" s="30"/>
    </row>
    <row r="591" spans="18:18" ht="15.75" customHeight="1">
      <c r="R591" s="30"/>
    </row>
    <row r="592" spans="18:18" ht="15.75" customHeight="1">
      <c r="R592" s="30"/>
    </row>
    <row r="593" spans="18:18" ht="15.75" customHeight="1">
      <c r="R593" s="30"/>
    </row>
    <row r="594" spans="18:18" ht="15.75" customHeight="1">
      <c r="R594" s="30"/>
    </row>
    <row r="595" spans="18:18" ht="15.75" customHeight="1">
      <c r="R595" s="30"/>
    </row>
    <row r="596" spans="18:18" ht="15.75" customHeight="1">
      <c r="R596" s="30"/>
    </row>
    <row r="597" spans="18:18" ht="15.75" customHeight="1">
      <c r="R597" s="30"/>
    </row>
    <row r="598" spans="18:18" ht="15.75" customHeight="1">
      <c r="R598" s="30"/>
    </row>
    <row r="599" spans="18:18" ht="15.75" customHeight="1">
      <c r="R599" s="30"/>
    </row>
    <row r="600" spans="18:18" ht="15.75" customHeight="1">
      <c r="R600" s="30"/>
    </row>
    <row r="601" spans="18:18" ht="15.75" customHeight="1">
      <c r="R601" s="30"/>
    </row>
    <row r="602" spans="18:18" ht="15.75" customHeight="1">
      <c r="R602" s="30"/>
    </row>
    <row r="603" spans="18:18" ht="15.75" customHeight="1">
      <c r="R603" s="30"/>
    </row>
    <row r="604" spans="18:18" ht="15.75" customHeight="1">
      <c r="R604" s="30"/>
    </row>
    <row r="605" spans="18:18" ht="15.75" customHeight="1">
      <c r="R605" s="30"/>
    </row>
    <row r="606" spans="18:18" ht="15.75" customHeight="1">
      <c r="R606" s="30"/>
    </row>
    <row r="607" spans="18:18" ht="15.75" customHeight="1">
      <c r="R607" s="30"/>
    </row>
    <row r="608" spans="18:18" ht="15.75" customHeight="1">
      <c r="R608" s="30"/>
    </row>
    <row r="609" spans="18:18" ht="15.75" customHeight="1">
      <c r="R609" s="30"/>
    </row>
    <row r="610" spans="18:18" ht="15.75" customHeight="1">
      <c r="R610" s="30"/>
    </row>
    <row r="611" spans="18:18" ht="15.75" customHeight="1">
      <c r="R611" s="30"/>
    </row>
    <row r="612" spans="18:18" ht="15.75" customHeight="1">
      <c r="R612" s="30"/>
    </row>
    <row r="613" spans="18:18" ht="15.75" customHeight="1">
      <c r="R613" s="30"/>
    </row>
    <row r="614" spans="18:18" ht="15.75" customHeight="1">
      <c r="R614" s="30"/>
    </row>
    <row r="615" spans="18:18" ht="15.75" customHeight="1">
      <c r="R615" s="30"/>
    </row>
    <row r="616" spans="18:18" ht="15.75" customHeight="1">
      <c r="R616" s="30"/>
    </row>
    <row r="617" spans="18:18" ht="15.75" customHeight="1">
      <c r="R617" s="30"/>
    </row>
    <row r="618" spans="18:18" ht="15.75" customHeight="1">
      <c r="R618" s="30"/>
    </row>
    <row r="619" spans="18:18" ht="15.75" customHeight="1">
      <c r="R619" s="30"/>
    </row>
    <row r="620" spans="18:18" ht="15.75" customHeight="1">
      <c r="R620" s="30"/>
    </row>
    <row r="621" spans="18:18" ht="15.75" customHeight="1">
      <c r="R621" s="30"/>
    </row>
    <row r="622" spans="18:18" ht="15.75" customHeight="1">
      <c r="R622" s="30"/>
    </row>
    <row r="623" spans="18:18" ht="15.75" customHeight="1">
      <c r="R623" s="30"/>
    </row>
    <row r="624" spans="18:18" ht="15.75" customHeight="1">
      <c r="R624" s="30"/>
    </row>
    <row r="625" spans="18:18" ht="15.75" customHeight="1">
      <c r="R625" s="30"/>
    </row>
    <row r="626" spans="18:18" ht="15.75" customHeight="1">
      <c r="R626" s="30"/>
    </row>
    <row r="627" spans="18:18" ht="15.75" customHeight="1">
      <c r="R627" s="30"/>
    </row>
    <row r="628" spans="18:18" ht="15.75" customHeight="1">
      <c r="R628" s="30"/>
    </row>
    <row r="629" spans="18:18" ht="15.75" customHeight="1">
      <c r="R629" s="30"/>
    </row>
    <row r="630" spans="18:18" ht="15.75" customHeight="1">
      <c r="R630" s="30"/>
    </row>
    <row r="631" spans="18:18" ht="15.75" customHeight="1">
      <c r="R631" s="30"/>
    </row>
    <row r="632" spans="18:18" ht="15.75" customHeight="1">
      <c r="R632" s="30"/>
    </row>
    <row r="633" spans="18:18" ht="15.75" customHeight="1">
      <c r="R633" s="30"/>
    </row>
    <row r="634" spans="18:18" ht="15.75" customHeight="1">
      <c r="R634" s="30"/>
    </row>
    <row r="635" spans="18:18" ht="15.75" customHeight="1">
      <c r="R635" s="30"/>
    </row>
    <row r="636" spans="18:18" ht="15.75" customHeight="1">
      <c r="R636" s="30"/>
    </row>
    <row r="637" spans="18:18" ht="15.75" customHeight="1">
      <c r="R637" s="30"/>
    </row>
    <row r="638" spans="18:18" ht="15.75" customHeight="1">
      <c r="R638" s="30"/>
    </row>
    <row r="639" spans="18:18" ht="15.75" customHeight="1">
      <c r="R639" s="30"/>
    </row>
    <row r="640" spans="18:18" ht="15.75" customHeight="1">
      <c r="R640" s="30"/>
    </row>
    <row r="641" spans="18:18" ht="15.75" customHeight="1">
      <c r="R641" s="30"/>
    </row>
    <row r="642" spans="18:18" ht="15.75" customHeight="1">
      <c r="R642" s="30"/>
    </row>
    <row r="643" spans="18:18" ht="15.75" customHeight="1">
      <c r="R643" s="30"/>
    </row>
    <row r="644" spans="18:18" ht="15.75" customHeight="1">
      <c r="R644" s="30"/>
    </row>
    <row r="645" spans="18:18" ht="15.75" customHeight="1">
      <c r="R645" s="30"/>
    </row>
    <row r="646" spans="18:18" ht="15.75" customHeight="1">
      <c r="R646" s="30"/>
    </row>
    <row r="647" spans="18:18" ht="15.75" customHeight="1">
      <c r="R647" s="30"/>
    </row>
    <row r="648" spans="18:18" ht="15.75" customHeight="1">
      <c r="R648" s="30"/>
    </row>
    <row r="649" spans="18:18" ht="15.75" customHeight="1">
      <c r="R649" s="30"/>
    </row>
    <row r="650" spans="18:18" ht="15.75" customHeight="1">
      <c r="R650" s="30"/>
    </row>
    <row r="651" spans="18:18" ht="15.75" customHeight="1">
      <c r="R651" s="30"/>
    </row>
    <row r="652" spans="18:18" ht="15.75" customHeight="1">
      <c r="R652" s="30"/>
    </row>
    <row r="653" spans="18:18" ht="15.75" customHeight="1">
      <c r="R653" s="30"/>
    </row>
    <row r="654" spans="18:18" ht="15.75" customHeight="1">
      <c r="R654" s="30"/>
    </row>
    <row r="655" spans="18:18" ht="15.75" customHeight="1">
      <c r="R655" s="30"/>
    </row>
    <row r="656" spans="18:18" ht="15.75" customHeight="1">
      <c r="R656" s="30"/>
    </row>
    <row r="657" spans="18:18" ht="15.75" customHeight="1">
      <c r="R657" s="30"/>
    </row>
    <row r="658" spans="18:18" ht="15.75" customHeight="1">
      <c r="R658" s="30"/>
    </row>
    <row r="659" spans="18:18" ht="15.75" customHeight="1">
      <c r="R659" s="30"/>
    </row>
    <row r="660" spans="18:18" ht="15.75" customHeight="1">
      <c r="R660" s="30"/>
    </row>
    <row r="661" spans="18:18" ht="15.75" customHeight="1">
      <c r="R661" s="30"/>
    </row>
    <row r="662" spans="18:18" ht="15.75" customHeight="1">
      <c r="R662" s="30"/>
    </row>
    <row r="663" spans="18:18" ht="15.75" customHeight="1">
      <c r="R663" s="30"/>
    </row>
    <row r="664" spans="18:18" ht="15.75" customHeight="1">
      <c r="R664" s="30"/>
    </row>
    <row r="665" spans="18:18" ht="15.75" customHeight="1">
      <c r="R665" s="30"/>
    </row>
    <row r="666" spans="18:18" ht="15.75" customHeight="1">
      <c r="R666" s="30"/>
    </row>
    <row r="667" spans="18:18" ht="15.75" customHeight="1">
      <c r="R667" s="30"/>
    </row>
    <row r="668" spans="18:18" ht="15.75" customHeight="1">
      <c r="R668" s="30"/>
    </row>
    <row r="669" spans="18:18" ht="15.75" customHeight="1">
      <c r="R669" s="30"/>
    </row>
    <row r="670" spans="18:18" ht="15.75" customHeight="1">
      <c r="R670" s="30"/>
    </row>
    <row r="671" spans="18:18" ht="15.75" customHeight="1">
      <c r="R671" s="30"/>
    </row>
    <row r="672" spans="18:18" ht="15.75" customHeight="1">
      <c r="R672" s="30"/>
    </row>
    <row r="673" spans="18:18" ht="15.75" customHeight="1">
      <c r="R673" s="30"/>
    </row>
    <row r="674" spans="18:18" ht="15.75" customHeight="1">
      <c r="R674" s="30"/>
    </row>
    <row r="675" spans="18:18" ht="15.75" customHeight="1">
      <c r="R675" s="30"/>
    </row>
    <row r="676" spans="18:18" ht="15.75" customHeight="1">
      <c r="R676" s="30"/>
    </row>
    <row r="677" spans="18:18" ht="15.75" customHeight="1">
      <c r="R677" s="30"/>
    </row>
    <row r="678" spans="18:18" ht="15.75" customHeight="1">
      <c r="R678" s="30"/>
    </row>
    <row r="679" spans="18:18" ht="15.75" customHeight="1">
      <c r="R679" s="30"/>
    </row>
    <row r="680" spans="18:18" ht="15.75" customHeight="1">
      <c r="R680" s="30"/>
    </row>
    <row r="681" spans="18:18" ht="15.75" customHeight="1">
      <c r="R681" s="30"/>
    </row>
    <row r="682" spans="18:18" ht="15.75" customHeight="1">
      <c r="R682" s="30"/>
    </row>
    <row r="683" spans="18:18" ht="15.75" customHeight="1">
      <c r="R683" s="30"/>
    </row>
    <row r="684" spans="18:18" ht="15.75" customHeight="1">
      <c r="R684" s="30"/>
    </row>
    <row r="685" spans="18:18" ht="15.75" customHeight="1">
      <c r="R685" s="30"/>
    </row>
    <row r="686" spans="18:18" ht="15.75" customHeight="1">
      <c r="R686" s="30"/>
    </row>
    <row r="687" spans="18:18" ht="15.75" customHeight="1">
      <c r="R687" s="30"/>
    </row>
    <row r="688" spans="18:18" ht="15.75" customHeight="1">
      <c r="R688" s="30"/>
    </row>
    <row r="689" spans="18:18" ht="15.75" customHeight="1">
      <c r="R689" s="30"/>
    </row>
    <row r="690" spans="18:18" ht="15.75" customHeight="1">
      <c r="R690" s="30"/>
    </row>
    <row r="691" spans="18:18" ht="15.75" customHeight="1">
      <c r="R691" s="30"/>
    </row>
    <row r="692" spans="18:18" ht="15.75" customHeight="1">
      <c r="R692" s="30"/>
    </row>
    <row r="693" spans="18:18" ht="15.75" customHeight="1">
      <c r="R693" s="30"/>
    </row>
    <row r="694" spans="18:18" ht="15.75" customHeight="1">
      <c r="R694" s="30"/>
    </row>
    <row r="695" spans="18:18" ht="15.75" customHeight="1">
      <c r="R695" s="30"/>
    </row>
    <row r="696" spans="18:18" ht="15.75" customHeight="1">
      <c r="R696" s="30"/>
    </row>
    <row r="697" spans="18:18" ht="15.75" customHeight="1">
      <c r="R697" s="30"/>
    </row>
    <row r="698" spans="18:18" ht="15.75" customHeight="1">
      <c r="R698" s="30"/>
    </row>
    <row r="699" spans="18:18" ht="15.75" customHeight="1">
      <c r="R699" s="30"/>
    </row>
    <row r="700" spans="18:18" ht="15.75" customHeight="1">
      <c r="R700" s="30"/>
    </row>
    <row r="701" spans="18:18" ht="15.75" customHeight="1">
      <c r="R701" s="30"/>
    </row>
    <row r="702" spans="18:18" ht="15.75" customHeight="1">
      <c r="R702" s="30"/>
    </row>
    <row r="703" spans="18:18" ht="15.75" customHeight="1">
      <c r="R703" s="30"/>
    </row>
    <row r="704" spans="18:18" ht="15.75" customHeight="1">
      <c r="R704" s="30"/>
    </row>
    <row r="705" spans="18:18" ht="15.75" customHeight="1">
      <c r="R705" s="30"/>
    </row>
    <row r="706" spans="18:18" ht="15.75" customHeight="1">
      <c r="R706" s="30"/>
    </row>
    <row r="707" spans="18:18" ht="15.75" customHeight="1">
      <c r="R707" s="30"/>
    </row>
    <row r="708" spans="18:18" ht="15.75" customHeight="1">
      <c r="R708" s="30"/>
    </row>
    <row r="709" spans="18:18" ht="15.75" customHeight="1">
      <c r="R709" s="30"/>
    </row>
    <row r="710" spans="18:18" ht="15.75" customHeight="1">
      <c r="R710" s="30"/>
    </row>
    <row r="711" spans="18:18" ht="15.75" customHeight="1">
      <c r="R711" s="30"/>
    </row>
    <row r="712" spans="18:18" ht="15.75" customHeight="1">
      <c r="R712" s="30"/>
    </row>
    <row r="713" spans="18:18" ht="15.75" customHeight="1">
      <c r="R713" s="30"/>
    </row>
    <row r="714" spans="18:18" ht="15.75" customHeight="1">
      <c r="R714" s="30"/>
    </row>
    <row r="715" spans="18:18" ht="15.75" customHeight="1">
      <c r="R715" s="30"/>
    </row>
    <row r="716" spans="18:18" ht="15.75" customHeight="1">
      <c r="R716" s="30"/>
    </row>
    <row r="717" spans="18:18" ht="15.75" customHeight="1">
      <c r="R717" s="30"/>
    </row>
    <row r="718" spans="18:18" ht="15.75" customHeight="1">
      <c r="R718" s="30"/>
    </row>
    <row r="719" spans="18:18" ht="15.75" customHeight="1">
      <c r="R719" s="30"/>
    </row>
    <row r="720" spans="18:18" ht="15.75" customHeight="1">
      <c r="R720" s="30"/>
    </row>
    <row r="721" spans="18:18" ht="15.75" customHeight="1">
      <c r="R721" s="30"/>
    </row>
    <row r="722" spans="18:18" ht="15.75" customHeight="1">
      <c r="R722" s="30"/>
    </row>
    <row r="723" spans="18:18" ht="15.75" customHeight="1">
      <c r="R723" s="30"/>
    </row>
    <row r="724" spans="18:18" ht="15.75" customHeight="1">
      <c r="R724" s="30"/>
    </row>
    <row r="725" spans="18:18" ht="15.75" customHeight="1">
      <c r="R725" s="30"/>
    </row>
    <row r="726" spans="18:18" ht="15.75" customHeight="1">
      <c r="R726" s="30"/>
    </row>
    <row r="727" spans="18:18" ht="15.75" customHeight="1">
      <c r="R727" s="30"/>
    </row>
    <row r="728" spans="18:18" ht="15.75" customHeight="1">
      <c r="R728" s="30"/>
    </row>
    <row r="729" spans="18:18" ht="15.75" customHeight="1">
      <c r="R729" s="30"/>
    </row>
    <row r="730" spans="18:18" ht="15.75" customHeight="1">
      <c r="R730" s="30"/>
    </row>
    <row r="731" spans="18:18" ht="15.75" customHeight="1">
      <c r="R731" s="30"/>
    </row>
    <row r="732" spans="18:18" ht="15.75" customHeight="1">
      <c r="R732" s="30"/>
    </row>
    <row r="733" spans="18:18" ht="15.75" customHeight="1">
      <c r="R733" s="30"/>
    </row>
    <row r="734" spans="18:18" ht="15.75" customHeight="1">
      <c r="R734" s="30"/>
    </row>
    <row r="735" spans="18:18" ht="15.75" customHeight="1">
      <c r="R735" s="30"/>
    </row>
    <row r="736" spans="18:18" ht="15.75" customHeight="1">
      <c r="R736" s="30"/>
    </row>
    <row r="737" spans="18:18" ht="15.75" customHeight="1">
      <c r="R737" s="30"/>
    </row>
    <row r="738" spans="18:18" ht="15.75" customHeight="1">
      <c r="R738" s="30"/>
    </row>
    <row r="739" spans="18:18" ht="15.75" customHeight="1">
      <c r="R739" s="30"/>
    </row>
    <row r="740" spans="18:18" ht="15.75" customHeight="1">
      <c r="R740" s="30"/>
    </row>
    <row r="741" spans="18:18" ht="15.75" customHeight="1">
      <c r="R741" s="30"/>
    </row>
    <row r="742" spans="18:18" ht="15.75" customHeight="1">
      <c r="R742" s="30"/>
    </row>
    <row r="743" spans="18:18" ht="15.75" customHeight="1">
      <c r="R743" s="30"/>
    </row>
    <row r="744" spans="18:18" ht="15.75" customHeight="1">
      <c r="R744" s="30"/>
    </row>
    <row r="745" spans="18:18" ht="15.75" customHeight="1">
      <c r="R745" s="30"/>
    </row>
    <row r="746" spans="18:18" ht="15.75" customHeight="1">
      <c r="R746" s="30"/>
    </row>
    <row r="747" spans="18:18" ht="15.75" customHeight="1">
      <c r="R747" s="30"/>
    </row>
    <row r="748" spans="18:18" ht="15.75" customHeight="1">
      <c r="R748" s="30"/>
    </row>
    <row r="749" spans="18:18" ht="15.75" customHeight="1">
      <c r="R749" s="30"/>
    </row>
    <row r="750" spans="18:18" ht="15.75" customHeight="1">
      <c r="R750" s="30"/>
    </row>
    <row r="751" spans="18:18" ht="15.75" customHeight="1">
      <c r="R751" s="30"/>
    </row>
    <row r="752" spans="18:18" ht="15.75" customHeight="1">
      <c r="R752" s="30"/>
    </row>
    <row r="753" spans="18:18" ht="15.75" customHeight="1">
      <c r="R753" s="30"/>
    </row>
    <row r="754" spans="18:18" ht="15.75" customHeight="1">
      <c r="R754" s="30"/>
    </row>
    <row r="755" spans="18:18" ht="15.75" customHeight="1">
      <c r="R755" s="30"/>
    </row>
    <row r="756" spans="18:18" ht="15.75" customHeight="1">
      <c r="R756" s="30"/>
    </row>
    <row r="757" spans="18:18" ht="15.75" customHeight="1">
      <c r="R757" s="30"/>
    </row>
    <row r="758" spans="18:18" ht="15.75" customHeight="1">
      <c r="R758" s="30"/>
    </row>
    <row r="759" spans="18:18" ht="15.75" customHeight="1">
      <c r="R759" s="30"/>
    </row>
    <row r="760" spans="18:18" ht="15.75" customHeight="1">
      <c r="R760" s="30"/>
    </row>
    <row r="761" spans="18:18" ht="15.75" customHeight="1">
      <c r="R761" s="30"/>
    </row>
    <row r="762" spans="18:18" ht="15.75" customHeight="1">
      <c r="R762" s="30"/>
    </row>
    <row r="763" spans="18:18" ht="15.75" customHeight="1">
      <c r="R763" s="30"/>
    </row>
    <row r="764" spans="18:18" ht="15.75" customHeight="1">
      <c r="R764" s="30"/>
    </row>
    <row r="765" spans="18:18" ht="15.75" customHeight="1">
      <c r="R765" s="30"/>
    </row>
    <row r="766" spans="18:18" ht="15.75" customHeight="1">
      <c r="R766" s="30"/>
    </row>
    <row r="767" spans="18:18" ht="15.75" customHeight="1">
      <c r="R767" s="30"/>
    </row>
    <row r="768" spans="18:18" ht="15.75" customHeight="1">
      <c r="R768" s="30"/>
    </row>
    <row r="769" spans="18:18" ht="15.75" customHeight="1">
      <c r="R769" s="30"/>
    </row>
    <row r="770" spans="18:18" ht="15.75" customHeight="1">
      <c r="R770" s="30"/>
    </row>
    <row r="771" spans="18:18" ht="15.75" customHeight="1">
      <c r="R771" s="30"/>
    </row>
    <row r="772" spans="18:18" ht="15.75" customHeight="1">
      <c r="R772" s="30"/>
    </row>
    <row r="773" spans="18:18" ht="15.75" customHeight="1">
      <c r="R773" s="30"/>
    </row>
    <row r="774" spans="18:18" ht="15.75" customHeight="1">
      <c r="R774" s="30"/>
    </row>
    <row r="775" spans="18:18" ht="15.75" customHeight="1">
      <c r="R775" s="30"/>
    </row>
    <row r="776" spans="18:18" ht="15.75" customHeight="1">
      <c r="R776" s="30"/>
    </row>
    <row r="777" spans="18:18" ht="15.75" customHeight="1">
      <c r="R777" s="30"/>
    </row>
    <row r="778" spans="18:18" ht="15.75" customHeight="1">
      <c r="R778" s="30"/>
    </row>
    <row r="779" spans="18:18" ht="15.75" customHeight="1">
      <c r="R779" s="30"/>
    </row>
    <row r="780" spans="18:18" ht="15.75" customHeight="1">
      <c r="R780" s="30"/>
    </row>
    <row r="781" spans="18:18" ht="15.75" customHeight="1">
      <c r="R781" s="30"/>
    </row>
    <row r="782" spans="18:18" ht="15.75" customHeight="1">
      <c r="R782" s="30"/>
    </row>
    <row r="783" spans="18:18" ht="15.75" customHeight="1">
      <c r="R783" s="30"/>
    </row>
    <row r="784" spans="18:18" ht="15.75" customHeight="1">
      <c r="R784" s="30"/>
    </row>
    <row r="785" spans="18:18" ht="15.75" customHeight="1">
      <c r="R785" s="30"/>
    </row>
    <row r="786" spans="18:18" ht="15.75" customHeight="1">
      <c r="R786" s="30"/>
    </row>
    <row r="787" spans="18:18" ht="15.75" customHeight="1">
      <c r="R787" s="30"/>
    </row>
    <row r="788" spans="18:18" ht="15.75" customHeight="1">
      <c r="R788" s="30"/>
    </row>
    <row r="789" spans="18:18" ht="15.75" customHeight="1">
      <c r="R789" s="30"/>
    </row>
    <row r="790" spans="18:18" ht="15.75" customHeight="1">
      <c r="R790" s="30"/>
    </row>
    <row r="791" spans="18:18" ht="15.75" customHeight="1">
      <c r="R791" s="30"/>
    </row>
    <row r="792" spans="18:18" ht="15.75" customHeight="1">
      <c r="R792" s="30"/>
    </row>
    <row r="793" spans="18:18" ht="15.75" customHeight="1">
      <c r="R793" s="30"/>
    </row>
    <row r="794" spans="18:18" ht="15.75" customHeight="1">
      <c r="R794" s="30"/>
    </row>
    <row r="795" spans="18:18" ht="15.75" customHeight="1">
      <c r="R795" s="30"/>
    </row>
    <row r="796" spans="18:18" ht="15.75" customHeight="1">
      <c r="R796" s="30"/>
    </row>
    <row r="797" spans="18:18" ht="15.75" customHeight="1">
      <c r="R797" s="30"/>
    </row>
    <row r="798" spans="18:18" ht="15.75" customHeight="1">
      <c r="R798" s="30"/>
    </row>
    <row r="799" spans="18:18" ht="15.75" customHeight="1">
      <c r="R799" s="30"/>
    </row>
    <row r="800" spans="18:18" ht="15.75" customHeight="1">
      <c r="R800" s="30"/>
    </row>
    <row r="801" spans="18:18" ht="15.75" customHeight="1">
      <c r="R801" s="30"/>
    </row>
    <row r="802" spans="18:18" ht="15.75" customHeight="1">
      <c r="R802" s="30"/>
    </row>
    <row r="803" spans="18:18" ht="15.75" customHeight="1">
      <c r="R803" s="30"/>
    </row>
    <row r="804" spans="18:18" ht="15.75" customHeight="1">
      <c r="R804" s="30"/>
    </row>
    <row r="805" spans="18:18" ht="15.75" customHeight="1">
      <c r="R805" s="30"/>
    </row>
    <row r="806" spans="18:18" ht="15.75" customHeight="1">
      <c r="R806" s="30"/>
    </row>
    <row r="807" spans="18:18" ht="15.75" customHeight="1">
      <c r="R807" s="30"/>
    </row>
    <row r="808" spans="18:18" ht="15.75" customHeight="1">
      <c r="R808" s="30"/>
    </row>
    <row r="809" spans="18:18" ht="15.75" customHeight="1">
      <c r="R809" s="30"/>
    </row>
    <row r="810" spans="18:18" ht="15.75" customHeight="1">
      <c r="R810" s="30"/>
    </row>
    <row r="811" spans="18:18" ht="15.75" customHeight="1">
      <c r="R811" s="30"/>
    </row>
    <row r="812" spans="18:18" ht="15.75" customHeight="1">
      <c r="R812" s="30"/>
    </row>
    <row r="813" spans="18:18" ht="15.75" customHeight="1">
      <c r="R813" s="30"/>
    </row>
    <row r="814" spans="18:18" ht="15.75" customHeight="1">
      <c r="R814" s="30"/>
    </row>
    <row r="815" spans="18:18" ht="15.75" customHeight="1">
      <c r="R815" s="30"/>
    </row>
    <row r="816" spans="18:18" ht="15.75" customHeight="1">
      <c r="R816" s="30"/>
    </row>
    <row r="817" spans="18:18" ht="15.75" customHeight="1">
      <c r="R817" s="30"/>
    </row>
    <row r="818" spans="18:18" ht="15.75" customHeight="1">
      <c r="R818" s="30"/>
    </row>
    <row r="819" spans="18:18" ht="15.75" customHeight="1">
      <c r="R819" s="30"/>
    </row>
    <row r="820" spans="18:18" ht="15.75" customHeight="1">
      <c r="R820" s="30"/>
    </row>
    <row r="821" spans="18:18" ht="15.75" customHeight="1">
      <c r="R821" s="30"/>
    </row>
    <row r="822" spans="18:18" ht="15.75" customHeight="1">
      <c r="R822" s="30"/>
    </row>
    <row r="823" spans="18:18" ht="15.75" customHeight="1">
      <c r="R823" s="30"/>
    </row>
    <row r="824" spans="18:18" ht="15.75" customHeight="1">
      <c r="R824" s="30"/>
    </row>
    <row r="825" spans="18:18" ht="15.75" customHeight="1">
      <c r="R825" s="30"/>
    </row>
    <row r="826" spans="18:18" ht="15.75" customHeight="1">
      <c r="R826" s="30"/>
    </row>
    <row r="827" spans="18:18" ht="15.75" customHeight="1">
      <c r="R827" s="30"/>
    </row>
    <row r="828" spans="18:18" ht="15.75" customHeight="1">
      <c r="R828" s="30"/>
    </row>
    <row r="829" spans="18:18" ht="15.75" customHeight="1">
      <c r="R829" s="30"/>
    </row>
    <row r="830" spans="18:18" ht="15.75" customHeight="1">
      <c r="R830" s="30"/>
    </row>
    <row r="831" spans="18:18" ht="15.75" customHeight="1">
      <c r="R831" s="30"/>
    </row>
    <row r="832" spans="18:18" ht="15.75" customHeight="1">
      <c r="R832" s="30"/>
    </row>
    <row r="833" spans="18:18" ht="15.75" customHeight="1">
      <c r="R833" s="30"/>
    </row>
    <row r="834" spans="18:18" ht="15.75" customHeight="1">
      <c r="R834" s="30"/>
    </row>
    <row r="835" spans="18:18" ht="15.75" customHeight="1">
      <c r="R835" s="30"/>
    </row>
    <row r="836" spans="18:18" ht="15.75" customHeight="1">
      <c r="R836" s="30"/>
    </row>
    <row r="837" spans="18:18" ht="15.75" customHeight="1">
      <c r="R837" s="30"/>
    </row>
    <row r="838" spans="18:18" ht="15.75" customHeight="1">
      <c r="R838" s="30"/>
    </row>
    <row r="839" spans="18:18" ht="15.75" customHeight="1">
      <c r="R839" s="30"/>
    </row>
    <row r="840" spans="18:18" ht="15.75" customHeight="1">
      <c r="R840" s="30"/>
    </row>
    <row r="841" spans="18:18" ht="15.75" customHeight="1">
      <c r="R841" s="30"/>
    </row>
    <row r="842" spans="18:18" ht="15.75" customHeight="1">
      <c r="R842" s="30"/>
    </row>
    <row r="843" spans="18:18" ht="15.75" customHeight="1">
      <c r="R843" s="30"/>
    </row>
    <row r="844" spans="18:18" ht="15.75" customHeight="1">
      <c r="R844" s="30"/>
    </row>
    <row r="845" spans="18:18" ht="15.75" customHeight="1">
      <c r="R845" s="30"/>
    </row>
    <row r="846" spans="18:18" ht="15.75" customHeight="1">
      <c r="R846" s="30"/>
    </row>
    <row r="847" spans="18:18" ht="15.75" customHeight="1">
      <c r="R847" s="30"/>
    </row>
    <row r="848" spans="18:18" ht="15.75" customHeight="1">
      <c r="R848" s="30"/>
    </row>
    <row r="849" spans="18:18" ht="15.75" customHeight="1">
      <c r="R849" s="30"/>
    </row>
    <row r="850" spans="18:18" ht="15.75" customHeight="1">
      <c r="R850" s="30"/>
    </row>
    <row r="851" spans="18:18" ht="15.75" customHeight="1">
      <c r="R851" s="30"/>
    </row>
    <row r="852" spans="18:18" ht="15.75" customHeight="1">
      <c r="R852" s="30"/>
    </row>
    <row r="853" spans="18:18" ht="15.75" customHeight="1">
      <c r="R853" s="30"/>
    </row>
    <row r="854" spans="18:18" ht="15.75" customHeight="1">
      <c r="R854" s="30"/>
    </row>
    <row r="855" spans="18:18" ht="15.75" customHeight="1">
      <c r="R855" s="30"/>
    </row>
    <row r="856" spans="18:18" ht="15.75" customHeight="1">
      <c r="R856" s="30"/>
    </row>
    <row r="857" spans="18:18" ht="15.75" customHeight="1">
      <c r="R857" s="30"/>
    </row>
    <row r="858" spans="18:18" ht="15.75" customHeight="1">
      <c r="R858" s="30"/>
    </row>
    <row r="859" spans="18:18" ht="15.75" customHeight="1">
      <c r="R859" s="30"/>
    </row>
    <row r="860" spans="18:18" ht="15.75" customHeight="1">
      <c r="R860" s="30"/>
    </row>
    <row r="861" spans="18:18" ht="15.75" customHeight="1">
      <c r="R861" s="30"/>
    </row>
    <row r="862" spans="18:18" ht="15.75" customHeight="1">
      <c r="R862" s="30"/>
    </row>
    <row r="863" spans="18:18" ht="15.75" customHeight="1">
      <c r="R863" s="30"/>
    </row>
    <row r="864" spans="18:18" ht="15.75" customHeight="1">
      <c r="R864" s="30"/>
    </row>
    <row r="865" spans="18:18" ht="15.75" customHeight="1">
      <c r="R865" s="30"/>
    </row>
    <row r="866" spans="18:18" ht="15.75" customHeight="1">
      <c r="R866" s="30"/>
    </row>
    <row r="867" spans="18:18" ht="15.75" customHeight="1">
      <c r="R867" s="30"/>
    </row>
    <row r="868" spans="18:18" ht="15.75" customHeight="1">
      <c r="R868" s="30"/>
    </row>
    <row r="869" spans="18:18" ht="15.75" customHeight="1">
      <c r="R869" s="30"/>
    </row>
    <row r="870" spans="18:18" ht="15.75" customHeight="1">
      <c r="R870" s="30"/>
    </row>
    <row r="871" spans="18:18" ht="15.75" customHeight="1">
      <c r="R871" s="30"/>
    </row>
    <row r="872" spans="18:18" ht="15.75" customHeight="1">
      <c r="R872" s="30"/>
    </row>
    <row r="873" spans="18:18" ht="15.75" customHeight="1">
      <c r="R873" s="30"/>
    </row>
    <row r="874" spans="18:18" ht="15.75" customHeight="1">
      <c r="R874" s="30"/>
    </row>
    <row r="875" spans="18:18" ht="15.75" customHeight="1">
      <c r="R875" s="30"/>
    </row>
    <row r="876" spans="18:18" ht="15.75" customHeight="1">
      <c r="R876" s="30"/>
    </row>
    <row r="877" spans="18:18" ht="15.75" customHeight="1">
      <c r="R877" s="30"/>
    </row>
    <row r="878" spans="18:18" ht="15.75" customHeight="1">
      <c r="R878" s="30"/>
    </row>
    <row r="879" spans="18:18" ht="15.75" customHeight="1">
      <c r="R879" s="30"/>
    </row>
    <row r="880" spans="18:18" ht="15.75" customHeight="1">
      <c r="R880" s="30"/>
    </row>
    <row r="881" spans="18:18" ht="15.75" customHeight="1">
      <c r="R881" s="30"/>
    </row>
    <row r="882" spans="18:18" ht="15.75" customHeight="1">
      <c r="R882" s="30"/>
    </row>
    <row r="883" spans="18:18" ht="15.75" customHeight="1">
      <c r="R883" s="30"/>
    </row>
    <row r="884" spans="18:18" ht="15.75" customHeight="1">
      <c r="R884" s="30"/>
    </row>
    <row r="885" spans="18:18" ht="15.75" customHeight="1">
      <c r="R885" s="30"/>
    </row>
    <row r="886" spans="18:18" ht="15.75" customHeight="1">
      <c r="R886" s="30"/>
    </row>
    <row r="887" spans="18:18" ht="15.75" customHeight="1">
      <c r="R887" s="30"/>
    </row>
    <row r="888" spans="18:18" ht="15.75" customHeight="1">
      <c r="R888" s="30"/>
    </row>
    <row r="889" spans="18:18" ht="15.75" customHeight="1">
      <c r="R889" s="30"/>
    </row>
    <row r="890" spans="18:18" ht="15.75" customHeight="1">
      <c r="R890" s="30"/>
    </row>
    <row r="891" spans="18:18" ht="15.75" customHeight="1">
      <c r="R891" s="30"/>
    </row>
    <row r="892" spans="18:18" ht="15.75" customHeight="1">
      <c r="R892" s="30"/>
    </row>
    <row r="893" spans="18:18" ht="15.75" customHeight="1">
      <c r="R893" s="30"/>
    </row>
    <row r="894" spans="18:18" ht="15.75" customHeight="1">
      <c r="R894" s="30"/>
    </row>
    <row r="895" spans="18:18" ht="15.75" customHeight="1">
      <c r="R895" s="30"/>
    </row>
    <row r="896" spans="18:18" ht="15.75" customHeight="1">
      <c r="R896" s="30"/>
    </row>
    <row r="897" spans="18:18" ht="15.75" customHeight="1">
      <c r="R897" s="30"/>
    </row>
    <row r="898" spans="18:18" ht="15.75" customHeight="1">
      <c r="R898" s="30"/>
    </row>
    <row r="899" spans="18:18" ht="15.75" customHeight="1">
      <c r="R899" s="30"/>
    </row>
    <row r="900" spans="18:18" ht="15.75" customHeight="1">
      <c r="R900" s="30"/>
    </row>
    <row r="901" spans="18:18" ht="15.75" customHeight="1">
      <c r="R901" s="30"/>
    </row>
    <row r="902" spans="18:18" ht="15.75" customHeight="1">
      <c r="R902" s="30"/>
    </row>
    <row r="903" spans="18:18" ht="15.75" customHeight="1">
      <c r="R903" s="30"/>
    </row>
    <row r="904" spans="18:18" ht="15.75" customHeight="1">
      <c r="R904" s="30"/>
    </row>
    <row r="905" spans="18:18" ht="15.75" customHeight="1">
      <c r="R905" s="30"/>
    </row>
    <row r="906" spans="18:18" ht="15.75" customHeight="1">
      <c r="R906" s="30"/>
    </row>
    <row r="907" spans="18:18" ht="15.75" customHeight="1">
      <c r="R907" s="30"/>
    </row>
    <row r="908" spans="18:18" ht="15.75" customHeight="1">
      <c r="R908" s="30"/>
    </row>
    <row r="909" spans="18:18" ht="15.75" customHeight="1">
      <c r="R909" s="30"/>
    </row>
    <row r="910" spans="18:18" ht="15.75" customHeight="1">
      <c r="R910" s="30"/>
    </row>
    <row r="911" spans="18:18" ht="15.75" customHeight="1">
      <c r="R911" s="30"/>
    </row>
    <row r="912" spans="18:18" ht="15.75" customHeight="1">
      <c r="R912" s="30"/>
    </row>
    <row r="913" spans="18:18" ht="15.75" customHeight="1">
      <c r="R913" s="30"/>
    </row>
    <row r="914" spans="18:18" ht="15.75" customHeight="1">
      <c r="R914" s="30"/>
    </row>
    <row r="915" spans="18:18" ht="15.75" customHeight="1">
      <c r="R915" s="30"/>
    </row>
    <row r="916" spans="18:18" ht="15.75" customHeight="1">
      <c r="R916" s="30"/>
    </row>
    <row r="917" spans="18:18" ht="15.75" customHeight="1">
      <c r="R917" s="30"/>
    </row>
    <row r="918" spans="18:18" ht="15.75" customHeight="1">
      <c r="R918" s="30"/>
    </row>
    <row r="919" spans="18:18" ht="15.75" customHeight="1">
      <c r="R919" s="30"/>
    </row>
    <row r="920" spans="18:18" ht="15.75" customHeight="1">
      <c r="R920" s="30"/>
    </row>
    <row r="921" spans="18:18" ht="15.75" customHeight="1">
      <c r="R921" s="30"/>
    </row>
    <row r="922" spans="18:18" ht="15.75" customHeight="1">
      <c r="R922" s="30"/>
    </row>
    <row r="923" spans="18:18" ht="15.75" customHeight="1">
      <c r="R923" s="30"/>
    </row>
    <row r="924" spans="18:18" ht="15.75" customHeight="1">
      <c r="R924" s="30"/>
    </row>
    <row r="925" spans="18:18" ht="15.75" customHeight="1">
      <c r="R925" s="30"/>
    </row>
    <row r="926" spans="18:18" ht="15.75" customHeight="1">
      <c r="R926" s="30"/>
    </row>
    <row r="927" spans="18:18" ht="15.75" customHeight="1">
      <c r="R927" s="30"/>
    </row>
    <row r="928" spans="18:18" ht="15.75" customHeight="1">
      <c r="R928" s="30"/>
    </row>
    <row r="929" spans="18:18" ht="15.75" customHeight="1">
      <c r="R929" s="30"/>
    </row>
    <row r="930" spans="18:18" ht="15.75" customHeight="1">
      <c r="R930" s="30"/>
    </row>
    <row r="931" spans="18:18" ht="15.75" customHeight="1">
      <c r="R931" s="30"/>
    </row>
    <row r="932" spans="18:18" ht="15.75" customHeight="1">
      <c r="R932" s="30"/>
    </row>
    <row r="933" spans="18:18" ht="15.75" customHeight="1">
      <c r="R933" s="30"/>
    </row>
    <row r="934" spans="18:18" ht="15.75" customHeight="1">
      <c r="R934" s="30"/>
    </row>
    <row r="935" spans="18:18" ht="15.75" customHeight="1">
      <c r="R935" s="30"/>
    </row>
    <row r="936" spans="18:18" ht="15.75" customHeight="1">
      <c r="R936" s="30"/>
    </row>
    <row r="937" spans="18:18" ht="15.75" customHeight="1">
      <c r="R937" s="30"/>
    </row>
    <row r="938" spans="18:18" ht="15.75" customHeight="1">
      <c r="R938" s="30"/>
    </row>
    <row r="939" spans="18:18" ht="15.75" customHeight="1">
      <c r="R939" s="30"/>
    </row>
    <row r="940" spans="18:18" ht="15.75" customHeight="1">
      <c r="R940" s="30"/>
    </row>
    <row r="941" spans="18:18" ht="15.75" customHeight="1">
      <c r="R941" s="30"/>
    </row>
    <row r="942" spans="18:18" ht="15.75" customHeight="1">
      <c r="R942" s="30"/>
    </row>
    <row r="943" spans="18:18" ht="15.75" customHeight="1">
      <c r="R943" s="30"/>
    </row>
    <row r="944" spans="18:18" ht="15.75" customHeight="1">
      <c r="R944" s="30"/>
    </row>
    <row r="945" spans="18:18" ht="15.75" customHeight="1">
      <c r="R945" s="30"/>
    </row>
    <row r="946" spans="18:18" ht="15.75" customHeight="1">
      <c r="R946" s="30"/>
    </row>
    <row r="947" spans="18:18" ht="15.75" customHeight="1">
      <c r="R947" s="30"/>
    </row>
    <row r="948" spans="18:18" ht="15.75" customHeight="1">
      <c r="R948" s="30"/>
    </row>
    <row r="949" spans="18:18" ht="15.75" customHeight="1">
      <c r="R949" s="30"/>
    </row>
    <row r="950" spans="18:18" ht="15.75" customHeight="1">
      <c r="R950" s="30"/>
    </row>
    <row r="951" spans="18:18" ht="15.75" customHeight="1">
      <c r="R951" s="30"/>
    </row>
    <row r="952" spans="18:18" ht="15.75" customHeight="1">
      <c r="R952" s="30"/>
    </row>
    <row r="953" spans="18:18" ht="15.75" customHeight="1">
      <c r="R953" s="30"/>
    </row>
    <row r="954" spans="18:18" ht="15.75" customHeight="1">
      <c r="R954" s="30"/>
    </row>
    <row r="955" spans="18:18" ht="15.75" customHeight="1">
      <c r="R955" s="30"/>
    </row>
    <row r="956" spans="18:18" ht="15.75" customHeight="1">
      <c r="R956" s="30"/>
    </row>
    <row r="957" spans="18:18" ht="15.75" customHeight="1">
      <c r="R957" s="30"/>
    </row>
    <row r="958" spans="18:18" ht="15.75" customHeight="1">
      <c r="R958" s="30"/>
    </row>
    <row r="959" spans="18:18" ht="15.75" customHeight="1">
      <c r="R959" s="30"/>
    </row>
    <row r="960" spans="18:18" ht="15.75" customHeight="1">
      <c r="R960" s="30"/>
    </row>
    <row r="961" spans="18:18" ht="15.75" customHeight="1">
      <c r="R961" s="30"/>
    </row>
    <row r="962" spans="18:18" ht="15.75" customHeight="1">
      <c r="R962" s="30"/>
    </row>
    <row r="963" spans="18:18" ht="15.75" customHeight="1">
      <c r="R963" s="30"/>
    </row>
    <row r="964" spans="18:18" ht="15.75" customHeight="1">
      <c r="R964" s="30"/>
    </row>
    <row r="965" spans="18:18" ht="15.75" customHeight="1">
      <c r="R965" s="30"/>
    </row>
    <row r="966" spans="18:18" ht="15.75" customHeight="1">
      <c r="R966" s="30"/>
    </row>
    <row r="967" spans="18:18" ht="15.75" customHeight="1">
      <c r="R967" s="30"/>
    </row>
    <row r="968" spans="18:18" ht="15.75" customHeight="1">
      <c r="R968" s="30"/>
    </row>
    <row r="969" spans="18:18" ht="15.75" customHeight="1">
      <c r="R969" s="30"/>
    </row>
    <row r="970" spans="18:18" ht="15.75" customHeight="1">
      <c r="R970" s="30"/>
    </row>
    <row r="971" spans="18:18" ht="15.75" customHeight="1">
      <c r="R971" s="30"/>
    </row>
    <row r="972" spans="18:18" ht="15.75" customHeight="1">
      <c r="R972" s="30"/>
    </row>
    <row r="973" spans="18:18" ht="15.75" customHeight="1">
      <c r="R973" s="30"/>
    </row>
    <row r="974" spans="18:18" ht="15.75" customHeight="1">
      <c r="R974" s="30"/>
    </row>
    <row r="975" spans="18:18" ht="15.75" customHeight="1">
      <c r="R975" s="30"/>
    </row>
    <row r="976" spans="18:18" ht="15.75" customHeight="1">
      <c r="R976" s="30"/>
    </row>
    <row r="977" spans="18:18" ht="15.75" customHeight="1">
      <c r="R977" s="30"/>
    </row>
    <row r="978" spans="18:18" ht="15.75" customHeight="1">
      <c r="R978" s="30"/>
    </row>
    <row r="979" spans="18:18" ht="15.75" customHeight="1">
      <c r="R979" s="30"/>
    </row>
    <row r="980" spans="18:18" ht="15.75" customHeight="1">
      <c r="R980" s="30"/>
    </row>
    <row r="981" spans="18:18" ht="15.75" customHeight="1">
      <c r="R981" s="30"/>
    </row>
    <row r="982" spans="18:18" ht="15.75" customHeight="1">
      <c r="R982" s="30"/>
    </row>
    <row r="983" spans="18:18" ht="15.75" customHeight="1">
      <c r="R983" s="30"/>
    </row>
    <row r="984" spans="18:18" ht="15.75" customHeight="1">
      <c r="R984" s="30"/>
    </row>
    <row r="985" spans="18:18" ht="15.75" customHeight="1">
      <c r="R985" s="30"/>
    </row>
    <row r="986" spans="18:18" ht="15.75" customHeight="1">
      <c r="R986" s="30"/>
    </row>
    <row r="987" spans="18:18" ht="15.75" customHeight="1">
      <c r="R987" s="30"/>
    </row>
    <row r="988" spans="18:18" ht="15.75" customHeight="1">
      <c r="R988" s="30"/>
    </row>
    <row r="989" spans="18:18" ht="15.75" customHeight="1">
      <c r="R989" s="30"/>
    </row>
    <row r="990" spans="18:18" ht="15.75" customHeight="1">
      <c r="R990" s="30"/>
    </row>
    <row r="991" spans="18:18" ht="15.75" customHeight="1">
      <c r="R991" s="30"/>
    </row>
    <row r="992" spans="18:18" ht="15.75" customHeight="1">
      <c r="R992" s="30"/>
    </row>
    <row r="993" spans="18:18" ht="15.75" customHeight="1">
      <c r="R993" s="30"/>
    </row>
    <row r="994" spans="18:18" ht="15.75" customHeight="1">
      <c r="R994" s="30"/>
    </row>
    <row r="995" spans="18:18" ht="15.75" customHeight="1">
      <c r="R995" s="30"/>
    </row>
    <row r="996" spans="18:18" ht="15.75" customHeight="1">
      <c r="R996" s="30"/>
    </row>
    <row r="997" spans="18:18" ht="15.75" customHeight="1">
      <c r="R997" s="30"/>
    </row>
    <row r="998" spans="18:18" ht="15.75" customHeight="1">
      <c r="R998" s="30"/>
    </row>
    <row r="999" spans="18:18" ht="15.75" customHeight="1">
      <c r="R999" s="30"/>
    </row>
    <row r="1000" spans="18:18" ht="15.75" customHeight="1">
      <c r="R1000" s="3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2.6640625" defaultRowHeight="15" customHeight="1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8.6640625" customWidth="1"/>
    <col min="6" max="6" width="9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16.33203125" customWidth="1"/>
    <col min="16" max="16" width="10" customWidth="1"/>
    <col min="17" max="18" width="7.33203125" customWidth="1"/>
    <col min="19" max="19" width="7.1640625" customWidth="1"/>
    <col min="20" max="20" width="11.1640625" customWidth="1"/>
    <col min="21" max="21" width="23.6640625" customWidth="1"/>
    <col min="22" max="22" width="58.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8.6640625" customWidth="1"/>
    <col min="32" max="32" width="10.1640625" customWidth="1"/>
    <col min="33" max="33" width="8.83203125" customWidth="1"/>
  </cols>
  <sheetData>
    <row r="1" spans="1:33" ht="18.75" customHeight="1">
      <c r="A1" s="46" t="str">
        <f ca="1">IFERROR(__xludf.DUMMYFUNCTION("IFERROR(VLOOKUP(B2,IMPORTRANGE(""https://docs.google.com/spreadsheets/d/1x0DhHglkXKoEBOD2MBsuK_EyIr1ouxD2ftIpqOYFa-k/edit?usp=sharing"",""Ubiquitty-SKU-Specific Info!B1:BJ5000""),3,FALSE),"""")"),"75 Foot Lighted Outdoor Extension Cord - 10/3 SJTW Yellow 10 Gauge Extension Cable with 3 Prong Grounded Plug for Safety - Great for Garden and Major Appliances")</f>
        <v>75 Foot Lighted Outdoor Extension Cord - 10/3 SJTW Yellow 10 Gauge Extension Cable with 3 Prong Grounded Plug for Safety - Great for Garden and Major Appliances</v>
      </c>
      <c r="B1" s="47"/>
      <c r="C1" s="48" t="s">
        <v>0</v>
      </c>
      <c r="D1" s="50" t="s">
        <v>1</v>
      </c>
      <c r="E1" s="50" t="s">
        <v>2</v>
      </c>
      <c r="F1" s="52" t="s">
        <v>3</v>
      </c>
      <c r="G1" s="52" t="s">
        <v>4</v>
      </c>
      <c r="H1" s="53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58" t="s">
        <v>10</v>
      </c>
      <c r="N1" s="59" t="s">
        <v>11</v>
      </c>
      <c r="O1" s="50" t="s">
        <v>12</v>
      </c>
      <c r="P1" s="50" t="s">
        <v>13</v>
      </c>
      <c r="Q1" s="57" t="s">
        <v>14</v>
      </c>
      <c r="R1" s="57" t="s">
        <v>15</v>
      </c>
      <c r="S1" s="60" t="s">
        <v>16</v>
      </c>
      <c r="T1" s="62" t="s">
        <v>2006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Info!B1:BJ5000""),2,FALSE),"""")"),"B081HCTN8V")</f>
        <v>B081HCTN8V</v>
      </c>
      <c r="B2" s="3" t="s">
        <v>541</v>
      </c>
      <c r="C2" s="49"/>
      <c r="D2" s="49"/>
      <c r="E2" s="51"/>
      <c r="F2" s="49"/>
      <c r="G2" s="49"/>
      <c r="H2" s="54"/>
      <c r="I2" s="49"/>
      <c r="J2" s="49"/>
      <c r="K2" s="54"/>
      <c r="L2" s="54"/>
      <c r="M2" s="54"/>
      <c r="N2" s="49"/>
      <c r="O2" s="49"/>
      <c r="P2" s="51"/>
      <c r="Q2" s="49"/>
      <c r="R2" s="49"/>
      <c r="S2" s="61"/>
      <c r="T2" s="47"/>
      <c r="U2" s="63"/>
      <c r="V2" s="63"/>
      <c r="W2" s="47"/>
      <c r="X2" s="47"/>
      <c r="Y2" s="47"/>
      <c r="Z2" s="47"/>
      <c r="AA2" s="63"/>
      <c r="AB2" s="63"/>
      <c r="AC2" s="63"/>
      <c r="AD2" s="63"/>
      <c r="AE2" s="47"/>
      <c r="AF2" s="47"/>
      <c r="AG2" s="47"/>
    </row>
    <row r="3" spans="1:33" ht="212.25" customHeight="1">
      <c r="A3" s="55" t="s">
        <v>31</v>
      </c>
      <c r="B3" s="56"/>
      <c r="C3" s="4">
        <f>((AE32+AF32)/0.85)*-1</f>
        <v>62.415361112941056</v>
      </c>
      <c r="D3" s="5">
        <f>SUM(D4:D99765)</f>
        <v>421</v>
      </c>
      <c r="E3" s="5"/>
      <c r="F3" s="6">
        <f t="shared" ref="F3:G3" si="0">SUM(F4:F99765)</f>
        <v>41178.919999999991</v>
      </c>
      <c r="G3" s="6">
        <f t="shared" si="0"/>
        <v>-0.42</v>
      </c>
      <c r="H3" s="7">
        <f t="shared" ref="H3:H32" si="1">G3/F3*-1</f>
        <v>1.0199393281805353E-5</v>
      </c>
      <c r="I3" s="8">
        <f t="shared" ref="I3:I32" si="2">J3/F3</f>
        <v>0.28219356130634748</v>
      </c>
      <c r="J3" s="6">
        <f>SUM(J4:J99765)</f>
        <v>11620.426085549176</v>
      </c>
      <c r="K3" s="6">
        <f t="shared" ref="K3:K32" si="3">J3/D3</f>
        <v>27.6019621984541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Sheet!a1:g5000""),2,FALSE),"""")"),"2.5 - March
2.5 - April
2.5 - May
2.5 - June
2.5 - July
2.5 - Aug
2.5 - Sept
2.5 - Oct
2 - Nov
2 - Dec
1.5 - Jan
2 - Feb")</f>
        <v>2.5 - March
2.5 - April
2.5 - May
2.5 - June
2.5 - July
2.5 - Aug
2.5 - Sept
2.5 - Oct
2 - Nov
2 - Dec
1.5 - Jan
2 -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QTY-0")</f>
        <v>US QTY-0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1</v>
      </c>
      <c r="X3" s="7">
        <f>W3/D3</f>
        <v>2.3752969121140144E-3</v>
      </c>
      <c r="Y3" s="6"/>
      <c r="Z3" s="5"/>
      <c r="AA3" s="5"/>
      <c r="AB3" s="5"/>
      <c r="AC3" s="5"/>
      <c r="AD3" s="6">
        <f>SUM(AD4:AD99765)</f>
        <v>-293.61587032533475</v>
      </c>
      <c r="AE3" s="6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Info!B2:BZ3000""),37,FALSE)),"""")*-1"),-42.5730569459999)</f>
        <v>-42.573056945999902</v>
      </c>
      <c r="AG3" s="6">
        <f>SUM(AG4:AG99765)</f>
        <v>0</v>
      </c>
    </row>
    <row r="4" spans="1:33" ht="15.75" customHeight="1">
      <c r="A4" s="14" t="s">
        <v>181</v>
      </c>
      <c r="B4" s="14" t="s">
        <v>68</v>
      </c>
      <c r="C4" s="15">
        <f t="shared" ref="C4:C32" si="4">IFERROR(F4/D4," - ")</f>
        <v>99.99</v>
      </c>
      <c r="D4" s="16">
        <v>9</v>
      </c>
      <c r="E4" s="16">
        <v>0</v>
      </c>
      <c r="F4" s="17">
        <v>899.91</v>
      </c>
      <c r="G4" s="17">
        <v>0</v>
      </c>
      <c r="H4" s="18">
        <f t="shared" si="1"/>
        <v>0</v>
      </c>
      <c r="I4" s="18">
        <f t="shared" si="2"/>
        <v>0.31025013500281645</v>
      </c>
      <c r="J4" s="17">
        <f t="shared" ref="J4:J32" si="5">F4*0.85+G4+AF4*D4+D4*AE4+AG4+AD4</f>
        <v>279.19719899038455</v>
      </c>
      <c r="K4" s="17">
        <f t="shared" si="3"/>
        <v>31.021910998931617</v>
      </c>
      <c r="L4" s="16">
        <v>41</v>
      </c>
      <c r="M4" s="19">
        <f t="shared" ref="M4:M32" si="6">IFERROR(D4/L4,"-")</f>
        <v>0.21951219512195122</v>
      </c>
      <c r="N4" s="16">
        <v>44</v>
      </c>
      <c r="O4" s="20">
        <f t="shared" ref="O4:P4" si="7">D4/7</f>
        <v>1.2857142857142858</v>
      </c>
      <c r="P4" s="20">
        <f t="shared" si="7"/>
        <v>0</v>
      </c>
      <c r="Q4" s="16">
        <f t="shared" ref="Q4:Q32" si="8">ROUNDDOWN(N4/(O4+P4),0)</f>
        <v>34</v>
      </c>
      <c r="R4" s="16"/>
      <c r="S4" s="21">
        <v>2.8616600790513802</v>
      </c>
      <c r="T4" s="14">
        <v>100</v>
      </c>
      <c r="U4" s="22">
        <v>100</v>
      </c>
      <c r="V4" s="23" t="s">
        <v>542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26" t="s">
        <v>35</v>
      </c>
      <c r="AB4" s="27">
        <f t="shared" ref="AB4:AB32" si="11">IF(OR(AA4="UsLargeStandardSize",AA4="UsSmallStandardSize"),-0.69,-0.48)</f>
        <v>-0.69</v>
      </c>
      <c r="AC4" s="28">
        <v>0.50536921296296311</v>
      </c>
      <c r="AD4" s="25">
        <f t="shared" ref="AD4:AD32" si="12">IFERROR(AB4*AC4*D4*2,0)</f>
        <v>-6.2766856250000016</v>
      </c>
      <c r="AE4" s="25">
        <v>-11.88</v>
      </c>
      <c r="AF4" s="25">
        <v>-41.39217948717949</v>
      </c>
      <c r="AG4" s="25">
        <v>0</v>
      </c>
    </row>
    <row r="5" spans="1:33" ht="15.75" customHeight="1">
      <c r="A5" s="14" t="s">
        <v>183</v>
      </c>
      <c r="B5" s="14" t="s">
        <v>543</v>
      </c>
      <c r="C5" s="15">
        <f t="shared" si="4"/>
        <v>100.00624999999999</v>
      </c>
      <c r="D5" s="16">
        <v>8</v>
      </c>
      <c r="E5" s="16">
        <v>0</v>
      </c>
      <c r="F5" s="29">
        <v>800.05</v>
      </c>
      <c r="G5" s="29">
        <v>0</v>
      </c>
      <c r="H5" s="18">
        <f t="shared" si="1"/>
        <v>0</v>
      </c>
      <c r="I5" s="18">
        <f t="shared" si="2"/>
        <v>0.31032975815679065</v>
      </c>
      <c r="J5" s="17">
        <f t="shared" si="5"/>
        <v>248.27932301334033</v>
      </c>
      <c r="K5" s="17">
        <f t="shared" si="3"/>
        <v>31.034915376667541</v>
      </c>
      <c r="L5" s="16">
        <v>80</v>
      </c>
      <c r="M5" s="19">
        <f t="shared" si="6"/>
        <v>0.1</v>
      </c>
      <c r="N5" s="16">
        <v>34</v>
      </c>
      <c r="O5" s="20">
        <f t="shared" ref="O5:P5" si="13">D5/7</f>
        <v>1.1428571428571428</v>
      </c>
      <c r="P5" s="20">
        <f t="shared" si="13"/>
        <v>0</v>
      </c>
      <c r="Q5" s="16">
        <f t="shared" si="8"/>
        <v>29</v>
      </c>
      <c r="R5" s="16"/>
      <c r="S5" s="21">
        <v>2.43971631205673</v>
      </c>
      <c r="T5" s="14">
        <v>100</v>
      </c>
      <c r="U5" s="22">
        <v>100</v>
      </c>
      <c r="V5" s="23" t="s">
        <v>544</v>
      </c>
      <c r="W5" s="14">
        <v>0</v>
      </c>
      <c r="X5" s="24">
        <f t="shared" si="9"/>
        <v>0</v>
      </c>
      <c r="Y5" s="25">
        <f t="shared" si="10"/>
        <v>0</v>
      </c>
      <c r="Z5" s="14">
        <v>0</v>
      </c>
      <c r="AA5" s="14" t="s">
        <v>35</v>
      </c>
      <c r="AB5" s="27">
        <f t="shared" si="11"/>
        <v>-0.69</v>
      </c>
      <c r="AC5" s="28">
        <v>0.50595480880648913</v>
      </c>
      <c r="AD5" s="25">
        <f t="shared" si="12"/>
        <v>-5.5857410892236397</v>
      </c>
      <c r="AE5" s="25">
        <v>-11.88</v>
      </c>
      <c r="AF5" s="25">
        <v>-41.39217948717949</v>
      </c>
      <c r="AG5" s="25">
        <v>0</v>
      </c>
    </row>
    <row r="6" spans="1:33" ht="15.75" customHeight="1">
      <c r="A6" s="14" t="s">
        <v>185</v>
      </c>
      <c r="B6" s="14" t="s">
        <v>68</v>
      </c>
      <c r="C6" s="15">
        <f t="shared" si="4"/>
        <v>100.93333333333334</v>
      </c>
      <c r="D6" s="16">
        <v>12</v>
      </c>
      <c r="E6" s="16">
        <v>0</v>
      </c>
      <c r="F6" s="29">
        <v>1211.2</v>
      </c>
      <c r="G6" s="29">
        <v>0</v>
      </c>
      <c r="H6" s="18">
        <f t="shared" si="1"/>
        <v>0</v>
      </c>
      <c r="I6" s="18">
        <f t="shared" si="2"/>
        <v>0.31529469285599349</v>
      </c>
      <c r="J6" s="17">
        <f t="shared" si="5"/>
        <v>381.88493198717936</v>
      </c>
      <c r="K6" s="17">
        <f t="shared" si="3"/>
        <v>31.823744332264948</v>
      </c>
      <c r="L6" s="16">
        <v>63</v>
      </c>
      <c r="M6" s="19">
        <f t="shared" si="6"/>
        <v>0.19047619047619047</v>
      </c>
      <c r="N6" s="16">
        <v>23</v>
      </c>
      <c r="O6" s="20">
        <f t="shared" ref="O6:P6" si="14">D6/7</f>
        <v>1.7142857142857142</v>
      </c>
      <c r="P6" s="20">
        <f t="shared" si="14"/>
        <v>0</v>
      </c>
      <c r="Q6" s="16">
        <f t="shared" si="8"/>
        <v>13</v>
      </c>
      <c r="R6" s="16"/>
      <c r="S6" s="21">
        <v>2.9649122807017498</v>
      </c>
      <c r="T6" s="14">
        <v>258</v>
      </c>
      <c r="U6" s="22">
        <v>100</v>
      </c>
      <c r="V6" s="23" t="s">
        <v>545</v>
      </c>
      <c r="W6" s="14">
        <v>0</v>
      </c>
      <c r="X6" s="24">
        <f t="shared" si="9"/>
        <v>0</v>
      </c>
      <c r="Y6" s="25">
        <f t="shared" si="10"/>
        <v>0</v>
      </c>
      <c r="Z6" s="14">
        <v>0</v>
      </c>
      <c r="AA6" s="14" t="s">
        <v>35</v>
      </c>
      <c r="AB6" s="27">
        <f t="shared" si="11"/>
        <v>-0.69</v>
      </c>
      <c r="AC6" s="28">
        <v>0.50536921296296311</v>
      </c>
      <c r="AD6" s="25">
        <f t="shared" si="12"/>
        <v>-8.3689141666666682</v>
      </c>
      <c r="AE6" s="25">
        <v>-11.88</v>
      </c>
      <c r="AF6" s="25">
        <v>-41.39217948717949</v>
      </c>
      <c r="AG6" s="25">
        <v>0</v>
      </c>
    </row>
    <row r="7" spans="1:33" ht="15.75" customHeight="1">
      <c r="A7" s="14" t="s">
        <v>187</v>
      </c>
      <c r="B7" s="14" t="s">
        <v>68</v>
      </c>
      <c r="C7" s="15">
        <f t="shared" si="4"/>
        <v>90.578823529411764</v>
      </c>
      <c r="D7" s="16">
        <v>17</v>
      </c>
      <c r="E7" s="16">
        <v>0</v>
      </c>
      <c r="F7" s="29">
        <v>1539.84</v>
      </c>
      <c r="G7" s="29">
        <v>0</v>
      </c>
      <c r="H7" s="18">
        <f t="shared" si="1"/>
        <v>0</v>
      </c>
      <c r="I7" s="18">
        <f t="shared" si="2"/>
        <v>0.25416990530304273</v>
      </c>
      <c r="J7" s="17">
        <f t="shared" si="5"/>
        <v>391.38098698183728</v>
      </c>
      <c r="K7" s="17">
        <f t="shared" si="3"/>
        <v>23.022410998931605</v>
      </c>
      <c r="L7" s="16">
        <v>60</v>
      </c>
      <c r="M7" s="19">
        <f t="shared" si="6"/>
        <v>0.28333333333333333</v>
      </c>
      <c r="N7" s="16">
        <v>4</v>
      </c>
      <c r="O7" s="20">
        <f t="shared" ref="O7:P7" si="15">D7/7</f>
        <v>2.4285714285714284</v>
      </c>
      <c r="P7" s="20">
        <f t="shared" si="15"/>
        <v>0</v>
      </c>
      <c r="Q7" s="16">
        <f t="shared" si="8"/>
        <v>1</v>
      </c>
      <c r="R7" s="16"/>
      <c r="S7" s="21">
        <v>3.9289940828402301</v>
      </c>
      <c r="T7" s="14">
        <v>500</v>
      </c>
      <c r="U7" s="22">
        <v>100</v>
      </c>
      <c r="V7" s="23" t="s">
        <v>546</v>
      </c>
      <c r="W7" s="14">
        <v>0</v>
      </c>
      <c r="X7" s="24">
        <f t="shared" si="9"/>
        <v>0</v>
      </c>
      <c r="Y7" s="25">
        <f t="shared" si="10"/>
        <v>0</v>
      </c>
      <c r="Z7" s="14">
        <v>0</v>
      </c>
      <c r="AA7" s="14" t="s">
        <v>35</v>
      </c>
      <c r="AB7" s="27">
        <f t="shared" si="11"/>
        <v>-0.69</v>
      </c>
      <c r="AC7" s="28">
        <v>0.50536921296296311</v>
      </c>
      <c r="AD7" s="25">
        <f t="shared" si="12"/>
        <v>-11.855961736111114</v>
      </c>
      <c r="AE7" s="25">
        <v>-11.88</v>
      </c>
      <c r="AF7" s="25">
        <v>-41.39217948717949</v>
      </c>
      <c r="AG7" s="25">
        <v>0</v>
      </c>
    </row>
    <row r="8" spans="1:33" ht="15.75" customHeight="1">
      <c r="A8" s="14" t="s">
        <v>189</v>
      </c>
      <c r="B8" s="14" t="s">
        <v>68</v>
      </c>
      <c r="C8" s="15">
        <f t="shared" si="4"/>
        <v>90.403999999999996</v>
      </c>
      <c r="D8" s="16">
        <v>10</v>
      </c>
      <c r="E8" s="16">
        <v>0</v>
      </c>
      <c r="F8" s="29">
        <v>904.04</v>
      </c>
      <c r="G8" s="29">
        <v>-0.08</v>
      </c>
      <c r="H8" s="18">
        <f t="shared" si="1"/>
        <v>8.8491659661076946E-5</v>
      </c>
      <c r="I8" s="18">
        <f t="shared" si="2"/>
        <v>0.25295330390371118</v>
      </c>
      <c r="J8" s="17">
        <f t="shared" si="5"/>
        <v>228.67990486111105</v>
      </c>
      <c r="K8" s="17">
        <f t="shared" si="3"/>
        <v>22.867990486111104</v>
      </c>
      <c r="L8" s="16">
        <v>13</v>
      </c>
      <c r="M8" s="19">
        <f t="shared" si="6"/>
        <v>0.76923076923076927</v>
      </c>
      <c r="N8" s="16">
        <v>43</v>
      </c>
      <c r="O8" s="20">
        <f t="shared" ref="O8:P8" si="16">D8/7</f>
        <v>1.4285714285714286</v>
      </c>
      <c r="P8" s="20">
        <f t="shared" si="16"/>
        <v>0</v>
      </c>
      <c r="Q8" s="16">
        <f t="shared" si="8"/>
        <v>30</v>
      </c>
      <c r="R8" s="16"/>
      <c r="S8" s="21">
        <v>3.7919075144508598</v>
      </c>
      <c r="T8" s="14">
        <v>400</v>
      </c>
      <c r="U8" s="22">
        <v>158</v>
      </c>
      <c r="V8" s="23" t="s">
        <v>547</v>
      </c>
      <c r="W8" s="14">
        <v>0</v>
      </c>
      <c r="X8" s="24">
        <f t="shared" si="9"/>
        <v>0</v>
      </c>
      <c r="Y8" s="25">
        <f t="shared" si="10"/>
        <v>0</v>
      </c>
      <c r="Z8" s="14">
        <v>0</v>
      </c>
      <c r="AA8" s="14" t="s">
        <v>35</v>
      </c>
      <c r="AB8" s="27">
        <f t="shared" si="11"/>
        <v>-0.69</v>
      </c>
      <c r="AC8" s="28">
        <v>0.50536921296296311</v>
      </c>
      <c r="AD8" s="25">
        <f t="shared" si="12"/>
        <v>-6.9740951388888908</v>
      </c>
      <c r="AE8" s="25">
        <v>-11.88</v>
      </c>
      <c r="AF8" s="25">
        <v>-41.39</v>
      </c>
      <c r="AG8" s="25">
        <v>0</v>
      </c>
    </row>
    <row r="9" spans="1:33" ht="15.75" customHeight="1">
      <c r="A9" s="14" t="s">
        <v>191</v>
      </c>
      <c r="B9" s="14" t="s">
        <v>68</v>
      </c>
      <c r="C9" s="15">
        <f t="shared" si="4"/>
        <v>90.687647058823529</v>
      </c>
      <c r="D9" s="16">
        <v>17</v>
      </c>
      <c r="E9" s="16">
        <v>0</v>
      </c>
      <c r="F9" s="29">
        <v>1541.69</v>
      </c>
      <c r="G9" s="29">
        <v>0</v>
      </c>
      <c r="H9" s="18">
        <f t="shared" si="1"/>
        <v>0</v>
      </c>
      <c r="I9" s="18">
        <f t="shared" si="2"/>
        <v>0.24572552818396723</v>
      </c>
      <c r="J9" s="17">
        <f t="shared" si="5"/>
        <v>378.83258954594044</v>
      </c>
      <c r="K9" s="17">
        <f t="shared" si="3"/>
        <v>22.284269973290613</v>
      </c>
      <c r="L9" s="16">
        <v>76</v>
      </c>
      <c r="M9" s="19">
        <f t="shared" si="6"/>
        <v>0.22368421052631579</v>
      </c>
      <c r="N9" s="16">
        <v>28</v>
      </c>
      <c r="O9" s="20">
        <f t="shared" ref="O9:P9" si="17">D9/7</f>
        <v>2.4285714285714284</v>
      </c>
      <c r="P9" s="20">
        <f t="shared" si="17"/>
        <v>0</v>
      </c>
      <c r="Q9" s="16">
        <f t="shared" si="8"/>
        <v>11</v>
      </c>
      <c r="R9" s="16"/>
      <c r="S9" s="21">
        <v>3.1658767772511802</v>
      </c>
      <c r="T9" s="14">
        <v>400</v>
      </c>
      <c r="U9" s="22">
        <v>158</v>
      </c>
      <c r="V9" s="23" t="s">
        <v>548</v>
      </c>
      <c r="W9" s="14">
        <v>0</v>
      </c>
      <c r="X9" s="24">
        <f t="shared" si="9"/>
        <v>0</v>
      </c>
      <c r="Y9" s="25">
        <f t="shared" si="10"/>
        <v>0</v>
      </c>
      <c r="Z9" s="14">
        <v>0</v>
      </c>
      <c r="AA9" s="14" t="s">
        <v>35</v>
      </c>
      <c r="AB9" s="27">
        <f t="shared" si="11"/>
        <v>-0.69</v>
      </c>
      <c r="AC9" s="28">
        <v>0.50536921296296311</v>
      </c>
      <c r="AD9" s="25">
        <f t="shared" si="12"/>
        <v>-11.855961736111114</v>
      </c>
      <c r="AE9" s="25">
        <v>-11.88</v>
      </c>
      <c r="AF9" s="25">
        <v>-42.222820512820498</v>
      </c>
      <c r="AG9" s="25">
        <v>0</v>
      </c>
    </row>
    <row r="10" spans="1:33" ht="15.75" customHeight="1">
      <c r="A10" s="14" t="s">
        <v>192</v>
      </c>
      <c r="B10" s="14" t="s">
        <v>549</v>
      </c>
      <c r="C10" s="15">
        <f t="shared" si="4"/>
        <v>92.391666666666666</v>
      </c>
      <c r="D10" s="16">
        <v>12</v>
      </c>
      <c r="E10" s="16">
        <v>0</v>
      </c>
      <c r="F10" s="29">
        <v>1108.7</v>
      </c>
      <c r="G10" s="29">
        <v>-0.08</v>
      </c>
      <c r="H10" s="18">
        <f t="shared" si="1"/>
        <v>7.2156579778118518E-5</v>
      </c>
      <c r="I10" s="18">
        <f t="shared" si="2"/>
        <v>0.2567982679529966</v>
      </c>
      <c r="J10" s="17">
        <f t="shared" si="5"/>
        <v>284.71223967948731</v>
      </c>
      <c r="K10" s="17">
        <f t="shared" si="3"/>
        <v>23.726019973290608</v>
      </c>
      <c r="L10" s="16">
        <v>88</v>
      </c>
      <c r="M10" s="19">
        <f t="shared" si="6"/>
        <v>0.13636363636363635</v>
      </c>
      <c r="N10" s="16">
        <v>10</v>
      </c>
      <c r="O10" s="20">
        <f t="shared" ref="O10:P10" si="18">D10/7</f>
        <v>1.7142857142857142</v>
      </c>
      <c r="P10" s="20">
        <f t="shared" si="18"/>
        <v>0</v>
      </c>
      <c r="Q10" s="16">
        <f t="shared" si="8"/>
        <v>5</v>
      </c>
      <c r="R10" s="16"/>
      <c r="S10" s="21">
        <v>4.2515723270440198</v>
      </c>
      <c r="T10" s="14">
        <v>400</v>
      </c>
      <c r="U10" s="22">
        <v>158</v>
      </c>
      <c r="V10" s="23" t="s">
        <v>550</v>
      </c>
      <c r="W10" s="14">
        <v>0</v>
      </c>
      <c r="X10" s="24">
        <f t="shared" si="9"/>
        <v>0</v>
      </c>
      <c r="Y10" s="25">
        <f t="shared" si="10"/>
        <v>0</v>
      </c>
      <c r="Z10" s="14">
        <v>0</v>
      </c>
      <c r="AA10" s="14" t="s">
        <v>35</v>
      </c>
      <c r="AB10" s="27">
        <f t="shared" si="11"/>
        <v>-0.69</v>
      </c>
      <c r="AC10" s="28">
        <v>0.50536921296296311</v>
      </c>
      <c r="AD10" s="25">
        <f t="shared" si="12"/>
        <v>-8.3689141666666682</v>
      </c>
      <c r="AE10" s="25">
        <v>-11.88</v>
      </c>
      <c r="AF10" s="25">
        <v>-42.222820512820498</v>
      </c>
      <c r="AG10" s="25">
        <v>0</v>
      </c>
    </row>
    <row r="11" spans="1:33" ht="15.75" customHeight="1">
      <c r="A11" s="14" t="s">
        <v>193</v>
      </c>
      <c r="B11" s="14" t="s">
        <v>551</v>
      </c>
      <c r="C11" s="15">
        <f t="shared" si="4"/>
        <v>94.416666666666657</v>
      </c>
      <c r="D11" s="16">
        <v>18</v>
      </c>
      <c r="E11" s="16">
        <v>0</v>
      </c>
      <c r="F11" s="29">
        <v>1699.4999999999998</v>
      </c>
      <c r="G11" s="29">
        <v>-0.08</v>
      </c>
      <c r="H11" s="18">
        <f t="shared" si="1"/>
        <v>4.7072668431891739E-5</v>
      </c>
      <c r="I11" s="18">
        <f t="shared" si="2"/>
        <v>0.26954448927286317</v>
      </c>
      <c r="J11" s="17">
        <f t="shared" si="5"/>
        <v>458.09085951923095</v>
      </c>
      <c r="K11" s="17">
        <f t="shared" si="3"/>
        <v>25.449492195512832</v>
      </c>
      <c r="L11" s="16">
        <v>86</v>
      </c>
      <c r="M11" s="19">
        <f t="shared" si="6"/>
        <v>0.20930232558139536</v>
      </c>
      <c r="N11" s="16">
        <v>55</v>
      </c>
      <c r="O11" s="20">
        <f t="shared" ref="O11:P11" si="19">D11/7</f>
        <v>2.5714285714285716</v>
      </c>
      <c r="P11" s="20">
        <f t="shared" si="19"/>
        <v>0</v>
      </c>
      <c r="Q11" s="16">
        <f t="shared" si="8"/>
        <v>21</v>
      </c>
      <c r="R11" s="16"/>
      <c r="S11" s="21">
        <v>4.2767295597484196</v>
      </c>
      <c r="T11" s="14">
        <v>400</v>
      </c>
      <c r="U11" s="22">
        <v>158</v>
      </c>
      <c r="V11" s="23" t="s">
        <v>552</v>
      </c>
      <c r="W11" s="14">
        <v>0</v>
      </c>
      <c r="X11" s="24">
        <f t="shared" si="9"/>
        <v>0</v>
      </c>
      <c r="Y11" s="25">
        <f t="shared" si="10"/>
        <v>0</v>
      </c>
      <c r="Z11" s="14">
        <v>0</v>
      </c>
      <c r="AA11" s="14" t="s">
        <v>35</v>
      </c>
      <c r="AB11" s="27">
        <f t="shared" si="11"/>
        <v>-0.69</v>
      </c>
      <c r="AC11" s="28">
        <v>0.50536921296296311</v>
      </c>
      <c r="AD11" s="25">
        <f t="shared" si="12"/>
        <v>-12.553371250000003</v>
      </c>
      <c r="AE11" s="25">
        <v>-11.88</v>
      </c>
      <c r="AF11" s="25">
        <v>-42.222820512820498</v>
      </c>
      <c r="AG11" s="25">
        <v>0</v>
      </c>
    </row>
    <row r="12" spans="1:33" ht="15.75" customHeight="1">
      <c r="A12" s="14" t="s">
        <v>195</v>
      </c>
      <c r="B12" s="14" t="s">
        <v>553</v>
      </c>
      <c r="C12" s="15">
        <f t="shared" si="4"/>
        <v>91.77</v>
      </c>
      <c r="D12" s="16">
        <v>13</v>
      </c>
      <c r="E12" s="16">
        <v>0</v>
      </c>
      <c r="F12" s="29">
        <v>1193.01</v>
      </c>
      <c r="G12" s="29">
        <v>0</v>
      </c>
      <c r="H12" s="18">
        <f t="shared" si="1"/>
        <v>0</v>
      </c>
      <c r="I12" s="18">
        <f t="shared" si="2"/>
        <v>0.25285245693898456</v>
      </c>
      <c r="J12" s="17">
        <f t="shared" si="5"/>
        <v>301.65550965277799</v>
      </c>
      <c r="K12" s="17">
        <f t="shared" si="3"/>
        <v>23.204269973290614</v>
      </c>
      <c r="L12" s="16">
        <v>52</v>
      </c>
      <c r="M12" s="19">
        <f t="shared" si="6"/>
        <v>0.25</v>
      </c>
      <c r="N12" s="16">
        <v>33</v>
      </c>
      <c r="O12" s="20">
        <f t="shared" ref="O12:P12" si="20">D12/7</f>
        <v>1.8571428571428572</v>
      </c>
      <c r="P12" s="20">
        <f t="shared" si="20"/>
        <v>0</v>
      </c>
      <c r="Q12" s="16">
        <f t="shared" si="8"/>
        <v>17</v>
      </c>
      <c r="R12" s="16"/>
      <c r="S12" s="21">
        <v>6.4</v>
      </c>
      <c r="T12" s="14">
        <v>400</v>
      </c>
      <c r="U12" s="22">
        <v>158</v>
      </c>
      <c r="V12" s="23" t="s">
        <v>554</v>
      </c>
      <c r="W12" s="14">
        <v>0</v>
      </c>
      <c r="X12" s="24">
        <f t="shared" si="9"/>
        <v>0</v>
      </c>
      <c r="Y12" s="25">
        <f t="shared" si="10"/>
        <v>0</v>
      </c>
      <c r="Z12" s="14">
        <v>0</v>
      </c>
      <c r="AA12" s="14" t="s">
        <v>35</v>
      </c>
      <c r="AB12" s="27">
        <f t="shared" si="11"/>
        <v>-0.69</v>
      </c>
      <c r="AC12" s="28">
        <v>0.50536921296296311</v>
      </c>
      <c r="AD12" s="25">
        <f t="shared" si="12"/>
        <v>-9.0663236805555574</v>
      </c>
      <c r="AE12" s="25">
        <v>-11.88</v>
      </c>
      <c r="AF12" s="25">
        <v>-42.222820512820498</v>
      </c>
      <c r="AG12" s="25">
        <v>0</v>
      </c>
    </row>
    <row r="13" spans="1:33" ht="15.75" customHeight="1">
      <c r="A13" s="14" t="s">
        <v>197</v>
      </c>
      <c r="B13" s="14" t="s">
        <v>555</v>
      </c>
      <c r="C13" s="15">
        <f t="shared" si="4"/>
        <v>89.502500000000012</v>
      </c>
      <c r="D13" s="16">
        <v>16</v>
      </c>
      <c r="E13" s="16">
        <v>1</v>
      </c>
      <c r="F13" s="17">
        <v>1432.0400000000002</v>
      </c>
      <c r="G13" s="29">
        <v>0</v>
      </c>
      <c r="H13" s="18">
        <f t="shared" si="1"/>
        <v>0</v>
      </c>
      <c r="I13" s="18">
        <f t="shared" si="2"/>
        <v>0.23283947918897369</v>
      </c>
      <c r="J13" s="17">
        <f t="shared" si="5"/>
        <v>333.43544777777794</v>
      </c>
      <c r="K13" s="17">
        <f t="shared" si="3"/>
        <v>20.839715486111121</v>
      </c>
      <c r="L13" s="16">
        <v>31</v>
      </c>
      <c r="M13" s="19">
        <f t="shared" si="6"/>
        <v>0.5161290322580645</v>
      </c>
      <c r="N13" s="16">
        <v>17</v>
      </c>
      <c r="O13" s="20">
        <f t="shared" ref="O13:P13" si="21">D13/7</f>
        <v>2.2857142857142856</v>
      </c>
      <c r="P13" s="20">
        <f t="shared" si="21"/>
        <v>0.14285714285714285</v>
      </c>
      <c r="Q13" s="16">
        <f t="shared" si="8"/>
        <v>7</v>
      </c>
      <c r="R13" s="16"/>
      <c r="S13" s="21">
        <v>5.2537313432835804</v>
      </c>
      <c r="T13" s="14">
        <v>400</v>
      </c>
      <c r="U13" s="22">
        <v>158</v>
      </c>
      <c r="V13" s="23" t="s">
        <v>554</v>
      </c>
      <c r="W13" s="14">
        <v>0</v>
      </c>
      <c r="X13" s="24">
        <f t="shared" si="9"/>
        <v>0</v>
      </c>
      <c r="Y13" s="25">
        <f t="shared" si="10"/>
        <v>0</v>
      </c>
      <c r="Z13" s="14">
        <v>0</v>
      </c>
      <c r="AA13" s="14" t="s">
        <v>35</v>
      </c>
      <c r="AB13" s="27">
        <f t="shared" si="11"/>
        <v>-0.69</v>
      </c>
      <c r="AC13" s="28">
        <v>0.50536921296296311</v>
      </c>
      <c r="AD13" s="25">
        <f t="shared" si="12"/>
        <v>-11.158552222222225</v>
      </c>
      <c r="AE13" s="25">
        <v>-11.88</v>
      </c>
      <c r="AF13" s="25">
        <v>-42.66</v>
      </c>
      <c r="AG13" s="25">
        <v>0</v>
      </c>
    </row>
    <row r="14" spans="1:33" ht="15.75" customHeight="1">
      <c r="A14" s="14" t="s">
        <v>32</v>
      </c>
      <c r="B14" s="14" t="s">
        <v>556</v>
      </c>
      <c r="C14" s="15">
        <f t="shared" si="4"/>
        <v>113.65300000000005</v>
      </c>
      <c r="D14" s="16">
        <v>10</v>
      </c>
      <c r="E14" s="16">
        <v>0</v>
      </c>
      <c r="F14" s="17">
        <v>1136.5300000000004</v>
      </c>
      <c r="G14" s="29">
        <v>-7.0000000000000007E-2</v>
      </c>
      <c r="H14" s="18">
        <f t="shared" si="1"/>
        <v>6.1590983080077059E-5</v>
      </c>
      <c r="I14" s="18">
        <f t="shared" si="2"/>
        <v>0.36392035833731723</v>
      </c>
      <c r="J14" s="17">
        <f t="shared" si="5"/>
        <v>413.60640486111129</v>
      </c>
      <c r="K14" s="17">
        <f t="shared" si="3"/>
        <v>41.36064048611113</v>
      </c>
      <c r="L14" s="16">
        <v>51</v>
      </c>
      <c r="M14" s="19">
        <f t="shared" si="6"/>
        <v>0.19607843137254902</v>
      </c>
      <c r="N14" s="16">
        <v>10</v>
      </c>
      <c r="O14" s="20">
        <f t="shared" ref="O14:P14" si="22">D14/7</f>
        <v>1.4285714285714286</v>
      </c>
      <c r="P14" s="20">
        <f t="shared" si="22"/>
        <v>0</v>
      </c>
      <c r="Q14" s="16">
        <f t="shared" si="8"/>
        <v>7</v>
      </c>
      <c r="R14" s="16"/>
      <c r="S14" s="21">
        <v>4.7591240875912399</v>
      </c>
      <c r="T14" s="14">
        <v>400</v>
      </c>
      <c r="U14" s="22">
        <v>158</v>
      </c>
      <c r="V14" s="23" t="s">
        <v>554</v>
      </c>
      <c r="W14" s="14">
        <v>1</v>
      </c>
      <c r="X14" s="24">
        <f t="shared" si="9"/>
        <v>0.1</v>
      </c>
      <c r="Y14" s="25">
        <f t="shared" si="10"/>
        <v>7.0000000000000007E-2</v>
      </c>
      <c r="Z14" s="14">
        <v>0</v>
      </c>
      <c r="AA14" s="14" t="s">
        <v>35</v>
      </c>
      <c r="AB14" s="27">
        <f t="shared" si="11"/>
        <v>-0.69</v>
      </c>
      <c r="AC14" s="28">
        <v>0.50536921296296311</v>
      </c>
      <c r="AD14" s="25">
        <f t="shared" si="12"/>
        <v>-6.9740951388888908</v>
      </c>
      <c r="AE14" s="25">
        <v>-11.88</v>
      </c>
      <c r="AF14" s="25">
        <v>-42.66</v>
      </c>
      <c r="AG14" s="25">
        <v>0</v>
      </c>
    </row>
    <row r="15" spans="1:33" ht="15.75" customHeight="1">
      <c r="A15" s="14" t="s">
        <v>36</v>
      </c>
      <c r="B15" s="14" t="s">
        <v>343</v>
      </c>
      <c r="C15" s="15">
        <f t="shared" si="4"/>
        <v>124.604</v>
      </c>
      <c r="D15" s="16">
        <v>5</v>
      </c>
      <c r="E15" s="16">
        <v>1</v>
      </c>
      <c r="F15" s="17">
        <v>623.02</v>
      </c>
      <c r="G15" s="29">
        <v>0</v>
      </c>
      <c r="H15" s="18">
        <f t="shared" si="1"/>
        <v>0</v>
      </c>
      <c r="I15" s="18">
        <f t="shared" si="2"/>
        <v>0.41175235535063986</v>
      </c>
      <c r="J15" s="17">
        <f t="shared" si="5"/>
        <v>256.52995243055562</v>
      </c>
      <c r="K15" s="17">
        <f t="shared" si="3"/>
        <v>51.305990486111128</v>
      </c>
      <c r="L15" s="16">
        <v>39</v>
      </c>
      <c r="M15" s="19">
        <f t="shared" si="6"/>
        <v>0.12820512820512819</v>
      </c>
      <c r="N15" s="16">
        <v>0</v>
      </c>
      <c r="O15" s="20">
        <f t="shared" ref="O15:P15" si="23">D15/7</f>
        <v>0.7142857142857143</v>
      </c>
      <c r="P15" s="20">
        <f t="shared" si="23"/>
        <v>0.14285714285714285</v>
      </c>
      <c r="Q15" s="16">
        <f t="shared" si="8"/>
        <v>0</v>
      </c>
      <c r="R15" s="16"/>
      <c r="S15" s="21" t="e">
        <v>#N/A</v>
      </c>
      <c r="T15" s="14">
        <v>400</v>
      </c>
      <c r="U15" s="22">
        <v>158</v>
      </c>
      <c r="V15" s="23" t="s">
        <v>557</v>
      </c>
      <c r="W15" s="14">
        <v>0</v>
      </c>
      <c r="X15" s="24">
        <f t="shared" si="9"/>
        <v>0</v>
      </c>
      <c r="Y15" s="25">
        <f t="shared" si="10"/>
        <v>0</v>
      </c>
      <c r="Z15" s="14">
        <v>0</v>
      </c>
      <c r="AA15" s="14" t="s">
        <v>35</v>
      </c>
      <c r="AB15" s="27">
        <f t="shared" si="11"/>
        <v>-0.69</v>
      </c>
      <c r="AC15" s="28">
        <v>0.50536921296296311</v>
      </c>
      <c r="AD15" s="25">
        <f t="shared" si="12"/>
        <v>-3.4870475694444454</v>
      </c>
      <c r="AE15" s="25">
        <v>-11.88</v>
      </c>
      <c r="AF15" s="25">
        <v>-42.03</v>
      </c>
      <c r="AG15" s="25">
        <v>0</v>
      </c>
    </row>
    <row r="16" spans="1:33" ht="15.75" customHeight="1">
      <c r="A16" s="14" t="s">
        <v>38</v>
      </c>
      <c r="B16" s="14"/>
      <c r="C16" s="15" t="str">
        <f t="shared" si="4"/>
        <v xml:space="preserve"> - </v>
      </c>
      <c r="D16" s="16">
        <v>0</v>
      </c>
      <c r="E16" s="16">
        <v>0</v>
      </c>
      <c r="F16" s="17">
        <v>0</v>
      </c>
      <c r="G16" s="29">
        <v>0</v>
      </c>
      <c r="H16" s="18" t="e">
        <f t="shared" si="1"/>
        <v>#DIV/0!</v>
      </c>
      <c r="I16" s="18" t="e">
        <f t="shared" si="2"/>
        <v>#DIV/0!</v>
      </c>
      <c r="J16" s="17">
        <f t="shared" si="5"/>
        <v>0</v>
      </c>
      <c r="K16" s="17" t="e">
        <f t="shared" si="3"/>
        <v>#DIV/0!</v>
      </c>
      <c r="L16" s="16">
        <v>0</v>
      </c>
      <c r="M16" s="19" t="str">
        <f t="shared" si="6"/>
        <v>-</v>
      </c>
      <c r="N16" s="16">
        <v>0</v>
      </c>
      <c r="O16" s="20">
        <f t="shared" ref="O16:P16" si="24">D16/7</f>
        <v>0</v>
      </c>
      <c r="P16" s="20">
        <f t="shared" si="24"/>
        <v>0</v>
      </c>
      <c r="Q16" s="16" t="e">
        <f t="shared" si="8"/>
        <v>#DIV/0!</v>
      </c>
      <c r="R16" s="16"/>
      <c r="S16" s="21" t="e">
        <v>#N/A</v>
      </c>
      <c r="T16" s="14">
        <v>400</v>
      </c>
      <c r="U16" s="22">
        <v>158</v>
      </c>
      <c r="V16" s="23" t="s">
        <v>558</v>
      </c>
      <c r="W16" s="14">
        <v>0</v>
      </c>
      <c r="X16" s="24">
        <f t="shared" si="9"/>
        <v>0</v>
      </c>
      <c r="Y16" s="25">
        <f t="shared" si="10"/>
        <v>0</v>
      </c>
      <c r="Z16" s="14">
        <v>0</v>
      </c>
      <c r="AA16" s="14" t="e">
        <v>#N/A</v>
      </c>
      <c r="AB16" s="27" t="e">
        <f t="shared" si="11"/>
        <v>#N/A</v>
      </c>
      <c r="AC16" s="28" t="e">
        <v>#N/A</v>
      </c>
      <c r="AD16" s="25">
        <f t="shared" si="12"/>
        <v>0</v>
      </c>
      <c r="AE16" s="25">
        <v>0</v>
      </c>
      <c r="AF16" s="25">
        <v>-42.03</v>
      </c>
      <c r="AG16" s="25">
        <v>0</v>
      </c>
    </row>
    <row r="17" spans="1:33" ht="15.75" customHeight="1">
      <c r="A17" s="14" t="s">
        <v>40</v>
      </c>
      <c r="B17" s="14" t="s">
        <v>559</v>
      </c>
      <c r="C17" s="15" t="str">
        <f t="shared" si="4"/>
        <v xml:space="preserve"> - </v>
      </c>
      <c r="D17" s="16">
        <v>0</v>
      </c>
      <c r="E17" s="16">
        <v>0</v>
      </c>
      <c r="F17" s="17">
        <v>0</v>
      </c>
      <c r="G17" s="29">
        <v>0</v>
      </c>
      <c r="H17" s="18" t="e">
        <f t="shared" si="1"/>
        <v>#DIV/0!</v>
      </c>
      <c r="I17" s="18" t="e">
        <f t="shared" si="2"/>
        <v>#DIV/0!</v>
      </c>
      <c r="J17" s="17">
        <f t="shared" si="5"/>
        <v>0</v>
      </c>
      <c r="K17" s="17" t="e">
        <f t="shared" si="3"/>
        <v>#DIV/0!</v>
      </c>
      <c r="L17" s="16">
        <v>0</v>
      </c>
      <c r="M17" s="19" t="str">
        <f t="shared" si="6"/>
        <v>-</v>
      </c>
      <c r="N17" s="16">
        <v>0</v>
      </c>
      <c r="O17" s="20">
        <f t="shared" ref="O17:P17" si="25">D17/7</f>
        <v>0</v>
      </c>
      <c r="P17" s="20">
        <f t="shared" si="25"/>
        <v>0</v>
      </c>
      <c r="Q17" s="16" t="e">
        <f t="shared" si="8"/>
        <v>#DIV/0!</v>
      </c>
      <c r="R17" s="16"/>
      <c r="S17" s="21" t="e">
        <v>#N/A</v>
      </c>
      <c r="T17" s="14">
        <v>242</v>
      </c>
      <c r="U17" s="22">
        <v>120</v>
      </c>
      <c r="V17" s="23" t="s">
        <v>560</v>
      </c>
      <c r="W17" s="14">
        <v>0</v>
      </c>
      <c r="X17" s="24">
        <f t="shared" si="9"/>
        <v>0</v>
      </c>
      <c r="Y17" s="25">
        <f t="shared" si="10"/>
        <v>0</v>
      </c>
      <c r="Z17" s="14">
        <v>0</v>
      </c>
      <c r="AA17" s="14" t="e">
        <v>#N/A</v>
      </c>
      <c r="AB17" s="27" t="e">
        <f t="shared" si="11"/>
        <v>#N/A</v>
      </c>
      <c r="AC17" s="28" t="e">
        <v>#N/A</v>
      </c>
      <c r="AD17" s="25">
        <f t="shared" si="12"/>
        <v>0</v>
      </c>
      <c r="AE17" s="25">
        <v>0</v>
      </c>
      <c r="AF17" s="25">
        <v>-42.03</v>
      </c>
      <c r="AG17" s="25">
        <v>0</v>
      </c>
    </row>
    <row r="18" spans="1:33" ht="15.75" customHeight="1">
      <c r="A18" s="14" t="s">
        <v>42</v>
      </c>
      <c r="B18" s="14" t="s">
        <v>83</v>
      </c>
      <c r="C18" s="15">
        <f t="shared" si="4"/>
        <v>89.99</v>
      </c>
      <c r="D18" s="16">
        <v>21</v>
      </c>
      <c r="E18" s="16">
        <v>0</v>
      </c>
      <c r="F18" s="17">
        <v>1889.79</v>
      </c>
      <c r="G18" s="29">
        <v>0</v>
      </c>
      <c r="H18" s="18">
        <f t="shared" si="1"/>
        <v>0</v>
      </c>
      <c r="I18" s="18">
        <f t="shared" si="2"/>
        <v>0.24318358135471843</v>
      </c>
      <c r="J18" s="17">
        <f t="shared" si="5"/>
        <v>459.56590020833335</v>
      </c>
      <c r="K18" s="17">
        <f t="shared" si="3"/>
        <v>21.884090486111113</v>
      </c>
      <c r="L18" s="16">
        <v>51</v>
      </c>
      <c r="M18" s="19">
        <f t="shared" si="6"/>
        <v>0.41176470588235292</v>
      </c>
      <c r="N18" s="16">
        <v>142</v>
      </c>
      <c r="O18" s="20">
        <f t="shared" ref="O18:P18" si="26">D18/7</f>
        <v>3</v>
      </c>
      <c r="P18" s="20">
        <f t="shared" si="26"/>
        <v>0</v>
      </c>
      <c r="Q18" s="16">
        <f t="shared" si="8"/>
        <v>47</v>
      </c>
      <c r="R18" s="16"/>
      <c r="S18" s="21">
        <v>2.4932735426008898</v>
      </c>
      <c r="T18" s="14">
        <v>242</v>
      </c>
      <c r="U18" s="22">
        <v>0</v>
      </c>
      <c r="V18" s="23" t="s">
        <v>561</v>
      </c>
      <c r="W18" s="14">
        <v>0</v>
      </c>
      <c r="X18" s="24">
        <f t="shared" si="9"/>
        <v>0</v>
      </c>
      <c r="Y18" s="25">
        <f t="shared" si="10"/>
        <v>0</v>
      </c>
      <c r="Z18" s="14">
        <v>0</v>
      </c>
      <c r="AA18" s="14" t="s">
        <v>35</v>
      </c>
      <c r="AB18" s="27">
        <f t="shared" si="11"/>
        <v>-0.69</v>
      </c>
      <c r="AC18" s="28">
        <v>0.50536921296296311</v>
      </c>
      <c r="AD18" s="25">
        <f t="shared" si="12"/>
        <v>-14.645599791666671</v>
      </c>
      <c r="AE18" s="25">
        <v>-11.88</v>
      </c>
      <c r="AF18" s="25">
        <v>-42.03</v>
      </c>
      <c r="AG18" s="25">
        <v>0</v>
      </c>
    </row>
    <row r="19" spans="1:33" ht="15.75" customHeight="1">
      <c r="A19" s="14" t="s">
        <v>44</v>
      </c>
      <c r="B19" s="14" t="s">
        <v>83</v>
      </c>
      <c r="C19" s="15">
        <f t="shared" si="4"/>
        <v>89.989999999999981</v>
      </c>
      <c r="D19" s="16">
        <v>25</v>
      </c>
      <c r="E19" s="16">
        <v>1</v>
      </c>
      <c r="F19" s="17">
        <v>2249.7499999999995</v>
      </c>
      <c r="G19" s="29">
        <v>0</v>
      </c>
      <c r="H19" s="18">
        <f t="shared" si="1"/>
        <v>0</v>
      </c>
      <c r="I19" s="18">
        <f t="shared" si="2"/>
        <v>0.22172564158363242</v>
      </c>
      <c r="J19" s="17">
        <f t="shared" si="5"/>
        <v>498.82726215277694</v>
      </c>
      <c r="K19" s="17">
        <f t="shared" si="3"/>
        <v>19.953090486111076</v>
      </c>
      <c r="L19" s="16">
        <v>64</v>
      </c>
      <c r="M19" s="19">
        <f t="shared" si="6"/>
        <v>0.390625</v>
      </c>
      <c r="N19" s="16">
        <v>239</v>
      </c>
      <c r="O19" s="20">
        <f t="shared" ref="O19:P19" si="27">D19/7</f>
        <v>3.5714285714285716</v>
      </c>
      <c r="P19" s="20">
        <f t="shared" si="27"/>
        <v>0.14285714285714285</v>
      </c>
      <c r="Q19" s="16">
        <f t="shared" si="8"/>
        <v>64</v>
      </c>
      <c r="R19" s="16"/>
      <c r="S19" s="21">
        <v>2.06849315068493</v>
      </c>
      <c r="T19" s="14">
        <v>122</v>
      </c>
      <c r="U19" s="22" t="s">
        <v>34</v>
      </c>
      <c r="V19" s="23" t="s">
        <v>34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14" t="s">
        <v>35</v>
      </c>
      <c r="AB19" s="27">
        <f t="shared" si="11"/>
        <v>-0.69</v>
      </c>
      <c r="AC19" s="28">
        <v>0.50536921296296311</v>
      </c>
      <c r="AD19" s="25">
        <f t="shared" si="12"/>
        <v>-17.435237847222226</v>
      </c>
      <c r="AE19" s="25">
        <v>-11.88</v>
      </c>
      <c r="AF19" s="25">
        <v>-43.961000000000013</v>
      </c>
      <c r="AG19" s="25">
        <v>0</v>
      </c>
    </row>
    <row r="20" spans="1:33" ht="15.75" customHeight="1">
      <c r="A20" s="14" t="s">
        <v>46</v>
      </c>
      <c r="B20" s="14" t="s">
        <v>562</v>
      </c>
      <c r="C20" s="15">
        <f t="shared" si="4"/>
        <v>87.418857142857092</v>
      </c>
      <c r="D20" s="16">
        <v>35</v>
      </c>
      <c r="E20" s="16">
        <v>2</v>
      </c>
      <c r="F20" s="17">
        <v>3059.659999999998</v>
      </c>
      <c r="G20" s="29">
        <v>0</v>
      </c>
      <c r="H20" s="18">
        <f t="shared" si="1"/>
        <v>0</v>
      </c>
      <c r="I20" s="18">
        <f t="shared" si="2"/>
        <v>0.20324698398315083</v>
      </c>
      <c r="J20" s="17">
        <f t="shared" si="5"/>
        <v>621.86666701388685</v>
      </c>
      <c r="K20" s="17">
        <f t="shared" si="3"/>
        <v>17.767619057539623</v>
      </c>
      <c r="L20" s="16">
        <v>81</v>
      </c>
      <c r="M20" s="19">
        <f t="shared" si="6"/>
        <v>0.43209876543209874</v>
      </c>
      <c r="N20" s="16">
        <v>194</v>
      </c>
      <c r="O20" s="20">
        <f t="shared" ref="O20:P20" si="28">D20/7</f>
        <v>5</v>
      </c>
      <c r="P20" s="20">
        <f t="shared" si="28"/>
        <v>0.2857142857142857</v>
      </c>
      <c r="Q20" s="16">
        <f t="shared" si="8"/>
        <v>36</v>
      </c>
      <c r="R20" s="16"/>
      <c r="S20" s="21">
        <v>2.4117647058823501</v>
      </c>
      <c r="T20" s="14">
        <v>122</v>
      </c>
      <c r="U20" s="22" t="s">
        <v>34</v>
      </c>
      <c r="V20" s="23" t="s">
        <v>34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14" t="s">
        <v>35</v>
      </c>
      <c r="AB20" s="27">
        <f t="shared" si="11"/>
        <v>-0.69</v>
      </c>
      <c r="AC20" s="28">
        <v>0.50536921296296311</v>
      </c>
      <c r="AD20" s="25">
        <f t="shared" si="12"/>
        <v>-24.409332986111117</v>
      </c>
      <c r="AE20" s="25">
        <v>-11.88</v>
      </c>
      <c r="AF20" s="25">
        <v>-43.961000000000013</v>
      </c>
      <c r="AG20" s="25">
        <v>0</v>
      </c>
    </row>
    <row r="21" spans="1:33" ht="15.75" customHeight="1">
      <c r="A21" s="14" t="s">
        <v>47</v>
      </c>
      <c r="B21" s="14" t="s">
        <v>563</v>
      </c>
      <c r="C21" s="15">
        <f t="shared" si="4"/>
        <v>102.56666666666666</v>
      </c>
      <c r="D21" s="16">
        <v>9</v>
      </c>
      <c r="E21" s="16">
        <v>1</v>
      </c>
      <c r="F21" s="17">
        <v>923.1</v>
      </c>
      <c r="G21" s="29">
        <v>-0.05</v>
      </c>
      <c r="H21" s="18">
        <f t="shared" si="1"/>
        <v>5.4165312533853324E-5</v>
      </c>
      <c r="I21" s="18">
        <f t="shared" si="2"/>
        <v>0.29871012281984605</v>
      </c>
      <c r="J21" s="17">
        <f t="shared" si="5"/>
        <v>275.73931437499988</v>
      </c>
      <c r="K21" s="17">
        <f t="shared" si="3"/>
        <v>30.637701597222208</v>
      </c>
      <c r="L21" s="16">
        <v>42</v>
      </c>
      <c r="M21" s="19">
        <f t="shared" si="6"/>
        <v>0.21428571428571427</v>
      </c>
      <c r="N21" s="16">
        <v>176</v>
      </c>
      <c r="O21" s="20">
        <f t="shared" ref="O21:P21" si="29">D21/7</f>
        <v>1.2857142857142858</v>
      </c>
      <c r="P21" s="20">
        <f t="shared" si="29"/>
        <v>0.14285714285714285</v>
      </c>
      <c r="Q21" s="16">
        <f t="shared" si="8"/>
        <v>123</v>
      </c>
      <c r="R21" s="16"/>
      <c r="S21" s="21">
        <v>2.93333333333333</v>
      </c>
      <c r="T21" s="14">
        <v>122</v>
      </c>
      <c r="U21" s="22" t="s">
        <v>34</v>
      </c>
      <c r="V21" s="23" t="s">
        <v>34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14" t="s">
        <v>35</v>
      </c>
      <c r="AB21" s="27">
        <f t="shared" si="11"/>
        <v>-0.69</v>
      </c>
      <c r="AC21" s="28">
        <v>0.50536921296296311</v>
      </c>
      <c r="AD21" s="25">
        <f t="shared" si="12"/>
        <v>-6.2766856250000016</v>
      </c>
      <c r="AE21" s="25">
        <v>-11.88</v>
      </c>
      <c r="AF21" s="25">
        <v>-43.961000000000013</v>
      </c>
      <c r="AG21" s="25">
        <v>0</v>
      </c>
    </row>
    <row r="22" spans="1:33" ht="15.75" customHeight="1">
      <c r="A22" s="14" t="s">
        <v>48</v>
      </c>
      <c r="B22" s="14" t="s">
        <v>68</v>
      </c>
      <c r="C22" s="15">
        <f t="shared" si="4"/>
        <v>102.68727272727274</v>
      </c>
      <c r="D22" s="16">
        <v>22</v>
      </c>
      <c r="E22" s="16">
        <v>0</v>
      </c>
      <c r="F22" s="29">
        <v>2259.1200000000003</v>
      </c>
      <c r="G22" s="29">
        <v>0</v>
      </c>
      <c r="H22" s="18">
        <f t="shared" si="1"/>
        <v>0</v>
      </c>
      <c r="I22" s="18">
        <f t="shared" si="2"/>
        <v>0.29941171371792741</v>
      </c>
      <c r="J22" s="17">
        <f t="shared" si="5"/>
        <v>676.40699069444429</v>
      </c>
      <c r="K22" s="17">
        <f t="shared" si="3"/>
        <v>30.745772304292924</v>
      </c>
      <c r="L22" s="16">
        <v>76</v>
      </c>
      <c r="M22" s="19">
        <f t="shared" si="6"/>
        <v>0.28947368421052633</v>
      </c>
      <c r="N22" s="16">
        <v>160</v>
      </c>
      <c r="O22" s="20">
        <f t="shared" ref="O22:P22" si="30">D22/7</f>
        <v>3.1428571428571428</v>
      </c>
      <c r="P22" s="20">
        <f t="shared" si="30"/>
        <v>0</v>
      </c>
      <c r="Q22" s="16">
        <f t="shared" si="8"/>
        <v>50</v>
      </c>
      <c r="R22" s="16"/>
      <c r="S22" s="21">
        <v>1.9891304347826</v>
      </c>
      <c r="T22" s="14">
        <v>158</v>
      </c>
      <c r="U22" s="22">
        <v>36</v>
      </c>
      <c r="V22" s="23" t="s">
        <v>564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35</v>
      </c>
      <c r="AB22" s="27">
        <f t="shared" si="11"/>
        <v>-0.69</v>
      </c>
      <c r="AC22" s="28">
        <v>0.50536921296296311</v>
      </c>
      <c r="AD22" s="25">
        <f t="shared" si="12"/>
        <v>-15.34300930555556</v>
      </c>
      <c r="AE22" s="25">
        <v>-11.88</v>
      </c>
      <c r="AF22" s="25">
        <v>-43.961000000000013</v>
      </c>
      <c r="AG22" s="25">
        <v>0</v>
      </c>
    </row>
    <row r="23" spans="1:33" ht="15.75" customHeight="1">
      <c r="A23" s="14" t="s">
        <v>49</v>
      </c>
      <c r="B23" s="14" t="s">
        <v>565</v>
      </c>
      <c r="C23" s="15">
        <f t="shared" si="4"/>
        <v>94.676944444444416</v>
      </c>
      <c r="D23" s="16">
        <v>36</v>
      </c>
      <c r="E23" s="16">
        <v>0</v>
      </c>
      <c r="F23" s="17">
        <v>3408.369999999999</v>
      </c>
      <c r="G23" s="29">
        <v>-0.06</v>
      </c>
      <c r="H23" s="18">
        <f t="shared" si="1"/>
        <v>1.7603722600539264E-5</v>
      </c>
      <c r="I23" s="18">
        <f t="shared" si="2"/>
        <v>0.25281050986248532</v>
      </c>
      <c r="J23" s="17">
        <f t="shared" si="5"/>
        <v>861.67175749999876</v>
      </c>
      <c r="K23" s="17">
        <f t="shared" si="3"/>
        <v>23.935326597222186</v>
      </c>
      <c r="L23" s="16">
        <v>93</v>
      </c>
      <c r="M23" s="19">
        <f t="shared" si="6"/>
        <v>0.38709677419354838</v>
      </c>
      <c r="N23" s="16">
        <v>128</v>
      </c>
      <c r="O23" s="20">
        <f t="shared" ref="O23:P23" si="31">D23/7</f>
        <v>5.1428571428571432</v>
      </c>
      <c r="P23" s="20">
        <f t="shared" si="31"/>
        <v>0</v>
      </c>
      <c r="Q23" s="16">
        <f t="shared" si="8"/>
        <v>24</v>
      </c>
      <c r="R23" s="16"/>
      <c r="S23" s="21">
        <v>2.41533546325878</v>
      </c>
      <c r="T23" s="14">
        <v>36</v>
      </c>
      <c r="U23" s="22">
        <v>36</v>
      </c>
      <c r="V23" s="23" t="s">
        <v>564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35</v>
      </c>
      <c r="AB23" s="27">
        <f t="shared" si="11"/>
        <v>-0.69</v>
      </c>
      <c r="AC23" s="28">
        <v>0.50536921296296311</v>
      </c>
      <c r="AD23" s="25">
        <f t="shared" si="12"/>
        <v>-25.106742500000006</v>
      </c>
      <c r="AE23" s="25">
        <v>-11.88</v>
      </c>
      <c r="AF23" s="25">
        <v>-43.961000000000013</v>
      </c>
      <c r="AG23" s="25">
        <v>0</v>
      </c>
    </row>
    <row r="24" spans="1:33" ht="15.75" customHeight="1">
      <c r="A24" s="14" t="s">
        <v>50</v>
      </c>
      <c r="B24" s="14" t="s">
        <v>566</v>
      </c>
      <c r="C24" s="15">
        <f t="shared" si="4"/>
        <v>93.322162162162215</v>
      </c>
      <c r="D24" s="16">
        <v>37</v>
      </c>
      <c r="E24" s="16">
        <v>0</v>
      </c>
      <c r="F24" s="17">
        <v>3452.9200000000019</v>
      </c>
      <c r="G24" s="17">
        <v>0</v>
      </c>
      <c r="H24" s="18">
        <f t="shared" si="1"/>
        <v>0</v>
      </c>
      <c r="I24" s="18">
        <f t="shared" si="2"/>
        <v>0.24415881282685714</v>
      </c>
      <c r="J24" s="17">
        <f t="shared" si="5"/>
        <v>843.06084798611198</v>
      </c>
      <c r="K24" s="17">
        <f t="shared" si="3"/>
        <v>22.785428323948974</v>
      </c>
      <c r="L24" s="16">
        <v>98</v>
      </c>
      <c r="M24" s="19">
        <f t="shared" si="6"/>
        <v>0.37755102040816324</v>
      </c>
      <c r="N24" s="16">
        <v>90</v>
      </c>
      <c r="O24" s="20">
        <f t="shared" ref="O24:P24" si="32">D24/7</f>
        <v>5.2857142857142856</v>
      </c>
      <c r="P24" s="20">
        <f t="shared" si="32"/>
        <v>0</v>
      </c>
      <c r="Q24" s="16">
        <f t="shared" si="8"/>
        <v>17</v>
      </c>
      <c r="R24" s="16"/>
      <c r="S24" s="21">
        <v>2.3769633507853398</v>
      </c>
      <c r="T24" s="14">
        <v>122</v>
      </c>
      <c r="U24" s="22">
        <v>36</v>
      </c>
      <c r="V24" s="23" t="s">
        <v>567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14" t="s">
        <v>35</v>
      </c>
      <c r="AB24" s="27">
        <f t="shared" si="11"/>
        <v>-0.69</v>
      </c>
      <c r="AC24" s="28">
        <v>0.50536921296296311</v>
      </c>
      <c r="AD24" s="25">
        <f t="shared" si="12"/>
        <v>-25.804152013888896</v>
      </c>
      <c r="AE24" s="25">
        <v>-11.88</v>
      </c>
      <c r="AF24" s="25">
        <v>-43.961000000000013</v>
      </c>
      <c r="AG24" s="25">
        <v>0</v>
      </c>
    </row>
    <row r="25" spans="1:33" ht="15.75" customHeight="1">
      <c r="A25" s="14" t="s">
        <v>51</v>
      </c>
      <c r="B25" s="14" t="s">
        <v>568</v>
      </c>
      <c r="C25" s="15">
        <f t="shared" si="4"/>
        <v>99.23</v>
      </c>
      <c r="D25" s="16">
        <v>22</v>
      </c>
      <c r="E25" s="16">
        <v>1</v>
      </c>
      <c r="F25" s="17">
        <v>2183.06</v>
      </c>
      <c r="G25" s="17">
        <v>0</v>
      </c>
      <c r="H25" s="18">
        <f t="shared" si="1"/>
        <v>0</v>
      </c>
      <c r="I25" s="18">
        <f t="shared" si="2"/>
        <v>0.28023874318362496</v>
      </c>
      <c r="J25" s="17">
        <f t="shared" si="5"/>
        <v>611.77799069444427</v>
      </c>
      <c r="K25" s="17">
        <f t="shared" si="3"/>
        <v>27.808090486111102</v>
      </c>
      <c r="L25" s="16">
        <v>105</v>
      </c>
      <c r="M25" s="19">
        <f t="shared" si="6"/>
        <v>0.20952380952380953</v>
      </c>
      <c r="N25" s="16">
        <v>68</v>
      </c>
      <c r="O25" s="20">
        <f t="shared" ref="O25:P25" si="33">D25/7</f>
        <v>3.1428571428571428</v>
      </c>
      <c r="P25" s="20">
        <f t="shared" si="33"/>
        <v>0.14285714285714285</v>
      </c>
      <c r="Q25" s="16">
        <f t="shared" si="8"/>
        <v>20</v>
      </c>
      <c r="R25" s="16"/>
      <c r="S25" s="21">
        <v>3.2222222222222219</v>
      </c>
      <c r="T25" s="14">
        <v>222</v>
      </c>
      <c r="U25" s="22">
        <v>36</v>
      </c>
      <c r="V25" s="23" t="s">
        <v>569</v>
      </c>
      <c r="W25" s="30">
        <v>0</v>
      </c>
      <c r="X25" s="24">
        <f t="shared" si="9"/>
        <v>0</v>
      </c>
      <c r="Y25" s="25">
        <f t="shared" si="10"/>
        <v>0</v>
      </c>
      <c r="Z25" s="30">
        <v>0</v>
      </c>
      <c r="AA25" s="14" t="s">
        <v>35</v>
      </c>
      <c r="AB25" s="27">
        <f t="shared" si="11"/>
        <v>-0.69</v>
      </c>
      <c r="AC25" s="28">
        <v>0.50536921296296311</v>
      </c>
      <c r="AD25" s="25">
        <f t="shared" si="12"/>
        <v>-15.34300930555556</v>
      </c>
      <c r="AE25" s="25">
        <v>-11.88</v>
      </c>
      <c r="AF25" s="25">
        <v>-43.96</v>
      </c>
      <c r="AG25" s="25">
        <v>0</v>
      </c>
    </row>
    <row r="26" spans="1:33" ht="15.75" customHeight="1">
      <c r="A26" s="14" t="s">
        <v>52</v>
      </c>
      <c r="B26" s="14" t="s">
        <v>570</v>
      </c>
      <c r="C26" s="15">
        <f t="shared" si="4"/>
        <v>104.96000000000001</v>
      </c>
      <c r="D26" s="16">
        <v>31</v>
      </c>
      <c r="E26" s="16">
        <v>1</v>
      </c>
      <c r="F26" s="17">
        <v>3253.76</v>
      </c>
      <c r="G26" s="17">
        <v>0</v>
      </c>
      <c r="H26" s="18">
        <f t="shared" si="1"/>
        <v>0</v>
      </c>
      <c r="I26" s="18">
        <f t="shared" si="2"/>
        <v>0.32467216545456468</v>
      </c>
      <c r="J26" s="17">
        <f t="shared" si="5"/>
        <v>1056.4053050694445</v>
      </c>
      <c r="K26" s="17">
        <f t="shared" si="3"/>
        <v>34.077590486111113</v>
      </c>
      <c r="L26" s="16">
        <v>96</v>
      </c>
      <c r="M26" s="19">
        <f t="shared" si="6"/>
        <v>0.32291666666666669</v>
      </c>
      <c r="N26" s="16">
        <v>40</v>
      </c>
      <c r="O26" s="20">
        <f t="shared" ref="O26:P26" si="34">D26/7</f>
        <v>4.4285714285714288</v>
      </c>
      <c r="P26" s="20">
        <f t="shared" si="34"/>
        <v>0.14285714285714285</v>
      </c>
      <c r="Q26" s="16">
        <f t="shared" si="8"/>
        <v>8</v>
      </c>
      <c r="R26" s="16"/>
      <c r="S26" s="21">
        <v>2.439506172839506</v>
      </c>
      <c r="T26" s="14">
        <v>222</v>
      </c>
      <c r="U26" s="22">
        <v>86</v>
      </c>
      <c r="V26" s="23" t="s">
        <v>571</v>
      </c>
      <c r="W26" s="30">
        <v>0</v>
      </c>
      <c r="X26" s="24">
        <f t="shared" si="9"/>
        <v>0</v>
      </c>
      <c r="Y26" s="25">
        <f t="shared" si="10"/>
        <v>0</v>
      </c>
      <c r="Z26" s="30">
        <v>0</v>
      </c>
      <c r="AA26" s="14" t="s">
        <v>35</v>
      </c>
      <c r="AB26" s="27">
        <f t="shared" si="11"/>
        <v>-0.69</v>
      </c>
      <c r="AC26" s="28">
        <v>0.50536921296296311</v>
      </c>
      <c r="AD26" s="25">
        <f t="shared" si="12"/>
        <v>-21.619694930555561</v>
      </c>
      <c r="AE26" s="25">
        <v>-10.48</v>
      </c>
      <c r="AF26" s="25">
        <v>-43.960999999999999</v>
      </c>
      <c r="AG26" s="25">
        <v>0</v>
      </c>
    </row>
    <row r="27" spans="1:33" ht="15.75" customHeight="1">
      <c r="A27" s="14" t="s">
        <v>53</v>
      </c>
      <c r="B27" s="14" t="s">
        <v>572</v>
      </c>
      <c r="C27" s="15">
        <f t="shared" si="4"/>
        <v>115.44562500000001</v>
      </c>
      <c r="D27" s="16">
        <v>16</v>
      </c>
      <c r="E27" s="16">
        <v>0</v>
      </c>
      <c r="F27" s="17">
        <v>1847.13</v>
      </c>
      <c r="G27" s="17">
        <v>0</v>
      </c>
      <c r="H27" s="18">
        <f t="shared" si="1"/>
        <v>0</v>
      </c>
      <c r="I27" s="18">
        <f t="shared" si="2"/>
        <v>0.37090943668165083</v>
      </c>
      <c r="J27" s="17">
        <f t="shared" si="5"/>
        <v>685.11794777777777</v>
      </c>
      <c r="K27" s="17">
        <f t="shared" si="3"/>
        <v>42.819871736111111</v>
      </c>
      <c r="L27" s="16">
        <v>73</v>
      </c>
      <c r="M27" s="19">
        <f t="shared" si="6"/>
        <v>0.21917808219178081</v>
      </c>
      <c r="N27" s="16">
        <v>24</v>
      </c>
      <c r="O27" s="20">
        <f t="shared" ref="O27:P27" si="35">D27/7</f>
        <v>2.2857142857142856</v>
      </c>
      <c r="P27" s="20">
        <f t="shared" si="35"/>
        <v>0</v>
      </c>
      <c r="Q27" s="16">
        <f t="shared" si="8"/>
        <v>10</v>
      </c>
      <c r="R27" s="16"/>
      <c r="S27" s="21">
        <v>3.143730886850153</v>
      </c>
      <c r="T27" s="14">
        <v>222</v>
      </c>
      <c r="U27" s="22">
        <v>36</v>
      </c>
      <c r="V27" s="23" t="s">
        <v>573</v>
      </c>
      <c r="W27" s="30">
        <v>0</v>
      </c>
      <c r="X27" s="24">
        <f t="shared" si="9"/>
        <v>0</v>
      </c>
      <c r="Y27" s="25">
        <f t="shared" si="10"/>
        <v>0</v>
      </c>
      <c r="Z27" s="30">
        <v>0</v>
      </c>
      <c r="AA27" s="14" t="s">
        <v>35</v>
      </c>
      <c r="AB27" s="27">
        <f t="shared" si="11"/>
        <v>-0.69</v>
      </c>
      <c r="AC27" s="28">
        <v>0.50536921296296311</v>
      </c>
      <c r="AD27" s="25">
        <f t="shared" si="12"/>
        <v>-11.158552222222225</v>
      </c>
      <c r="AE27" s="25">
        <v>-10.48</v>
      </c>
      <c r="AF27" s="25">
        <v>-44.131500000000003</v>
      </c>
      <c r="AG27" s="25">
        <v>0</v>
      </c>
    </row>
    <row r="28" spans="1:33" ht="15.75" customHeight="1">
      <c r="A28" s="14" t="s">
        <v>54</v>
      </c>
      <c r="B28" s="14" t="s">
        <v>228</v>
      </c>
      <c r="C28" s="15">
        <f t="shared" si="4"/>
        <v>125.4676923076923</v>
      </c>
      <c r="D28" s="16">
        <v>13</v>
      </c>
      <c r="E28" s="16">
        <v>2</v>
      </c>
      <c r="F28" s="17">
        <v>1631.08</v>
      </c>
      <c r="G28" s="17">
        <v>0</v>
      </c>
      <c r="H28" s="18">
        <f t="shared" si="1"/>
        <v>0</v>
      </c>
      <c r="I28" s="18">
        <f t="shared" si="2"/>
        <v>0.40917807607195494</v>
      </c>
      <c r="J28" s="17">
        <f t="shared" si="5"/>
        <v>667.40217631944427</v>
      </c>
      <c r="K28" s="17">
        <f t="shared" si="3"/>
        <v>51.338628947649561</v>
      </c>
      <c r="L28" s="16">
        <v>61</v>
      </c>
      <c r="M28" s="19">
        <f t="shared" si="6"/>
        <v>0.21311475409836064</v>
      </c>
      <c r="N28" s="16">
        <v>7</v>
      </c>
      <c r="O28" s="20">
        <f t="shared" ref="O28:P28" si="36">D28/7</f>
        <v>1.8571428571428572</v>
      </c>
      <c r="P28" s="20">
        <f t="shared" si="36"/>
        <v>0.2857142857142857</v>
      </c>
      <c r="Q28" s="16">
        <f t="shared" si="8"/>
        <v>3</v>
      </c>
      <c r="R28" s="16"/>
      <c r="S28" s="21">
        <v>3.0337078651685392</v>
      </c>
      <c r="T28" s="14">
        <v>342</v>
      </c>
      <c r="U28" s="22">
        <v>44395</v>
      </c>
      <c r="V28" s="23" t="s">
        <v>573</v>
      </c>
      <c r="W28" s="30">
        <v>0</v>
      </c>
      <c r="X28" s="24">
        <f t="shared" si="9"/>
        <v>0</v>
      </c>
      <c r="Y28" s="25">
        <f t="shared" si="10"/>
        <v>0</v>
      </c>
      <c r="Z28" s="30">
        <v>0</v>
      </c>
      <c r="AA28" s="14" t="s">
        <v>35</v>
      </c>
      <c r="AB28" s="27">
        <f t="shared" si="11"/>
        <v>-0.69</v>
      </c>
      <c r="AC28" s="28">
        <v>0.50536921296296311</v>
      </c>
      <c r="AD28" s="25">
        <f t="shared" si="12"/>
        <v>-9.0663236805555574</v>
      </c>
      <c r="AE28" s="25">
        <v>-10.48</v>
      </c>
      <c r="AF28" s="25">
        <v>-44.131500000000003</v>
      </c>
      <c r="AG28" s="25">
        <v>0</v>
      </c>
    </row>
    <row r="29" spans="1:33" ht="15.75" customHeight="1">
      <c r="A29" s="14" t="s">
        <v>55</v>
      </c>
      <c r="B29" s="14" t="s">
        <v>45</v>
      </c>
      <c r="C29" s="15">
        <f t="shared" si="4"/>
        <v>132.61666666666665</v>
      </c>
      <c r="D29" s="16">
        <v>6</v>
      </c>
      <c r="E29" s="16">
        <v>0</v>
      </c>
      <c r="F29" s="17">
        <v>795.69999999999993</v>
      </c>
      <c r="G29" s="17">
        <v>0</v>
      </c>
      <c r="H29" s="18">
        <f t="shared" si="1"/>
        <v>0</v>
      </c>
      <c r="I29" s="18">
        <f t="shared" si="2"/>
        <v>0.43294148915001462</v>
      </c>
      <c r="J29" s="17">
        <f t="shared" si="5"/>
        <v>344.49154291666662</v>
      </c>
      <c r="K29" s="17">
        <f t="shared" si="3"/>
        <v>57.41525715277777</v>
      </c>
      <c r="L29" s="16">
        <v>50</v>
      </c>
      <c r="M29" s="19">
        <f t="shared" si="6"/>
        <v>0.12</v>
      </c>
      <c r="N29" s="16">
        <v>0</v>
      </c>
      <c r="O29" s="20">
        <f t="shared" ref="O29:P29" si="37">D29/7</f>
        <v>0.8571428571428571</v>
      </c>
      <c r="P29" s="20">
        <f t="shared" si="37"/>
        <v>0</v>
      </c>
      <c r="Q29" s="16">
        <f t="shared" si="8"/>
        <v>0</v>
      </c>
      <c r="R29" s="16"/>
      <c r="S29" s="21">
        <v>0</v>
      </c>
      <c r="T29" s="14">
        <v>342</v>
      </c>
      <c r="U29" s="22">
        <v>44395</v>
      </c>
      <c r="V29" s="23" t="s">
        <v>573</v>
      </c>
      <c r="W29" s="30">
        <v>0</v>
      </c>
      <c r="X29" s="24">
        <f t="shared" si="9"/>
        <v>0</v>
      </c>
      <c r="Y29" s="25">
        <f t="shared" si="10"/>
        <v>0</v>
      </c>
      <c r="Z29" s="30">
        <v>0</v>
      </c>
      <c r="AA29" s="14" t="s">
        <v>35</v>
      </c>
      <c r="AB29" s="27">
        <f t="shared" si="11"/>
        <v>-0.69</v>
      </c>
      <c r="AC29" s="28">
        <v>0.50536921296296311</v>
      </c>
      <c r="AD29" s="25">
        <f t="shared" si="12"/>
        <v>-4.1844570833333341</v>
      </c>
      <c r="AE29" s="25">
        <v>-10.48</v>
      </c>
      <c r="AF29" s="25">
        <v>-44.131500000000003</v>
      </c>
      <c r="AG29" s="25">
        <v>0</v>
      </c>
    </row>
    <row r="30" spans="1:33" ht="15.75" customHeight="1">
      <c r="A30" s="14" t="s">
        <v>57</v>
      </c>
      <c r="B30" s="14"/>
      <c r="C30" s="15" t="str">
        <f t="shared" si="4"/>
        <v xml:space="preserve"> - </v>
      </c>
      <c r="D30" s="16">
        <v>0</v>
      </c>
      <c r="E30" s="16">
        <v>0</v>
      </c>
      <c r="F30" s="17">
        <v>0</v>
      </c>
      <c r="G30" s="17">
        <v>0</v>
      </c>
      <c r="H30" s="18" t="e">
        <f t="shared" si="1"/>
        <v>#DIV/0!</v>
      </c>
      <c r="I30" s="18" t="e">
        <f t="shared" si="2"/>
        <v>#DIV/0!</v>
      </c>
      <c r="J30" s="17">
        <f t="shared" si="5"/>
        <v>0</v>
      </c>
      <c r="K30" s="17" t="e">
        <f t="shared" si="3"/>
        <v>#DIV/0!</v>
      </c>
      <c r="L30" s="16">
        <v>0</v>
      </c>
      <c r="M30" s="19" t="str">
        <f t="shared" si="6"/>
        <v>-</v>
      </c>
      <c r="N30" s="16">
        <v>0</v>
      </c>
      <c r="O30" s="20">
        <f t="shared" ref="O30:P30" si="38">D30/7</f>
        <v>0</v>
      </c>
      <c r="P30" s="20">
        <f t="shared" si="38"/>
        <v>0</v>
      </c>
      <c r="Q30" s="16" t="e">
        <f t="shared" si="8"/>
        <v>#DIV/0!</v>
      </c>
      <c r="R30" s="16"/>
      <c r="S30" s="21">
        <v>0</v>
      </c>
      <c r="T30" s="14">
        <v>222</v>
      </c>
      <c r="U30" s="22">
        <v>36</v>
      </c>
      <c r="V30" s="23" t="s">
        <v>574</v>
      </c>
      <c r="W30" s="30">
        <v>0</v>
      </c>
      <c r="X30" s="24">
        <f t="shared" si="9"/>
        <v>0</v>
      </c>
      <c r="Y30" s="25">
        <f t="shared" si="10"/>
        <v>0</v>
      </c>
      <c r="Z30" s="30">
        <v>0</v>
      </c>
      <c r="AA30" s="14" t="s">
        <v>35</v>
      </c>
      <c r="AB30" s="27">
        <f t="shared" si="11"/>
        <v>-0.69</v>
      </c>
      <c r="AC30" s="28">
        <v>0.50536921296296311</v>
      </c>
      <c r="AD30" s="25">
        <f t="shared" si="12"/>
        <v>0</v>
      </c>
      <c r="AE30" s="25">
        <v>-10.48</v>
      </c>
      <c r="AF30" s="25">
        <v>-42.573056945999902</v>
      </c>
      <c r="AG30" s="25">
        <v>0</v>
      </c>
    </row>
    <row r="31" spans="1:33" ht="15.75" customHeight="1">
      <c r="A31" s="14" t="s">
        <v>58</v>
      </c>
      <c r="B31" s="14"/>
      <c r="C31" s="15" t="str">
        <f t="shared" si="4"/>
        <v xml:space="preserve"> - </v>
      </c>
      <c r="D31" s="16">
        <v>0</v>
      </c>
      <c r="E31" s="16">
        <v>0</v>
      </c>
      <c r="F31" s="17">
        <v>0</v>
      </c>
      <c r="G31" s="17">
        <v>0</v>
      </c>
      <c r="H31" s="18" t="e">
        <f t="shared" si="1"/>
        <v>#DIV/0!</v>
      </c>
      <c r="I31" s="18" t="e">
        <f t="shared" si="2"/>
        <v>#DIV/0!</v>
      </c>
      <c r="J31" s="17">
        <f t="shared" si="5"/>
        <v>0</v>
      </c>
      <c r="K31" s="17" t="e">
        <f t="shared" si="3"/>
        <v>#DIV/0!</v>
      </c>
      <c r="L31" s="16">
        <v>0</v>
      </c>
      <c r="M31" s="19" t="str">
        <f t="shared" si="6"/>
        <v>-</v>
      </c>
      <c r="N31" s="16">
        <v>0</v>
      </c>
      <c r="O31" s="20">
        <f t="shared" ref="O31:P31" si="39">D31/7</f>
        <v>0</v>
      </c>
      <c r="P31" s="20">
        <f t="shared" si="39"/>
        <v>0</v>
      </c>
      <c r="Q31" s="16" t="e">
        <f t="shared" si="8"/>
        <v>#DIV/0!</v>
      </c>
      <c r="R31" s="16"/>
      <c r="S31" s="21" t="e">
        <v>#N/A</v>
      </c>
      <c r="T31" s="14" t="s">
        <v>34</v>
      </c>
      <c r="U31" s="22" t="s">
        <v>34</v>
      </c>
      <c r="V31" s="23" t="s">
        <v>575</v>
      </c>
      <c r="W31" s="30">
        <v>0</v>
      </c>
      <c r="X31" s="24">
        <f t="shared" si="9"/>
        <v>0</v>
      </c>
      <c r="Y31" s="25">
        <f t="shared" si="10"/>
        <v>0</v>
      </c>
      <c r="Z31" s="30">
        <v>0</v>
      </c>
      <c r="AA31" s="14" t="s">
        <v>35</v>
      </c>
      <c r="AB31" s="27">
        <f t="shared" si="11"/>
        <v>-0.69</v>
      </c>
      <c r="AC31" s="28">
        <v>0.50536921296296311</v>
      </c>
      <c r="AD31" s="25">
        <f t="shared" si="12"/>
        <v>0</v>
      </c>
      <c r="AE31" s="25">
        <v>-10.48</v>
      </c>
      <c r="AF31" s="25">
        <v>-42.573056945999994</v>
      </c>
      <c r="AG31" s="25">
        <v>0</v>
      </c>
    </row>
    <row r="32" spans="1:33" ht="15.75" customHeight="1">
      <c r="A32" s="14" t="s">
        <v>60</v>
      </c>
      <c r="B32" s="14"/>
      <c r="C32" s="15">
        <f t="shared" si="4"/>
        <v>135.94999999999999</v>
      </c>
      <c r="D32" s="16">
        <v>1</v>
      </c>
      <c r="E32" s="16">
        <v>0</v>
      </c>
      <c r="F32" s="17">
        <v>135.94999999999999</v>
      </c>
      <c r="G32" s="17">
        <v>0</v>
      </c>
      <c r="H32" s="18">
        <f t="shared" si="1"/>
        <v>0</v>
      </c>
      <c r="I32" s="18">
        <f t="shared" si="2"/>
        <v>0.45463062552490768</v>
      </c>
      <c r="J32" s="17">
        <f t="shared" si="5"/>
        <v>61.807033540111192</v>
      </c>
      <c r="K32" s="17">
        <f t="shared" si="3"/>
        <v>61.807033540111192</v>
      </c>
      <c r="L32" s="16">
        <v>9</v>
      </c>
      <c r="M32" s="19">
        <f t="shared" si="6"/>
        <v>0.1111111111111111</v>
      </c>
      <c r="N32" s="16">
        <v>0</v>
      </c>
      <c r="O32" s="20">
        <f t="shared" ref="O32:P32" si="40">D32/7</f>
        <v>0.14285714285714285</v>
      </c>
      <c r="P32" s="20">
        <f t="shared" si="40"/>
        <v>0</v>
      </c>
      <c r="Q32" s="16">
        <f t="shared" si="8"/>
        <v>0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0</v>
      </c>
      <c r="T32" s="14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2" s="22">
        <f ca="1">IFERROR(__xludf.DUMMYFUNCTION("IFERROR(VLOOKUP($B$2,IMPORTRANGE(""https://docs.google.com/spreadsheets/d/1KiWZV1ko8G7lnRucBRBd29jj3Be6ltMfljMDqzOkQmI/edit#gid=1381463014"",""Lookup!A:D""),3,FALSE),"""")"),122)</f>
        <v>122</v>
      </c>
      <c r="V32" s="23" t="str">
        <f ca="1">IFERROR(__xludf.DUMMYFUNCTION("IFERROR(VLOOKUP($B$2,IMPORTRANGE(""https://docs.google.com/spreadsheets/d/1KiWZV1ko8G7lnRucBRBd29jj3Be6ltMfljMDqzOkQmI/edit#gid=1381463014"",""Lookup!A:D""),2,FALSE),"""")"),"| 413  - 36 units 07/26| 414  - 86 units 08/02")</f>
        <v>| 413  - 36 units 07/26| 414  - 86 units 08/02</v>
      </c>
      <c r="W32" s="30">
        <v>0</v>
      </c>
      <c r="X32" s="24">
        <f t="shared" si="9"/>
        <v>0</v>
      </c>
      <c r="Y32" s="25">
        <f t="shared" si="10"/>
        <v>0</v>
      </c>
      <c r="Z32" s="30">
        <v>0</v>
      </c>
      <c r="AA32" s="14" t="s">
        <v>35</v>
      </c>
      <c r="AB32" s="27">
        <f t="shared" si="11"/>
        <v>-0.69</v>
      </c>
      <c r="AC32" s="28">
        <v>0.50536921296296311</v>
      </c>
      <c r="AD32" s="25">
        <f t="shared" si="12"/>
        <v>-0.69740951388888905</v>
      </c>
      <c r="AE32" s="25">
        <v>-10.48</v>
      </c>
      <c r="AF32" s="25">
        <v>-42.573056945999902</v>
      </c>
      <c r="AG32" s="25">
        <v>0</v>
      </c>
    </row>
    <row r="33" spans="1:33" ht="15.75" customHeight="1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16"/>
      <c r="S33" s="21"/>
      <c r="T33" s="31"/>
      <c r="U33" s="36"/>
      <c r="V33" s="1"/>
      <c r="W33" s="31"/>
      <c r="X33" s="31"/>
      <c r="Y33" s="31"/>
      <c r="Z33" s="31"/>
      <c r="AA33" s="2"/>
      <c r="AB33" s="31"/>
      <c r="AC33" s="31"/>
      <c r="AD33" s="31"/>
      <c r="AE33" s="37"/>
      <c r="AF33" s="37"/>
      <c r="AG33" s="37"/>
    </row>
    <row r="34" spans="1:33" ht="15.75" customHeight="1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6"/>
      <c r="V34" s="1"/>
      <c r="W34" s="31"/>
      <c r="X34" s="31"/>
      <c r="Y34" s="31"/>
      <c r="Z34" s="31"/>
      <c r="AA34" s="2"/>
      <c r="AB34" s="31"/>
      <c r="AC34" s="31"/>
      <c r="AD34" s="31"/>
      <c r="AE34" s="37"/>
      <c r="AF34" s="37"/>
      <c r="AG34" s="37"/>
    </row>
    <row r="35" spans="1:33" ht="15.75" customHeight="1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6"/>
      <c r="V35" s="1"/>
      <c r="W35" s="31"/>
      <c r="X35" s="31"/>
      <c r="Y35" s="31"/>
      <c r="Z35" s="31"/>
      <c r="AA35" s="2"/>
      <c r="AB35" s="31"/>
      <c r="AC35" s="31"/>
      <c r="AD35" s="31"/>
      <c r="AE35" s="37"/>
      <c r="AF35" s="37"/>
      <c r="AG35" s="37"/>
    </row>
    <row r="36" spans="1:33" ht="15.75" customHeight="1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6"/>
      <c r="V36" s="1"/>
      <c r="W36" s="31"/>
      <c r="X36" s="31"/>
      <c r="Y36" s="31"/>
      <c r="Z36" s="31"/>
      <c r="AA36" s="2"/>
      <c r="AB36" s="31"/>
      <c r="AC36" s="31"/>
      <c r="AD36" s="31"/>
      <c r="AE36" s="37"/>
      <c r="AF36" s="37"/>
      <c r="AG36" s="37"/>
    </row>
    <row r="37" spans="1:33" ht="15.75" customHeight="1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6"/>
      <c r="V37" s="1"/>
      <c r="W37" s="31"/>
      <c r="X37" s="31"/>
      <c r="Y37" s="31"/>
      <c r="Z37" s="31"/>
      <c r="AA37" s="2"/>
      <c r="AB37" s="31"/>
      <c r="AC37" s="31"/>
      <c r="AD37" s="31"/>
      <c r="AE37" s="37"/>
      <c r="AF37" s="37"/>
      <c r="AG37" s="37"/>
    </row>
    <row r="38" spans="1:33" ht="15.75" customHeight="1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6"/>
      <c r="V38" s="1"/>
      <c r="W38" s="31"/>
      <c r="X38" s="31"/>
      <c r="Y38" s="31"/>
      <c r="Z38" s="31"/>
      <c r="AA38" s="2"/>
      <c r="AB38" s="31"/>
      <c r="AC38" s="31"/>
      <c r="AD38" s="31"/>
      <c r="AE38" s="37"/>
      <c r="AF38" s="37"/>
      <c r="AG38" s="37"/>
    </row>
    <row r="39" spans="1:33" ht="15.75" customHeight="1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6"/>
      <c r="V39" s="1"/>
      <c r="W39" s="31"/>
      <c r="X39" s="31"/>
      <c r="Y39" s="31"/>
      <c r="Z39" s="31"/>
      <c r="AA39" s="2"/>
      <c r="AB39" s="31"/>
      <c r="AC39" s="31"/>
      <c r="AD39" s="31"/>
      <c r="AE39" s="37"/>
      <c r="AF39" s="37"/>
      <c r="AG39" s="37"/>
    </row>
    <row r="40" spans="1:33" ht="15.75" customHeight="1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6"/>
      <c r="V40" s="1"/>
      <c r="W40" s="31"/>
      <c r="X40" s="31"/>
      <c r="Y40" s="31"/>
      <c r="Z40" s="31"/>
      <c r="AA40" s="2"/>
      <c r="AB40" s="31"/>
      <c r="AC40" s="31"/>
      <c r="AD40" s="31"/>
      <c r="AE40" s="37"/>
      <c r="AF40" s="37"/>
      <c r="AG40" s="37"/>
    </row>
    <row r="41" spans="1:33" ht="15.75" customHeight="1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6"/>
      <c r="V41" s="1"/>
      <c r="W41" s="31"/>
      <c r="X41" s="31"/>
      <c r="Y41" s="31"/>
      <c r="Z41" s="31"/>
      <c r="AA41" s="2"/>
      <c r="AB41" s="31"/>
      <c r="AC41" s="31"/>
      <c r="AD41" s="31"/>
      <c r="AE41" s="37"/>
      <c r="AF41" s="37"/>
      <c r="AG41" s="37"/>
    </row>
    <row r="42" spans="1:33" ht="15.75" customHeight="1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6"/>
      <c r="V42" s="1"/>
      <c r="W42" s="31"/>
      <c r="X42" s="31"/>
      <c r="Y42" s="31"/>
      <c r="Z42" s="31"/>
      <c r="AA42" s="2"/>
      <c r="AB42" s="31"/>
      <c r="AC42" s="31"/>
      <c r="AD42" s="31"/>
      <c r="AE42" s="37"/>
      <c r="AF42" s="37"/>
      <c r="AG42" s="37"/>
    </row>
    <row r="43" spans="1:33" ht="15.75" customHeight="1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6"/>
      <c r="V43" s="1"/>
      <c r="W43" s="31"/>
      <c r="X43" s="31"/>
      <c r="Y43" s="31"/>
      <c r="Z43" s="31"/>
      <c r="AA43" s="2"/>
      <c r="AB43" s="31"/>
      <c r="AC43" s="31"/>
      <c r="AD43" s="31"/>
      <c r="AE43" s="37"/>
      <c r="AF43" s="37"/>
      <c r="AG43" s="37"/>
    </row>
    <row r="44" spans="1:33" ht="15.75" customHeight="1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6"/>
      <c r="V44" s="1"/>
      <c r="W44" s="31"/>
      <c r="X44" s="31"/>
      <c r="Y44" s="31"/>
      <c r="Z44" s="31"/>
      <c r="AA44" s="2"/>
      <c r="AB44" s="31"/>
      <c r="AC44" s="31"/>
      <c r="AD44" s="31"/>
      <c r="AE44" s="37"/>
      <c r="AF44" s="37"/>
      <c r="AG44" s="37"/>
    </row>
    <row r="45" spans="1:33" ht="15.75" customHeight="1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6"/>
      <c r="V45" s="1"/>
      <c r="W45" s="31"/>
      <c r="X45" s="31"/>
      <c r="Y45" s="31"/>
      <c r="Z45" s="31"/>
      <c r="AA45" s="2"/>
      <c r="AB45" s="31"/>
      <c r="AC45" s="31"/>
      <c r="AD45" s="31"/>
      <c r="AE45" s="37"/>
      <c r="AF45" s="37"/>
      <c r="AG45" s="37"/>
    </row>
    <row r="46" spans="1:33" ht="15.75" customHeight="1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6"/>
      <c r="V46" s="1"/>
      <c r="W46" s="31"/>
      <c r="X46" s="31"/>
      <c r="Y46" s="31"/>
      <c r="Z46" s="31"/>
      <c r="AA46" s="2"/>
      <c r="AB46" s="31"/>
      <c r="AC46" s="31"/>
      <c r="AD46" s="31"/>
      <c r="AE46" s="37"/>
      <c r="AF46" s="37"/>
      <c r="AG46" s="37"/>
    </row>
    <row r="47" spans="1:33" ht="15.75" customHeight="1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6"/>
      <c r="V47" s="1"/>
      <c r="W47" s="31"/>
      <c r="X47" s="31"/>
      <c r="Y47" s="31"/>
      <c r="Z47" s="31"/>
      <c r="AA47" s="2"/>
      <c r="AB47" s="31"/>
      <c r="AC47" s="31"/>
      <c r="AD47" s="31"/>
      <c r="AE47" s="37"/>
      <c r="AF47" s="37"/>
      <c r="AG47" s="37"/>
    </row>
    <row r="48" spans="1:33" ht="15.75" customHeight="1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6"/>
      <c r="V48" s="1"/>
      <c r="W48" s="31"/>
      <c r="X48" s="31"/>
      <c r="Y48" s="31"/>
      <c r="Z48" s="31"/>
      <c r="AA48" s="2"/>
      <c r="AB48" s="31"/>
      <c r="AC48" s="31"/>
      <c r="AD48" s="31"/>
      <c r="AE48" s="37"/>
      <c r="AF48" s="37"/>
      <c r="AG48" s="37"/>
    </row>
    <row r="49" spans="1:33" ht="15.75" customHeight="1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6"/>
      <c r="V49" s="1"/>
      <c r="W49" s="31"/>
      <c r="X49" s="31"/>
      <c r="Y49" s="31"/>
      <c r="Z49" s="31"/>
      <c r="AA49" s="2"/>
      <c r="AB49" s="31"/>
      <c r="AC49" s="31"/>
      <c r="AD49" s="31"/>
      <c r="AE49" s="37"/>
      <c r="AF49" s="37"/>
      <c r="AG49" s="37"/>
    </row>
    <row r="50" spans="1:33" ht="15.75" customHeight="1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6"/>
      <c r="V50" s="1"/>
      <c r="W50" s="31"/>
      <c r="X50" s="31"/>
      <c r="Y50" s="31"/>
      <c r="Z50" s="31"/>
      <c r="AA50" s="2"/>
      <c r="AB50" s="31"/>
      <c r="AC50" s="31"/>
      <c r="AD50" s="31"/>
      <c r="AE50" s="37"/>
      <c r="AF50" s="37"/>
      <c r="AG50" s="37"/>
    </row>
    <row r="51" spans="1:33" ht="15.75" customHeight="1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6"/>
      <c r="V51" s="1"/>
      <c r="W51" s="31"/>
      <c r="X51" s="31"/>
      <c r="Y51" s="31"/>
      <c r="Z51" s="31"/>
      <c r="AA51" s="2"/>
      <c r="AB51" s="31"/>
      <c r="AC51" s="31"/>
      <c r="AD51" s="31"/>
      <c r="AE51" s="37"/>
      <c r="AF51" s="37"/>
      <c r="AG51" s="37"/>
    </row>
    <row r="52" spans="1:33" ht="15.75" customHeight="1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6"/>
      <c r="V52" s="1"/>
      <c r="W52" s="31"/>
      <c r="X52" s="31"/>
      <c r="Y52" s="31"/>
      <c r="Z52" s="31"/>
      <c r="AA52" s="2"/>
      <c r="AB52" s="31"/>
      <c r="AC52" s="31"/>
      <c r="AD52" s="31"/>
      <c r="AE52" s="37"/>
      <c r="AF52" s="37"/>
      <c r="AG52" s="37"/>
    </row>
    <row r="53" spans="1:33" ht="15.75" customHeight="1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6"/>
      <c r="V53" s="1"/>
      <c r="W53" s="31"/>
      <c r="X53" s="31"/>
      <c r="Y53" s="31"/>
      <c r="Z53" s="31"/>
      <c r="AA53" s="2"/>
      <c r="AB53" s="31"/>
      <c r="AC53" s="31"/>
      <c r="AD53" s="31"/>
      <c r="AE53" s="37"/>
      <c r="AF53" s="37"/>
      <c r="AG53" s="37"/>
    </row>
    <row r="54" spans="1:33" ht="15.75" customHeight="1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6"/>
      <c r="V54" s="1"/>
      <c r="W54" s="31"/>
      <c r="X54" s="31"/>
      <c r="Y54" s="31"/>
      <c r="Z54" s="31"/>
      <c r="AA54" s="2"/>
      <c r="AB54" s="31"/>
      <c r="AC54" s="31"/>
      <c r="AD54" s="31"/>
      <c r="AE54" s="37"/>
      <c r="AF54" s="37"/>
      <c r="AG54" s="37"/>
    </row>
    <row r="55" spans="1:33" ht="15.75" customHeight="1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6"/>
      <c r="V55" s="1"/>
      <c r="W55" s="31"/>
      <c r="X55" s="31"/>
      <c r="Y55" s="31"/>
      <c r="Z55" s="31"/>
      <c r="AA55" s="2"/>
      <c r="AB55" s="31"/>
      <c r="AC55" s="31"/>
      <c r="AD55" s="31"/>
      <c r="AE55" s="37"/>
      <c r="AF55" s="37"/>
      <c r="AG55" s="37"/>
    </row>
    <row r="56" spans="1:33" ht="15.75" customHeight="1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6"/>
      <c r="V56" s="1"/>
      <c r="W56" s="31"/>
      <c r="X56" s="31"/>
      <c r="Y56" s="31"/>
      <c r="Z56" s="31"/>
      <c r="AA56" s="2"/>
      <c r="AB56" s="31"/>
      <c r="AC56" s="31"/>
      <c r="AD56" s="31"/>
      <c r="AE56" s="37"/>
      <c r="AF56" s="37"/>
      <c r="AG56" s="37"/>
    </row>
    <row r="57" spans="1:33" ht="15.75" customHeight="1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6"/>
      <c r="V57" s="1"/>
      <c r="W57" s="31"/>
      <c r="X57" s="31"/>
      <c r="Y57" s="31"/>
      <c r="Z57" s="31"/>
      <c r="AA57" s="2"/>
      <c r="AB57" s="31"/>
      <c r="AC57" s="31"/>
      <c r="AD57" s="31"/>
      <c r="AE57" s="37"/>
      <c r="AF57" s="37"/>
      <c r="AG57" s="37"/>
    </row>
    <row r="58" spans="1:33" ht="15.75" customHeight="1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6"/>
      <c r="V58" s="1"/>
      <c r="W58" s="31"/>
      <c r="X58" s="31"/>
      <c r="Y58" s="31"/>
      <c r="Z58" s="31"/>
      <c r="AA58" s="2"/>
      <c r="AB58" s="31"/>
      <c r="AC58" s="31"/>
      <c r="AD58" s="31"/>
      <c r="AE58" s="37"/>
      <c r="AF58" s="37"/>
      <c r="AG58" s="37"/>
    </row>
    <row r="59" spans="1:33" ht="15.75" customHeight="1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6"/>
      <c r="V59" s="1"/>
      <c r="W59" s="31"/>
      <c r="X59" s="31"/>
      <c r="Y59" s="31"/>
      <c r="Z59" s="31"/>
      <c r="AA59" s="2"/>
      <c r="AB59" s="31"/>
      <c r="AC59" s="31"/>
      <c r="AD59" s="31"/>
      <c r="AE59" s="37"/>
      <c r="AF59" s="37"/>
      <c r="AG59" s="37"/>
    </row>
    <row r="60" spans="1:33" ht="15.75" customHeight="1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6"/>
      <c r="V60" s="1"/>
      <c r="W60" s="31"/>
      <c r="X60" s="31"/>
      <c r="Y60" s="31"/>
      <c r="Z60" s="31"/>
      <c r="AA60" s="2"/>
      <c r="AB60" s="31"/>
      <c r="AC60" s="31"/>
      <c r="AD60" s="31"/>
      <c r="AE60" s="37"/>
      <c r="AF60" s="37"/>
      <c r="AG60" s="37"/>
    </row>
    <row r="61" spans="1:33" ht="15.75" customHeight="1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6"/>
      <c r="V61" s="1"/>
      <c r="W61" s="31"/>
      <c r="X61" s="31"/>
      <c r="Y61" s="31"/>
      <c r="Z61" s="31"/>
      <c r="AA61" s="2"/>
      <c r="AB61" s="31"/>
      <c r="AC61" s="31"/>
      <c r="AD61" s="31"/>
      <c r="AE61" s="37"/>
      <c r="AF61" s="37"/>
      <c r="AG61" s="37"/>
    </row>
    <row r="62" spans="1:33" ht="15.75" customHeight="1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6"/>
      <c r="V62" s="1"/>
      <c r="W62" s="31"/>
      <c r="X62" s="31"/>
      <c r="Y62" s="31"/>
      <c r="Z62" s="31"/>
      <c r="AA62" s="2"/>
      <c r="AB62" s="31"/>
      <c r="AC62" s="31"/>
      <c r="AD62" s="31"/>
      <c r="AE62" s="37"/>
      <c r="AF62" s="37"/>
      <c r="AG62" s="37"/>
    </row>
    <row r="63" spans="1:33" ht="15.75" customHeight="1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6"/>
      <c r="V63" s="1"/>
      <c r="W63" s="31"/>
      <c r="X63" s="31"/>
      <c r="Y63" s="31"/>
      <c r="Z63" s="31"/>
      <c r="AA63" s="2"/>
      <c r="AB63" s="31"/>
      <c r="AC63" s="31"/>
      <c r="AD63" s="31"/>
      <c r="AE63" s="37"/>
      <c r="AF63" s="37"/>
      <c r="AG63" s="37"/>
    </row>
    <row r="64" spans="1:33" ht="15.75" customHeight="1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6"/>
      <c r="V64" s="1"/>
      <c r="W64" s="31"/>
      <c r="X64" s="31"/>
      <c r="Y64" s="31"/>
      <c r="Z64" s="31"/>
      <c r="AA64" s="2"/>
      <c r="AB64" s="31"/>
      <c r="AC64" s="31"/>
      <c r="AD64" s="31"/>
      <c r="AE64" s="37"/>
      <c r="AF64" s="37"/>
      <c r="AG64" s="37"/>
    </row>
    <row r="65" spans="1:33" ht="15.75" customHeight="1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6"/>
      <c r="V65" s="1"/>
      <c r="W65" s="31"/>
      <c r="X65" s="31"/>
      <c r="Y65" s="31"/>
      <c r="Z65" s="31"/>
      <c r="AA65" s="2"/>
      <c r="AB65" s="31"/>
      <c r="AC65" s="31"/>
      <c r="AD65" s="31"/>
      <c r="AE65" s="37"/>
      <c r="AF65" s="37"/>
      <c r="AG65" s="37"/>
    </row>
    <row r="66" spans="1:33" ht="15.75" customHeight="1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6"/>
      <c r="V66" s="1"/>
      <c r="W66" s="31"/>
      <c r="X66" s="31"/>
      <c r="Y66" s="31"/>
      <c r="Z66" s="31"/>
      <c r="AA66" s="2"/>
      <c r="AB66" s="31"/>
      <c r="AC66" s="31"/>
      <c r="AD66" s="31"/>
      <c r="AE66" s="37"/>
      <c r="AF66" s="37"/>
      <c r="AG66" s="37"/>
    </row>
    <row r="67" spans="1:33" ht="15.75" customHeight="1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6"/>
      <c r="V67" s="1"/>
      <c r="W67" s="31"/>
      <c r="X67" s="31"/>
      <c r="Y67" s="31"/>
      <c r="Z67" s="31"/>
      <c r="AA67" s="2"/>
      <c r="AB67" s="31"/>
      <c r="AC67" s="31"/>
      <c r="AD67" s="31"/>
      <c r="AE67" s="37"/>
      <c r="AF67" s="37"/>
      <c r="AG67" s="37"/>
    </row>
    <row r="68" spans="1:33" ht="15.75" customHeight="1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6"/>
      <c r="V68" s="1"/>
      <c r="W68" s="31"/>
      <c r="X68" s="31"/>
      <c r="Y68" s="31"/>
      <c r="Z68" s="31"/>
      <c r="AA68" s="2"/>
      <c r="AB68" s="31"/>
      <c r="AC68" s="31"/>
      <c r="AD68" s="31"/>
      <c r="AE68" s="37"/>
      <c r="AF68" s="37"/>
      <c r="AG68" s="37"/>
    </row>
    <row r="69" spans="1:33" ht="15.75" customHeight="1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6"/>
      <c r="V69" s="1"/>
      <c r="W69" s="31"/>
      <c r="X69" s="31"/>
      <c r="Y69" s="31"/>
      <c r="Z69" s="31"/>
      <c r="AA69" s="2"/>
      <c r="AB69" s="31"/>
      <c r="AC69" s="31"/>
      <c r="AD69" s="31"/>
      <c r="AE69" s="37"/>
      <c r="AF69" s="37"/>
      <c r="AG69" s="37"/>
    </row>
    <row r="70" spans="1:33" ht="15.75" customHeight="1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6"/>
      <c r="V70" s="1"/>
      <c r="W70" s="31"/>
      <c r="X70" s="31"/>
      <c r="Y70" s="31"/>
      <c r="Z70" s="31"/>
      <c r="AA70" s="2"/>
      <c r="AB70" s="31"/>
      <c r="AC70" s="31"/>
      <c r="AD70" s="31"/>
      <c r="AE70" s="37"/>
      <c r="AF70" s="37"/>
      <c r="AG70" s="37"/>
    </row>
    <row r="71" spans="1:33" ht="15.75" customHeight="1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6"/>
      <c r="V71" s="1"/>
      <c r="W71" s="31"/>
      <c r="X71" s="31"/>
      <c r="Y71" s="31"/>
      <c r="Z71" s="31"/>
      <c r="AA71" s="2"/>
      <c r="AB71" s="31"/>
      <c r="AC71" s="31"/>
      <c r="AD71" s="31"/>
      <c r="AE71" s="37"/>
      <c r="AF71" s="37"/>
      <c r="AG71" s="37"/>
    </row>
    <row r="72" spans="1:33" ht="15.75" customHeight="1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6"/>
      <c r="V72" s="1"/>
      <c r="W72" s="31"/>
      <c r="X72" s="31"/>
      <c r="Y72" s="31"/>
      <c r="Z72" s="31"/>
      <c r="AA72" s="2"/>
      <c r="AB72" s="31"/>
      <c r="AC72" s="31"/>
      <c r="AD72" s="31"/>
      <c r="AE72" s="37"/>
      <c r="AF72" s="37"/>
      <c r="AG72" s="37"/>
    </row>
    <row r="73" spans="1:33" ht="15.75" customHeight="1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6"/>
      <c r="V73" s="1"/>
      <c r="W73" s="31"/>
      <c r="X73" s="31"/>
      <c r="Y73" s="31"/>
      <c r="Z73" s="31"/>
      <c r="AA73" s="2"/>
      <c r="AB73" s="31"/>
      <c r="AC73" s="31"/>
      <c r="AD73" s="31"/>
      <c r="AE73" s="37"/>
      <c r="AF73" s="37"/>
      <c r="AG73" s="37"/>
    </row>
    <row r="74" spans="1:33" ht="15.75" customHeight="1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6"/>
      <c r="V74" s="1"/>
      <c r="W74" s="31"/>
      <c r="X74" s="31"/>
      <c r="Y74" s="31"/>
      <c r="Z74" s="31"/>
      <c r="AA74" s="2"/>
      <c r="AB74" s="31"/>
      <c r="AC74" s="31"/>
      <c r="AD74" s="31"/>
      <c r="AE74" s="37"/>
      <c r="AF74" s="37"/>
      <c r="AG74" s="37"/>
    </row>
    <row r="75" spans="1:33" ht="15.75" customHeight="1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6"/>
      <c r="V75" s="1"/>
      <c r="W75" s="31"/>
      <c r="X75" s="31"/>
      <c r="Y75" s="31"/>
      <c r="Z75" s="31"/>
      <c r="AA75" s="2"/>
      <c r="AB75" s="31"/>
      <c r="AC75" s="31"/>
      <c r="AD75" s="31"/>
      <c r="AE75" s="37"/>
      <c r="AF75" s="37"/>
      <c r="AG75" s="37"/>
    </row>
    <row r="76" spans="1:33" ht="15.75" customHeight="1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6"/>
      <c r="V76" s="1"/>
      <c r="W76" s="31"/>
      <c r="X76" s="31"/>
      <c r="Y76" s="31"/>
      <c r="Z76" s="31"/>
      <c r="AA76" s="2"/>
      <c r="AB76" s="31"/>
      <c r="AC76" s="31"/>
      <c r="AD76" s="31"/>
      <c r="AE76" s="37"/>
      <c r="AF76" s="37"/>
      <c r="AG76" s="37"/>
    </row>
    <row r="77" spans="1:33" ht="15.75" customHeight="1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6"/>
      <c r="V77" s="1"/>
      <c r="W77" s="31"/>
      <c r="X77" s="31"/>
      <c r="Y77" s="31"/>
      <c r="Z77" s="31"/>
      <c r="AA77" s="2"/>
      <c r="AB77" s="31"/>
      <c r="AC77" s="31"/>
      <c r="AD77" s="31"/>
      <c r="AE77" s="37"/>
      <c r="AF77" s="37"/>
      <c r="AG77" s="37"/>
    </row>
    <row r="78" spans="1:33" ht="15.75" customHeight="1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6"/>
      <c r="V78" s="1"/>
      <c r="W78" s="31"/>
      <c r="X78" s="31"/>
      <c r="Y78" s="31"/>
      <c r="Z78" s="31"/>
      <c r="AA78" s="2"/>
      <c r="AB78" s="31"/>
      <c r="AC78" s="31"/>
      <c r="AD78" s="31"/>
      <c r="AE78" s="37"/>
      <c r="AF78" s="37"/>
      <c r="AG78" s="37"/>
    </row>
    <row r="79" spans="1:33" ht="15.75" customHeight="1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6"/>
      <c r="V79" s="1"/>
      <c r="W79" s="31"/>
      <c r="X79" s="31"/>
      <c r="Y79" s="31"/>
      <c r="Z79" s="31"/>
      <c r="AA79" s="2"/>
      <c r="AB79" s="31"/>
      <c r="AC79" s="31"/>
      <c r="AD79" s="31"/>
      <c r="AE79" s="37"/>
      <c r="AF79" s="37"/>
      <c r="AG79" s="37"/>
    </row>
    <row r="80" spans="1:33" ht="15.75" customHeight="1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6"/>
      <c r="V80" s="1"/>
      <c r="W80" s="31"/>
      <c r="X80" s="31"/>
      <c r="Y80" s="31"/>
      <c r="Z80" s="31"/>
      <c r="AA80" s="2"/>
      <c r="AB80" s="31"/>
      <c r="AC80" s="31"/>
      <c r="AD80" s="31"/>
      <c r="AE80" s="37"/>
      <c r="AF80" s="37"/>
      <c r="AG80" s="37"/>
    </row>
    <row r="81" spans="1:33" ht="15.75" customHeight="1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6"/>
      <c r="V81" s="1"/>
      <c r="W81" s="31"/>
      <c r="X81" s="31"/>
      <c r="Y81" s="31"/>
      <c r="Z81" s="31"/>
      <c r="AA81" s="2"/>
      <c r="AB81" s="31"/>
      <c r="AC81" s="31"/>
      <c r="AD81" s="31"/>
      <c r="AE81" s="37"/>
      <c r="AF81" s="37"/>
      <c r="AG81" s="37"/>
    </row>
    <row r="82" spans="1:33" ht="15.75" customHeight="1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6"/>
      <c r="V82" s="1"/>
      <c r="W82" s="31"/>
      <c r="X82" s="31"/>
      <c r="Y82" s="31"/>
      <c r="Z82" s="31"/>
      <c r="AA82" s="2"/>
      <c r="AB82" s="31"/>
      <c r="AC82" s="31"/>
      <c r="AD82" s="31"/>
      <c r="AE82" s="37"/>
      <c r="AF82" s="37"/>
      <c r="AG82" s="37"/>
    </row>
    <row r="83" spans="1:33" ht="15.75" customHeight="1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6"/>
      <c r="V83" s="1"/>
      <c r="W83" s="31"/>
      <c r="X83" s="31"/>
      <c r="Y83" s="31"/>
      <c r="Z83" s="31"/>
      <c r="AA83" s="2"/>
      <c r="AB83" s="31"/>
      <c r="AC83" s="31"/>
      <c r="AD83" s="31"/>
      <c r="AE83" s="37"/>
      <c r="AF83" s="37"/>
      <c r="AG83" s="37"/>
    </row>
    <row r="84" spans="1:33" ht="15.75" customHeight="1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6"/>
      <c r="V84" s="1"/>
      <c r="W84" s="31"/>
      <c r="X84" s="31"/>
      <c r="Y84" s="31"/>
      <c r="Z84" s="31"/>
      <c r="AA84" s="2"/>
      <c r="AB84" s="31"/>
      <c r="AC84" s="31"/>
      <c r="AD84" s="31"/>
      <c r="AE84" s="37"/>
      <c r="AF84" s="37"/>
      <c r="AG84" s="37"/>
    </row>
    <row r="85" spans="1:33" ht="15.75" customHeight="1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6"/>
      <c r="V85" s="1"/>
      <c r="W85" s="31"/>
      <c r="X85" s="31"/>
      <c r="Y85" s="31"/>
      <c r="Z85" s="31"/>
      <c r="AA85" s="2"/>
      <c r="AB85" s="31"/>
      <c r="AC85" s="31"/>
      <c r="AD85" s="31"/>
      <c r="AE85" s="37"/>
      <c r="AF85" s="37"/>
      <c r="AG85" s="37"/>
    </row>
    <row r="86" spans="1:33" ht="15.75" customHeight="1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6"/>
      <c r="V86" s="1"/>
      <c r="W86" s="31"/>
      <c r="X86" s="31"/>
      <c r="Y86" s="31"/>
      <c r="Z86" s="31"/>
      <c r="AA86" s="2"/>
      <c r="AB86" s="31"/>
      <c r="AC86" s="31"/>
      <c r="AD86" s="31"/>
      <c r="AE86" s="37"/>
      <c r="AF86" s="37"/>
      <c r="AG86" s="37"/>
    </row>
    <row r="87" spans="1:33" ht="15.75" customHeight="1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6"/>
      <c r="V87" s="1"/>
      <c r="W87" s="31"/>
      <c r="X87" s="31"/>
      <c r="Y87" s="31"/>
      <c r="Z87" s="31"/>
      <c r="AA87" s="2"/>
      <c r="AB87" s="31"/>
      <c r="AC87" s="31"/>
      <c r="AD87" s="31"/>
      <c r="AE87" s="37"/>
      <c r="AF87" s="37"/>
      <c r="AG87" s="37"/>
    </row>
    <row r="88" spans="1:33" ht="15.75" customHeight="1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6"/>
      <c r="V88" s="1"/>
      <c r="W88" s="31"/>
      <c r="X88" s="31"/>
      <c r="Y88" s="31"/>
      <c r="Z88" s="31"/>
      <c r="AA88" s="2"/>
      <c r="AB88" s="31"/>
      <c r="AC88" s="31"/>
      <c r="AD88" s="31"/>
      <c r="AE88" s="37"/>
      <c r="AF88" s="37"/>
      <c r="AG88" s="37"/>
    </row>
    <row r="89" spans="1:33" ht="15.75" customHeight="1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6"/>
      <c r="V89" s="1"/>
      <c r="W89" s="31"/>
      <c r="X89" s="31"/>
      <c r="Y89" s="31"/>
      <c r="Z89" s="31"/>
      <c r="AA89" s="2"/>
      <c r="AB89" s="31"/>
      <c r="AC89" s="31"/>
      <c r="AD89" s="31"/>
      <c r="AE89" s="37"/>
      <c r="AF89" s="37"/>
      <c r="AG89" s="37"/>
    </row>
    <row r="90" spans="1:33" ht="15.75" customHeight="1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6"/>
      <c r="V90" s="1"/>
      <c r="W90" s="31"/>
      <c r="X90" s="31"/>
      <c r="Y90" s="31"/>
      <c r="Z90" s="31"/>
      <c r="AA90" s="2"/>
      <c r="AB90" s="31"/>
      <c r="AC90" s="31"/>
      <c r="AD90" s="31"/>
      <c r="AE90" s="37"/>
      <c r="AF90" s="37"/>
      <c r="AG90" s="37"/>
    </row>
    <row r="91" spans="1:33" ht="15.75" customHeight="1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6"/>
      <c r="V91" s="1"/>
      <c r="W91" s="31"/>
      <c r="X91" s="31"/>
      <c r="Y91" s="31"/>
      <c r="Z91" s="31"/>
      <c r="AA91" s="2"/>
      <c r="AB91" s="31"/>
      <c r="AC91" s="31"/>
      <c r="AD91" s="31"/>
      <c r="AE91" s="37"/>
      <c r="AF91" s="37"/>
      <c r="AG91" s="37"/>
    </row>
    <row r="92" spans="1:33" ht="15.75" customHeight="1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6"/>
      <c r="V92" s="1"/>
      <c r="W92" s="31"/>
      <c r="X92" s="31"/>
      <c r="Y92" s="31"/>
      <c r="Z92" s="31"/>
      <c r="AA92" s="2"/>
      <c r="AB92" s="31"/>
      <c r="AC92" s="31"/>
      <c r="AD92" s="31"/>
      <c r="AE92" s="37"/>
      <c r="AF92" s="37"/>
      <c r="AG92" s="37"/>
    </row>
    <row r="93" spans="1:33" ht="15.75" customHeight="1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6"/>
      <c r="V93" s="1"/>
      <c r="W93" s="31"/>
      <c r="X93" s="31"/>
      <c r="Y93" s="31"/>
      <c r="Z93" s="31"/>
      <c r="AA93" s="2"/>
      <c r="AB93" s="31"/>
      <c r="AC93" s="31"/>
      <c r="AD93" s="31"/>
      <c r="AE93" s="37"/>
      <c r="AF93" s="37"/>
      <c r="AG93" s="37"/>
    </row>
    <row r="94" spans="1:33" ht="15.75" customHeight="1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6"/>
      <c r="V94" s="1"/>
      <c r="W94" s="31"/>
      <c r="X94" s="31"/>
      <c r="Y94" s="31"/>
      <c r="Z94" s="31"/>
      <c r="AA94" s="2"/>
      <c r="AB94" s="31"/>
      <c r="AC94" s="31"/>
      <c r="AD94" s="31"/>
      <c r="AE94" s="37"/>
      <c r="AF94" s="37"/>
      <c r="AG94" s="37"/>
    </row>
    <row r="95" spans="1:33" ht="15.75" customHeight="1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6"/>
      <c r="V95" s="1"/>
      <c r="W95" s="31"/>
      <c r="X95" s="31"/>
      <c r="Y95" s="31"/>
      <c r="Z95" s="31"/>
      <c r="AA95" s="2"/>
      <c r="AB95" s="31"/>
      <c r="AC95" s="31"/>
      <c r="AD95" s="31"/>
      <c r="AE95" s="37"/>
      <c r="AF95" s="37"/>
      <c r="AG95" s="37"/>
    </row>
    <row r="96" spans="1:33" ht="15.75" customHeight="1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6"/>
      <c r="V96" s="1"/>
      <c r="W96" s="31"/>
      <c r="X96" s="31"/>
      <c r="Y96" s="31"/>
      <c r="Z96" s="31"/>
      <c r="AA96" s="2"/>
      <c r="AB96" s="31"/>
      <c r="AC96" s="31"/>
      <c r="AD96" s="31"/>
      <c r="AE96" s="37"/>
      <c r="AF96" s="37"/>
      <c r="AG96" s="37"/>
    </row>
    <row r="97" spans="1:33" ht="15.75" customHeight="1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8"/>
      <c r="R97" s="38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8"/>
      <c r="R98" s="38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8"/>
      <c r="R99" s="38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8"/>
      <c r="R100" s="38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8"/>
      <c r="R101" s="38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8"/>
      <c r="R102" s="38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8"/>
      <c r="R103" s="38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8"/>
      <c r="R104" s="38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8"/>
      <c r="R105" s="38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8"/>
      <c r="R106" s="38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8"/>
      <c r="R107" s="38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8"/>
      <c r="R108" s="38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8"/>
      <c r="R109" s="38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8"/>
      <c r="R110" s="38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8"/>
      <c r="R111" s="38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8"/>
      <c r="R112" s="38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8"/>
      <c r="R113" s="38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8"/>
      <c r="R114" s="38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>
      <c r="A115" s="31"/>
      <c r="B115" s="31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>
      <c r="A116" s="31"/>
      <c r="B116" s="31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>
      <c r="A117" s="31"/>
      <c r="B117" s="31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>
      <c r="A118" s="31"/>
      <c r="B118" s="31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>
      <c r="A119" s="31"/>
      <c r="B119" s="31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>
      <c r="A120" s="31"/>
      <c r="B120" s="31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>
      <c r="A121" s="31"/>
      <c r="B121" s="31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>
      <c r="A122" s="31"/>
      <c r="B122" s="31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>
      <c r="A123" s="31"/>
      <c r="B123" s="31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>
      <c r="A124" s="31"/>
      <c r="B124" s="31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>
      <c r="A125" s="31"/>
      <c r="B125" s="31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>
      <c r="A126" s="31"/>
      <c r="B126" s="31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>
      <c r="A127" s="31"/>
      <c r="B127" s="31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>
      <c r="A128" s="31"/>
      <c r="B128" s="31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>
      <c r="A129" s="31"/>
      <c r="B129" s="31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>
      <c r="A130" s="31"/>
      <c r="B130" s="31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>
      <c r="A131" s="31"/>
      <c r="B131" s="31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>
      <c r="A132" s="31"/>
      <c r="B132" s="31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>
      <c r="A133" s="31"/>
      <c r="B133" s="31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>
      <c r="A134" s="31"/>
      <c r="B134" s="31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>
      <c r="A135" s="31"/>
      <c r="B135" s="31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>
      <c r="A136" s="31"/>
      <c r="B136" s="31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>
      <c r="A137" s="31"/>
      <c r="B137" s="31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>
      <c r="A138" s="31"/>
      <c r="B138" s="31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>
      <c r="A139" s="31"/>
      <c r="B139" s="31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>
      <c r="A140" s="31"/>
      <c r="B140" s="31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>
      <c r="A141" s="31"/>
      <c r="B141" s="31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2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>
      <c r="A142" s="31"/>
      <c r="B142" s="31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2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>
      <c r="A143" s="31"/>
      <c r="B143" s="31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2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>
      <c r="A144" s="31"/>
      <c r="B144" s="31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2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>
      <c r="A145" s="31"/>
      <c r="B145" s="31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2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>
      <c r="A146" s="31"/>
      <c r="B146" s="31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2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>
      <c r="A147" s="31"/>
      <c r="B147" s="31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2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>
      <c r="A148" s="31"/>
      <c r="B148" s="31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2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</row>
    <row r="149" spans="1:33" ht="15.75" customHeight="1">
      <c r="A149" s="14"/>
      <c r="B149" s="14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>
      <c r="A150" s="14"/>
      <c r="B150" s="14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>
      <c r="A151" s="14"/>
      <c r="B151" s="14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>
      <c r="A152" s="14"/>
      <c r="B152" s="14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>
      <c r="A153" s="14"/>
      <c r="B153" s="14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>
      <c r="A154" s="14"/>
      <c r="B154" s="14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>
      <c r="A155" s="14"/>
      <c r="B155" s="14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>
      <c r="A156" s="14"/>
      <c r="B156" s="14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>
      <c r="A157" s="14"/>
      <c r="B157" s="14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>
      <c r="A158" s="14"/>
      <c r="B158" s="14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>
      <c r="A159" s="14"/>
      <c r="B159" s="14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>
      <c r="A160" s="14"/>
      <c r="B160" s="14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>
      <c r="A161" s="14"/>
      <c r="B161" s="14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>
      <c r="A162" s="14"/>
      <c r="B162" s="14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>
      <c r="A163" s="14"/>
      <c r="B163" s="14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>
      <c r="A164" s="14"/>
      <c r="B164" s="14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>
      <c r="A165" s="14"/>
      <c r="B165" s="14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>
      <c r="A166" s="14"/>
      <c r="B166" s="14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>
      <c r="A167" s="14"/>
      <c r="B167" s="14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>
      <c r="A168" s="14"/>
      <c r="B168" s="14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>
      <c r="A169" s="14"/>
      <c r="B169" s="14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>
      <c r="A170" s="14"/>
      <c r="B170" s="14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>
      <c r="A171" s="14"/>
      <c r="B171" s="14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>
      <c r="A172" s="14"/>
      <c r="B172" s="14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>
      <c r="A173" s="14"/>
      <c r="B173" s="14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>
      <c r="A174" s="14"/>
      <c r="B174" s="14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>
      <c r="A175" s="14"/>
      <c r="B175" s="14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>
      <c r="A176" s="14"/>
      <c r="B176" s="14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>
      <c r="A177" s="14"/>
      <c r="B177" s="14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>
      <c r="A178" s="14"/>
      <c r="B178" s="14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>
      <c r="A179" s="14"/>
      <c r="B179" s="14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>
      <c r="A180" s="14"/>
      <c r="B180" s="14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>
      <c r="A181" s="14"/>
      <c r="B181" s="14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>
      <c r="A182" s="14"/>
      <c r="B182" s="14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>
      <c r="A183" s="14"/>
      <c r="B183" s="14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>
      <c r="A184" s="14"/>
      <c r="B184" s="14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>
      <c r="A185" s="14"/>
      <c r="B185" s="14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>
      <c r="A186" s="14"/>
      <c r="B186" s="14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>
      <c r="A187" s="14"/>
      <c r="B187" s="14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>
      <c r="A188" s="14"/>
      <c r="B188" s="14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>
      <c r="A189" s="14"/>
      <c r="B189" s="14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>
      <c r="A190" s="14"/>
      <c r="B190" s="14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>
      <c r="A191" s="14"/>
      <c r="B191" s="14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>
      <c r="A192" s="14"/>
      <c r="B192" s="14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>
      <c r="A193" s="14"/>
      <c r="B193" s="14"/>
      <c r="C193" s="39"/>
      <c r="D193" s="39"/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>
      <c r="A194" s="14"/>
      <c r="B194" s="14"/>
      <c r="C194" s="39"/>
      <c r="D194" s="39"/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>
      <c r="A195" s="14"/>
      <c r="B195" s="14"/>
      <c r="C195" s="39"/>
      <c r="D195" s="39"/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>
      <c r="A196" s="14"/>
      <c r="B196" s="14"/>
      <c r="C196" s="39"/>
      <c r="D196" s="39"/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>
      <c r="A197" s="14"/>
      <c r="B197" s="14"/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>
      <c r="A198" s="14"/>
      <c r="B198" s="14"/>
      <c r="C198" s="39"/>
      <c r="D198" s="39"/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>
      <c r="A199" s="14"/>
      <c r="B199" s="14"/>
      <c r="C199" s="39"/>
      <c r="D199" s="39"/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>
      <c r="A200" s="14"/>
      <c r="B200" s="14"/>
      <c r="C200" s="39"/>
      <c r="D200" s="39"/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>
      <c r="A201" s="14"/>
      <c r="B201" s="14"/>
      <c r="C201" s="39"/>
      <c r="D201" s="39"/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>
      <c r="A202" s="14"/>
      <c r="B202" s="14"/>
      <c r="C202" s="39"/>
      <c r="D202" s="39"/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>
      <c r="A203" s="14"/>
      <c r="B203" s="14"/>
      <c r="C203" s="39"/>
      <c r="D203" s="39"/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>
      <c r="A204" s="14"/>
      <c r="B204" s="14"/>
      <c r="C204" s="39"/>
      <c r="D204" s="39"/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>
      <c r="A205" s="14"/>
      <c r="B205" s="14"/>
      <c r="C205" s="39"/>
      <c r="D205" s="39"/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>
      <c r="A206" s="14"/>
      <c r="B206" s="14"/>
      <c r="C206" s="39"/>
      <c r="D206" s="39"/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>
      <c r="A207" s="14"/>
      <c r="B207" s="14"/>
      <c r="C207" s="39"/>
      <c r="D207" s="39"/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>
      <c r="A208" s="14"/>
      <c r="B208" s="14"/>
      <c r="C208" s="39"/>
      <c r="D208" s="39"/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>
      <c r="A209" s="14"/>
      <c r="B209" s="14"/>
      <c r="C209" s="39"/>
      <c r="D209" s="39"/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>
      <c r="A210" s="14"/>
      <c r="B210" s="14"/>
      <c r="C210" s="39"/>
      <c r="D210" s="39"/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>
      <c r="A211" s="14"/>
      <c r="B211" s="14"/>
      <c r="C211" s="39"/>
      <c r="D211" s="39"/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>
      <c r="A212" s="14"/>
      <c r="B212" s="14"/>
      <c r="C212" s="39"/>
      <c r="D212" s="39"/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>
      <c r="A213" s="14"/>
      <c r="B213" s="14"/>
      <c r="C213" s="39"/>
      <c r="D213" s="39"/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>
      <c r="A214" s="14"/>
      <c r="B214" s="14"/>
      <c r="C214" s="39"/>
      <c r="D214" s="39"/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>
      <c r="A215" s="14"/>
      <c r="B215" s="14"/>
      <c r="C215" s="39"/>
      <c r="D215" s="39"/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>
      <c r="A216" s="14"/>
      <c r="B216" s="14"/>
      <c r="C216" s="39"/>
      <c r="D216" s="39"/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>
      <c r="A217" s="14"/>
      <c r="B217" s="14"/>
      <c r="C217" s="39"/>
      <c r="D217" s="39"/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>
      <c r="A218" s="14"/>
      <c r="B218" s="14"/>
      <c r="C218" s="39"/>
      <c r="D218" s="39"/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>
      <c r="A219" s="14"/>
      <c r="B219" s="14"/>
      <c r="C219" s="39"/>
      <c r="D219" s="39"/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>
      <c r="A220" s="14"/>
      <c r="B220" s="14"/>
      <c r="C220" s="39"/>
      <c r="D220" s="39"/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>
      <c r="R221" s="30"/>
      <c r="S221" s="40"/>
    </row>
    <row r="222" spans="1:33" ht="15.75" customHeight="1">
      <c r="R222" s="30"/>
      <c r="S222" s="40"/>
    </row>
    <row r="223" spans="1:33" ht="15.75" customHeight="1">
      <c r="R223" s="30"/>
      <c r="S223" s="40"/>
    </row>
    <row r="224" spans="1:33" ht="15.75" customHeight="1">
      <c r="R224" s="30"/>
      <c r="S224" s="40"/>
    </row>
    <row r="225" spans="18:18" ht="15.75" customHeight="1">
      <c r="R225" s="30"/>
    </row>
    <row r="226" spans="18:18" ht="15.75" customHeight="1">
      <c r="R226" s="30"/>
    </row>
    <row r="227" spans="18:18" ht="15.75" customHeight="1">
      <c r="R227" s="30"/>
    </row>
    <row r="228" spans="18:18" ht="15.75" customHeight="1">
      <c r="R228" s="30"/>
    </row>
    <row r="229" spans="18:18" ht="15.75" customHeight="1">
      <c r="R229" s="30"/>
    </row>
    <row r="230" spans="18:18" ht="15.75" customHeight="1">
      <c r="R230" s="30"/>
    </row>
    <row r="231" spans="18:18" ht="15.75" customHeight="1">
      <c r="R231" s="30"/>
    </row>
    <row r="232" spans="18:18" ht="15.75" customHeight="1">
      <c r="R232" s="30"/>
    </row>
    <row r="233" spans="18:18" ht="15.75" customHeight="1">
      <c r="R233" s="30"/>
    </row>
    <row r="234" spans="18:18" ht="15.75" customHeight="1">
      <c r="R234" s="30"/>
    </row>
    <row r="235" spans="18:18" ht="15.75" customHeight="1">
      <c r="R235" s="30"/>
    </row>
    <row r="236" spans="18:18" ht="15.75" customHeight="1">
      <c r="R236" s="30"/>
    </row>
    <row r="237" spans="18:18" ht="15.75" customHeight="1">
      <c r="R237" s="30"/>
    </row>
    <row r="238" spans="18:18" ht="15.75" customHeight="1">
      <c r="R238" s="30"/>
    </row>
    <row r="239" spans="18:18" ht="15.75" customHeight="1">
      <c r="R239" s="30"/>
    </row>
    <row r="240" spans="18:18" ht="15.75" customHeight="1">
      <c r="R240" s="30"/>
    </row>
    <row r="241" spans="18:18" ht="15.75" customHeight="1">
      <c r="R241" s="30"/>
    </row>
    <row r="242" spans="18:18" ht="15.75" customHeight="1">
      <c r="R242" s="30"/>
    </row>
    <row r="243" spans="18:18" ht="15.75" customHeight="1">
      <c r="R243" s="30"/>
    </row>
    <row r="244" spans="18:18" ht="15.75" customHeight="1">
      <c r="R244" s="30"/>
    </row>
    <row r="245" spans="18:18" ht="15.75" customHeight="1">
      <c r="R245" s="30"/>
    </row>
    <row r="246" spans="18:18" ht="15.75" customHeight="1">
      <c r="R246" s="30"/>
    </row>
    <row r="247" spans="18:18" ht="15.75" customHeight="1">
      <c r="R247" s="30"/>
    </row>
    <row r="248" spans="18:18" ht="15.75" customHeight="1">
      <c r="R248" s="30"/>
    </row>
    <row r="249" spans="18:18" ht="15.75" customHeight="1">
      <c r="R249" s="30"/>
    </row>
    <row r="250" spans="18:18" ht="15.75" customHeight="1">
      <c r="R250" s="30"/>
    </row>
    <row r="251" spans="18:18" ht="15.75" customHeight="1">
      <c r="R251" s="30"/>
    </row>
    <row r="252" spans="18:18" ht="15.75" customHeight="1">
      <c r="R252" s="30"/>
    </row>
    <row r="253" spans="18:18" ht="15.75" customHeight="1">
      <c r="R253" s="30"/>
    </row>
    <row r="254" spans="18:18" ht="15.75" customHeight="1">
      <c r="R254" s="30"/>
    </row>
    <row r="255" spans="18:18" ht="15.75" customHeight="1">
      <c r="R255" s="30"/>
    </row>
    <row r="256" spans="18:18" ht="15.75" customHeight="1">
      <c r="R256" s="30"/>
    </row>
    <row r="257" spans="18:18" ht="15.75" customHeight="1">
      <c r="R257" s="30"/>
    </row>
    <row r="258" spans="18:18" ht="15.75" customHeight="1">
      <c r="R258" s="30"/>
    </row>
    <row r="259" spans="18:18" ht="15.75" customHeight="1">
      <c r="R259" s="30"/>
    </row>
    <row r="260" spans="18:18" ht="15.75" customHeight="1">
      <c r="R260" s="30"/>
    </row>
    <row r="261" spans="18:18" ht="15.75" customHeight="1">
      <c r="R261" s="30"/>
    </row>
    <row r="262" spans="18:18" ht="15.75" customHeight="1">
      <c r="R262" s="30"/>
    </row>
    <row r="263" spans="18:18" ht="15.75" customHeight="1">
      <c r="R263" s="30"/>
    </row>
    <row r="264" spans="18:18" ht="15.75" customHeight="1">
      <c r="R264" s="30"/>
    </row>
    <row r="265" spans="18:18" ht="15.75" customHeight="1">
      <c r="R265" s="30"/>
    </row>
    <row r="266" spans="18:18" ht="15.75" customHeight="1">
      <c r="R266" s="30"/>
    </row>
    <row r="267" spans="18:18" ht="15.75" customHeight="1">
      <c r="R267" s="30"/>
    </row>
    <row r="268" spans="18:18" ht="15.75" customHeight="1">
      <c r="R268" s="30"/>
    </row>
    <row r="269" spans="18:18" ht="15.75" customHeight="1">
      <c r="R269" s="30"/>
    </row>
    <row r="270" spans="18:18" ht="15.75" customHeight="1">
      <c r="R270" s="30"/>
    </row>
    <row r="271" spans="18:18" ht="15.75" customHeight="1">
      <c r="R271" s="30"/>
    </row>
    <row r="272" spans="18:18" ht="15.75" customHeight="1">
      <c r="R272" s="30"/>
    </row>
    <row r="273" spans="18:18" ht="15.75" customHeight="1">
      <c r="R273" s="30"/>
    </row>
    <row r="274" spans="18:18" ht="15.75" customHeight="1">
      <c r="R274" s="30"/>
    </row>
    <row r="275" spans="18:18" ht="15.75" customHeight="1">
      <c r="R275" s="30"/>
    </row>
    <row r="276" spans="18:18" ht="15.75" customHeight="1">
      <c r="R276" s="30"/>
    </row>
    <row r="277" spans="18:18" ht="15.75" customHeight="1">
      <c r="R277" s="30"/>
    </row>
    <row r="278" spans="18:18" ht="15.75" customHeight="1">
      <c r="R278" s="30"/>
    </row>
    <row r="279" spans="18:18" ht="15.75" customHeight="1">
      <c r="R279" s="30"/>
    </row>
    <row r="280" spans="18:18" ht="15.75" customHeight="1">
      <c r="R280" s="30"/>
    </row>
    <row r="281" spans="18:18" ht="15.75" customHeight="1">
      <c r="R281" s="30"/>
    </row>
    <row r="282" spans="18:18" ht="15.75" customHeight="1">
      <c r="R282" s="30"/>
    </row>
    <row r="283" spans="18:18" ht="15.75" customHeight="1">
      <c r="R283" s="30"/>
    </row>
    <row r="284" spans="18:18" ht="15.75" customHeight="1">
      <c r="R284" s="30"/>
    </row>
    <row r="285" spans="18:18" ht="15.75" customHeight="1">
      <c r="R285" s="30"/>
    </row>
    <row r="286" spans="18:18" ht="15.75" customHeight="1">
      <c r="R286" s="30"/>
    </row>
    <row r="287" spans="18:18" ht="15.75" customHeight="1">
      <c r="R287" s="30"/>
    </row>
    <row r="288" spans="18:18" ht="15.75" customHeight="1">
      <c r="R288" s="30"/>
    </row>
    <row r="289" spans="18:18" ht="15.75" customHeight="1">
      <c r="R289" s="30"/>
    </row>
    <row r="290" spans="18:18" ht="15.75" customHeight="1">
      <c r="R290" s="30"/>
    </row>
    <row r="291" spans="18:18" ht="15.75" customHeight="1">
      <c r="R291" s="30"/>
    </row>
    <row r="292" spans="18:18" ht="15.75" customHeight="1">
      <c r="R292" s="30"/>
    </row>
    <row r="293" spans="18:18" ht="15.75" customHeight="1">
      <c r="R293" s="30"/>
    </row>
    <row r="294" spans="18:18" ht="15.75" customHeight="1">
      <c r="R294" s="30"/>
    </row>
    <row r="295" spans="18:18" ht="15.75" customHeight="1">
      <c r="R295" s="30"/>
    </row>
    <row r="296" spans="18:18" ht="15.75" customHeight="1">
      <c r="R296" s="30"/>
    </row>
    <row r="297" spans="18:18" ht="15.75" customHeight="1">
      <c r="R297" s="30"/>
    </row>
    <row r="298" spans="18:18" ht="15.75" customHeight="1">
      <c r="R298" s="30"/>
    </row>
    <row r="299" spans="18:18" ht="15.75" customHeight="1">
      <c r="R299" s="30"/>
    </row>
    <row r="300" spans="18:18" ht="15.75" customHeight="1">
      <c r="R300" s="30"/>
    </row>
    <row r="301" spans="18:18" ht="15.75" customHeight="1">
      <c r="R301" s="30"/>
    </row>
    <row r="302" spans="18:18" ht="15.75" customHeight="1">
      <c r="R302" s="30"/>
    </row>
    <row r="303" spans="18:18" ht="15.75" customHeight="1">
      <c r="R303" s="30"/>
    </row>
    <row r="304" spans="18:18" ht="15.75" customHeight="1">
      <c r="R304" s="30"/>
    </row>
    <row r="305" spans="18:18" ht="15.75" customHeight="1">
      <c r="R305" s="30"/>
    </row>
    <row r="306" spans="18:18" ht="15.75" customHeight="1">
      <c r="R306" s="30"/>
    </row>
    <row r="307" spans="18:18" ht="15.75" customHeight="1">
      <c r="R307" s="30"/>
    </row>
    <row r="308" spans="18:18" ht="15.75" customHeight="1">
      <c r="R308" s="30"/>
    </row>
    <row r="309" spans="18:18" ht="15.75" customHeight="1">
      <c r="R309" s="30"/>
    </row>
    <row r="310" spans="18:18" ht="15.75" customHeight="1">
      <c r="R310" s="30"/>
    </row>
    <row r="311" spans="18:18" ht="15.75" customHeight="1">
      <c r="R311" s="30"/>
    </row>
    <row r="312" spans="18:18" ht="15.75" customHeight="1">
      <c r="R312" s="30"/>
    </row>
    <row r="313" spans="18:18" ht="15.75" customHeight="1">
      <c r="R313" s="30"/>
    </row>
    <row r="314" spans="18:18" ht="15.75" customHeight="1">
      <c r="R314" s="30"/>
    </row>
    <row r="315" spans="18:18" ht="15.75" customHeight="1">
      <c r="R315" s="30"/>
    </row>
    <row r="316" spans="18:18" ht="15.75" customHeight="1">
      <c r="R316" s="30"/>
    </row>
    <row r="317" spans="18:18" ht="15.75" customHeight="1">
      <c r="R317" s="30"/>
    </row>
    <row r="318" spans="18:18" ht="15.75" customHeight="1">
      <c r="R318" s="30"/>
    </row>
    <row r="319" spans="18:18" ht="15.75" customHeight="1">
      <c r="R319" s="30"/>
    </row>
    <row r="320" spans="18:18" ht="15.75" customHeight="1">
      <c r="R320" s="30"/>
    </row>
    <row r="321" spans="18:18" ht="15.75" customHeight="1">
      <c r="R321" s="30"/>
    </row>
    <row r="322" spans="18:18" ht="15.75" customHeight="1">
      <c r="R322" s="30"/>
    </row>
    <row r="323" spans="18:18" ht="15.75" customHeight="1">
      <c r="R323" s="30"/>
    </row>
    <row r="324" spans="18:18" ht="15.75" customHeight="1">
      <c r="R324" s="30"/>
    </row>
    <row r="325" spans="18:18" ht="15.75" customHeight="1">
      <c r="R325" s="30"/>
    </row>
    <row r="326" spans="18:18" ht="15.75" customHeight="1">
      <c r="R326" s="30"/>
    </row>
    <row r="327" spans="18:18" ht="15.75" customHeight="1">
      <c r="R327" s="30"/>
    </row>
    <row r="328" spans="18:18" ht="15.75" customHeight="1">
      <c r="R328" s="30"/>
    </row>
    <row r="329" spans="18:18" ht="15.75" customHeight="1">
      <c r="R329" s="30"/>
    </row>
    <row r="330" spans="18:18" ht="15.75" customHeight="1">
      <c r="R330" s="30"/>
    </row>
    <row r="331" spans="18:18" ht="15.75" customHeight="1">
      <c r="R331" s="30"/>
    </row>
    <row r="332" spans="18:18" ht="15.75" customHeight="1">
      <c r="R332" s="30"/>
    </row>
    <row r="333" spans="18:18" ht="15.75" customHeight="1">
      <c r="R333" s="30"/>
    </row>
    <row r="334" spans="18:18" ht="15.75" customHeight="1">
      <c r="R334" s="30"/>
    </row>
    <row r="335" spans="18:18" ht="15.75" customHeight="1">
      <c r="R335" s="30"/>
    </row>
    <row r="336" spans="18:18" ht="15.75" customHeight="1">
      <c r="R336" s="30"/>
    </row>
    <row r="337" spans="18:18" ht="15.75" customHeight="1">
      <c r="R337" s="30"/>
    </row>
    <row r="338" spans="18:18" ht="15.75" customHeight="1">
      <c r="R338" s="30"/>
    </row>
    <row r="339" spans="18:18" ht="15.75" customHeight="1">
      <c r="R339" s="30"/>
    </row>
    <row r="340" spans="18:18" ht="15.75" customHeight="1">
      <c r="R340" s="30"/>
    </row>
    <row r="341" spans="18:18" ht="15.75" customHeight="1">
      <c r="R341" s="30"/>
    </row>
    <row r="342" spans="18:18" ht="15.75" customHeight="1">
      <c r="R342" s="30"/>
    </row>
    <row r="343" spans="18:18" ht="15.75" customHeight="1">
      <c r="R343" s="30"/>
    </row>
    <row r="344" spans="18:18" ht="15.75" customHeight="1">
      <c r="R344" s="30"/>
    </row>
    <row r="345" spans="18:18" ht="15.75" customHeight="1">
      <c r="R345" s="30"/>
    </row>
    <row r="346" spans="18:18" ht="15.75" customHeight="1">
      <c r="R346" s="30"/>
    </row>
    <row r="347" spans="18:18" ht="15.75" customHeight="1">
      <c r="R347" s="30"/>
    </row>
    <row r="348" spans="18:18" ht="15.75" customHeight="1">
      <c r="R348" s="30"/>
    </row>
    <row r="349" spans="18:18" ht="15.75" customHeight="1">
      <c r="R349" s="30"/>
    </row>
    <row r="350" spans="18:18" ht="15.75" customHeight="1">
      <c r="R350" s="30"/>
    </row>
    <row r="351" spans="18:18" ht="15.75" customHeight="1">
      <c r="R351" s="30"/>
    </row>
    <row r="352" spans="18:18" ht="15.75" customHeight="1">
      <c r="R352" s="30"/>
    </row>
    <row r="353" spans="18:18" ht="15.75" customHeight="1">
      <c r="R353" s="30"/>
    </row>
    <row r="354" spans="18:18" ht="15.75" customHeight="1">
      <c r="R354" s="30"/>
    </row>
    <row r="355" spans="18:18" ht="15.75" customHeight="1">
      <c r="R355" s="30"/>
    </row>
    <row r="356" spans="18:18" ht="15.75" customHeight="1">
      <c r="R356" s="30"/>
    </row>
    <row r="357" spans="18:18" ht="15.75" customHeight="1">
      <c r="R357" s="30"/>
    </row>
    <row r="358" spans="18:18" ht="15.75" customHeight="1">
      <c r="R358" s="30"/>
    </row>
    <row r="359" spans="18:18" ht="15.75" customHeight="1">
      <c r="R359" s="30"/>
    </row>
    <row r="360" spans="18:18" ht="15.75" customHeight="1">
      <c r="R360" s="30"/>
    </row>
    <row r="361" spans="18:18" ht="15.75" customHeight="1">
      <c r="R361" s="30"/>
    </row>
    <row r="362" spans="18:18" ht="15.75" customHeight="1">
      <c r="R362" s="30"/>
    </row>
    <row r="363" spans="18:18" ht="15.75" customHeight="1">
      <c r="R363" s="30"/>
    </row>
    <row r="364" spans="18:18" ht="15.75" customHeight="1">
      <c r="R364" s="30"/>
    </row>
    <row r="365" spans="18:18" ht="15.75" customHeight="1">
      <c r="R365" s="30"/>
    </row>
    <row r="366" spans="18:18" ht="15.75" customHeight="1">
      <c r="R366" s="30"/>
    </row>
    <row r="367" spans="18:18" ht="15.75" customHeight="1">
      <c r="R367" s="30"/>
    </row>
    <row r="368" spans="18:18" ht="15.75" customHeight="1">
      <c r="R368" s="30"/>
    </row>
    <row r="369" spans="18:18" ht="15.75" customHeight="1">
      <c r="R369" s="30"/>
    </row>
    <row r="370" spans="18:18" ht="15.75" customHeight="1">
      <c r="R370" s="30"/>
    </row>
    <row r="371" spans="18:18" ht="15.75" customHeight="1">
      <c r="R371" s="30"/>
    </row>
    <row r="372" spans="18:18" ht="15.75" customHeight="1">
      <c r="R372" s="30"/>
    </row>
    <row r="373" spans="18:18" ht="15.75" customHeight="1">
      <c r="R373" s="30"/>
    </row>
    <row r="374" spans="18:18" ht="15.75" customHeight="1">
      <c r="R374" s="30"/>
    </row>
    <row r="375" spans="18:18" ht="15.75" customHeight="1">
      <c r="R375" s="30"/>
    </row>
    <row r="376" spans="18:18" ht="15.75" customHeight="1">
      <c r="R376" s="30"/>
    </row>
    <row r="377" spans="18:18" ht="15.75" customHeight="1">
      <c r="R377" s="30"/>
    </row>
    <row r="378" spans="18:18" ht="15.75" customHeight="1">
      <c r="R378" s="30"/>
    </row>
    <row r="379" spans="18:18" ht="15.75" customHeight="1">
      <c r="R379" s="30"/>
    </row>
    <row r="380" spans="18:18" ht="15.75" customHeight="1">
      <c r="R380" s="30"/>
    </row>
    <row r="381" spans="18:18" ht="15.75" customHeight="1">
      <c r="R381" s="30"/>
    </row>
    <row r="382" spans="18:18" ht="15.75" customHeight="1">
      <c r="R382" s="30"/>
    </row>
    <row r="383" spans="18:18" ht="15.75" customHeight="1">
      <c r="R383" s="30"/>
    </row>
    <row r="384" spans="18:18" ht="15.75" customHeight="1">
      <c r="R384" s="30"/>
    </row>
    <row r="385" spans="18:18" ht="15.75" customHeight="1">
      <c r="R385" s="30"/>
    </row>
    <row r="386" spans="18:18" ht="15.75" customHeight="1">
      <c r="R386" s="30"/>
    </row>
    <row r="387" spans="18:18" ht="15.75" customHeight="1">
      <c r="R387" s="30"/>
    </row>
    <row r="388" spans="18:18" ht="15.75" customHeight="1">
      <c r="R388" s="30"/>
    </row>
    <row r="389" spans="18:18" ht="15.75" customHeight="1">
      <c r="R389" s="30"/>
    </row>
    <row r="390" spans="18:18" ht="15.75" customHeight="1">
      <c r="R390" s="30"/>
    </row>
    <row r="391" spans="18:18" ht="15.75" customHeight="1">
      <c r="R391" s="30"/>
    </row>
    <row r="392" spans="18:18" ht="15.75" customHeight="1">
      <c r="R392" s="30"/>
    </row>
    <row r="393" spans="18:18" ht="15.75" customHeight="1">
      <c r="R393" s="30"/>
    </row>
    <row r="394" spans="18:18" ht="15.75" customHeight="1">
      <c r="R394" s="30"/>
    </row>
    <row r="395" spans="18:18" ht="15.75" customHeight="1">
      <c r="R395" s="30"/>
    </row>
    <row r="396" spans="18:18" ht="15.75" customHeight="1">
      <c r="R396" s="30"/>
    </row>
    <row r="397" spans="18:18" ht="15.75" customHeight="1">
      <c r="R397" s="30"/>
    </row>
    <row r="398" spans="18:18" ht="15.75" customHeight="1">
      <c r="R398" s="30"/>
    </row>
    <row r="399" spans="18:18" ht="15.75" customHeight="1">
      <c r="R399" s="30"/>
    </row>
    <row r="400" spans="18:18" ht="15.75" customHeight="1">
      <c r="R400" s="30"/>
    </row>
    <row r="401" spans="18:18" ht="15.75" customHeight="1">
      <c r="R401" s="30"/>
    </row>
    <row r="402" spans="18:18" ht="15.75" customHeight="1">
      <c r="R402" s="30"/>
    </row>
    <row r="403" spans="18:18" ht="15.75" customHeight="1">
      <c r="R403" s="30"/>
    </row>
    <row r="404" spans="18:18" ht="15.75" customHeight="1">
      <c r="R404" s="30"/>
    </row>
    <row r="405" spans="18:18" ht="15.75" customHeight="1">
      <c r="R405" s="30"/>
    </row>
    <row r="406" spans="18:18" ht="15.75" customHeight="1">
      <c r="R406" s="30"/>
    </row>
    <row r="407" spans="18:18" ht="15.75" customHeight="1">
      <c r="R407" s="30"/>
    </row>
    <row r="408" spans="18:18" ht="15.75" customHeight="1">
      <c r="R408" s="30"/>
    </row>
    <row r="409" spans="18:18" ht="15.75" customHeight="1">
      <c r="R409" s="30"/>
    </row>
    <row r="410" spans="18:18" ht="15.75" customHeight="1">
      <c r="R410" s="30"/>
    </row>
    <row r="411" spans="18:18" ht="15.75" customHeight="1">
      <c r="R411" s="30"/>
    </row>
    <row r="412" spans="18:18" ht="15.75" customHeight="1">
      <c r="R412" s="30"/>
    </row>
    <row r="413" spans="18:18" ht="15.75" customHeight="1">
      <c r="R413" s="30"/>
    </row>
    <row r="414" spans="18:18" ht="15.75" customHeight="1">
      <c r="R414" s="30"/>
    </row>
    <row r="415" spans="18:18" ht="15.75" customHeight="1">
      <c r="R415" s="30"/>
    </row>
    <row r="416" spans="18:18" ht="15.75" customHeight="1">
      <c r="R416" s="30"/>
    </row>
    <row r="417" spans="18:18" ht="15.75" customHeight="1">
      <c r="R417" s="30"/>
    </row>
    <row r="418" spans="18:18" ht="15.75" customHeight="1">
      <c r="R418" s="30"/>
    </row>
    <row r="419" spans="18:18" ht="15.75" customHeight="1">
      <c r="R419" s="30"/>
    </row>
    <row r="420" spans="18:18" ht="15.75" customHeight="1">
      <c r="R420" s="30"/>
    </row>
    <row r="421" spans="18:18" ht="15.75" customHeight="1">
      <c r="R421" s="30"/>
    </row>
    <row r="422" spans="18:18" ht="15.75" customHeight="1">
      <c r="R422" s="30"/>
    </row>
    <row r="423" spans="18:18" ht="15.75" customHeight="1">
      <c r="R423" s="30"/>
    </row>
    <row r="424" spans="18:18" ht="15.75" customHeight="1">
      <c r="R424" s="30"/>
    </row>
    <row r="425" spans="18:18" ht="15.75" customHeight="1">
      <c r="R425" s="30"/>
    </row>
    <row r="426" spans="18:18" ht="15.75" customHeight="1">
      <c r="R426" s="30"/>
    </row>
    <row r="427" spans="18:18" ht="15.75" customHeight="1">
      <c r="R427" s="30"/>
    </row>
    <row r="428" spans="18:18" ht="15.75" customHeight="1">
      <c r="R428" s="30"/>
    </row>
    <row r="429" spans="18:18" ht="15.75" customHeight="1">
      <c r="R429" s="30"/>
    </row>
    <row r="430" spans="18:18" ht="15.75" customHeight="1">
      <c r="R430" s="30"/>
    </row>
    <row r="431" spans="18:18" ht="15.75" customHeight="1">
      <c r="R431" s="30"/>
    </row>
    <row r="432" spans="18:18" ht="15.75" customHeight="1">
      <c r="R432" s="30"/>
    </row>
    <row r="433" spans="18:18" ht="15.75" customHeight="1">
      <c r="R433" s="30"/>
    </row>
    <row r="434" spans="18:18" ht="15.75" customHeight="1">
      <c r="R434" s="30"/>
    </row>
    <row r="435" spans="18:18" ht="15.75" customHeight="1">
      <c r="R435" s="30"/>
    </row>
    <row r="436" spans="18:18" ht="15.75" customHeight="1">
      <c r="R436" s="30"/>
    </row>
    <row r="437" spans="18:18" ht="15.75" customHeight="1">
      <c r="R437" s="30"/>
    </row>
    <row r="438" spans="18:18" ht="15.75" customHeight="1">
      <c r="R438" s="30"/>
    </row>
    <row r="439" spans="18:18" ht="15.75" customHeight="1">
      <c r="R439" s="30"/>
    </row>
    <row r="440" spans="18:18" ht="15.75" customHeight="1">
      <c r="R440" s="30"/>
    </row>
    <row r="441" spans="18:18" ht="15.75" customHeight="1">
      <c r="R441" s="30"/>
    </row>
    <row r="442" spans="18:18" ht="15.75" customHeight="1">
      <c r="R442" s="30"/>
    </row>
    <row r="443" spans="18:18" ht="15.75" customHeight="1">
      <c r="R443" s="30"/>
    </row>
    <row r="444" spans="18:18" ht="15.75" customHeight="1">
      <c r="R444" s="30"/>
    </row>
    <row r="445" spans="18:18" ht="15.75" customHeight="1">
      <c r="R445" s="30"/>
    </row>
    <row r="446" spans="18:18" ht="15.75" customHeight="1">
      <c r="R446" s="30"/>
    </row>
    <row r="447" spans="18:18" ht="15.75" customHeight="1">
      <c r="R447" s="30"/>
    </row>
    <row r="448" spans="18:18" ht="15.75" customHeight="1">
      <c r="R448" s="30"/>
    </row>
    <row r="449" spans="18:18" ht="15.75" customHeight="1">
      <c r="R449" s="30"/>
    </row>
    <row r="450" spans="18:18" ht="15.75" customHeight="1">
      <c r="R450" s="30"/>
    </row>
    <row r="451" spans="18:18" ht="15.75" customHeight="1">
      <c r="R451" s="30"/>
    </row>
    <row r="452" spans="18:18" ht="15.75" customHeight="1">
      <c r="R452" s="30"/>
    </row>
    <row r="453" spans="18:18" ht="15.75" customHeight="1">
      <c r="R453" s="30"/>
    </row>
    <row r="454" spans="18:18" ht="15.75" customHeight="1">
      <c r="R454" s="30"/>
    </row>
    <row r="455" spans="18:18" ht="15.75" customHeight="1">
      <c r="R455" s="30"/>
    </row>
    <row r="456" spans="18:18" ht="15.75" customHeight="1">
      <c r="R456" s="30"/>
    </row>
    <row r="457" spans="18:18" ht="15.75" customHeight="1">
      <c r="R457" s="30"/>
    </row>
    <row r="458" spans="18:18" ht="15.75" customHeight="1">
      <c r="R458" s="30"/>
    </row>
    <row r="459" spans="18:18" ht="15.75" customHeight="1">
      <c r="R459" s="30"/>
    </row>
    <row r="460" spans="18:18" ht="15.75" customHeight="1">
      <c r="R460" s="30"/>
    </row>
    <row r="461" spans="18:18" ht="15.75" customHeight="1">
      <c r="R461" s="30"/>
    </row>
    <row r="462" spans="18:18" ht="15.75" customHeight="1">
      <c r="R462" s="30"/>
    </row>
    <row r="463" spans="18:18" ht="15.75" customHeight="1">
      <c r="R463" s="30"/>
    </row>
    <row r="464" spans="18:18" ht="15.75" customHeight="1">
      <c r="R464" s="30"/>
    </row>
    <row r="465" spans="18:18" ht="15.75" customHeight="1">
      <c r="R465" s="30"/>
    </row>
    <row r="466" spans="18:18" ht="15.75" customHeight="1">
      <c r="R466" s="30"/>
    </row>
    <row r="467" spans="18:18" ht="15.75" customHeight="1">
      <c r="R467" s="30"/>
    </row>
    <row r="468" spans="18:18" ht="15.75" customHeight="1">
      <c r="R468" s="30"/>
    </row>
    <row r="469" spans="18:18" ht="15.75" customHeight="1">
      <c r="R469" s="30"/>
    </row>
    <row r="470" spans="18:18" ht="15.75" customHeight="1">
      <c r="R470" s="30"/>
    </row>
    <row r="471" spans="18:18" ht="15.75" customHeight="1">
      <c r="R471" s="30"/>
    </row>
    <row r="472" spans="18:18" ht="15.75" customHeight="1">
      <c r="R472" s="30"/>
    </row>
    <row r="473" spans="18:18" ht="15.75" customHeight="1">
      <c r="R473" s="30"/>
    </row>
    <row r="474" spans="18:18" ht="15.75" customHeight="1">
      <c r="R474" s="30"/>
    </row>
    <row r="475" spans="18:18" ht="15.75" customHeight="1">
      <c r="R475" s="30"/>
    </row>
    <row r="476" spans="18:18" ht="15.75" customHeight="1">
      <c r="R476" s="30"/>
    </row>
    <row r="477" spans="18:18" ht="15.75" customHeight="1">
      <c r="R477" s="30"/>
    </row>
    <row r="478" spans="18:18" ht="15.75" customHeight="1">
      <c r="R478" s="30"/>
    </row>
    <row r="479" spans="18:18" ht="15.75" customHeight="1">
      <c r="R479" s="30"/>
    </row>
    <row r="480" spans="18:18" ht="15.75" customHeight="1">
      <c r="R480" s="30"/>
    </row>
    <row r="481" spans="18:18" ht="15.75" customHeight="1">
      <c r="R481" s="30"/>
    </row>
    <row r="482" spans="18:18" ht="15.75" customHeight="1">
      <c r="R482" s="30"/>
    </row>
    <row r="483" spans="18:18" ht="15.75" customHeight="1">
      <c r="R483" s="30"/>
    </row>
    <row r="484" spans="18:18" ht="15.75" customHeight="1">
      <c r="R484" s="30"/>
    </row>
    <row r="485" spans="18:18" ht="15.75" customHeight="1">
      <c r="R485" s="30"/>
    </row>
    <row r="486" spans="18:18" ht="15.75" customHeight="1">
      <c r="R486" s="30"/>
    </row>
    <row r="487" spans="18:18" ht="15.75" customHeight="1">
      <c r="R487" s="30"/>
    </row>
    <row r="488" spans="18:18" ht="15.75" customHeight="1">
      <c r="R488" s="30"/>
    </row>
    <row r="489" spans="18:18" ht="15.75" customHeight="1">
      <c r="R489" s="30"/>
    </row>
    <row r="490" spans="18:18" ht="15.75" customHeight="1">
      <c r="R490" s="30"/>
    </row>
    <row r="491" spans="18:18" ht="15.75" customHeight="1">
      <c r="R491" s="30"/>
    </row>
    <row r="492" spans="18:18" ht="15.75" customHeight="1">
      <c r="R492" s="30"/>
    </row>
    <row r="493" spans="18:18" ht="15.75" customHeight="1">
      <c r="R493" s="30"/>
    </row>
    <row r="494" spans="18:18" ht="15.75" customHeight="1">
      <c r="R494" s="30"/>
    </row>
    <row r="495" spans="18:18" ht="15.75" customHeight="1">
      <c r="R495" s="30"/>
    </row>
    <row r="496" spans="18:18" ht="15.75" customHeight="1">
      <c r="R496" s="30"/>
    </row>
    <row r="497" spans="18:18" ht="15.75" customHeight="1">
      <c r="R497" s="30"/>
    </row>
    <row r="498" spans="18:18" ht="15.75" customHeight="1">
      <c r="R498" s="30"/>
    </row>
    <row r="499" spans="18:18" ht="15.75" customHeight="1">
      <c r="R499" s="30"/>
    </row>
    <row r="500" spans="18:18" ht="15.75" customHeight="1">
      <c r="R500" s="30"/>
    </row>
    <row r="501" spans="18:18" ht="15.75" customHeight="1">
      <c r="R501" s="30"/>
    </row>
    <row r="502" spans="18:18" ht="15.75" customHeight="1">
      <c r="R502" s="30"/>
    </row>
    <row r="503" spans="18:18" ht="15.75" customHeight="1">
      <c r="R503" s="30"/>
    </row>
    <row r="504" spans="18:18" ht="15.75" customHeight="1">
      <c r="R504" s="30"/>
    </row>
    <row r="505" spans="18:18" ht="15.75" customHeight="1">
      <c r="R505" s="30"/>
    </row>
    <row r="506" spans="18:18" ht="15.75" customHeight="1">
      <c r="R506" s="30"/>
    </row>
    <row r="507" spans="18:18" ht="15.75" customHeight="1">
      <c r="R507" s="30"/>
    </row>
    <row r="508" spans="18:18" ht="15.75" customHeight="1">
      <c r="R508" s="30"/>
    </row>
    <row r="509" spans="18:18" ht="15.75" customHeight="1">
      <c r="R509" s="30"/>
    </row>
    <row r="510" spans="18:18" ht="15.75" customHeight="1">
      <c r="R510" s="30"/>
    </row>
    <row r="511" spans="18:18" ht="15.75" customHeight="1">
      <c r="R511" s="30"/>
    </row>
    <row r="512" spans="18:18" ht="15.75" customHeight="1">
      <c r="R512" s="30"/>
    </row>
    <row r="513" spans="18:18" ht="15.75" customHeight="1">
      <c r="R513" s="30"/>
    </row>
    <row r="514" spans="18:18" ht="15.75" customHeight="1">
      <c r="R514" s="30"/>
    </row>
    <row r="515" spans="18:18" ht="15.75" customHeight="1">
      <c r="R515" s="30"/>
    </row>
    <row r="516" spans="18:18" ht="15.75" customHeight="1">
      <c r="R516" s="30"/>
    </row>
    <row r="517" spans="18:18" ht="15.75" customHeight="1">
      <c r="R517" s="30"/>
    </row>
    <row r="518" spans="18:18" ht="15.75" customHeight="1">
      <c r="R518" s="30"/>
    </row>
    <row r="519" spans="18:18" ht="15.75" customHeight="1">
      <c r="R519" s="30"/>
    </row>
    <row r="520" spans="18:18" ht="15.75" customHeight="1">
      <c r="R520" s="30"/>
    </row>
    <row r="521" spans="18:18" ht="15.75" customHeight="1">
      <c r="R521" s="30"/>
    </row>
    <row r="522" spans="18:18" ht="15.75" customHeight="1">
      <c r="R522" s="30"/>
    </row>
    <row r="523" spans="18:18" ht="15.75" customHeight="1">
      <c r="R523" s="30"/>
    </row>
    <row r="524" spans="18:18" ht="15.75" customHeight="1">
      <c r="R524" s="30"/>
    </row>
    <row r="525" spans="18:18" ht="15.75" customHeight="1">
      <c r="R525" s="30"/>
    </row>
    <row r="526" spans="18:18" ht="15.75" customHeight="1">
      <c r="R526" s="30"/>
    </row>
    <row r="527" spans="18:18" ht="15.75" customHeight="1">
      <c r="R527" s="30"/>
    </row>
    <row r="528" spans="18:18" ht="15.75" customHeight="1">
      <c r="R528" s="30"/>
    </row>
    <row r="529" spans="18:18" ht="15.75" customHeight="1">
      <c r="R529" s="30"/>
    </row>
    <row r="530" spans="18:18" ht="15.75" customHeight="1">
      <c r="R530" s="30"/>
    </row>
    <row r="531" spans="18:18" ht="15.75" customHeight="1">
      <c r="R531" s="30"/>
    </row>
    <row r="532" spans="18:18" ht="15.75" customHeight="1">
      <c r="R532" s="30"/>
    </row>
    <row r="533" spans="18:18" ht="15.75" customHeight="1">
      <c r="R533" s="30"/>
    </row>
    <row r="534" spans="18:18" ht="15.75" customHeight="1">
      <c r="R534" s="30"/>
    </row>
    <row r="535" spans="18:18" ht="15.75" customHeight="1">
      <c r="R535" s="30"/>
    </row>
    <row r="536" spans="18:18" ht="15.75" customHeight="1">
      <c r="R536" s="30"/>
    </row>
    <row r="537" spans="18:18" ht="15.75" customHeight="1">
      <c r="R537" s="30"/>
    </row>
    <row r="538" spans="18:18" ht="15.75" customHeight="1">
      <c r="R538" s="30"/>
    </row>
    <row r="539" spans="18:18" ht="15.75" customHeight="1">
      <c r="R539" s="30"/>
    </row>
    <row r="540" spans="18:18" ht="15.75" customHeight="1">
      <c r="R540" s="30"/>
    </row>
    <row r="541" spans="18:18" ht="15.75" customHeight="1">
      <c r="R541" s="30"/>
    </row>
    <row r="542" spans="18:18" ht="15.75" customHeight="1">
      <c r="R542" s="30"/>
    </row>
    <row r="543" spans="18:18" ht="15.75" customHeight="1">
      <c r="R543" s="30"/>
    </row>
    <row r="544" spans="18:18" ht="15.75" customHeight="1">
      <c r="R544" s="30"/>
    </row>
    <row r="545" spans="18:18" ht="15.75" customHeight="1">
      <c r="R545" s="30"/>
    </row>
    <row r="546" spans="18:18" ht="15.75" customHeight="1">
      <c r="R546" s="30"/>
    </row>
    <row r="547" spans="18:18" ht="15.75" customHeight="1">
      <c r="R547" s="30"/>
    </row>
    <row r="548" spans="18:18" ht="15.75" customHeight="1">
      <c r="R548" s="30"/>
    </row>
    <row r="549" spans="18:18" ht="15.75" customHeight="1">
      <c r="R549" s="30"/>
    </row>
    <row r="550" spans="18:18" ht="15.75" customHeight="1">
      <c r="R550" s="30"/>
    </row>
    <row r="551" spans="18:18" ht="15.75" customHeight="1">
      <c r="R551" s="30"/>
    </row>
    <row r="552" spans="18:18" ht="15.75" customHeight="1">
      <c r="R552" s="30"/>
    </row>
    <row r="553" spans="18:18" ht="15.75" customHeight="1">
      <c r="R553" s="30"/>
    </row>
    <row r="554" spans="18:18" ht="15.75" customHeight="1">
      <c r="R554" s="30"/>
    </row>
    <row r="555" spans="18:18" ht="15.75" customHeight="1">
      <c r="R555" s="30"/>
    </row>
    <row r="556" spans="18:18" ht="15.75" customHeight="1">
      <c r="R556" s="30"/>
    </row>
    <row r="557" spans="18:18" ht="15.75" customHeight="1">
      <c r="R557" s="30"/>
    </row>
    <row r="558" spans="18:18" ht="15.75" customHeight="1">
      <c r="R558" s="30"/>
    </row>
    <row r="559" spans="18:18" ht="15.75" customHeight="1">
      <c r="R559" s="30"/>
    </row>
    <row r="560" spans="18:18" ht="15.75" customHeight="1">
      <c r="R560" s="30"/>
    </row>
    <row r="561" spans="18:18" ht="15.75" customHeight="1">
      <c r="R561" s="30"/>
    </row>
    <row r="562" spans="18:18" ht="15.75" customHeight="1">
      <c r="R562" s="30"/>
    </row>
    <row r="563" spans="18:18" ht="15.75" customHeight="1">
      <c r="R563" s="30"/>
    </row>
    <row r="564" spans="18:18" ht="15.75" customHeight="1">
      <c r="R564" s="30"/>
    </row>
    <row r="565" spans="18:18" ht="15.75" customHeight="1">
      <c r="R565" s="30"/>
    </row>
    <row r="566" spans="18:18" ht="15.75" customHeight="1">
      <c r="R566" s="30"/>
    </row>
    <row r="567" spans="18:18" ht="15.75" customHeight="1">
      <c r="R567" s="30"/>
    </row>
    <row r="568" spans="18:18" ht="15.75" customHeight="1">
      <c r="R568" s="30"/>
    </row>
    <row r="569" spans="18:18" ht="15.75" customHeight="1">
      <c r="R569" s="30"/>
    </row>
    <row r="570" spans="18:18" ht="15.75" customHeight="1">
      <c r="R570" s="30"/>
    </row>
    <row r="571" spans="18:18" ht="15.75" customHeight="1">
      <c r="R571" s="30"/>
    </row>
    <row r="572" spans="18:18" ht="15.75" customHeight="1">
      <c r="R572" s="30"/>
    </row>
    <row r="573" spans="18:18" ht="15.75" customHeight="1">
      <c r="R573" s="30"/>
    </row>
    <row r="574" spans="18:18" ht="15.75" customHeight="1">
      <c r="R574" s="30"/>
    </row>
    <row r="575" spans="18:18" ht="15.75" customHeight="1">
      <c r="R575" s="30"/>
    </row>
    <row r="576" spans="18:18" ht="15.75" customHeight="1">
      <c r="R576" s="30"/>
    </row>
    <row r="577" spans="18:18" ht="15.75" customHeight="1">
      <c r="R577" s="30"/>
    </row>
    <row r="578" spans="18:18" ht="15.75" customHeight="1">
      <c r="R578" s="30"/>
    </row>
    <row r="579" spans="18:18" ht="15.75" customHeight="1">
      <c r="R579" s="30"/>
    </row>
    <row r="580" spans="18:18" ht="15.75" customHeight="1">
      <c r="R580" s="30"/>
    </row>
    <row r="581" spans="18:18" ht="15.75" customHeight="1">
      <c r="R581" s="30"/>
    </row>
    <row r="582" spans="18:18" ht="15.75" customHeight="1">
      <c r="R582" s="30"/>
    </row>
    <row r="583" spans="18:18" ht="15.75" customHeight="1">
      <c r="R583" s="30"/>
    </row>
    <row r="584" spans="18:18" ht="15.75" customHeight="1">
      <c r="R584" s="30"/>
    </row>
    <row r="585" spans="18:18" ht="15.75" customHeight="1">
      <c r="R585" s="30"/>
    </row>
    <row r="586" spans="18:18" ht="15.75" customHeight="1">
      <c r="R586" s="30"/>
    </row>
    <row r="587" spans="18:18" ht="15.75" customHeight="1">
      <c r="R587" s="30"/>
    </row>
    <row r="588" spans="18:18" ht="15.75" customHeight="1">
      <c r="R588" s="30"/>
    </row>
    <row r="589" spans="18:18" ht="15.75" customHeight="1">
      <c r="R589" s="30"/>
    </row>
    <row r="590" spans="18:18" ht="15.75" customHeight="1">
      <c r="R590" s="30"/>
    </row>
    <row r="591" spans="18:18" ht="15.75" customHeight="1">
      <c r="R591" s="30"/>
    </row>
    <row r="592" spans="18:18" ht="15.75" customHeight="1">
      <c r="R592" s="30"/>
    </row>
    <row r="593" spans="18:18" ht="15.75" customHeight="1">
      <c r="R593" s="30"/>
    </row>
    <row r="594" spans="18:18" ht="15.75" customHeight="1">
      <c r="R594" s="30"/>
    </row>
    <row r="595" spans="18:18" ht="15.75" customHeight="1">
      <c r="R595" s="30"/>
    </row>
    <row r="596" spans="18:18" ht="15.75" customHeight="1">
      <c r="R596" s="30"/>
    </row>
    <row r="597" spans="18:18" ht="15.75" customHeight="1">
      <c r="R597" s="30"/>
    </row>
    <row r="598" spans="18:18" ht="15.75" customHeight="1">
      <c r="R598" s="30"/>
    </row>
    <row r="599" spans="18:18" ht="15.75" customHeight="1">
      <c r="R599" s="30"/>
    </row>
    <row r="600" spans="18:18" ht="15.75" customHeight="1">
      <c r="R600" s="30"/>
    </row>
    <row r="601" spans="18:18" ht="15.75" customHeight="1">
      <c r="R601" s="30"/>
    </row>
    <row r="602" spans="18:18" ht="15.75" customHeight="1">
      <c r="R602" s="30"/>
    </row>
    <row r="603" spans="18:18" ht="15.75" customHeight="1">
      <c r="R603" s="30"/>
    </row>
    <row r="604" spans="18:18" ht="15.75" customHeight="1">
      <c r="R604" s="30"/>
    </row>
    <row r="605" spans="18:18" ht="15.75" customHeight="1">
      <c r="R605" s="30"/>
    </row>
    <row r="606" spans="18:18" ht="15.75" customHeight="1">
      <c r="R606" s="30"/>
    </row>
    <row r="607" spans="18:18" ht="15.75" customHeight="1">
      <c r="R607" s="30"/>
    </row>
    <row r="608" spans="18:18" ht="15.75" customHeight="1">
      <c r="R608" s="30"/>
    </row>
    <row r="609" spans="18:18" ht="15.75" customHeight="1">
      <c r="R609" s="30"/>
    </row>
    <row r="610" spans="18:18" ht="15.75" customHeight="1">
      <c r="R610" s="30"/>
    </row>
    <row r="611" spans="18:18" ht="15.75" customHeight="1">
      <c r="R611" s="30"/>
    </row>
    <row r="612" spans="18:18" ht="15.75" customHeight="1">
      <c r="R612" s="30"/>
    </row>
    <row r="613" spans="18:18" ht="15.75" customHeight="1">
      <c r="R613" s="30"/>
    </row>
    <row r="614" spans="18:18" ht="15.75" customHeight="1">
      <c r="R614" s="30"/>
    </row>
    <row r="615" spans="18:18" ht="15.75" customHeight="1">
      <c r="R615" s="30"/>
    </row>
    <row r="616" spans="18:18" ht="15.75" customHeight="1">
      <c r="R616" s="30"/>
    </row>
    <row r="617" spans="18:18" ht="15.75" customHeight="1">
      <c r="R617" s="30"/>
    </row>
    <row r="618" spans="18:18" ht="15.75" customHeight="1">
      <c r="R618" s="30"/>
    </row>
    <row r="619" spans="18:18" ht="15.75" customHeight="1">
      <c r="R619" s="30"/>
    </row>
    <row r="620" spans="18:18" ht="15.75" customHeight="1">
      <c r="R620" s="30"/>
    </row>
    <row r="621" spans="18:18" ht="15.75" customHeight="1">
      <c r="R621" s="30"/>
    </row>
    <row r="622" spans="18:18" ht="15.75" customHeight="1">
      <c r="R622" s="30"/>
    </row>
    <row r="623" spans="18:18" ht="15.75" customHeight="1">
      <c r="R623" s="30"/>
    </row>
    <row r="624" spans="18:18" ht="15.75" customHeight="1">
      <c r="R624" s="30"/>
    </row>
    <row r="625" spans="18:18" ht="15.75" customHeight="1">
      <c r="R625" s="30"/>
    </row>
    <row r="626" spans="18:18" ht="15.75" customHeight="1">
      <c r="R626" s="30"/>
    </row>
    <row r="627" spans="18:18" ht="15.75" customHeight="1">
      <c r="R627" s="30"/>
    </row>
    <row r="628" spans="18:18" ht="15.75" customHeight="1">
      <c r="R628" s="30"/>
    </row>
    <row r="629" spans="18:18" ht="15.75" customHeight="1">
      <c r="R629" s="30"/>
    </row>
    <row r="630" spans="18:18" ht="15.75" customHeight="1">
      <c r="R630" s="30"/>
    </row>
    <row r="631" spans="18:18" ht="15.75" customHeight="1">
      <c r="R631" s="30"/>
    </row>
    <row r="632" spans="18:18" ht="15.75" customHeight="1">
      <c r="R632" s="30"/>
    </row>
    <row r="633" spans="18:18" ht="15.75" customHeight="1">
      <c r="R633" s="30"/>
    </row>
    <row r="634" spans="18:18" ht="15.75" customHeight="1">
      <c r="R634" s="30"/>
    </row>
    <row r="635" spans="18:18" ht="15.75" customHeight="1">
      <c r="R635" s="30"/>
    </row>
    <row r="636" spans="18:18" ht="15.75" customHeight="1">
      <c r="R636" s="30"/>
    </row>
    <row r="637" spans="18:18" ht="15.75" customHeight="1">
      <c r="R637" s="30"/>
    </row>
    <row r="638" spans="18:18" ht="15.75" customHeight="1">
      <c r="R638" s="30"/>
    </row>
    <row r="639" spans="18:18" ht="15.75" customHeight="1">
      <c r="R639" s="30"/>
    </row>
    <row r="640" spans="18:18" ht="15.75" customHeight="1">
      <c r="R640" s="30"/>
    </row>
    <row r="641" spans="18:18" ht="15.75" customHeight="1">
      <c r="R641" s="30"/>
    </row>
    <row r="642" spans="18:18" ht="15.75" customHeight="1">
      <c r="R642" s="30"/>
    </row>
    <row r="643" spans="18:18" ht="15.75" customHeight="1">
      <c r="R643" s="30"/>
    </row>
    <row r="644" spans="18:18" ht="15.75" customHeight="1">
      <c r="R644" s="30"/>
    </row>
    <row r="645" spans="18:18" ht="15.75" customHeight="1">
      <c r="R645" s="30"/>
    </row>
    <row r="646" spans="18:18" ht="15.75" customHeight="1">
      <c r="R646" s="30"/>
    </row>
    <row r="647" spans="18:18" ht="15.75" customHeight="1">
      <c r="R647" s="30"/>
    </row>
    <row r="648" spans="18:18" ht="15.75" customHeight="1">
      <c r="R648" s="30"/>
    </row>
    <row r="649" spans="18:18" ht="15.75" customHeight="1">
      <c r="R649" s="30"/>
    </row>
    <row r="650" spans="18:18" ht="15.75" customHeight="1">
      <c r="R650" s="30"/>
    </row>
    <row r="651" spans="18:18" ht="15.75" customHeight="1">
      <c r="R651" s="30"/>
    </row>
    <row r="652" spans="18:18" ht="15.75" customHeight="1">
      <c r="R652" s="30"/>
    </row>
    <row r="653" spans="18:18" ht="15.75" customHeight="1">
      <c r="R653" s="30"/>
    </row>
    <row r="654" spans="18:18" ht="15.75" customHeight="1">
      <c r="R654" s="30"/>
    </row>
    <row r="655" spans="18:18" ht="15.75" customHeight="1">
      <c r="R655" s="30"/>
    </row>
    <row r="656" spans="18:18" ht="15.75" customHeight="1">
      <c r="R656" s="30"/>
    </row>
    <row r="657" spans="18:18" ht="15.75" customHeight="1">
      <c r="R657" s="30"/>
    </row>
    <row r="658" spans="18:18" ht="15.75" customHeight="1">
      <c r="R658" s="30"/>
    </row>
    <row r="659" spans="18:18" ht="15.75" customHeight="1">
      <c r="R659" s="30"/>
    </row>
    <row r="660" spans="18:18" ht="15.75" customHeight="1">
      <c r="R660" s="30"/>
    </row>
    <row r="661" spans="18:18" ht="15.75" customHeight="1">
      <c r="R661" s="30"/>
    </row>
    <row r="662" spans="18:18" ht="15.75" customHeight="1">
      <c r="R662" s="30"/>
    </row>
    <row r="663" spans="18:18" ht="15.75" customHeight="1">
      <c r="R663" s="30"/>
    </row>
    <row r="664" spans="18:18" ht="15.75" customHeight="1">
      <c r="R664" s="30"/>
    </row>
    <row r="665" spans="18:18" ht="15.75" customHeight="1">
      <c r="R665" s="30"/>
    </row>
    <row r="666" spans="18:18" ht="15.75" customHeight="1">
      <c r="R666" s="30"/>
    </row>
    <row r="667" spans="18:18" ht="15.75" customHeight="1">
      <c r="R667" s="30"/>
    </row>
    <row r="668" spans="18:18" ht="15.75" customHeight="1">
      <c r="R668" s="30"/>
    </row>
    <row r="669" spans="18:18" ht="15.75" customHeight="1">
      <c r="R669" s="30"/>
    </row>
    <row r="670" spans="18:18" ht="15.75" customHeight="1">
      <c r="R670" s="30"/>
    </row>
    <row r="671" spans="18:18" ht="15.75" customHeight="1">
      <c r="R671" s="30"/>
    </row>
    <row r="672" spans="18:18" ht="15.75" customHeight="1">
      <c r="R672" s="30"/>
    </row>
    <row r="673" spans="18:18" ht="15.75" customHeight="1">
      <c r="R673" s="30"/>
    </row>
    <row r="674" spans="18:18" ht="15.75" customHeight="1">
      <c r="R674" s="30"/>
    </row>
    <row r="675" spans="18:18" ht="15.75" customHeight="1">
      <c r="R675" s="30"/>
    </row>
    <row r="676" spans="18:18" ht="15.75" customHeight="1">
      <c r="R676" s="30"/>
    </row>
    <row r="677" spans="18:18" ht="15.75" customHeight="1">
      <c r="R677" s="30"/>
    </row>
    <row r="678" spans="18:18" ht="15.75" customHeight="1">
      <c r="R678" s="30"/>
    </row>
    <row r="679" spans="18:18" ht="15.75" customHeight="1">
      <c r="R679" s="30"/>
    </row>
    <row r="680" spans="18:18" ht="15.75" customHeight="1">
      <c r="R680" s="30"/>
    </row>
    <row r="681" spans="18:18" ht="15.75" customHeight="1">
      <c r="R681" s="30"/>
    </row>
    <row r="682" spans="18:18" ht="15.75" customHeight="1">
      <c r="R682" s="30"/>
    </row>
    <row r="683" spans="18:18" ht="15.75" customHeight="1">
      <c r="R683" s="30"/>
    </row>
    <row r="684" spans="18:18" ht="15.75" customHeight="1">
      <c r="R684" s="30"/>
    </row>
    <row r="685" spans="18:18" ht="15.75" customHeight="1">
      <c r="R685" s="30"/>
    </row>
    <row r="686" spans="18:18" ht="15.75" customHeight="1">
      <c r="R686" s="30"/>
    </row>
    <row r="687" spans="18:18" ht="15.75" customHeight="1">
      <c r="R687" s="30"/>
    </row>
    <row r="688" spans="18:18" ht="15.75" customHeight="1">
      <c r="R688" s="30"/>
    </row>
    <row r="689" spans="18:18" ht="15.75" customHeight="1">
      <c r="R689" s="30"/>
    </row>
    <row r="690" spans="18:18" ht="15.75" customHeight="1">
      <c r="R690" s="30"/>
    </row>
    <row r="691" spans="18:18" ht="15.75" customHeight="1">
      <c r="R691" s="30"/>
    </row>
    <row r="692" spans="18:18" ht="15.75" customHeight="1">
      <c r="R692" s="30"/>
    </row>
    <row r="693" spans="18:18" ht="15.75" customHeight="1">
      <c r="R693" s="30"/>
    </row>
    <row r="694" spans="18:18" ht="15.75" customHeight="1">
      <c r="R694" s="30"/>
    </row>
    <row r="695" spans="18:18" ht="15.75" customHeight="1">
      <c r="R695" s="30"/>
    </row>
    <row r="696" spans="18:18" ht="15.75" customHeight="1">
      <c r="R696" s="30"/>
    </row>
    <row r="697" spans="18:18" ht="15.75" customHeight="1">
      <c r="R697" s="30"/>
    </row>
    <row r="698" spans="18:18" ht="15.75" customHeight="1">
      <c r="R698" s="30"/>
    </row>
    <row r="699" spans="18:18" ht="15.75" customHeight="1">
      <c r="R699" s="30"/>
    </row>
    <row r="700" spans="18:18" ht="15.75" customHeight="1">
      <c r="R700" s="30"/>
    </row>
    <row r="701" spans="18:18" ht="15.75" customHeight="1">
      <c r="R701" s="30"/>
    </row>
    <row r="702" spans="18:18" ht="15.75" customHeight="1">
      <c r="R702" s="30"/>
    </row>
    <row r="703" spans="18:18" ht="15.75" customHeight="1">
      <c r="R703" s="30"/>
    </row>
    <row r="704" spans="18:18" ht="15.75" customHeight="1">
      <c r="R704" s="30"/>
    </row>
    <row r="705" spans="18:18" ht="15.75" customHeight="1">
      <c r="R705" s="30"/>
    </row>
    <row r="706" spans="18:18" ht="15.75" customHeight="1">
      <c r="R706" s="30"/>
    </row>
    <row r="707" spans="18:18" ht="15.75" customHeight="1">
      <c r="R707" s="30"/>
    </row>
    <row r="708" spans="18:18" ht="15.75" customHeight="1">
      <c r="R708" s="30"/>
    </row>
    <row r="709" spans="18:18" ht="15.75" customHeight="1">
      <c r="R709" s="30"/>
    </row>
    <row r="710" spans="18:18" ht="15.75" customHeight="1">
      <c r="R710" s="30"/>
    </row>
    <row r="711" spans="18:18" ht="15.75" customHeight="1">
      <c r="R711" s="30"/>
    </row>
    <row r="712" spans="18:18" ht="15.75" customHeight="1">
      <c r="R712" s="30"/>
    </row>
    <row r="713" spans="18:18" ht="15.75" customHeight="1">
      <c r="R713" s="30"/>
    </row>
    <row r="714" spans="18:18" ht="15.75" customHeight="1">
      <c r="R714" s="30"/>
    </row>
    <row r="715" spans="18:18" ht="15.75" customHeight="1">
      <c r="R715" s="30"/>
    </row>
    <row r="716" spans="18:18" ht="15.75" customHeight="1">
      <c r="R716" s="30"/>
    </row>
    <row r="717" spans="18:18" ht="15.75" customHeight="1">
      <c r="R717" s="30"/>
    </row>
    <row r="718" spans="18:18" ht="15.75" customHeight="1">
      <c r="R718" s="30"/>
    </row>
    <row r="719" spans="18:18" ht="15.75" customHeight="1">
      <c r="R719" s="30"/>
    </row>
    <row r="720" spans="18:18" ht="15.75" customHeight="1">
      <c r="R720" s="30"/>
    </row>
    <row r="721" spans="18:18" ht="15.75" customHeight="1">
      <c r="R721" s="30"/>
    </row>
    <row r="722" spans="18:18" ht="15.75" customHeight="1">
      <c r="R722" s="30"/>
    </row>
    <row r="723" spans="18:18" ht="15.75" customHeight="1">
      <c r="R723" s="30"/>
    </row>
    <row r="724" spans="18:18" ht="15.75" customHeight="1">
      <c r="R724" s="30"/>
    </row>
    <row r="725" spans="18:18" ht="15.75" customHeight="1">
      <c r="R725" s="30"/>
    </row>
    <row r="726" spans="18:18" ht="15.75" customHeight="1">
      <c r="R726" s="30"/>
    </row>
    <row r="727" spans="18:18" ht="15.75" customHeight="1">
      <c r="R727" s="30"/>
    </row>
    <row r="728" spans="18:18" ht="15.75" customHeight="1">
      <c r="R728" s="30"/>
    </row>
    <row r="729" spans="18:18" ht="15.75" customHeight="1">
      <c r="R729" s="30"/>
    </row>
    <row r="730" spans="18:18" ht="15.75" customHeight="1">
      <c r="R730" s="30"/>
    </row>
    <row r="731" spans="18:18" ht="15.75" customHeight="1">
      <c r="R731" s="30"/>
    </row>
    <row r="732" spans="18:18" ht="15.75" customHeight="1">
      <c r="R732" s="30"/>
    </row>
    <row r="733" spans="18:18" ht="15.75" customHeight="1">
      <c r="R733" s="30"/>
    </row>
    <row r="734" spans="18:18" ht="15.75" customHeight="1">
      <c r="R734" s="30"/>
    </row>
    <row r="735" spans="18:18" ht="15.75" customHeight="1">
      <c r="R735" s="30"/>
    </row>
    <row r="736" spans="18:18" ht="15.75" customHeight="1">
      <c r="R736" s="30"/>
    </row>
    <row r="737" spans="18:18" ht="15.75" customHeight="1">
      <c r="R737" s="30"/>
    </row>
    <row r="738" spans="18:18" ht="15.75" customHeight="1">
      <c r="R738" s="30"/>
    </row>
    <row r="739" spans="18:18" ht="15.75" customHeight="1">
      <c r="R739" s="30"/>
    </row>
    <row r="740" spans="18:18" ht="15.75" customHeight="1">
      <c r="R740" s="30"/>
    </row>
    <row r="741" spans="18:18" ht="15.75" customHeight="1">
      <c r="R741" s="30"/>
    </row>
    <row r="742" spans="18:18" ht="15.75" customHeight="1">
      <c r="R742" s="30"/>
    </row>
    <row r="743" spans="18:18" ht="15.75" customHeight="1">
      <c r="R743" s="30"/>
    </row>
    <row r="744" spans="18:18" ht="15.75" customHeight="1">
      <c r="R744" s="30"/>
    </row>
    <row r="745" spans="18:18" ht="15.75" customHeight="1">
      <c r="R745" s="30"/>
    </row>
    <row r="746" spans="18:18" ht="15.75" customHeight="1">
      <c r="R746" s="30"/>
    </row>
    <row r="747" spans="18:18" ht="15.75" customHeight="1">
      <c r="R747" s="30"/>
    </row>
    <row r="748" spans="18:18" ht="15.75" customHeight="1">
      <c r="R748" s="30"/>
    </row>
    <row r="749" spans="18:18" ht="15.75" customHeight="1">
      <c r="R749" s="30"/>
    </row>
    <row r="750" spans="18:18" ht="15.75" customHeight="1">
      <c r="R750" s="30"/>
    </row>
    <row r="751" spans="18:18" ht="15.75" customHeight="1">
      <c r="R751" s="30"/>
    </row>
    <row r="752" spans="18:18" ht="15.75" customHeight="1">
      <c r="R752" s="30"/>
    </row>
    <row r="753" spans="18:18" ht="15.75" customHeight="1">
      <c r="R753" s="30"/>
    </row>
    <row r="754" spans="18:18" ht="15.75" customHeight="1">
      <c r="R754" s="30"/>
    </row>
    <row r="755" spans="18:18" ht="15.75" customHeight="1">
      <c r="R755" s="30"/>
    </row>
    <row r="756" spans="18:18" ht="15.75" customHeight="1">
      <c r="R756" s="30"/>
    </row>
    <row r="757" spans="18:18" ht="15.75" customHeight="1">
      <c r="R757" s="30"/>
    </row>
    <row r="758" spans="18:18" ht="15.75" customHeight="1">
      <c r="R758" s="30"/>
    </row>
    <row r="759" spans="18:18" ht="15.75" customHeight="1">
      <c r="R759" s="30"/>
    </row>
    <row r="760" spans="18:18" ht="15.75" customHeight="1">
      <c r="R760" s="30"/>
    </row>
    <row r="761" spans="18:18" ht="15.75" customHeight="1">
      <c r="R761" s="30"/>
    </row>
    <row r="762" spans="18:18" ht="15.75" customHeight="1">
      <c r="R762" s="30"/>
    </row>
    <row r="763" spans="18:18" ht="15.75" customHeight="1">
      <c r="R763" s="30"/>
    </row>
    <row r="764" spans="18:18" ht="15.75" customHeight="1">
      <c r="R764" s="30"/>
    </row>
    <row r="765" spans="18:18" ht="15.75" customHeight="1">
      <c r="R765" s="30"/>
    </row>
    <row r="766" spans="18:18" ht="15.75" customHeight="1">
      <c r="R766" s="30"/>
    </row>
    <row r="767" spans="18:18" ht="15.75" customHeight="1">
      <c r="R767" s="30"/>
    </row>
    <row r="768" spans="18:18" ht="15.75" customHeight="1">
      <c r="R768" s="30"/>
    </row>
    <row r="769" spans="18:18" ht="15.75" customHeight="1">
      <c r="R769" s="30"/>
    </row>
    <row r="770" spans="18:18" ht="15.75" customHeight="1">
      <c r="R770" s="30"/>
    </row>
    <row r="771" spans="18:18" ht="15.75" customHeight="1">
      <c r="R771" s="30"/>
    </row>
    <row r="772" spans="18:18" ht="15.75" customHeight="1">
      <c r="R772" s="30"/>
    </row>
    <row r="773" spans="18:18" ht="15.75" customHeight="1">
      <c r="R773" s="30"/>
    </row>
    <row r="774" spans="18:18" ht="15.75" customHeight="1">
      <c r="R774" s="30"/>
    </row>
    <row r="775" spans="18:18" ht="15.75" customHeight="1">
      <c r="R775" s="30"/>
    </row>
    <row r="776" spans="18:18" ht="15.75" customHeight="1">
      <c r="R776" s="30"/>
    </row>
    <row r="777" spans="18:18" ht="15.75" customHeight="1">
      <c r="R777" s="30"/>
    </row>
    <row r="778" spans="18:18" ht="15.75" customHeight="1">
      <c r="R778" s="30"/>
    </row>
    <row r="779" spans="18:18" ht="15.75" customHeight="1">
      <c r="R779" s="30"/>
    </row>
    <row r="780" spans="18:18" ht="15.75" customHeight="1">
      <c r="R780" s="30"/>
    </row>
    <row r="781" spans="18:18" ht="15.75" customHeight="1">
      <c r="R781" s="30"/>
    </row>
    <row r="782" spans="18:18" ht="15.75" customHeight="1">
      <c r="R782" s="30"/>
    </row>
    <row r="783" spans="18:18" ht="15.75" customHeight="1">
      <c r="R783" s="30"/>
    </row>
    <row r="784" spans="18:18" ht="15.75" customHeight="1">
      <c r="R784" s="30"/>
    </row>
    <row r="785" spans="18:18" ht="15.75" customHeight="1">
      <c r="R785" s="30"/>
    </row>
    <row r="786" spans="18:18" ht="15.75" customHeight="1">
      <c r="R786" s="30"/>
    </row>
    <row r="787" spans="18:18" ht="15.75" customHeight="1">
      <c r="R787" s="30"/>
    </row>
    <row r="788" spans="18:18" ht="15.75" customHeight="1">
      <c r="R788" s="30"/>
    </row>
    <row r="789" spans="18:18" ht="15.75" customHeight="1">
      <c r="R789" s="30"/>
    </row>
    <row r="790" spans="18:18" ht="15.75" customHeight="1">
      <c r="R790" s="30"/>
    </row>
    <row r="791" spans="18:18" ht="15.75" customHeight="1">
      <c r="R791" s="30"/>
    </row>
    <row r="792" spans="18:18" ht="15.75" customHeight="1">
      <c r="R792" s="30"/>
    </row>
    <row r="793" spans="18:18" ht="15.75" customHeight="1">
      <c r="R793" s="30"/>
    </row>
    <row r="794" spans="18:18" ht="15.75" customHeight="1">
      <c r="R794" s="30"/>
    </row>
    <row r="795" spans="18:18" ht="15.75" customHeight="1">
      <c r="R795" s="30"/>
    </row>
    <row r="796" spans="18:18" ht="15.75" customHeight="1">
      <c r="R796" s="30"/>
    </row>
    <row r="797" spans="18:18" ht="15.75" customHeight="1">
      <c r="R797" s="30"/>
    </row>
    <row r="798" spans="18:18" ht="15.75" customHeight="1">
      <c r="R798" s="30"/>
    </row>
    <row r="799" spans="18:18" ht="15.75" customHeight="1">
      <c r="R799" s="30"/>
    </row>
    <row r="800" spans="18:18" ht="15.75" customHeight="1">
      <c r="R800" s="30"/>
    </row>
    <row r="801" spans="18:18" ht="15.75" customHeight="1">
      <c r="R801" s="30"/>
    </row>
    <row r="802" spans="18:18" ht="15.75" customHeight="1">
      <c r="R802" s="30"/>
    </row>
    <row r="803" spans="18:18" ht="15.75" customHeight="1">
      <c r="R803" s="30"/>
    </row>
    <row r="804" spans="18:18" ht="15.75" customHeight="1">
      <c r="R804" s="30"/>
    </row>
    <row r="805" spans="18:18" ht="15.75" customHeight="1">
      <c r="R805" s="30"/>
    </row>
    <row r="806" spans="18:18" ht="15.75" customHeight="1">
      <c r="R806" s="30"/>
    </row>
    <row r="807" spans="18:18" ht="15.75" customHeight="1">
      <c r="R807" s="30"/>
    </row>
    <row r="808" spans="18:18" ht="15.75" customHeight="1">
      <c r="R808" s="30"/>
    </row>
    <row r="809" spans="18:18" ht="15.75" customHeight="1">
      <c r="R809" s="30"/>
    </row>
    <row r="810" spans="18:18" ht="15.75" customHeight="1">
      <c r="R810" s="30"/>
    </row>
    <row r="811" spans="18:18" ht="15.75" customHeight="1">
      <c r="R811" s="30"/>
    </row>
    <row r="812" spans="18:18" ht="15.75" customHeight="1">
      <c r="R812" s="30"/>
    </row>
    <row r="813" spans="18:18" ht="15.75" customHeight="1">
      <c r="R813" s="30"/>
    </row>
    <row r="814" spans="18:18" ht="15.75" customHeight="1">
      <c r="R814" s="30"/>
    </row>
    <row r="815" spans="18:18" ht="15.75" customHeight="1">
      <c r="R815" s="30"/>
    </row>
    <row r="816" spans="18:18" ht="15.75" customHeight="1">
      <c r="R816" s="30"/>
    </row>
    <row r="817" spans="18:18" ht="15.75" customHeight="1">
      <c r="R817" s="30"/>
    </row>
    <row r="818" spans="18:18" ht="15.75" customHeight="1">
      <c r="R818" s="30"/>
    </row>
    <row r="819" spans="18:18" ht="15.75" customHeight="1">
      <c r="R819" s="30"/>
    </row>
    <row r="820" spans="18:18" ht="15.75" customHeight="1">
      <c r="R820" s="30"/>
    </row>
    <row r="821" spans="18:18" ht="15.75" customHeight="1">
      <c r="R821" s="30"/>
    </row>
    <row r="822" spans="18:18" ht="15.75" customHeight="1">
      <c r="R822" s="30"/>
    </row>
    <row r="823" spans="18:18" ht="15.75" customHeight="1">
      <c r="R823" s="30"/>
    </row>
    <row r="824" spans="18:18" ht="15.75" customHeight="1">
      <c r="R824" s="30"/>
    </row>
    <row r="825" spans="18:18" ht="15.75" customHeight="1">
      <c r="R825" s="30"/>
    </row>
    <row r="826" spans="18:18" ht="15.75" customHeight="1">
      <c r="R826" s="30"/>
    </row>
    <row r="827" spans="18:18" ht="15.75" customHeight="1">
      <c r="R827" s="30"/>
    </row>
    <row r="828" spans="18:18" ht="15.75" customHeight="1">
      <c r="R828" s="30"/>
    </row>
    <row r="829" spans="18:18" ht="15.75" customHeight="1">
      <c r="R829" s="30"/>
    </row>
    <row r="830" spans="18:18" ht="15.75" customHeight="1">
      <c r="R830" s="30"/>
    </row>
    <row r="831" spans="18:18" ht="15.75" customHeight="1">
      <c r="R831" s="30"/>
    </row>
    <row r="832" spans="18:18" ht="15.75" customHeight="1">
      <c r="R832" s="30"/>
    </row>
    <row r="833" spans="18:18" ht="15.75" customHeight="1">
      <c r="R833" s="30"/>
    </row>
    <row r="834" spans="18:18" ht="15.75" customHeight="1">
      <c r="R834" s="30"/>
    </row>
    <row r="835" spans="18:18" ht="15.75" customHeight="1">
      <c r="R835" s="30"/>
    </row>
    <row r="836" spans="18:18" ht="15.75" customHeight="1">
      <c r="R836" s="30"/>
    </row>
    <row r="837" spans="18:18" ht="15.75" customHeight="1">
      <c r="R837" s="30"/>
    </row>
    <row r="838" spans="18:18" ht="15.75" customHeight="1">
      <c r="R838" s="30"/>
    </row>
    <row r="839" spans="18:18" ht="15.75" customHeight="1">
      <c r="R839" s="30"/>
    </row>
    <row r="840" spans="18:18" ht="15.75" customHeight="1">
      <c r="R840" s="30"/>
    </row>
    <row r="841" spans="18:18" ht="15.75" customHeight="1">
      <c r="R841" s="30"/>
    </row>
    <row r="842" spans="18:18" ht="15.75" customHeight="1">
      <c r="R842" s="30"/>
    </row>
    <row r="843" spans="18:18" ht="15.75" customHeight="1">
      <c r="R843" s="30"/>
    </row>
    <row r="844" spans="18:18" ht="15.75" customHeight="1">
      <c r="R844" s="30"/>
    </row>
    <row r="845" spans="18:18" ht="15.75" customHeight="1">
      <c r="R845" s="30"/>
    </row>
    <row r="846" spans="18:18" ht="15.75" customHeight="1">
      <c r="R846" s="30"/>
    </row>
    <row r="847" spans="18:18" ht="15.75" customHeight="1">
      <c r="R847" s="30"/>
    </row>
    <row r="848" spans="18:18" ht="15.75" customHeight="1">
      <c r="R848" s="30"/>
    </row>
    <row r="849" spans="18:18" ht="15.75" customHeight="1">
      <c r="R849" s="30"/>
    </row>
    <row r="850" spans="18:18" ht="15.75" customHeight="1">
      <c r="R850" s="30"/>
    </row>
    <row r="851" spans="18:18" ht="15.75" customHeight="1">
      <c r="R851" s="30"/>
    </row>
    <row r="852" spans="18:18" ht="15.75" customHeight="1">
      <c r="R852" s="30"/>
    </row>
    <row r="853" spans="18:18" ht="15.75" customHeight="1">
      <c r="R853" s="30"/>
    </row>
    <row r="854" spans="18:18" ht="15.75" customHeight="1">
      <c r="R854" s="30"/>
    </row>
    <row r="855" spans="18:18" ht="15.75" customHeight="1">
      <c r="R855" s="30"/>
    </row>
    <row r="856" spans="18:18" ht="15.75" customHeight="1">
      <c r="R856" s="30"/>
    </row>
    <row r="857" spans="18:18" ht="15.75" customHeight="1">
      <c r="R857" s="30"/>
    </row>
    <row r="858" spans="18:18" ht="15.75" customHeight="1">
      <c r="R858" s="30"/>
    </row>
    <row r="859" spans="18:18" ht="15.75" customHeight="1">
      <c r="R859" s="30"/>
    </row>
    <row r="860" spans="18:18" ht="15.75" customHeight="1">
      <c r="R860" s="30"/>
    </row>
    <row r="861" spans="18:18" ht="15.75" customHeight="1">
      <c r="R861" s="30"/>
    </row>
    <row r="862" spans="18:18" ht="15.75" customHeight="1">
      <c r="R862" s="30"/>
    </row>
    <row r="863" spans="18:18" ht="15.75" customHeight="1">
      <c r="R863" s="30"/>
    </row>
    <row r="864" spans="18:18" ht="15.75" customHeight="1">
      <c r="R864" s="30"/>
    </row>
    <row r="865" spans="18:18" ht="15.75" customHeight="1">
      <c r="R865" s="30"/>
    </row>
    <row r="866" spans="18:18" ht="15.75" customHeight="1">
      <c r="R866" s="30"/>
    </row>
    <row r="867" spans="18:18" ht="15.75" customHeight="1">
      <c r="R867" s="30"/>
    </row>
    <row r="868" spans="18:18" ht="15.75" customHeight="1">
      <c r="R868" s="30"/>
    </row>
    <row r="869" spans="18:18" ht="15.75" customHeight="1">
      <c r="R869" s="30"/>
    </row>
    <row r="870" spans="18:18" ht="15.75" customHeight="1">
      <c r="R870" s="30"/>
    </row>
    <row r="871" spans="18:18" ht="15.75" customHeight="1">
      <c r="R871" s="30"/>
    </row>
    <row r="872" spans="18:18" ht="15.75" customHeight="1">
      <c r="R872" s="30"/>
    </row>
    <row r="873" spans="18:18" ht="15.75" customHeight="1">
      <c r="R873" s="30"/>
    </row>
    <row r="874" spans="18:18" ht="15.75" customHeight="1">
      <c r="R874" s="30"/>
    </row>
    <row r="875" spans="18:18" ht="15.75" customHeight="1">
      <c r="R875" s="30"/>
    </row>
    <row r="876" spans="18:18" ht="15.75" customHeight="1">
      <c r="R876" s="30"/>
    </row>
    <row r="877" spans="18:18" ht="15.75" customHeight="1">
      <c r="R877" s="30"/>
    </row>
    <row r="878" spans="18:18" ht="15.75" customHeight="1">
      <c r="R878" s="30"/>
    </row>
    <row r="879" spans="18:18" ht="15.75" customHeight="1">
      <c r="R879" s="30"/>
    </row>
    <row r="880" spans="18:18" ht="15.75" customHeight="1">
      <c r="R880" s="30"/>
    </row>
    <row r="881" spans="18:18" ht="15.75" customHeight="1">
      <c r="R881" s="30"/>
    </row>
    <row r="882" spans="18:18" ht="15.75" customHeight="1">
      <c r="R882" s="30"/>
    </row>
    <row r="883" spans="18:18" ht="15.75" customHeight="1">
      <c r="R883" s="30"/>
    </row>
    <row r="884" spans="18:18" ht="15.75" customHeight="1">
      <c r="R884" s="30"/>
    </row>
    <row r="885" spans="18:18" ht="15.75" customHeight="1">
      <c r="R885" s="30"/>
    </row>
    <row r="886" spans="18:18" ht="15.75" customHeight="1">
      <c r="R886" s="30"/>
    </row>
    <row r="887" spans="18:18" ht="15.75" customHeight="1">
      <c r="R887" s="30"/>
    </row>
    <row r="888" spans="18:18" ht="15.75" customHeight="1">
      <c r="R888" s="30"/>
    </row>
    <row r="889" spans="18:18" ht="15.75" customHeight="1">
      <c r="R889" s="30"/>
    </row>
    <row r="890" spans="18:18" ht="15.75" customHeight="1">
      <c r="R890" s="30"/>
    </row>
    <row r="891" spans="18:18" ht="15.75" customHeight="1">
      <c r="R891" s="30"/>
    </row>
    <row r="892" spans="18:18" ht="15.75" customHeight="1">
      <c r="R892" s="30"/>
    </row>
    <row r="893" spans="18:18" ht="15.75" customHeight="1">
      <c r="R893" s="30"/>
    </row>
    <row r="894" spans="18:18" ht="15.75" customHeight="1">
      <c r="R894" s="30"/>
    </row>
    <row r="895" spans="18:18" ht="15.75" customHeight="1">
      <c r="R895" s="30"/>
    </row>
    <row r="896" spans="18:18" ht="15.75" customHeight="1">
      <c r="R896" s="30"/>
    </row>
    <row r="897" spans="18:18" ht="15.75" customHeight="1">
      <c r="R897" s="30"/>
    </row>
    <row r="898" spans="18:18" ht="15.75" customHeight="1">
      <c r="R898" s="30"/>
    </row>
    <row r="899" spans="18:18" ht="15.75" customHeight="1">
      <c r="R899" s="30"/>
    </row>
    <row r="900" spans="18:18" ht="15.75" customHeight="1">
      <c r="R900" s="30"/>
    </row>
    <row r="901" spans="18:18" ht="15.75" customHeight="1">
      <c r="R901" s="30"/>
    </row>
    <row r="902" spans="18:18" ht="15.75" customHeight="1">
      <c r="R902" s="30"/>
    </row>
    <row r="903" spans="18:18" ht="15.75" customHeight="1">
      <c r="R903" s="30"/>
    </row>
    <row r="904" spans="18:18" ht="15.75" customHeight="1">
      <c r="R904" s="30"/>
    </row>
    <row r="905" spans="18:18" ht="15.75" customHeight="1">
      <c r="R905" s="30"/>
    </row>
    <row r="906" spans="18:18" ht="15.75" customHeight="1">
      <c r="R906" s="30"/>
    </row>
    <row r="907" spans="18:18" ht="15.75" customHeight="1">
      <c r="R907" s="30"/>
    </row>
    <row r="908" spans="18:18" ht="15.75" customHeight="1">
      <c r="R908" s="30"/>
    </row>
    <row r="909" spans="18:18" ht="15.75" customHeight="1">
      <c r="R909" s="30"/>
    </row>
    <row r="910" spans="18:18" ht="15.75" customHeight="1">
      <c r="R910" s="30"/>
    </row>
    <row r="911" spans="18:18" ht="15.75" customHeight="1">
      <c r="R911" s="30"/>
    </row>
    <row r="912" spans="18:18" ht="15.75" customHeight="1">
      <c r="R912" s="30"/>
    </row>
    <row r="913" spans="18:18" ht="15.75" customHeight="1">
      <c r="R913" s="30"/>
    </row>
    <row r="914" spans="18:18" ht="15.75" customHeight="1">
      <c r="R914" s="30"/>
    </row>
    <row r="915" spans="18:18" ht="15.75" customHeight="1">
      <c r="R915" s="30"/>
    </row>
    <row r="916" spans="18:18" ht="15.75" customHeight="1">
      <c r="R916" s="30"/>
    </row>
    <row r="917" spans="18:18" ht="15.75" customHeight="1">
      <c r="R917" s="30"/>
    </row>
    <row r="918" spans="18:18" ht="15.75" customHeight="1">
      <c r="R918" s="30"/>
    </row>
    <row r="919" spans="18:18" ht="15.75" customHeight="1">
      <c r="R919" s="30"/>
    </row>
    <row r="920" spans="18:18" ht="15.75" customHeight="1">
      <c r="R920" s="30"/>
    </row>
    <row r="921" spans="18:18" ht="15.75" customHeight="1">
      <c r="R921" s="30"/>
    </row>
    <row r="922" spans="18:18" ht="15.75" customHeight="1">
      <c r="R922" s="30"/>
    </row>
    <row r="923" spans="18:18" ht="15.75" customHeight="1">
      <c r="R923" s="30"/>
    </row>
    <row r="924" spans="18:18" ht="15.75" customHeight="1">
      <c r="R924" s="30"/>
    </row>
    <row r="925" spans="18:18" ht="15.75" customHeight="1">
      <c r="R925" s="30"/>
    </row>
    <row r="926" spans="18:18" ht="15.75" customHeight="1">
      <c r="R926" s="30"/>
    </row>
    <row r="927" spans="18:18" ht="15.75" customHeight="1">
      <c r="R927" s="30"/>
    </row>
    <row r="928" spans="18:18" ht="15.75" customHeight="1">
      <c r="R928" s="30"/>
    </row>
    <row r="929" spans="18:18" ht="15.75" customHeight="1">
      <c r="R929" s="30"/>
    </row>
    <row r="930" spans="18:18" ht="15.75" customHeight="1">
      <c r="R930" s="30"/>
    </row>
    <row r="931" spans="18:18" ht="15.75" customHeight="1">
      <c r="R931" s="30"/>
    </row>
    <row r="932" spans="18:18" ht="15.75" customHeight="1">
      <c r="R932" s="30"/>
    </row>
    <row r="933" spans="18:18" ht="15.75" customHeight="1">
      <c r="R933" s="30"/>
    </row>
    <row r="934" spans="18:18" ht="15.75" customHeight="1">
      <c r="R934" s="30"/>
    </row>
    <row r="935" spans="18:18" ht="15.75" customHeight="1">
      <c r="R935" s="30"/>
    </row>
    <row r="936" spans="18:18" ht="15.75" customHeight="1">
      <c r="R936" s="30"/>
    </row>
    <row r="937" spans="18:18" ht="15.75" customHeight="1">
      <c r="R937" s="30"/>
    </row>
    <row r="938" spans="18:18" ht="15.75" customHeight="1">
      <c r="R938" s="30"/>
    </row>
    <row r="939" spans="18:18" ht="15.75" customHeight="1">
      <c r="R939" s="30"/>
    </row>
    <row r="940" spans="18:18" ht="15.75" customHeight="1">
      <c r="R940" s="30"/>
    </row>
    <row r="941" spans="18:18" ht="15.75" customHeight="1">
      <c r="R941" s="30"/>
    </row>
    <row r="942" spans="18:18" ht="15.75" customHeight="1">
      <c r="R942" s="30"/>
    </row>
    <row r="943" spans="18:18" ht="15.75" customHeight="1">
      <c r="R943" s="30"/>
    </row>
    <row r="944" spans="18:18" ht="15.75" customHeight="1">
      <c r="R944" s="30"/>
    </row>
    <row r="945" spans="18:18" ht="15.75" customHeight="1">
      <c r="R945" s="30"/>
    </row>
    <row r="946" spans="18:18" ht="15.75" customHeight="1">
      <c r="R946" s="30"/>
    </row>
    <row r="947" spans="18:18" ht="15.75" customHeight="1">
      <c r="R947" s="30"/>
    </row>
    <row r="948" spans="18:18" ht="15.75" customHeight="1">
      <c r="R948" s="30"/>
    </row>
    <row r="949" spans="18:18" ht="15.75" customHeight="1">
      <c r="R949" s="30"/>
    </row>
    <row r="950" spans="18:18" ht="15.75" customHeight="1">
      <c r="R950" s="30"/>
    </row>
    <row r="951" spans="18:18" ht="15.75" customHeight="1">
      <c r="R951" s="30"/>
    </row>
    <row r="952" spans="18:18" ht="15.75" customHeight="1">
      <c r="R952" s="30"/>
    </row>
    <row r="953" spans="18:18" ht="15.75" customHeight="1">
      <c r="R953" s="30"/>
    </row>
    <row r="954" spans="18:18" ht="15.75" customHeight="1">
      <c r="R954" s="30"/>
    </row>
    <row r="955" spans="18:18" ht="15.75" customHeight="1">
      <c r="R955" s="30"/>
    </row>
    <row r="956" spans="18:18" ht="15.75" customHeight="1">
      <c r="R956" s="30"/>
    </row>
    <row r="957" spans="18:18" ht="15.75" customHeight="1">
      <c r="R957" s="30"/>
    </row>
    <row r="958" spans="18:18" ht="15.75" customHeight="1">
      <c r="R958" s="30"/>
    </row>
    <row r="959" spans="18:18" ht="15.75" customHeight="1">
      <c r="R959" s="30"/>
    </row>
    <row r="960" spans="18:18" ht="15.75" customHeight="1">
      <c r="R960" s="30"/>
    </row>
    <row r="961" spans="18:18" ht="15.75" customHeight="1">
      <c r="R961" s="30"/>
    </row>
    <row r="962" spans="18:18" ht="15.75" customHeight="1">
      <c r="R962" s="30"/>
    </row>
    <row r="963" spans="18:18" ht="15.75" customHeight="1">
      <c r="R963" s="30"/>
    </row>
    <row r="964" spans="18:18" ht="15.75" customHeight="1">
      <c r="R964" s="30"/>
    </row>
    <row r="965" spans="18:18" ht="15.75" customHeight="1">
      <c r="R965" s="30"/>
    </row>
    <row r="966" spans="18:18" ht="15.75" customHeight="1">
      <c r="R966" s="30"/>
    </row>
    <row r="967" spans="18:18" ht="15.75" customHeight="1">
      <c r="R967" s="30"/>
    </row>
    <row r="968" spans="18:18" ht="15.75" customHeight="1">
      <c r="R968" s="30"/>
    </row>
    <row r="969" spans="18:18" ht="15.75" customHeight="1">
      <c r="R969" s="30"/>
    </row>
    <row r="970" spans="18:18" ht="15.75" customHeight="1">
      <c r="R970" s="30"/>
    </row>
    <row r="971" spans="18:18" ht="15.75" customHeight="1">
      <c r="R971" s="30"/>
    </row>
    <row r="972" spans="18:18" ht="15.75" customHeight="1">
      <c r="R972" s="30"/>
    </row>
    <row r="973" spans="18:18" ht="15.75" customHeight="1">
      <c r="R973" s="30"/>
    </row>
    <row r="974" spans="18:18" ht="15.75" customHeight="1">
      <c r="R974" s="30"/>
    </row>
    <row r="975" spans="18:18" ht="15.75" customHeight="1">
      <c r="R975" s="30"/>
    </row>
    <row r="976" spans="18:18" ht="15.75" customHeight="1">
      <c r="R976" s="30"/>
    </row>
    <row r="977" spans="18:18" ht="15.75" customHeight="1">
      <c r="R977" s="30"/>
    </row>
    <row r="978" spans="18:18" ht="15.75" customHeight="1">
      <c r="R978" s="30"/>
    </row>
    <row r="979" spans="18:18" ht="15.75" customHeight="1">
      <c r="R979" s="30"/>
    </row>
    <row r="980" spans="18:18" ht="15.75" customHeight="1">
      <c r="R980" s="30"/>
    </row>
    <row r="981" spans="18:18" ht="15.75" customHeight="1">
      <c r="R981" s="30"/>
    </row>
    <row r="982" spans="18:18" ht="15.75" customHeight="1">
      <c r="R982" s="30"/>
    </row>
    <row r="983" spans="18:18" ht="15.75" customHeight="1">
      <c r="R983" s="30"/>
    </row>
    <row r="984" spans="18:18" ht="15.75" customHeight="1">
      <c r="R984" s="30"/>
    </row>
    <row r="985" spans="18:18" ht="15.75" customHeight="1">
      <c r="R985" s="30"/>
    </row>
    <row r="986" spans="18:18" ht="15.75" customHeight="1">
      <c r="R986" s="30"/>
    </row>
    <row r="987" spans="18:18" ht="15.75" customHeight="1">
      <c r="R987" s="30"/>
    </row>
    <row r="988" spans="18:18" ht="15.75" customHeight="1">
      <c r="R988" s="30"/>
    </row>
    <row r="989" spans="18:18" ht="15.75" customHeight="1">
      <c r="R989" s="30"/>
    </row>
    <row r="990" spans="18:18" ht="15.75" customHeight="1">
      <c r="R990" s="30"/>
    </row>
    <row r="991" spans="18:18" ht="15.75" customHeight="1">
      <c r="R991" s="30"/>
    </row>
    <row r="992" spans="18:18" ht="15.75" customHeight="1">
      <c r="R992" s="30"/>
    </row>
    <row r="993" spans="18:18" ht="15.75" customHeight="1">
      <c r="R993" s="30"/>
    </row>
    <row r="994" spans="18:18" ht="15.75" customHeight="1">
      <c r="R994" s="30"/>
    </row>
    <row r="995" spans="18:18" ht="15.75" customHeight="1">
      <c r="R995" s="30"/>
    </row>
    <row r="996" spans="18:18" ht="15.75" customHeight="1">
      <c r="R996" s="30"/>
    </row>
    <row r="997" spans="18:18" ht="15.75" customHeight="1">
      <c r="R997" s="30"/>
    </row>
    <row r="998" spans="18:18" ht="15.75" customHeight="1">
      <c r="R998" s="30"/>
    </row>
    <row r="999" spans="18:18" ht="15.75" customHeight="1">
      <c r="R999" s="30"/>
    </row>
    <row r="1000" spans="18:18" ht="15.75" customHeight="1">
      <c r="R1000" s="3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2.6640625" defaultRowHeight="15" customHeight="1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8.6640625" customWidth="1"/>
    <col min="6" max="6" width="9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16.33203125" customWidth="1"/>
    <col min="16" max="16" width="10" customWidth="1"/>
    <col min="17" max="18" width="7.33203125" customWidth="1"/>
    <col min="19" max="19" width="7.1640625" customWidth="1"/>
    <col min="20" max="20" width="11.1640625" customWidth="1"/>
    <col min="21" max="21" width="25.6640625" customWidth="1"/>
    <col min="22" max="22" width="54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8.6640625" customWidth="1"/>
    <col min="32" max="32" width="10.1640625" customWidth="1"/>
    <col min="33" max="33" width="8.83203125" customWidth="1"/>
  </cols>
  <sheetData>
    <row r="1" spans="1:33" ht="18.75" customHeight="1">
      <c r="A1" s="46" t="str">
        <f ca="1">IFERROR(__xludf.DUMMYFUNCTION("IFERROR(VLOOKUP(B2,IMPORTRANGE(""https://docs.google.com/spreadsheets/d/1x0DhHglkXKoEBOD2MBsuK_EyIr1ouxD2ftIpqOYFa-k/edit?usp=sharing"",""Ubiquitty-SKU-Specific Info!B1:BJ5000""),3,FALSE),"""")"),"75 Foot Lighted Outdoor Extension Cord with 3 Electrical Power Outlets - 10/3 SJTW Yellow 10 Gauge Extension Cable with 3 Prong Grounded Plug for Safety")</f>
        <v>75 Foot Lighted Outdoor Extension Cord with 3 Electrical Power Outlets - 10/3 SJTW Yellow 10 Gauge Extension Cable with 3 Prong Grounded Plug for Safety</v>
      </c>
      <c r="B1" s="47"/>
      <c r="C1" s="48" t="s">
        <v>0</v>
      </c>
      <c r="D1" s="50" t="s">
        <v>1</v>
      </c>
      <c r="E1" s="50" t="s">
        <v>2</v>
      </c>
      <c r="F1" s="52" t="s">
        <v>3</v>
      </c>
      <c r="G1" s="52" t="s">
        <v>4</v>
      </c>
      <c r="H1" s="53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58" t="s">
        <v>10</v>
      </c>
      <c r="N1" s="59" t="s">
        <v>11</v>
      </c>
      <c r="O1" s="50" t="s">
        <v>12</v>
      </c>
      <c r="P1" s="50" t="s">
        <v>13</v>
      </c>
      <c r="Q1" s="57" t="s">
        <v>14</v>
      </c>
      <c r="R1" s="57" t="s">
        <v>15</v>
      </c>
      <c r="S1" s="60" t="s">
        <v>16</v>
      </c>
      <c r="T1" s="62" t="s">
        <v>2006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Info!B1:BJ5000""),2,FALSE),"""")"),"B081HD5W2K")</f>
        <v>B081HD5W2K</v>
      </c>
      <c r="B2" s="3" t="s">
        <v>576</v>
      </c>
      <c r="C2" s="49"/>
      <c r="D2" s="49"/>
      <c r="E2" s="51"/>
      <c r="F2" s="49"/>
      <c r="G2" s="49"/>
      <c r="H2" s="54"/>
      <c r="I2" s="49"/>
      <c r="J2" s="49"/>
      <c r="K2" s="54"/>
      <c r="L2" s="54"/>
      <c r="M2" s="54"/>
      <c r="N2" s="49"/>
      <c r="O2" s="49"/>
      <c r="P2" s="51"/>
      <c r="Q2" s="49"/>
      <c r="R2" s="49"/>
      <c r="S2" s="61"/>
      <c r="T2" s="47"/>
      <c r="U2" s="63"/>
      <c r="V2" s="63"/>
      <c r="W2" s="47"/>
      <c r="X2" s="47"/>
      <c r="Y2" s="47"/>
      <c r="Z2" s="47"/>
      <c r="AA2" s="63"/>
      <c r="AB2" s="63"/>
      <c r="AC2" s="63"/>
      <c r="AD2" s="63"/>
      <c r="AE2" s="47"/>
      <c r="AF2" s="47"/>
      <c r="AG2" s="47"/>
    </row>
    <row r="3" spans="1:33" ht="162" customHeight="1">
      <c r="A3" s="55" t="s">
        <v>31</v>
      </c>
      <c r="B3" s="56"/>
      <c r="C3" s="4">
        <f>((AE32+AF32)/0.85)*-1</f>
        <v>76.591243465882343</v>
      </c>
      <c r="D3" s="5">
        <f>SUM(D4:D99765)</f>
        <v>133</v>
      </c>
      <c r="E3" s="5"/>
      <c r="F3" s="6">
        <f t="shared" ref="F3:G3" si="0">SUM(F4:F99765)</f>
        <v>15475.000000000002</v>
      </c>
      <c r="G3" s="6">
        <f t="shared" si="0"/>
        <v>-0.22999999999999998</v>
      </c>
      <c r="H3" s="7">
        <f t="shared" ref="H3:H32" si="1">G3/F3*-1</f>
        <v>1.4862681744749593E-5</v>
      </c>
      <c r="I3" s="8">
        <f t="shared" ref="I3:I32" si="2">J3/F3</f>
        <v>0.31754654282640543</v>
      </c>
      <c r="J3" s="6">
        <f>SUM(J4:J99765)</f>
        <v>4914.0327502386244</v>
      </c>
      <c r="K3" s="6">
        <f t="shared" ref="K3:K32" si="3">J3/D3</f>
        <v>36.947614663448306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Sheet!a1:g5000""),2,FALSE),"""")"),"1.5 - March
1.5 - April
1.5 - May
1.5 - June
1.5 - July
1.5 - Aug
2 - Sept
1 - Oct
1.5 - Nov
1 - Dec
1 - Jan
1 - Feb")</f>
        <v>1.5 - March
1.5 - April
1.5 - May
1.5 - June
1.5 - July
1.5 - Aug
2 - Sept
1 - Oct
1.5 - Nov
1 - Dec
1 - Jan
1 -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QTY-0")</f>
        <v>US QTY-0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0</v>
      </c>
      <c r="X3" s="7">
        <f>W3/D3</f>
        <v>0</v>
      </c>
      <c r="Y3" s="6"/>
      <c r="Z3" s="5"/>
      <c r="AA3" s="5"/>
      <c r="AB3" s="5"/>
      <c r="AC3" s="5"/>
      <c r="AD3" s="6">
        <f>SUM(AD4:AD99765)</f>
        <v>-87.631640347222231</v>
      </c>
      <c r="AE3" s="6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Info!B2:BZ3000""),37,FALSE)),"""")*-1"),-54.322556946)</f>
        <v>-54.322556945999999</v>
      </c>
      <c r="AG3" s="6">
        <f>SUM(AG4:AG99765)</f>
        <v>0</v>
      </c>
    </row>
    <row r="4" spans="1:33" ht="15.75" customHeight="1">
      <c r="A4" s="14" t="s">
        <v>181</v>
      </c>
      <c r="B4" s="14" t="s">
        <v>577</v>
      </c>
      <c r="C4" s="15" t="str">
        <f t="shared" ref="C4:C32" si="4">IFERROR(F4/D4," - ")</f>
        <v xml:space="preserve"> - </v>
      </c>
      <c r="D4" s="16">
        <v>0</v>
      </c>
      <c r="E4" s="16">
        <v>0</v>
      </c>
      <c r="F4" s="17">
        <v>0</v>
      </c>
      <c r="G4" s="17">
        <v>0</v>
      </c>
      <c r="H4" s="18" t="e">
        <f t="shared" si="1"/>
        <v>#DIV/0!</v>
      </c>
      <c r="I4" s="18" t="e">
        <f t="shared" si="2"/>
        <v>#DIV/0!</v>
      </c>
      <c r="J4" s="17">
        <f t="shared" ref="J4:J32" si="5">F4*0.85+G4+AF4*D4+D4*AE4+AG4+AD4</f>
        <v>0</v>
      </c>
      <c r="K4" s="17" t="e">
        <f t="shared" si="3"/>
        <v>#DIV/0!</v>
      </c>
      <c r="L4" s="16">
        <v>0</v>
      </c>
      <c r="M4" s="19" t="str">
        <f t="shared" ref="M4:M32" si="6">IFERROR(D4/L4,"-")</f>
        <v>-</v>
      </c>
      <c r="N4" s="16">
        <v>0</v>
      </c>
      <c r="O4" s="20">
        <f t="shared" ref="O4:P4" si="7">D4/7</f>
        <v>0</v>
      </c>
      <c r="P4" s="20">
        <f t="shared" si="7"/>
        <v>0</v>
      </c>
      <c r="Q4" s="16" t="e">
        <f t="shared" ref="Q4:Q32" si="8">ROUNDDOWN(N4/(O4+P4),0)</f>
        <v>#DIV/0!</v>
      </c>
      <c r="R4" s="16"/>
      <c r="S4" s="21" t="e">
        <v>#N/A</v>
      </c>
      <c r="T4" s="14">
        <v>190</v>
      </c>
      <c r="U4" s="22">
        <v>50</v>
      </c>
      <c r="V4" s="23" t="s">
        <v>578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26" t="e">
        <v>#N/A</v>
      </c>
      <c r="AB4" s="27" t="e">
        <f t="shared" ref="AB4:AB32" si="11">IF(OR(AA4="UsLargeStandardSize",AA4="UsSmallStandardSize"),-0.69,-0.48)</f>
        <v>#N/A</v>
      </c>
      <c r="AC4" s="28" t="e">
        <v>#N/A</v>
      </c>
      <c r="AD4" s="25">
        <f t="shared" ref="AD4:AD32" si="12">IFERROR(AB4*AC4*D4*2,0)</f>
        <v>0</v>
      </c>
      <c r="AE4" s="25">
        <v>0</v>
      </c>
      <c r="AF4" s="25">
        <v>-42.312692307692309</v>
      </c>
      <c r="AG4" s="25">
        <v>0</v>
      </c>
    </row>
    <row r="5" spans="1:33" ht="15.75" customHeight="1">
      <c r="A5" s="14" t="s">
        <v>183</v>
      </c>
      <c r="B5" s="14"/>
      <c r="C5" s="15" t="str">
        <f t="shared" si="4"/>
        <v xml:space="preserve"> - </v>
      </c>
      <c r="D5" s="16">
        <v>0</v>
      </c>
      <c r="E5" s="16">
        <v>0</v>
      </c>
      <c r="F5" s="29">
        <v>0</v>
      </c>
      <c r="G5" s="29">
        <v>0</v>
      </c>
      <c r="H5" s="18" t="e">
        <f t="shared" si="1"/>
        <v>#DIV/0!</v>
      </c>
      <c r="I5" s="18" t="e">
        <f t="shared" si="2"/>
        <v>#DIV/0!</v>
      </c>
      <c r="J5" s="17">
        <f t="shared" si="5"/>
        <v>0</v>
      </c>
      <c r="K5" s="17" t="e">
        <f t="shared" si="3"/>
        <v>#DIV/0!</v>
      </c>
      <c r="L5" s="16">
        <v>0</v>
      </c>
      <c r="M5" s="19" t="str">
        <f t="shared" si="6"/>
        <v>-</v>
      </c>
      <c r="N5" s="16">
        <v>0</v>
      </c>
      <c r="O5" s="20">
        <f t="shared" ref="O5:P5" si="13">D5/7</f>
        <v>0</v>
      </c>
      <c r="P5" s="20">
        <f t="shared" si="13"/>
        <v>0</v>
      </c>
      <c r="Q5" s="16" t="e">
        <f t="shared" si="8"/>
        <v>#DIV/0!</v>
      </c>
      <c r="R5" s="16"/>
      <c r="S5" s="21" t="e">
        <v>#N/A</v>
      </c>
      <c r="T5" s="14">
        <v>190</v>
      </c>
      <c r="U5" s="22">
        <v>50</v>
      </c>
      <c r="V5" s="23" t="s">
        <v>579</v>
      </c>
      <c r="W5" s="14">
        <v>0</v>
      </c>
      <c r="X5" s="24">
        <f t="shared" si="9"/>
        <v>0</v>
      </c>
      <c r="Y5" s="25">
        <f t="shared" si="10"/>
        <v>0</v>
      </c>
      <c r="Z5" s="14">
        <v>0</v>
      </c>
      <c r="AA5" s="14" t="e">
        <v>#N/A</v>
      </c>
      <c r="AB5" s="27" t="e">
        <f t="shared" si="11"/>
        <v>#N/A</v>
      </c>
      <c r="AC5" s="28" t="e">
        <v>#N/A</v>
      </c>
      <c r="AD5" s="25">
        <f t="shared" si="12"/>
        <v>0</v>
      </c>
      <c r="AE5" s="25">
        <v>0</v>
      </c>
      <c r="AF5" s="25">
        <v>-42.312692307692309</v>
      </c>
      <c r="AG5" s="25">
        <v>0</v>
      </c>
    </row>
    <row r="6" spans="1:33" ht="15.75" customHeight="1">
      <c r="A6" s="14" t="s">
        <v>185</v>
      </c>
      <c r="B6" s="14"/>
      <c r="C6" s="15" t="str">
        <f t="shared" si="4"/>
        <v xml:space="preserve"> - </v>
      </c>
      <c r="D6" s="16">
        <v>0</v>
      </c>
      <c r="E6" s="16">
        <v>0</v>
      </c>
      <c r="F6" s="29">
        <v>0</v>
      </c>
      <c r="G6" s="29">
        <v>0</v>
      </c>
      <c r="H6" s="18" t="e">
        <f t="shared" si="1"/>
        <v>#DIV/0!</v>
      </c>
      <c r="I6" s="18" t="e">
        <f t="shared" si="2"/>
        <v>#DIV/0!</v>
      </c>
      <c r="J6" s="17">
        <f t="shared" si="5"/>
        <v>0</v>
      </c>
      <c r="K6" s="17" t="e">
        <f t="shared" si="3"/>
        <v>#DIV/0!</v>
      </c>
      <c r="L6" s="16">
        <v>0</v>
      </c>
      <c r="M6" s="19" t="str">
        <f t="shared" si="6"/>
        <v>-</v>
      </c>
      <c r="N6" s="16">
        <v>0</v>
      </c>
      <c r="O6" s="20">
        <f t="shared" ref="O6:P6" si="14">D6/7</f>
        <v>0</v>
      </c>
      <c r="P6" s="20">
        <f t="shared" si="14"/>
        <v>0</v>
      </c>
      <c r="Q6" s="16" t="e">
        <f t="shared" si="8"/>
        <v>#DIV/0!</v>
      </c>
      <c r="R6" s="16"/>
      <c r="S6" s="21" t="e">
        <v>#N/A</v>
      </c>
      <c r="T6" s="14">
        <v>140</v>
      </c>
      <c r="U6" s="22" t="s">
        <v>34</v>
      </c>
      <c r="V6" s="23" t="s">
        <v>186</v>
      </c>
      <c r="W6" s="14">
        <v>0</v>
      </c>
      <c r="X6" s="24">
        <f t="shared" si="9"/>
        <v>0</v>
      </c>
      <c r="Y6" s="25">
        <f t="shared" si="10"/>
        <v>0</v>
      </c>
      <c r="Z6" s="14">
        <v>0</v>
      </c>
      <c r="AA6" s="14" t="e">
        <v>#N/A</v>
      </c>
      <c r="AB6" s="27" t="e">
        <f t="shared" si="11"/>
        <v>#N/A</v>
      </c>
      <c r="AC6" s="28" t="e">
        <v>#N/A</v>
      </c>
      <c r="AD6" s="25">
        <f t="shared" si="12"/>
        <v>0</v>
      </c>
      <c r="AE6" s="25">
        <v>0</v>
      </c>
      <c r="AF6" s="25">
        <v>-42.312692307692309</v>
      </c>
      <c r="AG6" s="25">
        <v>0</v>
      </c>
    </row>
    <row r="7" spans="1:33" ht="15.75" customHeight="1">
      <c r="A7" s="14" t="s">
        <v>187</v>
      </c>
      <c r="B7" s="14" t="s">
        <v>580</v>
      </c>
      <c r="C7" s="15" t="str">
        <f t="shared" si="4"/>
        <v xml:space="preserve"> - </v>
      </c>
      <c r="D7" s="16">
        <v>0</v>
      </c>
      <c r="E7" s="16">
        <v>0</v>
      </c>
      <c r="F7" s="29">
        <v>0</v>
      </c>
      <c r="G7" s="29">
        <v>0</v>
      </c>
      <c r="H7" s="18" t="e">
        <f t="shared" si="1"/>
        <v>#DIV/0!</v>
      </c>
      <c r="I7" s="18" t="e">
        <f t="shared" si="2"/>
        <v>#DIV/0!</v>
      </c>
      <c r="J7" s="17">
        <f t="shared" si="5"/>
        <v>0</v>
      </c>
      <c r="K7" s="17" t="e">
        <f t="shared" si="3"/>
        <v>#DIV/0!</v>
      </c>
      <c r="L7" s="16">
        <v>0</v>
      </c>
      <c r="M7" s="19" t="str">
        <f t="shared" si="6"/>
        <v>-</v>
      </c>
      <c r="N7" s="16">
        <v>40</v>
      </c>
      <c r="O7" s="20">
        <f t="shared" ref="O7:P7" si="15">D7/7</f>
        <v>0</v>
      </c>
      <c r="P7" s="20">
        <f t="shared" si="15"/>
        <v>0</v>
      </c>
      <c r="Q7" s="16" t="e">
        <f t="shared" si="8"/>
        <v>#DIV/0!</v>
      </c>
      <c r="R7" s="16"/>
      <c r="S7" s="21">
        <v>1.20547945205479</v>
      </c>
      <c r="T7" s="14">
        <v>140</v>
      </c>
      <c r="U7" s="22" t="s">
        <v>34</v>
      </c>
      <c r="V7" s="23" t="s">
        <v>186</v>
      </c>
      <c r="W7" s="14">
        <v>0</v>
      </c>
      <c r="X7" s="24">
        <f t="shared" si="9"/>
        <v>0</v>
      </c>
      <c r="Y7" s="25">
        <f t="shared" si="10"/>
        <v>0</v>
      </c>
      <c r="Z7" s="14">
        <v>0</v>
      </c>
      <c r="AA7" s="14" t="e">
        <v>#N/A</v>
      </c>
      <c r="AB7" s="27" t="e">
        <f t="shared" si="11"/>
        <v>#N/A</v>
      </c>
      <c r="AC7" s="28" t="e">
        <v>#N/A</v>
      </c>
      <c r="AD7" s="25">
        <f t="shared" si="12"/>
        <v>0</v>
      </c>
      <c r="AE7" s="25">
        <v>0</v>
      </c>
      <c r="AF7" s="25">
        <v>-42.312692307692309</v>
      </c>
      <c r="AG7" s="25">
        <v>0</v>
      </c>
    </row>
    <row r="8" spans="1:33" ht="15.75" customHeight="1">
      <c r="A8" s="14" t="s">
        <v>189</v>
      </c>
      <c r="B8" s="14" t="s">
        <v>581</v>
      </c>
      <c r="C8" s="15">
        <f t="shared" si="4"/>
        <v>131.32571428571427</v>
      </c>
      <c r="D8" s="16">
        <v>7</v>
      </c>
      <c r="E8" s="16">
        <v>0</v>
      </c>
      <c r="F8" s="29">
        <v>919.28</v>
      </c>
      <c r="G8" s="29">
        <v>0</v>
      </c>
      <c r="H8" s="18">
        <f t="shared" si="1"/>
        <v>0</v>
      </c>
      <c r="I8" s="18">
        <f t="shared" si="2"/>
        <v>0.43234467017968153</v>
      </c>
      <c r="J8" s="17">
        <f t="shared" si="5"/>
        <v>397.44580840277763</v>
      </c>
      <c r="K8" s="17">
        <f t="shared" si="3"/>
        <v>56.777972628968236</v>
      </c>
      <c r="L8" s="16">
        <v>20</v>
      </c>
      <c r="M8" s="19">
        <f t="shared" si="6"/>
        <v>0.35</v>
      </c>
      <c r="N8" s="16">
        <v>34</v>
      </c>
      <c r="O8" s="20">
        <f t="shared" ref="O8:P8" si="16">D8/7</f>
        <v>1</v>
      </c>
      <c r="P8" s="20">
        <f t="shared" si="16"/>
        <v>0</v>
      </c>
      <c r="Q8" s="16">
        <f t="shared" si="8"/>
        <v>34</v>
      </c>
      <c r="R8" s="16"/>
      <c r="S8" s="21">
        <v>1.3142857142857101</v>
      </c>
      <c r="T8" s="14">
        <v>280</v>
      </c>
      <c r="U8" s="22" t="s">
        <v>34</v>
      </c>
      <c r="V8" s="23" t="s">
        <v>34</v>
      </c>
      <c r="W8" s="14">
        <v>0</v>
      </c>
      <c r="X8" s="24">
        <f t="shared" si="9"/>
        <v>0</v>
      </c>
      <c r="Y8" s="25">
        <f t="shared" si="10"/>
        <v>0</v>
      </c>
      <c r="Z8" s="14">
        <v>0</v>
      </c>
      <c r="AA8" s="14" t="s">
        <v>35</v>
      </c>
      <c r="AB8" s="27">
        <f t="shared" si="11"/>
        <v>-0.69</v>
      </c>
      <c r="AC8" s="28">
        <v>0.4774525462962963</v>
      </c>
      <c r="AD8" s="25">
        <f t="shared" si="12"/>
        <v>-4.6121915972222212</v>
      </c>
      <c r="AE8" s="25">
        <v>-11.88</v>
      </c>
      <c r="AF8" s="25">
        <v>-42.31</v>
      </c>
      <c r="AG8" s="25">
        <v>0</v>
      </c>
    </row>
    <row r="9" spans="1:33" ht="15.75" customHeight="1">
      <c r="A9" s="14" t="s">
        <v>191</v>
      </c>
      <c r="B9" s="14" t="s">
        <v>582</v>
      </c>
      <c r="C9" s="15" t="str">
        <f t="shared" si="4"/>
        <v xml:space="preserve"> - </v>
      </c>
      <c r="D9" s="16">
        <v>0</v>
      </c>
      <c r="E9" s="16">
        <v>0</v>
      </c>
      <c r="F9" s="29">
        <v>0</v>
      </c>
      <c r="G9" s="29">
        <v>0</v>
      </c>
      <c r="H9" s="18" t="e">
        <f t="shared" si="1"/>
        <v>#DIV/0!</v>
      </c>
      <c r="I9" s="18" t="e">
        <f t="shared" si="2"/>
        <v>#DIV/0!</v>
      </c>
      <c r="J9" s="17">
        <f t="shared" si="5"/>
        <v>0</v>
      </c>
      <c r="K9" s="17" t="e">
        <f t="shared" si="3"/>
        <v>#DIV/0!</v>
      </c>
      <c r="L9" s="16">
        <v>0</v>
      </c>
      <c r="M9" s="19" t="str">
        <f t="shared" si="6"/>
        <v>-</v>
      </c>
      <c r="N9" s="16">
        <v>33</v>
      </c>
      <c r="O9" s="20">
        <f t="shared" ref="O9:P9" si="17">D9/7</f>
        <v>0</v>
      </c>
      <c r="P9" s="20">
        <f t="shared" si="17"/>
        <v>0</v>
      </c>
      <c r="Q9" s="16" t="e">
        <f t="shared" si="8"/>
        <v>#DIV/0!</v>
      </c>
      <c r="R9" s="16"/>
      <c r="S9" s="21">
        <v>1.4545454545454499</v>
      </c>
      <c r="T9" s="14">
        <v>280</v>
      </c>
      <c r="U9" s="22" t="s">
        <v>34</v>
      </c>
      <c r="V9" s="23" t="s">
        <v>34</v>
      </c>
      <c r="W9" s="14">
        <v>0</v>
      </c>
      <c r="X9" s="24">
        <f t="shared" si="9"/>
        <v>0</v>
      </c>
      <c r="Y9" s="25">
        <f t="shared" si="10"/>
        <v>0</v>
      </c>
      <c r="Z9" s="14">
        <v>0</v>
      </c>
      <c r="AA9" s="14" t="s">
        <v>35</v>
      </c>
      <c r="AB9" s="27">
        <f t="shared" si="11"/>
        <v>-0.69</v>
      </c>
      <c r="AC9" s="28">
        <v>0.4774525462962963</v>
      </c>
      <c r="AD9" s="25">
        <f t="shared" si="12"/>
        <v>0</v>
      </c>
      <c r="AE9" s="25">
        <v>-11.88</v>
      </c>
      <c r="AF9" s="25">
        <v>-43.182307692307603</v>
      </c>
      <c r="AG9" s="25">
        <v>0</v>
      </c>
    </row>
    <row r="10" spans="1:33" ht="15.75" customHeight="1">
      <c r="A10" s="14" t="s">
        <v>192</v>
      </c>
      <c r="B10" s="14" t="s">
        <v>68</v>
      </c>
      <c r="C10" s="15">
        <f t="shared" si="4"/>
        <v>120.2</v>
      </c>
      <c r="D10" s="16">
        <v>5</v>
      </c>
      <c r="E10" s="16">
        <v>0</v>
      </c>
      <c r="F10" s="29">
        <v>601</v>
      </c>
      <c r="G10" s="29">
        <v>-0.12</v>
      </c>
      <c r="H10" s="18">
        <f t="shared" si="1"/>
        <v>1.9966722129783693E-4</v>
      </c>
      <c r="I10" s="18">
        <f t="shared" si="2"/>
        <v>0.38622968214478792</v>
      </c>
      <c r="J10" s="17">
        <f t="shared" si="5"/>
        <v>232.12403896901753</v>
      </c>
      <c r="K10" s="17">
        <f t="shared" si="3"/>
        <v>46.42480779380351</v>
      </c>
      <c r="L10" s="16">
        <v>30</v>
      </c>
      <c r="M10" s="19">
        <f t="shared" si="6"/>
        <v>0.16666666666666666</v>
      </c>
      <c r="N10" s="16">
        <v>31</v>
      </c>
      <c r="O10" s="20">
        <f t="shared" ref="O10:P10" si="18">D10/7</f>
        <v>0.7142857142857143</v>
      </c>
      <c r="P10" s="20">
        <f t="shared" si="18"/>
        <v>0</v>
      </c>
      <c r="Q10" s="16">
        <f t="shared" si="8"/>
        <v>43</v>
      </c>
      <c r="R10" s="16"/>
      <c r="S10" s="21">
        <v>1.36170212765957</v>
      </c>
      <c r="T10" s="14">
        <v>140</v>
      </c>
      <c r="U10" s="22" t="s">
        <v>34</v>
      </c>
      <c r="V10" s="23" t="s">
        <v>34</v>
      </c>
      <c r="W10" s="14">
        <v>0</v>
      </c>
      <c r="X10" s="24">
        <f t="shared" si="9"/>
        <v>0</v>
      </c>
      <c r="Y10" s="25">
        <f t="shared" si="10"/>
        <v>0</v>
      </c>
      <c r="Z10" s="14">
        <v>0</v>
      </c>
      <c r="AA10" s="14" t="s">
        <v>35</v>
      </c>
      <c r="AB10" s="27">
        <f t="shared" si="11"/>
        <v>-0.69</v>
      </c>
      <c r="AC10" s="28">
        <v>0.4774525462962963</v>
      </c>
      <c r="AD10" s="25">
        <f t="shared" si="12"/>
        <v>-3.294422569444444</v>
      </c>
      <c r="AE10" s="25">
        <v>-11.88</v>
      </c>
      <c r="AF10" s="25">
        <v>-43.182307692307603</v>
      </c>
      <c r="AG10" s="25">
        <v>0</v>
      </c>
    </row>
    <row r="11" spans="1:33" ht="15.75" customHeight="1">
      <c r="A11" s="14" t="s">
        <v>193</v>
      </c>
      <c r="B11" s="14" t="s">
        <v>583</v>
      </c>
      <c r="C11" s="15">
        <f t="shared" si="4"/>
        <v>118.95416666666667</v>
      </c>
      <c r="D11" s="16">
        <v>12</v>
      </c>
      <c r="E11" s="16">
        <v>0</v>
      </c>
      <c r="F11" s="29">
        <v>1427.45</v>
      </c>
      <c r="G11" s="29">
        <v>-0.05</v>
      </c>
      <c r="H11" s="18">
        <f t="shared" si="1"/>
        <v>3.5027496584819084E-5</v>
      </c>
      <c r="I11" s="18">
        <f t="shared" si="2"/>
        <v>0.38153924377431225</v>
      </c>
      <c r="J11" s="17">
        <f t="shared" si="5"/>
        <v>544.62819352564202</v>
      </c>
      <c r="K11" s="17">
        <f t="shared" si="3"/>
        <v>45.385682793803504</v>
      </c>
      <c r="L11" s="16">
        <v>52</v>
      </c>
      <c r="M11" s="19">
        <f t="shared" si="6"/>
        <v>0.23076923076923078</v>
      </c>
      <c r="N11" s="16">
        <v>18</v>
      </c>
      <c r="O11" s="20">
        <f t="shared" ref="O11:P11" si="19">D11/7</f>
        <v>1.7142857142857142</v>
      </c>
      <c r="P11" s="20">
        <f t="shared" si="19"/>
        <v>0</v>
      </c>
      <c r="Q11" s="16">
        <f t="shared" si="8"/>
        <v>10</v>
      </c>
      <c r="R11" s="16"/>
      <c r="S11" s="21">
        <v>2.7428571428571402</v>
      </c>
      <c r="T11" s="14">
        <v>290</v>
      </c>
      <c r="U11" s="22" t="s">
        <v>34</v>
      </c>
      <c r="V11" s="23" t="s">
        <v>34</v>
      </c>
      <c r="W11" s="14">
        <v>0</v>
      </c>
      <c r="X11" s="24">
        <f t="shared" si="9"/>
        <v>0</v>
      </c>
      <c r="Y11" s="25">
        <f t="shared" si="10"/>
        <v>0</v>
      </c>
      <c r="Z11" s="14">
        <v>0</v>
      </c>
      <c r="AA11" s="14" t="s">
        <v>35</v>
      </c>
      <c r="AB11" s="27">
        <f t="shared" si="11"/>
        <v>-0.69</v>
      </c>
      <c r="AC11" s="28">
        <v>0.4774525462962963</v>
      </c>
      <c r="AD11" s="25">
        <f t="shared" si="12"/>
        <v>-7.9066141666666656</v>
      </c>
      <c r="AE11" s="25">
        <v>-11.88</v>
      </c>
      <c r="AF11" s="25">
        <v>-43.182307692307603</v>
      </c>
      <c r="AG11" s="25">
        <v>0</v>
      </c>
    </row>
    <row r="12" spans="1:33" ht="15.75" customHeight="1">
      <c r="A12" s="14" t="s">
        <v>195</v>
      </c>
      <c r="B12" s="14" t="s">
        <v>68</v>
      </c>
      <c r="C12" s="15">
        <f t="shared" si="4"/>
        <v>111.67999999999999</v>
      </c>
      <c r="D12" s="16">
        <v>3</v>
      </c>
      <c r="E12" s="16">
        <v>0</v>
      </c>
      <c r="F12" s="29">
        <v>335.03999999999996</v>
      </c>
      <c r="G12" s="29">
        <v>0</v>
      </c>
      <c r="H12" s="18">
        <f t="shared" si="1"/>
        <v>0</v>
      </c>
      <c r="I12" s="18">
        <f t="shared" si="2"/>
        <v>0.35106382336858427</v>
      </c>
      <c r="J12" s="17">
        <f t="shared" si="5"/>
        <v>117.62042338141046</v>
      </c>
      <c r="K12" s="17">
        <f t="shared" si="3"/>
        <v>39.206807793803485</v>
      </c>
      <c r="L12" s="16">
        <v>38</v>
      </c>
      <c r="M12" s="19">
        <f t="shared" si="6"/>
        <v>7.8947368421052627E-2</v>
      </c>
      <c r="N12" s="16">
        <v>14</v>
      </c>
      <c r="O12" s="20">
        <f t="shared" ref="O12:P12" si="20">D12/7</f>
        <v>0.42857142857142855</v>
      </c>
      <c r="P12" s="20">
        <f t="shared" si="20"/>
        <v>0</v>
      </c>
      <c r="Q12" s="16">
        <f t="shared" si="8"/>
        <v>32</v>
      </c>
      <c r="R12" s="16"/>
      <c r="S12" s="21">
        <v>1.9076923076923</v>
      </c>
      <c r="T12" s="14">
        <v>380</v>
      </c>
      <c r="U12" s="22">
        <v>90</v>
      </c>
      <c r="V12" s="23" t="s">
        <v>584</v>
      </c>
      <c r="W12" s="14">
        <v>0</v>
      </c>
      <c r="X12" s="24">
        <f t="shared" si="9"/>
        <v>0</v>
      </c>
      <c r="Y12" s="25">
        <f t="shared" si="10"/>
        <v>0</v>
      </c>
      <c r="Z12" s="14">
        <v>0</v>
      </c>
      <c r="AA12" s="14" t="s">
        <v>35</v>
      </c>
      <c r="AB12" s="27">
        <f t="shared" si="11"/>
        <v>-0.69</v>
      </c>
      <c r="AC12" s="28">
        <v>0.4774525462962963</v>
      </c>
      <c r="AD12" s="25">
        <f t="shared" si="12"/>
        <v>-1.9766535416666664</v>
      </c>
      <c r="AE12" s="25">
        <v>-11.88</v>
      </c>
      <c r="AF12" s="25">
        <v>-43.182307692307603</v>
      </c>
      <c r="AG12" s="25">
        <v>0</v>
      </c>
    </row>
    <row r="13" spans="1:33" ht="15.75" customHeight="1">
      <c r="A13" s="14" t="s">
        <v>197</v>
      </c>
      <c r="B13" s="14" t="s">
        <v>585</v>
      </c>
      <c r="C13" s="15">
        <f t="shared" si="4"/>
        <v>118.88</v>
      </c>
      <c r="D13" s="16">
        <v>3</v>
      </c>
      <c r="E13" s="16">
        <v>0</v>
      </c>
      <c r="F13" s="17">
        <v>356.64</v>
      </c>
      <c r="G13" s="29">
        <v>0</v>
      </c>
      <c r="H13" s="18">
        <f t="shared" si="1"/>
        <v>0</v>
      </c>
      <c r="I13" s="18">
        <f t="shared" si="2"/>
        <v>0.37743199433135188</v>
      </c>
      <c r="J13" s="17">
        <f t="shared" si="5"/>
        <v>134.60734645833332</v>
      </c>
      <c r="K13" s="17">
        <f t="shared" si="3"/>
        <v>44.869115486111106</v>
      </c>
      <c r="L13" s="16">
        <v>21</v>
      </c>
      <c r="M13" s="19">
        <f t="shared" si="6"/>
        <v>0.14285714285714285</v>
      </c>
      <c r="N13" s="16">
        <v>11</v>
      </c>
      <c r="O13" s="20">
        <f t="shared" ref="O13:P13" si="21">D13/7</f>
        <v>0.42857142857142855</v>
      </c>
      <c r="P13" s="20">
        <f t="shared" si="21"/>
        <v>0</v>
      </c>
      <c r="Q13" s="16">
        <f t="shared" si="8"/>
        <v>25</v>
      </c>
      <c r="R13" s="16"/>
      <c r="S13" s="21">
        <v>2.0666666666666602</v>
      </c>
      <c r="T13" s="14">
        <v>380</v>
      </c>
      <c r="U13" s="22">
        <v>90</v>
      </c>
      <c r="V13" s="23" t="s">
        <v>584</v>
      </c>
      <c r="W13" s="14">
        <v>0</v>
      </c>
      <c r="X13" s="24">
        <f t="shared" si="9"/>
        <v>0</v>
      </c>
      <c r="Y13" s="25">
        <f t="shared" si="10"/>
        <v>0</v>
      </c>
      <c r="Z13" s="14">
        <v>0</v>
      </c>
      <c r="AA13" s="14" t="s">
        <v>35</v>
      </c>
      <c r="AB13" s="27">
        <f t="shared" si="11"/>
        <v>-0.69</v>
      </c>
      <c r="AC13" s="28">
        <v>0.4774525462962963</v>
      </c>
      <c r="AD13" s="25">
        <f t="shared" si="12"/>
        <v>-1.9766535416666664</v>
      </c>
      <c r="AE13" s="25">
        <v>-11.88</v>
      </c>
      <c r="AF13" s="25">
        <v>-43.64</v>
      </c>
      <c r="AG13" s="25">
        <v>0</v>
      </c>
    </row>
    <row r="14" spans="1:33" ht="15.75" customHeight="1">
      <c r="A14" s="14" t="s">
        <v>32</v>
      </c>
      <c r="B14" s="14" t="s">
        <v>586</v>
      </c>
      <c r="C14" s="15" t="str">
        <f t="shared" si="4"/>
        <v xml:space="preserve"> - </v>
      </c>
      <c r="D14" s="16">
        <v>0</v>
      </c>
      <c r="E14" s="16">
        <v>0</v>
      </c>
      <c r="F14" s="17">
        <v>0</v>
      </c>
      <c r="G14" s="29">
        <v>-0.06</v>
      </c>
      <c r="H14" s="18" t="e">
        <f t="shared" si="1"/>
        <v>#DIV/0!</v>
      </c>
      <c r="I14" s="18" t="e">
        <f t="shared" si="2"/>
        <v>#DIV/0!</v>
      </c>
      <c r="J14" s="17">
        <f t="shared" si="5"/>
        <v>-0.06</v>
      </c>
      <c r="K14" s="17" t="e">
        <f t="shared" si="3"/>
        <v>#DIV/0!</v>
      </c>
      <c r="L14" s="16">
        <v>0</v>
      </c>
      <c r="M14" s="19" t="str">
        <f t="shared" si="6"/>
        <v>-</v>
      </c>
      <c r="N14" s="16">
        <v>10</v>
      </c>
      <c r="O14" s="20">
        <f t="shared" ref="O14:P14" si="22">D14/7</f>
        <v>0</v>
      </c>
      <c r="P14" s="20">
        <f t="shared" si="22"/>
        <v>0</v>
      </c>
      <c r="Q14" s="16" t="e">
        <f t="shared" si="8"/>
        <v>#DIV/0!</v>
      </c>
      <c r="R14" s="16"/>
      <c r="S14" s="21">
        <v>2.4</v>
      </c>
      <c r="T14" s="14">
        <v>290</v>
      </c>
      <c r="U14" s="22">
        <v>90</v>
      </c>
      <c r="V14" s="23" t="s">
        <v>584</v>
      </c>
      <c r="W14" s="14">
        <v>0</v>
      </c>
      <c r="X14" s="24">
        <f t="shared" si="9"/>
        <v>0</v>
      </c>
      <c r="Y14" s="25">
        <f t="shared" si="10"/>
        <v>0</v>
      </c>
      <c r="Z14" s="14">
        <v>0</v>
      </c>
      <c r="AA14" s="14" t="s">
        <v>35</v>
      </c>
      <c r="AB14" s="27">
        <f t="shared" si="11"/>
        <v>-0.69</v>
      </c>
      <c r="AC14" s="28">
        <v>0.4774525462962963</v>
      </c>
      <c r="AD14" s="25">
        <f t="shared" si="12"/>
        <v>0</v>
      </c>
      <c r="AE14" s="25">
        <v>-11.88</v>
      </c>
      <c r="AF14" s="25">
        <v>-43.64</v>
      </c>
      <c r="AG14" s="25">
        <v>0</v>
      </c>
    </row>
    <row r="15" spans="1:33" ht="15.75" customHeight="1">
      <c r="A15" s="14" t="s">
        <v>36</v>
      </c>
      <c r="B15" s="14" t="s">
        <v>587</v>
      </c>
      <c r="C15" s="15">
        <f t="shared" si="4"/>
        <v>128.624</v>
      </c>
      <c r="D15" s="16">
        <v>5</v>
      </c>
      <c r="E15" s="16">
        <v>0</v>
      </c>
      <c r="F15" s="17">
        <v>643.12</v>
      </c>
      <c r="G15" s="29">
        <v>0</v>
      </c>
      <c r="H15" s="18">
        <f t="shared" si="1"/>
        <v>0</v>
      </c>
      <c r="I15" s="18">
        <f t="shared" si="2"/>
        <v>0.37459195395968964</v>
      </c>
      <c r="J15" s="17">
        <f t="shared" si="5"/>
        <v>240.90757743055559</v>
      </c>
      <c r="K15" s="17">
        <f t="shared" si="3"/>
        <v>48.181515486111117</v>
      </c>
      <c r="L15" s="16">
        <v>36</v>
      </c>
      <c r="M15" s="19">
        <f t="shared" si="6"/>
        <v>0.1388888888888889</v>
      </c>
      <c r="N15" s="16">
        <v>6</v>
      </c>
      <c r="O15" s="20">
        <f t="shared" ref="O15:P15" si="23">D15/7</f>
        <v>0.7142857142857143</v>
      </c>
      <c r="P15" s="20">
        <f t="shared" si="23"/>
        <v>0</v>
      </c>
      <c r="Q15" s="16">
        <f t="shared" si="8"/>
        <v>8</v>
      </c>
      <c r="R15" s="16"/>
      <c r="S15" s="21">
        <v>3.8857142857142799</v>
      </c>
      <c r="T15" s="14">
        <v>290</v>
      </c>
      <c r="U15" s="22">
        <v>90</v>
      </c>
      <c r="V15" s="23" t="s">
        <v>588</v>
      </c>
      <c r="W15" s="14">
        <v>0</v>
      </c>
      <c r="X15" s="24">
        <f t="shared" si="9"/>
        <v>0</v>
      </c>
      <c r="Y15" s="25">
        <f t="shared" si="10"/>
        <v>0</v>
      </c>
      <c r="Z15" s="14">
        <v>0</v>
      </c>
      <c r="AA15" s="14" t="s">
        <v>35</v>
      </c>
      <c r="AB15" s="27">
        <f t="shared" si="11"/>
        <v>-0.69</v>
      </c>
      <c r="AC15" s="28">
        <v>0.4774525462962963</v>
      </c>
      <c r="AD15" s="25">
        <f t="shared" si="12"/>
        <v>-3.294422569444444</v>
      </c>
      <c r="AE15" s="25">
        <v>-11.88</v>
      </c>
      <c r="AF15" s="25">
        <v>-48.61</v>
      </c>
      <c r="AG15" s="25">
        <v>0</v>
      </c>
    </row>
    <row r="16" spans="1:33" ht="15.75" customHeight="1">
      <c r="A16" s="14" t="s">
        <v>38</v>
      </c>
      <c r="B16" s="14" t="s">
        <v>589</v>
      </c>
      <c r="C16" s="15" t="str">
        <f t="shared" si="4"/>
        <v xml:space="preserve"> - </v>
      </c>
      <c r="D16" s="16">
        <v>0</v>
      </c>
      <c r="E16" s="16">
        <v>0</v>
      </c>
      <c r="F16" s="17">
        <v>0</v>
      </c>
      <c r="G16" s="29">
        <v>0</v>
      </c>
      <c r="H16" s="18" t="e">
        <f t="shared" si="1"/>
        <v>#DIV/0!</v>
      </c>
      <c r="I16" s="18" t="e">
        <f t="shared" si="2"/>
        <v>#DIV/0!</v>
      </c>
      <c r="J16" s="17">
        <f t="shared" si="5"/>
        <v>0</v>
      </c>
      <c r="K16" s="17" t="e">
        <f t="shared" si="3"/>
        <v>#DIV/0!</v>
      </c>
      <c r="L16" s="16">
        <v>0</v>
      </c>
      <c r="M16" s="19" t="str">
        <f t="shared" si="6"/>
        <v>-</v>
      </c>
      <c r="N16" s="16">
        <v>5</v>
      </c>
      <c r="O16" s="20">
        <f t="shared" ref="O16:P16" si="24">D16/7</f>
        <v>0</v>
      </c>
      <c r="P16" s="20">
        <f t="shared" si="24"/>
        <v>0</v>
      </c>
      <c r="Q16" s="16" t="e">
        <f t="shared" si="8"/>
        <v>#DIV/0!</v>
      </c>
      <c r="R16" s="16"/>
      <c r="S16" s="21">
        <v>2.1538461538461502</v>
      </c>
      <c r="T16" s="14">
        <v>290</v>
      </c>
      <c r="U16" s="22">
        <v>90</v>
      </c>
      <c r="V16" s="23" t="s">
        <v>588</v>
      </c>
      <c r="W16" s="14">
        <v>0</v>
      </c>
      <c r="X16" s="24">
        <f t="shared" si="9"/>
        <v>0</v>
      </c>
      <c r="Y16" s="25">
        <f t="shared" si="10"/>
        <v>0</v>
      </c>
      <c r="Z16" s="14">
        <v>0</v>
      </c>
      <c r="AA16" s="14" t="s">
        <v>35</v>
      </c>
      <c r="AB16" s="27">
        <f t="shared" si="11"/>
        <v>-0.69</v>
      </c>
      <c r="AC16" s="28">
        <v>0.4774525462962963</v>
      </c>
      <c r="AD16" s="25">
        <f t="shared" si="12"/>
        <v>0</v>
      </c>
      <c r="AE16" s="25">
        <v>-11.88</v>
      </c>
      <c r="AF16" s="25">
        <v>-48.61</v>
      </c>
      <c r="AG16" s="25">
        <v>0</v>
      </c>
    </row>
    <row r="17" spans="1:33" ht="15.75" customHeight="1">
      <c r="A17" s="14" t="s">
        <v>40</v>
      </c>
      <c r="B17" s="14" t="s">
        <v>142</v>
      </c>
      <c r="C17" s="15">
        <f t="shared" si="4"/>
        <v>127.21249999999999</v>
      </c>
      <c r="D17" s="16">
        <v>4</v>
      </c>
      <c r="E17" s="16">
        <v>0</v>
      </c>
      <c r="F17" s="17">
        <v>508.84999999999997</v>
      </c>
      <c r="G17" s="29">
        <v>0</v>
      </c>
      <c r="H17" s="18">
        <f t="shared" si="1"/>
        <v>0</v>
      </c>
      <c r="I17" s="18">
        <f t="shared" si="2"/>
        <v>0.36931701276298406</v>
      </c>
      <c r="J17" s="17">
        <f t="shared" si="5"/>
        <v>187.92696194444443</v>
      </c>
      <c r="K17" s="17">
        <f t="shared" si="3"/>
        <v>46.981740486111107</v>
      </c>
      <c r="L17" s="16">
        <v>14</v>
      </c>
      <c r="M17" s="19">
        <f t="shared" si="6"/>
        <v>0.2857142857142857</v>
      </c>
      <c r="N17" s="16">
        <v>2</v>
      </c>
      <c r="O17" s="20">
        <f t="shared" ref="O17:P17" si="25">D17/7</f>
        <v>0.5714285714285714</v>
      </c>
      <c r="P17" s="20">
        <f t="shared" si="25"/>
        <v>0</v>
      </c>
      <c r="Q17" s="16">
        <f t="shared" si="8"/>
        <v>3</v>
      </c>
      <c r="R17" s="16"/>
      <c r="S17" s="21">
        <v>2.45614035087719</v>
      </c>
      <c r="T17" s="14">
        <v>290</v>
      </c>
      <c r="U17" s="22">
        <v>90</v>
      </c>
      <c r="V17" s="23" t="s">
        <v>588</v>
      </c>
      <c r="W17" s="14">
        <v>0</v>
      </c>
      <c r="X17" s="24">
        <f t="shared" si="9"/>
        <v>0</v>
      </c>
      <c r="Y17" s="25">
        <f t="shared" si="10"/>
        <v>0</v>
      </c>
      <c r="Z17" s="14">
        <v>0</v>
      </c>
      <c r="AA17" s="14" t="s">
        <v>35</v>
      </c>
      <c r="AB17" s="27">
        <f t="shared" si="11"/>
        <v>-0.69</v>
      </c>
      <c r="AC17" s="28">
        <v>0.4774525462962963</v>
      </c>
      <c r="AD17" s="25">
        <f t="shared" si="12"/>
        <v>-2.6355380555555552</v>
      </c>
      <c r="AE17" s="25">
        <v>-11.88</v>
      </c>
      <c r="AF17" s="25">
        <v>-48.61</v>
      </c>
      <c r="AG17" s="25">
        <v>0</v>
      </c>
    </row>
    <row r="18" spans="1:33" ht="15.75" customHeight="1">
      <c r="A18" s="14" t="s">
        <v>42</v>
      </c>
      <c r="B18" s="14" t="s">
        <v>142</v>
      </c>
      <c r="C18" s="15" t="str">
        <f t="shared" si="4"/>
        <v xml:space="preserve"> - </v>
      </c>
      <c r="D18" s="16">
        <v>0</v>
      </c>
      <c r="E18" s="16">
        <v>0</v>
      </c>
      <c r="F18" s="17">
        <v>0</v>
      </c>
      <c r="G18" s="29">
        <v>0</v>
      </c>
      <c r="H18" s="18" t="e">
        <f t="shared" si="1"/>
        <v>#DIV/0!</v>
      </c>
      <c r="I18" s="18" t="e">
        <f t="shared" si="2"/>
        <v>#DIV/0!</v>
      </c>
      <c r="J18" s="17">
        <f t="shared" si="5"/>
        <v>0</v>
      </c>
      <c r="K18" s="17" t="e">
        <f t="shared" si="3"/>
        <v>#DIV/0!</v>
      </c>
      <c r="L18" s="16">
        <v>0</v>
      </c>
      <c r="M18" s="19" t="str">
        <f t="shared" si="6"/>
        <v>-</v>
      </c>
      <c r="N18" s="16">
        <v>1</v>
      </c>
      <c r="O18" s="20">
        <f t="shared" ref="O18:P18" si="26">D18/7</f>
        <v>0</v>
      </c>
      <c r="P18" s="20">
        <f t="shared" si="26"/>
        <v>0</v>
      </c>
      <c r="Q18" s="16" t="e">
        <f t="shared" si="8"/>
        <v>#DIV/0!</v>
      </c>
      <c r="R18" s="16"/>
      <c r="S18" s="21">
        <v>3.12</v>
      </c>
      <c r="T18" s="14">
        <v>290</v>
      </c>
      <c r="U18" s="22">
        <v>0</v>
      </c>
      <c r="V18" s="23" t="s">
        <v>590</v>
      </c>
      <c r="W18" s="14">
        <v>0</v>
      </c>
      <c r="X18" s="24">
        <f t="shared" si="9"/>
        <v>0</v>
      </c>
      <c r="Y18" s="25">
        <f t="shared" si="10"/>
        <v>0</v>
      </c>
      <c r="Z18" s="14">
        <v>0</v>
      </c>
      <c r="AA18" s="14" t="s">
        <v>35</v>
      </c>
      <c r="AB18" s="27">
        <f t="shared" si="11"/>
        <v>-0.69</v>
      </c>
      <c r="AC18" s="28">
        <v>0.4774525462962963</v>
      </c>
      <c r="AD18" s="25">
        <f t="shared" si="12"/>
        <v>0</v>
      </c>
      <c r="AE18" s="25">
        <v>-11.88</v>
      </c>
      <c r="AF18" s="25">
        <v>-48.61</v>
      </c>
      <c r="AG18" s="25">
        <v>0</v>
      </c>
    </row>
    <row r="19" spans="1:33" ht="15.75" customHeight="1">
      <c r="A19" s="14" t="s">
        <v>44</v>
      </c>
      <c r="B19" s="14" t="s">
        <v>591</v>
      </c>
      <c r="C19" s="15">
        <f t="shared" si="4"/>
        <v>126.95</v>
      </c>
      <c r="D19" s="16">
        <v>3</v>
      </c>
      <c r="E19" s="16">
        <v>0</v>
      </c>
      <c r="F19" s="17">
        <v>380.85</v>
      </c>
      <c r="G19" s="29">
        <v>0</v>
      </c>
      <c r="H19" s="18">
        <f t="shared" si="1"/>
        <v>0</v>
      </c>
      <c r="I19" s="18">
        <f t="shared" si="2"/>
        <v>0.35058381635377012</v>
      </c>
      <c r="J19" s="17">
        <f t="shared" si="5"/>
        <v>133.51984645833335</v>
      </c>
      <c r="K19" s="17">
        <f t="shared" si="3"/>
        <v>44.506615486111116</v>
      </c>
      <c r="L19" s="16">
        <v>25</v>
      </c>
      <c r="M19" s="19">
        <f t="shared" si="6"/>
        <v>0.12</v>
      </c>
      <c r="N19" s="16">
        <v>89</v>
      </c>
      <c r="O19" s="20">
        <f t="shared" ref="O19:P19" si="27">D19/7</f>
        <v>0.42857142857142855</v>
      </c>
      <c r="P19" s="20">
        <f t="shared" si="27"/>
        <v>0</v>
      </c>
      <c r="Q19" s="16">
        <f t="shared" si="8"/>
        <v>207</v>
      </c>
      <c r="R19" s="16"/>
      <c r="S19" s="21">
        <v>1.16417910447761</v>
      </c>
      <c r="T19" s="14">
        <v>200</v>
      </c>
      <c r="U19" s="22" t="s">
        <v>34</v>
      </c>
      <c r="V19" s="23" t="s">
        <v>34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14" t="s">
        <v>35</v>
      </c>
      <c r="AB19" s="27">
        <f t="shared" si="11"/>
        <v>-0.69</v>
      </c>
      <c r="AC19" s="28">
        <v>0.4774525462962963</v>
      </c>
      <c r="AD19" s="25">
        <f t="shared" si="12"/>
        <v>-1.9766535416666664</v>
      </c>
      <c r="AE19" s="25">
        <v>-11.88</v>
      </c>
      <c r="AF19" s="25">
        <v>-50.862000000000002</v>
      </c>
      <c r="AG19" s="25">
        <v>0</v>
      </c>
    </row>
    <row r="20" spans="1:33" ht="15.75" customHeight="1">
      <c r="A20" s="14" t="s">
        <v>46</v>
      </c>
      <c r="B20" s="14" t="s">
        <v>592</v>
      </c>
      <c r="C20" s="15">
        <f t="shared" si="4"/>
        <v>126.95</v>
      </c>
      <c r="D20" s="16">
        <v>1</v>
      </c>
      <c r="E20" s="16">
        <v>0</v>
      </c>
      <c r="F20" s="17">
        <v>126.95</v>
      </c>
      <c r="G20" s="29">
        <v>0</v>
      </c>
      <c r="H20" s="18">
        <f t="shared" si="1"/>
        <v>0</v>
      </c>
      <c r="I20" s="18">
        <f t="shared" si="2"/>
        <v>0.35058381635377006</v>
      </c>
      <c r="J20" s="17">
        <f t="shared" si="5"/>
        <v>44.506615486111109</v>
      </c>
      <c r="K20" s="17">
        <f t="shared" si="3"/>
        <v>44.506615486111109</v>
      </c>
      <c r="L20" s="16">
        <v>34</v>
      </c>
      <c r="M20" s="19">
        <f t="shared" si="6"/>
        <v>2.9411764705882353E-2</v>
      </c>
      <c r="N20" s="16">
        <v>87</v>
      </c>
      <c r="O20" s="20">
        <f t="shared" ref="O20:P20" si="28">D20/7</f>
        <v>0.14285714285714285</v>
      </c>
      <c r="P20" s="20">
        <f t="shared" si="28"/>
        <v>0</v>
      </c>
      <c r="Q20" s="16">
        <f t="shared" si="8"/>
        <v>609</v>
      </c>
      <c r="R20" s="16"/>
      <c r="S20" s="21">
        <v>1.1025641025641</v>
      </c>
      <c r="T20" s="14">
        <v>200</v>
      </c>
      <c r="U20" s="22" t="s">
        <v>34</v>
      </c>
      <c r="V20" s="23" t="s">
        <v>34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14" t="s">
        <v>35</v>
      </c>
      <c r="AB20" s="27">
        <f t="shared" si="11"/>
        <v>-0.69</v>
      </c>
      <c r="AC20" s="28">
        <v>0.4774525462962963</v>
      </c>
      <c r="AD20" s="25">
        <f t="shared" si="12"/>
        <v>-0.6588845138888888</v>
      </c>
      <c r="AE20" s="25">
        <v>-11.88</v>
      </c>
      <c r="AF20" s="25">
        <v>-50.862000000000002</v>
      </c>
      <c r="AG20" s="25">
        <v>0</v>
      </c>
    </row>
    <row r="21" spans="1:33" ht="15.75" customHeight="1">
      <c r="A21" s="14" t="s">
        <v>47</v>
      </c>
      <c r="B21" s="14" t="s">
        <v>593</v>
      </c>
      <c r="C21" s="15">
        <f t="shared" si="4"/>
        <v>100.97749999999998</v>
      </c>
      <c r="D21" s="16">
        <v>12</v>
      </c>
      <c r="E21" s="16">
        <v>0</v>
      </c>
      <c r="F21" s="17">
        <v>1211.7299999999998</v>
      </c>
      <c r="G21" s="29">
        <v>0</v>
      </c>
      <c r="H21" s="18">
        <f t="shared" si="1"/>
        <v>0</v>
      </c>
      <c r="I21" s="18">
        <f t="shared" si="2"/>
        <v>0.22212859781744551</v>
      </c>
      <c r="J21" s="17">
        <f t="shared" si="5"/>
        <v>269.15988583333319</v>
      </c>
      <c r="K21" s="17">
        <f t="shared" si="3"/>
        <v>22.429990486111098</v>
      </c>
      <c r="L21" s="16">
        <v>25</v>
      </c>
      <c r="M21" s="19">
        <f t="shared" si="6"/>
        <v>0.48</v>
      </c>
      <c r="N21" s="16">
        <v>74</v>
      </c>
      <c r="O21" s="20">
        <f t="shared" ref="O21:P21" si="29">D21/7</f>
        <v>1.7142857142857142</v>
      </c>
      <c r="P21" s="20">
        <f t="shared" si="29"/>
        <v>0</v>
      </c>
      <c r="Q21" s="16">
        <f t="shared" si="8"/>
        <v>43</v>
      </c>
      <c r="R21" s="16"/>
      <c r="S21" s="21">
        <v>1.29411764705882</v>
      </c>
      <c r="T21" s="14">
        <v>200</v>
      </c>
      <c r="U21" s="22" t="s">
        <v>34</v>
      </c>
      <c r="V21" s="23" t="s">
        <v>34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14" t="s">
        <v>35</v>
      </c>
      <c r="AB21" s="27">
        <f t="shared" si="11"/>
        <v>-0.69</v>
      </c>
      <c r="AC21" s="28">
        <v>0.4774525462962963</v>
      </c>
      <c r="AD21" s="25">
        <f t="shared" si="12"/>
        <v>-7.9066141666666656</v>
      </c>
      <c r="AE21" s="25">
        <v>-11.88</v>
      </c>
      <c r="AF21" s="25">
        <v>-50.862000000000002</v>
      </c>
      <c r="AG21" s="25">
        <v>0</v>
      </c>
    </row>
    <row r="22" spans="1:33" ht="15.75" customHeight="1">
      <c r="A22" s="14" t="s">
        <v>48</v>
      </c>
      <c r="B22" s="14" t="s">
        <v>594</v>
      </c>
      <c r="C22" s="15">
        <f t="shared" si="4"/>
        <v>101.59909090909092</v>
      </c>
      <c r="D22" s="16">
        <v>11</v>
      </c>
      <c r="E22" s="16">
        <v>0</v>
      </c>
      <c r="F22" s="29">
        <v>1117.5900000000001</v>
      </c>
      <c r="G22" s="29">
        <v>0</v>
      </c>
      <c r="H22" s="18">
        <f t="shared" si="1"/>
        <v>0</v>
      </c>
      <c r="I22" s="18">
        <f t="shared" si="2"/>
        <v>0.22596996246138776</v>
      </c>
      <c r="J22" s="17">
        <f t="shared" si="5"/>
        <v>252.54177034722238</v>
      </c>
      <c r="K22" s="17">
        <f t="shared" si="3"/>
        <v>22.958342758838398</v>
      </c>
      <c r="L22" s="16">
        <v>34</v>
      </c>
      <c r="M22" s="19">
        <f t="shared" si="6"/>
        <v>0.3235294117647059</v>
      </c>
      <c r="N22" s="16">
        <v>64</v>
      </c>
      <c r="O22" s="20">
        <f t="shared" ref="O22:P22" si="30">D22/7</f>
        <v>1.5714285714285714</v>
      </c>
      <c r="P22" s="20">
        <f t="shared" si="30"/>
        <v>0</v>
      </c>
      <c r="Q22" s="16">
        <f t="shared" si="8"/>
        <v>40</v>
      </c>
      <c r="R22" s="16"/>
      <c r="S22" s="21">
        <v>2.05217391304347</v>
      </c>
      <c r="T22" s="14">
        <v>290</v>
      </c>
      <c r="U22" s="22">
        <v>90</v>
      </c>
      <c r="V22" s="23" t="s">
        <v>595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35</v>
      </c>
      <c r="AB22" s="27">
        <f t="shared" si="11"/>
        <v>-0.69</v>
      </c>
      <c r="AC22" s="28">
        <v>0.4774525462962963</v>
      </c>
      <c r="AD22" s="25">
        <f t="shared" si="12"/>
        <v>-7.2477296527777764</v>
      </c>
      <c r="AE22" s="25">
        <v>-11.88</v>
      </c>
      <c r="AF22" s="25">
        <v>-50.862000000000002</v>
      </c>
      <c r="AG22" s="25">
        <v>0</v>
      </c>
    </row>
    <row r="23" spans="1:33" ht="15.75" customHeight="1">
      <c r="A23" s="14" t="s">
        <v>49</v>
      </c>
      <c r="B23" s="14" t="s">
        <v>596</v>
      </c>
      <c r="C23" s="15">
        <f t="shared" si="4"/>
        <v>107.94200000000001</v>
      </c>
      <c r="D23" s="16">
        <v>5</v>
      </c>
      <c r="E23" s="16">
        <v>1</v>
      </c>
      <c r="F23" s="17">
        <v>539.71</v>
      </c>
      <c r="G23" s="29">
        <v>0</v>
      </c>
      <c r="H23" s="18">
        <f t="shared" si="1"/>
        <v>0</v>
      </c>
      <c r="I23" s="18">
        <f t="shared" si="2"/>
        <v>0.26263933859027178</v>
      </c>
      <c r="J23" s="17">
        <f t="shared" si="5"/>
        <v>141.74907743055559</v>
      </c>
      <c r="K23" s="17">
        <f t="shared" si="3"/>
        <v>28.349815486111119</v>
      </c>
      <c r="L23" s="16">
        <v>42</v>
      </c>
      <c r="M23" s="19">
        <f t="shared" si="6"/>
        <v>0.11904761904761904</v>
      </c>
      <c r="N23" s="16">
        <v>58</v>
      </c>
      <c r="O23" s="20">
        <f t="shared" ref="O23:P23" si="31">D23/7</f>
        <v>0.7142857142857143</v>
      </c>
      <c r="P23" s="20">
        <f t="shared" si="31"/>
        <v>0.14285714285714285</v>
      </c>
      <c r="Q23" s="16">
        <f t="shared" si="8"/>
        <v>67</v>
      </c>
      <c r="R23" s="16"/>
      <c r="S23" s="21">
        <v>2.19819819819819</v>
      </c>
      <c r="T23" s="14">
        <v>200</v>
      </c>
      <c r="U23" s="22">
        <v>90</v>
      </c>
      <c r="V23" s="23" t="s">
        <v>595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35</v>
      </c>
      <c r="AB23" s="27">
        <f t="shared" si="11"/>
        <v>-0.69</v>
      </c>
      <c r="AC23" s="28">
        <v>0.4774525462962963</v>
      </c>
      <c r="AD23" s="25">
        <f t="shared" si="12"/>
        <v>-3.294422569444444</v>
      </c>
      <c r="AE23" s="25">
        <v>-11.88</v>
      </c>
      <c r="AF23" s="25">
        <v>-50.862000000000002</v>
      </c>
      <c r="AG23" s="25">
        <v>0</v>
      </c>
    </row>
    <row r="24" spans="1:33" ht="15.75" customHeight="1">
      <c r="A24" s="14" t="s">
        <v>50</v>
      </c>
      <c r="B24" s="14" t="s">
        <v>597</v>
      </c>
      <c r="C24" s="15">
        <f t="shared" si="4"/>
        <v>108.17111111111113</v>
      </c>
      <c r="D24" s="16">
        <v>9</v>
      </c>
      <c r="E24" s="16">
        <v>0</v>
      </c>
      <c r="F24" s="17">
        <v>973.54000000000019</v>
      </c>
      <c r="G24" s="17">
        <v>0</v>
      </c>
      <c r="H24" s="18">
        <f t="shared" si="1"/>
        <v>0</v>
      </c>
      <c r="I24" s="18">
        <f t="shared" si="2"/>
        <v>0.26388339397970301</v>
      </c>
      <c r="J24" s="17">
        <f t="shared" si="5"/>
        <v>256.9010393750001</v>
      </c>
      <c r="K24" s="17">
        <f t="shared" si="3"/>
        <v>28.544559930555565</v>
      </c>
      <c r="L24" s="16">
        <v>38</v>
      </c>
      <c r="M24" s="19">
        <f t="shared" si="6"/>
        <v>0.23684210526315788</v>
      </c>
      <c r="N24" s="16">
        <v>52</v>
      </c>
      <c r="O24" s="20">
        <f t="shared" ref="O24:P24" si="32">D24/7</f>
        <v>1.2857142857142858</v>
      </c>
      <c r="P24" s="20">
        <f t="shared" si="32"/>
        <v>0</v>
      </c>
      <c r="Q24" s="16">
        <f t="shared" si="8"/>
        <v>40</v>
      </c>
      <c r="R24" s="16"/>
      <c r="S24" s="21">
        <v>1.3257142857142801</v>
      </c>
      <c r="T24" s="14">
        <v>200</v>
      </c>
      <c r="U24" s="22">
        <v>90</v>
      </c>
      <c r="V24" s="23" t="s">
        <v>595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14" t="s">
        <v>35</v>
      </c>
      <c r="AB24" s="27">
        <f t="shared" si="11"/>
        <v>-0.69</v>
      </c>
      <c r="AC24" s="28">
        <v>0.4774525462962963</v>
      </c>
      <c r="AD24" s="25">
        <f t="shared" si="12"/>
        <v>-5.9299606249999997</v>
      </c>
      <c r="AE24" s="25">
        <v>-11.88</v>
      </c>
      <c r="AF24" s="25">
        <v>-50.862000000000002</v>
      </c>
      <c r="AG24" s="25">
        <v>0</v>
      </c>
    </row>
    <row r="25" spans="1:33" ht="15.75" customHeight="1">
      <c r="A25" s="14" t="s">
        <v>51</v>
      </c>
      <c r="B25" s="14" t="s">
        <v>598</v>
      </c>
      <c r="C25" s="15">
        <f t="shared" si="4"/>
        <v>109.73285714285714</v>
      </c>
      <c r="D25" s="16">
        <v>14</v>
      </c>
      <c r="E25" s="16">
        <v>0</v>
      </c>
      <c r="F25" s="17">
        <v>1536.26</v>
      </c>
      <c r="G25" s="17">
        <v>0</v>
      </c>
      <c r="H25" s="18">
        <f t="shared" si="1"/>
        <v>0</v>
      </c>
      <c r="I25" s="18">
        <f t="shared" si="2"/>
        <v>0.27224338120211128</v>
      </c>
      <c r="J25" s="17">
        <f t="shared" si="5"/>
        <v>418.23661680555546</v>
      </c>
      <c r="K25" s="17">
        <f t="shared" si="3"/>
        <v>29.874044057539674</v>
      </c>
      <c r="L25" s="16">
        <v>60</v>
      </c>
      <c r="M25" s="19">
        <f t="shared" si="6"/>
        <v>0.23333333333333334</v>
      </c>
      <c r="N25" s="16">
        <v>33</v>
      </c>
      <c r="O25" s="20">
        <f t="shared" ref="O25:P25" si="33">D25/7</f>
        <v>2</v>
      </c>
      <c r="P25" s="20">
        <f t="shared" si="33"/>
        <v>0</v>
      </c>
      <c r="Q25" s="16">
        <f t="shared" si="8"/>
        <v>16</v>
      </c>
      <c r="R25" s="16"/>
      <c r="S25" s="21">
        <v>1.802816901408451</v>
      </c>
      <c r="T25" s="14">
        <v>200</v>
      </c>
      <c r="U25" s="22">
        <v>90</v>
      </c>
      <c r="V25" s="23" t="s">
        <v>595</v>
      </c>
      <c r="W25" s="30">
        <v>0</v>
      </c>
      <c r="X25" s="24">
        <f t="shared" si="9"/>
        <v>0</v>
      </c>
      <c r="Y25" s="25">
        <f t="shared" si="10"/>
        <v>0</v>
      </c>
      <c r="Z25" s="30">
        <v>0</v>
      </c>
      <c r="AA25" s="14" t="s">
        <v>35</v>
      </c>
      <c r="AB25" s="27">
        <f t="shared" si="11"/>
        <v>-0.69</v>
      </c>
      <c r="AC25" s="28">
        <v>0.4774525462962963</v>
      </c>
      <c r="AD25" s="25">
        <f t="shared" si="12"/>
        <v>-9.2243831944444423</v>
      </c>
      <c r="AE25" s="25">
        <v>-11.88</v>
      </c>
      <c r="AF25" s="25">
        <v>-50.86</v>
      </c>
      <c r="AG25" s="25">
        <v>0</v>
      </c>
    </row>
    <row r="26" spans="1:33" ht="15.75" customHeight="1">
      <c r="A26" s="14" t="s">
        <v>52</v>
      </c>
      <c r="B26" s="14" t="s">
        <v>585</v>
      </c>
      <c r="C26" s="15">
        <f t="shared" si="4"/>
        <v>114.46</v>
      </c>
      <c r="D26" s="16">
        <v>16</v>
      </c>
      <c r="E26" s="16">
        <v>0</v>
      </c>
      <c r="F26" s="17">
        <v>1831.36</v>
      </c>
      <c r="G26" s="17">
        <v>0</v>
      </c>
      <c r="H26" s="18">
        <f t="shared" si="1"/>
        <v>0</v>
      </c>
      <c r="I26" s="18">
        <f t="shared" si="2"/>
        <v>0.30569732208728911</v>
      </c>
      <c r="J26" s="17">
        <f t="shared" si="5"/>
        <v>559.84184777777773</v>
      </c>
      <c r="K26" s="17">
        <f t="shared" si="3"/>
        <v>34.990115486111108</v>
      </c>
      <c r="L26" s="16">
        <v>48</v>
      </c>
      <c r="M26" s="19">
        <f t="shared" si="6"/>
        <v>0.33333333333333331</v>
      </c>
      <c r="N26" s="16">
        <v>22</v>
      </c>
      <c r="O26" s="20">
        <f t="shared" ref="O26:P26" si="34">D26/7</f>
        <v>2.2857142857142856</v>
      </c>
      <c r="P26" s="20">
        <f t="shared" si="34"/>
        <v>0</v>
      </c>
      <c r="Q26" s="16">
        <f t="shared" si="8"/>
        <v>9</v>
      </c>
      <c r="R26" s="16"/>
      <c r="S26" s="21">
        <v>2.386554621848739</v>
      </c>
      <c r="T26" s="14">
        <v>200</v>
      </c>
      <c r="U26" s="22">
        <v>90</v>
      </c>
      <c r="V26" s="23" t="s">
        <v>595</v>
      </c>
      <c r="W26" s="30">
        <v>0</v>
      </c>
      <c r="X26" s="24">
        <f t="shared" si="9"/>
        <v>0</v>
      </c>
      <c r="Y26" s="25">
        <f t="shared" si="10"/>
        <v>0</v>
      </c>
      <c r="Z26" s="30">
        <v>0</v>
      </c>
      <c r="AA26" s="14" t="s">
        <v>35</v>
      </c>
      <c r="AB26" s="27">
        <f t="shared" si="11"/>
        <v>-0.69</v>
      </c>
      <c r="AC26" s="28">
        <v>0.4774525462962963</v>
      </c>
      <c r="AD26" s="25">
        <f t="shared" si="12"/>
        <v>-10.542152222222221</v>
      </c>
      <c r="AE26" s="25">
        <v>-10.78</v>
      </c>
      <c r="AF26" s="25">
        <v>-50.862000000000002</v>
      </c>
      <c r="AG26" s="25">
        <v>0</v>
      </c>
    </row>
    <row r="27" spans="1:33" ht="15.75" customHeight="1">
      <c r="A27" s="14" t="s">
        <v>53</v>
      </c>
      <c r="B27" s="14" t="s">
        <v>68</v>
      </c>
      <c r="C27" s="15">
        <f t="shared" si="4"/>
        <v>124.426</v>
      </c>
      <c r="D27" s="16">
        <v>5</v>
      </c>
      <c r="E27" s="16">
        <v>0</v>
      </c>
      <c r="F27" s="17">
        <v>622.13</v>
      </c>
      <c r="G27" s="17">
        <v>0</v>
      </c>
      <c r="H27" s="18">
        <f t="shared" si="1"/>
        <v>0</v>
      </c>
      <c r="I27" s="18">
        <f t="shared" si="2"/>
        <v>0.30760625179714124</v>
      </c>
      <c r="J27" s="17">
        <f t="shared" si="5"/>
        <v>191.37107743055549</v>
      </c>
      <c r="K27" s="17">
        <f t="shared" si="3"/>
        <v>38.274215486111096</v>
      </c>
      <c r="L27" s="16">
        <v>21</v>
      </c>
      <c r="M27" s="19">
        <f t="shared" si="6"/>
        <v>0.23809523809523808</v>
      </c>
      <c r="N27" s="16">
        <v>14</v>
      </c>
      <c r="O27" s="20">
        <f t="shared" ref="O27:P27" si="35">D27/7</f>
        <v>0.7142857142857143</v>
      </c>
      <c r="P27" s="20">
        <f t="shared" si="35"/>
        <v>0</v>
      </c>
      <c r="Q27" s="16">
        <f t="shared" si="8"/>
        <v>19</v>
      </c>
      <c r="R27" s="16"/>
      <c r="S27" s="21">
        <v>3.698924731182796</v>
      </c>
      <c r="T27" s="14">
        <v>200</v>
      </c>
      <c r="U27" s="22">
        <v>90</v>
      </c>
      <c r="V27" s="23" t="s">
        <v>599</v>
      </c>
      <c r="W27" s="30">
        <v>0</v>
      </c>
      <c r="X27" s="24">
        <f t="shared" si="9"/>
        <v>0</v>
      </c>
      <c r="Y27" s="25">
        <f t="shared" si="10"/>
        <v>0</v>
      </c>
      <c r="Z27" s="30">
        <v>0</v>
      </c>
      <c r="AA27" s="14" t="s">
        <v>35</v>
      </c>
      <c r="AB27" s="27">
        <f t="shared" si="11"/>
        <v>-0.69</v>
      </c>
      <c r="AC27" s="28">
        <v>0.4774525462962963</v>
      </c>
      <c r="AD27" s="25">
        <f t="shared" si="12"/>
        <v>-3.294422569444444</v>
      </c>
      <c r="AE27" s="25">
        <v>-10.78</v>
      </c>
      <c r="AF27" s="25">
        <v>-56.048999999999999</v>
      </c>
      <c r="AG27" s="25">
        <v>0</v>
      </c>
    </row>
    <row r="28" spans="1:33" ht="15.75" customHeight="1">
      <c r="A28" s="14" t="s">
        <v>54</v>
      </c>
      <c r="B28" s="14" t="s">
        <v>68</v>
      </c>
      <c r="C28" s="15">
        <f t="shared" si="4"/>
        <v>130.446</v>
      </c>
      <c r="D28" s="16">
        <v>5</v>
      </c>
      <c r="E28" s="16">
        <v>0</v>
      </c>
      <c r="F28" s="17">
        <v>652.23</v>
      </c>
      <c r="G28" s="17">
        <v>0</v>
      </c>
      <c r="H28" s="18">
        <f t="shared" si="1"/>
        <v>0</v>
      </c>
      <c r="I28" s="18">
        <f t="shared" si="2"/>
        <v>0.3326373785789607</v>
      </c>
      <c r="J28" s="17">
        <f t="shared" si="5"/>
        <v>216.95607743055552</v>
      </c>
      <c r="K28" s="17">
        <f t="shared" si="3"/>
        <v>43.391215486111108</v>
      </c>
      <c r="L28" s="16">
        <v>39</v>
      </c>
      <c r="M28" s="19">
        <f t="shared" si="6"/>
        <v>0.12820512820512819</v>
      </c>
      <c r="N28" s="16">
        <v>11</v>
      </c>
      <c r="O28" s="20">
        <f t="shared" ref="O28:P28" si="36">D28/7</f>
        <v>0.7142857142857143</v>
      </c>
      <c r="P28" s="20">
        <f t="shared" si="36"/>
        <v>0</v>
      </c>
      <c r="Q28" s="16">
        <f t="shared" si="8"/>
        <v>15</v>
      </c>
      <c r="R28" s="16"/>
      <c r="S28" s="21">
        <v>2.0118343195266268</v>
      </c>
      <c r="T28" s="14">
        <v>200</v>
      </c>
      <c r="U28" s="22">
        <v>44384</v>
      </c>
      <c r="V28" s="23" t="s">
        <v>599</v>
      </c>
      <c r="W28" s="30">
        <v>0</v>
      </c>
      <c r="X28" s="24">
        <f t="shared" si="9"/>
        <v>0</v>
      </c>
      <c r="Y28" s="25">
        <f t="shared" si="10"/>
        <v>0</v>
      </c>
      <c r="Z28" s="30">
        <v>0</v>
      </c>
      <c r="AA28" s="14" t="s">
        <v>35</v>
      </c>
      <c r="AB28" s="27">
        <f t="shared" si="11"/>
        <v>-0.69</v>
      </c>
      <c r="AC28" s="28">
        <v>0.4774525462962963</v>
      </c>
      <c r="AD28" s="25">
        <f t="shared" si="12"/>
        <v>-3.294422569444444</v>
      </c>
      <c r="AE28" s="25">
        <v>-10.78</v>
      </c>
      <c r="AF28" s="25">
        <v>-56.048999999999999</v>
      </c>
      <c r="AG28" s="25">
        <v>0</v>
      </c>
    </row>
    <row r="29" spans="1:33" ht="15.75" customHeight="1">
      <c r="A29" s="14" t="s">
        <v>55</v>
      </c>
      <c r="B29" s="14" t="s">
        <v>45</v>
      </c>
      <c r="C29" s="15">
        <f t="shared" si="4"/>
        <v>129.94999999999999</v>
      </c>
      <c r="D29" s="16">
        <v>5</v>
      </c>
      <c r="E29" s="16">
        <v>0</v>
      </c>
      <c r="F29" s="17">
        <v>649.75</v>
      </c>
      <c r="G29" s="17">
        <v>0</v>
      </c>
      <c r="H29" s="18">
        <f t="shared" si="1"/>
        <v>0</v>
      </c>
      <c r="I29" s="18">
        <f t="shared" si="2"/>
        <v>0.33066268169381391</v>
      </c>
      <c r="J29" s="17">
        <f t="shared" si="5"/>
        <v>214.84807743055558</v>
      </c>
      <c r="K29" s="17">
        <f t="shared" si="3"/>
        <v>42.969615486111117</v>
      </c>
      <c r="L29" s="16">
        <v>49</v>
      </c>
      <c r="M29" s="19">
        <f t="shared" si="6"/>
        <v>0.10204081632653061</v>
      </c>
      <c r="N29" s="16">
        <v>10</v>
      </c>
      <c r="O29" s="20">
        <f t="shared" ref="O29:P29" si="37">D29/7</f>
        <v>0.7142857142857143</v>
      </c>
      <c r="P29" s="20">
        <f t="shared" si="37"/>
        <v>0</v>
      </c>
      <c r="Q29" s="16">
        <f t="shared" si="8"/>
        <v>14</v>
      </c>
      <c r="R29" s="16"/>
      <c r="S29" s="21">
        <v>2.3157894736842111</v>
      </c>
      <c r="T29" s="14">
        <v>250</v>
      </c>
      <c r="U29" s="22">
        <v>44386</v>
      </c>
      <c r="V29" s="23" t="s">
        <v>600</v>
      </c>
      <c r="W29" s="30">
        <v>0</v>
      </c>
      <c r="X29" s="24">
        <f t="shared" si="9"/>
        <v>0</v>
      </c>
      <c r="Y29" s="25">
        <f t="shared" si="10"/>
        <v>0</v>
      </c>
      <c r="Z29" s="30">
        <v>0</v>
      </c>
      <c r="AA29" s="14" t="s">
        <v>35</v>
      </c>
      <c r="AB29" s="27">
        <f t="shared" si="11"/>
        <v>-0.69</v>
      </c>
      <c r="AC29" s="28">
        <v>0.4774525462962963</v>
      </c>
      <c r="AD29" s="25">
        <f t="shared" si="12"/>
        <v>-3.294422569444444</v>
      </c>
      <c r="AE29" s="25">
        <v>-10.78</v>
      </c>
      <c r="AF29" s="25">
        <v>-56.048999999999999</v>
      </c>
      <c r="AG29" s="25">
        <v>0</v>
      </c>
    </row>
    <row r="30" spans="1:33" ht="15.75" customHeight="1">
      <c r="A30" s="14" t="s">
        <v>57</v>
      </c>
      <c r="B30" s="14" t="s">
        <v>45</v>
      </c>
      <c r="C30" s="15">
        <f t="shared" si="4"/>
        <v>130.27000000000001</v>
      </c>
      <c r="D30" s="16">
        <v>6</v>
      </c>
      <c r="E30" s="16">
        <v>0</v>
      </c>
      <c r="F30" s="17">
        <v>781.62000000000012</v>
      </c>
      <c r="G30" s="17">
        <v>0</v>
      </c>
      <c r="H30" s="18">
        <f t="shared" si="1"/>
        <v>0</v>
      </c>
      <c r="I30" s="18">
        <f t="shared" si="2"/>
        <v>0.34519120703240275</v>
      </c>
      <c r="J30" s="17">
        <f t="shared" si="5"/>
        <v>269.8083512406667</v>
      </c>
      <c r="K30" s="17">
        <f t="shared" si="3"/>
        <v>44.968058540111116</v>
      </c>
      <c r="L30" s="16">
        <v>37</v>
      </c>
      <c r="M30" s="19">
        <f t="shared" si="6"/>
        <v>0.16216216216216217</v>
      </c>
      <c r="N30" s="16">
        <v>3</v>
      </c>
      <c r="O30" s="20">
        <f t="shared" ref="O30:P30" si="38">D30/7</f>
        <v>0.8571428571428571</v>
      </c>
      <c r="P30" s="20">
        <f t="shared" si="38"/>
        <v>0</v>
      </c>
      <c r="Q30" s="16">
        <f t="shared" si="8"/>
        <v>3</v>
      </c>
      <c r="R30" s="16"/>
      <c r="S30" s="21">
        <v>2.9375</v>
      </c>
      <c r="T30" s="14">
        <v>110</v>
      </c>
      <c r="U30" s="22">
        <v>50</v>
      </c>
      <c r="V30" s="23" t="s">
        <v>601</v>
      </c>
      <c r="W30" s="30">
        <v>0</v>
      </c>
      <c r="X30" s="24">
        <f t="shared" si="9"/>
        <v>0</v>
      </c>
      <c r="Y30" s="25">
        <f t="shared" si="10"/>
        <v>0</v>
      </c>
      <c r="Z30" s="30">
        <v>0</v>
      </c>
      <c r="AA30" s="14" t="s">
        <v>35</v>
      </c>
      <c r="AB30" s="27">
        <f t="shared" si="11"/>
        <v>-0.69</v>
      </c>
      <c r="AC30" s="28">
        <v>0.4774525462962963</v>
      </c>
      <c r="AD30" s="25">
        <f t="shared" si="12"/>
        <v>-3.9533070833333328</v>
      </c>
      <c r="AE30" s="25">
        <v>-10.78</v>
      </c>
      <c r="AF30" s="25">
        <v>-54.322556945999999</v>
      </c>
      <c r="AG30" s="25">
        <v>0</v>
      </c>
    </row>
    <row r="31" spans="1:33" ht="15.75" customHeight="1">
      <c r="A31" s="14" t="s">
        <v>58</v>
      </c>
      <c r="B31" s="14" t="s">
        <v>602</v>
      </c>
      <c r="C31" s="15">
        <f t="shared" si="4"/>
        <v>129.94999999999999</v>
      </c>
      <c r="D31" s="16">
        <v>1</v>
      </c>
      <c r="E31" s="16">
        <v>0</v>
      </c>
      <c r="F31" s="17">
        <v>129.94999999999999</v>
      </c>
      <c r="G31" s="17">
        <v>0</v>
      </c>
      <c r="H31" s="18">
        <f t="shared" si="1"/>
        <v>0</v>
      </c>
      <c r="I31" s="18">
        <f t="shared" si="2"/>
        <v>0.3439481226634174</v>
      </c>
      <c r="J31" s="17">
        <f t="shared" si="5"/>
        <v>44.696058540111089</v>
      </c>
      <c r="K31" s="17">
        <f t="shared" si="3"/>
        <v>44.696058540111089</v>
      </c>
      <c r="L31" s="16">
        <v>35</v>
      </c>
      <c r="M31" s="19">
        <f t="shared" si="6"/>
        <v>2.8571428571428571E-2</v>
      </c>
      <c r="N31" s="16">
        <v>2</v>
      </c>
      <c r="O31" s="20">
        <f t="shared" ref="O31:P31" si="39">D31/7</f>
        <v>0.14285714285714285</v>
      </c>
      <c r="P31" s="20">
        <f t="shared" si="39"/>
        <v>0</v>
      </c>
      <c r="Q31" s="16">
        <f t="shared" si="8"/>
        <v>14</v>
      </c>
      <c r="R31" s="16"/>
      <c r="S31" s="21">
        <v>4.1348314606741496</v>
      </c>
      <c r="T31" s="14">
        <v>60</v>
      </c>
      <c r="U31" s="22" t="s">
        <v>34</v>
      </c>
      <c r="V31" s="23" t="s">
        <v>70</v>
      </c>
      <c r="W31" s="30">
        <v>0</v>
      </c>
      <c r="X31" s="24">
        <f t="shared" si="9"/>
        <v>0</v>
      </c>
      <c r="Y31" s="25">
        <f t="shared" si="10"/>
        <v>0</v>
      </c>
      <c r="Z31" s="30">
        <v>0</v>
      </c>
      <c r="AA31" s="14" t="s">
        <v>35</v>
      </c>
      <c r="AB31" s="27">
        <f t="shared" si="11"/>
        <v>-0.69</v>
      </c>
      <c r="AC31" s="28">
        <v>0.4774525462962963</v>
      </c>
      <c r="AD31" s="25">
        <f t="shared" si="12"/>
        <v>-0.6588845138888888</v>
      </c>
      <c r="AE31" s="25">
        <v>-10.78</v>
      </c>
      <c r="AF31" s="25">
        <v>-54.322556946000006</v>
      </c>
      <c r="AG31" s="25">
        <v>0</v>
      </c>
    </row>
    <row r="32" spans="1:33" ht="15.75" customHeight="1">
      <c r="A32" s="14" t="s">
        <v>60</v>
      </c>
      <c r="B32" s="14"/>
      <c r="C32" s="15">
        <f t="shared" si="4"/>
        <v>129.94999999999999</v>
      </c>
      <c r="D32" s="16">
        <v>1</v>
      </c>
      <c r="E32" s="16">
        <v>0</v>
      </c>
      <c r="F32" s="17">
        <v>129.94999999999999</v>
      </c>
      <c r="G32" s="17">
        <v>0</v>
      </c>
      <c r="H32" s="18">
        <f t="shared" si="1"/>
        <v>0</v>
      </c>
      <c r="I32" s="18">
        <f t="shared" si="2"/>
        <v>0.34394812266341745</v>
      </c>
      <c r="J32" s="17">
        <f t="shared" si="5"/>
        <v>44.696058540111096</v>
      </c>
      <c r="K32" s="17">
        <f t="shared" si="3"/>
        <v>44.696058540111096</v>
      </c>
      <c r="L32" s="16">
        <v>7</v>
      </c>
      <c r="M32" s="19">
        <f t="shared" si="6"/>
        <v>0.14285714285714285</v>
      </c>
      <c r="N32" s="16">
        <v>1</v>
      </c>
      <c r="O32" s="20">
        <f t="shared" ref="O32:P32" si="40">D32/7</f>
        <v>0.14285714285714285</v>
      </c>
      <c r="P32" s="20">
        <f t="shared" si="40"/>
        <v>0</v>
      </c>
      <c r="Q32" s="16">
        <f t="shared" si="8"/>
        <v>7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0</v>
      </c>
      <c r="T32" s="14">
        <f ca="1">IFERROR(__xludf.DUMMYFUNCTION("IFERROR(VLOOKUP($B$2,IMPORTRANGE(""https://docs.google.com/spreadsheets/d/1KiWZV1ko8G7lnRucBRBd29jj3Be6ltMfljMDqzOkQmI/edit#gid=1381463014"",""Lookup!A:D""),4,FALSE),"""")"),60)</f>
        <v>60</v>
      </c>
      <c r="U32" s="22">
        <f ca="1">IFERROR(__xludf.DUMMYFUNCTION("IFERROR(VLOOKUP($B$2,IMPORTRANGE(""https://docs.google.com/spreadsheets/d/1KiWZV1ko8G7lnRucBRBd29jj3Be6ltMfljMDqzOkQmI/edit#gid=1381463014"",""Lookup!A:D""),3,FALSE),"""")"),50)</f>
        <v>50</v>
      </c>
      <c r="V32" s="23" t="str">
        <f ca="1">IFERROR(__xludf.DUMMYFUNCTION("IFERROR(VLOOKUP($B$2,IMPORTRANGE(""https://docs.google.com/spreadsheets/d/1KiWZV1ko8G7lnRucBRBd29jj3Be6ltMfljMDqzOkQmI/edit#gid=1381463014"",""Lookup!A:D""),2,FALSE),"""")"),"| 418  - 50 units 09/03")</f>
        <v>| 418  - 50 units 09/03</v>
      </c>
      <c r="W32" s="30">
        <v>0</v>
      </c>
      <c r="X32" s="24">
        <f t="shared" si="9"/>
        <v>0</v>
      </c>
      <c r="Y32" s="25">
        <f t="shared" si="10"/>
        <v>0</v>
      </c>
      <c r="Z32" s="30">
        <v>0</v>
      </c>
      <c r="AA32" s="14" t="s">
        <v>35</v>
      </c>
      <c r="AB32" s="27">
        <f t="shared" si="11"/>
        <v>-0.69</v>
      </c>
      <c r="AC32" s="28">
        <v>0.4774525462962963</v>
      </c>
      <c r="AD32" s="25">
        <f t="shared" si="12"/>
        <v>-0.6588845138888888</v>
      </c>
      <c r="AE32" s="25">
        <v>-10.78</v>
      </c>
      <c r="AF32" s="25">
        <v>-54.322556945999999</v>
      </c>
      <c r="AG32" s="25">
        <v>0</v>
      </c>
    </row>
    <row r="33" spans="1:33" ht="15.75" customHeight="1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16"/>
      <c r="S33" s="21"/>
      <c r="T33" s="31"/>
      <c r="U33" s="36"/>
      <c r="V33" s="1"/>
      <c r="W33" s="31"/>
      <c r="X33" s="31"/>
      <c r="Y33" s="31"/>
      <c r="Z33" s="31"/>
      <c r="AA33" s="2"/>
      <c r="AB33" s="31"/>
      <c r="AC33" s="31"/>
      <c r="AD33" s="31"/>
      <c r="AE33" s="37"/>
      <c r="AF33" s="37"/>
      <c r="AG33" s="37"/>
    </row>
    <row r="34" spans="1:33" ht="15.75" customHeight="1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6"/>
      <c r="V34" s="1"/>
      <c r="W34" s="31"/>
      <c r="X34" s="31"/>
      <c r="Y34" s="31"/>
      <c r="Z34" s="31"/>
      <c r="AA34" s="2"/>
      <c r="AB34" s="31"/>
      <c r="AC34" s="31"/>
      <c r="AD34" s="31"/>
      <c r="AE34" s="37"/>
      <c r="AF34" s="37"/>
      <c r="AG34" s="37"/>
    </row>
    <row r="35" spans="1:33" ht="15.75" customHeight="1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6"/>
      <c r="V35" s="1"/>
      <c r="W35" s="31"/>
      <c r="X35" s="31"/>
      <c r="Y35" s="31"/>
      <c r="Z35" s="31"/>
      <c r="AA35" s="2"/>
      <c r="AB35" s="31"/>
      <c r="AC35" s="31"/>
      <c r="AD35" s="31"/>
      <c r="AE35" s="37"/>
      <c r="AF35" s="37"/>
      <c r="AG35" s="37"/>
    </row>
    <row r="36" spans="1:33" ht="15.75" customHeight="1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6"/>
      <c r="V36" s="1"/>
      <c r="W36" s="31"/>
      <c r="X36" s="31"/>
      <c r="Y36" s="31"/>
      <c r="Z36" s="31"/>
      <c r="AA36" s="2"/>
      <c r="AB36" s="31"/>
      <c r="AC36" s="31"/>
      <c r="AD36" s="31"/>
      <c r="AE36" s="37"/>
      <c r="AF36" s="37"/>
      <c r="AG36" s="37"/>
    </row>
    <row r="37" spans="1:33" ht="15.75" customHeight="1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6"/>
      <c r="V37" s="1"/>
      <c r="W37" s="31"/>
      <c r="X37" s="31"/>
      <c r="Y37" s="31"/>
      <c r="Z37" s="31"/>
      <c r="AA37" s="2"/>
      <c r="AB37" s="31"/>
      <c r="AC37" s="31"/>
      <c r="AD37" s="31"/>
      <c r="AE37" s="37"/>
      <c r="AF37" s="37"/>
      <c r="AG37" s="37"/>
    </row>
    <row r="38" spans="1:33" ht="15.75" customHeight="1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6"/>
      <c r="V38" s="1"/>
      <c r="W38" s="31"/>
      <c r="X38" s="31"/>
      <c r="Y38" s="31"/>
      <c r="Z38" s="31"/>
      <c r="AA38" s="2"/>
      <c r="AB38" s="31"/>
      <c r="AC38" s="31"/>
      <c r="AD38" s="31"/>
      <c r="AE38" s="37"/>
      <c r="AF38" s="37"/>
      <c r="AG38" s="37"/>
    </row>
    <row r="39" spans="1:33" ht="15.75" customHeight="1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6"/>
      <c r="V39" s="1"/>
      <c r="W39" s="31"/>
      <c r="X39" s="31"/>
      <c r="Y39" s="31"/>
      <c r="Z39" s="31"/>
      <c r="AA39" s="2"/>
      <c r="AB39" s="31"/>
      <c r="AC39" s="31"/>
      <c r="AD39" s="31"/>
      <c r="AE39" s="37"/>
      <c r="AF39" s="37"/>
      <c r="AG39" s="37"/>
    </row>
    <row r="40" spans="1:33" ht="15.75" customHeight="1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6"/>
      <c r="V40" s="1"/>
      <c r="W40" s="31"/>
      <c r="X40" s="31"/>
      <c r="Y40" s="31"/>
      <c r="Z40" s="31"/>
      <c r="AA40" s="2"/>
      <c r="AB40" s="31"/>
      <c r="AC40" s="31"/>
      <c r="AD40" s="31"/>
      <c r="AE40" s="37"/>
      <c r="AF40" s="37"/>
      <c r="AG40" s="37"/>
    </row>
    <row r="41" spans="1:33" ht="15.75" customHeight="1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6"/>
      <c r="V41" s="1"/>
      <c r="W41" s="31"/>
      <c r="X41" s="31"/>
      <c r="Y41" s="31"/>
      <c r="Z41" s="31"/>
      <c r="AA41" s="2"/>
      <c r="AB41" s="31"/>
      <c r="AC41" s="31"/>
      <c r="AD41" s="31"/>
      <c r="AE41" s="37"/>
      <c r="AF41" s="37"/>
      <c r="AG41" s="37"/>
    </row>
    <row r="42" spans="1:33" ht="15.75" customHeight="1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6"/>
      <c r="V42" s="1"/>
      <c r="W42" s="31"/>
      <c r="X42" s="31"/>
      <c r="Y42" s="31"/>
      <c r="Z42" s="31"/>
      <c r="AA42" s="2"/>
      <c r="AB42" s="31"/>
      <c r="AC42" s="31"/>
      <c r="AD42" s="31"/>
      <c r="AE42" s="37"/>
      <c r="AF42" s="37"/>
      <c r="AG42" s="37"/>
    </row>
    <row r="43" spans="1:33" ht="15.75" customHeight="1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6"/>
      <c r="V43" s="1"/>
      <c r="W43" s="31"/>
      <c r="X43" s="31"/>
      <c r="Y43" s="31"/>
      <c r="Z43" s="31"/>
      <c r="AA43" s="2"/>
      <c r="AB43" s="31"/>
      <c r="AC43" s="31"/>
      <c r="AD43" s="31"/>
      <c r="AE43" s="37"/>
      <c r="AF43" s="37"/>
      <c r="AG43" s="37"/>
    </row>
    <row r="44" spans="1:33" ht="15.75" customHeight="1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6"/>
      <c r="V44" s="1"/>
      <c r="W44" s="31"/>
      <c r="X44" s="31"/>
      <c r="Y44" s="31"/>
      <c r="Z44" s="31"/>
      <c r="AA44" s="2"/>
      <c r="AB44" s="31"/>
      <c r="AC44" s="31"/>
      <c r="AD44" s="31"/>
      <c r="AE44" s="37"/>
      <c r="AF44" s="37"/>
      <c r="AG44" s="37"/>
    </row>
    <row r="45" spans="1:33" ht="15.75" customHeight="1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6"/>
      <c r="V45" s="1"/>
      <c r="W45" s="31"/>
      <c r="X45" s="31"/>
      <c r="Y45" s="31"/>
      <c r="Z45" s="31"/>
      <c r="AA45" s="2"/>
      <c r="AB45" s="31"/>
      <c r="AC45" s="31"/>
      <c r="AD45" s="31"/>
      <c r="AE45" s="37"/>
      <c r="AF45" s="37"/>
      <c r="AG45" s="37"/>
    </row>
    <row r="46" spans="1:33" ht="15.75" customHeight="1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6"/>
      <c r="V46" s="1"/>
      <c r="W46" s="31"/>
      <c r="X46" s="31"/>
      <c r="Y46" s="31"/>
      <c r="Z46" s="31"/>
      <c r="AA46" s="2"/>
      <c r="AB46" s="31"/>
      <c r="AC46" s="31"/>
      <c r="AD46" s="31"/>
      <c r="AE46" s="37"/>
      <c r="AF46" s="37"/>
      <c r="AG46" s="37"/>
    </row>
    <row r="47" spans="1:33" ht="15.75" customHeight="1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6"/>
      <c r="V47" s="1"/>
      <c r="W47" s="31"/>
      <c r="X47" s="31"/>
      <c r="Y47" s="31"/>
      <c r="Z47" s="31"/>
      <c r="AA47" s="2"/>
      <c r="AB47" s="31"/>
      <c r="AC47" s="31"/>
      <c r="AD47" s="31"/>
      <c r="AE47" s="37"/>
      <c r="AF47" s="37"/>
      <c r="AG47" s="37"/>
    </row>
    <row r="48" spans="1:33" ht="15.75" customHeight="1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6"/>
      <c r="V48" s="1"/>
      <c r="W48" s="31"/>
      <c r="X48" s="31"/>
      <c r="Y48" s="31"/>
      <c r="Z48" s="31"/>
      <c r="AA48" s="2"/>
      <c r="AB48" s="31"/>
      <c r="AC48" s="31"/>
      <c r="AD48" s="31"/>
      <c r="AE48" s="37"/>
      <c r="AF48" s="37"/>
      <c r="AG48" s="37"/>
    </row>
    <row r="49" spans="1:33" ht="15.75" customHeight="1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6"/>
      <c r="V49" s="1"/>
      <c r="W49" s="31"/>
      <c r="X49" s="31"/>
      <c r="Y49" s="31"/>
      <c r="Z49" s="31"/>
      <c r="AA49" s="2"/>
      <c r="AB49" s="31"/>
      <c r="AC49" s="31"/>
      <c r="AD49" s="31"/>
      <c r="AE49" s="37"/>
      <c r="AF49" s="37"/>
      <c r="AG49" s="37"/>
    </row>
    <row r="50" spans="1:33" ht="15.75" customHeight="1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6"/>
      <c r="V50" s="1"/>
      <c r="W50" s="31"/>
      <c r="X50" s="31"/>
      <c r="Y50" s="31"/>
      <c r="Z50" s="31"/>
      <c r="AA50" s="2"/>
      <c r="AB50" s="31"/>
      <c r="AC50" s="31"/>
      <c r="AD50" s="31"/>
      <c r="AE50" s="37"/>
      <c r="AF50" s="37"/>
      <c r="AG50" s="37"/>
    </row>
    <row r="51" spans="1:33" ht="15.75" customHeight="1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6"/>
      <c r="V51" s="1"/>
      <c r="W51" s="31"/>
      <c r="X51" s="31"/>
      <c r="Y51" s="31"/>
      <c r="Z51" s="31"/>
      <c r="AA51" s="2"/>
      <c r="AB51" s="31"/>
      <c r="AC51" s="31"/>
      <c r="AD51" s="31"/>
      <c r="AE51" s="37"/>
      <c r="AF51" s="37"/>
      <c r="AG51" s="37"/>
    </row>
    <row r="52" spans="1:33" ht="15.75" customHeight="1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6"/>
      <c r="V52" s="1"/>
      <c r="W52" s="31"/>
      <c r="X52" s="31"/>
      <c r="Y52" s="31"/>
      <c r="Z52" s="31"/>
      <c r="AA52" s="2"/>
      <c r="AB52" s="31"/>
      <c r="AC52" s="31"/>
      <c r="AD52" s="31"/>
      <c r="AE52" s="37"/>
      <c r="AF52" s="37"/>
      <c r="AG52" s="37"/>
    </row>
    <row r="53" spans="1:33" ht="15.75" customHeight="1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6"/>
      <c r="V53" s="1"/>
      <c r="W53" s="31"/>
      <c r="X53" s="31"/>
      <c r="Y53" s="31"/>
      <c r="Z53" s="31"/>
      <c r="AA53" s="2"/>
      <c r="AB53" s="31"/>
      <c r="AC53" s="31"/>
      <c r="AD53" s="31"/>
      <c r="AE53" s="37"/>
      <c r="AF53" s="37"/>
      <c r="AG53" s="37"/>
    </row>
    <row r="54" spans="1:33" ht="15.75" customHeight="1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6"/>
      <c r="V54" s="1"/>
      <c r="W54" s="31"/>
      <c r="X54" s="31"/>
      <c r="Y54" s="31"/>
      <c r="Z54" s="31"/>
      <c r="AA54" s="2"/>
      <c r="AB54" s="31"/>
      <c r="AC54" s="31"/>
      <c r="AD54" s="31"/>
      <c r="AE54" s="37"/>
      <c r="AF54" s="37"/>
      <c r="AG54" s="37"/>
    </row>
    <row r="55" spans="1:33" ht="15.75" customHeight="1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6"/>
      <c r="V55" s="1"/>
      <c r="W55" s="31"/>
      <c r="X55" s="31"/>
      <c r="Y55" s="31"/>
      <c r="Z55" s="31"/>
      <c r="AA55" s="2"/>
      <c r="AB55" s="31"/>
      <c r="AC55" s="31"/>
      <c r="AD55" s="31"/>
      <c r="AE55" s="37"/>
      <c r="AF55" s="37"/>
      <c r="AG55" s="37"/>
    </row>
    <row r="56" spans="1:33" ht="15.75" customHeight="1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6"/>
      <c r="V56" s="1"/>
      <c r="W56" s="31"/>
      <c r="X56" s="31"/>
      <c r="Y56" s="31"/>
      <c r="Z56" s="31"/>
      <c r="AA56" s="2"/>
      <c r="AB56" s="31"/>
      <c r="AC56" s="31"/>
      <c r="AD56" s="31"/>
      <c r="AE56" s="37"/>
      <c r="AF56" s="37"/>
      <c r="AG56" s="37"/>
    </row>
    <row r="57" spans="1:33" ht="15.75" customHeight="1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6"/>
      <c r="V57" s="1"/>
      <c r="W57" s="31"/>
      <c r="X57" s="31"/>
      <c r="Y57" s="31"/>
      <c r="Z57" s="31"/>
      <c r="AA57" s="2"/>
      <c r="AB57" s="31"/>
      <c r="AC57" s="31"/>
      <c r="AD57" s="31"/>
      <c r="AE57" s="37"/>
      <c r="AF57" s="37"/>
      <c r="AG57" s="37"/>
    </row>
    <row r="58" spans="1:33" ht="15.75" customHeight="1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6"/>
      <c r="V58" s="1"/>
      <c r="W58" s="31"/>
      <c r="X58" s="31"/>
      <c r="Y58" s="31"/>
      <c r="Z58" s="31"/>
      <c r="AA58" s="2"/>
      <c r="AB58" s="31"/>
      <c r="AC58" s="31"/>
      <c r="AD58" s="31"/>
      <c r="AE58" s="37"/>
      <c r="AF58" s="37"/>
      <c r="AG58" s="37"/>
    </row>
    <row r="59" spans="1:33" ht="15.75" customHeight="1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6"/>
      <c r="V59" s="1"/>
      <c r="W59" s="31"/>
      <c r="X59" s="31"/>
      <c r="Y59" s="31"/>
      <c r="Z59" s="31"/>
      <c r="AA59" s="2"/>
      <c r="AB59" s="31"/>
      <c r="AC59" s="31"/>
      <c r="AD59" s="31"/>
      <c r="AE59" s="37"/>
      <c r="AF59" s="37"/>
      <c r="AG59" s="37"/>
    </row>
    <row r="60" spans="1:33" ht="15.75" customHeight="1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6"/>
      <c r="V60" s="1"/>
      <c r="W60" s="31"/>
      <c r="X60" s="31"/>
      <c r="Y60" s="31"/>
      <c r="Z60" s="31"/>
      <c r="AA60" s="2"/>
      <c r="AB60" s="31"/>
      <c r="AC60" s="31"/>
      <c r="AD60" s="31"/>
      <c r="AE60" s="37"/>
      <c r="AF60" s="37"/>
      <c r="AG60" s="37"/>
    </row>
    <row r="61" spans="1:33" ht="15.75" customHeight="1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6"/>
      <c r="V61" s="1"/>
      <c r="W61" s="31"/>
      <c r="X61" s="31"/>
      <c r="Y61" s="31"/>
      <c r="Z61" s="31"/>
      <c r="AA61" s="2"/>
      <c r="AB61" s="31"/>
      <c r="AC61" s="31"/>
      <c r="AD61" s="31"/>
      <c r="AE61" s="37"/>
      <c r="AF61" s="37"/>
      <c r="AG61" s="37"/>
    </row>
    <row r="62" spans="1:33" ht="15.75" customHeight="1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6"/>
      <c r="V62" s="1"/>
      <c r="W62" s="31"/>
      <c r="X62" s="31"/>
      <c r="Y62" s="31"/>
      <c r="Z62" s="31"/>
      <c r="AA62" s="2"/>
      <c r="AB62" s="31"/>
      <c r="AC62" s="31"/>
      <c r="AD62" s="31"/>
      <c r="AE62" s="37"/>
      <c r="AF62" s="37"/>
      <c r="AG62" s="37"/>
    </row>
    <row r="63" spans="1:33" ht="15.75" customHeight="1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6"/>
      <c r="V63" s="1"/>
      <c r="W63" s="31"/>
      <c r="X63" s="31"/>
      <c r="Y63" s="31"/>
      <c r="Z63" s="31"/>
      <c r="AA63" s="2"/>
      <c r="AB63" s="31"/>
      <c r="AC63" s="31"/>
      <c r="AD63" s="31"/>
      <c r="AE63" s="37"/>
      <c r="AF63" s="37"/>
      <c r="AG63" s="37"/>
    </row>
    <row r="64" spans="1:33" ht="15.75" customHeight="1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6"/>
      <c r="V64" s="1"/>
      <c r="W64" s="31"/>
      <c r="X64" s="31"/>
      <c r="Y64" s="31"/>
      <c r="Z64" s="31"/>
      <c r="AA64" s="2"/>
      <c r="AB64" s="31"/>
      <c r="AC64" s="31"/>
      <c r="AD64" s="31"/>
      <c r="AE64" s="37"/>
      <c r="AF64" s="37"/>
      <c r="AG64" s="37"/>
    </row>
    <row r="65" spans="1:33" ht="15.75" customHeight="1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6"/>
      <c r="V65" s="1"/>
      <c r="W65" s="31"/>
      <c r="X65" s="31"/>
      <c r="Y65" s="31"/>
      <c r="Z65" s="31"/>
      <c r="AA65" s="2"/>
      <c r="AB65" s="31"/>
      <c r="AC65" s="31"/>
      <c r="AD65" s="31"/>
      <c r="AE65" s="37"/>
      <c r="AF65" s="37"/>
      <c r="AG65" s="37"/>
    </row>
    <row r="66" spans="1:33" ht="15.75" customHeight="1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6"/>
      <c r="V66" s="1"/>
      <c r="W66" s="31"/>
      <c r="X66" s="31"/>
      <c r="Y66" s="31"/>
      <c r="Z66" s="31"/>
      <c r="AA66" s="2"/>
      <c r="AB66" s="31"/>
      <c r="AC66" s="31"/>
      <c r="AD66" s="31"/>
      <c r="AE66" s="37"/>
      <c r="AF66" s="37"/>
      <c r="AG66" s="37"/>
    </row>
    <row r="67" spans="1:33" ht="15.75" customHeight="1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6"/>
      <c r="V67" s="1"/>
      <c r="W67" s="31"/>
      <c r="X67" s="31"/>
      <c r="Y67" s="31"/>
      <c r="Z67" s="31"/>
      <c r="AA67" s="2"/>
      <c r="AB67" s="31"/>
      <c r="AC67" s="31"/>
      <c r="AD67" s="31"/>
      <c r="AE67" s="37"/>
      <c r="AF67" s="37"/>
      <c r="AG67" s="37"/>
    </row>
    <row r="68" spans="1:33" ht="15.75" customHeight="1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6"/>
      <c r="V68" s="1"/>
      <c r="W68" s="31"/>
      <c r="X68" s="31"/>
      <c r="Y68" s="31"/>
      <c r="Z68" s="31"/>
      <c r="AA68" s="2"/>
      <c r="AB68" s="31"/>
      <c r="AC68" s="31"/>
      <c r="AD68" s="31"/>
      <c r="AE68" s="37"/>
      <c r="AF68" s="37"/>
      <c r="AG68" s="37"/>
    </row>
    <row r="69" spans="1:33" ht="15.75" customHeight="1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6"/>
      <c r="V69" s="1"/>
      <c r="W69" s="31"/>
      <c r="X69" s="31"/>
      <c r="Y69" s="31"/>
      <c r="Z69" s="31"/>
      <c r="AA69" s="2"/>
      <c r="AB69" s="31"/>
      <c r="AC69" s="31"/>
      <c r="AD69" s="31"/>
      <c r="AE69" s="37"/>
      <c r="AF69" s="37"/>
      <c r="AG69" s="37"/>
    </row>
    <row r="70" spans="1:33" ht="15.75" customHeight="1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6"/>
      <c r="V70" s="1"/>
      <c r="W70" s="31"/>
      <c r="X70" s="31"/>
      <c r="Y70" s="31"/>
      <c r="Z70" s="31"/>
      <c r="AA70" s="2"/>
      <c r="AB70" s="31"/>
      <c r="AC70" s="31"/>
      <c r="AD70" s="31"/>
      <c r="AE70" s="37"/>
      <c r="AF70" s="37"/>
      <c r="AG70" s="37"/>
    </row>
    <row r="71" spans="1:33" ht="15.75" customHeight="1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6"/>
      <c r="V71" s="1"/>
      <c r="W71" s="31"/>
      <c r="X71" s="31"/>
      <c r="Y71" s="31"/>
      <c r="Z71" s="31"/>
      <c r="AA71" s="2"/>
      <c r="AB71" s="31"/>
      <c r="AC71" s="31"/>
      <c r="AD71" s="31"/>
      <c r="AE71" s="37"/>
      <c r="AF71" s="37"/>
      <c r="AG71" s="37"/>
    </row>
    <row r="72" spans="1:33" ht="15.75" customHeight="1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6"/>
      <c r="V72" s="1"/>
      <c r="W72" s="31"/>
      <c r="X72" s="31"/>
      <c r="Y72" s="31"/>
      <c r="Z72" s="31"/>
      <c r="AA72" s="2"/>
      <c r="AB72" s="31"/>
      <c r="AC72" s="31"/>
      <c r="AD72" s="31"/>
      <c r="AE72" s="37"/>
      <c r="AF72" s="37"/>
      <c r="AG72" s="37"/>
    </row>
    <row r="73" spans="1:33" ht="15.75" customHeight="1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6"/>
      <c r="V73" s="1"/>
      <c r="W73" s="31"/>
      <c r="X73" s="31"/>
      <c r="Y73" s="31"/>
      <c r="Z73" s="31"/>
      <c r="AA73" s="2"/>
      <c r="AB73" s="31"/>
      <c r="AC73" s="31"/>
      <c r="AD73" s="31"/>
      <c r="AE73" s="37"/>
      <c r="AF73" s="37"/>
      <c r="AG73" s="37"/>
    </row>
    <row r="74" spans="1:33" ht="15.75" customHeight="1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6"/>
      <c r="V74" s="1"/>
      <c r="W74" s="31"/>
      <c r="X74" s="31"/>
      <c r="Y74" s="31"/>
      <c r="Z74" s="31"/>
      <c r="AA74" s="2"/>
      <c r="AB74" s="31"/>
      <c r="AC74" s="31"/>
      <c r="AD74" s="31"/>
      <c r="AE74" s="37"/>
      <c r="AF74" s="37"/>
      <c r="AG74" s="37"/>
    </row>
    <row r="75" spans="1:33" ht="15.75" customHeight="1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6"/>
      <c r="V75" s="1"/>
      <c r="W75" s="31"/>
      <c r="X75" s="31"/>
      <c r="Y75" s="31"/>
      <c r="Z75" s="31"/>
      <c r="AA75" s="2"/>
      <c r="AB75" s="31"/>
      <c r="AC75" s="31"/>
      <c r="AD75" s="31"/>
      <c r="AE75" s="37"/>
      <c r="AF75" s="37"/>
      <c r="AG75" s="37"/>
    </row>
    <row r="76" spans="1:33" ht="15.75" customHeight="1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6"/>
      <c r="V76" s="1"/>
      <c r="W76" s="31"/>
      <c r="X76" s="31"/>
      <c r="Y76" s="31"/>
      <c r="Z76" s="31"/>
      <c r="AA76" s="2"/>
      <c r="AB76" s="31"/>
      <c r="AC76" s="31"/>
      <c r="AD76" s="31"/>
      <c r="AE76" s="37"/>
      <c r="AF76" s="37"/>
      <c r="AG76" s="37"/>
    </row>
    <row r="77" spans="1:33" ht="15.75" customHeight="1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6"/>
      <c r="V77" s="1"/>
      <c r="W77" s="31"/>
      <c r="X77" s="31"/>
      <c r="Y77" s="31"/>
      <c r="Z77" s="31"/>
      <c r="AA77" s="2"/>
      <c r="AB77" s="31"/>
      <c r="AC77" s="31"/>
      <c r="AD77" s="31"/>
      <c r="AE77" s="37"/>
      <c r="AF77" s="37"/>
      <c r="AG77" s="37"/>
    </row>
    <row r="78" spans="1:33" ht="15.75" customHeight="1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6"/>
      <c r="V78" s="1"/>
      <c r="W78" s="31"/>
      <c r="X78" s="31"/>
      <c r="Y78" s="31"/>
      <c r="Z78" s="31"/>
      <c r="AA78" s="2"/>
      <c r="AB78" s="31"/>
      <c r="AC78" s="31"/>
      <c r="AD78" s="31"/>
      <c r="AE78" s="37"/>
      <c r="AF78" s="37"/>
      <c r="AG78" s="37"/>
    </row>
    <row r="79" spans="1:33" ht="15.75" customHeight="1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6"/>
      <c r="V79" s="1"/>
      <c r="W79" s="31"/>
      <c r="X79" s="31"/>
      <c r="Y79" s="31"/>
      <c r="Z79" s="31"/>
      <c r="AA79" s="2"/>
      <c r="AB79" s="31"/>
      <c r="AC79" s="31"/>
      <c r="AD79" s="31"/>
      <c r="AE79" s="37"/>
      <c r="AF79" s="37"/>
      <c r="AG79" s="37"/>
    </row>
    <row r="80" spans="1:33" ht="15.75" customHeight="1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6"/>
      <c r="V80" s="1"/>
      <c r="W80" s="31"/>
      <c r="X80" s="31"/>
      <c r="Y80" s="31"/>
      <c r="Z80" s="31"/>
      <c r="AA80" s="2"/>
      <c r="AB80" s="31"/>
      <c r="AC80" s="31"/>
      <c r="AD80" s="31"/>
      <c r="AE80" s="37"/>
      <c r="AF80" s="37"/>
      <c r="AG80" s="37"/>
    </row>
    <row r="81" spans="1:33" ht="15.75" customHeight="1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6"/>
      <c r="V81" s="1"/>
      <c r="W81" s="31"/>
      <c r="X81" s="31"/>
      <c r="Y81" s="31"/>
      <c r="Z81" s="31"/>
      <c r="AA81" s="2"/>
      <c r="AB81" s="31"/>
      <c r="AC81" s="31"/>
      <c r="AD81" s="31"/>
      <c r="AE81" s="37"/>
      <c r="AF81" s="37"/>
      <c r="AG81" s="37"/>
    </row>
    <row r="82" spans="1:33" ht="15.75" customHeight="1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6"/>
      <c r="V82" s="1"/>
      <c r="W82" s="31"/>
      <c r="X82" s="31"/>
      <c r="Y82" s="31"/>
      <c r="Z82" s="31"/>
      <c r="AA82" s="2"/>
      <c r="AB82" s="31"/>
      <c r="AC82" s="31"/>
      <c r="AD82" s="31"/>
      <c r="AE82" s="37"/>
      <c r="AF82" s="37"/>
      <c r="AG82" s="37"/>
    </row>
    <row r="83" spans="1:33" ht="15.75" customHeight="1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6"/>
      <c r="V83" s="1"/>
      <c r="W83" s="31"/>
      <c r="X83" s="31"/>
      <c r="Y83" s="31"/>
      <c r="Z83" s="31"/>
      <c r="AA83" s="2"/>
      <c r="AB83" s="31"/>
      <c r="AC83" s="31"/>
      <c r="AD83" s="31"/>
      <c r="AE83" s="37"/>
      <c r="AF83" s="37"/>
      <c r="AG83" s="37"/>
    </row>
    <row r="84" spans="1:33" ht="15.75" customHeight="1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6"/>
      <c r="V84" s="1"/>
      <c r="W84" s="31"/>
      <c r="X84" s="31"/>
      <c r="Y84" s="31"/>
      <c r="Z84" s="31"/>
      <c r="AA84" s="2"/>
      <c r="AB84" s="31"/>
      <c r="AC84" s="31"/>
      <c r="AD84" s="31"/>
      <c r="AE84" s="37"/>
      <c r="AF84" s="37"/>
      <c r="AG84" s="37"/>
    </row>
    <row r="85" spans="1:33" ht="15.75" customHeight="1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6"/>
      <c r="V85" s="1"/>
      <c r="W85" s="31"/>
      <c r="X85" s="31"/>
      <c r="Y85" s="31"/>
      <c r="Z85" s="31"/>
      <c r="AA85" s="2"/>
      <c r="AB85" s="31"/>
      <c r="AC85" s="31"/>
      <c r="AD85" s="31"/>
      <c r="AE85" s="37"/>
      <c r="AF85" s="37"/>
      <c r="AG85" s="37"/>
    </row>
    <row r="86" spans="1:33" ht="15.75" customHeight="1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6"/>
      <c r="V86" s="1"/>
      <c r="W86" s="31"/>
      <c r="X86" s="31"/>
      <c r="Y86" s="31"/>
      <c r="Z86" s="31"/>
      <c r="AA86" s="2"/>
      <c r="AB86" s="31"/>
      <c r="AC86" s="31"/>
      <c r="AD86" s="31"/>
      <c r="AE86" s="37"/>
      <c r="AF86" s="37"/>
      <c r="AG86" s="37"/>
    </row>
    <row r="87" spans="1:33" ht="15.75" customHeight="1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6"/>
      <c r="V87" s="1"/>
      <c r="W87" s="31"/>
      <c r="X87" s="31"/>
      <c r="Y87" s="31"/>
      <c r="Z87" s="31"/>
      <c r="AA87" s="2"/>
      <c r="AB87" s="31"/>
      <c r="AC87" s="31"/>
      <c r="AD87" s="31"/>
      <c r="AE87" s="37"/>
      <c r="AF87" s="37"/>
      <c r="AG87" s="37"/>
    </row>
    <row r="88" spans="1:33" ht="15.75" customHeight="1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6"/>
      <c r="V88" s="1"/>
      <c r="W88" s="31"/>
      <c r="X88" s="31"/>
      <c r="Y88" s="31"/>
      <c r="Z88" s="31"/>
      <c r="AA88" s="2"/>
      <c r="AB88" s="31"/>
      <c r="AC88" s="31"/>
      <c r="AD88" s="31"/>
      <c r="AE88" s="37"/>
      <c r="AF88" s="37"/>
      <c r="AG88" s="37"/>
    </row>
    <row r="89" spans="1:33" ht="15.75" customHeight="1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6"/>
      <c r="V89" s="1"/>
      <c r="W89" s="31"/>
      <c r="X89" s="31"/>
      <c r="Y89" s="31"/>
      <c r="Z89" s="31"/>
      <c r="AA89" s="2"/>
      <c r="AB89" s="31"/>
      <c r="AC89" s="31"/>
      <c r="AD89" s="31"/>
      <c r="AE89" s="37"/>
      <c r="AF89" s="37"/>
      <c r="AG89" s="37"/>
    </row>
    <row r="90" spans="1:33" ht="15.75" customHeight="1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6"/>
      <c r="V90" s="1"/>
      <c r="W90" s="31"/>
      <c r="X90" s="31"/>
      <c r="Y90" s="31"/>
      <c r="Z90" s="31"/>
      <c r="AA90" s="2"/>
      <c r="AB90" s="31"/>
      <c r="AC90" s="31"/>
      <c r="AD90" s="31"/>
      <c r="AE90" s="37"/>
      <c r="AF90" s="37"/>
      <c r="AG90" s="37"/>
    </row>
    <row r="91" spans="1:33" ht="15.75" customHeight="1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6"/>
      <c r="V91" s="1"/>
      <c r="W91" s="31"/>
      <c r="X91" s="31"/>
      <c r="Y91" s="31"/>
      <c r="Z91" s="31"/>
      <c r="AA91" s="2"/>
      <c r="AB91" s="31"/>
      <c r="AC91" s="31"/>
      <c r="AD91" s="31"/>
      <c r="AE91" s="37"/>
      <c r="AF91" s="37"/>
      <c r="AG91" s="37"/>
    </row>
    <row r="92" spans="1:33" ht="15.75" customHeight="1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6"/>
      <c r="V92" s="1"/>
      <c r="W92" s="31"/>
      <c r="X92" s="31"/>
      <c r="Y92" s="31"/>
      <c r="Z92" s="31"/>
      <c r="AA92" s="2"/>
      <c r="AB92" s="31"/>
      <c r="AC92" s="31"/>
      <c r="AD92" s="31"/>
      <c r="AE92" s="37"/>
      <c r="AF92" s="37"/>
      <c r="AG92" s="37"/>
    </row>
    <row r="93" spans="1:33" ht="15.75" customHeight="1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6"/>
      <c r="V93" s="1"/>
      <c r="W93" s="31"/>
      <c r="X93" s="31"/>
      <c r="Y93" s="31"/>
      <c r="Z93" s="31"/>
      <c r="AA93" s="2"/>
      <c r="AB93" s="31"/>
      <c r="AC93" s="31"/>
      <c r="AD93" s="31"/>
      <c r="AE93" s="37"/>
      <c r="AF93" s="37"/>
      <c r="AG93" s="37"/>
    </row>
    <row r="94" spans="1:33" ht="15.75" customHeight="1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6"/>
      <c r="V94" s="1"/>
      <c r="W94" s="31"/>
      <c r="X94" s="31"/>
      <c r="Y94" s="31"/>
      <c r="Z94" s="31"/>
      <c r="AA94" s="2"/>
      <c r="AB94" s="31"/>
      <c r="AC94" s="31"/>
      <c r="AD94" s="31"/>
      <c r="AE94" s="37"/>
      <c r="AF94" s="37"/>
      <c r="AG94" s="37"/>
    </row>
    <row r="95" spans="1:33" ht="15.75" customHeight="1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6"/>
      <c r="V95" s="1"/>
      <c r="W95" s="31"/>
      <c r="X95" s="31"/>
      <c r="Y95" s="31"/>
      <c r="Z95" s="31"/>
      <c r="AA95" s="2"/>
      <c r="AB95" s="31"/>
      <c r="AC95" s="31"/>
      <c r="AD95" s="31"/>
      <c r="AE95" s="37"/>
      <c r="AF95" s="37"/>
      <c r="AG95" s="37"/>
    </row>
    <row r="96" spans="1:33" ht="15.75" customHeight="1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6"/>
      <c r="V96" s="1"/>
      <c r="W96" s="31"/>
      <c r="X96" s="31"/>
      <c r="Y96" s="31"/>
      <c r="Z96" s="31"/>
      <c r="AA96" s="2"/>
      <c r="AB96" s="31"/>
      <c r="AC96" s="31"/>
      <c r="AD96" s="31"/>
      <c r="AE96" s="37"/>
      <c r="AF96" s="37"/>
      <c r="AG96" s="37"/>
    </row>
    <row r="97" spans="1:33" ht="15.75" customHeight="1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8"/>
      <c r="R97" s="38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8"/>
      <c r="R98" s="38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8"/>
      <c r="R99" s="38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8"/>
      <c r="R100" s="38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8"/>
      <c r="R101" s="38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8"/>
      <c r="R102" s="38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8"/>
      <c r="R103" s="38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8"/>
      <c r="R104" s="38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8"/>
      <c r="R105" s="38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8"/>
      <c r="R106" s="38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8"/>
      <c r="R107" s="38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8"/>
      <c r="R108" s="38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8"/>
      <c r="R109" s="38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8"/>
      <c r="R110" s="38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8"/>
      <c r="R111" s="38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8"/>
      <c r="R112" s="38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8"/>
      <c r="R113" s="38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8"/>
      <c r="R114" s="38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>
      <c r="A115" s="31"/>
      <c r="B115" s="31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>
      <c r="A116" s="31"/>
      <c r="B116" s="31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>
      <c r="A117" s="31"/>
      <c r="B117" s="31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>
      <c r="A118" s="31"/>
      <c r="B118" s="31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>
      <c r="A119" s="31"/>
      <c r="B119" s="31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>
      <c r="A120" s="31"/>
      <c r="B120" s="31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>
      <c r="A121" s="31"/>
      <c r="B121" s="31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>
      <c r="A122" s="31"/>
      <c r="B122" s="31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>
      <c r="A123" s="31"/>
      <c r="B123" s="31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>
      <c r="A124" s="31"/>
      <c r="B124" s="31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>
      <c r="A125" s="31"/>
      <c r="B125" s="31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>
      <c r="A126" s="31"/>
      <c r="B126" s="31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>
      <c r="A127" s="31"/>
      <c r="B127" s="31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>
      <c r="A128" s="31"/>
      <c r="B128" s="31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>
      <c r="A129" s="31"/>
      <c r="B129" s="31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>
      <c r="A130" s="31"/>
      <c r="B130" s="31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>
      <c r="A131" s="31"/>
      <c r="B131" s="31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>
      <c r="A132" s="31"/>
      <c r="B132" s="31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>
      <c r="A133" s="31"/>
      <c r="B133" s="31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>
      <c r="A134" s="31"/>
      <c r="B134" s="31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>
      <c r="A135" s="31"/>
      <c r="B135" s="31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>
      <c r="A136" s="31"/>
      <c r="B136" s="31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>
      <c r="A137" s="31"/>
      <c r="B137" s="31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>
      <c r="A138" s="31"/>
      <c r="B138" s="31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>
      <c r="A139" s="31"/>
      <c r="B139" s="31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>
      <c r="A140" s="31"/>
      <c r="B140" s="31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>
      <c r="A141" s="31"/>
      <c r="B141" s="31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2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>
      <c r="A142" s="31"/>
      <c r="B142" s="31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2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>
      <c r="A143" s="31"/>
      <c r="B143" s="31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2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>
      <c r="A144" s="31"/>
      <c r="B144" s="31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2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>
      <c r="A145" s="31"/>
      <c r="B145" s="31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2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>
      <c r="A146" s="31"/>
      <c r="B146" s="31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2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>
      <c r="A147" s="31"/>
      <c r="B147" s="31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2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>
      <c r="A148" s="31"/>
      <c r="B148" s="31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2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</row>
    <row r="149" spans="1:33" ht="15.75" customHeight="1">
      <c r="A149" s="14"/>
      <c r="B149" s="14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>
      <c r="A150" s="14"/>
      <c r="B150" s="14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>
      <c r="A151" s="14"/>
      <c r="B151" s="14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>
      <c r="A152" s="14"/>
      <c r="B152" s="14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>
      <c r="A153" s="14"/>
      <c r="B153" s="14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>
      <c r="A154" s="14"/>
      <c r="B154" s="14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>
      <c r="A155" s="14"/>
      <c r="B155" s="14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>
      <c r="A156" s="14"/>
      <c r="B156" s="14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>
      <c r="A157" s="14"/>
      <c r="B157" s="14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>
      <c r="A158" s="14"/>
      <c r="B158" s="14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>
      <c r="A159" s="14"/>
      <c r="B159" s="14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>
      <c r="A160" s="14"/>
      <c r="B160" s="14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>
      <c r="A161" s="14"/>
      <c r="B161" s="14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>
      <c r="A162" s="14"/>
      <c r="B162" s="14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>
      <c r="A163" s="14"/>
      <c r="B163" s="14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>
      <c r="A164" s="14"/>
      <c r="B164" s="14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>
      <c r="A165" s="14"/>
      <c r="B165" s="14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>
      <c r="A166" s="14"/>
      <c r="B166" s="14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>
      <c r="A167" s="14"/>
      <c r="B167" s="14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>
      <c r="A168" s="14"/>
      <c r="B168" s="14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>
      <c r="A169" s="14"/>
      <c r="B169" s="14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>
      <c r="A170" s="14"/>
      <c r="B170" s="14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>
      <c r="A171" s="14"/>
      <c r="B171" s="14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>
      <c r="A172" s="14"/>
      <c r="B172" s="14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>
      <c r="A173" s="14"/>
      <c r="B173" s="14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>
      <c r="A174" s="14"/>
      <c r="B174" s="14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>
      <c r="A175" s="14"/>
      <c r="B175" s="14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>
      <c r="A176" s="14"/>
      <c r="B176" s="14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>
      <c r="A177" s="14"/>
      <c r="B177" s="14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>
      <c r="A178" s="14"/>
      <c r="B178" s="14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>
      <c r="A179" s="14"/>
      <c r="B179" s="14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>
      <c r="A180" s="14"/>
      <c r="B180" s="14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>
      <c r="A181" s="14"/>
      <c r="B181" s="14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>
      <c r="A182" s="14"/>
      <c r="B182" s="14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>
      <c r="A183" s="14"/>
      <c r="B183" s="14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>
      <c r="A184" s="14"/>
      <c r="B184" s="14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>
      <c r="A185" s="14"/>
      <c r="B185" s="14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>
      <c r="A186" s="14"/>
      <c r="B186" s="14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>
      <c r="A187" s="14"/>
      <c r="B187" s="14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>
      <c r="A188" s="14"/>
      <c r="B188" s="14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>
      <c r="A189" s="14"/>
      <c r="B189" s="14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>
      <c r="A190" s="14"/>
      <c r="B190" s="14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>
      <c r="A191" s="14"/>
      <c r="B191" s="14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>
      <c r="A192" s="14"/>
      <c r="B192" s="14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>
      <c r="A193" s="14"/>
      <c r="B193" s="14"/>
      <c r="C193" s="39"/>
      <c r="D193" s="39"/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>
      <c r="A194" s="14"/>
      <c r="B194" s="14"/>
      <c r="C194" s="39"/>
      <c r="D194" s="39"/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>
      <c r="A195" s="14"/>
      <c r="B195" s="14"/>
      <c r="C195" s="39"/>
      <c r="D195" s="39"/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>
      <c r="A196" s="14"/>
      <c r="B196" s="14"/>
      <c r="C196" s="39"/>
      <c r="D196" s="39"/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>
      <c r="A197" s="14"/>
      <c r="B197" s="14"/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>
      <c r="A198" s="14"/>
      <c r="B198" s="14"/>
      <c r="C198" s="39"/>
      <c r="D198" s="39"/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>
      <c r="A199" s="14"/>
      <c r="B199" s="14"/>
      <c r="C199" s="39"/>
      <c r="D199" s="39"/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>
      <c r="A200" s="14"/>
      <c r="B200" s="14"/>
      <c r="C200" s="39"/>
      <c r="D200" s="39"/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>
      <c r="A201" s="14"/>
      <c r="B201" s="14"/>
      <c r="C201" s="39"/>
      <c r="D201" s="39"/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>
      <c r="A202" s="14"/>
      <c r="B202" s="14"/>
      <c r="C202" s="39"/>
      <c r="D202" s="39"/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>
      <c r="A203" s="14"/>
      <c r="B203" s="14"/>
      <c r="C203" s="39"/>
      <c r="D203" s="39"/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>
      <c r="A204" s="14"/>
      <c r="B204" s="14"/>
      <c r="C204" s="39"/>
      <c r="D204" s="39"/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>
      <c r="A205" s="14"/>
      <c r="B205" s="14"/>
      <c r="C205" s="39"/>
      <c r="D205" s="39"/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>
      <c r="A206" s="14"/>
      <c r="B206" s="14"/>
      <c r="C206" s="39"/>
      <c r="D206" s="39"/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>
      <c r="A207" s="14"/>
      <c r="B207" s="14"/>
      <c r="C207" s="39"/>
      <c r="D207" s="39"/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>
      <c r="A208" s="14"/>
      <c r="B208" s="14"/>
      <c r="C208" s="39"/>
      <c r="D208" s="39"/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>
      <c r="A209" s="14"/>
      <c r="B209" s="14"/>
      <c r="C209" s="39"/>
      <c r="D209" s="39"/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>
      <c r="A210" s="14"/>
      <c r="B210" s="14"/>
      <c r="C210" s="39"/>
      <c r="D210" s="39"/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>
      <c r="A211" s="14"/>
      <c r="B211" s="14"/>
      <c r="C211" s="39"/>
      <c r="D211" s="39"/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>
      <c r="A212" s="14"/>
      <c r="B212" s="14"/>
      <c r="C212" s="39"/>
      <c r="D212" s="39"/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>
      <c r="A213" s="14"/>
      <c r="B213" s="14"/>
      <c r="C213" s="39"/>
      <c r="D213" s="39"/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>
      <c r="A214" s="14"/>
      <c r="B214" s="14"/>
      <c r="C214" s="39"/>
      <c r="D214" s="39"/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>
      <c r="A215" s="14"/>
      <c r="B215" s="14"/>
      <c r="C215" s="39"/>
      <c r="D215" s="39"/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>
      <c r="A216" s="14"/>
      <c r="B216" s="14"/>
      <c r="C216" s="39"/>
      <c r="D216" s="39"/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>
      <c r="A217" s="14"/>
      <c r="B217" s="14"/>
      <c r="C217" s="39"/>
      <c r="D217" s="39"/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>
      <c r="A218" s="14"/>
      <c r="B218" s="14"/>
      <c r="C218" s="39"/>
      <c r="D218" s="39"/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>
      <c r="A219" s="14"/>
      <c r="B219" s="14"/>
      <c r="C219" s="39"/>
      <c r="D219" s="39"/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>
      <c r="A220" s="14"/>
      <c r="B220" s="14"/>
      <c r="C220" s="39"/>
      <c r="D220" s="39"/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>
      <c r="R221" s="30"/>
      <c r="S221" s="40"/>
    </row>
    <row r="222" spans="1:33" ht="15.75" customHeight="1">
      <c r="R222" s="30"/>
      <c r="S222" s="40"/>
    </row>
    <row r="223" spans="1:33" ht="15.75" customHeight="1">
      <c r="R223" s="30"/>
      <c r="S223" s="40"/>
    </row>
    <row r="224" spans="1:33" ht="15.75" customHeight="1">
      <c r="R224" s="30"/>
      <c r="S224" s="40"/>
    </row>
    <row r="225" spans="18:18" ht="15.75" customHeight="1">
      <c r="R225" s="30"/>
    </row>
    <row r="226" spans="18:18" ht="15.75" customHeight="1">
      <c r="R226" s="30"/>
    </row>
    <row r="227" spans="18:18" ht="15.75" customHeight="1">
      <c r="R227" s="30"/>
    </row>
    <row r="228" spans="18:18" ht="15.75" customHeight="1">
      <c r="R228" s="30"/>
    </row>
    <row r="229" spans="18:18" ht="15.75" customHeight="1">
      <c r="R229" s="30"/>
    </row>
    <row r="230" spans="18:18" ht="15.75" customHeight="1">
      <c r="R230" s="30"/>
    </row>
    <row r="231" spans="18:18" ht="15.75" customHeight="1">
      <c r="R231" s="30"/>
    </row>
    <row r="232" spans="18:18" ht="15.75" customHeight="1">
      <c r="R232" s="30"/>
    </row>
    <row r="233" spans="18:18" ht="15.75" customHeight="1">
      <c r="R233" s="30"/>
    </row>
    <row r="234" spans="18:18" ht="15.75" customHeight="1">
      <c r="R234" s="30"/>
    </row>
    <row r="235" spans="18:18" ht="15.75" customHeight="1">
      <c r="R235" s="30"/>
    </row>
    <row r="236" spans="18:18" ht="15.75" customHeight="1">
      <c r="R236" s="30"/>
    </row>
    <row r="237" spans="18:18" ht="15.75" customHeight="1">
      <c r="R237" s="30"/>
    </row>
    <row r="238" spans="18:18" ht="15.75" customHeight="1">
      <c r="R238" s="30"/>
    </row>
    <row r="239" spans="18:18" ht="15.75" customHeight="1">
      <c r="R239" s="30"/>
    </row>
    <row r="240" spans="18:18" ht="15.75" customHeight="1">
      <c r="R240" s="30"/>
    </row>
    <row r="241" spans="18:18" ht="15.75" customHeight="1">
      <c r="R241" s="30"/>
    </row>
    <row r="242" spans="18:18" ht="15.75" customHeight="1">
      <c r="R242" s="30"/>
    </row>
    <row r="243" spans="18:18" ht="15.75" customHeight="1">
      <c r="R243" s="30"/>
    </row>
    <row r="244" spans="18:18" ht="15.75" customHeight="1">
      <c r="R244" s="30"/>
    </row>
    <row r="245" spans="18:18" ht="15.75" customHeight="1">
      <c r="R245" s="30"/>
    </row>
    <row r="246" spans="18:18" ht="15.75" customHeight="1">
      <c r="R246" s="30"/>
    </row>
    <row r="247" spans="18:18" ht="15.75" customHeight="1">
      <c r="R247" s="30"/>
    </row>
    <row r="248" spans="18:18" ht="15.75" customHeight="1">
      <c r="R248" s="30"/>
    </row>
    <row r="249" spans="18:18" ht="15.75" customHeight="1">
      <c r="R249" s="30"/>
    </row>
    <row r="250" spans="18:18" ht="15.75" customHeight="1">
      <c r="R250" s="30"/>
    </row>
    <row r="251" spans="18:18" ht="15.75" customHeight="1">
      <c r="R251" s="30"/>
    </row>
    <row r="252" spans="18:18" ht="15.75" customHeight="1">
      <c r="R252" s="30"/>
    </row>
    <row r="253" spans="18:18" ht="15.75" customHeight="1">
      <c r="R253" s="30"/>
    </row>
    <row r="254" spans="18:18" ht="15.75" customHeight="1">
      <c r="R254" s="30"/>
    </row>
    <row r="255" spans="18:18" ht="15.75" customHeight="1">
      <c r="R255" s="30"/>
    </row>
    <row r="256" spans="18:18" ht="15.75" customHeight="1">
      <c r="R256" s="30"/>
    </row>
    <row r="257" spans="18:18" ht="15.75" customHeight="1">
      <c r="R257" s="30"/>
    </row>
    <row r="258" spans="18:18" ht="15.75" customHeight="1">
      <c r="R258" s="30"/>
    </row>
    <row r="259" spans="18:18" ht="15.75" customHeight="1">
      <c r="R259" s="30"/>
    </row>
    <row r="260" spans="18:18" ht="15.75" customHeight="1">
      <c r="R260" s="30"/>
    </row>
    <row r="261" spans="18:18" ht="15.75" customHeight="1">
      <c r="R261" s="30"/>
    </row>
    <row r="262" spans="18:18" ht="15.75" customHeight="1">
      <c r="R262" s="30"/>
    </row>
    <row r="263" spans="18:18" ht="15.75" customHeight="1">
      <c r="R263" s="30"/>
    </row>
    <row r="264" spans="18:18" ht="15.75" customHeight="1">
      <c r="R264" s="30"/>
    </row>
    <row r="265" spans="18:18" ht="15.75" customHeight="1">
      <c r="R265" s="30"/>
    </row>
    <row r="266" spans="18:18" ht="15.75" customHeight="1">
      <c r="R266" s="30"/>
    </row>
    <row r="267" spans="18:18" ht="15.75" customHeight="1">
      <c r="R267" s="30"/>
    </row>
    <row r="268" spans="18:18" ht="15.75" customHeight="1">
      <c r="R268" s="30"/>
    </row>
    <row r="269" spans="18:18" ht="15.75" customHeight="1">
      <c r="R269" s="30"/>
    </row>
    <row r="270" spans="18:18" ht="15.75" customHeight="1">
      <c r="R270" s="30"/>
    </row>
    <row r="271" spans="18:18" ht="15.75" customHeight="1">
      <c r="R271" s="30"/>
    </row>
    <row r="272" spans="18:18" ht="15.75" customHeight="1">
      <c r="R272" s="30"/>
    </row>
    <row r="273" spans="18:18" ht="15.75" customHeight="1">
      <c r="R273" s="30"/>
    </row>
    <row r="274" spans="18:18" ht="15.75" customHeight="1">
      <c r="R274" s="30"/>
    </row>
    <row r="275" spans="18:18" ht="15.75" customHeight="1">
      <c r="R275" s="30"/>
    </row>
    <row r="276" spans="18:18" ht="15.75" customHeight="1">
      <c r="R276" s="30"/>
    </row>
    <row r="277" spans="18:18" ht="15.75" customHeight="1">
      <c r="R277" s="30"/>
    </row>
    <row r="278" spans="18:18" ht="15.75" customHeight="1">
      <c r="R278" s="30"/>
    </row>
    <row r="279" spans="18:18" ht="15.75" customHeight="1">
      <c r="R279" s="30"/>
    </row>
    <row r="280" spans="18:18" ht="15.75" customHeight="1">
      <c r="R280" s="30"/>
    </row>
    <row r="281" spans="18:18" ht="15.75" customHeight="1">
      <c r="R281" s="30"/>
    </row>
    <row r="282" spans="18:18" ht="15.75" customHeight="1">
      <c r="R282" s="30"/>
    </row>
    <row r="283" spans="18:18" ht="15.75" customHeight="1">
      <c r="R283" s="30"/>
    </row>
    <row r="284" spans="18:18" ht="15.75" customHeight="1">
      <c r="R284" s="30"/>
    </row>
    <row r="285" spans="18:18" ht="15.75" customHeight="1">
      <c r="R285" s="30"/>
    </row>
    <row r="286" spans="18:18" ht="15.75" customHeight="1">
      <c r="R286" s="30"/>
    </row>
    <row r="287" spans="18:18" ht="15.75" customHeight="1">
      <c r="R287" s="30"/>
    </row>
    <row r="288" spans="18:18" ht="15.75" customHeight="1">
      <c r="R288" s="30"/>
    </row>
    <row r="289" spans="18:18" ht="15.75" customHeight="1">
      <c r="R289" s="30"/>
    </row>
    <row r="290" spans="18:18" ht="15.75" customHeight="1">
      <c r="R290" s="30"/>
    </row>
    <row r="291" spans="18:18" ht="15.75" customHeight="1">
      <c r="R291" s="30"/>
    </row>
    <row r="292" spans="18:18" ht="15.75" customHeight="1">
      <c r="R292" s="30"/>
    </row>
    <row r="293" spans="18:18" ht="15.75" customHeight="1">
      <c r="R293" s="30"/>
    </row>
    <row r="294" spans="18:18" ht="15.75" customHeight="1">
      <c r="R294" s="30"/>
    </row>
    <row r="295" spans="18:18" ht="15.75" customHeight="1">
      <c r="R295" s="30"/>
    </row>
    <row r="296" spans="18:18" ht="15.75" customHeight="1">
      <c r="R296" s="30"/>
    </row>
    <row r="297" spans="18:18" ht="15.75" customHeight="1">
      <c r="R297" s="30"/>
    </row>
    <row r="298" spans="18:18" ht="15.75" customHeight="1">
      <c r="R298" s="30"/>
    </row>
    <row r="299" spans="18:18" ht="15.75" customHeight="1">
      <c r="R299" s="30"/>
    </row>
    <row r="300" spans="18:18" ht="15.75" customHeight="1">
      <c r="R300" s="30"/>
    </row>
    <row r="301" spans="18:18" ht="15.75" customHeight="1">
      <c r="R301" s="30"/>
    </row>
    <row r="302" spans="18:18" ht="15.75" customHeight="1">
      <c r="R302" s="30"/>
    </row>
    <row r="303" spans="18:18" ht="15.75" customHeight="1">
      <c r="R303" s="30"/>
    </row>
    <row r="304" spans="18:18" ht="15.75" customHeight="1">
      <c r="R304" s="30"/>
    </row>
    <row r="305" spans="18:18" ht="15.75" customHeight="1">
      <c r="R305" s="30"/>
    </row>
    <row r="306" spans="18:18" ht="15.75" customHeight="1">
      <c r="R306" s="30"/>
    </row>
    <row r="307" spans="18:18" ht="15.75" customHeight="1">
      <c r="R307" s="30"/>
    </row>
    <row r="308" spans="18:18" ht="15.75" customHeight="1">
      <c r="R308" s="30"/>
    </row>
    <row r="309" spans="18:18" ht="15.75" customHeight="1">
      <c r="R309" s="30"/>
    </row>
    <row r="310" spans="18:18" ht="15.75" customHeight="1">
      <c r="R310" s="30"/>
    </row>
    <row r="311" spans="18:18" ht="15.75" customHeight="1">
      <c r="R311" s="30"/>
    </row>
    <row r="312" spans="18:18" ht="15.75" customHeight="1">
      <c r="R312" s="30"/>
    </row>
    <row r="313" spans="18:18" ht="15.75" customHeight="1">
      <c r="R313" s="30"/>
    </row>
    <row r="314" spans="18:18" ht="15.75" customHeight="1">
      <c r="R314" s="30"/>
    </row>
    <row r="315" spans="18:18" ht="15.75" customHeight="1">
      <c r="R315" s="30"/>
    </row>
    <row r="316" spans="18:18" ht="15.75" customHeight="1">
      <c r="R316" s="30"/>
    </row>
    <row r="317" spans="18:18" ht="15.75" customHeight="1">
      <c r="R317" s="30"/>
    </row>
    <row r="318" spans="18:18" ht="15.75" customHeight="1">
      <c r="R318" s="30"/>
    </row>
    <row r="319" spans="18:18" ht="15.75" customHeight="1">
      <c r="R319" s="30"/>
    </row>
    <row r="320" spans="18:18" ht="15.75" customHeight="1">
      <c r="R320" s="30"/>
    </row>
    <row r="321" spans="18:18" ht="15.75" customHeight="1">
      <c r="R321" s="30"/>
    </row>
    <row r="322" spans="18:18" ht="15.75" customHeight="1">
      <c r="R322" s="30"/>
    </row>
    <row r="323" spans="18:18" ht="15.75" customHeight="1">
      <c r="R323" s="30"/>
    </row>
    <row r="324" spans="18:18" ht="15.75" customHeight="1">
      <c r="R324" s="30"/>
    </row>
    <row r="325" spans="18:18" ht="15.75" customHeight="1">
      <c r="R325" s="30"/>
    </row>
    <row r="326" spans="18:18" ht="15.75" customHeight="1">
      <c r="R326" s="30"/>
    </row>
    <row r="327" spans="18:18" ht="15.75" customHeight="1">
      <c r="R327" s="30"/>
    </row>
    <row r="328" spans="18:18" ht="15.75" customHeight="1">
      <c r="R328" s="30"/>
    </row>
    <row r="329" spans="18:18" ht="15.75" customHeight="1">
      <c r="R329" s="30"/>
    </row>
    <row r="330" spans="18:18" ht="15.75" customHeight="1">
      <c r="R330" s="30"/>
    </row>
    <row r="331" spans="18:18" ht="15.75" customHeight="1">
      <c r="R331" s="30"/>
    </row>
    <row r="332" spans="18:18" ht="15.75" customHeight="1">
      <c r="R332" s="30"/>
    </row>
    <row r="333" spans="18:18" ht="15.75" customHeight="1">
      <c r="R333" s="30"/>
    </row>
    <row r="334" spans="18:18" ht="15.75" customHeight="1">
      <c r="R334" s="30"/>
    </row>
    <row r="335" spans="18:18" ht="15.75" customHeight="1">
      <c r="R335" s="30"/>
    </row>
    <row r="336" spans="18:18" ht="15.75" customHeight="1">
      <c r="R336" s="30"/>
    </row>
    <row r="337" spans="18:18" ht="15.75" customHeight="1">
      <c r="R337" s="30"/>
    </row>
    <row r="338" spans="18:18" ht="15.75" customHeight="1">
      <c r="R338" s="30"/>
    </row>
    <row r="339" spans="18:18" ht="15.75" customHeight="1">
      <c r="R339" s="30"/>
    </row>
    <row r="340" spans="18:18" ht="15.75" customHeight="1">
      <c r="R340" s="30"/>
    </row>
    <row r="341" spans="18:18" ht="15.75" customHeight="1">
      <c r="R341" s="30"/>
    </row>
    <row r="342" spans="18:18" ht="15.75" customHeight="1">
      <c r="R342" s="30"/>
    </row>
    <row r="343" spans="18:18" ht="15.75" customHeight="1">
      <c r="R343" s="30"/>
    </row>
    <row r="344" spans="18:18" ht="15.75" customHeight="1">
      <c r="R344" s="30"/>
    </row>
    <row r="345" spans="18:18" ht="15.75" customHeight="1">
      <c r="R345" s="30"/>
    </row>
    <row r="346" spans="18:18" ht="15.75" customHeight="1">
      <c r="R346" s="30"/>
    </row>
    <row r="347" spans="18:18" ht="15.75" customHeight="1">
      <c r="R347" s="30"/>
    </row>
    <row r="348" spans="18:18" ht="15.75" customHeight="1">
      <c r="R348" s="30"/>
    </row>
    <row r="349" spans="18:18" ht="15.75" customHeight="1">
      <c r="R349" s="30"/>
    </row>
    <row r="350" spans="18:18" ht="15.75" customHeight="1">
      <c r="R350" s="30"/>
    </row>
    <row r="351" spans="18:18" ht="15.75" customHeight="1">
      <c r="R351" s="30"/>
    </row>
    <row r="352" spans="18:18" ht="15.75" customHeight="1">
      <c r="R352" s="30"/>
    </row>
    <row r="353" spans="18:18" ht="15.75" customHeight="1">
      <c r="R353" s="30"/>
    </row>
    <row r="354" spans="18:18" ht="15.75" customHeight="1">
      <c r="R354" s="30"/>
    </row>
    <row r="355" spans="18:18" ht="15.75" customHeight="1">
      <c r="R355" s="30"/>
    </row>
    <row r="356" spans="18:18" ht="15.75" customHeight="1">
      <c r="R356" s="30"/>
    </row>
    <row r="357" spans="18:18" ht="15.75" customHeight="1">
      <c r="R357" s="30"/>
    </row>
    <row r="358" spans="18:18" ht="15.75" customHeight="1">
      <c r="R358" s="30"/>
    </row>
    <row r="359" spans="18:18" ht="15.75" customHeight="1">
      <c r="R359" s="30"/>
    </row>
    <row r="360" spans="18:18" ht="15.75" customHeight="1">
      <c r="R360" s="30"/>
    </row>
    <row r="361" spans="18:18" ht="15.75" customHeight="1">
      <c r="R361" s="30"/>
    </row>
    <row r="362" spans="18:18" ht="15.75" customHeight="1">
      <c r="R362" s="30"/>
    </row>
    <row r="363" spans="18:18" ht="15.75" customHeight="1">
      <c r="R363" s="30"/>
    </row>
    <row r="364" spans="18:18" ht="15.75" customHeight="1">
      <c r="R364" s="30"/>
    </row>
    <row r="365" spans="18:18" ht="15.75" customHeight="1">
      <c r="R365" s="30"/>
    </row>
    <row r="366" spans="18:18" ht="15.75" customHeight="1">
      <c r="R366" s="30"/>
    </row>
    <row r="367" spans="18:18" ht="15.75" customHeight="1">
      <c r="R367" s="30"/>
    </row>
    <row r="368" spans="18:18" ht="15.75" customHeight="1">
      <c r="R368" s="30"/>
    </row>
    <row r="369" spans="18:18" ht="15.75" customHeight="1">
      <c r="R369" s="30"/>
    </row>
    <row r="370" spans="18:18" ht="15.75" customHeight="1">
      <c r="R370" s="30"/>
    </row>
    <row r="371" spans="18:18" ht="15.75" customHeight="1">
      <c r="R371" s="30"/>
    </row>
    <row r="372" spans="18:18" ht="15.75" customHeight="1">
      <c r="R372" s="30"/>
    </row>
    <row r="373" spans="18:18" ht="15.75" customHeight="1">
      <c r="R373" s="30"/>
    </row>
    <row r="374" spans="18:18" ht="15.75" customHeight="1">
      <c r="R374" s="30"/>
    </row>
    <row r="375" spans="18:18" ht="15.75" customHeight="1">
      <c r="R375" s="30"/>
    </row>
    <row r="376" spans="18:18" ht="15.75" customHeight="1">
      <c r="R376" s="30"/>
    </row>
    <row r="377" spans="18:18" ht="15.75" customHeight="1">
      <c r="R377" s="30"/>
    </row>
    <row r="378" spans="18:18" ht="15.75" customHeight="1">
      <c r="R378" s="30"/>
    </row>
    <row r="379" spans="18:18" ht="15.75" customHeight="1">
      <c r="R379" s="30"/>
    </row>
    <row r="380" spans="18:18" ht="15.75" customHeight="1">
      <c r="R380" s="30"/>
    </row>
    <row r="381" spans="18:18" ht="15.75" customHeight="1">
      <c r="R381" s="30"/>
    </row>
    <row r="382" spans="18:18" ht="15.75" customHeight="1">
      <c r="R382" s="30"/>
    </row>
    <row r="383" spans="18:18" ht="15.75" customHeight="1">
      <c r="R383" s="30"/>
    </row>
    <row r="384" spans="18:18" ht="15.75" customHeight="1">
      <c r="R384" s="30"/>
    </row>
    <row r="385" spans="18:18" ht="15.75" customHeight="1">
      <c r="R385" s="30"/>
    </row>
    <row r="386" spans="18:18" ht="15.75" customHeight="1">
      <c r="R386" s="30"/>
    </row>
    <row r="387" spans="18:18" ht="15.75" customHeight="1">
      <c r="R387" s="30"/>
    </row>
    <row r="388" spans="18:18" ht="15.75" customHeight="1">
      <c r="R388" s="30"/>
    </row>
    <row r="389" spans="18:18" ht="15.75" customHeight="1">
      <c r="R389" s="30"/>
    </row>
    <row r="390" spans="18:18" ht="15.75" customHeight="1">
      <c r="R390" s="30"/>
    </row>
    <row r="391" spans="18:18" ht="15.75" customHeight="1">
      <c r="R391" s="30"/>
    </row>
    <row r="392" spans="18:18" ht="15.75" customHeight="1">
      <c r="R392" s="30"/>
    </row>
    <row r="393" spans="18:18" ht="15.75" customHeight="1">
      <c r="R393" s="30"/>
    </row>
    <row r="394" spans="18:18" ht="15.75" customHeight="1">
      <c r="R394" s="30"/>
    </row>
    <row r="395" spans="18:18" ht="15.75" customHeight="1">
      <c r="R395" s="30"/>
    </row>
    <row r="396" spans="18:18" ht="15.75" customHeight="1">
      <c r="R396" s="30"/>
    </row>
    <row r="397" spans="18:18" ht="15.75" customHeight="1">
      <c r="R397" s="30"/>
    </row>
    <row r="398" spans="18:18" ht="15.75" customHeight="1">
      <c r="R398" s="30"/>
    </row>
    <row r="399" spans="18:18" ht="15.75" customHeight="1">
      <c r="R399" s="30"/>
    </row>
    <row r="400" spans="18:18" ht="15.75" customHeight="1">
      <c r="R400" s="30"/>
    </row>
    <row r="401" spans="18:18" ht="15.75" customHeight="1">
      <c r="R401" s="30"/>
    </row>
    <row r="402" spans="18:18" ht="15.75" customHeight="1">
      <c r="R402" s="30"/>
    </row>
    <row r="403" spans="18:18" ht="15.75" customHeight="1">
      <c r="R403" s="30"/>
    </row>
    <row r="404" spans="18:18" ht="15.75" customHeight="1">
      <c r="R404" s="30"/>
    </row>
    <row r="405" spans="18:18" ht="15.75" customHeight="1">
      <c r="R405" s="30"/>
    </row>
    <row r="406" spans="18:18" ht="15.75" customHeight="1">
      <c r="R406" s="30"/>
    </row>
    <row r="407" spans="18:18" ht="15.75" customHeight="1">
      <c r="R407" s="30"/>
    </row>
    <row r="408" spans="18:18" ht="15.75" customHeight="1">
      <c r="R408" s="30"/>
    </row>
    <row r="409" spans="18:18" ht="15.75" customHeight="1">
      <c r="R409" s="30"/>
    </row>
    <row r="410" spans="18:18" ht="15.75" customHeight="1">
      <c r="R410" s="30"/>
    </row>
    <row r="411" spans="18:18" ht="15.75" customHeight="1">
      <c r="R411" s="30"/>
    </row>
    <row r="412" spans="18:18" ht="15.75" customHeight="1">
      <c r="R412" s="30"/>
    </row>
    <row r="413" spans="18:18" ht="15.75" customHeight="1">
      <c r="R413" s="30"/>
    </row>
    <row r="414" spans="18:18" ht="15.75" customHeight="1">
      <c r="R414" s="30"/>
    </row>
    <row r="415" spans="18:18" ht="15.75" customHeight="1">
      <c r="R415" s="30"/>
    </row>
    <row r="416" spans="18:18" ht="15.75" customHeight="1">
      <c r="R416" s="30"/>
    </row>
    <row r="417" spans="18:18" ht="15.75" customHeight="1">
      <c r="R417" s="30"/>
    </row>
    <row r="418" spans="18:18" ht="15.75" customHeight="1">
      <c r="R418" s="30"/>
    </row>
    <row r="419" spans="18:18" ht="15.75" customHeight="1">
      <c r="R419" s="30"/>
    </row>
    <row r="420" spans="18:18" ht="15.75" customHeight="1">
      <c r="R420" s="30"/>
    </row>
    <row r="421" spans="18:18" ht="15.75" customHeight="1">
      <c r="R421" s="30"/>
    </row>
    <row r="422" spans="18:18" ht="15.75" customHeight="1">
      <c r="R422" s="30"/>
    </row>
    <row r="423" spans="18:18" ht="15.75" customHeight="1">
      <c r="R423" s="30"/>
    </row>
    <row r="424" spans="18:18" ht="15.75" customHeight="1">
      <c r="R424" s="30"/>
    </row>
    <row r="425" spans="18:18" ht="15.75" customHeight="1">
      <c r="R425" s="30"/>
    </row>
    <row r="426" spans="18:18" ht="15.75" customHeight="1">
      <c r="R426" s="30"/>
    </row>
    <row r="427" spans="18:18" ht="15.75" customHeight="1">
      <c r="R427" s="30"/>
    </row>
    <row r="428" spans="18:18" ht="15.75" customHeight="1">
      <c r="R428" s="30"/>
    </row>
    <row r="429" spans="18:18" ht="15.75" customHeight="1">
      <c r="R429" s="30"/>
    </row>
    <row r="430" spans="18:18" ht="15.75" customHeight="1">
      <c r="R430" s="30"/>
    </row>
    <row r="431" spans="18:18" ht="15.75" customHeight="1">
      <c r="R431" s="30"/>
    </row>
    <row r="432" spans="18:18" ht="15.75" customHeight="1">
      <c r="R432" s="30"/>
    </row>
    <row r="433" spans="18:18" ht="15.75" customHeight="1">
      <c r="R433" s="30"/>
    </row>
    <row r="434" spans="18:18" ht="15.75" customHeight="1">
      <c r="R434" s="30"/>
    </row>
    <row r="435" spans="18:18" ht="15.75" customHeight="1">
      <c r="R435" s="30"/>
    </row>
    <row r="436" spans="18:18" ht="15.75" customHeight="1">
      <c r="R436" s="30"/>
    </row>
    <row r="437" spans="18:18" ht="15.75" customHeight="1">
      <c r="R437" s="30"/>
    </row>
    <row r="438" spans="18:18" ht="15.75" customHeight="1">
      <c r="R438" s="30"/>
    </row>
    <row r="439" spans="18:18" ht="15.75" customHeight="1">
      <c r="R439" s="30"/>
    </row>
    <row r="440" spans="18:18" ht="15.75" customHeight="1">
      <c r="R440" s="30"/>
    </row>
    <row r="441" spans="18:18" ht="15.75" customHeight="1">
      <c r="R441" s="30"/>
    </row>
    <row r="442" spans="18:18" ht="15.75" customHeight="1">
      <c r="R442" s="30"/>
    </row>
    <row r="443" spans="18:18" ht="15.75" customHeight="1">
      <c r="R443" s="30"/>
    </row>
    <row r="444" spans="18:18" ht="15.75" customHeight="1">
      <c r="R444" s="30"/>
    </row>
    <row r="445" spans="18:18" ht="15.75" customHeight="1">
      <c r="R445" s="30"/>
    </row>
    <row r="446" spans="18:18" ht="15.75" customHeight="1">
      <c r="R446" s="30"/>
    </row>
    <row r="447" spans="18:18" ht="15.75" customHeight="1">
      <c r="R447" s="30"/>
    </row>
    <row r="448" spans="18:18" ht="15.75" customHeight="1">
      <c r="R448" s="30"/>
    </row>
    <row r="449" spans="18:18" ht="15.75" customHeight="1">
      <c r="R449" s="30"/>
    </row>
    <row r="450" spans="18:18" ht="15.75" customHeight="1">
      <c r="R450" s="30"/>
    </row>
    <row r="451" spans="18:18" ht="15.75" customHeight="1">
      <c r="R451" s="30"/>
    </row>
    <row r="452" spans="18:18" ht="15.75" customHeight="1">
      <c r="R452" s="30"/>
    </row>
    <row r="453" spans="18:18" ht="15.75" customHeight="1">
      <c r="R453" s="30"/>
    </row>
    <row r="454" spans="18:18" ht="15.75" customHeight="1">
      <c r="R454" s="30"/>
    </row>
    <row r="455" spans="18:18" ht="15.75" customHeight="1">
      <c r="R455" s="30"/>
    </row>
    <row r="456" spans="18:18" ht="15.75" customHeight="1">
      <c r="R456" s="30"/>
    </row>
    <row r="457" spans="18:18" ht="15.75" customHeight="1">
      <c r="R457" s="30"/>
    </row>
    <row r="458" spans="18:18" ht="15.75" customHeight="1">
      <c r="R458" s="30"/>
    </row>
    <row r="459" spans="18:18" ht="15.75" customHeight="1">
      <c r="R459" s="30"/>
    </row>
    <row r="460" spans="18:18" ht="15.75" customHeight="1">
      <c r="R460" s="30"/>
    </row>
    <row r="461" spans="18:18" ht="15.75" customHeight="1">
      <c r="R461" s="30"/>
    </row>
    <row r="462" spans="18:18" ht="15.75" customHeight="1">
      <c r="R462" s="30"/>
    </row>
    <row r="463" spans="18:18" ht="15.75" customHeight="1">
      <c r="R463" s="30"/>
    </row>
    <row r="464" spans="18:18" ht="15.75" customHeight="1">
      <c r="R464" s="30"/>
    </row>
    <row r="465" spans="18:18" ht="15.75" customHeight="1">
      <c r="R465" s="30"/>
    </row>
    <row r="466" spans="18:18" ht="15.75" customHeight="1">
      <c r="R466" s="30"/>
    </row>
    <row r="467" spans="18:18" ht="15.75" customHeight="1">
      <c r="R467" s="30"/>
    </row>
    <row r="468" spans="18:18" ht="15.75" customHeight="1">
      <c r="R468" s="30"/>
    </row>
    <row r="469" spans="18:18" ht="15.75" customHeight="1">
      <c r="R469" s="30"/>
    </row>
    <row r="470" spans="18:18" ht="15.75" customHeight="1">
      <c r="R470" s="30"/>
    </row>
    <row r="471" spans="18:18" ht="15.75" customHeight="1">
      <c r="R471" s="30"/>
    </row>
    <row r="472" spans="18:18" ht="15.75" customHeight="1">
      <c r="R472" s="30"/>
    </row>
    <row r="473" spans="18:18" ht="15.75" customHeight="1">
      <c r="R473" s="30"/>
    </row>
    <row r="474" spans="18:18" ht="15.75" customHeight="1">
      <c r="R474" s="30"/>
    </row>
    <row r="475" spans="18:18" ht="15.75" customHeight="1">
      <c r="R475" s="30"/>
    </row>
    <row r="476" spans="18:18" ht="15.75" customHeight="1">
      <c r="R476" s="30"/>
    </row>
    <row r="477" spans="18:18" ht="15.75" customHeight="1">
      <c r="R477" s="30"/>
    </row>
    <row r="478" spans="18:18" ht="15.75" customHeight="1">
      <c r="R478" s="30"/>
    </row>
    <row r="479" spans="18:18" ht="15.75" customHeight="1">
      <c r="R479" s="30"/>
    </row>
    <row r="480" spans="18:18" ht="15.75" customHeight="1">
      <c r="R480" s="30"/>
    </row>
    <row r="481" spans="18:18" ht="15.75" customHeight="1">
      <c r="R481" s="30"/>
    </row>
    <row r="482" spans="18:18" ht="15.75" customHeight="1">
      <c r="R482" s="30"/>
    </row>
    <row r="483" spans="18:18" ht="15.75" customHeight="1">
      <c r="R483" s="30"/>
    </row>
    <row r="484" spans="18:18" ht="15.75" customHeight="1">
      <c r="R484" s="30"/>
    </row>
    <row r="485" spans="18:18" ht="15.75" customHeight="1">
      <c r="R485" s="30"/>
    </row>
    <row r="486" spans="18:18" ht="15.75" customHeight="1">
      <c r="R486" s="30"/>
    </row>
    <row r="487" spans="18:18" ht="15.75" customHeight="1">
      <c r="R487" s="30"/>
    </row>
    <row r="488" spans="18:18" ht="15.75" customHeight="1">
      <c r="R488" s="30"/>
    </row>
    <row r="489" spans="18:18" ht="15.75" customHeight="1">
      <c r="R489" s="30"/>
    </row>
    <row r="490" spans="18:18" ht="15.75" customHeight="1">
      <c r="R490" s="30"/>
    </row>
    <row r="491" spans="18:18" ht="15.75" customHeight="1">
      <c r="R491" s="30"/>
    </row>
    <row r="492" spans="18:18" ht="15.75" customHeight="1">
      <c r="R492" s="30"/>
    </row>
    <row r="493" spans="18:18" ht="15.75" customHeight="1">
      <c r="R493" s="30"/>
    </row>
    <row r="494" spans="18:18" ht="15.75" customHeight="1">
      <c r="R494" s="30"/>
    </row>
    <row r="495" spans="18:18" ht="15.75" customHeight="1">
      <c r="R495" s="30"/>
    </row>
    <row r="496" spans="18:18" ht="15.75" customHeight="1">
      <c r="R496" s="30"/>
    </row>
    <row r="497" spans="18:18" ht="15.75" customHeight="1">
      <c r="R497" s="30"/>
    </row>
    <row r="498" spans="18:18" ht="15.75" customHeight="1">
      <c r="R498" s="30"/>
    </row>
    <row r="499" spans="18:18" ht="15.75" customHeight="1">
      <c r="R499" s="30"/>
    </row>
    <row r="500" spans="18:18" ht="15.75" customHeight="1">
      <c r="R500" s="30"/>
    </row>
    <row r="501" spans="18:18" ht="15.75" customHeight="1">
      <c r="R501" s="30"/>
    </row>
    <row r="502" spans="18:18" ht="15.75" customHeight="1">
      <c r="R502" s="30"/>
    </row>
    <row r="503" spans="18:18" ht="15.75" customHeight="1">
      <c r="R503" s="30"/>
    </row>
    <row r="504" spans="18:18" ht="15.75" customHeight="1">
      <c r="R504" s="30"/>
    </row>
    <row r="505" spans="18:18" ht="15.75" customHeight="1">
      <c r="R505" s="30"/>
    </row>
    <row r="506" spans="18:18" ht="15.75" customHeight="1">
      <c r="R506" s="30"/>
    </row>
    <row r="507" spans="18:18" ht="15.75" customHeight="1">
      <c r="R507" s="30"/>
    </row>
    <row r="508" spans="18:18" ht="15.75" customHeight="1">
      <c r="R508" s="30"/>
    </row>
    <row r="509" spans="18:18" ht="15.75" customHeight="1">
      <c r="R509" s="30"/>
    </row>
    <row r="510" spans="18:18" ht="15.75" customHeight="1">
      <c r="R510" s="30"/>
    </row>
    <row r="511" spans="18:18" ht="15.75" customHeight="1">
      <c r="R511" s="30"/>
    </row>
    <row r="512" spans="18:18" ht="15.75" customHeight="1">
      <c r="R512" s="30"/>
    </row>
    <row r="513" spans="18:18" ht="15.75" customHeight="1">
      <c r="R513" s="30"/>
    </row>
    <row r="514" spans="18:18" ht="15.75" customHeight="1">
      <c r="R514" s="30"/>
    </row>
    <row r="515" spans="18:18" ht="15.75" customHeight="1">
      <c r="R515" s="30"/>
    </row>
    <row r="516" spans="18:18" ht="15.75" customHeight="1">
      <c r="R516" s="30"/>
    </row>
    <row r="517" spans="18:18" ht="15.75" customHeight="1">
      <c r="R517" s="30"/>
    </row>
    <row r="518" spans="18:18" ht="15.75" customHeight="1">
      <c r="R518" s="30"/>
    </row>
    <row r="519" spans="18:18" ht="15.75" customHeight="1">
      <c r="R519" s="30"/>
    </row>
    <row r="520" spans="18:18" ht="15.75" customHeight="1">
      <c r="R520" s="30"/>
    </row>
    <row r="521" spans="18:18" ht="15.75" customHeight="1">
      <c r="R521" s="30"/>
    </row>
    <row r="522" spans="18:18" ht="15.75" customHeight="1">
      <c r="R522" s="30"/>
    </row>
    <row r="523" spans="18:18" ht="15.75" customHeight="1">
      <c r="R523" s="30"/>
    </row>
    <row r="524" spans="18:18" ht="15.75" customHeight="1">
      <c r="R524" s="30"/>
    </row>
    <row r="525" spans="18:18" ht="15.75" customHeight="1">
      <c r="R525" s="30"/>
    </row>
    <row r="526" spans="18:18" ht="15.75" customHeight="1">
      <c r="R526" s="30"/>
    </row>
    <row r="527" spans="18:18" ht="15.75" customHeight="1">
      <c r="R527" s="30"/>
    </row>
    <row r="528" spans="18:18" ht="15.75" customHeight="1">
      <c r="R528" s="30"/>
    </row>
    <row r="529" spans="18:18" ht="15.75" customHeight="1">
      <c r="R529" s="30"/>
    </row>
    <row r="530" spans="18:18" ht="15.75" customHeight="1">
      <c r="R530" s="30"/>
    </row>
    <row r="531" spans="18:18" ht="15.75" customHeight="1">
      <c r="R531" s="30"/>
    </row>
    <row r="532" spans="18:18" ht="15.75" customHeight="1">
      <c r="R532" s="30"/>
    </row>
    <row r="533" spans="18:18" ht="15.75" customHeight="1">
      <c r="R533" s="30"/>
    </row>
    <row r="534" spans="18:18" ht="15.75" customHeight="1">
      <c r="R534" s="30"/>
    </row>
    <row r="535" spans="18:18" ht="15.75" customHeight="1">
      <c r="R535" s="30"/>
    </row>
    <row r="536" spans="18:18" ht="15.75" customHeight="1">
      <c r="R536" s="30"/>
    </row>
    <row r="537" spans="18:18" ht="15.75" customHeight="1">
      <c r="R537" s="30"/>
    </row>
    <row r="538" spans="18:18" ht="15.75" customHeight="1">
      <c r="R538" s="30"/>
    </row>
    <row r="539" spans="18:18" ht="15.75" customHeight="1">
      <c r="R539" s="30"/>
    </row>
    <row r="540" spans="18:18" ht="15.75" customHeight="1">
      <c r="R540" s="30"/>
    </row>
    <row r="541" spans="18:18" ht="15.75" customHeight="1">
      <c r="R541" s="30"/>
    </row>
    <row r="542" spans="18:18" ht="15.75" customHeight="1">
      <c r="R542" s="30"/>
    </row>
    <row r="543" spans="18:18" ht="15.75" customHeight="1">
      <c r="R543" s="30"/>
    </row>
    <row r="544" spans="18:18" ht="15.75" customHeight="1">
      <c r="R544" s="30"/>
    </row>
    <row r="545" spans="18:18" ht="15.75" customHeight="1">
      <c r="R545" s="30"/>
    </row>
    <row r="546" spans="18:18" ht="15.75" customHeight="1">
      <c r="R546" s="30"/>
    </row>
    <row r="547" spans="18:18" ht="15.75" customHeight="1">
      <c r="R547" s="30"/>
    </row>
    <row r="548" spans="18:18" ht="15.75" customHeight="1">
      <c r="R548" s="30"/>
    </row>
    <row r="549" spans="18:18" ht="15.75" customHeight="1">
      <c r="R549" s="30"/>
    </row>
    <row r="550" spans="18:18" ht="15.75" customHeight="1">
      <c r="R550" s="30"/>
    </row>
    <row r="551" spans="18:18" ht="15.75" customHeight="1">
      <c r="R551" s="30"/>
    </row>
    <row r="552" spans="18:18" ht="15.75" customHeight="1">
      <c r="R552" s="30"/>
    </row>
    <row r="553" spans="18:18" ht="15.75" customHeight="1">
      <c r="R553" s="30"/>
    </row>
    <row r="554" spans="18:18" ht="15.75" customHeight="1">
      <c r="R554" s="30"/>
    </row>
    <row r="555" spans="18:18" ht="15.75" customHeight="1">
      <c r="R555" s="30"/>
    </row>
    <row r="556" spans="18:18" ht="15.75" customHeight="1">
      <c r="R556" s="30"/>
    </row>
    <row r="557" spans="18:18" ht="15.75" customHeight="1">
      <c r="R557" s="30"/>
    </row>
    <row r="558" spans="18:18" ht="15.75" customHeight="1">
      <c r="R558" s="30"/>
    </row>
    <row r="559" spans="18:18" ht="15.75" customHeight="1">
      <c r="R559" s="30"/>
    </row>
    <row r="560" spans="18:18" ht="15.75" customHeight="1">
      <c r="R560" s="30"/>
    </row>
    <row r="561" spans="18:18" ht="15.75" customHeight="1">
      <c r="R561" s="30"/>
    </row>
    <row r="562" spans="18:18" ht="15.75" customHeight="1">
      <c r="R562" s="30"/>
    </row>
    <row r="563" spans="18:18" ht="15.75" customHeight="1">
      <c r="R563" s="30"/>
    </row>
    <row r="564" spans="18:18" ht="15.75" customHeight="1">
      <c r="R564" s="30"/>
    </row>
    <row r="565" spans="18:18" ht="15.75" customHeight="1">
      <c r="R565" s="30"/>
    </row>
    <row r="566" spans="18:18" ht="15.75" customHeight="1">
      <c r="R566" s="30"/>
    </row>
    <row r="567" spans="18:18" ht="15.75" customHeight="1">
      <c r="R567" s="30"/>
    </row>
    <row r="568" spans="18:18" ht="15.75" customHeight="1">
      <c r="R568" s="30"/>
    </row>
    <row r="569" spans="18:18" ht="15.75" customHeight="1">
      <c r="R569" s="30"/>
    </row>
    <row r="570" spans="18:18" ht="15.75" customHeight="1">
      <c r="R570" s="30"/>
    </row>
    <row r="571" spans="18:18" ht="15.75" customHeight="1">
      <c r="R571" s="30"/>
    </row>
    <row r="572" spans="18:18" ht="15.75" customHeight="1">
      <c r="R572" s="30"/>
    </row>
    <row r="573" spans="18:18" ht="15.75" customHeight="1">
      <c r="R573" s="30"/>
    </row>
    <row r="574" spans="18:18" ht="15.75" customHeight="1">
      <c r="R574" s="30"/>
    </row>
    <row r="575" spans="18:18" ht="15.75" customHeight="1">
      <c r="R575" s="30"/>
    </row>
    <row r="576" spans="18:18" ht="15.75" customHeight="1">
      <c r="R576" s="30"/>
    </row>
    <row r="577" spans="18:18" ht="15.75" customHeight="1">
      <c r="R577" s="30"/>
    </row>
    <row r="578" spans="18:18" ht="15.75" customHeight="1">
      <c r="R578" s="30"/>
    </row>
    <row r="579" spans="18:18" ht="15.75" customHeight="1">
      <c r="R579" s="30"/>
    </row>
    <row r="580" spans="18:18" ht="15.75" customHeight="1">
      <c r="R580" s="30"/>
    </row>
    <row r="581" spans="18:18" ht="15.75" customHeight="1">
      <c r="R581" s="30"/>
    </row>
    <row r="582" spans="18:18" ht="15.75" customHeight="1">
      <c r="R582" s="30"/>
    </row>
    <row r="583" spans="18:18" ht="15.75" customHeight="1">
      <c r="R583" s="30"/>
    </row>
    <row r="584" spans="18:18" ht="15.75" customHeight="1">
      <c r="R584" s="30"/>
    </row>
    <row r="585" spans="18:18" ht="15.75" customHeight="1">
      <c r="R585" s="30"/>
    </row>
    <row r="586" spans="18:18" ht="15.75" customHeight="1">
      <c r="R586" s="30"/>
    </row>
    <row r="587" spans="18:18" ht="15.75" customHeight="1">
      <c r="R587" s="30"/>
    </row>
    <row r="588" spans="18:18" ht="15.75" customHeight="1">
      <c r="R588" s="30"/>
    </row>
    <row r="589" spans="18:18" ht="15.75" customHeight="1">
      <c r="R589" s="30"/>
    </row>
    <row r="590" spans="18:18" ht="15.75" customHeight="1">
      <c r="R590" s="30"/>
    </row>
    <row r="591" spans="18:18" ht="15.75" customHeight="1">
      <c r="R591" s="30"/>
    </row>
    <row r="592" spans="18:18" ht="15.75" customHeight="1">
      <c r="R592" s="30"/>
    </row>
    <row r="593" spans="18:18" ht="15.75" customHeight="1">
      <c r="R593" s="30"/>
    </row>
    <row r="594" spans="18:18" ht="15.75" customHeight="1">
      <c r="R594" s="30"/>
    </row>
    <row r="595" spans="18:18" ht="15.75" customHeight="1">
      <c r="R595" s="30"/>
    </row>
    <row r="596" spans="18:18" ht="15.75" customHeight="1">
      <c r="R596" s="30"/>
    </row>
    <row r="597" spans="18:18" ht="15.75" customHeight="1">
      <c r="R597" s="30"/>
    </row>
    <row r="598" spans="18:18" ht="15.75" customHeight="1">
      <c r="R598" s="30"/>
    </row>
    <row r="599" spans="18:18" ht="15.75" customHeight="1">
      <c r="R599" s="30"/>
    </row>
    <row r="600" spans="18:18" ht="15.75" customHeight="1">
      <c r="R600" s="30"/>
    </row>
    <row r="601" spans="18:18" ht="15.75" customHeight="1">
      <c r="R601" s="30"/>
    </row>
    <row r="602" spans="18:18" ht="15.75" customHeight="1">
      <c r="R602" s="30"/>
    </row>
    <row r="603" spans="18:18" ht="15.75" customHeight="1">
      <c r="R603" s="30"/>
    </row>
    <row r="604" spans="18:18" ht="15.75" customHeight="1">
      <c r="R604" s="30"/>
    </row>
    <row r="605" spans="18:18" ht="15.75" customHeight="1">
      <c r="R605" s="30"/>
    </row>
    <row r="606" spans="18:18" ht="15.75" customHeight="1">
      <c r="R606" s="30"/>
    </row>
    <row r="607" spans="18:18" ht="15.75" customHeight="1">
      <c r="R607" s="30"/>
    </row>
    <row r="608" spans="18:18" ht="15.75" customHeight="1">
      <c r="R608" s="30"/>
    </row>
    <row r="609" spans="18:18" ht="15.75" customHeight="1">
      <c r="R609" s="30"/>
    </row>
    <row r="610" spans="18:18" ht="15.75" customHeight="1">
      <c r="R610" s="30"/>
    </row>
    <row r="611" spans="18:18" ht="15.75" customHeight="1">
      <c r="R611" s="30"/>
    </row>
    <row r="612" spans="18:18" ht="15.75" customHeight="1">
      <c r="R612" s="30"/>
    </row>
    <row r="613" spans="18:18" ht="15.75" customHeight="1">
      <c r="R613" s="30"/>
    </row>
    <row r="614" spans="18:18" ht="15.75" customHeight="1">
      <c r="R614" s="30"/>
    </row>
    <row r="615" spans="18:18" ht="15.75" customHeight="1">
      <c r="R615" s="30"/>
    </row>
    <row r="616" spans="18:18" ht="15.75" customHeight="1">
      <c r="R616" s="30"/>
    </row>
    <row r="617" spans="18:18" ht="15.75" customHeight="1">
      <c r="R617" s="30"/>
    </row>
    <row r="618" spans="18:18" ht="15.75" customHeight="1">
      <c r="R618" s="30"/>
    </row>
    <row r="619" spans="18:18" ht="15.75" customHeight="1">
      <c r="R619" s="30"/>
    </row>
    <row r="620" spans="18:18" ht="15.75" customHeight="1">
      <c r="R620" s="30"/>
    </row>
    <row r="621" spans="18:18" ht="15.75" customHeight="1">
      <c r="R621" s="30"/>
    </row>
    <row r="622" spans="18:18" ht="15.75" customHeight="1">
      <c r="R622" s="30"/>
    </row>
    <row r="623" spans="18:18" ht="15.75" customHeight="1">
      <c r="R623" s="30"/>
    </row>
    <row r="624" spans="18:18" ht="15.75" customHeight="1">
      <c r="R624" s="30"/>
    </row>
    <row r="625" spans="18:18" ht="15.75" customHeight="1">
      <c r="R625" s="30"/>
    </row>
    <row r="626" spans="18:18" ht="15.75" customHeight="1">
      <c r="R626" s="30"/>
    </row>
    <row r="627" spans="18:18" ht="15.75" customHeight="1">
      <c r="R627" s="30"/>
    </row>
    <row r="628" spans="18:18" ht="15.75" customHeight="1">
      <c r="R628" s="30"/>
    </row>
    <row r="629" spans="18:18" ht="15.75" customHeight="1">
      <c r="R629" s="30"/>
    </row>
    <row r="630" spans="18:18" ht="15.75" customHeight="1">
      <c r="R630" s="30"/>
    </row>
    <row r="631" spans="18:18" ht="15.75" customHeight="1">
      <c r="R631" s="30"/>
    </row>
    <row r="632" spans="18:18" ht="15.75" customHeight="1">
      <c r="R632" s="30"/>
    </row>
    <row r="633" spans="18:18" ht="15.75" customHeight="1">
      <c r="R633" s="30"/>
    </row>
    <row r="634" spans="18:18" ht="15.75" customHeight="1">
      <c r="R634" s="30"/>
    </row>
    <row r="635" spans="18:18" ht="15.75" customHeight="1">
      <c r="R635" s="30"/>
    </row>
    <row r="636" spans="18:18" ht="15.75" customHeight="1">
      <c r="R636" s="30"/>
    </row>
    <row r="637" spans="18:18" ht="15.75" customHeight="1">
      <c r="R637" s="30"/>
    </row>
    <row r="638" spans="18:18" ht="15.75" customHeight="1">
      <c r="R638" s="30"/>
    </row>
    <row r="639" spans="18:18" ht="15.75" customHeight="1">
      <c r="R639" s="30"/>
    </row>
    <row r="640" spans="18:18" ht="15.75" customHeight="1">
      <c r="R640" s="30"/>
    </row>
    <row r="641" spans="18:18" ht="15.75" customHeight="1">
      <c r="R641" s="30"/>
    </row>
    <row r="642" spans="18:18" ht="15.75" customHeight="1">
      <c r="R642" s="30"/>
    </row>
    <row r="643" spans="18:18" ht="15.75" customHeight="1">
      <c r="R643" s="30"/>
    </row>
    <row r="644" spans="18:18" ht="15.75" customHeight="1">
      <c r="R644" s="30"/>
    </row>
    <row r="645" spans="18:18" ht="15.75" customHeight="1">
      <c r="R645" s="30"/>
    </row>
    <row r="646" spans="18:18" ht="15.75" customHeight="1">
      <c r="R646" s="30"/>
    </row>
    <row r="647" spans="18:18" ht="15.75" customHeight="1">
      <c r="R647" s="30"/>
    </row>
    <row r="648" spans="18:18" ht="15.75" customHeight="1">
      <c r="R648" s="30"/>
    </row>
    <row r="649" spans="18:18" ht="15.75" customHeight="1">
      <c r="R649" s="30"/>
    </row>
    <row r="650" spans="18:18" ht="15.75" customHeight="1">
      <c r="R650" s="30"/>
    </row>
    <row r="651" spans="18:18" ht="15.75" customHeight="1">
      <c r="R651" s="30"/>
    </row>
    <row r="652" spans="18:18" ht="15.75" customHeight="1">
      <c r="R652" s="30"/>
    </row>
    <row r="653" spans="18:18" ht="15.75" customHeight="1">
      <c r="R653" s="30"/>
    </row>
    <row r="654" spans="18:18" ht="15.75" customHeight="1">
      <c r="R654" s="30"/>
    </row>
    <row r="655" spans="18:18" ht="15.75" customHeight="1">
      <c r="R655" s="30"/>
    </row>
    <row r="656" spans="18:18" ht="15.75" customHeight="1">
      <c r="R656" s="30"/>
    </row>
    <row r="657" spans="18:18" ht="15.75" customHeight="1">
      <c r="R657" s="30"/>
    </row>
    <row r="658" spans="18:18" ht="15.75" customHeight="1">
      <c r="R658" s="30"/>
    </row>
    <row r="659" spans="18:18" ht="15.75" customHeight="1">
      <c r="R659" s="30"/>
    </row>
    <row r="660" spans="18:18" ht="15.75" customHeight="1">
      <c r="R660" s="30"/>
    </row>
    <row r="661" spans="18:18" ht="15.75" customHeight="1">
      <c r="R661" s="30"/>
    </row>
    <row r="662" spans="18:18" ht="15.75" customHeight="1">
      <c r="R662" s="30"/>
    </row>
    <row r="663" spans="18:18" ht="15.75" customHeight="1">
      <c r="R663" s="30"/>
    </row>
    <row r="664" spans="18:18" ht="15.75" customHeight="1">
      <c r="R664" s="30"/>
    </row>
    <row r="665" spans="18:18" ht="15.75" customHeight="1">
      <c r="R665" s="30"/>
    </row>
    <row r="666" spans="18:18" ht="15.75" customHeight="1">
      <c r="R666" s="30"/>
    </row>
    <row r="667" spans="18:18" ht="15.75" customHeight="1">
      <c r="R667" s="30"/>
    </row>
    <row r="668" spans="18:18" ht="15.75" customHeight="1">
      <c r="R668" s="30"/>
    </row>
    <row r="669" spans="18:18" ht="15.75" customHeight="1">
      <c r="R669" s="30"/>
    </row>
    <row r="670" spans="18:18" ht="15.75" customHeight="1">
      <c r="R670" s="30"/>
    </row>
    <row r="671" spans="18:18" ht="15.75" customHeight="1">
      <c r="R671" s="30"/>
    </row>
    <row r="672" spans="18:18" ht="15.75" customHeight="1">
      <c r="R672" s="30"/>
    </row>
    <row r="673" spans="18:18" ht="15.75" customHeight="1">
      <c r="R673" s="30"/>
    </row>
    <row r="674" spans="18:18" ht="15.75" customHeight="1">
      <c r="R674" s="30"/>
    </row>
    <row r="675" spans="18:18" ht="15.75" customHeight="1">
      <c r="R675" s="30"/>
    </row>
    <row r="676" spans="18:18" ht="15.75" customHeight="1">
      <c r="R676" s="30"/>
    </row>
    <row r="677" spans="18:18" ht="15.75" customHeight="1">
      <c r="R677" s="30"/>
    </row>
    <row r="678" spans="18:18" ht="15.75" customHeight="1">
      <c r="R678" s="30"/>
    </row>
    <row r="679" spans="18:18" ht="15.75" customHeight="1">
      <c r="R679" s="30"/>
    </row>
    <row r="680" spans="18:18" ht="15.75" customHeight="1">
      <c r="R680" s="30"/>
    </row>
    <row r="681" spans="18:18" ht="15.75" customHeight="1">
      <c r="R681" s="30"/>
    </row>
    <row r="682" spans="18:18" ht="15.75" customHeight="1">
      <c r="R682" s="30"/>
    </row>
    <row r="683" spans="18:18" ht="15.75" customHeight="1">
      <c r="R683" s="30"/>
    </row>
    <row r="684" spans="18:18" ht="15.75" customHeight="1">
      <c r="R684" s="30"/>
    </row>
    <row r="685" spans="18:18" ht="15.75" customHeight="1">
      <c r="R685" s="30"/>
    </row>
    <row r="686" spans="18:18" ht="15.75" customHeight="1">
      <c r="R686" s="30"/>
    </row>
    <row r="687" spans="18:18" ht="15.75" customHeight="1">
      <c r="R687" s="30"/>
    </row>
    <row r="688" spans="18:18" ht="15.75" customHeight="1">
      <c r="R688" s="30"/>
    </row>
    <row r="689" spans="18:18" ht="15.75" customHeight="1">
      <c r="R689" s="30"/>
    </row>
    <row r="690" spans="18:18" ht="15.75" customHeight="1">
      <c r="R690" s="30"/>
    </row>
    <row r="691" spans="18:18" ht="15.75" customHeight="1">
      <c r="R691" s="30"/>
    </row>
    <row r="692" spans="18:18" ht="15.75" customHeight="1">
      <c r="R692" s="30"/>
    </row>
    <row r="693" spans="18:18" ht="15.75" customHeight="1">
      <c r="R693" s="30"/>
    </row>
    <row r="694" spans="18:18" ht="15.75" customHeight="1">
      <c r="R694" s="30"/>
    </row>
    <row r="695" spans="18:18" ht="15.75" customHeight="1">
      <c r="R695" s="30"/>
    </row>
    <row r="696" spans="18:18" ht="15.75" customHeight="1">
      <c r="R696" s="30"/>
    </row>
    <row r="697" spans="18:18" ht="15.75" customHeight="1">
      <c r="R697" s="30"/>
    </row>
    <row r="698" spans="18:18" ht="15.75" customHeight="1">
      <c r="R698" s="30"/>
    </row>
    <row r="699" spans="18:18" ht="15.75" customHeight="1">
      <c r="R699" s="30"/>
    </row>
    <row r="700" spans="18:18" ht="15.75" customHeight="1">
      <c r="R700" s="30"/>
    </row>
    <row r="701" spans="18:18" ht="15.75" customHeight="1">
      <c r="R701" s="30"/>
    </row>
    <row r="702" spans="18:18" ht="15.75" customHeight="1">
      <c r="R702" s="30"/>
    </row>
    <row r="703" spans="18:18" ht="15.75" customHeight="1">
      <c r="R703" s="30"/>
    </row>
    <row r="704" spans="18:18" ht="15.75" customHeight="1">
      <c r="R704" s="30"/>
    </row>
    <row r="705" spans="18:18" ht="15.75" customHeight="1">
      <c r="R705" s="30"/>
    </row>
    <row r="706" spans="18:18" ht="15.75" customHeight="1">
      <c r="R706" s="30"/>
    </row>
    <row r="707" spans="18:18" ht="15.75" customHeight="1">
      <c r="R707" s="30"/>
    </row>
    <row r="708" spans="18:18" ht="15.75" customHeight="1">
      <c r="R708" s="30"/>
    </row>
    <row r="709" spans="18:18" ht="15.75" customHeight="1">
      <c r="R709" s="30"/>
    </row>
    <row r="710" spans="18:18" ht="15.75" customHeight="1">
      <c r="R710" s="30"/>
    </row>
    <row r="711" spans="18:18" ht="15.75" customHeight="1">
      <c r="R711" s="30"/>
    </row>
    <row r="712" spans="18:18" ht="15.75" customHeight="1">
      <c r="R712" s="30"/>
    </row>
    <row r="713" spans="18:18" ht="15.75" customHeight="1">
      <c r="R713" s="30"/>
    </row>
    <row r="714" spans="18:18" ht="15.75" customHeight="1">
      <c r="R714" s="30"/>
    </row>
    <row r="715" spans="18:18" ht="15.75" customHeight="1">
      <c r="R715" s="30"/>
    </row>
    <row r="716" spans="18:18" ht="15.75" customHeight="1">
      <c r="R716" s="30"/>
    </row>
    <row r="717" spans="18:18" ht="15.75" customHeight="1">
      <c r="R717" s="30"/>
    </row>
    <row r="718" spans="18:18" ht="15.75" customHeight="1">
      <c r="R718" s="30"/>
    </row>
    <row r="719" spans="18:18" ht="15.75" customHeight="1">
      <c r="R719" s="30"/>
    </row>
    <row r="720" spans="18:18" ht="15.75" customHeight="1">
      <c r="R720" s="30"/>
    </row>
    <row r="721" spans="18:18" ht="15.75" customHeight="1">
      <c r="R721" s="30"/>
    </row>
    <row r="722" spans="18:18" ht="15.75" customHeight="1">
      <c r="R722" s="30"/>
    </row>
    <row r="723" spans="18:18" ht="15.75" customHeight="1">
      <c r="R723" s="30"/>
    </row>
    <row r="724" spans="18:18" ht="15.75" customHeight="1">
      <c r="R724" s="30"/>
    </row>
    <row r="725" spans="18:18" ht="15.75" customHeight="1">
      <c r="R725" s="30"/>
    </row>
    <row r="726" spans="18:18" ht="15.75" customHeight="1">
      <c r="R726" s="30"/>
    </row>
    <row r="727" spans="18:18" ht="15.75" customHeight="1">
      <c r="R727" s="30"/>
    </row>
    <row r="728" spans="18:18" ht="15.75" customHeight="1">
      <c r="R728" s="30"/>
    </row>
    <row r="729" spans="18:18" ht="15.75" customHeight="1">
      <c r="R729" s="30"/>
    </row>
    <row r="730" spans="18:18" ht="15.75" customHeight="1">
      <c r="R730" s="30"/>
    </row>
    <row r="731" spans="18:18" ht="15.75" customHeight="1">
      <c r="R731" s="30"/>
    </row>
    <row r="732" spans="18:18" ht="15.75" customHeight="1">
      <c r="R732" s="30"/>
    </row>
    <row r="733" spans="18:18" ht="15.75" customHeight="1">
      <c r="R733" s="30"/>
    </row>
    <row r="734" spans="18:18" ht="15.75" customHeight="1">
      <c r="R734" s="30"/>
    </row>
    <row r="735" spans="18:18" ht="15.75" customHeight="1">
      <c r="R735" s="30"/>
    </row>
    <row r="736" spans="18:18" ht="15.75" customHeight="1">
      <c r="R736" s="30"/>
    </row>
    <row r="737" spans="18:18" ht="15.75" customHeight="1">
      <c r="R737" s="30"/>
    </row>
    <row r="738" spans="18:18" ht="15.75" customHeight="1">
      <c r="R738" s="30"/>
    </row>
    <row r="739" spans="18:18" ht="15.75" customHeight="1">
      <c r="R739" s="30"/>
    </row>
    <row r="740" spans="18:18" ht="15.75" customHeight="1">
      <c r="R740" s="30"/>
    </row>
    <row r="741" spans="18:18" ht="15.75" customHeight="1">
      <c r="R741" s="30"/>
    </row>
    <row r="742" spans="18:18" ht="15.75" customHeight="1">
      <c r="R742" s="30"/>
    </row>
    <row r="743" spans="18:18" ht="15.75" customHeight="1">
      <c r="R743" s="30"/>
    </row>
    <row r="744" spans="18:18" ht="15.75" customHeight="1">
      <c r="R744" s="30"/>
    </row>
    <row r="745" spans="18:18" ht="15.75" customHeight="1">
      <c r="R745" s="30"/>
    </row>
    <row r="746" spans="18:18" ht="15.75" customHeight="1">
      <c r="R746" s="30"/>
    </row>
    <row r="747" spans="18:18" ht="15.75" customHeight="1">
      <c r="R747" s="30"/>
    </row>
    <row r="748" spans="18:18" ht="15.75" customHeight="1">
      <c r="R748" s="30"/>
    </row>
    <row r="749" spans="18:18" ht="15.75" customHeight="1">
      <c r="R749" s="30"/>
    </row>
    <row r="750" spans="18:18" ht="15.75" customHeight="1">
      <c r="R750" s="30"/>
    </row>
    <row r="751" spans="18:18" ht="15.75" customHeight="1">
      <c r="R751" s="30"/>
    </row>
    <row r="752" spans="18:18" ht="15.75" customHeight="1">
      <c r="R752" s="30"/>
    </row>
    <row r="753" spans="18:18" ht="15.75" customHeight="1">
      <c r="R753" s="30"/>
    </row>
    <row r="754" spans="18:18" ht="15.75" customHeight="1">
      <c r="R754" s="30"/>
    </row>
    <row r="755" spans="18:18" ht="15.75" customHeight="1">
      <c r="R755" s="30"/>
    </row>
    <row r="756" spans="18:18" ht="15.75" customHeight="1">
      <c r="R756" s="30"/>
    </row>
    <row r="757" spans="18:18" ht="15.75" customHeight="1">
      <c r="R757" s="30"/>
    </row>
    <row r="758" spans="18:18" ht="15.75" customHeight="1">
      <c r="R758" s="30"/>
    </row>
    <row r="759" spans="18:18" ht="15.75" customHeight="1">
      <c r="R759" s="30"/>
    </row>
    <row r="760" spans="18:18" ht="15.75" customHeight="1">
      <c r="R760" s="30"/>
    </row>
    <row r="761" spans="18:18" ht="15.75" customHeight="1">
      <c r="R761" s="30"/>
    </row>
    <row r="762" spans="18:18" ht="15.75" customHeight="1">
      <c r="R762" s="30"/>
    </row>
    <row r="763" spans="18:18" ht="15.75" customHeight="1">
      <c r="R763" s="30"/>
    </row>
    <row r="764" spans="18:18" ht="15.75" customHeight="1">
      <c r="R764" s="30"/>
    </row>
    <row r="765" spans="18:18" ht="15.75" customHeight="1">
      <c r="R765" s="30"/>
    </row>
    <row r="766" spans="18:18" ht="15.75" customHeight="1">
      <c r="R766" s="30"/>
    </row>
    <row r="767" spans="18:18" ht="15.75" customHeight="1">
      <c r="R767" s="30"/>
    </row>
    <row r="768" spans="18:18" ht="15.75" customHeight="1">
      <c r="R768" s="30"/>
    </row>
    <row r="769" spans="18:18" ht="15.75" customHeight="1">
      <c r="R769" s="30"/>
    </row>
    <row r="770" spans="18:18" ht="15.75" customHeight="1">
      <c r="R770" s="30"/>
    </row>
    <row r="771" spans="18:18" ht="15.75" customHeight="1">
      <c r="R771" s="30"/>
    </row>
    <row r="772" spans="18:18" ht="15.75" customHeight="1">
      <c r="R772" s="30"/>
    </row>
    <row r="773" spans="18:18" ht="15.75" customHeight="1">
      <c r="R773" s="30"/>
    </row>
    <row r="774" spans="18:18" ht="15.75" customHeight="1">
      <c r="R774" s="30"/>
    </row>
    <row r="775" spans="18:18" ht="15.75" customHeight="1">
      <c r="R775" s="30"/>
    </row>
    <row r="776" spans="18:18" ht="15.75" customHeight="1">
      <c r="R776" s="30"/>
    </row>
    <row r="777" spans="18:18" ht="15.75" customHeight="1">
      <c r="R777" s="30"/>
    </row>
    <row r="778" spans="18:18" ht="15.75" customHeight="1">
      <c r="R778" s="30"/>
    </row>
    <row r="779" spans="18:18" ht="15.75" customHeight="1">
      <c r="R779" s="30"/>
    </row>
    <row r="780" spans="18:18" ht="15.75" customHeight="1">
      <c r="R780" s="30"/>
    </row>
    <row r="781" spans="18:18" ht="15.75" customHeight="1">
      <c r="R781" s="30"/>
    </row>
    <row r="782" spans="18:18" ht="15.75" customHeight="1">
      <c r="R782" s="30"/>
    </row>
    <row r="783" spans="18:18" ht="15.75" customHeight="1">
      <c r="R783" s="30"/>
    </row>
    <row r="784" spans="18:18" ht="15.75" customHeight="1">
      <c r="R784" s="30"/>
    </row>
    <row r="785" spans="18:18" ht="15.75" customHeight="1">
      <c r="R785" s="30"/>
    </row>
    <row r="786" spans="18:18" ht="15.75" customHeight="1">
      <c r="R786" s="30"/>
    </row>
    <row r="787" spans="18:18" ht="15.75" customHeight="1">
      <c r="R787" s="30"/>
    </row>
    <row r="788" spans="18:18" ht="15.75" customHeight="1">
      <c r="R788" s="30"/>
    </row>
    <row r="789" spans="18:18" ht="15.75" customHeight="1">
      <c r="R789" s="30"/>
    </row>
    <row r="790" spans="18:18" ht="15.75" customHeight="1">
      <c r="R790" s="30"/>
    </row>
    <row r="791" spans="18:18" ht="15.75" customHeight="1">
      <c r="R791" s="30"/>
    </row>
    <row r="792" spans="18:18" ht="15.75" customHeight="1">
      <c r="R792" s="30"/>
    </row>
    <row r="793" spans="18:18" ht="15.75" customHeight="1">
      <c r="R793" s="30"/>
    </row>
    <row r="794" spans="18:18" ht="15.75" customHeight="1">
      <c r="R794" s="30"/>
    </row>
    <row r="795" spans="18:18" ht="15.75" customHeight="1">
      <c r="R795" s="30"/>
    </row>
    <row r="796" spans="18:18" ht="15.75" customHeight="1">
      <c r="R796" s="30"/>
    </row>
    <row r="797" spans="18:18" ht="15.75" customHeight="1">
      <c r="R797" s="30"/>
    </row>
    <row r="798" spans="18:18" ht="15.75" customHeight="1">
      <c r="R798" s="30"/>
    </row>
    <row r="799" spans="18:18" ht="15.75" customHeight="1">
      <c r="R799" s="30"/>
    </row>
    <row r="800" spans="18:18" ht="15.75" customHeight="1">
      <c r="R800" s="30"/>
    </row>
    <row r="801" spans="18:18" ht="15.75" customHeight="1">
      <c r="R801" s="30"/>
    </row>
    <row r="802" spans="18:18" ht="15.75" customHeight="1">
      <c r="R802" s="30"/>
    </row>
    <row r="803" spans="18:18" ht="15.75" customHeight="1">
      <c r="R803" s="30"/>
    </row>
    <row r="804" spans="18:18" ht="15.75" customHeight="1">
      <c r="R804" s="30"/>
    </row>
    <row r="805" spans="18:18" ht="15.75" customHeight="1">
      <c r="R805" s="30"/>
    </row>
    <row r="806" spans="18:18" ht="15.75" customHeight="1">
      <c r="R806" s="30"/>
    </row>
    <row r="807" spans="18:18" ht="15.75" customHeight="1">
      <c r="R807" s="30"/>
    </row>
    <row r="808" spans="18:18" ht="15.75" customHeight="1">
      <c r="R808" s="30"/>
    </row>
    <row r="809" spans="18:18" ht="15.75" customHeight="1">
      <c r="R809" s="30"/>
    </row>
    <row r="810" spans="18:18" ht="15.75" customHeight="1">
      <c r="R810" s="30"/>
    </row>
    <row r="811" spans="18:18" ht="15.75" customHeight="1">
      <c r="R811" s="30"/>
    </row>
    <row r="812" spans="18:18" ht="15.75" customHeight="1">
      <c r="R812" s="30"/>
    </row>
    <row r="813" spans="18:18" ht="15.75" customHeight="1">
      <c r="R813" s="30"/>
    </row>
    <row r="814" spans="18:18" ht="15.75" customHeight="1">
      <c r="R814" s="30"/>
    </row>
    <row r="815" spans="18:18" ht="15.75" customHeight="1">
      <c r="R815" s="30"/>
    </row>
    <row r="816" spans="18:18" ht="15.75" customHeight="1">
      <c r="R816" s="30"/>
    </row>
    <row r="817" spans="18:18" ht="15.75" customHeight="1">
      <c r="R817" s="30"/>
    </row>
    <row r="818" spans="18:18" ht="15.75" customHeight="1">
      <c r="R818" s="30"/>
    </row>
    <row r="819" spans="18:18" ht="15.75" customHeight="1">
      <c r="R819" s="30"/>
    </row>
    <row r="820" spans="18:18" ht="15.75" customHeight="1">
      <c r="R820" s="30"/>
    </row>
    <row r="821" spans="18:18" ht="15.75" customHeight="1">
      <c r="R821" s="30"/>
    </row>
    <row r="822" spans="18:18" ht="15.75" customHeight="1">
      <c r="R822" s="30"/>
    </row>
    <row r="823" spans="18:18" ht="15.75" customHeight="1">
      <c r="R823" s="30"/>
    </row>
    <row r="824" spans="18:18" ht="15.75" customHeight="1">
      <c r="R824" s="30"/>
    </row>
    <row r="825" spans="18:18" ht="15.75" customHeight="1">
      <c r="R825" s="30"/>
    </row>
    <row r="826" spans="18:18" ht="15.75" customHeight="1">
      <c r="R826" s="30"/>
    </row>
    <row r="827" spans="18:18" ht="15.75" customHeight="1">
      <c r="R827" s="30"/>
    </row>
    <row r="828" spans="18:18" ht="15.75" customHeight="1">
      <c r="R828" s="30"/>
    </row>
    <row r="829" spans="18:18" ht="15.75" customHeight="1">
      <c r="R829" s="30"/>
    </row>
    <row r="830" spans="18:18" ht="15.75" customHeight="1">
      <c r="R830" s="30"/>
    </row>
    <row r="831" spans="18:18" ht="15.75" customHeight="1">
      <c r="R831" s="30"/>
    </row>
    <row r="832" spans="18:18" ht="15.75" customHeight="1">
      <c r="R832" s="30"/>
    </row>
    <row r="833" spans="18:18" ht="15.75" customHeight="1">
      <c r="R833" s="30"/>
    </row>
    <row r="834" spans="18:18" ht="15.75" customHeight="1">
      <c r="R834" s="30"/>
    </row>
    <row r="835" spans="18:18" ht="15.75" customHeight="1">
      <c r="R835" s="30"/>
    </row>
    <row r="836" spans="18:18" ht="15.75" customHeight="1">
      <c r="R836" s="30"/>
    </row>
    <row r="837" spans="18:18" ht="15.75" customHeight="1">
      <c r="R837" s="30"/>
    </row>
    <row r="838" spans="18:18" ht="15.75" customHeight="1">
      <c r="R838" s="30"/>
    </row>
    <row r="839" spans="18:18" ht="15.75" customHeight="1">
      <c r="R839" s="30"/>
    </row>
    <row r="840" spans="18:18" ht="15.75" customHeight="1">
      <c r="R840" s="30"/>
    </row>
    <row r="841" spans="18:18" ht="15.75" customHeight="1">
      <c r="R841" s="30"/>
    </row>
    <row r="842" spans="18:18" ht="15.75" customHeight="1">
      <c r="R842" s="30"/>
    </row>
    <row r="843" spans="18:18" ht="15.75" customHeight="1">
      <c r="R843" s="30"/>
    </row>
    <row r="844" spans="18:18" ht="15.75" customHeight="1">
      <c r="R844" s="30"/>
    </row>
    <row r="845" spans="18:18" ht="15.75" customHeight="1">
      <c r="R845" s="30"/>
    </row>
    <row r="846" spans="18:18" ht="15.75" customHeight="1">
      <c r="R846" s="30"/>
    </row>
    <row r="847" spans="18:18" ht="15.75" customHeight="1">
      <c r="R847" s="30"/>
    </row>
    <row r="848" spans="18:18" ht="15.75" customHeight="1">
      <c r="R848" s="30"/>
    </row>
    <row r="849" spans="18:18" ht="15.75" customHeight="1">
      <c r="R849" s="30"/>
    </row>
    <row r="850" spans="18:18" ht="15.75" customHeight="1">
      <c r="R850" s="30"/>
    </row>
    <row r="851" spans="18:18" ht="15.75" customHeight="1">
      <c r="R851" s="30"/>
    </row>
    <row r="852" spans="18:18" ht="15.75" customHeight="1">
      <c r="R852" s="30"/>
    </row>
    <row r="853" spans="18:18" ht="15.75" customHeight="1">
      <c r="R853" s="30"/>
    </row>
    <row r="854" spans="18:18" ht="15.75" customHeight="1">
      <c r="R854" s="30"/>
    </row>
    <row r="855" spans="18:18" ht="15.75" customHeight="1">
      <c r="R855" s="30"/>
    </row>
    <row r="856" spans="18:18" ht="15.75" customHeight="1">
      <c r="R856" s="30"/>
    </row>
    <row r="857" spans="18:18" ht="15.75" customHeight="1">
      <c r="R857" s="30"/>
    </row>
    <row r="858" spans="18:18" ht="15.75" customHeight="1">
      <c r="R858" s="30"/>
    </row>
    <row r="859" spans="18:18" ht="15.75" customHeight="1">
      <c r="R859" s="30"/>
    </row>
    <row r="860" spans="18:18" ht="15.75" customHeight="1">
      <c r="R860" s="30"/>
    </row>
    <row r="861" spans="18:18" ht="15.75" customHeight="1">
      <c r="R861" s="30"/>
    </row>
    <row r="862" spans="18:18" ht="15.75" customHeight="1">
      <c r="R862" s="30"/>
    </row>
    <row r="863" spans="18:18" ht="15.75" customHeight="1">
      <c r="R863" s="30"/>
    </row>
    <row r="864" spans="18:18" ht="15.75" customHeight="1">
      <c r="R864" s="30"/>
    </row>
    <row r="865" spans="18:18" ht="15.75" customHeight="1">
      <c r="R865" s="30"/>
    </row>
    <row r="866" spans="18:18" ht="15.75" customHeight="1">
      <c r="R866" s="30"/>
    </row>
    <row r="867" spans="18:18" ht="15.75" customHeight="1">
      <c r="R867" s="30"/>
    </row>
    <row r="868" spans="18:18" ht="15.75" customHeight="1">
      <c r="R868" s="30"/>
    </row>
    <row r="869" spans="18:18" ht="15.75" customHeight="1">
      <c r="R869" s="30"/>
    </row>
    <row r="870" spans="18:18" ht="15.75" customHeight="1">
      <c r="R870" s="30"/>
    </row>
    <row r="871" spans="18:18" ht="15.75" customHeight="1">
      <c r="R871" s="30"/>
    </row>
    <row r="872" spans="18:18" ht="15.75" customHeight="1">
      <c r="R872" s="30"/>
    </row>
    <row r="873" spans="18:18" ht="15.75" customHeight="1">
      <c r="R873" s="30"/>
    </row>
    <row r="874" spans="18:18" ht="15.75" customHeight="1">
      <c r="R874" s="30"/>
    </row>
    <row r="875" spans="18:18" ht="15.75" customHeight="1">
      <c r="R875" s="30"/>
    </row>
    <row r="876" spans="18:18" ht="15.75" customHeight="1">
      <c r="R876" s="30"/>
    </row>
    <row r="877" spans="18:18" ht="15.75" customHeight="1">
      <c r="R877" s="30"/>
    </row>
    <row r="878" spans="18:18" ht="15.75" customHeight="1">
      <c r="R878" s="30"/>
    </row>
    <row r="879" spans="18:18" ht="15.75" customHeight="1">
      <c r="R879" s="30"/>
    </row>
    <row r="880" spans="18:18" ht="15.75" customHeight="1">
      <c r="R880" s="30"/>
    </row>
    <row r="881" spans="18:18" ht="15.75" customHeight="1">
      <c r="R881" s="30"/>
    </row>
    <row r="882" spans="18:18" ht="15.75" customHeight="1">
      <c r="R882" s="30"/>
    </row>
    <row r="883" spans="18:18" ht="15.75" customHeight="1">
      <c r="R883" s="30"/>
    </row>
    <row r="884" spans="18:18" ht="15.75" customHeight="1">
      <c r="R884" s="30"/>
    </row>
    <row r="885" spans="18:18" ht="15.75" customHeight="1">
      <c r="R885" s="30"/>
    </row>
    <row r="886" spans="18:18" ht="15.75" customHeight="1">
      <c r="R886" s="30"/>
    </row>
    <row r="887" spans="18:18" ht="15.75" customHeight="1">
      <c r="R887" s="30"/>
    </row>
    <row r="888" spans="18:18" ht="15.75" customHeight="1">
      <c r="R888" s="30"/>
    </row>
    <row r="889" spans="18:18" ht="15.75" customHeight="1">
      <c r="R889" s="30"/>
    </row>
    <row r="890" spans="18:18" ht="15.75" customHeight="1">
      <c r="R890" s="30"/>
    </row>
    <row r="891" spans="18:18" ht="15.75" customHeight="1">
      <c r="R891" s="30"/>
    </row>
    <row r="892" spans="18:18" ht="15.75" customHeight="1">
      <c r="R892" s="30"/>
    </row>
    <row r="893" spans="18:18" ht="15.75" customHeight="1">
      <c r="R893" s="30"/>
    </row>
    <row r="894" spans="18:18" ht="15.75" customHeight="1">
      <c r="R894" s="30"/>
    </row>
    <row r="895" spans="18:18" ht="15.75" customHeight="1">
      <c r="R895" s="30"/>
    </row>
    <row r="896" spans="18:18" ht="15.75" customHeight="1">
      <c r="R896" s="30"/>
    </row>
    <row r="897" spans="18:18" ht="15.75" customHeight="1">
      <c r="R897" s="30"/>
    </row>
    <row r="898" spans="18:18" ht="15.75" customHeight="1">
      <c r="R898" s="30"/>
    </row>
    <row r="899" spans="18:18" ht="15.75" customHeight="1">
      <c r="R899" s="30"/>
    </row>
    <row r="900" spans="18:18" ht="15.75" customHeight="1">
      <c r="R900" s="30"/>
    </row>
    <row r="901" spans="18:18" ht="15.75" customHeight="1">
      <c r="R901" s="30"/>
    </row>
    <row r="902" spans="18:18" ht="15.75" customHeight="1">
      <c r="R902" s="30"/>
    </row>
    <row r="903" spans="18:18" ht="15.75" customHeight="1">
      <c r="R903" s="30"/>
    </row>
    <row r="904" spans="18:18" ht="15.75" customHeight="1">
      <c r="R904" s="30"/>
    </row>
    <row r="905" spans="18:18" ht="15.75" customHeight="1">
      <c r="R905" s="30"/>
    </row>
    <row r="906" spans="18:18" ht="15.75" customHeight="1">
      <c r="R906" s="30"/>
    </row>
    <row r="907" spans="18:18" ht="15.75" customHeight="1">
      <c r="R907" s="30"/>
    </row>
    <row r="908" spans="18:18" ht="15.75" customHeight="1">
      <c r="R908" s="30"/>
    </row>
    <row r="909" spans="18:18" ht="15.75" customHeight="1">
      <c r="R909" s="30"/>
    </row>
    <row r="910" spans="18:18" ht="15.75" customHeight="1">
      <c r="R910" s="30"/>
    </row>
    <row r="911" spans="18:18" ht="15.75" customHeight="1">
      <c r="R911" s="30"/>
    </row>
    <row r="912" spans="18:18" ht="15.75" customHeight="1">
      <c r="R912" s="30"/>
    </row>
    <row r="913" spans="18:18" ht="15.75" customHeight="1">
      <c r="R913" s="30"/>
    </row>
    <row r="914" spans="18:18" ht="15.75" customHeight="1">
      <c r="R914" s="30"/>
    </row>
    <row r="915" spans="18:18" ht="15.75" customHeight="1">
      <c r="R915" s="30"/>
    </row>
    <row r="916" spans="18:18" ht="15.75" customHeight="1">
      <c r="R916" s="30"/>
    </row>
    <row r="917" spans="18:18" ht="15.75" customHeight="1">
      <c r="R917" s="30"/>
    </row>
    <row r="918" spans="18:18" ht="15.75" customHeight="1">
      <c r="R918" s="30"/>
    </row>
    <row r="919" spans="18:18" ht="15.75" customHeight="1">
      <c r="R919" s="30"/>
    </row>
    <row r="920" spans="18:18" ht="15.75" customHeight="1">
      <c r="R920" s="30"/>
    </row>
    <row r="921" spans="18:18" ht="15.75" customHeight="1">
      <c r="R921" s="30"/>
    </row>
    <row r="922" spans="18:18" ht="15.75" customHeight="1">
      <c r="R922" s="30"/>
    </row>
    <row r="923" spans="18:18" ht="15.75" customHeight="1">
      <c r="R923" s="30"/>
    </row>
    <row r="924" spans="18:18" ht="15.75" customHeight="1">
      <c r="R924" s="30"/>
    </row>
    <row r="925" spans="18:18" ht="15.75" customHeight="1">
      <c r="R925" s="30"/>
    </row>
    <row r="926" spans="18:18" ht="15.75" customHeight="1">
      <c r="R926" s="30"/>
    </row>
    <row r="927" spans="18:18" ht="15.75" customHeight="1">
      <c r="R927" s="30"/>
    </row>
    <row r="928" spans="18:18" ht="15.75" customHeight="1">
      <c r="R928" s="30"/>
    </row>
    <row r="929" spans="18:18" ht="15.75" customHeight="1">
      <c r="R929" s="30"/>
    </row>
    <row r="930" spans="18:18" ht="15.75" customHeight="1">
      <c r="R930" s="30"/>
    </row>
    <row r="931" spans="18:18" ht="15.75" customHeight="1">
      <c r="R931" s="30"/>
    </row>
    <row r="932" spans="18:18" ht="15.75" customHeight="1">
      <c r="R932" s="30"/>
    </row>
    <row r="933" spans="18:18" ht="15.75" customHeight="1">
      <c r="R933" s="30"/>
    </row>
    <row r="934" spans="18:18" ht="15.75" customHeight="1">
      <c r="R934" s="30"/>
    </row>
    <row r="935" spans="18:18" ht="15.75" customHeight="1">
      <c r="R935" s="30"/>
    </row>
    <row r="936" spans="18:18" ht="15.75" customHeight="1">
      <c r="R936" s="30"/>
    </row>
    <row r="937" spans="18:18" ht="15.75" customHeight="1">
      <c r="R937" s="30"/>
    </row>
    <row r="938" spans="18:18" ht="15.75" customHeight="1">
      <c r="R938" s="30"/>
    </row>
    <row r="939" spans="18:18" ht="15.75" customHeight="1">
      <c r="R939" s="30"/>
    </row>
    <row r="940" spans="18:18" ht="15.75" customHeight="1">
      <c r="R940" s="30"/>
    </row>
    <row r="941" spans="18:18" ht="15.75" customHeight="1">
      <c r="R941" s="30"/>
    </row>
    <row r="942" spans="18:18" ht="15.75" customHeight="1">
      <c r="R942" s="30"/>
    </row>
    <row r="943" spans="18:18" ht="15.75" customHeight="1">
      <c r="R943" s="30"/>
    </row>
    <row r="944" spans="18:18" ht="15.75" customHeight="1">
      <c r="R944" s="30"/>
    </row>
    <row r="945" spans="18:18" ht="15.75" customHeight="1">
      <c r="R945" s="30"/>
    </row>
    <row r="946" spans="18:18" ht="15.75" customHeight="1">
      <c r="R946" s="30"/>
    </row>
    <row r="947" spans="18:18" ht="15.75" customHeight="1">
      <c r="R947" s="30"/>
    </row>
    <row r="948" spans="18:18" ht="15.75" customHeight="1">
      <c r="R948" s="30"/>
    </row>
    <row r="949" spans="18:18" ht="15.75" customHeight="1">
      <c r="R949" s="30"/>
    </row>
    <row r="950" spans="18:18" ht="15.75" customHeight="1">
      <c r="R950" s="30"/>
    </row>
    <row r="951" spans="18:18" ht="15.75" customHeight="1">
      <c r="R951" s="30"/>
    </row>
    <row r="952" spans="18:18" ht="15.75" customHeight="1">
      <c r="R952" s="30"/>
    </row>
    <row r="953" spans="18:18" ht="15.75" customHeight="1">
      <c r="R953" s="30"/>
    </row>
    <row r="954" spans="18:18" ht="15.75" customHeight="1">
      <c r="R954" s="30"/>
    </row>
    <row r="955" spans="18:18" ht="15.75" customHeight="1">
      <c r="R955" s="30"/>
    </row>
    <row r="956" spans="18:18" ht="15.75" customHeight="1">
      <c r="R956" s="30"/>
    </row>
    <row r="957" spans="18:18" ht="15.75" customHeight="1">
      <c r="R957" s="30"/>
    </row>
    <row r="958" spans="18:18" ht="15.75" customHeight="1">
      <c r="R958" s="30"/>
    </row>
    <row r="959" spans="18:18" ht="15.75" customHeight="1">
      <c r="R959" s="30"/>
    </row>
    <row r="960" spans="18:18" ht="15.75" customHeight="1">
      <c r="R960" s="30"/>
    </row>
    <row r="961" spans="18:18" ht="15.75" customHeight="1">
      <c r="R961" s="30"/>
    </row>
    <row r="962" spans="18:18" ht="15.75" customHeight="1">
      <c r="R962" s="30"/>
    </row>
    <row r="963" spans="18:18" ht="15.75" customHeight="1">
      <c r="R963" s="30"/>
    </row>
    <row r="964" spans="18:18" ht="15.75" customHeight="1">
      <c r="R964" s="30"/>
    </row>
    <row r="965" spans="18:18" ht="15.75" customHeight="1">
      <c r="R965" s="30"/>
    </row>
    <row r="966" spans="18:18" ht="15.75" customHeight="1">
      <c r="R966" s="30"/>
    </row>
    <row r="967" spans="18:18" ht="15.75" customHeight="1">
      <c r="R967" s="30"/>
    </row>
    <row r="968" spans="18:18" ht="15.75" customHeight="1">
      <c r="R968" s="30"/>
    </row>
    <row r="969" spans="18:18" ht="15.75" customHeight="1">
      <c r="R969" s="30"/>
    </row>
    <row r="970" spans="18:18" ht="15.75" customHeight="1">
      <c r="R970" s="30"/>
    </row>
    <row r="971" spans="18:18" ht="15.75" customHeight="1">
      <c r="R971" s="30"/>
    </row>
    <row r="972" spans="18:18" ht="15.75" customHeight="1">
      <c r="R972" s="30"/>
    </row>
    <row r="973" spans="18:18" ht="15.75" customHeight="1">
      <c r="R973" s="30"/>
    </row>
    <row r="974" spans="18:18" ht="15.75" customHeight="1">
      <c r="R974" s="30"/>
    </row>
    <row r="975" spans="18:18" ht="15.75" customHeight="1">
      <c r="R975" s="30"/>
    </row>
    <row r="976" spans="18:18" ht="15.75" customHeight="1">
      <c r="R976" s="30"/>
    </row>
    <row r="977" spans="18:18" ht="15.75" customHeight="1">
      <c r="R977" s="30"/>
    </row>
    <row r="978" spans="18:18" ht="15.75" customHeight="1">
      <c r="R978" s="30"/>
    </row>
    <row r="979" spans="18:18" ht="15.75" customHeight="1">
      <c r="R979" s="30"/>
    </row>
    <row r="980" spans="18:18" ht="15.75" customHeight="1">
      <c r="R980" s="30"/>
    </row>
    <row r="981" spans="18:18" ht="15.75" customHeight="1">
      <c r="R981" s="30"/>
    </row>
    <row r="982" spans="18:18" ht="15.75" customHeight="1">
      <c r="R982" s="30"/>
    </row>
    <row r="983" spans="18:18" ht="15.75" customHeight="1">
      <c r="R983" s="30"/>
    </row>
    <row r="984" spans="18:18" ht="15.75" customHeight="1">
      <c r="R984" s="30"/>
    </row>
    <row r="985" spans="18:18" ht="15.75" customHeight="1">
      <c r="R985" s="30"/>
    </row>
    <row r="986" spans="18:18" ht="15.75" customHeight="1">
      <c r="R986" s="30"/>
    </row>
    <row r="987" spans="18:18" ht="15.75" customHeight="1">
      <c r="R987" s="30"/>
    </row>
    <row r="988" spans="18:18" ht="15.75" customHeight="1">
      <c r="R988" s="30"/>
    </row>
    <row r="989" spans="18:18" ht="15.75" customHeight="1">
      <c r="R989" s="30"/>
    </row>
    <row r="990" spans="18:18" ht="15.75" customHeight="1">
      <c r="R990" s="30"/>
    </row>
    <row r="991" spans="18:18" ht="15.75" customHeight="1">
      <c r="R991" s="30"/>
    </row>
    <row r="992" spans="18:18" ht="15.75" customHeight="1">
      <c r="R992" s="30"/>
    </row>
    <row r="993" spans="18:18" ht="15.75" customHeight="1">
      <c r="R993" s="30"/>
    </row>
    <row r="994" spans="18:18" ht="15.75" customHeight="1">
      <c r="R994" s="30"/>
    </row>
    <row r="995" spans="18:18" ht="15.75" customHeight="1">
      <c r="R995" s="30"/>
    </row>
    <row r="996" spans="18:18" ht="15.75" customHeight="1">
      <c r="R996" s="30"/>
    </row>
    <row r="997" spans="18:18" ht="15.75" customHeight="1">
      <c r="R997" s="30"/>
    </row>
    <row r="998" spans="18:18" ht="15.75" customHeight="1">
      <c r="R998" s="30"/>
    </row>
    <row r="999" spans="18:18" ht="15.75" customHeight="1">
      <c r="R999" s="30"/>
    </row>
    <row r="1000" spans="18:18" ht="15.75" customHeight="1">
      <c r="R1000" s="3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2.6640625" defaultRowHeight="15" customHeight="1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8.6640625" customWidth="1"/>
    <col min="6" max="6" width="9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16.33203125" customWidth="1"/>
    <col min="16" max="16" width="10" customWidth="1"/>
    <col min="17" max="18" width="7.33203125" customWidth="1"/>
    <col min="19" max="19" width="7.1640625" customWidth="1"/>
    <col min="20" max="20" width="11.1640625" customWidth="1"/>
    <col min="21" max="21" width="25.6640625" customWidth="1"/>
    <col min="22" max="22" width="54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6640625" customWidth="1"/>
    <col min="32" max="32" width="10.1640625" customWidth="1"/>
    <col min="33" max="33" width="8.83203125" customWidth="1"/>
  </cols>
  <sheetData>
    <row r="1" spans="1:33" ht="18.75" customHeight="1">
      <c r="A1" s="46" t="str">
        <f ca="1">IFERROR(__xludf.DUMMYFUNCTION("IFERROR(VLOOKUP(B2,IMPORTRANGE(""https://docs.google.com/spreadsheets/d/1x0DhHglkXKoEBOD2MBsuK_EyIr1ouxD2ftIpqOYFa-k/edit?usp=sharing"",""Ubiquitty-SKU-Specific Info!B1:BJ5000""),3,FALSE),"""")"),"6 Ft Outdoor Extension Cord - 12/3 SJTW Heavy Duty Black Cable with 3 Prong Grounded Plug for Safety")</f>
        <v>6 Ft Outdoor Extension Cord - 12/3 SJTW Heavy Duty Black Cable with 3 Prong Grounded Plug for Safety</v>
      </c>
      <c r="B1" s="47"/>
      <c r="C1" s="48" t="s">
        <v>0</v>
      </c>
      <c r="D1" s="50" t="s">
        <v>1</v>
      </c>
      <c r="E1" s="50" t="s">
        <v>2</v>
      </c>
      <c r="F1" s="52" t="s">
        <v>3</v>
      </c>
      <c r="G1" s="52" t="s">
        <v>4</v>
      </c>
      <c r="H1" s="53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58" t="s">
        <v>10</v>
      </c>
      <c r="N1" s="59" t="s">
        <v>11</v>
      </c>
      <c r="O1" s="50" t="s">
        <v>12</v>
      </c>
      <c r="P1" s="50" t="s">
        <v>13</v>
      </c>
      <c r="Q1" s="57" t="s">
        <v>14</v>
      </c>
      <c r="R1" s="57" t="s">
        <v>15</v>
      </c>
      <c r="S1" s="60" t="s">
        <v>16</v>
      </c>
      <c r="T1" s="62" t="s">
        <v>2006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Info!B1:BJ5000""),2,FALSE),"""")"),"B08NFHMVRZ")</f>
        <v>B08NFHMVRZ</v>
      </c>
      <c r="B2" s="3" t="s">
        <v>603</v>
      </c>
      <c r="C2" s="49"/>
      <c r="D2" s="49"/>
      <c r="E2" s="51"/>
      <c r="F2" s="49"/>
      <c r="G2" s="49"/>
      <c r="H2" s="54"/>
      <c r="I2" s="49"/>
      <c r="J2" s="49"/>
      <c r="K2" s="54"/>
      <c r="L2" s="54"/>
      <c r="M2" s="54"/>
      <c r="N2" s="49"/>
      <c r="O2" s="49"/>
      <c r="P2" s="51"/>
      <c r="Q2" s="49"/>
      <c r="R2" s="49"/>
      <c r="S2" s="61"/>
      <c r="T2" s="47"/>
      <c r="U2" s="63"/>
      <c r="V2" s="63"/>
      <c r="W2" s="47"/>
      <c r="X2" s="47"/>
      <c r="Y2" s="47"/>
      <c r="Z2" s="47"/>
      <c r="AA2" s="63"/>
      <c r="AB2" s="63"/>
      <c r="AC2" s="63"/>
      <c r="AD2" s="63"/>
      <c r="AE2" s="47"/>
      <c r="AF2" s="47"/>
      <c r="AG2" s="47"/>
    </row>
    <row r="3" spans="1:33" ht="162" customHeight="1">
      <c r="A3" s="55" t="s">
        <v>31</v>
      </c>
      <c r="B3" s="56"/>
      <c r="C3" s="4">
        <f>((AE32+AF32)/0.85)*-1</f>
        <v>9.5698404784705904</v>
      </c>
      <c r="D3" s="5">
        <f>SUM(D4:D99765)</f>
        <v>94</v>
      </c>
      <c r="E3" s="5"/>
      <c r="F3" s="6">
        <f t="shared" ref="F3:G3" si="0">SUM(F4:F99765)</f>
        <v>1413.36</v>
      </c>
      <c r="G3" s="6">
        <f t="shared" si="0"/>
        <v>0</v>
      </c>
      <c r="H3" s="7">
        <f>G3/F3*-1</f>
        <v>0</v>
      </c>
      <c r="I3" s="8">
        <f>J3/F3</f>
        <v>0.30565623983627677</v>
      </c>
      <c r="J3" s="6">
        <f>SUM(J4:J99765)</f>
        <v>432.00230313500009</v>
      </c>
      <c r="K3" s="6">
        <f>J3/D3</f>
        <v>4.5957691822872349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6 - April
6 - May
6 - June
6 - July
6 - Aug
6 - Sept
6 - Oct
6 - Nov
6 - Dec
 - Jan
 - Feb")</f>
        <v xml:space="preserve"> - March
6 - April
6 - May
6 - June
6 - July
6 - Aug
6 - Sept
6 - Oct
6 - Nov
6 -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0</v>
      </c>
      <c r="X3" s="7">
        <f>W3/D3</f>
        <v>0</v>
      </c>
      <c r="Y3" s="6"/>
      <c r="Z3" s="5"/>
      <c r="AA3" s="5"/>
      <c r="AB3" s="5"/>
      <c r="AC3" s="5"/>
      <c r="AD3" s="6">
        <f>SUM(AD4:AD99765)</f>
        <v>-4.7981968650000004</v>
      </c>
      <c r="AE3" s="6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Info!B2:BZ3000""),37,FALSE)),"""")*-1"),-3.2343644067)</f>
        <v>-3.2343644067000001</v>
      </c>
      <c r="AG3" s="6">
        <f>SUM(AG4:AG99765)</f>
        <v>0</v>
      </c>
    </row>
    <row r="4" spans="1:33" ht="15.75" hidden="1" customHeight="1">
      <c r="A4" s="14"/>
      <c r="B4" s="14"/>
      <c r="C4" s="15"/>
      <c r="D4" s="16"/>
      <c r="E4" s="16"/>
      <c r="F4" s="17"/>
      <c r="G4" s="17"/>
      <c r="H4" s="18"/>
      <c r="I4" s="18"/>
      <c r="J4" s="17"/>
      <c r="K4" s="17"/>
      <c r="L4" s="16"/>
      <c r="M4" s="19"/>
      <c r="N4" s="16"/>
      <c r="O4" s="20"/>
      <c r="P4" s="20"/>
      <c r="Q4" s="16"/>
      <c r="R4" s="16"/>
      <c r="S4" s="21"/>
      <c r="T4" s="14"/>
      <c r="U4" s="22"/>
      <c r="V4" s="23"/>
      <c r="W4" s="14"/>
      <c r="X4" s="24"/>
      <c r="Y4" s="25"/>
      <c r="Z4" s="14"/>
      <c r="AA4" s="26"/>
      <c r="AB4" s="27"/>
      <c r="AC4" s="28"/>
      <c r="AD4" s="25"/>
      <c r="AE4" s="25"/>
      <c r="AF4" s="25"/>
      <c r="AG4" s="25"/>
    </row>
    <row r="5" spans="1:33" ht="15.75" hidden="1" customHeight="1">
      <c r="A5" s="14"/>
      <c r="B5" s="14"/>
      <c r="C5" s="15"/>
      <c r="D5" s="16"/>
      <c r="E5" s="16"/>
      <c r="F5" s="29"/>
      <c r="G5" s="29"/>
      <c r="H5" s="18"/>
      <c r="I5" s="18"/>
      <c r="J5" s="17"/>
      <c r="K5" s="17"/>
      <c r="L5" s="16"/>
      <c r="M5" s="19"/>
      <c r="N5" s="16"/>
      <c r="O5" s="20"/>
      <c r="P5" s="20"/>
      <c r="Q5" s="16"/>
      <c r="R5" s="16"/>
      <c r="S5" s="21"/>
      <c r="T5" s="14"/>
      <c r="U5" s="22"/>
      <c r="V5" s="23"/>
      <c r="W5" s="14"/>
      <c r="X5" s="24"/>
      <c r="Y5" s="25"/>
      <c r="Z5" s="14"/>
      <c r="AA5" s="14"/>
      <c r="AB5" s="27"/>
      <c r="AC5" s="28"/>
      <c r="AD5" s="25"/>
      <c r="AE5" s="25"/>
      <c r="AF5" s="25"/>
      <c r="AG5" s="25"/>
    </row>
    <row r="6" spans="1:33" ht="15.75" hidden="1" customHeight="1">
      <c r="A6" s="14"/>
      <c r="B6" s="14"/>
      <c r="C6" s="15"/>
      <c r="D6" s="16"/>
      <c r="E6" s="16"/>
      <c r="F6" s="29"/>
      <c r="G6" s="29"/>
      <c r="H6" s="18"/>
      <c r="I6" s="18"/>
      <c r="J6" s="17"/>
      <c r="K6" s="17"/>
      <c r="L6" s="16"/>
      <c r="M6" s="19"/>
      <c r="N6" s="16"/>
      <c r="O6" s="20"/>
      <c r="P6" s="20"/>
      <c r="Q6" s="16"/>
      <c r="R6" s="16"/>
      <c r="S6" s="21"/>
      <c r="T6" s="14"/>
      <c r="U6" s="22"/>
      <c r="V6" s="23"/>
      <c r="W6" s="14"/>
      <c r="X6" s="24"/>
      <c r="Y6" s="25"/>
      <c r="Z6" s="14"/>
      <c r="AA6" s="14"/>
      <c r="AB6" s="27"/>
      <c r="AC6" s="28"/>
      <c r="AD6" s="25"/>
      <c r="AE6" s="25"/>
      <c r="AF6" s="25"/>
      <c r="AG6" s="25"/>
    </row>
    <row r="7" spans="1:33" ht="15.75" hidden="1" customHeight="1">
      <c r="A7" s="14"/>
      <c r="B7" s="14"/>
      <c r="C7" s="15"/>
      <c r="D7" s="16"/>
      <c r="E7" s="16"/>
      <c r="F7" s="29"/>
      <c r="G7" s="29"/>
      <c r="H7" s="18"/>
      <c r="I7" s="18"/>
      <c r="J7" s="17"/>
      <c r="K7" s="17"/>
      <c r="L7" s="16"/>
      <c r="M7" s="19"/>
      <c r="N7" s="16"/>
      <c r="O7" s="20"/>
      <c r="P7" s="20"/>
      <c r="Q7" s="16"/>
      <c r="R7" s="16"/>
      <c r="S7" s="21"/>
      <c r="T7" s="14"/>
      <c r="U7" s="22"/>
      <c r="V7" s="23"/>
      <c r="W7" s="14"/>
      <c r="X7" s="24"/>
      <c r="Y7" s="25"/>
      <c r="Z7" s="14"/>
      <c r="AA7" s="14"/>
      <c r="AB7" s="27"/>
      <c r="AC7" s="28"/>
      <c r="AD7" s="25"/>
      <c r="AE7" s="25"/>
      <c r="AF7" s="25"/>
      <c r="AG7" s="25"/>
    </row>
    <row r="8" spans="1:33" ht="15.75" hidden="1" customHeight="1">
      <c r="A8" s="14"/>
      <c r="B8" s="14"/>
      <c r="C8" s="15"/>
      <c r="D8" s="16"/>
      <c r="E8" s="16"/>
      <c r="F8" s="29"/>
      <c r="G8" s="29"/>
      <c r="H8" s="18"/>
      <c r="I8" s="18"/>
      <c r="J8" s="17"/>
      <c r="K8" s="17"/>
      <c r="L8" s="16"/>
      <c r="M8" s="19"/>
      <c r="N8" s="16"/>
      <c r="O8" s="20"/>
      <c r="P8" s="20"/>
      <c r="Q8" s="16"/>
      <c r="R8" s="16"/>
      <c r="S8" s="21"/>
      <c r="T8" s="14"/>
      <c r="U8" s="22"/>
      <c r="V8" s="23"/>
      <c r="W8" s="14"/>
      <c r="X8" s="24"/>
      <c r="Y8" s="25"/>
      <c r="Z8" s="14"/>
      <c r="AA8" s="14"/>
      <c r="AB8" s="27"/>
      <c r="AC8" s="28"/>
      <c r="AD8" s="25"/>
      <c r="AE8" s="25"/>
      <c r="AF8" s="25"/>
      <c r="AG8" s="25"/>
    </row>
    <row r="9" spans="1:33" ht="15.75" hidden="1" customHeight="1">
      <c r="A9" s="14"/>
      <c r="B9" s="14"/>
      <c r="C9" s="15"/>
      <c r="D9" s="16"/>
      <c r="E9" s="16"/>
      <c r="F9" s="29"/>
      <c r="G9" s="29"/>
      <c r="H9" s="18"/>
      <c r="I9" s="18"/>
      <c r="J9" s="17"/>
      <c r="K9" s="17"/>
      <c r="L9" s="16"/>
      <c r="M9" s="19"/>
      <c r="N9" s="16"/>
      <c r="O9" s="20"/>
      <c r="P9" s="20"/>
      <c r="Q9" s="16"/>
      <c r="R9" s="16"/>
      <c r="S9" s="21"/>
      <c r="T9" s="14"/>
      <c r="U9" s="22"/>
      <c r="V9" s="23"/>
      <c r="W9" s="14"/>
      <c r="X9" s="24"/>
      <c r="Y9" s="25"/>
      <c r="Z9" s="14"/>
      <c r="AA9" s="14"/>
      <c r="AB9" s="27"/>
      <c r="AC9" s="28"/>
      <c r="AD9" s="25"/>
      <c r="AE9" s="25"/>
      <c r="AF9" s="25"/>
      <c r="AG9" s="25"/>
    </row>
    <row r="10" spans="1:33" ht="15.75" hidden="1" customHeight="1">
      <c r="A10" s="14"/>
      <c r="B10" s="14"/>
      <c r="C10" s="15"/>
      <c r="D10" s="16"/>
      <c r="E10" s="16"/>
      <c r="F10" s="29"/>
      <c r="G10" s="29"/>
      <c r="H10" s="18"/>
      <c r="I10" s="18"/>
      <c r="J10" s="17"/>
      <c r="K10" s="17"/>
      <c r="L10" s="16"/>
      <c r="M10" s="19"/>
      <c r="N10" s="16"/>
      <c r="O10" s="20"/>
      <c r="P10" s="20"/>
      <c r="Q10" s="16"/>
      <c r="R10" s="16"/>
      <c r="S10" s="21"/>
      <c r="T10" s="14"/>
      <c r="U10" s="22"/>
      <c r="V10" s="23"/>
      <c r="W10" s="14"/>
      <c r="X10" s="24"/>
      <c r="Y10" s="25"/>
      <c r="Z10" s="14"/>
      <c r="AA10" s="14"/>
      <c r="AB10" s="27"/>
      <c r="AC10" s="28"/>
      <c r="AD10" s="25"/>
      <c r="AE10" s="25"/>
      <c r="AF10" s="25"/>
      <c r="AG10" s="25"/>
    </row>
    <row r="11" spans="1:33" ht="15.75" hidden="1" customHeight="1">
      <c r="A11" s="14"/>
      <c r="B11" s="14"/>
      <c r="C11" s="15"/>
      <c r="D11" s="16"/>
      <c r="E11" s="16"/>
      <c r="F11" s="29"/>
      <c r="G11" s="29"/>
      <c r="H11" s="18"/>
      <c r="I11" s="18"/>
      <c r="J11" s="17"/>
      <c r="K11" s="17"/>
      <c r="L11" s="16"/>
      <c r="M11" s="19"/>
      <c r="N11" s="16"/>
      <c r="O11" s="20"/>
      <c r="P11" s="20"/>
      <c r="Q11" s="16"/>
      <c r="R11" s="16"/>
      <c r="S11" s="21"/>
      <c r="T11" s="14"/>
      <c r="U11" s="22"/>
      <c r="V11" s="23"/>
      <c r="W11" s="14"/>
      <c r="X11" s="24"/>
      <c r="Y11" s="25"/>
      <c r="Z11" s="14"/>
      <c r="AA11" s="14"/>
      <c r="AB11" s="27"/>
      <c r="AC11" s="28"/>
      <c r="AD11" s="25"/>
      <c r="AE11" s="25"/>
      <c r="AF11" s="25"/>
      <c r="AG11" s="25"/>
    </row>
    <row r="12" spans="1:33" ht="15.75" hidden="1" customHeight="1">
      <c r="A12" s="14"/>
      <c r="B12" s="14"/>
      <c r="C12" s="15"/>
      <c r="D12" s="16"/>
      <c r="E12" s="16"/>
      <c r="F12" s="29"/>
      <c r="G12" s="29"/>
      <c r="H12" s="18"/>
      <c r="I12" s="18"/>
      <c r="J12" s="17"/>
      <c r="K12" s="17"/>
      <c r="L12" s="16"/>
      <c r="M12" s="19"/>
      <c r="N12" s="16"/>
      <c r="O12" s="20"/>
      <c r="P12" s="20"/>
      <c r="Q12" s="16"/>
      <c r="R12" s="16"/>
      <c r="S12" s="21"/>
      <c r="T12" s="14"/>
      <c r="U12" s="22"/>
      <c r="V12" s="23"/>
      <c r="W12" s="14"/>
      <c r="X12" s="24"/>
      <c r="Y12" s="25"/>
      <c r="Z12" s="14"/>
      <c r="AA12" s="14"/>
      <c r="AB12" s="27"/>
      <c r="AC12" s="28"/>
      <c r="AD12" s="25"/>
      <c r="AE12" s="25"/>
      <c r="AF12" s="25"/>
      <c r="AG12" s="25"/>
    </row>
    <row r="13" spans="1:33" ht="15.75" hidden="1" customHeight="1">
      <c r="A13" s="14"/>
      <c r="B13" s="14"/>
      <c r="C13" s="15"/>
      <c r="D13" s="16"/>
      <c r="E13" s="16"/>
      <c r="F13" s="17"/>
      <c r="G13" s="29"/>
      <c r="H13" s="18"/>
      <c r="I13" s="18"/>
      <c r="J13" s="17"/>
      <c r="K13" s="17"/>
      <c r="L13" s="16"/>
      <c r="M13" s="19"/>
      <c r="N13" s="16"/>
      <c r="O13" s="20"/>
      <c r="P13" s="20"/>
      <c r="Q13" s="16"/>
      <c r="R13" s="16"/>
      <c r="S13" s="21"/>
      <c r="T13" s="14"/>
      <c r="U13" s="22"/>
      <c r="V13" s="23"/>
      <c r="W13" s="14"/>
      <c r="X13" s="24"/>
      <c r="Y13" s="25"/>
      <c r="Z13" s="14"/>
      <c r="AA13" s="14"/>
      <c r="AB13" s="27"/>
      <c r="AC13" s="28"/>
      <c r="AD13" s="25"/>
      <c r="AE13" s="25"/>
      <c r="AF13" s="25"/>
      <c r="AG13" s="25"/>
    </row>
    <row r="14" spans="1:33" ht="15.75" hidden="1" customHeight="1">
      <c r="A14" s="14"/>
      <c r="B14" s="14"/>
      <c r="C14" s="15"/>
      <c r="D14" s="16"/>
      <c r="E14" s="16"/>
      <c r="F14" s="17"/>
      <c r="G14" s="29"/>
      <c r="H14" s="18"/>
      <c r="I14" s="18"/>
      <c r="J14" s="17"/>
      <c r="K14" s="17"/>
      <c r="L14" s="16"/>
      <c r="M14" s="19"/>
      <c r="N14" s="16"/>
      <c r="O14" s="20"/>
      <c r="P14" s="20"/>
      <c r="Q14" s="16"/>
      <c r="R14" s="16"/>
      <c r="S14" s="21"/>
      <c r="T14" s="14"/>
      <c r="U14" s="22"/>
      <c r="V14" s="23"/>
      <c r="W14" s="14"/>
      <c r="X14" s="24"/>
      <c r="Y14" s="25"/>
      <c r="Z14" s="14"/>
      <c r="AA14" s="14"/>
      <c r="AB14" s="27"/>
      <c r="AC14" s="28"/>
      <c r="AD14" s="25"/>
      <c r="AE14" s="25"/>
      <c r="AF14" s="25"/>
      <c r="AG14" s="25"/>
    </row>
    <row r="15" spans="1:33" ht="15.75" customHeight="1">
      <c r="A15" s="14" t="s">
        <v>36</v>
      </c>
      <c r="B15" s="14" t="s">
        <v>604</v>
      </c>
      <c r="C15" s="15">
        <f t="shared" ref="C15:C32" si="1">IFERROR(F15/D15," - ")</f>
        <v>12.851463414634152</v>
      </c>
      <c r="D15" s="16">
        <v>41</v>
      </c>
      <c r="E15" s="16">
        <v>4</v>
      </c>
      <c r="F15" s="17">
        <v>526.9100000000002</v>
      </c>
      <c r="G15" s="29">
        <v>0</v>
      </c>
      <c r="H15" s="18">
        <f t="shared" ref="H15:H32" si="2">G15/F15*-1</f>
        <v>0</v>
      </c>
      <c r="I15" s="18">
        <f t="shared" ref="I15:I32" si="3">J15/F15</f>
        <v>0.21325970175646713</v>
      </c>
      <c r="J15" s="17">
        <f t="shared" ref="J15:J32" si="4">F15*0.85+G15+AF15*D15+D15*AE15+AG15+AD15</f>
        <v>112.36866945250014</v>
      </c>
      <c r="K15" s="17">
        <f t="shared" ref="K15:K32" si="5">J15/D15</f>
        <v>2.7406992549390279</v>
      </c>
      <c r="L15" s="16">
        <v>57</v>
      </c>
      <c r="M15" s="19">
        <f t="shared" ref="M15:M32" si="6">IFERROR(D15/L15,"-")</f>
        <v>0.7192982456140351</v>
      </c>
      <c r="N15" s="16">
        <v>65</v>
      </c>
      <c r="O15" s="20">
        <f t="shared" ref="O15:P15" si="7">D15/7</f>
        <v>5.8571428571428568</v>
      </c>
      <c r="P15" s="20">
        <f t="shared" si="7"/>
        <v>0.5714285714285714</v>
      </c>
      <c r="Q15" s="16">
        <f t="shared" ref="Q15:Q32" si="8">ROUNDDOWN(N15/(O15+P15),0)</f>
        <v>10</v>
      </c>
      <c r="R15" s="16"/>
      <c r="S15" s="21">
        <v>0.75</v>
      </c>
      <c r="T15" s="14">
        <v>0</v>
      </c>
      <c r="U15" s="22" t="s">
        <v>34</v>
      </c>
      <c r="V15" s="23" t="s">
        <v>34</v>
      </c>
      <c r="W15" s="14">
        <v>0</v>
      </c>
      <c r="X15" s="24">
        <f t="shared" ref="X15:X32" si="9">IFERROR(W15/D15,0)</f>
        <v>0</v>
      </c>
      <c r="Y15" s="25">
        <f t="shared" ref="Y15:Y32" si="10">IFERROR(G15/(W15+Z15)*-1,0)</f>
        <v>0</v>
      </c>
      <c r="Z15" s="14">
        <v>0</v>
      </c>
      <c r="AA15" s="14" t="s">
        <v>35</v>
      </c>
      <c r="AB15" s="27">
        <f t="shared" ref="AB15:AB32" si="11">IF(OR(AA15="UsLargeStandardSize",AA15="UsSmallStandardSize"),-0.69,-0.48)</f>
        <v>-0.69</v>
      </c>
      <c r="AC15" s="28">
        <v>3.6988875000000004E-2</v>
      </c>
      <c r="AD15" s="25">
        <f t="shared" ref="AD15:AD32" si="12">IFERROR(AB15*AC15*D15*2,0)</f>
        <v>-2.0928305475000002</v>
      </c>
      <c r="AE15" s="25">
        <v>-4.9000000000000004</v>
      </c>
      <c r="AF15" s="25">
        <v>-3.2320000000000002</v>
      </c>
      <c r="AG15" s="25">
        <v>0</v>
      </c>
    </row>
    <row r="16" spans="1:33" ht="15.75" customHeight="1">
      <c r="A16" s="14" t="s">
        <v>38</v>
      </c>
      <c r="B16" s="14" t="s">
        <v>605</v>
      </c>
      <c r="C16" s="15">
        <f t="shared" si="1"/>
        <v>16.301951219512191</v>
      </c>
      <c r="D16" s="16">
        <v>41</v>
      </c>
      <c r="E16" s="16">
        <v>2</v>
      </c>
      <c r="F16" s="17">
        <v>668.37999999999988</v>
      </c>
      <c r="G16" s="29">
        <v>0</v>
      </c>
      <c r="H16" s="18">
        <f t="shared" si="2"/>
        <v>0</v>
      </c>
      <c r="I16" s="18">
        <f t="shared" si="3"/>
        <v>0.34803280985741641</v>
      </c>
      <c r="J16" s="17">
        <f t="shared" si="4"/>
        <v>232.61816945249993</v>
      </c>
      <c r="K16" s="17">
        <f t="shared" si="5"/>
        <v>5.673613889085364</v>
      </c>
      <c r="L16" s="16">
        <v>87</v>
      </c>
      <c r="M16" s="19">
        <f t="shared" si="6"/>
        <v>0.47126436781609193</v>
      </c>
      <c r="N16" s="16">
        <v>16</v>
      </c>
      <c r="O16" s="20">
        <f t="shared" ref="O16:P16" si="13">D16/7</f>
        <v>5.8571428571428568</v>
      </c>
      <c r="P16" s="20">
        <f t="shared" si="13"/>
        <v>0.2857142857142857</v>
      </c>
      <c r="Q16" s="16">
        <f t="shared" si="8"/>
        <v>2</v>
      </c>
      <c r="R16" s="16"/>
      <c r="S16" s="21">
        <v>9.9130434782608692</v>
      </c>
      <c r="T16" s="14">
        <v>0</v>
      </c>
      <c r="U16" s="22" t="s">
        <v>34</v>
      </c>
      <c r="V16" s="23" t="s">
        <v>34</v>
      </c>
      <c r="W16" s="14">
        <v>0</v>
      </c>
      <c r="X16" s="24">
        <f t="shared" si="9"/>
        <v>0</v>
      </c>
      <c r="Y16" s="25">
        <f t="shared" si="10"/>
        <v>0</v>
      </c>
      <c r="Z16" s="14">
        <v>0</v>
      </c>
      <c r="AA16" s="14" t="s">
        <v>35</v>
      </c>
      <c r="AB16" s="27">
        <f t="shared" si="11"/>
        <v>-0.69</v>
      </c>
      <c r="AC16" s="28">
        <v>3.6988875000000004E-2</v>
      </c>
      <c r="AD16" s="25">
        <f t="shared" si="12"/>
        <v>-2.0928305475000002</v>
      </c>
      <c r="AE16" s="25">
        <v>-4.9000000000000004</v>
      </c>
      <c r="AF16" s="25">
        <v>-3.2320000000000002</v>
      </c>
      <c r="AG16" s="25">
        <v>0</v>
      </c>
    </row>
    <row r="17" spans="1:33" ht="15.75" customHeight="1">
      <c r="A17" s="14" t="s">
        <v>40</v>
      </c>
      <c r="B17" s="14" t="s">
        <v>343</v>
      </c>
      <c r="C17" s="15">
        <f t="shared" si="1"/>
        <v>18.184545454545457</v>
      </c>
      <c r="D17" s="16">
        <v>11</v>
      </c>
      <c r="E17" s="16">
        <v>1</v>
      </c>
      <c r="F17" s="17">
        <v>200.03000000000003</v>
      </c>
      <c r="G17" s="29">
        <v>0</v>
      </c>
      <c r="H17" s="18">
        <f t="shared" si="2"/>
        <v>0</v>
      </c>
      <c r="I17" s="18">
        <f t="shared" si="3"/>
        <v>0.40000004438084291</v>
      </c>
      <c r="J17" s="17">
        <f t="shared" si="4"/>
        <v>80.012008877500023</v>
      </c>
      <c r="K17" s="17">
        <f t="shared" si="5"/>
        <v>7.2738189888636384</v>
      </c>
      <c r="L17" s="16">
        <v>21</v>
      </c>
      <c r="M17" s="19">
        <f t="shared" si="6"/>
        <v>0.52380952380952384</v>
      </c>
      <c r="N17" s="16">
        <v>0</v>
      </c>
      <c r="O17" s="20">
        <f t="shared" ref="O17:P17" si="14">D17/7</f>
        <v>1.5714285714285714</v>
      </c>
      <c r="P17" s="20">
        <f t="shared" si="14"/>
        <v>0.14285714285714285</v>
      </c>
      <c r="Q17" s="16">
        <f t="shared" si="8"/>
        <v>0</v>
      </c>
      <c r="R17" s="16"/>
      <c r="S17" s="21" t="e">
        <v>#N/A</v>
      </c>
      <c r="T17" s="14">
        <v>0</v>
      </c>
      <c r="U17" s="22" t="s">
        <v>34</v>
      </c>
      <c r="V17" s="23" t="s">
        <v>34</v>
      </c>
      <c r="W17" s="14">
        <v>0</v>
      </c>
      <c r="X17" s="24">
        <f t="shared" si="9"/>
        <v>0</v>
      </c>
      <c r="Y17" s="25">
        <f t="shared" si="10"/>
        <v>0</v>
      </c>
      <c r="Z17" s="14">
        <v>0</v>
      </c>
      <c r="AA17" s="14" t="s">
        <v>35</v>
      </c>
      <c r="AB17" s="27">
        <f t="shared" si="11"/>
        <v>-0.69</v>
      </c>
      <c r="AC17" s="28">
        <v>3.6988875000000004E-2</v>
      </c>
      <c r="AD17" s="25">
        <f t="shared" si="12"/>
        <v>-0.56149112250000011</v>
      </c>
      <c r="AE17" s="25">
        <v>-4.9000000000000004</v>
      </c>
      <c r="AF17" s="25">
        <v>-3.2320000000000002</v>
      </c>
      <c r="AG17" s="25">
        <v>0</v>
      </c>
    </row>
    <row r="18" spans="1:33" ht="15.75" customHeight="1">
      <c r="A18" s="14" t="s">
        <v>42</v>
      </c>
      <c r="B18" s="14"/>
      <c r="C18" s="15" t="str">
        <f t="shared" si="1"/>
        <v xml:space="preserve"> - </v>
      </c>
      <c r="D18" s="16">
        <v>0</v>
      </c>
      <c r="E18" s="16">
        <v>0</v>
      </c>
      <c r="F18" s="17">
        <v>0</v>
      </c>
      <c r="G18" s="29">
        <v>0</v>
      </c>
      <c r="H18" s="18" t="e">
        <f t="shared" si="2"/>
        <v>#DIV/0!</v>
      </c>
      <c r="I18" s="18" t="e">
        <f t="shared" si="3"/>
        <v>#DIV/0!</v>
      </c>
      <c r="J18" s="17">
        <f t="shared" si="4"/>
        <v>0</v>
      </c>
      <c r="K18" s="17" t="e">
        <f t="shared" si="5"/>
        <v>#DIV/0!</v>
      </c>
      <c r="L18" s="16">
        <v>0</v>
      </c>
      <c r="M18" s="19" t="str">
        <f t="shared" si="6"/>
        <v>-</v>
      </c>
      <c r="N18" s="16">
        <v>0</v>
      </c>
      <c r="O18" s="20">
        <f t="shared" ref="O18:P18" si="15">D18/7</f>
        <v>0</v>
      </c>
      <c r="P18" s="20">
        <f t="shared" si="15"/>
        <v>0</v>
      </c>
      <c r="Q18" s="16" t="e">
        <f t="shared" si="8"/>
        <v>#DIV/0!</v>
      </c>
      <c r="R18" s="16"/>
      <c r="S18" s="21" t="e">
        <v>#N/A</v>
      </c>
      <c r="T18" s="14">
        <v>0</v>
      </c>
      <c r="U18" s="22">
        <v>0</v>
      </c>
      <c r="V18" s="23" t="s">
        <v>34</v>
      </c>
      <c r="W18" s="14">
        <v>0</v>
      </c>
      <c r="X18" s="24">
        <f t="shared" si="9"/>
        <v>0</v>
      </c>
      <c r="Y18" s="25">
        <f t="shared" si="10"/>
        <v>0</v>
      </c>
      <c r="Z18" s="14">
        <v>0</v>
      </c>
      <c r="AA18" s="14" t="e">
        <v>#N/A</v>
      </c>
      <c r="AB18" s="27" t="e">
        <f t="shared" si="11"/>
        <v>#N/A</v>
      </c>
      <c r="AC18" s="28" t="e">
        <v>#N/A</v>
      </c>
      <c r="AD18" s="25">
        <f t="shared" si="12"/>
        <v>0</v>
      </c>
      <c r="AE18" s="25">
        <v>0</v>
      </c>
      <c r="AF18" s="25">
        <v>-3.2320000000000002</v>
      </c>
      <c r="AG18" s="25">
        <v>0</v>
      </c>
    </row>
    <row r="19" spans="1:33" ht="15.75" customHeight="1">
      <c r="A19" s="14" t="s">
        <v>44</v>
      </c>
      <c r="B19" s="14"/>
      <c r="C19" s="15" t="str">
        <f t="shared" si="1"/>
        <v xml:space="preserve"> - </v>
      </c>
      <c r="D19" s="16">
        <v>0</v>
      </c>
      <c r="E19" s="16">
        <v>0</v>
      </c>
      <c r="F19" s="17">
        <v>0</v>
      </c>
      <c r="G19" s="29">
        <v>0</v>
      </c>
      <c r="H19" s="18" t="e">
        <f t="shared" si="2"/>
        <v>#DIV/0!</v>
      </c>
      <c r="I19" s="18" t="e">
        <f t="shared" si="3"/>
        <v>#DIV/0!</v>
      </c>
      <c r="J19" s="17">
        <f t="shared" si="4"/>
        <v>0</v>
      </c>
      <c r="K19" s="17" t="e">
        <f t="shared" si="5"/>
        <v>#DIV/0!</v>
      </c>
      <c r="L19" s="16">
        <v>0</v>
      </c>
      <c r="M19" s="19" t="str">
        <f t="shared" si="6"/>
        <v>-</v>
      </c>
      <c r="N19" s="16">
        <v>0</v>
      </c>
      <c r="O19" s="20">
        <f t="shared" ref="O19:P19" si="16">D19/7</f>
        <v>0</v>
      </c>
      <c r="P19" s="20">
        <f t="shared" si="16"/>
        <v>0</v>
      </c>
      <c r="Q19" s="16" t="e">
        <f t="shared" si="8"/>
        <v>#DIV/0!</v>
      </c>
      <c r="R19" s="16"/>
      <c r="S19" s="21" t="e">
        <v>#N/A</v>
      </c>
      <c r="T19" s="14">
        <v>0</v>
      </c>
      <c r="U19" s="22" t="s">
        <v>34</v>
      </c>
      <c r="V19" s="23" t="s">
        <v>34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14" t="e">
        <v>#N/A</v>
      </c>
      <c r="AB19" s="27" t="e">
        <f t="shared" si="11"/>
        <v>#N/A</v>
      </c>
      <c r="AC19" s="28" t="e">
        <v>#N/A</v>
      </c>
      <c r="AD19" s="25">
        <f t="shared" si="12"/>
        <v>0</v>
      </c>
      <c r="AE19" s="25">
        <v>0</v>
      </c>
      <c r="AF19" s="25">
        <v>-3.3795000000000002</v>
      </c>
      <c r="AG19" s="25">
        <v>0</v>
      </c>
    </row>
    <row r="20" spans="1:33" ht="15.75" customHeight="1">
      <c r="A20" s="14" t="s">
        <v>46</v>
      </c>
      <c r="B20" s="14"/>
      <c r="C20" s="15" t="str">
        <f t="shared" si="1"/>
        <v xml:space="preserve"> - </v>
      </c>
      <c r="D20" s="16">
        <v>0</v>
      </c>
      <c r="E20" s="16">
        <v>0</v>
      </c>
      <c r="F20" s="17">
        <v>0</v>
      </c>
      <c r="G20" s="29">
        <v>0</v>
      </c>
      <c r="H20" s="18" t="e">
        <f t="shared" si="2"/>
        <v>#DIV/0!</v>
      </c>
      <c r="I20" s="18" t="e">
        <f t="shared" si="3"/>
        <v>#DIV/0!</v>
      </c>
      <c r="J20" s="17">
        <f t="shared" si="4"/>
        <v>0</v>
      </c>
      <c r="K20" s="17" t="e">
        <f t="shared" si="5"/>
        <v>#DIV/0!</v>
      </c>
      <c r="L20" s="16">
        <v>0</v>
      </c>
      <c r="M20" s="19" t="str">
        <f t="shared" si="6"/>
        <v>-</v>
      </c>
      <c r="N20" s="16">
        <v>0</v>
      </c>
      <c r="O20" s="20">
        <f t="shared" ref="O20:P20" si="17">D20/7</f>
        <v>0</v>
      </c>
      <c r="P20" s="20">
        <f t="shared" si="17"/>
        <v>0</v>
      </c>
      <c r="Q20" s="16" t="e">
        <f t="shared" si="8"/>
        <v>#DIV/0!</v>
      </c>
      <c r="R20" s="16"/>
      <c r="S20" s="21" t="e">
        <v>#N/A</v>
      </c>
      <c r="T20" s="14">
        <v>0</v>
      </c>
      <c r="U20" s="22" t="s">
        <v>34</v>
      </c>
      <c r="V20" s="23" t="s">
        <v>34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14" t="e">
        <v>#N/A</v>
      </c>
      <c r="AB20" s="27" t="e">
        <f t="shared" si="11"/>
        <v>#N/A</v>
      </c>
      <c r="AC20" s="28" t="e">
        <v>#N/A</v>
      </c>
      <c r="AD20" s="25">
        <f t="shared" si="12"/>
        <v>0</v>
      </c>
      <c r="AE20" s="25">
        <v>0</v>
      </c>
      <c r="AF20" s="25">
        <v>-3.3795000000000002</v>
      </c>
      <c r="AG20" s="25">
        <v>0</v>
      </c>
    </row>
    <row r="21" spans="1:33" ht="15.75" customHeight="1">
      <c r="A21" s="14" t="s">
        <v>47</v>
      </c>
      <c r="B21" s="14"/>
      <c r="C21" s="15" t="str">
        <f t="shared" si="1"/>
        <v xml:space="preserve"> - </v>
      </c>
      <c r="D21" s="16">
        <v>0</v>
      </c>
      <c r="E21" s="16">
        <v>0</v>
      </c>
      <c r="F21" s="17">
        <v>0</v>
      </c>
      <c r="G21" s="29">
        <v>0</v>
      </c>
      <c r="H21" s="18" t="e">
        <f t="shared" si="2"/>
        <v>#DIV/0!</v>
      </c>
      <c r="I21" s="18" t="e">
        <f t="shared" si="3"/>
        <v>#DIV/0!</v>
      </c>
      <c r="J21" s="17">
        <f t="shared" si="4"/>
        <v>0</v>
      </c>
      <c r="K21" s="17" t="e">
        <f t="shared" si="5"/>
        <v>#DIV/0!</v>
      </c>
      <c r="L21" s="16">
        <v>0</v>
      </c>
      <c r="M21" s="19" t="str">
        <f t="shared" si="6"/>
        <v>-</v>
      </c>
      <c r="N21" s="16">
        <v>0</v>
      </c>
      <c r="O21" s="20">
        <f t="shared" ref="O21:P21" si="18">D21/7</f>
        <v>0</v>
      </c>
      <c r="P21" s="20">
        <f t="shared" si="18"/>
        <v>0</v>
      </c>
      <c r="Q21" s="16" t="e">
        <f t="shared" si="8"/>
        <v>#DIV/0!</v>
      </c>
      <c r="R21" s="16"/>
      <c r="S21" s="21" t="e">
        <v>#N/A</v>
      </c>
      <c r="T21" s="14">
        <v>400</v>
      </c>
      <c r="U21" s="22" t="s">
        <v>34</v>
      </c>
      <c r="V21" s="23" t="s">
        <v>34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14" t="e">
        <v>#N/A</v>
      </c>
      <c r="AB21" s="27" t="e">
        <f t="shared" si="11"/>
        <v>#N/A</v>
      </c>
      <c r="AC21" s="28" t="e">
        <v>#N/A</v>
      </c>
      <c r="AD21" s="25">
        <f t="shared" si="12"/>
        <v>0</v>
      </c>
      <c r="AE21" s="25">
        <v>0</v>
      </c>
      <c r="AF21" s="25">
        <v>-3.3795000000000002</v>
      </c>
      <c r="AG21" s="25">
        <v>0</v>
      </c>
    </row>
    <row r="22" spans="1:33" ht="15.75" customHeight="1">
      <c r="A22" s="14" t="s">
        <v>48</v>
      </c>
      <c r="B22" s="14" t="s">
        <v>45</v>
      </c>
      <c r="C22" s="15">
        <f t="shared" si="1"/>
        <v>18.04</v>
      </c>
      <c r="D22" s="16">
        <v>1</v>
      </c>
      <c r="E22" s="16">
        <v>0</v>
      </c>
      <c r="F22" s="29">
        <v>18.04</v>
      </c>
      <c r="G22" s="29">
        <v>0</v>
      </c>
      <c r="H22" s="18">
        <f t="shared" si="2"/>
        <v>0</v>
      </c>
      <c r="I22" s="18">
        <f t="shared" si="3"/>
        <v>0.38821814592572057</v>
      </c>
      <c r="J22" s="17">
        <f t="shared" si="4"/>
        <v>7.0034553524999987</v>
      </c>
      <c r="K22" s="17">
        <f t="shared" si="5"/>
        <v>7.0034553524999987</v>
      </c>
      <c r="L22" s="16">
        <v>4</v>
      </c>
      <c r="M22" s="19">
        <f t="shared" si="6"/>
        <v>0.25</v>
      </c>
      <c r="N22" s="16">
        <v>1</v>
      </c>
      <c r="O22" s="20">
        <f t="shared" ref="O22:P22" si="19">D22/7</f>
        <v>0.14285714285714285</v>
      </c>
      <c r="P22" s="20">
        <f t="shared" si="19"/>
        <v>0</v>
      </c>
      <c r="Q22" s="16">
        <f t="shared" si="8"/>
        <v>7</v>
      </c>
      <c r="R22" s="16"/>
      <c r="S22" s="21" t="e">
        <v>#N/A</v>
      </c>
      <c r="T22" s="14">
        <v>400</v>
      </c>
      <c r="U22" s="22" t="s">
        <v>34</v>
      </c>
      <c r="V22" s="23" t="s">
        <v>34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35</v>
      </c>
      <c r="AB22" s="27">
        <f t="shared" si="11"/>
        <v>-0.69</v>
      </c>
      <c r="AC22" s="28">
        <v>3.6988875000000004E-2</v>
      </c>
      <c r="AD22" s="25">
        <f t="shared" si="12"/>
        <v>-5.1044647500000005E-2</v>
      </c>
      <c r="AE22" s="25">
        <v>-4.9000000000000004</v>
      </c>
      <c r="AF22" s="25">
        <v>-3.3795000000000002</v>
      </c>
      <c r="AG22" s="25">
        <v>0</v>
      </c>
    </row>
    <row r="23" spans="1:33" ht="15.75" customHeight="1">
      <c r="A23" s="14" t="s">
        <v>49</v>
      </c>
      <c r="B23" s="14"/>
      <c r="C23" s="15" t="str">
        <f t="shared" si="1"/>
        <v xml:space="preserve"> - </v>
      </c>
      <c r="D23" s="16">
        <v>0</v>
      </c>
      <c r="E23" s="16">
        <v>0</v>
      </c>
      <c r="F23" s="17">
        <v>0</v>
      </c>
      <c r="G23" s="29">
        <v>0</v>
      </c>
      <c r="H23" s="18" t="e">
        <f t="shared" si="2"/>
        <v>#DIV/0!</v>
      </c>
      <c r="I23" s="18" t="e">
        <f t="shared" si="3"/>
        <v>#DIV/0!</v>
      </c>
      <c r="J23" s="17">
        <f t="shared" si="4"/>
        <v>0</v>
      </c>
      <c r="K23" s="17" t="e">
        <f t="shared" si="5"/>
        <v>#DIV/0!</v>
      </c>
      <c r="L23" s="16">
        <v>0</v>
      </c>
      <c r="M23" s="19" t="str">
        <f t="shared" si="6"/>
        <v>-</v>
      </c>
      <c r="N23" s="16">
        <v>0</v>
      </c>
      <c r="O23" s="20">
        <f t="shared" ref="O23:P23" si="20">D23/7</f>
        <v>0</v>
      </c>
      <c r="P23" s="20">
        <f t="shared" si="20"/>
        <v>0</v>
      </c>
      <c r="Q23" s="16" t="e">
        <f t="shared" si="8"/>
        <v>#DIV/0!</v>
      </c>
      <c r="R23" s="16"/>
      <c r="S23" s="21" t="e">
        <v>#N/A</v>
      </c>
      <c r="T23" s="14">
        <v>800</v>
      </c>
      <c r="U23" s="22" t="s">
        <v>34</v>
      </c>
      <c r="V23" s="23" t="s">
        <v>34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35</v>
      </c>
      <c r="AB23" s="27">
        <f t="shared" si="11"/>
        <v>-0.69</v>
      </c>
      <c r="AC23" s="28">
        <v>3.6988875000000004E-2</v>
      </c>
      <c r="AD23" s="25">
        <f t="shared" si="12"/>
        <v>0</v>
      </c>
      <c r="AE23" s="25">
        <v>-4.9000000000000004</v>
      </c>
      <c r="AF23" s="25">
        <v>-3.3795000000000002</v>
      </c>
      <c r="AG23" s="25">
        <v>0</v>
      </c>
    </row>
    <row r="24" spans="1:33" ht="15.75" customHeight="1">
      <c r="A24" s="14" t="s">
        <v>50</v>
      </c>
      <c r="B24" s="14"/>
      <c r="C24" s="15" t="str">
        <f t="shared" si="1"/>
        <v xml:space="preserve"> - </v>
      </c>
      <c r="D24" s="16">
        <v>0</v>
      </c>
      <c r="E24" s="16">
        <v>0</v>
      </c>
      <c r="F24" s="17">
        <v>0</v>
      </c>
      <c r="G24" s="17">
        <v>0</v>
      </c>
      <c r="H24" s="18" t="e">
        <f t="shared" si="2"/>
        <v>#DIV/0!</v>
      </c>
      <c r="I24" s="18" t="e">
        <f t="shared" si="3"/>
        <v>#DIV/0!</v>
      </c>
      <c r="J24" s="17">
        <f t="shared" si="4"/>
        <v>0</v>
      </c>
      <c r="K24" s="17" t="e">
        <f t="shared" si="5"/>
        <v>#DIV/0!</v>
      </c>
      <c r="L24" s="16">
        <v>0</v>
      </c>
      <c r="M24" s="19" t="str">
        <f t="shared" si="6"/>
        <v>-</v>
      </c>
      <c r="N24" s="16">
        <v>0</v>
      </c>
      <c r="O24" s="20">
        <f t="shared" ref="O24:P24" si="21">D24/7</f>
        <v>0</v>
      </c>
      <c r="P24" s="20">
        <f t="shared" si="21"/>
        <v>0</v>
      </c>
      <c r="Q24" s="16" t="e">
        <f t="shared" si="8"/>
        <v>#DIV/0!</v>
      </c>
      <c r="R24" s="16"/>
      <c r="S24" s="21" t="e">
        <v>#N/A</v>
      </c>
      <c r="T24" s="14">
        <v>800</v>
      </c>
      <c r="U24" s="22" t="s">
        <v>34</v>
      </c>
      <c r="V24" s="23" t="s">
        <v>34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14" t="s">
        <v>35</v>
      </c>
      <c r="AB24" s="27">
        <f t="shared" si="11"/>
        <v>-0.69</v>
      </c>
      <c r="AC24" s="28">
        <v>3.6988875000000004E-2</v>
      </c>
      <c r="AD24" s="25">
        <f t="shared" si="12"/>
        <v>0</v>
      </c>
      <c r="AE24" s="25">
        <v>-4.9000000000000004</v>
      </c>
      <c r="AF24" s="25">
        <v>-3.3795000000000002</v>
      </c>
      <c r="AG24" s="25">
        <v>0</v>
      </c>
    </row>
    <row r="25" spans="1:33" ht="15.75" customHeight="1">
      <c r="A25" s="14" t="s">
        <v>51</v>
      </c>
      <c r="B25" s="14"/>
      <c r="C25" s="15" t="str">
        <f t="shared" si="1"/>
        <v xml:space="preserve"> - </v>
      </c>
      <c r="D25" s="16">
        <v>0</v>
      </c>
      <c r="E25" s="16">
        <v>0</v>
      </c>
      <c r="F25" s="17">
        <v>0</v>
      </c>
      <c r="G25" s="17">
        <v>0</v>
      </c>
      <c r="H25" s="18" t="e">
        <f t="shared" si="2"/>
        <v>#DIV/0!</v>
      </c>
      <c r="I25" s="18" t="e">
        <f t="shared" si="3"/>
        <v>#DIV/0!</v>
      </c>
      <c r="J25" s="17">
        <f t="shared" si="4"/>
        <v>0</v>
      </c>
      <c r="K25" s="17" t="e">
        <f t="shared" si="5"/>
        <v>#DIV/0!</v>
      </c>
      <c r="L25" s="16">
        <v>0</v>
      </c>
      <c r="M25" s="19" t="str">
        <f t="shared" si="6"/>
        <v>-</v>
      </c>
      <c r="N25" s="16">
        <v>0</v>
      </c>
      <c r="O25" s="20">
        <f t="shared" ref="O25:P25" si="22">D25/7</f>
        <v>0</v>
      </c>
      <c r="P25" s="20">
        <f t="shared" si="22"/>
        <v>0</v>
      </c>
      <c r="Q25" s="16" t="e">
        <f t="shared" si="8"/>
        <v>#DIV/0!</v>
      </c>
      <c r="R25" s="16"/>
      <c r="S25" s="21">
        <v>0</v>
      </c>
      <c r="T25" s="14">
        <v>800</v>
      </c>
      <c r="U25" s="22" t="s">
        <v>34</v>
      </c>
      <c r="V25" s="23" t="s">
        <v>34</v>
      </c>
      <c r="W25" s="30">
        <v>0</v>
      </c>
      <c r="X25" s="24">
        <f t="shared" si="9"/>
        <v>0</v>
      </c>
      <c r="Y25" s="25">
        <f t="shared" si="10"/>
        <v>0</v>
      </c>
      <c r="Z25" s="30">
        <v>0</v>
      </c>
      <c r="AA25" s="14" t="s">
        <v>35</v>
      </c>
      <c r="AB25" s="27">
        <f t="shared" si="11"/>
        <v>-0.69</v>
      </c>
      <c r="AC25" s="28">
        <v>3.6988875000000004E-2</v>
      </c>
      <c r="AD25" s="25">
        <f t="shared" si="12"/>
        <v>0</v>
      </c>
      <c r="AE25" s="25">
        <v>-4.9000000000000004</v>
      </c>
      <c r="AF25" s="25">
        <v>-3.38</v>
      </c>
      <c r="AG25" s="25">
        <v>0</v>
      </c>
    </row>
    <row r="26" spans="1:33" ht="15.75" customHeight="1">
      <c r="A26" s="14" t="s">
        <v>52</v>
      </c>
      <c r="B26" s="14"/>
      <c r="C26" s="15" t="str">
        <f t="shared" si="1"/>
        <v xml:space="preserve"> - </v>
      </c>
      <c r="D26" s="16">
        <v>0</v>
      </c>
      <c r="E26" s="16">
        <v>0</v>
      </c>
      <c r="F26" s="17">
        <v>0</v>
      </c>
      <c r="G26" s="17">
        <v>0</v>
      </c>
      <c r="H26" s="18" t="e">
        <f t="shared" si="2"/>
        <v>#DIV/0!</v>
      </c>
      <c r="I26" s="18" t="e">
        <f t="shared" si="3"/>
        <v>#DIV/0!</v>
      </c>
      <c r="J26" s="17">
        <f t="shared" si="4"/>
        <v>0</v>
      </c>
      <c r="K26" s="17" t="e">
        <f t="shared" si="5"/>
        <v>#DIV/0!</v>
      </c>
      <c r="L26" s="16">
        <v>0</v>
      </c>
      <c r="M26" s="19" t="str">
        <f t="shared" si="6"/>
        <v>-</v>
      </c>
      <c r="N26" s="16">
        <v>0</v>
      </c>
      <c r="O26" s="20">
        <f t="shared" ref="O26:P26" si="23">D26/7</f>
        <v>0</v>
      </c>
      <c r="P26" s="20">
        <f t="shared" si="23"/>
        <v>0</v>
      </c>
      <c r="Q26" s="16" t="e">
        <f t="shared" si="8"/>
        <v>#DIV/0!</v>
      </c>
      <c r="R26" s="16"/>
      <c r="S26" s="21">
        <v>0</v>
      </c>
      <c r="T26" s="14">
        <v>800</v>
      </c>
      <c r="U26" s="22" t="s">
        <v>34</v>
      </c>
      <c r="V26" s="23" t="s">
        <v>34</v>
      </c>
      <c r="W26" s="30">
        <v>0</v>
      </c>
      <c r="X26" s="24">
        <f t="shared" si="9"/>
        <v>0</v>
      </c>
      <c r="Y26" s="25">
        <f t="shared" si="10"/>
        <v>0</v>
      </c>
      <c r="Z26" s="30">
        <v>0</v>
      </c>
      <c r="AA26" s="14" t="s">
        <v>35</v>
      </c>
      <c r="AB26" s="27">
        <f t="shared" si="11"/>
        <v>-0.69</v>
      </c>
      <c r="AC26" s="28">
        <v>3.6988875000000004E-2</v>
      </c>
      <c r="AD26" s="25">
        <f t="shared" si="12"/>
        <v>0</v>
      </c>
      <c r="AE26" s="25">
        <v>-4.9000000000000004</v>
      </c>
      <c r="AF26" s="25">
        <v>-3.3795000000000002</v>
      </c>
      <c r="AG26" s="25">
        <v>0</v>
      </c>
    </row>
    <row r="27" spans="1:33" ht="15.75" customHeight="1">
      <c r="A27" s="14" t="s">
        <v>53</v>
      </c>
      <c r="B27" s="14"/>
      <c r="C27" s="15" t="str">
        <f t="shared" si="1"/>
        <v xml:space="preserve"> - </v>
      </c>
      <c r="D27" s="16">
        <v>0</v>
      </c>
      <c r="E27" s="16">
        <v>0</v>
      </c>
      <c r="F27" s="17">
        <v>0</v>
      </c>
      <c r="G27" s="17">
        <v>0</v>
      </c>
      <c r="H27" s="18" t="e">
        <f t="shared" si="2"/>
        <v>#DIV/0!</v>
      </c>
      <c r="I27" s="18" t="e">
        <f t="shared" si="3"/>
        <v>#DIV/0!</v>
      </c>
      <c r="J27" s="17">
        <f t="shared" si="4"/>
        <v>0</v>
      </c>
      <c r="K27" s="17" t="e">
        <f t="shared" si="5"/>
        <v>#DIV/0!</v>
      </c>
      <c r="L27" s="16">
        <v>0</v>
      </c>
      <c r="M27" s="19" t="str">
        <f t="shared" si="6"/>
        <v>-</v>
      </c>
      <c r="N27" s="16">
        <v>0</v>
      </c>
      <c r="O27" s="20">
        <f t="shared" ref="O27:P27" si="24">D27/7</f>
        <v>0</v>
      </c>
      <c r="P27" s="20">
        <f t="shared" si="24"/>
        <v>0</v>
      </c>
      <c r="Q27" s="16" t="e">
        <f t="shared" si="8"/>
        <v>#DIV/0!</v>
      </c>
      <c r="R27" s="16"/>
      <c r="S27" s="21">
        <v>0</v>
      </c>
      <c r="T27" s="14">
        <v>800</v>
      </c>
      <c r="U27" s="22" t="s">
        <v>34</v>
      </c>
      <c r="V27" s="23" t="s">
        <v>34</v>
      </c>
      <c r="W27" s="30">
        <v>0</v>
      </c>
      <c r="X27" s="24">
        <f t="shared" si="9"/>
        <v>0</v>
      </c>
      <c r="Y27" s="25">
        <f t="shared" si="10"/>
        <v>0</v>
      </c>
      <c r="Z27" s="30">
        <v>0</v>
      </c>
      <c r="AA27" s="14" t="s">
        <v>35</v>
      </c>
      <c r="AB27" s="27">
        <f t="shared" si="11"/>
        <v>-0.69</v>
      </c>
      <c r="AC27" s="28">
        <v>3.6988875000000004E-2</v>
      </c>
      <c r="AD27" s="25">
        <f t="shared" si="12"/>
        <v>0</v>
      </c>
      <c r="AE27" s="25">
        <v>-4.9000000000000004</v>
      </c>
      <c r="AF27" s="25">
        <v>-3.3936000000000002</v>
      </c>
      <c r="AG27" s="25">
        <v>0</v>
      </c>
    </row>
    <row r="28" spans="1:33" ht="15.75" customHeight="1">
      <c r="A28" s="14" t="s">
        <v>54</v>
      </c>
      <c r="B28" s="14"/>
      <c r="C28" s="15" t="str">
        <f t="shared" si="1"/>
        <v xml:space="preserve"> - </v>
      </c>
      <c r="D28" s="16">
        <v>0</v>
      </c>
      <c r="E28" s="16">
        <v>0</v>
      </c>
      <c r="F28" s="17">
        <v>0</v>
      </c>
      <c r="G28" s="17">
        <v>0</v>
      </c>
      <c r="H28" s="18" t="e">
        <f t="shared" si="2"/>
        <v>#DIV/0!</v>
      </c>
      <c r="I28" s="18" t="e">
        <f t="shared" si="3"/>
        <v>#DIV/0!</v>
      </c>
      <c r="J28" s="17">
        <f t="shared" si="4"/>
        <v>0</v>
      </c>
      <c r="K28" s="17" t="e">
        <f t="shared" si="5"/>
        <v>#DIV/0!</v>
      </c>
      <c r="L28" s="16">
        <v>0</v>
      </c>
      <c r="M28" s="19" t="str">
        <f t="shared" si="6"/>
        <v>-</v>
      </c>
      <c r="N28" s="16">
        <v>0</v>
      </c>
      <c r="O28" s="20">
        <f t="shared" ref="O28:P28" si="25">D28/7</f>
        <v>0</v>
      </c>
      <c r="P28" s="20">
        <f t="shared" si="25"/>
        <v>0</v>
      </c>
      <c r="Q28" s="16" t="e">
        <f t="shared" si="8"/>
        <v>#DIV/0!</v>
      </c>
      <c r="R28" s="16"/>
      <c r="S28" s="21">
        <v>0</v>
      </c>
      <c r="T28" s="14">
        <v>0</v>
      </c>
      <c r="U28" s="22" t="s">
        <v>34</v>
      </c>
      <c r="V28" s="23" t="s">
        <v>34</v>
      </c>
      <c r="W28" s="30">
        <v>0</v>
      </c>
      <c r="X28" s="24">
        <f t="shared" si="9"/>
        <v>0</v>
      </c>
      <c r="Y28" s="25">
        <f t="shared" si="10"/>
        <v>0</v>
      </c>
      <c r="Z28" s="30">
        <v>0</v>
      </c>
      <c r="AA28" s="14" t="s">
        <v>35</v>
      </c>
      <c r="AB28" s="27">
        <f t="shared" si="11"/>
        <v>-0.69</v>
      </c>
      <c r="AC28" s="28">
        <v>3.6988875000000004E-2</v>
      </c>
      <c r="AD28" s="25">
        <f t="shared" si="12"/>
        <v>0</v>
      </c>
      <c r="AE28" s="25">
        <v>-4.9000000000000004</v>
      </c>
      <c r="AF28" s="25">
        <v>-3.3936000000000002</v>
      </c>
      <c r="AG28" s="25">
        <v>0</v>
      </c>
    </row>
    <row r="29" spans="1:33" ht="15.75" customHeight="1">
      <c r="A29" s="14" t="s">
        <v>55</v>
      </c>
      <c r="B29" s="14"/>
      <c r="C29" s="15" t="str">
        <f t="shared" si="1"/>
        <v xml:space="preserve"> - </v>
      </c>
      <c r="D29" s="16">
        <v>0</v>
      </c>
      <c r="E29" s="16">
        <v>0</v>
      </c>
      <c r="F29" s="17">
        <v>0</v>
      </c>
      <c r="G29" s="17">
        <v>0</v>
      </c>
      <c r="H29" s="18" t="e">
        <f t="shared" si="2"/>
        <v>#DIV/0!</v>
      </c>
      <c r="I29" s="18" t="e">
        <f t="shared" si="3"/>
        <v>#DIV/0!</v>
      </c>
      <c r="J29" s="17">
        <f t="shared" si="4"/>
        <v>0</v>
      </c>
      <c r="K29" s="17" t="e">
        <f t="shared" si="5"/>
        <v>#DIV/0!</v>
      </c>
      <c r="L29" s="16">
        <v>0</v>
      </c>
      <c r="M29" s="19" t="str">
        <f t="shared" si="6"/>
        <v>-</v>
      </c>
      <c r="N29" s="16">
        <v>0</v>
      </c>
      <c r="O29" s="20">
        <f t="shared" ref="O29:P29" si="26">D29/7</f>
        <v>0</v>
      </c>
      <c r="P29" s="20">
        <f t="shared" si="26"/>
        <v>0</v>
      </c>
      <c r="Q29" s="16" t="e">
        <f t="shared" si="8"/>
        <v>#DIV/0!</v>
      </c>
      <c r="R29" s="16"/>
      <c r="S29" s="21">
        <v>0</v>
      </c>
      <c r="T29" s="14">
        <v>240</v>
      </c>
      <c r="U29" s="22">
        <v>44428</v>
      </c>
      <c r="V29" s="23" t="s">
        <v>606</v>
      </c>
      <c r="W29" s="30">
        <v>0</v>
      </c>
      <c r="X29" s="24">
        <f t="shared" si="9"/>
        <v>0</v>
      </c>
      <c r="Y29" s="25">
        <f t="shared" si="10"/>
        <v>0</v>
      </c>
      <c r="Z29" s="30">
        <v>0</v>
      </c>
      <c r="AA29" s="14" t="s">
        <v>35</v>
      </c>
      <c r="AB29" s="27">
        <f t="shared" si="11"/>
        <v>-0.69</v>
      </c>
      <c r="AC29" s="28">
        <v>3.6988875000000004E-2</v>
      </c>
      <c r="AD29" s="25">
        <f t="shared" si="12"/>
        <v>0</v>
      </c>
      <c r="AE29" s="25">
        <v>-4.9000000000000004</v>
      </c>
      <c r="AF29" s="25">
        <v>-3.3936000000000002</v>
      </c>
      <c r="AG29" s="25">
        <v>0</v>
      </c>
    </row>
    <row r="30" spans="1:33" ht="15.75" customHeight="1">
      <c r="A30" s="14" t="s">
        <v>57</v>
      </c>
      <c r="B30" s="14"/>
      <c r="C30" s="15" t="str">
        <f t="shared" si="1"/>
        <v xml:space="preserve"> - </v>
      </c>
      <c r="D30" s="16">
        <v>0</v>
      </c>
      <c r="E30" s="16">
        <v>0</v>
      </c>
      <c r="F30" s="17">
        <v>0</v>
      </c>
      <c r="G30" s="17">
        <v>0</v>
      </c>
      <c r="H30" s="18" t="e">
        <f t="shared" si="2"/>
        <v>#DIV/0!</v>
      </c>
      <c r="I30" s="18" t="e">
        <f t="shared" si="3"/>
        <v>#DIV/0!</v>
      </c>
      <c r="J30" s="17">
        <f t="shared" si="4"/>
        <v>0</v>
      </c>
      <c r="K30" s="17" t="e">
        <f t="shared" si="5"/>
        <v>#DIV/0!</v>
      </c>
      <c r="L30" s="16">
        <v>0</v>
      </c>
      <c r="M30" s="19" t="str">
        <f t="shared" si="6"/>
        <v>-</v>
      </c>
      <c r="N30" s="16">
        <v>0</v>
      </c>
      <c r="O30" s="20">
        <f t="shared" ref="O30:P30" si="27">D30/7</f>
        <v>0</v>
      </c>
      <c r="P30" s="20">
        <f t="shared" si="27"/>
        <v>0</v>
      </c>
      <c r="Q30" s="16" t="e">
        <f t="shared" si="8"/>
        <v>#DIV/0!</v>
      </c>
      <c r="R30" s="16"/>
      <c r="S30" s="21">
        <v>0</v>
      </c>
      <c r="T30" s="14">
        <v>400</v>
      </c>
      <c r="U30" s="22">
        <v>240</v>
      </c>
      <c r="V30" s="23" t="s">
        <v>606</v>
      </c>
      <c r="W30" s="30">
        <v>0</v>
      </c>
      <c r="X30" s="24">
        <f t="shared" si="9"/>
        <v>0</v>
      </c>
      <c r="Y30" s="25">
        <f t="shared" si="10"/>
        <v>0</v>
      </c>
      <c r="Z30" s="30">
        <v>0</v>
      </c>
      <c r="AA30" s="14" t="s">
        <v>35</v>
      </c>
      <c r="AB30" s="27">
        <f t="shared" si="11"/>
        <v>-0.69</v>
      </c>
      <c r="AC30" s="28">
        <v>3.6988875000000004E-2</v>
      </c>
      <c r="AD30" s="25">
        <f t="shared" si="12"/>
        <v>0</v>
      </c>
      <c r="AE30" s="25">
        <v>-4.9000000000000004</v>
      </c>
      <c r="AF30" s="25">
        <v>-3.2343644067000001</v>
      </c>
      <c r="AG30" s="25">
        <v>0</v>
      </c>
    </row>
    <row r="31" spans="1:33" ht="15.75" customHeight="1">
      <c r="A31" s="14" t="s">
        <v>58</v>
      </c>
      <c r="B31" s="14"/>
      <c r="C31" s="15" t="str">
        <f t="shared" si="1"/>
        <v xml:space="preserve"> - </v>
      </c>
      <c r="D31" s="16">
        <v>0</v>
      </c>
      <c r="E31" s="16">
        <v>0</v>
      </c>
      <c r="F31" s="17">
        <v>0</v>
      </c>
      <c r="G31" s="17">
        <v>0</v>
      </c>
      <c r="H31" s="18" t="e">
        <f t="shared" si="2"/>
        <v>#DIV/0!</v>
      </c>
      <c r="I31" s="18" t="e">
        <f t="shared" si="3"/>
        <v>#DIV/0!</v>
      </c>
      <c r="J31" s="17">
        <f t="shared" si="4"/>
        <v>0</v>
      </c>
      <c r="K31" s="17" t="e">
        <f t="shared" si="5"/>
        <v>#DIV/0!</v>
      </c>
      <c r="L31" s="16">
        <v>0</v>
      </c>
      <c r="M31" s="19" t="str">
        <f t="shared" si="6"/>
        <v>-</v>
      </c>
      <c r="N31" s="16">
        <v>0</v>
      </c>
      <c r="O31" s="20">
        <f t="shared" ref="O31:P31" si="28">D31/7</f>
        <v>0</v>
      </c>
      <c r="P31" s="20">
        <f t="shared" si="28"/>
        <v>0</v>
      </c>
      <c r="Q31" s="16" t="e">
        <f t="shared" si="8"/>
        <v>#DIV/0!</v>
      </c>
      <c r="R31" s="16"/>
      <c r="S31" s="21" t="e">
        <v>#N/A</v>
      </c>
      <c r="T31" s="14">
        <v>160</v>
      </c>
      <c r="U31" s="22" t="s">
        <v>34</v>
      </c>
      <c r="V31" s="23" t="s">
        <v>607</v>
      </c>
      <c r="W31" s="30">
        <v>0</v>
      </c>
      <c r="X31" s="24">
        <f t="shared" si="9"/>
        <v>0</v>
      </c>
      <c r="Y31" s="25">
        <f t="shared" si="10"/>
        <v>0</v>
      </c>
      <c r="Z31" s="30">
        <v>0</v>
      </c>
      <c r="AA31" s="14" t="s">
        <v>35</v>
      </c>
      <c r="AB31" s="27">
        <f t="shared" si="11"/>
        <v>-0.69</v>
      </c>
      <c r="AC31" s="28">
        <v>3.6988875000000004E-2</v>
      </c>
      <c r="AD31" s="25">
        <f t="shared" si="12"/>
        <v>0</v>
      </c>
      <c r="AE31" s="25">
        <v>-4.9000000000000004</v>
      </c>
      <c r="AF31" s="25">
        <v>-3.2343644067000001</v>
      </c>
      <c r="AG31" s="25">
        <v>0</v>
      </c>
    </row>
    <row r="32" spans="1:33" ht="15.75" customHeight="1">
      <c r="A32" s="14" t="s">
        <v>60</v>
      </c>
      <c r="B32" s="14"/>
      <c r="C32" s="15" t="str">
        <f t="shared" si="1"/>
        <v xml:space="preserve"> - </v>
      </c>
      <c r="D32" s="16">
        <v>0</v>
      </c>
      <c r="E32" s="16">
        <v>0</v>
      </c>
      <c r="F32" s="17">
        <v>0</v>
      </c>
      <c r="G32" s="17">
        <v>0</v>
      </c>
      <c r="H32" s="18" t="e">
        <f t="shared" si="2"/>
        <v>#DIV/0!</v>
      </c>
      <c r="I32" s="18" t="e">
        <f t="shared" si="3"/>
        <v>#DIV/0!</v>
      </c>
      <c r="J32" s="17">
        <f t="shared" si="4"/>
        <v>0</v>
      </c>
      <c r="K32" s="17" t="e">
        <f t="shared" si="5"/>
        <v>#DIV/0!</v>
      </c>
      <c r="L32" s="16">
        <v>0</v>
      </c>
      <c r="M32" s="19" t="str">
        <f t="shared" si="6"/>
        <v>-</v>
      </c>
      <c r="N32" s="16">
        <v>0</v>
      </c>
      <c r="O32" s="20">
        <f t="shared" ref="O32:P32" si="29">D32/7</f>
        <v>0</v>
      </c>
      <c r="P32" s="20">
        <f t="shared" si="29"/>
        <v>0</v>
      </c>
      <c r="Q32" s="16" t="e">
        <f t="shared" si="8"/>
        <v>#DIV/0!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0</v>
      </c>
      <c r="T32" s="14">
        <f ca="1">IFERROR(__xludf.DUMMYFUNCTION("IFERROR(VLOOKUP($B$2,IMPORTRANGE(""https://docs.google.com/spreadsheets/d/1KiWZV1ko8G7lnRucBRBd29jj3Be6ltMfljMDqzOkQmI/edit#gid=1381463014"",""Lookup!A:D""),4,FALSE),"""")"),160)</f>
        <v>160</v>
      </c>
      <c r="U32" s="22">
        <f ca="1">IFERROR(__xludf.DUMMYFUNCTION("IFERROR(VLOOKUP($B$2,IMPORTRANGE(""https://docs.google.com/spreadsheets/d/1KiWZV1ko8G7lnRucBRBd29jj3Be6ltMfljMDqzOkQmI/edit#gid=1381463014"",""Lookup!A:D""),3,FALSE),"""")"),240)</f>
        <v>240</v>
      </c>
      <c r="V32" s="23" t="str">
        <f ca="1">IFERROR(__xludf.DUMMYFUNCTION("IFERROR(VLOOKUP($B$2,IMPORTRANGE(""https://docs.google.com/spreadsheets/d/1KiWZV1ko8G7lnRucBRBd29jj3Be6ltMfljMDqzOkQmI/edit#gid=1381463014"",""Lookup!A:D""),2,FALSE),"""")"),"| 415  - 240 units 08/21")</f>
        <v>| 415  - 240 units 08/21</v>
      </c>
      <c r="W32" s="30">
        <v>0</v>
      </c>
      <c r="X32" s="24">
        <f t="shared" si="9"/>
        <v>0</v>
      </c>
      <c r="Y32" s="25">
        <f t="shared" si="10"/>
        <v>0</v>
      </c>
      <c r="Z32" s="30">
        <v>0</v>
      </c>
      <c r="AA32" s="14" t="s">
        <v>35</v>
      </c>
      <c r="AB32" s="27">
        <f t="shared" si="11"/>
        <v>-0.69</v>
      </c>
      <c r="AC32" s="28">
        <v>3.6988875000000004E-2</v>
      </c>
      <c r="AD32" s="25">
        <f t="shared" si="12"/>
        <v>0</v>
      </c>
      <c r="AE32" s="25">
        <v>-4.9000000000000004</v>
      </c>
      <c r="AF32" s="25">
        <v>-3.2343644067000001</v>
      </c>
      <c r="AG32" s="25">
        <v>0</v>
      </c>
    </row>
    <row r="33" spans="1:33" ht="15.75" customHeight="1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16"/>
      <c r="S33" s="21"/>
      <c r="T33" s="31"/>
      <c r="U33" s="36"/>
      <c r="V33" s="1"/>
      <c r="W33" s="31"/>
      <c r="X33" s="31"/>
      <c r="Y33" s="31"/>
      <c r="Z33" s="31"/>
      <c r="AA33" s="2"/>
      <c r="AB33" s="31"/>
      <c r="AC33" s="31"/>
      <c r="AD33" s="31"/>
      <c r="AE33" s="37"/>
      <c r="AF33" s="37"/>
      <c r="AG33" s="37"/>
    </row>
    <row r="34" spans="1:33" ht="15.75" customHeight="1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6"/>
      <c r="V34" s="1"/>
      <c r="W34" s="31"/>
      <c r="X34" s="31"/>
      <c r="Y34" s="31"/>
      <c r="Z34" s="31"/>
      <c r="AA34" s="2"/>
      <c r="AB34" s="31"/>
      <c r="AC34" s="31"/>
      <c r="AD34" s="31"/>
      <c r="AE34" s="37"/>
      <c r="AF34" s="37"/>
      <c r="AG34" s="37"/>
    </row>
    <row r="35" spans="1:33" ht="15.75" customHeight="1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6"/>
      <c r="V35" s="1"/>
      <c r="W35" s="31"/>
      <c r="X35" s="31"/>
      <c r="Y35" s="31"/>
      <c r="Z35" s="31"/>
      <c r="AA35" s="2"/>
      <c r="AB35" s="31"/>
      <c r="AC35" s="31"/>
      <c r="AD35" s="31"/>
      <c r="AE35" s="37"/>
      <c r="AF35" s="37"/>
      <c r="AG35" s="37"/>
    </row>
    <row r="36" spans="1:33" ht="15.75" customHeight="1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6"/>
      <c r="V36" s="1"/>
      <c r="W36" s="31"/>
      <c r="X36" s="31"/>
      <c r="Y36" s="31"/>
      <c r="Z36" s="31"/>
      <c r="AA36" s="2"/>
      <c r="AB36" s="31"/>
      <c r="AC36" s="31"/>
      <c r="AD36" s="31"/>
      <c r="AE36" s="37"/>
      <c r="AF36" s="37"/>
      <c r="AG36" s="37"/>
    </row>
    <row r="37" spans="1:33" ht="15.75" customHeight="1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6"/>
      <c r="V37" s="1"/>
      <c r="W37" s="31"/>
      <c r="X37" s="31"/>
      <c r="Y37" s="31"/>
      <c r="Z37" s="31"/>
      <c r="AA37" s="2"/>
      <c r="AB37" s="31"/>
      <c r="AC37" s="31"/>
      <c r="AD37" s="31"/>
      <c r="AE37" s="37"/>
      <c r="AF37" s="37"/>
      <c r="AG37" s="37"/>
    </row>
    <row r="38" spans="1:33" ht="15.75" customHeight="1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6"/>
      <c r="V38" s="1"/>
      <c r="W38" s="31"/>
      <c r="X38" s="31"/>
      <c r="Y38" s="31"/>
      <c r="Z38" s="31"/>
      <c r="AA38" s="2"/>
      <c r="AB38" s="31"/>
      <c r="AC38" s="31"/>
      <c r="AD38" s="31"/>
      <c r="AE38" s="37"/>
      <c r="AF38" s="37"/>
      <c r="AG38" s="37"/>
    </row>
    <row r="39" spans="1:33" ht="15.75" customHeight="1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6"/>
      <c r="V39" s="1"/>
      <c r="W39" s="31"/>
      <c r="X39" s="31"/>
      <c r="Y39" s="31"/>
      <c r="Z39" s="31"/>
      <c r="AA39" s="2"/>
      <c r="AB39" s="31"/>
      <c r="AC39" s="31"/>
      <c r="AD39" s="31"/>
      <c r="AE39" s="37"/>
      <c r="AF39" s="37"/>
      <c r="AG39" s="37"/>
    </row>
    <row r="40" spans="1:33" ht="15.75" customHeight="1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6"/>
      <c r="V40" s="1"/>
      <c r="W40" s="31"/>
      <c r="X40" s="31"/>
      <c r="Y40" s="31"/>
      <c r="Z40" s="31"/>
      <c r="AA40" s="2"/>
      <c r="AB40" s="31"/>
      <c r="AC40" s="31"/>
      <c r="AD40" s="31"/>
      <c r="AE40" s="37"/>
      <c r="AF40" s="37"/>
      <c r="AG40" s="37"/>
    </row>
    <row r="41" spans="1:33" ht="15.75" customHeight="1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6"/>
      <c r="V41" s="1"/>
      <c r="W41" s="31"/>
      <c r="X41" s="31"/>
      <c r="Y41" s="31"/>
      <c r="Z41" s="31"/>
      <c r="AA41" s="2"/>
      <c r="AB41" s="31"/>
      <c r="AC41" s="31"/>
      <c r="AD41" s="31"/>
      <c r="AE41" s="37"/>
      <c r="AF41" s="37"/>
      <c r="AG41" s="37"/>
    </row>
    <row r="42" spans="1:33" ht="15.75" customHeight="1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6"/>
      <c r="V42" s="1"/>
      <c r="W42" s="31"/>
      <c r="X42" s="31"/>
      <c r="Y42" s="31"/>
      <c r="Z42" s="31"/>
      <c r="AA42" s="2"/>
      <c r="AB42" s="31"/>
      <c r="AC42" s="31"/>
      <c r="AD42" s="31"/>
      <c r="AE42" s="37"/>
      <c r="AF42" s="37"/>
      <c r="AG42" s="37"/>
    </row>
    <row r="43" spans="1:33" ht="15.75" customHeight="1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6"/>
      <c r="V43" s="1"/>
      <c r="W43" s="31"/>
      <c r="X43" s="31"/>
      <c r="Y43" s="31"/>
      <c r="Z43" s="31"/>
      <c r="AA43" s="2"/>
      <c r="AB43" s="31"/>
      <c r="AC43" s="31"/>
      <c r="AD43" s="31"/>
      <c r="AE43" s="37"/>
      <c r="AF43" s="37"/>
      <c r="AG43" s="37"/>
    </row>
    <row r="44" spans="1:33" ht="15.75" customHeight="1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6"/>
      <c r="V44" s="1"/>
      <c r="W44" s="31"/>
      <c r="X44" s="31"/>
      <c r="Y44" s="31"/>
      <c r="Z44" s="31"/>
      <c r="AA44" s="2"/>
      <c r="AB44" s="31"/>
      <c r="AC44" s="31"/>
      <c r="AD44" s="31"/>
      <c r="AE44" s="37"/>
      <c r="AF44" s="37"/>
      <c r="AG44" s="37"/>
    </row>
    <row r="45" spans="1:33" ht="15.75" customHeight="1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6"/>
      <c r="V45" s="1"/>
      <c r="W45" s="31"/>
      <c r="X45" s="31"/>
      <c r="Y45" s="31"/>
      <c r="Z45" s="31"/>
      <c r="AA45" s="2"/>
      <c r="AB45" s="31"/>
      <c r="AC45" s="31"/>
      <c r="AD45" s="31"/>
      <c r="AE45" s="37"/>
      <c r="AF45" s="37"/>
      <c r="AG45" s="37"/>
    </row>
    <row r="46" spans="1:33" ht="15.75" customHeight="1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6"/>
      <c r="V46" s="1"/>
      <c r="W46" s="31"/>
      <c r="X46" s="31"/>
      <c r="Y46" s="31"/>
      <c r="Z46" s="31"/>
      <c r="AA46" s="2"/>
      <c r="AB46" s="31"/>
      <c r="AC46" s="31"/>
      <c r="AD46" s="31"/>
      <c r="AE46" s="37"/>
      <c r="AF46" s="37"/>
      <c r="AG46" s="37"/>
    </row>
    <row r="47" spans="1:33" ht="15.75" customHeight="1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6"/>
      <c r="V47" s="1"/>
      <c r="W47" s="31"/>
      <c r="X47" s="31"/>
      <c r="Y47" s="31"/>
      <c r="Z47" s="31"/>
      <c r="AA47" s="2"/>
      <c r="AB47" s="31"/>
      <c r="AC47" s="31"/>
      <c r="AD47" s="31"/>
      <c r="AE47" s="37"/>
      <c r="AF47" s="37"/>
      <c r="AG47" s="37"/>
    </row>
    <row r="48" spans="1:33" ht="15.75" customHeight="1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6"/>
      <c r="V48" s="1"/>
      <c r="W48" s="31"/>
      <c r="X48" s="31"/>
      <c r="Y48" s="31"/>
      <c r="Z48" s="31"/>
      <c r="AA48" s="2"/>
      <c r="AB48" s="31"/>
      <c r="AC48" s="31"/>
      <c r="AD48" s="31"/>
      <c r="AE48" s="37"/>
      <c r="AF48" s="37"/>
      <c r="AG48" s="37"/>
    </row>
    <row r="49" spans="1:33" ht="15.75" customHeight="1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6"/>
      <c r="V49" s="1"/>
      <c r="W49" s="31"/>
      <c r="X49" s="31"/>
      <c r="Y49" s="31"/>
      <c r="Z49" s="31"/>
      <c r="AA49" s="2"/>
      <c r="AB49" s="31"/>
      <c r="AC49" s="31"/>
      <c r="AD49" s="31"/>
      <c r="AE49" s="37"/>
      <c r="AF49" s="37"/>
      <c r="AG49" s="37"/>
    </row>
    <row r="50" spans="1:33" ht="15.75" customHeight="1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6"/>
      <c r="V50" s="1"/>
      <c r="W50" s="31"/>
      <c r="X50" s="31"/>
      <c r="Y50" s="31"/>
      <c r="Z50" s="31"/>
      <c r="AA50" s="2"/>
      <c r="AB50" s="31"/>
      <c r="AC50" s="31"/>
      <c r="AD50" s="31"/>
      <c r="AE50" s="37"/>
      <c r="AF50" s="37"/>
      <c r="AG50" s="37"/>
    </row>
    <row r="51" spans="1:33" ht="15.75" customHeight="1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6"/>
      <c r="V51" s="1"/>
      <c r="W51" s="31"/>
      <c r="X51" s="31"/>
      <c r="Y51" s="31"/>
      <c r="Z51" s="31"/>
      <c r="AA51" s="2"/>
      <c r="AB51" s="31"/>
      <c r="AC51" s="31"/>
      <c r="AD51" s="31"/>
      <c r="AE51" s="37"/>
      <c r="AF51" s="37"/>
      <c r="AG51" s="37"/>
    </row>
    <row r="52" spans="1:33" ht="15.75" customHeight="1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6"/>
      <c r="V52" s="1"/>
      <c r="W52" s="31"/>
      <c r="X52" s="31"/>
      <c r="Y52" s="31"/>
      <c r="Z52" s="31"/>
      <c r="AA52" s="2"/>
      <c r="AB52" s="31"/>
      <c r="AC52" s="31"/>
      <c r="AD52" s="31"/>
      <c r="AE52" s="37"/>
      <c r="AF52" s="37"/>
      <c r="AG52" s="37"/>
    </row>
    <row r="53" spans="1:33" ht="15.75" customHeight="1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6"/>
      <c r="V53" s="1"/>
      <c r="W53" s="31"/>
      <c r="X53" s="31"/>
      <c r="Y53" s="31"/>
      <c r="Z53" s="31"/>
      <c r="AA53" s="2"/>
      <c r="AB53" s="31"/>
      <c r="AC53" s="31"/>
      <c r="AD53" s="31"/>
      <c r="AE53" s="37"/>
      <c r="AF53" s="37"/>
      <c r="AG53" s="37"/>
    </row>
    <row r="54" spans="1:33" ht="15.75" customHeight="1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6"/>
      <c r="V54" s="1"/>
      <c r="W54" s="31"/>
      <c r="X54" s="31"/>
      <c r="Y54" s="31"/>
      <c r="Z54" s="31"/>
      <c r="AA54" s="2"/>
      <c r="AB54" s="31"/>
      <c r="AC54" s="31"/>
      <c r="AD54" s="31"/>
      <c r="AE54" s="37"/>
      <c r="AF54" s="37"/>
      <c r="AG54" s="37"/>
    </row>
    <row r="55" spans="1:33" ht="15.75" customHeight="1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6"/>
      <c r="V55" s="1"/>
      <c r="W55" s="31"/>
      <c r="X55" s="31"/>
      <c r="Y55" s="31"/>
      <c r="Z55" s="31"/>
      <c r="AA55" s="2"/>
      <c r="AB55" s="31"/>
      <c r="AC55" s="31"/>
      <c r="AD55" s="31"/>
      <c r="AE55" s="37"/>
      <c r="AF55" s="37"/>
      <c r="AG55" s="37"/>
    </row>
    <row r="56" spans="1:33" ht="15.75" customHeight="1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6"/>
      <c r="V56" s="1"/>
      <c r="W56" s="31"/>
      <c r="X56" s="31"/>
      <c r="Y56" s="31"/>
      <c r="Z56" s="31"/>
      <c r="AA56" s="2"/>
      <c r="AB56" s="31"/>
      <c r="AC56" s="31"/>
      <c r="AD56" s="31"/>
      <c r="AE56" s="37"/>
      <c r="AF56" s="37"/>
      <c r="AG56" s="37"/>
    </row>
    <row r="57" spans="1:33" ht="15.75" customHeight="1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6"/>
      <c r="V57" s="1"/>
      <c r="W57" s="31"/>
      <c r="X57" s="31"/>
      <c r="Y57" s="31"/>
      <c r="Z57" s="31"/>
      <c r="AA57" s="2"/>
      <c r="AB57" s="31"/>
      <c r="AC57" s="31"/>
      <c r="AD57" s="31"/>
      <c r="AE57" s="37"/>
      <c r="AF57" s="37"/>
      <c r="AG57" s="37"/>
    </row>
    <row r="58" spans="1:33" ht="15.75" customHeight="1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6"/>
      <c r="V58" s="1"/>
      <c r="W58" s="31"/>
      <c r="X58" s="31"/>
      <c r="Y58" s="31"/>
      <c r="Z58" s="31"/>
      <c r="AA58" s="2"/>
      <c r="AB58" s="31"/>
      <c r="AC58" s="31"/>
      <c r="AD58" s="31"/>
      <c r="AE58" s="37"/>
      <c r="AF58" s="37"/>
      <c r="AG58" s="37"/>
    </row>
    <row r="59" spans="1:33" ht="15.75" customHeight="1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6"/>
      <c r="V59" s="1"/>
      <c r="W59" s="31"/>
      <c r="X59" s="31"/>
      <c r="Y59" s="31"/>
      <c r="Z59" s="31"/>
      <c r="AA59" s="2"/>
      <c r="AB59" s="31"/>
      <c r="AC59" s="31"/>
      <c r="AD59" s="31"/>
      <c r="AE59" s="37"/>
      <c r="AF59" s="37"/>
      <c r="AG59" s="37"/>
    </row>
    <row r="60" spans="1:33" ht="15.75" customHeight="1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6"/>
      <c r="V60" s="1"/>
      <c r="W60" s="31"/>
      <c r="X60" s="31"/>
      <c r="Y60" s="31"/>
      <c r="Z60" s="31"/>
      <c r="AA60" s="2"/>
      <c r="AB60" s="31"/>
      <c r="AC60" s="31"/>
      <c r="AD60" s="31"/>
      <c r="AE60" s="37"/>
      <c r="AF60" s="37"/>
      <c r="AG60" s="37"/>
    </row>
    <row r="61" spans="1:33" ht="15.75" customHeight="1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6"/>
      <c r="V61" s="1"/>
      <c r="W61" s="31"/>
      <c r="X61" s="31"/>
      <c r="Y61" s="31"/>
      <c r="Z61" s="31"/>
      <c r="AA61" s="2"/>
      <c r="AB61" s="31"/>
      <c r="AC61" s="31"/>
      <c r="AD61" s="31"/>
      <c r="AE61" s="37"/>
      <c r="AF61" s="37"/>
      <c r="AG61" s="37"/>
    </row>
    <row r="62" spans="1:33" ht="15.75" customHeight="1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6"/>
      <c r="V62" s="1"/>
      <c r="W62" s="31"/>
      <c r="X62" s="31"/>
      <c r="Y62" s="31"/>
      <c r="Z62" s="31"/>
      <c r="AA62" s="2"/>
      <c r="AB62" s="31"/>
      <c r="AC62" s="31"/>
      <c r="AD62" s="31"/>
      <c r="AE62" s="37"/>
      <c r="AF62" s="37"/>
      <c r="AG62" s="37"/>
    </row>
    <row r="63" spans="1:33" ht="15.75" customHeight="1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6"/>
      <c r="V63" s="1"/>
      <c r="W63" s="31"/>
      <c r="X63" s="31"/>
      <c r="Y63" s="31"/>
      <c r="Z63" s="31"/>
      <c r="AA63" s="2"/>
      <c r="AB63" s="31"/>
      <c r="AC63" s="31"/>
      <c r="AD63" s="31"/>
      <c r="AE63" s="37"/>
      <c r="AF63" s="37"/>
      <c r="AG63" s="37"/>
    </row>
    <row r="64" spans="1:33" ht="15.75" customHeight="1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6"/>
      <c r="V64" s="1"/>
      <c r="W64" s="31"/>
      <c r="X64" s="31"/>
      <c r="Y64" s="31"/>
      <c r="Z64" s="31"/>
      <c r="AA64" s="2"/>
      <c r="AB64" s="31"/>
      <c r="AC64" s="31"/>
      <c r="AD64" s="31"/>
      <c r="AE64" s="37"/>
      <c r="AF64" s="37"/>
      <c r="AG64" s="37"/>
    </row>
    <row r="65" spans="1:33" ht="15.75" customHeight="1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6"/>
      <c r="V65" s="1"/>
      <c r="W65" s="31"/>
      <c r="X65" s="31"/>
      <c r="Y65" s="31"/>
      <c r="Z65" s="31"/>
      <c r="AA65" s="2"/>
      <c r="AB65" s="31"/>
      <c r="AC65" s="31"/>
      <c r="AD65" s="31"/>
      <c r="AE65" s="37"/>
      <c r="AF65" s="37"/>
      <c r="AG65" s="37"/>
    </row>
    <row r="66" spans="1:33" ht="15.75" customHeight="1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6"/>
      <c r="V66" s="1"/>
      <c r="W66" s="31"/>
      <c r="X66" s="31"/>
      <c r="Y66" s="31"/>
      <c r="Z66" s="31"/>
      <c r="AA66" s="2"/>
      <c r="AB66" s="31"/>
      <c r="AC66" s="31"/>
      <c r="AD66" s="31"/>
      <c r="AE66" s="37"/>
      <c r="AF66" s="37"/>
      <c r="AG66" s="37"/>
    </row>
    <row r="67" spans="1:33" ht="15.75" customHeight="1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6"/>
      <c r="V67" s="1"/>
      <c r="W67" s="31"/>
      <c r="X67" s="31"/>
      <c r="Y67" s="31"/>
      <c r="Z67" s="31"/>
      <c r="AA67" s="2"/>
      <c r="AB67" s="31"/>
      <c r="AC67" s="31"/>
      <c r="AD67" s="31"/>
      <c r="AE67" s="37"/>
      <c r="AF67" s="37"/>
      <c r="AG67" s="37"/>
    </row>
    <row r="68" spans="1:33" ht="15.75" customHeight="1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6"/>
      <c r="V68" s="1"/>
      <c r="W68" s="31"/>
      <c r="X68" s="31"/>
      <c r="Y68" s="31"/>
      <c r="Z68" s="31"/>
      <c r="AA68" s="2"/>
      <c r="AB68" s="31"/>
      <c r="AC68" s="31"/>
      <c r="AD68" s="31"/>
      <c r="AE68" s="37"/>
      <c r="AF68" s="37"/>
      <c r="AG68" s="37"/>
    </row>
    <row r="69" spans="1:33" ht="15.75" customHeight="1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6"/>
      <c r="V69" s="1"/>
      <c r="W69" s="31"/>
      <c r="X69" s="31"/>
      <c r="Y69" s="31"/>
      <c r="Z69" s="31"/>
      <c r="AA69" s="2"/>
      <c r="AB69" s="31"/>
      <c r="AC69" s="31"/>
      <c r="AD69" s="31"/>
      <c r="AE69" s="37"/>
      <c r="AF69" s="37"/>
      <c r="AG69" s="37"/>
    </row>
    <row r="70" spans="1:33" ht="15.75" customHeight="1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6"/>
      <c r="V70" s="1"/>
      <c r="W70" s="31"/>
      <c r="X70" s="31"/>
      <c r="Y70" s="31"/>
      <c r="Z70" s="31"/>
      <c r="AA70" s="2"/>
      <c r="AB70" s="31"/>
      <c r="AC70" s="31"/>
      <c r="AD70" s="31"/>
      <c r="AE70" s="37"/>
      <c r="AF70" s="37"/>
      <c r="AG70" s="37"/>
    </row>
    <row r="71" spans="1:33" ht="15.75" customHeight="1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6"/>
      <c r="V71" s="1"/>
      <c r="W71" s="31"/>
      <c r="X71" s="31"/>
      <c r="Y71" s="31"/>
      <c r="Z71" s="31"/>
      <c r="AA71" s="2"/>
      <c r="AB71" s="31"/>
      <c r="AC71" s="31"/>
      <c r="AD71" s="31"/>
      <c r="AE71" s="37"/>
      <c r="AF71" s="37"/>
      <c r="AG71" s="37"/>
    </row>
    <row r="72" spans="1:33" ht="15.75" customHeight="1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6"/>
      <c r="V72" s="1"/>
      <c r="W72" s="31"/>
      <c r="X72" s="31"/>
      <c r="Y72" s="31"/>
      <c r="Z72" s="31"/>
      <c r="AA72" s="2"/>
      <c r="AB72" s="31"/>
      <c r="AC72" s="31"/>
      <c r="AD72" s="31"/>
      <c r="AE72" s="37"/>
      <c r="AF72" s="37"/>
      <c r="AG72" s="37"/>
    </row>
    <row r="73" spans="1:33" ht="15.75" customHeight="1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6"/>
      <c r="V73" s="1"/>
      <c r="W73" s="31"/>
      <c r="X73" s="31"/>
      <c r="Y73" s="31"/>
      <c r="Z73" s="31"/>
      <c r="AA73" s="2"/>
      <c r="AB73" s="31"/>
      <c r="AC73" s="31"/>
      <c r="AD73" s="31"/>
      <c r="AE73" s="37"/>
      <c r="AF73" s="37"/>
      <c r="AG73" s="37"/>
    </row>
    <row r="74" spans="1:33" ht="15.75" customHeight="1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6"/>
      <c r="V74" s="1"/>
      <c r="W74" s="31"/>
      <c r="X74" s="31"/>
      <c r="Y74" s="31"/>
      <c r="Z74" s="31"/>
      <c r="AA74" s="2"/>
      <c r="AB74" s="31"/>
      <c r="AC74" s="31"/>
      <c r="AD74" s="31"/>
      <c r="AE74" s="37"/>
      <c r="AF74" s="37"/>
      <c r="AG74" s="37"/>
    </row>
    <row r="75" spans="1:33" ht="15.75" customHeight="1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6"/>
      <c r="V75" s="1"/>
      <c r="W75" s="31"/>
      <c r="X75" s="31"/>
      <c r="Y75" s="31"/>
      <c r="Z75" s="31"/>
      <c r="AA75" s="2"/>
      <c r="AB75" s="31"/>
      <c r="AC75" s="31"/>
      <c r="AD75" s="31"/>
      <c r="AE75" s="37"/>
      <c r="AF75" s="37"/>
      <c r="AG75" s="37"/>
    </row>
    <row r="76" spans="1:33" ht="15.75" customHeight="1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6"/>
      <c r="V76" s="1"/>
      <c r="W76" s="31"/>
      <c r="X76" s="31"/>
      <c r="Y76" s="31"/>
      <c r="Z76" s="31"/>
      <c r="AA76" s="2"/>
      <c r="AB76" s="31"/>
      <c r="AC76" s="31"/>
      <c r="AD76" s="31"/>
      <c r="AE76" s="37"/>
      <c r="AF76" s="37"/>
      <c r="AG76" s="37"/>
    </row>
    <row r="77" spans="1:33" ht="15.75" customHeight="1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6"/>
      <c r="V77" s="1"/>
      <c r="W77" s="31"/>
      <c r="X77" s="31"/>
      <c r="Y77" s="31"/>
      <c r="Z77" s="31"/>
      <c r="AA77" s="2"/>
      <c r="AB77" s="31"/>
      <c r="AC77" s="31"/>
      <c r="AD77" s="31"/>
      <c r="AE77" s="37"/>
      <c r="AF77" s="37"/>
      <c r="AG77" s="37"/>
    </row>
    <row r="78" spans="1:33" ht="15.75" customHeight="1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6"/>
      <c r="V78" s="1"/>
      <c r="W78" s="31"/>
      <c r="X78" s="31"/>
      <c r="Y78" s="31"/>
      <c r="Z78" s="31"/>
      <c r="AA78" s="2"/>
      <c r="AB78" s="31"/>
      <c r="AC78" s="31"/>
      <c r="AD78" s="31"/>
      <c r="AE78" s="37"/>
      <c r="AF78" s="37"/>
      <c r="AG78" s="37"/>
    </row>
    <row r="79" spans="1:33" ht="15.75" customHeight="1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6"/>
      <c r="V79" s="1"/>
      <c r="W79" s="31"/>
      <c r="X79" s="31"/>
      <c r="Y79" s="31"/>
      <c r="Z79" s="31"/>
      <c r="AA79" s="2"/>
      <c r="AB79" s="31"/>
      <c r="AC79" s="31"/>
      <c r="AD79" s="31"/>
      <c r="AE79" s="37"/>
      <c r="AF79" s="37"/>
      <c r="AG79" s="37"/>
    </row>
    <row r="80" spans="1:33" ht="15.75" customHeight="1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6"/>
      <c r="V80" s="1"/>
      <c r="W80" s="31"/>
      <c r="X80" s="31"/>
      <c r="Y80" s="31"/>
      <c r="Z80" s="31"/>
      <c r="AA80" s="2"/>
      <c r="AB80" s="31"/>
      <c r="AC80" s="31"/>
      <c r="AD80" s="31"/>
      <c r="AE80" s="37"/>
      <c r="AF80" s="37"/>
      <c r="AG80" s="37"/>
    </row>
    <row r="81" spans="1:33" ht="15.75" customHeight="1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6"/>
      <c r="V81" s="1"/>
      <c r="W81" s="31"/>
      <c r="X81" s="31"/>
      <c r="Y81" s="31"/>
      <c r="Z81" s="31"/>
      <c r="AA81" s="2"/>
      <c r="AB81" s="31"/>
      <c r="AC81" s="31"/>
      <c r="AD81" s="31"/>
      <c r="AE81" s="37"/>
      <c r="AF81" s="37"/>
      <c r="AG81" s="37"/>
    </row>
    <row r="82" spans="1:33" ht="15.75" customHeight="1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6"/>
      <c r="V82" s="1"/>
      <c r="W82" s="31"/>
      <c r="X82" s="31"/>
      <c r="Y82" s="31"/>
      <c r="Z82" s="31"/>
      <c r="AA82" s="2"/>
      <c r="AB82" s="31"/>
      <c r="AC82" s="31"/>
      <c r="AD82" s="31"/>
      <c r="AE82" s="37"/>
      <c r="AF82" s="37"/>
      <c r="AG82" s="37"/>
    </row>
    <row r="83" spans="1:33" ht="15.75" customHeight="1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6"/>
      <c r="V83" s="1"/>
      <c r="W83" s="31"/>
      <c r="X83" s="31"/>
      <c r="Y83" s="31"/>
      <c r="Z83" s="31"/>
      <c r="AA83" s="2"/>
      <c r="AB83" s="31"/>
      <c r="AC83" s="31"/>
      <c r="AD83" s="31"/>
      <c r="AE83" s="37"/>
      <c r="AF83" s="37"/>
      <c r="AG83" s="37"/>
    </row>
    <row r="84" spans="1:33" ht="15.75" customHeight="1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6"/>
      <c r="V84" s="1"/>
      <c r="W84" s="31"/>
      <c r="X84" s="31"/>
      <c r="Y84" s="31"/>
      <c r="Z84" s="31"/>
      <c r="AA84" s="2"/>
      <c r="AB84" s="31"/>
      <c r="AC84" s="31"/>
      <c r="AD84" s="31"/>
      <c r="AE84" s="37"/>
      <c r="AF84" s="37"/>
      <c r="AG84" s="37"/>
    </row>
    <row r="85" spans="1:33" ht="15.75" customHeight="1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6"/>
      <c r="V85" s="1"/>
      <c r="W85" s="31"/>
      <c r="X85" s="31"/>
      <c r="Y85" s="31"/>
      <c r="Z85" s="31"/>
      <c r="AA85" s="2"/>
      <c r="AB85" s="31"/>
      <c r="AC85" s="31"/>
      <c r="AD85" s="31"/>
      <c r="AE85" s="37"/>
      <c r="AF85" s="37"/>
      <c r="AG85" s="37"/>
    </row>
    <row r="86" spans="1:33" ht="15.75" customHeight="1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6"/>
      <c r="V86" s="1"/>
      <c r="W86" s="31"/>
      <c r="X86" s="31"/>
      <c r="Y86" s="31"/>
      <c r="Z86" s="31"/>
      <c r="AA86" s="2"/>
      <c r="AB86" s="31"/>
      <c r="AC86" s="31"/>
      <c r="AD86" s="31"/>
      <c r="AE86" s="37"/>
      <c r="AF86" s="37"/>
      <c r="AG86" s="37"/>
    </row>
    <row r="87" spans="1:33" ht="15.75" customHeight="1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6"/>
      <c r="V87" s="1"/>
      <c r="W87" s="31"/>
      <c r="X87" s="31"/>
      <c r="Y87" s="31"/>
      <c r="Z87" s="31"/>
      <c r="AA87" s="2"/>
      <c r="AB87" s="31"/>
      <c r="AC87" s="31"/>
      <c r="AD87" s="31"/>
      <c r="AE87" s="37"/>
      <c r="AF87" s="37"/>
      <c r="AG87" s="37"/>
    </row>
    <row r="88" spans="1:33" ht="15.75" customHeight="1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6"/>
      <c r="V88" s="1"/>
      <c r="W88" s="31"/>
      <c r="X88" s="31"/>
      <c r="Y88" s="31"/>
      <c r="Z88" s="31"/>
      <c r="AA88" s="2"/>
      <c r="AB88" s="31"/>
      <c r="AC88" s="31"/>
      <c r="AD88" s="31"/>
      <c r="AE88" s="37"/>
      <c r="AF88" s="37"/>
      <c r="AG88" s="37"/>
    </row>
    <row r="89" spans="1:33" ht="15.75" customHeight="1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6"/>
      <c r="V89" s="1"/>
      <c r="W89" s="31"/>
      <c r="X89" s="31"/>
      <c r="Y89" s="31"/>
      <c r="Z89" s="31"/>
      <c r="AA89" s="2"/>
      <c r="AB89" s="31"/>
      <c r="AC89" s="31"/>
      <c r="AD89" s="31"/>
      <c r="AE89" s="37"/>
      <c r="AF89" s="37"/>
      <c r="AG89" s="37"/>
    </row>
    <row r="90" spans="1:33" ht="15.75" customHeight="1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6"/>
      <c r="V90" s="1"/>
      <c r="W90" s="31"/>
      <c r="X90" s="31"/>
      <c r="Y90" s="31"/>
      <c r="Z90" s="31"/>
      <c r="AA90" s="2"/>
      <c r="AB90" s="31"/>
      <c r="AC90" s="31"/>
      <c r="AD90" s="31"/>
      <c r="AE90" s="37"/>
      <c r="AF90" s="37"/>
      <c r="AG90" s="37"/>
    </row>
    <row r="91" spans="1:33" ht="15.75" customHeight="1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6"/>
      <c r="V91" s="1"/>
      <c r="W91" s="31"/>
      <c r="X91" s="31"/>
      <c r="Y91" s="31"/>
      <c r="Z91" s="31"/>
      <c r="AA91" s="2"/>
      <c r="AB91" s="31"/>
      <c r="AC91" s="31"/>
      <c r="AD91" s="31"/>
      <c r="AE91" s="37"/>
      <c r="AF91" s="37"/>
      <c r="AG91" s="37"/>
    </row>
    <row r="92" spans="1:33" ht="15.75" customHeight="1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6"/>
      <c r="V92" s="1"/>
      <c r="W92" s="31"/>
      <c r="X92" s="31"/>
      <c r="Y92" s="31"/>
      <c r="Z92" s="31"/>
      <c r="AA92" s="2"/>
      <c r="AB92" s="31"/>
      <c r="AC92" s="31"/>
      <c r="AD92" s="31"/>
      <c r="AE92" s="37"/>
      <c r="AF92" s="37"/>
      <c r="AG92" s="37"/>
    </row>
    <row r="93" spans="1:33" ht="15.75" customHeight="1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6"/>
      <c r="V93" s="1"/>
      <c r="W93" s="31"/>
      <c r="X93" s="31"/>
      <c r="Y93" s="31"/>
      <c r="Z93" s="31"/>
      <c r="AA93" s="2"/>
      <c r="AB93" s="31"/>
      <c r="AC93" s="31"/>
      <c r="AD93" s="31"/>
      <c r="AE93" s="37"/>
      <c r="AF93" s="37"/>
      <c r="AG93" s="37"/>
    </row>
    <row r="94" spans="1:33" ht="15.75" customHeight="1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6"/>
      <c r="V94" s="1"/>
      <c r="W94" s="31"/>
      <c r="X94" s="31"/>
      <c r="Y94" s="31"/>
      <c r="Z94" s="31"/>
      <c r="AA94" s="2"/>
      <c r="AB94" s="31"/>
      <c r="AC94" s="31"/>
      <c r="AD94" s="31"/>
      <c r="AE94" s="37"/>
      <c r="AF94" s="37"/>
      <c r="AG94" s="37"/>
    </row>
    <row r="95" spans="1:33" ht="15.75" customHeight="1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6"/>
      <c r="V95" s="1"/>
      <c r="W95" s="31"/>
      <c r="X95" s="31"/>
      <c r="Y95" s="31"/>
      <c r="Z95" s="31"/>
      <c r="AA95" s="2"/>
      <c r="AB95" s="31"/>
      <c r="AC95" s="31"/>
      <c r="AD95" s="31"/>
      <c r="AE95" s="37"/>
      <c r="AF95" s="37"/>
      <c r="AG95" s="37"/>
    </row>
    <row r="96" spans="1:33" ht="15.75" customHeight="1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6"/>
      <c r="V96" s="1"/>
      <c r="W96" s="31"/>
      <c r="X96" s="31"/>
      <c r="Y96" s="31"/>
      <c r="Z96" s="31"/>
      <c r="AA96" s="2"/>
      <c r="AB96" s="31"/>
      <c r="AC96" s="31"/>
      <c r="AD96" s="31"/>
      <c r="AE96" s="37"/>
      <c r="AF96" s="37"/>
      <c r="AG96" s="37"/>
    </row>
    <row r="97" spans="1:33" ht="15.75" customHeight="1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8"/>
      <c r="R97" s="38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8"/>
      <c r="R98" s="38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8"/>
      <c r="R99" s="38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8"/>
      <c r="R100" s="38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8"/>
      <c r="R101" s="38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8"/>
      <c r="R102" s="38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8"/>
      <c r="R103" s="38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8"/>
      <c r="R104" s="38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8"/>
      <c r="R105" s="38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8"/>
      <c r="R106" s="38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8"/>
      <c r="R107" s="38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8"/>
      <c r="R108" s="38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8"/>
      <c r="R109" s="38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8"/>
      <c r="R110" s="38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8"/>
      <c r="R111" s="38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8"/>
      <c r="R112" s="38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8"/>
      <c r="R113" s="38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8"/>
      <c r="R114" s="38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>
      <c r="A115" s="31"/>
      <c r="B115" s="31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>
      <c r="A116" s="31"/>
      <c r="B116" s="31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>
      <c r="A117" s="31"/>
      <c r="B117" s="31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>
      <c r="A118" s="31"/>
      <c r="B118" s="31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>
      <c r="A119" s="31"/>
      <c r="B119" s="31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>
      <c r="A120" s="31"/>
      <c r="B120" s="31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>
      <c r="A121" s="31"/>
      <c r="B121" s="31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>
      <c r="A122" s="31"/>
      <c r="B122" s="31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>
      <c r="A123" s="31"/>
      <c r="B123" s="31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>
      <c r="A124" s="31"/>
      <c r="B124" s="31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>
      <c r="A125" s="31"/>
      <c r="B125" s="31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>
      <c r="A126" s="31"/>
      <c r="B126" s="31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>
      <c r="A127" s="31"/>
      <c r="B127" s="31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>
      <c r="A128" s="31"/>
      <c r="B128" s="31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>
      <c r="A129" s="31"/>
      <c r="B129" s="31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>
      <c r="A130" s="31"/>
      <c r="B130" s="31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>
      <c r="A131" s="31"/>
      <c r="B131" s="31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>
      <c r="A132" s="31"/>
      <c r="B132" s="31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>
      <c r="A133" s="31"/>
      <c r="B133" s="31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>
      <c r="A134" s="31"/>
      <c r="B134" s="31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>
      <c r="A135" s="31"/>
      <c r="B135" s="31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>
      <c r="A136" s="31"/>
      <c r="B136" s="31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>
      <c r="A137" s="31"/>
      <c r="B137" s="31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>
      <c r="A138" s="31"/>
      <c r="B138" s="31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>
      <c r="A139" s="31"/>
      <c r="B139" s="31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>
      <c r="A140" s="31"/>
      <c r="B140" s="31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>
      <c r="A141" s="31"/>
      <c r="B141" s="31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2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>
      <c r="A142" s="31"/>
      <c r="B142" s="31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2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>
      <c r="A143" s="31"/>
      <c r="B143" s="31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2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>
      <c r="A144" s="31"/>
      <c r="B144" s="31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2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>
      <c r="A145" s="31"/>
      <c r="B145" s="31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2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>
      <c r="A146" s="31"/>
      <c r="B146" s="31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2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>
      <c r="A147" s="31"/>
      <c r="B147" s="31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2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>
      <c r="A148" s="31"/>
      <c r="B148" s="31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2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</row>
    <row r="149" spans="1:33" ht="15.75" customHeight="1">
      <c r="A149" s="14"/>
      <c r="B149" s="14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>
      <c r="A150" s="14"/>
      <c r="B150" s="14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>
      <c r="A151" s="14"/>
      <c r="B151" s="14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>
      <c r="A152" s="14"/>
      <c r="B152" s="14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>
      <c r="A153" s="14"/>
      <c r="B153" s="14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>
      <c r="A154" s="14"/>
      <c r="B154" s="14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>
      <c r="A155" s="14"/>
      <c r="B155" s="14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>
      <c r="A156" s="14"/>
      <c r="B156" s="14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>
      <c r="A157" s="14"/>
      <c r="B157" s="14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>
      <c r="A158" s="14"/>
      <c r="B158" s="14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>
      <c r="A159" s="14"/>
      <c r="B159" s="14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>
      <c r="A160" s="14"/>
      <c r="B160" s="14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>
      <c r="A161" s="14"/>
      <c r="B161" s="14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>
      <c r="A162" s="14"/>
      <c r="B162" s="14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>
      <c r="A163" s="14"/>
      <c r="B163" s="14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>
      <c r="A164" s="14"/>
      <c r="B164" s="14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>
      <c r="A165" s="14"/>
      <c r="B165" s="14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>
      <c r="A166" s="14"/>
      <c r="B166" s="14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>
      <c r="A167" s="14"/>
      <c r="B167" s="14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>
      <c r="A168" s="14"/>
      <c r="B168" s="14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>
      <c r="A169" s="14"/>
      <c r="B169" s="14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>
      <c r="A170" s="14"/>
      <c r="B170" s="14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>
      <c r="A171" s="14"/>
      <c r="B171" s="14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>
      <c r="A172" s="14"/>
      <c r="B172" s="14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>
      <c r="A173" s="14"/>
      <c r="B173" s="14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>
      <c r="A174" s="14"/>
      <c r="B174" s="14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>
      <c r="A175" s="14"/>
      <c r="B175" s="14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>
      <c r="A176" s="14"/>
      <c r="B176" s="14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>
      <c r="A177" s="14"/>
      <c r="B177" s="14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>
      <c r="A178" s="14"/>
      <c r="B178" s="14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>
      <c r="A179" s="14"/>
      <c r="B179" s="14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>
      <c r="A180" s="14"/>
      <c r="B180" s="14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>
      <c r="A181" s="14"/>
      <c r="B181" s="14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>
      <c r="A182" s="14"/>
      <c r="B182" s="14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>
      <c r="A183" s="14"/>
      <c r="B183" s="14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>
      <c r="A184" s="14"/>
      <c r="B184" s="14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>
      <c r="A185" s="14"/>
      <c r="B185" s="14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>
      <c r="A186" s="14"/>
      <c r="B186" s="14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>
      <c r="A187" s="14"/>
      <c r="B187" s="14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>
      <c r="A188" s="14"/>
      <c r="B188" s="14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>
      <c r="A189" s="14"/>
      <c r="B189" s="14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>
      <c r="A190" s="14"/>
      <c r="B190" s="14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>
      <c r="A191" s="14"/>
      <c r="B191" s="14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>
      <c r="A192" s="14"/>
      <c r="B192" s="14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>
      <c r="A193" s="14"/>
      <c r="B193" s="14"/>
      <c r="C193" s="39"/>
      <c r="D193" s="39"/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>
      <c r="A194" s="14"/>
      <c r="B194" s="14"/>
      <c r="C194" s="39"/>
      <c r="D194" s="39"/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>
      <c r="A195" s="14"/>
      <c r="B195" s="14"/>
      <c r="C195" s="39"/>
      <c r="D195" s="39"/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>
      <c r="A196" s="14"/>
      <c r="B196" s="14"/>
      <c r="C196" s="39"/>
      <c r="D196" s="39"/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>
      <c r="A197" s="14"/>
      <c r="B197" s="14"/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>
      <c r="A198" s="14"/>
      <c r="B198" s="14"/>
      <c r="C198" s="39"/>
      <c r="D198" s="39"/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>
      <c r="A199" s="14"/>
      <c r="B199" s="14"/>
      <c r="C199" s="39"/>
      <c r="D199" s="39"/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>
      <c r="A200" s="14"/>
      <c r="B200" s="14"/>
      <c r="C200" s="39"/>
      <c r="D200" s="39"/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>
      <c r="A201" s="14"/>
      <c r="B201" s="14"/>
      <c r="C201" s="39"/>
      <c r="D201" s="39"/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>
      <c r="A202" s="14"/>
      <c r="B202" s="14"/>
      <c r="C202" s="39"/>
      <c r="D202" s="39"/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>
      <c r="A203" s="14"/>
      <c r="B203" s="14"/>
      <c r="C203" s="39"/>
      <c r="D203" s="39"/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>
      <c r="A204" s="14"/>
      <c r="B204" s="14"/>
      <c r="C204" s="39"/>
      <c r="D204" s="39"/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>
      <c r="A205" s="14"/>
      <c r="B205" s="14"/>
      <c r="C205" s="39"/>
      <c r="D205" s="39"/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>
      <c r="A206" s="14"/>
      <c r="B206" s="14"/>
      <c r="C206" s="39"/>
      <c r="D206" s="39"/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>
      <c r="A207" s="14"/>
      <c r="B207" s="14"/>
      <c r="C207" s="39"/>
      <c r="D207" s="39"/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>
      <c r="A208" s="14"/>
      <c r="B208" s="14"/>
      <c r="C208" s="39"/>
      <c r="D208" s="39"/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>
      <c r="A209" s="14"/>
      <c r="B209" s="14"/>
      <c r="C209" s="39"/>
      <c r="D209" s="39"/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>
      <c r="A210" s="14"/>
      <c r="B210" s="14"/>
      <c r="C210" s="39"/>
      <c r="D210" s="39"/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>
      <c r="A211" s="14"/>
      <c r="B211" s="14"/>
      <c r="C211" s="39"/>
      <c r="D211" s="39"/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>
      <c r="A212" s="14"/>
      <c r="B212" s="14"/>
      <c r="C212" s="39"/>
      <c r="D212" s="39"/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>
      <c r="A213" s="14"/>
      <c r="B213" s="14"/>
      <c r="C213" s="39"/>
      <c r="D213" s="39"/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>
      <c r="A214" s="14"/>
      <c r="B214" s="14"/>
      <c r="C214" s="39"/>
      <c r="D214" s="39"/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>
      <c r="A215" s="14"/>
      <c r="B215" s="14"/>
      <c r="C215" s="39"/>
      <c r="D215" s="39"/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>
      <c r="A216" s="14"/>
      <c r="B216" s="14"/>
      <c r="C216" s="39"/>
      <c r="D216" s="39"/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>
      <c r="A217" s="14"/>
      <c r="B217" s="14"/>
      <c r="C217" s="39"/>
      <c r="D217" s="39"/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>
      <c r="A218" s="14"/>
      <c r="B218" s="14"/>
      <c r="C218" s="39"/>
      <c r="D218" s="39"/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>
      <c r="A219" s="14"/>
      <c r="B219" s="14"/>
      <c r="C219" s="39"/>
      <c r="D219" s="39"/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>
      <c r="A220" s="14"/>
      <c r="B220" s="14"/>
      <c r="C220" s="39"/>
      <c r="D220" s="39"/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>
      <c r="R221" s="30"/>
      <c r="S221" s="40"/>
    </row>
    <row r="222" spans="1:33" ht="15.75" customHeight="1">
      <c r="R222" s="30"/>
      <c r="S222" s="40"/>
    </row>
    <row r="223" spans="1:33" ht="15.75" customHeight="1">
      <c r="R223" s="30"/>
      <c r="S223" s="40"/>
    </row>
    <row r="224" spans="1:33" ht="15.75" customHeight="1">
      <c r="R224" s="30"/>
      <c r="S224" s="40"/>
    </row>
    <row r="225" spans="18:18" ht="15.75" customHeight="1">
      <c r="R225" s="30"/>
    </row>
    <row r="226" spans="18:18" ht="15.75" customHeight="1">
      <c r="R226" s="30"/>
    </row>
    <row r="227" spans="18:18" ht="15.75" customHeight="1">
      <c r="R227" s="30"/>
    </row>
    <row r="228" spans="18:18" ht="15.75" customHeight="1">
      <c r="R228" s="30"/>
    </row>
    <row r="229" spans="18:18" ht="15.75" customHeight="1">
      <c r="R229" s="30"/>
    </row>
    <row r="230" spans="18:18" ht="15.75" customHeight="1">
      <c r="R230" s="30"/>
    </row>
    <row r="231" spans="18:18" ht="15.75" customHeight="1">
      <c r="R231" s="30"/>
    </row>
    <row r="232" spans="18:18" ht="15.75" customHeight="1">
      <c r="R232" s="30"/>
    </row>
    <row r="233" spans="18:18" ht="15.75" customHeight="1">
      <c r="R233" s="30"/>
    </row>
    <row r="234" spans="18:18" ht="15.75" customHeight="1">
      <c r="R234" s="30"/>
    </row>
    <row r="235" spans="18:18" ht="15.75" customHeight="1">
      <c r="R235" s="30"/>
    </row>
    <row r="236" spans="18:18" ht="15.75" customHeight="1">
      <c r="R236" s="30"/>
    </row>
    <row r="237" spans="18:18" ht="15.75" customHeight="1">
      <c r="R237" s="30"/>
    </row>
    <row r="238" spans="18:18" ht="15.75" customHeight="1">
      <c r="R238" s="30"/>
    </row>
    <row r="239" spans="18:18" ht="15.75" customHeight="1">
      <c r="R239" s="30"/>
    </row>
    <row r="240" spans="18:18" ht="15.75" customHeight="1">
      <c r="R240" s="30"/>
    </row>
    <row r="241" spans="18:18" ht="15.75" customHeight="1">
      <c r="R241" s="30"/>
    </row>
    <row r="242" spans="18:18" ht="15.75" customHeight="1">
      <c r="R242" s="30"/>
    </row>
    <row r="243" spans="18:18" ht="15.75" customHeight="1">
      <c r="R243" s="30"/>
    </row>
    <row r="244" spans="18:18" ht="15.75" customHeight="1">
      <c r="R244" s="30"/>
    </row>
    <row r="245" spans="18:18" ht="15.75" customHeight="1">
      <c r="R245" s="30"/>
    </row>
    <row r="246" spans="18:18" ht="15.75" customHeight="1">
      <c r="R246" s="30"/>
    </row>
    <row r="247" spans="18:18" ht="15.75" customHeight="1">
      <c r="R247" s="30"/>
    </row>
    <row r="248" spans="18:18" ht="15.75" customHeight="1">
      <c r="R248" s="30"/>
    </row>
    <row r="249" spans="18:18" ht="15.75" customHeight="1">
      <c r="R249" s="30"/>
    </row>
    <row r="250" spans="18:18" ht="15.75" customHeight="1">
      <c r="R250" s="30"/>
    </row>
    <row r="251" spans="18:18" ht="15.75" customHeight="1">
      <c r="R251" s="30"/>
    </row>
    <row r="252" spans="18:18" ht="15.75" customHeight="1">
      <c r="R252" s="30"/>
    </row>
    <row r="253" spans="18:18" ht="15.75" customHeight="1">
      <c r="R253" s="30"/>
    </row>
    <row r="254" spans="18:18" ht="15.75" customHeight="1">
      <c r="R254" s="30"/>
    </row>
    <row r="255" spans="18:18" ht="15.75" customHeight="1">
      <c r="R255" s="30"/>
    </row>
    <row r="256" spans="18:18" ht="15.75" customHeight="1">
      <c r="R256" s="30"/>
    </row>
    <row r="257" spans="18:18" ht="15.75" customHeight="1">
      <c r="R257" s="30"/>
    </row>
    <row r="258" spans="18:18" ht="15.75" customHeight="1">
      <c r="R258" s="30"/>
    </row>
    <row r="259" spans="18:18" ht="15.75" customHeight="1">
      <c r="R259" s="30"/>
    </row>
    <row r="260" spans="18:18" ht="15.75" customHeight="1">
      <c r="R260" s="30"/>
    </row>
    <row r="261" spans="18:18" ht="15.75" customHeight="1">
      <c r="R261" s="30"/>
    </row>
    <row r="262" spans="18:18" ht="15.75" customHeight="1">
      <c r="R262" s="30"/>
    </row>
    <row r="263" spans="18:18" ht="15.75" customHeight="1">
      <c r="R263" s="30"/>
    </row>
    <row r="264" spans="18:18" ht="15.75" customHeight="1">
      <c r="R264" s="30"/>
    </row>
    <row r="265" spans="18:18" ht="15.75" customHeight="1">
      <c r="R265" s="30"/>
    </row>
    <row r="266" spans="18:18" ht="15.75" customHeight="1">
      <c r="R266" s="30"/>
    </row>
    <row r="267" spans="18:18" ht="15.75" customHeight="1">
      <c r="R267" s="30"/>
    </row>
    <row r="268" spans="18:18" ht="15.75" customHeight="1">
      <c r="R268" s="30"/>
    </row>
    <row r="269" spans="18:18" ht="15.75" customHeight="1">
      <c r="R269" s="30"/>
    </row>
    <row r="270" spans="18:18" ht="15.75" customHeight="1">
      <c r="R270" s="30"/>
    </row>
    <row r="271" spans="18:18" ht="15.75" customHeight="1">
      <c r="R271" s="30"/>
    </row>
    <row r="272" spans="18:18" ht="15.75" customHeight="1">
      <c r="R272" s="30"/>
    </row>
    <row r="273" spans="18:18" ht="15.75" customHeight="1">
      <c r="R273" s="30"/>
    </row>
    <row r="274" spans="18:18" ht="15.75" customHeight="1">
      <c r="R274" s="30"/>
    </row>
    <row r="275" spans="18:18" ht="15.75" customHeight="1">
      <c r="R275" s="30"/>
    </row>
    <row r="276" spans="18:18" ht="15.75" customHeight="1">
      <c r="R276" s="30"/>
    </row>
    <row r="277" spans="18:18" ht="15.75" customHeight="1">
      <c r="R277" s="30"/>
    </row>
    <row r="278" spans="18:18" ht="15.75" customHeight="1">
      <c r="R278" s="30"/>
    </row>
    <row r="279" spans="18:18" ht="15.75" customHeight="1">
      <c r="R279" s="30"/>
    </row>
    <row r="280" spans="18:18" ht="15.75" customHeight="1">
      <c r="R280" s="30"/>
    </row>
    <row r="281" spans="18:18" ht="15.75" customHeight="1">
      <c r="R281" s="30"/>
    </row>
    <row r="282" spans="18:18" ht="15.75" customHeight="1">
      <c r="R282" s="30"/>
    </row>
    <row r="283" spans="18:18" ht="15.75" customHeight="1">
      <c r="R283" s="30"/>
    </row>
    <row r="284" spans="18:18" ht="15.75" customHeight="1">
      <c r="R284" s="30"/>
    </row>
    <row r="285" spans="18:18" ht="15.75" customHeight="1">
      <c r="R285" s="30"/>
    </row>
    <row r="286" spans="18:18" ht="15.75" customHeight="1">
      <c r="R286" s="30"/>
    </row>
    <row r="287" spans="18:18" ht="15.75" customHeight="1">
      <c r="R287" s="30"/>
    </row>
    <row r="288" spans="18:18" ht="15.75" customHeight="1">
      <c r="R288" s="30"/>
    </row>
    <row r="289" spans="18:18" ht="15.75" customHeight="1">
      <c r="R289" s="30"/>
    </row>
    <row r="290" spans="18:18" ht="15.75" customHeight="1">
      <c r="R290" s="30"/>
    </row>
    <row r="291" spans="18:18" ht="15.75" customHeight="1">
      <c r="R291" s="30"/>
    </row>
    <row r="292" spans="18:18" ht="15.75" customHeight="1">
      <c r="R292" s="30"/>
    </row>
    <row r="293" spans="18:18" ht="15.75" customHeight="1">
      <c r="R293" s="30"/>
    </row>
    <row r="294" spans="18:18" ht="15.75" customHeight="1">
      <c r="R294" s="30"/>
    </row>
    <row r="295" spans="18:18" ht="15.75" customHeight="1">
      <c r="R295" s="30"/>
    </row>
    <row r="296" spans="18:18" ht="15.75" customHeight="1">
      <c r="R296" s="30"/>
    </row>
    <row r="297" spans="18:18" ht="15.75" customHeight="1">
      <c r="R297" s="30"/>
    </row>
    <row r="298" spans="18:18" ht="15.75" customHeight="1">
      <c r="R298" s="30"/>
    </row>
    <row r="299" spans="18:18" ht="15.75" customHeight="1">
      <c r="R299" s="30"/>
    </row>
    <row r="300" spans="18:18" ht="15.75" customHeight="1">
      <c r="R300" s="30"/>
    </row>
    <row r="301" spans="18:18" ht="15.75" customHeight="1">
      <c r="R301" s="30"/>
    </row>
    <row r="302" spans="18:18" ht="15.75" customHeight="1">
      <c r="R302" s="30"/>
    </row>
    <row r="303" spans="18:18" ht="15.75" customHeight="1">
      <c r="R303" s="30"/>
    </row>
    <row r="304" spans="18:18" ht="15.75" customHeight="1">
      <c r="R304" s="30"/>
    </row>
    <row r="305" spans="18:18" ht="15.75" customHeight="1">
      <c r="R305" s="30"/>
    </row>
    <row r="306" spans="18:18" ht="15.75" customHeight="1">
      <c r="R306" s="30"/>
    </row>
    <row r="307" spans="18:18" ht="15.75" customHeight="1">
      <c r="R307" s="30"/>
    </row>
    <row r="308" spans="18:18" ht="15.75" customHeight="1">
      <c r="R308" s="30"/>
    </row>
    <row r="309" spans="18:18" ht="15.75" customHeight="1">
      <c r="R309" s="30"/>
    </row>
    <row r="310" spans="18:18" ht="15.75" customHeight="1">
      <c r="R310" s="30"/>
    </row>
    <row r="311" spans="18:18" ht="15.75" customHeight="1">
      <c r="R311" s="30"/>
    </row>
    <row r="312" spans="18:18" ht="15.75" customHeight="1">
      <c r="R312" s="30"/>
    </row>
    <row r="313" spans="18:18" ht="15.75" customHeight="1">
      <c r="R313" s="30"/>
    </row>
    <row r="314" spans="18:18" ht="15.75" customHeight="1">
      <c r="R314" s="30"/>
    </row>
    <row r="315" spans="18:18" ht="15.75" customHeight="1">
      <c r="R315" s="30"/>
    </row>
    <row r="316" spans="18:18" ht="15.75" customHeight="1">
      <c r="R316" s="30"/>
    </row>
    <row r="317" spans="18:18" ht="15.75" customHeight="1">
      <c r="R317" s="30"/>
    </row>
    <row r="318" spans="18:18" ht="15.75" customHeight="1">
      <c r="R318" s="30"/>
    </row>
    <row r="319" spans="18:18" ht="15.75" customHeight="1">
      <c r="R319" s="30"/>
    </row>
    <row r="320" spans="18:18" ht="15.75" customHeight="1">
      <c r="R320" s="30"/>
    </row>
    <row r="321" spans="18:18" ht="15.75" customHeight="1">
      <c r="R321" s="30"/>
    </row>
    <row r="322" spans="18:18" ht="15.75" customHeight="1">
      <c r="R322" s="30"/>
    </row>
    <row r="323" spans="18:18" ht="15.75" customHeight="1">
      <c r="R323" s="30"/>
    </row>
    <row r="324" spans="18:18" ht="15.75" customHeight="1">
      <c r="R324" s="30"/>
    </row>
    <row r="325" spans="18:18" ht="15.75" customHeight="1">
      <c r="R325" s="30"/>
    </row>
    <row r="326" spans="18:18" ht="15.75" customHeight="1">
      <c r="R326" s="30"/>
    </row>
    <row r="327" spans="18:18" ht="15.75" customHeight="1">
      <c r="R327" s="30"/>
    </row>
    <row r="328" spans="18:18" ht="15.75" customHeight="1">
      <c r="R328" s="30"/>
    </row>
    <row r="329" spans="18:18" ht="15.75" customHeight="1">
      <c r="R329" s="30"/>
    </row>
    <row r="330" spans="18:18" ht="15.75" customHeight="1">
      <c r="R330" s="30"/>
    </row>
    <row r="331" spans="18:18" ht="15.75" customHeight="1">
      <c r="R331" s="30"/>
    </row>
    <row r="332" spans="18:18" ht="15.75" customHeight="1">
      <c r="R332" s="30"/>
    </row>
    <row r="333" spans="18:18" ht="15.75" customHeight="1">
      <c r="R333" s="30"/>
    </row>
    <row r="334" spans="18:18" ht="15.75" customHeight="1">
      <c r="R334" s="30"/>
    </row>
    <row r="335" spans="18:18" ht="15.75" customHeight="1">
      <c r="R335" s="30"/>
    </row>
    <row r="336" spans="18:18" ht="15.75" customHeight="1">
      <c r="R336" s="30"/>
    </row>
    <row r="337" spans="18:18" ht="15.75" customHeight="1">
      <c r="R337" s="30"/>
    </row>
    <row r="338" spans="18:18" ht="15.75" customHeight="1">
      <c r="R338" s="30"/>
    </row>
    <row r="339" spans="18:18" ht="15.75" customHeight="1">
      <c r="R339" s="30"/>
    </row>
    <row r="340" spans="18:18" ht="15.75" customHeight="1">
      <c r="R340" s="30"/>
    </row>
    <row r="341" spans="18:18" ht="15.75" customHeight="1">
      <c r="R341" s="30"/>
    </row>
    <row r="342" spans="18:18" ht="15.75" customHeight="1">
      <c r="R342" s="30"/>
    </row>
    <row r="343" spans="18:18" ht="15.75" customHeight="1">
      <c r="R343" s="30"/>
    </row>
    <row r="344" spans="18:18" ht="15.75" customHeight="1">
      <c r="R344" s="30"/>
    </row>
    <row r="345" spans="18:18" ht="15.75" customHeight="1">
      <c r="R345" s="30"/>
    </row>
    <row r="346" spans="18:18" ht="15.75" customHeight="1">
      <c r="R346" s="30"/>
    </row>
    <row r="347" spans="18:18" ht="15.75" customHeight="1">
      <c r="R347" s="30"/>
    </row>
    <row r="348" spans="18:18" ht="15.75" customHeight="1">
      <c r="R348" s="30"/>
    </row>
    <row r="349" spans="18:18" ht="15.75" customHeight="1">
      <c r="R349" s="30"/>
    </row>
    <row r="350" spans="18:18" ht="15.75" customHeight="1">
      <c r="R350" s="30"/>
    </row>
    <row r="351" spans="18:18" ht="15.75" customHeight="1">
      <c r="R351" s="30"/>
    </row>
    <row r="352" spans="18:18" ht="15.75" customHeight="1">
      <c r="R352" s="30"/>
    </row>
    <row r="353" spans="18:18" ht="15.75" customHeight="1">
      <c r="R353" s="30"/>
    </row>
    <row r="354" spans="18:18" ht="15.75" customHeight="1">
      <c r="R354" s="30"/>
    </row>
    <row r="355" spans="18:18" ht="15.75" customHeight="1">
      <c r="R355" s="30"/>
    </row>
    <row r="356" spans="18:18" ht="15.75" customHeight="1">
      <c r="R356" s="30"/>
    </row>
    <row r="357" spans="18:18" ht="15.75" customHeight="1">
      <c r="R357" s="30"/>
    </row>
    <row r="358" spans="18:18" ht="15.75" customHeight="1">
      <c r="R358" s="30"/>
    </row>
    <row r="359" spans="18:18" ht="15.75" customHeight="1">
      <c r="R359" s="30"/>
    </row>
    <row r="360" spans="18:18" ht="15.75" customHeight="1">
      <c r="R360" s="30"/>
    </row>
    <row r="361" spans="18:18" ht="15.75" customHeight="1">
      <c r="R361" s="30"/>
    </row>
    <row r="362" spans="18:18" ht="15.75" customHeight="1">
      <c r="R362" s="30"/>
    </row>
    <row r="363" spans="18:18" ht="15.75" customHeight="1">
      <c r="R363" s="30"/>
    </row>
    <row r="364" spans="18:18" ht="15.75" customHeight="1">
      <c r="R364" s="30"/>
    </row>
    <row r="365" spans="18:18" ht="15.75" customHeight="1">
      <c r="R365" s="30"/>
    </row>
    <row r="366" spans="18:18" ht="15.75" customHeight="1">
      <c r="R366" s="30"/>
    </row>
    <row r="367" spans="18:18" ht="15.75" customHeight="1">
      <c r="R367" s="30"/>
    </row>
    <row r="368" spans="18:18" ht="15.75" customHeight="1">
      <c r="R368" s="30"/>
    </row>
    <row r="369" spans="18:18" ht="15.75" customHeight="1">
      <c r="R369" s="30"/>
    </row>
    <row r="370" spans="18:18" ht="15.75" customHeight="1">
      <c r="R370" s="30"/>
    </row>
    <row r="371" spans="18:18" ht="15.75" customHeight="1">
      <c r="R371" s="30"/>
    </row>
    <row r="372" spans="18:18" ht="15.75" customHeight="1">
      <c r="R372" s="30"/>
    </row>
    <row r="373" spans="18:18" ht="15.75" customHeight="1">
      <c r="R373" s="30"/>
    </row>
    <row r="374" spans="18:18" ht="15.75" customHeight="1">
      <c r="R374" s="30"/>
    </row>
    <row r="375" spans="18:18" ht="15.75" customHeight="1">
      <c r="R375" s="30"/>
    </row>
    <row r="376" spans="18:18" ht="15.75" customHeight="1">
      <c r="R376" s="30"/>
    </row>
    <row r="377" spans="18:18" ht="15.75" customHeight="1">
      <c r="R377" s="30"/>
    </row>
    <row r="378" spans="18:18" ht="15.75" customHeight="1">
      <c r="R378" s="30"/>
    </row>
    <row r="379" spans="18:18" ht="15.75" customHeight="1">
      <c r="R379" s="30"/>
    </row>
    <row r="380" spans="18:18" ht="15.75" customHeight="1">
      <c r="R380" s="30"/>
    </row>
    <row r="381" spans="18:18" ht="15.75" customHeight="1">
      <c r="R381" s="30"/>
    </row>
    <row r="382" spans="18:18" ht="15.75" customHeight="1">
      <c r="R382" s="30"/>
    </row>
    <row r="383" spans="18:18" ht="15.75" customHeight="1">
      <c r="R383" s="30"/>
    </row>
    <row r="384" spans="18:18" ht="15.75" customHeight="1">
      <c r="R384" s="30"/>
    </row>
    <row r="385" spans="18:18" ht="15.75" customHeight="1">
      <c r="R385" s="30"/>
    </row>
    <row r="386" spans="18:18" ht="15.75" customHeight="1">
      <c r="R386" s="30"/>
    </row>
    <row r="387" spans="18:18" ht="15.75" customHeight="1">
      <c r="R387" s="30"/>
    </row>
    <row r="388" spans="18:18" ht="15.75" customHeight="1">
      <c r="R388" s="30"/>
    </row>
    <row r="389" spans="18:18" ht="15.75" customHeight="1">
      <c r="R389" s="30"/>
    </row>
    <row r="390" spans="18:18" ht="15.75" customHeight="1">
      <c r="R390" s="30"/>
    </row>
    <row r="391" spans="18:18" ht="15.75" customHeight="1">
      <c r="R391" s="30"/>
    </row>
    <row r="392" spans="18:18" ht="15.75" customHeight="1">
      <c r="R392" s="30"/>
    </row>
    <row r="393" spans="18:18" ht="15.75" customHeight="1">
      <c r="R393" s="30"/>
    </row>
    <row r="394" spans="18:18" ht="15.75" customHeight="1">
      <c r="R394" s="30"/>
    </row>
    <row r="395" spans="18:18" ht="15.75" customHeight="1">
      <c r="R395" s="30"/>
    </row>
    <row r="396" spans="18:18" ht="15.75" customHeight="1">
      <c r="R396" s="30"/>
    </row>
    <row r="397" spans="18:18" ht="15.75" customHeight="1">
      <c r="R397" s="30"/>
    </row>
    <row r="398" spans="18:18" ht="15.75" customHeight="1">
      <c r="R398" s="30"/>
    </row>
    <row r="399" spans="18:18" ht="15.75" customHeight="1">
      <c r="R399" s="30"/>
    </row>
    <row r="400" spans="18:18" ht="15.75" customHeight="1">
      <c r="R400" s="30"/>
    </row>
    <row r="401" spans="18:18" ht="15.75" customHeight="1">
      <c r="R401" s="30"/>
    </row>
    <row r="402" spans="18:18" ht="15.75" customHeight="1">
      <c r="R402" s="30"/>
    </row>
    <row r="403" spans="18:18" ht="15.75" customHeight="1">
      <c r="R403" s="30"/>
    </row>
    <row r="404" spans="18:18" ht="15.75" customHeight="1">
      <c r="R404" s="30"/>
    </row>
    <row r="405" spans="18:18" ht="15.75" customHeight="1">
      <c r="R405" s="30"/>
    </row>
    <row r="406" spans="18:18" ht="15.75" customHeight="1">
      <c r="R406" s="30"/>
    </row>
    <row r="407" spans="18:18" ht="15.75" customHeight="1">
      <c r="R407" s="30"/>
    </row>
    <row r="408" spans="18:18" ht="15.75" customHeight="1">
      <c r="R408" s="30"/>
    </row>
    <row r="409" spans="18:18" ht="15.75" customHeight="1">
      <c r="R409" s="30"/>
    </row>
    <row r="410" spans="18:18" ht="15.75" customHeight="1">
      <c r="R410" s="30"/>
    </row>
    <row r="411" spans="18:18" ht="15.75" customHeight="1">
      <c r="R411" s="30"/>
    </row>
    <row r="412" spans="18:18" ht="15.75" customHeight="1">
      <c r="R412" s="30"/>
    </row>
    <row r="413" spans="18:18" ht="15.75" customHeight="1">
      <c r="R413" s="30"/>
    </row>
    <row r="414" spans="18:18" ht="15.75" customHeight="1">
      <c r="R414" s="30"/>
    </row>
    <row r="415" spans="18:18" ht="15.75" customHeight="1">
      <c r="R415" s="30"/>
    </row>
    <row r="416" spans="18:18" ht="15.75" customHeight="1">
      <c r="R416" s="30"/>
    </row>
    <row r="417" spans="18:18" ht="15.75" customHeight="1">
      <c r="R417" s="30"/>
    </row>
    <row r="418" spans="18:18" ht="15.75" customHeight="1">
      <c r="R418" s="30"/>
    </row>
    <row r="419" spans="18:18" ht="15.75" customHeight="1">
      <c r="R419" s="30"/>
    </row>
    <row r="420" spans="18:18" ht="15.75" customHeight="1">
      <c r="R420" s="30"/>
    </row>
    <row r="421" spans="18:18" ht="15.75" customHeight="1">
      <c r="R421" s="30"/>
    </row>
    <row r="422" spans="18:18" ht="15.75" customHeight="1">
      <c r="R422" s="30"/>
    </row>
    <row r="423" spans="18:18" ht="15.75" customHeight="1">
      <c r="R423" s="30"/>
    </row>
    <row r="424" spans="18:18" ht="15.75" customHeight="1">
      <c r="R424" s="30"/>
    </row>
    <row r="425" spans="18:18" ht="15.75" customHeight="1">
      <c r="R425" s="30"/>
    </row>
    <row r="426" spans="18:18" ht="15.75" customHeight="1">
      <c r="R426" s="30"/>
    </row>
    <row r="427" spans="18:18" ht="15.75" customHeight="1">
      <c r="R427" s="30"/>
    </row>
    <row r="428" spans="18:18" ht="15.75" customHeight="1">
      <c r="R428" s="30"/>
    </row>
    <row r="429" spans="18:18" ht="15.75" customHeight="1">
      <c r="R429" s="30"/>
    </row>
    <row r="430" spans="18:18" ht="15.75" customHeight="1">
      <c r="R430" s="30"/>
    </row>
    <row r="431" spans="18:18" ht="15.75" customHeight="1">
      <c r="R431" s="30"/>
    </row>
    <row r="432" spans="18:18" ht="15.75" customHeight="1">
      <c r="R432" s="30"/>
    </row>
    <row r="433" spans="18:18" ht="15.75" customHeight="1">
      <c r="R433" s="30"/>
    </row>
    <row r="434" spans="18:18" ht="15.75" customHeight="1">
      <c r="R434" s="30"/>
    </row>
    <row r="435" spans="18:18" ht="15.75" customHeight="1">
      <c r="R435" s="30"/>
    </row>
    <row r="436" spans="18:18" ht="15.75" customHeight="1">
      <c r="R436" s="30"/>
    </row>
    <row r="437" spans="18:18" ht="15.75" customHeight="1">
      <c r="R437" s="30"/>
    </row>
    <row r="438" spans="18:18" ht="15.75" customHeight="1">
      <c r="R438" s="30"/>
    </row>
    <row r="439" spans="18:18" ht="15.75" customHeight="1">
      <c r="R439" s="30"/>
    </row>
    <row r="440" spans="18:18" ht="15.75" customHeight="1">
      <c r="R440" s="30"/>
    </row>
    <row r="441" spans="18:18" ht="15.75" customHeight="1">
      <c r="R441" s="30"/>
    </row>
    <row r="442" spans="18:18" ht="15.75" customHeight="1">
      <c r="R442" s="30"/>
    </row>
    <row r="443" spans="18:18" ht="15.75" customHeight="1">
      <c r="R443" s="30"/>
    </row>
    <row r="444" spans="18:18" ht="15.75" customHeight="1">
      <c r="R444" s="30"/>
    </row>
    <row r="445" spans="18:18" ht="15.75" customHeight="1">
      <c r="R445" s="30"/>
    </row>
    <row r="446" spans="18:18" ht="15.75" customHeight="1">
      <c r="R446" s="30"/>
    </row>
    <row r="447" spans="18:18" ht="15.75" customHeight="1">
      <c r="R447" s="30"/>
    </row>
    <row r="448" spans="18:18" ht="15.75" customHeight="1">
      <c r="R448" s="30"/>
    </row>
    <row r="449" spans="18:18" ht="15.75" customHeight="1">
      <c r="R449" s="30"/>
    </row>
    <row r="450" spans="18:18" ht="15.75" customHeight="1">
      <c r="R450" s="30"/>
    </row>
    <row r="451" spans="18:18" ht="15.75" customHeight="1">
      <c r="R451" s="30"/>
    </row>
    <row r="452" spans="18:18" ht="15.75" customHeight="1">
      <c r="R452" s="30"/>
    </row>
    <row r="453" spans="18:18" ht="15.75" customHeight="1">
      <c r="R453" s="30"/>
    </row>
    <row r="454" spans="18:18" ht="15.75" customHeight="1">
      <c r="R454" s="30"/>
    </row>
    <row r="455" spans="18:18" ht="15.75" customHeight="1">
      <c r="R455" s="30"/>
    </row>
    <row r="456" spans="18:18" ht="15.75" customHeight="1">
      <c r="R456" s="30"/>
    </row>
    <row r="457" spans="18:18" ht="15.75" customHeight="1">
      <c r="R457" s="30"/>
    </row>
    <row r="458" spans="18:18" ht="15.75" customHeight="1">
      <c r="R458" s="30"/>
    </row>
    <row r="459" spans="18:18" ht="15.75" customHeight="1">
      <c r="R459" s="30"/>
    </row>
    <row r="460" spans="18:18" ht="15.75" customHeight="1">
      <c r="R460" s="30"/>
    </row>
    <row r="461" spans="18:18" ht="15.75" customHeight="1">
      <c r="R461" s="30"/>
    </row>
    <row r="462" spans="18:18" ht="15.75" customHeight="1">
      <c r="R462" s="30"/>
    </row>
    <row r="463" spans="18:18" ht="15.75" customHeight="1">
      <c r="R463" s="30"/>
    </row>
    <row r="464" spans="18:18" ht="15.75" customHeight="1">
      <c r="R464" s="30"/>
    </row>
    <row r="465" spans="18:18" ht="15.75" customHeight="1">
      <c r="R465" s="30"/>
    </row>
    <row r="466" spans="18:18" ht="15.75" customHeight="1">
      <c r="R466" s="30"/>
    </row>
    <row r="467" spans="18:18" ht="15.75" customHeight="1">
      <c r="R467" s="30"/>
    </row>
    <row r="468" spans="18:18" ht="15.75" customHeight="1">
      <c r="R468" s="30"/>
    </row>
    <row r="469" spans="18:18" ht="15.75" customHeight="1">
      <c r="R469" s="30"/>
    </row>
    <row r="470" spans="18:18" ht="15.75" customHeight="1">
      <c r="R470" s="30"/>
    </row>
    <row r="471" spans="18:18" ht="15.75" customHeight="1">
      <c r="R471" s="30"/>
    </row>
    <row r="472" spans="18:18" ht="15.75" customHeight="1">
      <c r="R472" s="30"/>
    </row>
    <row r="473" spans="18:18" ht="15.75" customHeight="1">
      <c r="R473" s="30"/>
    </row>
    <row r="474" spans="18:18" ht="15.75" customHeight="1">
      <c r="R474" s="30"/>
    </row>
    <row r="475" spans="18:18" ht="15.75" customHeight="1">
      <c r="R475" s="30"/>
    </row>
    <row r="476" spans="18:18" ht="15.75" customHeight="1">
      <c r="R476" s="30"/>
    </row>
    <row r="477" spans="18:18" ht="15.75" customHeight="1">
      <c r="R477" s="30"/>
    </row>
    <row r="478" spans="18:18" ht="15.75" customHeight="1">
      <c r="R478" s="30"/>
    </row>
    <row r="479" spans="18:18" ht="15.75" customHeight="1">
      <c r="R479" s="30"/>
    </row>
    <row r="480" spans="18:18" ht="15.75" customHeight="1">
      <c r="R480" s="30"/>
    </row>
    <row r="481" spans="18:18" ht="15.75" customHeight="1">
      <c r="R481" s="30"/>
    </row>
    <row r="482" spans="18:18" ht="15.75" customHeight="1">
      <c r="R482" s="30"/>
    </row>
    <row r="483" spans="18:18" ht="15.75" customHeight="1">
      <c r="R483" s="30"/>
    </row>
    <row r="484" spans="18:18" ht="15.75" customHeight="1">
      <c r="R484" s="30"/>
    </row>
    <row r="485" spans="18:18" ht="15.75" customHeight="1">
      <c r="R485" s="30"/>
    </row>
    <row r="486" spans="18:18" ht="15.75" customHeight="1">
      <c r="R486" s="30"/>
    </row>
    <row r="487" spans="18:18" ht="15.75" customHeight="1">
      <c r="R487" s="30"/>
    </row>
    <row r="488" spans="18:18" ht="15.75" customHeight="1">
      <c r="R488" s="30"/>
    </row>
    <row r="489" spans="18:18" ht="15.75" customHeight="1">
      <c r="R489" s="30"/>
    </row>
    <row r="490" spans="18:18" ht="15.75" customHeight="1">
      <c r="R490" s="30"/>
    </row>
    <row r="491" spans="18:18" ht="15.75" customHeight="1">
      <c r="R491" s="30"/>
    </row>
    <row r="492" spans="18:18" ht="15.75" customHeight="1">
      <c r="R492" s="30"/>
    </row>
    <row r="493" spans="18:18" ht="15.75" customHeight="1">
      <c r="R493" s="30"/>
    </row>
    <row r="494" spans="18:18" ht="15.75" customHeight="1">
      <c r="R494" s="30"/>
    </row>
    <row r="495" spans="18:18" ht="15.75" customHeight="1">
      <c r="R495" s="30"/>
    </row>
    <row r="496" spans="18:18" ht="15.75" customHeight="1">
      <c r="R496" s="30"/>
    </row>
    <row r="497" spans="18:18" ht="15.75" customHeight="1">
      <c r="R497" s="30"/>
    </row>
    <row r="498" spans="18:18" ht="15.75" customHeight="1">
      <c r="R498" s="30"/>
    </row>
    <row r="499" spans="18:18" ht="15.75" customHeight="1">
      <c r="R499" s="30"/>
    </row>
    <row r="500" spans="18:18" ht="15.75" customHeight="1">
      <c r="R500" s="30"/>
    </row>
    <row r="501" spans="18:18" ht="15.75" customHeight="1">
      <c r="R501" s="30"/>
    </row>
    <row r="502" spans="18:18" ht="15.75" customHeight="1">
      <c r="R502" s="30"/>
    </row>
    <row r="503" spans="18:18" ht="15.75" customHeight="1">
      <c r="R503" s="30"/>
    </row>
    <row r="504" spans="18:18" ht="15.75" customHeight="1">
      <c r="R504" s="30"/>
    </row>
    <row r="505" spans="18:18" ht="15.75" customHeight="1">
      <c r="R505" s="30"/>
    </row>
    <row r="506" spans="18:18" ht="15.75" customHeight="1">
      <c r="R506" s="30"/>
    </row>
    <row r="507" spans="18:18" ht="15.75" customHeight="1">
      <c r="R507" s="30"/>
    </row>
    <row r="508" spans="18:18" ht="15.75" customHeight="1">
      <c r="R508" s="30"/>
    </row>
    <row r="509" spans="18:18" ht="15.75" customHeight="1">
      <c r="R509" s="30"/>
    </row>
    <row r="510" spans="18:18" ht="15.75" customHeight="1">
      <c r="R510" s="30"/>
    </row>
    <row r="511" spans="18:18" ht="15.75" customHeight="1">
      <c r="R511" s="30"/>
    </row>
    <row r="512" spans="18:18" ht="15.75" customHeight="1">
      <c r="R512" s="30"/>
    </row>
    <row r="513" spans="18:18" ht="15.75" customHeight="1">
      <c r="R513" s="30"/>
    </row>
    <row r="514" spans="18:18" ht="15.75" customHeight="1">
      <c r="R514" s="30"/>
    </row>
    <row r="515" spans="18:18" ht="15.75" customHeight="1">
      <c r="R515" s="30"/>
    </row>
    <row r="516" spans="18:18" ht="15.75" customHeight="1">
      <c r="R516" s="30"/>
    </row>
    <row r="517" spans="18:18" ht="15.75" customHeight="1">
      <c r="R517" s="30"/>
    </row>
    <row r="518" spans="18:18" ht="15.75" customHeight="1">
      <c r="R518" s="30"/>
    </row>
    <row r="519" spans="18:18" ht="15.75" customHeight="1">
      <c r="R519" s="30"/>
    </row>
    <row r="520" spans="18:18" ht="15.75" customHeight="1">
      <c r="R520" s="30"/>
    </row>
    <row r="521" spans="18:18" ht="15.75" customHeight="1">
      <c r="R521" s="30"/>
    </row>
    <row r="522" spans="18:18" ht="15.75" customHeight="1">
      <c r="R522" s="30"/>
    </row>
    <row r="523" spans="18:18" ht="15.75" customHeight="1">
      <c r="R523" s="30"/>
    </row>
    <row r="524" spans="18:18" ht="15.75" customHeight="1">
      <c r="R524" s="30"/>
    </row>
    <row r="525" spans="18:18" ht="15.75" customHeight="1">
      <c r="R525" s="30"/>
    </row>
    <row r="526" spans="18:18" ht="15.75" customHeight="1">
      <c r="R526" s="30"/>
    </row>
    <row r="527" spans="18:18" ht="15.75" customHeight="1">
      <c r="R527" s="30"/>
    </row>
    <row r="528" spans="18:18" ht="15.75" customHeight="1">
      <c r="R528" s="30"/>
    </row>
    <row r="529" spans="18:18" ht="15.75" customHeight="1">
      <c r="R529" s="30"/>
    </row>
    <row r="530" spans="18:18" ht="15.75" customHeight="1">
      <c r="R530" s="30"/>
    </row>
    <row r="531" spans="18:18" ht="15.75" customHeight="1">
      <c r="R531" s="30"/>
    </row>
    <row r="532" spans="18:18" ht="15.75" customHeight="1">
      <c r="R532" s="30"/>
    </row>
    <row r="533" spans="18:18" ht="15.75" customHeight="1">
      <c r="R533" s="30"/>
    </row>
    <row r="534" spans="18:18" ht="15.75" customHeight="1">
      <c r="R534" s="30"/>
    </row>
    <row r="535" spans="18:18" ht="15.75" customHeight="1">
      <c r="R535" s="30"/>
    </row>
    <row r="536" spans="18:18" ht="15.75" customHeight="1">
      <c r="R536" s="30"/>
    </row>
    <row r="537" spans="18:18" ht="15.75" customHeight="1">
      <c r="R537" s="30"/>
    </row>
    <row r="538" spans="18:18" ht="15.75" customHeight="1">
      <c r="R538" s="30"/>
    </row>
    <row r="539" spans="18:18" ht="15.75" customHeight="1">
      <c r="R539" s="30"/>
    </row>
    <row r="540" spans="18:18" ht="15.75" customHeight="1">
      <c r="R540" s="30"/>
    </row>
    <row r="541" spans="18:18" ht="15.75" customHeight="1">
      <c r="R541" s="30"/>
    </row>
    <row r="542" spans="18:18" ht="15.75" customHeight="1">
      <c r="R542" s="30"/>
    </row>
    <row r="543" spans="18:18" ht="15.75" customHeight="1">
      <c r="R543" s="30"/>
    </row>
    <row r="544" spans="18:18" ht="15.75" customHeight="1">
      <c r="R544" s="30"/>
    </row>
    <row r="545" spans="18:18" ht="15.75" customHeight="1">
      <c r="R545" s="30"/>
    </row>
    <row r="546" spans="18:18" ht="15.75" customHeight="1">
      <c r="R546" s="30"/>
    </row>
    <row r="547" spans="18:18" ht="15.75" customHeight="1">
      <c r="R547" s="30"/>
    </row>
    <row r="548" spans="18:18" ht="15.75" customHeight="1">
      <c r="R548" s="30"/>
    </row>
    <row r="549" spans="18:18" ht="15.75" customHeight="1">
      <c r="R549" s="30"/>
    </row>
    <row r="550" spans="18:18" ht="15.75" customHeight="1">
      <c r="R550" s="30"/>
    </row>
    <row r="551" spans="18:18" ht="15.75" customHeight="1">
      <c r="R551" s="30"/>
    </row>
    <row r="552" spans="18:18" ht="15.75" customHeight="1">
      <c r="R552" s="30"/>
    </row>
    <row r="553" spans="18:18" ht="15.75" customHeight="1">
      <c r="R553" s="30"/>
    </row>
    <row r="554" spans="18:18" ht="15.75" customHeight="1">
      <c r="R554" s="30"/>
    </row>
    <row r="555" spans="18:18" ht="15.75" customHeight="1">
      <c r="R555" s="30"/>
    </row>
    <row r="556" spans="18:18" ht="15.75" customHeight="1">
      <c r="R556" s="30"/>
    </row>
    <row r="557" spans="18:18" ht="15.75" customHeight="1">
      <c r="R557" s="30"/>
    </row>
    <row r="558" spans="18:18" ht="15.75" customHeight="1">
      <c r="R558" s="30"/>
    </row>
    <row r="559" spans="18:18" ht="15.75" customHeight="1">
      <c r="R559" s="30"/>
    </row>
    <row r="560" spans="18:18" ht="15.75" customHeight="1">
      <c r="R560" s="30"/>
    </row>
    <row r="561" spans="18:18" ht="15.75" customHeight="1">
      <c r="R561" s="30"/>
    </row>
    <row r="562" spans="18:18" ht="15.75" customHeight="1">
      <c r="R562" s="30"/>
    </row>
    <row r="563" spans="18:18" ht="15.75" customHeight="1">
      <c r="R563" s="30"/>
    </row>
    <row r="564" spans="18:18" ht="15.75" customHeight="1">
      <c r="R564" s="30"/>
    </row>
    <row r="565" spans="18:18" ht="15.75" customHeight="1">
      <c r="R565" s="30"/>
    </row>
    <row r="566" spans="18:18" ht="15.75" customHeight="1">
      <c r="R566" s="30"/>
    </row>
    <row r="567" spans="18:18" ht="15.75" customHeight="1">
      <c r="R567" s="30"/>
    </row>
    <row r="568" spans="18:18" ht="15.75" customHeight="1">
      <c r="R568" s="30"/>
    </row>
    <row r="569" spans="18:18" ht="15.75" customHeight="1">
      <c r="R569" s="30"/>
    </row>
    <row r="570" spans="18:18" ht="15.75" customHeight="1">
      <c r="R570" s="30"/>
    </row>
    <row r="571" spans="18:18" ht="15.75" customHeight="1">
      <c r="R571" s="30"/>
    </row>
    <row r="572" spans="18:18" ht="15.75" customHeight="1">
      <c r="R572" s="30"/>
    </row>
    <row r="573" spans="18:18" ht="15.75" customHeight="1">
      <c r="R573" s="30"/>
    </row>
    <row r="574" spans="18:18" ht="15.75" customHeight="1">
      <c r="R574" s="30"/>
    </row>
    <row r="575" spans="18:18" ht="15.75" customHeight="1">
      <c r="R575" s="30"/>
    </row>
    <row r="576" spans="18:18" ht="15.75" customHeight="1">
      <c r="R576" s="30"/>
    </row>
    <row r="577" spans="18:18" ht="15.75" customHeight="1">
      <c r="R577" s="30"/>
    </row>
    <row r="578" spans="18:18" ht="15.75" customHeight="1">
      <c r="R578" s="30"/>
    </row>
    <row r="579" spans="18:18" ht="15.75" customHeight="1">
      <c r="R579" s="30"/>
    </row>
    <row r="580" spans="18:18" ht="15.75" customHeight="1">
      <c r="R580" s="30"/>
    </row>
    <row r="581" spans="18:18" ht="15.75" customHeight="1">
      <c r="R581" s="30"/>
    </row>
    <row r="582" spans="18:18" ht="15.75" customHeight="1">
      <c r="R582" s="30"/>
    </row>
    <row r="583" spans="18:18" ht="15.75" customHeight="1">
      <c r="R583" s="30"/>
    </row>
    <row r="584" spans="18:18" ht="15.75" customHeight="1">
      <c r="R584" s="30"/>
    </row>
    <row r="585" spans="18:18" ht="15.75" customHeight="1">
      <c r="R585" s="30"/>
    </row>
    <row r="586" spans="18:18" ht="15.75" customHeight="1">
      <c r="R586" s="30"/>
    </row>
    <row r="587" spans="18:18" ht="15.75" customHeight="1">
      <c r="R587" s="30"/>
    </row>
    <row r="588" spans="18:18" ht="15.75" customHeight="1">
      <c r="R588" s="30"/>
    </row>
    <row r="589" spans="18:18" ht="15.75" customHeight="1">
      <c r="R589" s="30"/>
    </row>
    <row r="590" spans="18:18" ht="15.75" customHeight="1">
      <c r="R590" s="30"/>
    </row>
    <row r="591" spans="18:18" ht="15.75" customHeight="1">
      <c r="R591" s="30"/>
    </row>
    <row r="592" spans="18:18" ht="15.75" customHeight="1">
      <c r="R592" s="30"/>
    </row>
    <row r="593" spans="18:18" ht="15.75" customHeight="1">
      <c r="R593" s="30"/>
    </row>
    <row r="594" spans="18:18" ht="15.75" customHeight="1">
      <c r="R594" s="30"/>
    </row>
    <row r="595" spans="18:18" ht="15.75" customHeight="1">
      <c r="R595" s="30"/>
    </row>
    <row r="596" spans="18:18" ht="15.75" customHeight="1">
      <c r="R596" s="30"/>
    </row>
    <row r="597" spans="18:18" ht="15.75" customHeight="1">
      <c r="R597" s="30"/>
    </row>
    <row r="598" spans="18:18" ht="15.75" customHeight="1">
      <c r="R598" s="30"/>
    </row>
    <row r="599" spans="18:18" ht="15.75" customHeight="1">
      <c r="R599" s="30"/>
    </row>
    <row r="600" spans="18:18" ht="15.75" customHeight="1">
      <c r="R600" s="30"/>
    </row>
    <row r="601" spans="18:18" ht="15.75" customHeight="1">
      <c r="R601" s="30"/>
    </row>
    <row r="602" spans="18:18" ht="15.75" customHeight="1">
      <c r="R602" s="30"/>
    </row>
    <row r="603" spans="18:18" ht="15.75" customHeight="1">
      <c r="R603" s="30"/>
    </row>
    <row r="604" spans="18:18" ht="15.75" customHeight="1">
      <c r="R604" s="30"/>
    </row>
    <row r="605" spans="18:18" ht="15.75" customHeight="1">
      <c r="R605" s="30"/>
    </row>
    <row r="606" spans="18:18" ht="15.75" customHeight="1">
      <c r="R606" s="30"/>
    </row>
    <row r="607" spans="18:18" ht="15.75" customHeight="1">
      <c r="R607" s="30"/>
    </row>
    <row r="608" spans="18:18" ht="15.75" customHeight="1">
      <c r="R608" s="30"/>
    </row>
    <row r="609" spans="18:18" ht="15.75" customHeight="1">
      <c r="R609" s="30"/>
    </row>
    <row r="610" spans="18:18" ht="15.75" customHeight="1">
      <c r="R610" s="30"/>
    </row>
    <row r="611" spans="18:18" ht="15.75" customHeight="1">
      <c r="R611" s="30"/>
    </row>
    <row r="612" spans="18:18" ht="15.75" customHeight="1">
      <c r="R612" s="30"/>
    </row>
    <row r="613" spans="18:18" ht="15.75" customHeight="1">
      <c r="R613" s="30"/>
    </row>
    <row r="614" spans="18:18" ht="15.75" customHeight="1">
      <c r="R614" s="30"/>
    </row>
    <row r="615" spans="18:18" ht="15.75" customHeight="1">
      <c r="R615" s="30"/>
    </row>
    <row r="616" spans="18:18" ht="15.75" customHeight="1">
      <c r="R616" s="30"/>
    </row>
    <row r="617" spans="18:18" ht="15.75" customHeight="1">
      <c r="R617" s="30"/>
    </row>
    <row r="618" spans="18:18" ht="15.75" customHeight="1">
      <c r="R618" s="30"/>
    </row>
    <row r="619" spans="18:18" ht="15.75" customHeight="1">
      <c r="R619" s="30"/>
    </row>
    <row r="620" spans="18:18" ht="15.75" customHeight="1">
      <c r="R620" s="30"/>
    </row>
    <row r="621" spans="18:18" ht="15.75" customHeight="1">
      <c r="R621" s="30"/>
    </row>
    <row r="622" spans="18:18" ht="15.75" customHeight="1">
      <c r="R622" s="30"/>
    </row>
    <row r="623" spans="18:18" ht="15.75" customHeight="1">
      <c r="R623" s="30"/>
    </row>
    <row r="624" spans="18:18" ht="15.75" customHeight="1">
      <c r="R624" s="30"/>
    </row>
    <row r="625" spans="18:18" ht="15.75" customHeight="1">
      <c r="R625" s="30"/>
    </row>
    <row r="626" spans="18:18" ht="15.75" customHeight="1">
      <c r="R626" s="30"/>
    </row>
    <row r="627" spans="18:18" ht="15.75" customHeight="1">
      <c r="R627" s="30"/>
    </row>
    <row r="628" spans="18:18" ht="15.75" customHeight="1">
      <c r="R628" s="30"/>
    </row>
    <row r="629" spans="18:18" ht="15.75" customHeight="1">
      <c r="R629" s="30"/>
    </row>
    <row r="630" spans="18:18" ht="15.75" customHeight="1">
      <c r="R630" s="30"/>
    </row>
    <row r="631" spans="18:18" ht="15.75" customHeight="1">
      <c r="R631" s="30"/>
    </row>
    <row r="632" spans="18:18" ht="15.75" customHeight="1">
      <c r="R632" s="30"/>
    </row>
    <row r="633" spans="18:18" ht="15.75" customHeight="1">
      <c r="R633" s="30"/>
    </row>
    <row r="634" spans="18:18" ht="15.75" customHeight="1">
      <c r="R634" s="30"/>
    </row>
    <row r="635" spans="18:18" ht="15.75" customHeight="1">
      <c r="R635" s="30"/>
    </row>
    <row r="636" spans="18:18" ht="15.75" customHeight="1">
      <c r="R636" s="30"/>
    </row>
    <row r="637" spans="18:18" ht="15.75" customHeight="1">
      <c r="R637" s="30"/>
    </row>
    <row r="638" spans="18:18" ht="15.75" customHeight="1">
      <c r="R638" s="30"/>
    </row>
    <row r="639" spans="18:18" ht="15.75" customHeight="1">
      <c r="R639" s="30"/>
    </row>
    <row r="640" spans="18:18" ht="15.75" customHeight="1">
      <c r="R640" s="30"/>
    </row>
    <row r="641" spans="18:18" ht="15.75" customHeight="1">
      <c r="R641" s="30"/>
    </row>
    <row r="642" spans="18:18" ht="15.75" customHeight="1">
      <c r="R642" s="30"/>
    </row>
    <row r="643" spans="18:18" ht="15.75" customHeight="1">
      <c r="R643" s="30"/>
    </row>
    <row r="644" spans="18:18" ht="15.75" customHeight="1">
      <c r="R644" s="30"/>
    </row>
    <row r="645" spans="18:18" ht="15.75" customHeight="1">
      <c r="R645" s="30"/>
    </row>
    <row r="646" spans="18:18" ht="15.75" customHeight="1">
      <c r="R646" s="30"/>
    </row>
    <row r="647" spans="18:18" ht="15.75" customHeight="1">
      <c r="R647" s="30"/>
    </row>
    <row r="648" spans="18:18" ht="15.75" customHeight="1">
      <c r="R648" s="30"/>
    </row>
    <row r="649" spans="18:18" ht="15.75" customHeight="1">
      <c r="R649" s="30"/>
    </row>
    <row r="650" spans="18:18" ht="15.75" customHeight="1">
      <c r="R650" s="30"/>
    </row>
    <row r="651" spans="18:18" ht="15.75" customHeight="1">
      <c r="R651" s="30"/>
    </row>
    <row r="652" spans="18:18" ht="15.75" customHeight="1">
      <c r="R652" s="30"/>
    </row>
    <row r="653" spans="18:18" ht="15.75" customHeight="1">
      <c r="R653" s="30"/>
    </row>
    <row r="654" spans="18:18" ht="15.75" customHeight="1">
      <c r="R654" s="30"/>
    </row>
    <row r="655" spans="18:18" ht="15.75" customHeight="1">
      <c r="R655" s="30"/>
    </row>
    <row r="656" spans="18:18" ht="15.75" customHeight="1">
      <c r="R656" s="30"/>
    </row>
    <row r="657" spans="18:18" ht="15.75" customHeight="1">
      <c r="R657" s="30"/>
    </row>
    <row r="658" spans="18:18" ht="15.75" customHeight="1">
      <c r="R658" s="30"/>
    </row>
    <row r="659" spans="18:18" ht="15.75" customHeight="1">
      <c r="R659" s="30"/>
    </row>
    <row r="660" spans="18:18" ht="15.75" customHeight="1">
      <c r="R660" s="30"/>
    </row>
    <row r="661" spans="18:18" ht="15.75" customHeight="1">
      <c r="R661" s="30"/>
    </row>
    <row r="662" spans="18:18" ht="15.75" customHeight="1">
      <c r="R662" s="30"/>
    </row>
    <row r="663" spans="18:18" ht="15.75" customHeight="1">
      <c r="R663" s="30"/>
    </row>
    <row r="664" spans="18:18" ht="15.75" customHeight="1">
      <c r="R664" s="30"/>
    </row>
    <row r="665" spans="18:18" ht="15.75" customHeight="1">
      <c r="R665" s="30"/>
    </row>
    <row r="666" spans="18:18" ht="15.75" customHeight="1">
      <c r="R666" s="30"/>
    </row>
    <row r="667" spans="18:18" ht="15.75" customHeight="1">
      <c r="R667" s="30"/>
    </row>
    <row r="668" spans="18:18" ht="15.75" customHeight="1">
      <c r="R668" s="30"/>
    </row>
    <row r="669" spans="18:18" ht="15.75" customHeight="1">
      <c r="R669" s="30"/>
    </row>
    <row r="670" spans="18:18" ht="15.75" customHeight="1">
      <c r="R670" s="30"/>
    </row>
    <row r="671" spans="18:18" ht="15.75" customHeight="1">
      <c r="R671" s="30"/>
    </row>
    <row r="672" spans="18:18" ht="15.75" customHeight="1">
      <c r="R672" s="30"/>
    </row>
    <row r="673" spans="18:18" ht="15.75" customHeight="1">
      <c r="R673" s="30"/>
    </row>
    <row r="674" spans="18:18" ht="15.75" customHeight="1">
      <c r="R674" s="30"/>
    </row>
    <row r="675" spans="18:18" ht="15.75" customHeight="1">
      <c r="R675" s="30"/>
    </row>
    <row r="676" spans="18:18" ht="15.75" customHeight="1">
      <c r="R676" s="30"/>
    </row>
    <row r="677" spans="18:18" ht="15.75" customHeight="1">
      <c r="R677" s="30"/>
    </row>
    <row r="678" spans="18:18" ht="15.75" customHeight="1">
      <c r="R678" s="30"/>
    </row>
    <row r="679" spans="18:18" ht="15.75" customHeight="1">
      <c r="R679" s="30"/>
    </row>
    <row r="680" spans="18:18" ht="15.75" customHeight="1">
      <c r="R680" s="30"/>
    </row>
    <row r="681" spans="18:18" ht="15.75" customHeight="1">
      <c r="R681" s="30"/>
    </row>
    <row r="682" spans="18:18" ht="15.75" customHeight="1">
      <c r="R682" s="30"/>
    </row>
    <row r="683" spans="18:18" ht="15.75" customHeight="1">
      <c r="R683" s="30"/>
    </row>
    <row r="684" spans="18:18" ht="15.75" customHeight="1">
      <c r="R684" s="30"/>
    </row>
    <row r="685" spans="18:18" ht="15.75" customHeight="1">
      <c r="R685" s="30"/>
    </row>
    <row r="686" spans="18:18" ht="15.75" customHeight="1">
      <c r="R686" s="30"/>
    </row>
    <row r="687" spans="18:18" ht="15.75" customHeight="1">
      <c r="R687" s="30"/>
    </row>
    <row r="688" spans="18:18" ht="15.75" customHeight="1">
      <c r="R688" s="30"/>
    </row>
    <row r="689" spans="18:18" ht="15.75" customHeight="1">
      <c r="R689" s="30"/>
    </row>
    <row r="690" spans="18:18" ht="15.75" customHeight="1">
      <c r="R690" s="30"/>
    </row>
    <row r="691" spans="18:18" ht="15.75" customHeight="1">
      <c r="R691" s="30"/>
    </row>
    <row r="692" spans="18:18" ht="15.75" customHeight="1">
      <c r="R692" s="30"/>
    </row>
    <row r="693" spans="18:18" ht="15.75" customHeight="1">
      <c r="R693" s="30"/>
    </row>
    <row r="694" spans="18:18" ht="15.75" customHeight="1">
      <c r="R694" s="30"/>
    </row>
    <row r="695" spans="18:18" ht="15.75" customHeight="1">
      <c r="R695" s="30"/>
    </row>
    <row r="696" spans="18:18" ht="15.75" customHeight="1">
      <c r="R696" s="30"/>
    </row>
    <row r="697" spans="18:18" ht="15.75" customHeight="1">
      <c r="R697" s="30"/>
    </row>
    <row r="698" spans="18:18" ht="15.75" customHeight="1">
      <c r="R698" s="30"/>
    </row>
    <row r="699" spans="18:18" ht="15.75" customHeight="1">
      <c r="R699" s="30"/>
    </row>
    <row r="700" spans="18:18" ht="15.75" customHeight="1">
      <c r="R700" s="30"/>
    </row>
    <row r="701" spans="18:18" ht="15.75" customHeight="1">
      <c r="R701" s="30"/>
    </row>
    <row r="702" spans="18:18" ht="15.75" customHeight="1">
      <c r="R702" s="30"/>
    </row>
    <row r="703" spans="18:18" ht="15.75" customHeight="1">
      <c r="R703" s="30"/>
    </row>
    <row r="704" spans="18:18" ht="15.75" customHeight="1">
      <c r="R704" s="30"/>
    </row>
    <row r="705" spans="18:18" ht="15.75" customHeight="1">
      <c r="R705" s="30"/>
    </row>
    <row r="706" spans="18:18" ht="15.75" customHeight="1">
      <c r="R706" s="30"/>
    </row>
    <row r="707" spans="18:18" ht="15.75" customHeight="1">
      <c r="R707" s="30"/>
    </row>
    <row r="708" spans="18:18" ht="15.75" customHeight="1">
      <c r="R708" s="30"/>
    </row>
    <row r="709" spans="18:18" ht="15.75" customHeight="1">
      <c r="R709" s="30"/>
    </row>
    <row r="710" spans="18:18" ht="15.75" customHeight="1">
      <c r="R710" s="30"/>
    </row>
    <row r="711" spans="18:18" ht="15.75" customHeight="1">
      <c r="R711" s="30"/>
    </row>
    <row r="712" spans="18:18" ht="15.75" customHeight="1">
      <c r="R712" s="30"/>
    </row>
    <row r="713" spans="18:18" ht="15.75" customHeight="1">
      <c r="R713" s="30"/>
    </row>
    <row r="714" spans="18:18" ht="15.75" customHeight="1">
      <c r="R714" s="30"/>
    </row>
    <row r="715" spans="18:18" ht="15.75" customHeight="1">
      <c r="R715" s="30"/>
    </row>
    <row r="716" spans="18:18" ht="15.75" customHeight="1">
      <c r="R716" s="30"/>
    </row>
    <row r="717" spans="18:18" ht="15.75" customHeight="1">
      <c r="R717" s="30"/>
    </row>
    <row r="718" spans="18:18" ht="15.75" customHeight="1">
      <c r="R718" s="30"/>
    </row>
    <row r="719" spans="18:18" ht="15.75" customHeight="1">
      <c r="R719" s="30"/>
    </row>
    <row r="720" spans="18:18" ht="15.75" customHeight="1">
      <c r="R720" s="30"/>
    </row>
    <row r="721" spans="18:18" ht="15.75" customHeight="1">
      <c r="R721" s="30"/>
    </row>
    <row r="722" spans="18:18" ht="15.75" customHeight="1">
      <c r="R722" s="30"/>
    </row>
    <row r="723" spans="18:18" ht="15.75" customHeight="1">
      <c r="R723" s="30"/>
    </row>
    <row r="724" spans="18:18" ht="15.75" customHeight="1">
      <c r="R724" s="30"/>
    </row>
    <row r="725" spans="18:18" ht="15.75" customHeight="1">
      <c r="R725" s="30"/>
    </row>
    <row r="726" spans="18:18" ht="15.75" customHeight="1">
      <c r="R726" s="30"/>
    </row>
    <row r="727" spans="18:18" ht="15.75" customHeight="1">
      <c r="R727" s="30"/>
    </row>
    <row r="728" spans="18:18" ht="15.75" customHeight="1">
      <c r="R728" s="30"/>
    </row>
    <row r="729" spans="18:18" ht="15.75" customHeight="1">
      <c r="R729" s="30"/>
    </row>
    <row r="730" spans="18:18" ht="15.75" customHeight="1">
      <c r="R730" s="30"/>
    </row>
    <row r="731" spans="18:18" ht="15.75" customHeight="1">
      <c r="R731" s="30"/>
    </row>
    <row r="732" spans="18:18" ht="15.75" customHeight="1">
      <c r="R732" s="30"/>
    </row>
    <row r="733" spans="18:18" ht="15.75" customHeight="1">
      <c r="R733" s="30"/>
    </row>
    <row r="734" spans="18:18" ht="15.75" customHeight="1">
      <c r="R734" s="30"/>
    </row>
    <row r="735" spans="18:18" ht="15.75" customHeight="1">
      <c r="R735" s="30"/>
    </row>
    <row r="736" spans="18:18" ht="15.75" customHeight="1">
      <c r="R736" s="30"/>
    </row>
    <row r="737" spans="18:18" ht="15.75" customHeight="1">
      <c r="R737" s="30"/>
    </row>
    <row r="738" spans="18:18" ht="15.75" customHeight="1">
      <c r="R738" s="30"/>
    </row>
    <row r="739" spans="18:18" ht="15.75" customHeight="1">
      <c r="R739" s="30"/>
    </row>
    <row r="740" spans="18:18" ht="15.75" customHeight="1">
      <c r="R740" s="30"/>
    </row>
    <row r="741" spans="18:18" ht="15.75" customHeight="1">
      <c r="R741" s="30"/>
    </row>
    <row r="742" spans="18:18" ht="15.75" customHeight="1">
      <c r="R742" s="30"/>
    </row>
    <row r="743" spans="18:18" ht="15.75" customHeight="1">
      <c r="R743" s="30"/>
    </row>
    <row r="744" spans="18:18" ht="15.75" customHeight="1">
      <c r="R744" s="30"/>
    </row>
    <row r="745" spans="18:18" ht="15.75" customHeight="1">
      <c r="R745" s="30"/>
    </row>
    <row r="746" spans="18:18" ht="15.75" customHeight="1">
      <c r="R746" s="30"/>
    </row>
    <row r="747" spans="18:18" ht="15.75" customHeight="1">
      <c r="R747" s="30"/>
    </row>
    <row r="748" spans="18:18" ht="15.75" customHeight="1">
      <c r="R748" s="30"/>
    </row>
    <row r="749" spans="18:18" ht="15.75" customHeight="1">
      <c r="R749" s="30"/>
    </row>
    <row r="750" spans="18:18" ht="15.75" customHeight="1">
      <c r="R750" s="30"/>
    </row>
    <row r="751" spans="18:18" ht="15.75" customHeight="1">
      <c r="R751" s="30"/>
    </row>
    <row r="752" spans="18:18" ht="15.75" customHeight="1">
      <c r="R752" s="30"/>
    </row>
    <row r="753" spans="18:18" ht="15.75" customHeight="1">
      <c r="R753" s="30"/>
    </row>
    <row r="754" spans="18:18" ht="15.75" customHeight="1">
      <c r="R754" s="30"/>
    </row>
    <row r="755" spans="18:18" ht="15.75" customHeight="1">
      <c r="R755" s="30"/>
    </row>
    <row r="756" spans="18:18" ht="15.75" customHeight="1">
      <c r="R756" s="30"/>
    </row>
    <row r="757" spans="18:18" ht="15.75" customHeight="1">
      <c r="R757" s="30"/>
    </row>
    <row r="758" spans="18:18" ht="15.75" customHeight="1">
      <c r="R758" s="30"/>
    </row>
    <row r="759" spans="18:18" ht="15.75" customHeight="1">
      <c r="R759" s="30"/>
    </row>
    <row r="760" spans="18:18" ht="15.75" customHeight="1">
      <c r="R760" s="30"/>
    </row>
    <row r="761" spans="18:18" ht="15.75" customHeight="1">
      <c r="R761" s="30"/>
    </row>
    <row r="762" spans="18:18" ht="15.75" customHeight="1">
      <c r="R762" s="30"/>
    </row>
    <row r="763" spans="18:18" ht="15.75" customHeight="1">
      <c r="R763" s="30"/>
    </row>
    <row r="764" spans="18:18" ht="15.75" customHeight="1">
      <c r="R764" s="30"/>
    </row>
    <row r="765" spans="18:18" ht="15.75" customHeight="1">
      <c r="R765" s="30"/>
    </row>
    <row r="766" spans="18:18" ht="15.75" customHeight="1">
      <c r="R766" s="30"/>
    </row>
    <row r="767" spans="18:18" ht="15.75" customHeight="1">
      <c r="R767" s="30"/>
    </row>
    <row r="768" spans="18:18" ht="15.75" customHeight="1">
      <c r="R768" s="30"/>
    </row>
    <row r="769" spans="18:18" ht="15.75" customHeight="1">
      <c r="R769" s="30"/>
    </row>
    <row r="770" spans="18:18" ht="15.75" customHeight="1">
      <c r="R770" s="30"/>
    </row>
    <row r="771" spans="18:18" ht="15.75" customHeight="1">
      <c r="R771" s="30"/>
    </row>
    <row r="772" spans="18:18" ht="15.75" customHeight="1">
      <c r="R772" s="30"/>
    </row>
    <row r="773" spans="18:18" ht="15.75" customHeight="1">
      <c r="R773" s="30"/>
    </row>
    <row r="774" spans="18:18" ht="15.75" customHeight="1">
      <c r="R774" s="30"/>
    </row>
    <row r="775" spans="18:18" ht="15.75" customHeight="1">
      <c r="R775" s="30"/>
    </row>
    <row r="776" spans="18:18" ht="15.75" customHeight="1">
      <c r="R776" s="30"/>
    </row>
    <row r="777" spans="18:18" ht="15.75" customHeight="1">
      <c r="R777" s="30"/>
    </row>
    <row r="778" spans="18:18" ht="15.75" customHeight="1">
      <c r="R778" s="30"/>
    </row>
    <row r="779" spans="18:18" ht="15.75" customHeight="1">
      <c r="R779" s="30"/>
    </row>
    <row r="780" spans="18:18" ht="15.75" customHeight="1">
      <c r="R780" s="30"/>
    </row>
    <row r="781" spans="18:18" ht="15.75" customHeight="1">
      <c r="R781" s="30"/>
    </row>
    <row r="782" spans="18:18" ht="15.75" customHeight="1">
      <c r="R782" s="30"/>
    </row>
    <row r="783" spans="18:18" ht="15.75" customHeight="1">
      <c r="R783" s="30"/>
    </row>
    <row r="784" spans="18:18" ht="15.75" customHeight="1">
      <c r="R784" s="30"/>
    </row>
    <row r="785" spans="18:18" ht="15.75" customHeight="1">
      <c r="R785" s="30"/>
    </row>
    <row r="786" spans="18:18" ht="15.75" customHeight="1">
      <c r="R786" s="30"/>
    </row>
    <row r="787" spans="18:18" ht="15.75" customHeight="1">
      <c r="R787" s="30"/>
    </row>
    <row r="788" spans="18:18" ht="15.75" customHeight="1">
      <c r="R788" s="30"/>
    </row>
    <row r="789" spans="18:18" ht="15.75" customHeight="1">
      <c r="R789" s="30"/>
    </row>
    <row r="790" spans="18:18" ht="15.75" customHeight="1">
      <c r="R790" s="30"/>
    </row>
    <row r="791" spans="18:18" ht="15.75" customHeight="1">
      <c r="R791" s="30"/>
    </row>
    <row r="792" spans="18:18" ht="15.75" customHeight="1">
      <c r="R792" s="30"/>
    </row>
    <row r="793" spans="18:18" ht="15.75" customHeight="1">
      <c r="R793" s="30"/>
    </row>
    <row r="794" spans="18:18" ht="15.75" customHeight="1">
      <c r="R794" s="30"/>
    </row>
    <row r="795" spans="18:18" ht="15.75" customHeight="1">
      <c r="R795" s="30"/>
    </row>
    <row r="796" spans="18:18" ht="15.75" customHeight="1">
      <c r="R796" s="30"/>
    </row>
    <row r="797" spans="18:18" ht="15.75" customHeight="1">
      <c r="R797" s="30"/>
    </row>
    <row r="798" spans="18:18" ht="15.75" customHeight="1">
      <c r="R798" s="30"/>
    </row>
    <row r="799" spans="18:18" ht="15.75" customHeight="1">
      <c r="R799" s="30"/>
    </row>
    <row r="800" spans="18:18" ht="15.75" customHeight="1">
      <c r="R800" s="30"/>
    </row>
    <row r="801" spans="18:18" ht="15.75" customHeight="1">
      <c r="R801" s="30"/>
    </row>
    <row r="802" spans="18:18" ht="15.75" customHeight="1">
      <c r="R802" s="30"/>
    </row>
    <row r="803" spans="18:18" ht="15.75" customHeight="1">
      <c r="R803" s="30"/>
    </row>
    <row r="804" spans="18:18" ht="15.75" customHeight="1">
      <c r="R804" s="30"/>
    </row>
    <row r="805" spans="18:18" ht="15.75" customHeight="1">
      <c r="R805" s="30"/>
    </row>
    <row r="806" spans="18:18" ht="15.75" customHeight="1">
      <c r="R806" s="30"/>
    </row>
    <row r="807" spans="18:18" ht="15.75" customHeight="1">
      <c r="R807" s="30"/>
    </row>
    <row r="808" spans="18:18" ht="15.75" customHeight="1">
      <c r="R808" s="30"/>
    </row>
    <row r="809" spans="18:18" ht="15.75" customHeight="1">
      <c r="R809" s="30"/>
    </row>
    <row r="810" spans="18:18" ht="15.75" customHeight="1">
      <c r="R810" s="30"/>
    </row>
    <row r="811" spans="18:18" ht="15.75" customHeight="1">
      <c r="R811" s="30"/>
    </row>
    <row r="812" spans="18:18" ht="15.75" customHeight="1">
      <c r="R812" s="30"/>
    </row>
    <row r="813" spans="18:18" ht="15.75" customHeight="1">
      <c r="R813" s="30"/>
    </row>
    <row r="814" spans="18:18" ht="15.75" customHeight="1">
      <c r="R814" s="30"/>
    </row>
    <row r="815" spans="18:18" ht="15.75" customHeight="1">
      <c r="R815" s="30"/>
    </row>
    <row r="816" spans="18:18" ht="15.75" customHeight="1">
      <c r="R816" s="30"/>
    </row>
    <row r="817" spans="18:18" ht="15.75" customHeight="1">
      <c r="R817" s="30"/>
    </row>
    <row r="818" spans="18:18" ht="15.75" customHeight="1">
      <c r="R818" s="30"/>
    </row>
    <row r="819" spans="18:18" ht="15.75" customHeight="1">
      <c r="R819" s="30"/>
    </row>
    <row r="820" spans="18:18" ht="15.75" customHeight="1">
      <c r="R820" s="30"/>
    </row>
    <row r="821" spans="18:18" ht="15.75" customHeight="1">
      <c r="R821" s="30"/>
    </row>
    <row r="822" spans="18:18" ht="15.75" customHeight="1">
      <c r="R822" s="30"/>
    </row>
    <row r="823" spans="18:18" ht="15.75" customHeight="1">
      <c r="R823" s="30"/>
    </row>
    <row r="824" spans="18:18" ht="15.75" customHeight="1">
      <c r="R824" s="30"/>
    </row>
    <row r="825" spans="18:18" ht="15.75" customHeight="1">
      <c r="R825" s="30"/>
    </row>
    <row r="826" spans="18:18" ht="15.75" customHeight="1">
      <c r="R826" s="30"/>
    </row>
    <row r="827" spans="18:18" ht="15.75" customHeight="1">
      <c r="R827" s="30"/>
    </row>
    <row r="828" spans="18:18" ht="15.75" customHeight="1">
      <c r="R828" s="30"/>
    </row>
    <row r="829" spans="18:18" ht="15.75" customHeight="1">
      <c r="R829" s="30"/>
    </row>
    <row r="830" spans="18:18" ht="15.75" customHeight="1">
      <c r="R830" s="30"/>
    </row>
    <row r="831" spans="18:18" ht="15.75" customHeight="1">
      <c r="R831" s="30"/>
    </row>
    <row r="832" spans="18:18" ht="15.75" customHeight="1">
      <c r="R832" s="30"/>
    </row>
    <row r="833" spans="18:18" ht="15.75" customHeight="1">
      <c r="R833" s="30"/>
    </row>
    <row r="834" spans="18:18" ht="15.75" customHeight="1">
      <c r="R834" s="30"/>
    </row>
    <row r="835" spans="18:18" ht="15.75" customHeight="1">
      <c r="R835" s="30"/>
    </row>
    <row r="836" spans="18:18" ht="15.75" customHeight="1">
      <c r="R836" s="30"/>
    </row>
    <row r="837" spans="18:18" ht="15.75" customHeight="1">
      <c r="R837" s="30"/>
    </row>
    <row r="838" spans="18:18" ht="15.75" customHeight="1">
      <c r="R838" s="30"/>
    </row>
    <row r="839" spans="18:18" ht="15.75" customHeight="1">
      <c r="R839" s="30"/>
    </row>
    <row r="840" spans="18:18" ht="15.75" customHeight="1">
      <c r="R840" s="30"/>
    </row>
    <row r="841" spans="18:18" ht="15.75" customHeight="1">
      <c r="R841" s="30"/>
    </row>
    <row r="842" spans="18:18" ht="15.75" customHeight="1">
      <c r="R842" s="30"/>
    </row>
    <row r="843" spans="18:18" ht="15.75" customHeight="1">
      <c r="R843" s="30"/>
    </row>
    <row r="844" spans="18:18" ht="15.75" customHeight="1">
      <c r="R844" s="30"/>
    </row>
    <row r="845" spans="18:18" ht="15.75" customHeight="1">
      <c r="R845" s="30"/>
    </row>
    <row r="846" spans="18:18" ht="15.75" customHeight="1">
      <c r="R846" s="30"/>
    </row>
    <row r="847" spans="18:18" ht="15.75" customHeight="1">
      <c r="R847" s="30"/>
    </row>
    <row r="848" spans="18:18" ht="15.75" customHeight="1">
      <c r="R848" s="30"/>
    </row>
    <row r="849" spans="18:18" ht="15.75" customHeight="1">
      <c r="R849" s="30"/>
    </row>
    <row r="850" spans="18:18" ht="15.75" customHeight="1">
      <c r="R850" s="30"/>
    </row>
    <row r="851" spans="18:18" ht="15.75" customHeight="1">
      <c r="R851" s="30"/>
    </row>
    <row r="852" spans="18:18" ht="15.75" customHeight="1">
      <c r="R852" s="30"/>
    </row>
    <row r="853" spans="18:18" ht="15.75" customHeight="1">
      <c r="R853" s="30"/>
    </row>
    <row r="854" spans="18:18" ht="15.75" customHeight="1">
      <c r="R854" s="30"/>
    </row>
    <row r="855" spans="18:18" ht="15.75" customHeight="1">
      <c r="R855" s="30"/>
    </row>
    <row r="856" spans="18:18" ht="15.75" customHeight="1">
      <c r="R856" s="30"/>
    </row>
    <row r="857" spans="18:18" ht="15.75" customHeight="1">
      <c r="R857" s="30"/>
    </row>
    <row r="858" spans="18:18" ht="15.75" customHeight="1">
      <c r="R858" s="30"/>
    </row>
    <row r="859" spans="18:18" ht="15.75" customHeight="1">
      <c r="R859" s="30"/>
    </row>
    <row r="860" spans="18:18" ht="15.75" customHeight="1">
      <c r="R860" s="30"/>
    </row>
    <row r="861" spans="18:18" ht="15.75" customHeight="1">
      <c r="R861" s="30"/>
    </row>
    <row r="862" spans="18:18" ht="15.75" customHeight="1">
      <c r="R862" s="30"/>
    </row>
    <row r="863" spans="18:18" ht="15.75" customHeight="1">
      <c r="R863" s="30"/>
    </row>
    <row r="864" spans="18:18" ht="15.75" customHeight="1">
      <c r="R864" s="30"/>
    </row>
    <row r="865" spans="18:18" ht="15.75" customHeight="1">
      <c r="R865" s="30"/>
    </row>
    <row r="866" spans="18:18" ht="15.75" customHeight="1">
      <c r="R866" s="30"/>
    </row>
    <row r="867" spans="18:18" ht="15.75" customHeight="1">
      <c r="R867" s="30"/>
    </row>
    <row r="868" spans="18:18" ht="15.75" customHeight="1">
      <c r="R868" s="30"/>
    </row>
    <row r="869" spans="18:18" ht="15.75" customHeight="1">
      <c r="R869" s="30"/>
    </row>
    <row r="870" spans="18:18" ht="15.75" customHeight="1">
      <c r="R870" s="30"/>
    </row>
    <row r="871" spans="18:18" ht="15.75" customHeight="1">
      <c r="R871" s="30"/>
    </row>
    <row r="872" spans="18:18" ht="15.75" customHeight="1">
      <c r="R872" s="30"/>
    </row>
    <row r="873" spans="18:18" ht="15.75" customHeight="1">
      <c r="R873" s="30"/>
    </row>
    <row r="874" spans="18:18" ht="15.75" customHeight="1">
      <c r="R874" s="30"/>
    </row>
    <row r="875" spans="18:18" ht="15.75" customHeight="1">
      <c r="R875" s="30"/>
    </row>
    <row r="876" spans="18:18" ht="15.75" customHeight="1">
      <c r="R876" s="30"/>
    </row>
    <row r="877" spans="18:18" ht="15.75" customHeight="1">
      <c r="R877" s="30"/>
    </row>
    <row r="878" spans="18:18" ht="15.75" customHeight="1">
      <c r="R878" s="30"/>
    </row>
    <row r="879" spans="18:18" ht="15.75" customHeight="1">
      <c r="R879" s="30"/>
    </row>
    <row r="880" spans="18:18" ht="15.75" customHeight="1">
      <c r="R880" s="30"/>
    </row>
    <row r="881" spans="18:18" ht="15.75" customHeight="1">
      <c r="R881" s="30"/>
    </row>
    <row r="882" spans="18:18" ht="15.75" customHeight="1">
      <c r="R882" s="30"/>
    </row>
    <row r="883" spans="18:18" ht="15.75" customHeight="1">
      <c r="R883" s="30"/>
    </row>
    <row r="884" spans="18:18" ht="15.75" customHeight="1">
      <c r="R884" s="30"/>
    </row>
    <row r="885" spans="18:18" ht="15.75" customHeight="1">
      <c r="R885" s="30"/>
    </row>
    <row r="886" spans="18:18" ht="15.75" customHeight="1">
      <c r="R886" s="30"/>
    </row>
    <row r="887" spans="18:18" ht="15.75" customHeight="1">
      <c r="R887" s="30"/>
    </row>
    <row r="888" spans="18:18" ht="15.75" customHeight="1">
      <c r="R888" s="30"/>
    </row>
    <row r="889" spans="18:18" ht="15.75" customHeight="1">
      <c r="R889" s="30"/>
    </row>
    <row r="890" spans="18:18" ht="15.75" customHeight="1">
      <c r="R890" s="30"/>
    </row>
    <row r="891" spans="18:18" ht="15.75" customHeight="1">
      <c r="R891" s="30"/>
    </row>
    <row r="892" spans="18:18" ht="15.75" customHeight="1">
      <c r="R892" s="30"/>
    </row>
    <row r="893" spans="18:18" ht="15.75" customHeight="1">
      <c r="R893" s="30"/>
    </row>
    <row r="894" spans="18:18" ht="15.75" customHeight="1">
      <c r="R894" s="30"/>
    </row>
    <row r="895" spans="18:18" ht="15.75" customHeight="1">
      <c r="R895" s="30"/>
    </row>
    <row r="896" spans="18:18" ht="15.75" customHeight="1">
      <c r="R896" s="30"/>
    </row>
    <row r="897" spans="18:18" ht="15.75" customHeight="1">
      <c r="R897" s="30"/>
    </row>
    <row r="898" spans="18:18" ht="15.75" customHeight="1">
      <c r="R898" s="30"/>
    </row>
    <row r="899" spans="18:18" ht="15.75" customHeight="1">
      <c r="R899" s="30"/>
    </row>
    <row r="900" spans="18:18" ht="15.75" customHeight="1">
      <c r="R900" s="30"/>
    </row>
    <row r="901" spans="18:18" ht="15.75" customHeight="1">
      <c r="R901" s="30"/>
    </row>
    <row r="902" spans="18:18" ht="15.75" customHeight="1">
      <c r="R902" s="30"/>
    </row>
    <row r="903" spans="18:18" ht="15.75" customHeight="1">
      <c r="R903" s="30"/>
    </row>
    <row r="904" spans="18:18" ht="15.75" customHeight="1">
      <c r="R904" s="30"/>
    </row>
    <row r="905" spans="18:18" ht="15.75" customHeight="1">
      <c r="R905" s="30"/>
    </row>
    <row r="906" spans="18:18" ht="15.75" customHeight="1">
      <c r="R906" s="30"/>
    </row>
    <row r="907" spans="18:18" ht="15.75" customHeight="1">
      <c r="R907" s="30"/>
    </row>
    <row r="908" spans="18:18" ht="15.75" customHeight="1">
      <c r="R908" s="30"/>
    </row>
    <row r="909" spans="18:18" ht="15.75" customHeight="1">
      <c r="R909" s="30"/>
    </row>
    <row r="910" spans="18:18" ht="15.75" customHeight="1">
      <c r="R910" s="30"/>
    </row>
    <row r="911" spans="18:18" ht="15.75" customHeight="1">
      <c r="R911" s="30"/>
    </row>
    <row r="912" spans="18:18" ht="15.75" customHeight="1">
      <c r="R912" s="30"/>
    </row>
    <row r="913" spans="18:18" ht="15.75" customHeight="1">
      <c r="R913" s="30"/>
    </row>
    <row r="914" spans="18:18" ht="15.75" customHeight="1">
      <c r="R914" s="30"/>
    </row>
    <row r="915" spans="18:18" ht="15.75" customHeight="1">
      <c r="R915" s="30"/>
    </row>
    <row r="916" spans="18:18" ht="15.75" customHeight="1">
      <c r="R916" s="30"/>
    </row>
    <row r="917" spans="18:18" ht="15.75" customHeight="1">
      <c r="R917" s="30"/>
    </row>
    <row r="918" spans="18:18" ht="15.75" customHeight="1">
      <c r="R918" s="30"/>
    </row>
    <row r="919" spans="18:18" ht="15.75" customHeight="1">
      <c r="R919" s="30"/>
    </row>
    <row r="920" spans="18:18" ht="15.75" customHeight="1">
      <c r="R920" s="30"/>
    </row>
    <row r="921" spans="18:18" ht="15.75" customHeight="1">
      <c r="R921" s="30"/>
    </row>
    <row r="922" spans="18:18" ht="15.75" customHeight="1">
      <c r="R922" s="30"/>
    </row>
    <row r="923" spans="18:18" ht="15.75" customHeight="1">
      <c r="R923" s="30"/>
    </row>
    <row r="924" spans="18:18" ht="15.75" customHeight="1">
      <c r="R924" s="30"/>
    </row>
    <row r="925" spans="18:18" ht="15.75" customHeight="1">
      <c r="R925" s="30"/>
    </row>
    <row r="926" spans="18:18" ht="15.75" customHeight="1">
      <c r="R926" s="30"/>
    </row>
    <row r="927" spans="18:18" ht="15.75" customHeight="1">
      <c r="R927" s="30"/>
    </row>
    <row r="928" spans="18:18" ht="15.75" customHeight="1">
      <c r="R928" s="30"/>
    </row>
    <row r="929" spans="18:18" ht="15.75" customHeight="1">
      <c r="R929" s="30"/>
    </row>
    <row r="930" spans="18:18" ht="15.75" customHeight="1">
      <c r="R930" s="30"/>
    </row>
    <row r="931" spans="18:18" ht="15.75" customHeight="1">
      <c r="R931" s="30"/>
    </row>
    <row r="932" spans="18:18" ht="15.75" customHeight="1">
      <c r="R932" s="30"/>
    </row>
    <row r="933" spans="18:18" ht="15.75" customHeight="1">
      <c r="R933" s="30"/>
    </row>
    <row r="934" spans="18:18" ht="15.75" customHeight="1">
      <c r="R934" s="30"/>
    </row>
    <row r="935" spans="18:18" ht="15.75" customHeight="1">
      <c r="R935" s="30"/>
    </row>
    <row r="936" spans="18:18" ht="15.75" customHeight="1">
      <c r="R936" s="30"/>
    </row>
    <row r="937" spans="18:18" ht="15.75" customHeight="1">
      <c r="R937" s="30"/>
    </row>
    <row r="938" spans="18:18" ht="15.75" customHeight="1">
      <c r="R938" s="30"/>
    </row>
    <row r="939" spans="18:18" ht="15.75" customHeight="1">
      <c r="R939" s="30"/>
    </row>
    <row r="940" spans="18:18" ht="15.75" customHeight="1">
      <c r="R940" s="30"/>
    </row>
    <row r="941" spans="18:18" ht="15.75" customHeight="1">
      <c r="R941" s="30"/>
    </row>
    <row r="942" spans="18:18" ht="15.75" customHeight="1">
      <c r="R942" s="30"/>
    </row>
    <row r="943" spans="18:18" ht="15.75" customHeight="1">
      <c r="R943" s="30"/>
    </row>
    <row r="944" spans="18:18" ht="15.75" customHeight="1">
      <c r="R944" s="30"/>
    </row>
    <row r="945" spans="18:18" ht="15.75" customHeight="1">
      <c r="R945" s="30"/>
    </row>
    <row r="946" spans="18:18" ht="15.75" customHeight="1">
      <c r="R946" s="30"/>
    </row>
    <row r="947" spans="18:18" ht="15.75" customHeight="1">
      <c r="R947" s="30"/>
    </row>
    <row r="948" spans="18:18" ht="15.75" customHeight="1">
      <c r="R948" s="30"/>
    </row>
    <row r="949" spans="18:18" ht="15.75" customHeight="1">
      <c r="R949" s="30"/>
    </row>
    <row r="950" spans="18:18" ht="15.75" customHeight="1">
      <c r="R950" s="30"/>
    </row>
    <row r="951" spans="18:18" ht="15.75" customHeight="1">
      <c r="R951" s="30"/>
    </row>
    <row r="952" spans="18:18" ht="15.75" customHeight="1">
      <c r="R952" s="30"/>
    </row>
    <row r="953" spans="18:18" ht="15.75" customHeight="1">
      <c r="R953" s="30"/>
    </row>
    <row r="954" spans="18:18" ht="15.75" customHeight="1">
      <c r="R954" s="30"/>
    </row>
    <row r="955" spans="18:18" ht="15.75" customHeight="1">
      <c r="R955" s="30"/>
    </row>
    <row r="956" spans="18:18" ht="15.75" customHeight="1">
      <c r="R956" s="30"/>
    </row>
    <row r="957" spans="18:18" ht="15.75" customHeight="1">
      <c r="R957" s="30"/>
    </row>
    <row r="958" spans="18:18" ht="15.75" customHeight="1">
      <c r="R958" s="30"/>
    </row>
    <row r="959" spans="18:18" ht="15.75" customHeight="1">
      <c r="R959" s="30"/>
    </row>
    <row r="960" spans="18:18" ht="15.75" customHeight="1">
      <c r="R960" s="30"/>
    </row>
    <row r="961" spans="18:18" ht="15.75" customHeight="1">
      <c r="R961" s="30"/>
    </row>
    <row r="962" spans="18:18" ht="15.75" customHeight="1">
      <c r="R962" s="30"/>
    </row>
    <row r="963" spans="18:18" ht="15.75" customHeight="1">
      <c r="R963" s="30"/>
    </row>
    <row r="964" spans="18:18" ht="15.75" customHeight="1">
      <c r="R964" s="30"/>
    </row>
    <row r="965" spans="18:18" ht="15.75" customHeight="1">
      <c r="R965" s="30"/>
    </row>
    <row r="966" spans="18:18" ht="15.75" customHeight="1">
      <c r="R966" s="30"/>
    </row>
    <row r="967" spans="18:18" ht="15.75" customHeight="1">
      <c r="R967" s="30"/>
    </row>
    <row r="968" spans="18:18" ht="15.75" customHeight="1">
      <c r="R968" s="30"/>
    </row>
    <row r="969" spans="18:18" ht="15.75" customHeight="1">
      <c r="R969" s="30"/>
    </row>
    <row r="970" spans="18:18" ht="15.75" customHeight="1">
      <c r="R970" s="30"/>
    </row>
    <row r="971" spans="18:18" ht="15.75" customHeight="1">
      <c r="R971" s="30"/>
    </row>
    <row r="972" spans="18:18" ht="15.75" customHeight="1">
      <c r="R972" s="30"/>
    </row>
    <row r="973" spans="18:18" ht="15.75" customHeight="1">
      <c r="R973" s="30"/>
    </row>
    <row r="974" spans="18:18" ht="15.75" customHeight="1">
      <c r="R974" s="30"/>
    </row>
    <row r="975" spans="18:18" ht="15.75" customHeight="1">
      <c r="R975" s="30"/>
    </row>
    <row r="976" spans="18:18" ht="15.75" customHeight="1">
      <c r="R976" s="30"/>
    </row>
    <row r="977" spans="18:18" ht="15.75" customHeight="1">
      <c r="R977" s="30"/>
    </row>
    <row r="978" spans="18:18" ht="15.75" customHeight="1">
      <c r="R978" s="30"/>
    </row>
    <row r="979" spans="18:18" ht="15.75" customHeight="1">
      <c r="R979" s="30"/>
    </row>
    <row r="980" spans="18:18" ht="15.75" customHeight="1">
      <c r="R980" s="30"/>
    </row>
    <row r="981" spans="18:18" ht="15.75" customHeight="1">
      <c r="R981" s="30"/>
    </row>
    <row r="982" spans="18:18" ht="15.75" customHeight="1">
      <c r="R982" s="30"/>
    </row>
    <row r="983" spans="18:18" ht="15.75" customHeight="1">
      <c r="R983" s="30"/>
    </row>
    <row r="984" spans="18:18" ht="15.75" customHeight="1">
      <c r="R984" s="30"/>
    </row>
    <row r="985" spans="18:18" ht="15.75" customHeight="1">
      <c r="R985" s="30"/>
    </row>
    <row r="986" spans="18:18" ht="15.75" customHeight="1">
      <c r="R986" s="30"/>
    </row>
    <row r="987" spans="18:18" ht="15.75" customHeight="1">
      <c r="R987" s="30"/>
    </row>
    <row r="988" spans="18:18" ht="15.75" customHeight="1">
      <c r="R988" s="30"/>
    </row>
    <row r="989" spans="18:18" ht="15.75" customHeight="1">
      <c r="R989" s="30"/>
    </row>
    <row r="990" spans="18:18" ht="15.75" customHeight="1">
      <c r="R990" s="30"/>
    </row>
    <row r="991" spans="18:18" ht="15.75" customHeight="1">
      <c r="R991" s="30"/>
    </row>
    <row r="992" spans="18:18" ht="15.75" customHeight="1">
      <c r="R992" s="30"/>
    </row>
    <row r="993" spans="18:18" ht="15.75" customHeight="1">
      <c r="R993" s="30"/>
    </row>
    <row r="994" spans="18:18" ht="15.75" customHeight="1">
      <c r="R994" s="30"/>
    </row>
    <row r="995" spans="18:18" ht="15.75" customHeight="1">
      <c r="R995" s="30"/>
    </row>
    <row r="996" spans="18:18" ht="15.75" customHeight="1">
      <c r="R996" s="30"/>
    </row>
    <row r="997" spans="18:18" ht="15.75" customHeight="1">
      <c r="R997" s="30"/>
    </row>
    <row r="998" spans="18:18" ht="15.75" customHeight="1">
      <c r="R998" s="30"/>
    </row>
    <row r="999" spans="18:18" ht="15.75" customHeight="1">
      <c r="R999" s="30"/>
    </row>
    <row r="1000" spans="18:18" ht="15.75" customHeight="1">
      <c r="R1000" s="3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2.6640625" defaultRowHeight="15" customHeight="1"/>
  <cols>
    <col min="1" max="1" width="13.33203125" customWidth="1"/>
    <col min="2" max="2" width="30" customWidth="1"/>
    <col min="3" max="3" width="8" customWidth="1"/>
    <col min="4" max="4" width="5.6640625" customWidth="1"/>
    <col min="5" max="5" width="8.6640625" customWidth="1"/>
    <col min="6" max="6" width="9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16.33203125" customWidth="1"/>
    <col min="16" max="16" width="10" customWidth="1"/>
    <col min="17" max="18" width="7.33203125" customWidth="1"/>
    <col min="19" max="19" width="7.1640625" customWidth="1"/>
    <col min="20" max="20" width="14.33203125" customWidth="1"/>
    <col min="21" max="21" width="19.5" customWidth="1"/>
    <col min="22" max="22" width="73.164062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6640625" customWidth="1"/>
    <col min="32" max="32" width="10.1640625" customWidth="1"/>
    <col min="33" max="33" width="8.83203125" customWidth="1"/>
  </cols>
  <sheetData>
    <row r="1" spans="1:33" ht="18.75" customHeight="1">
      <c r="A1" s="46" t="str">
        <f ca="1">IFERROR(__xludf.DUMMYFUNCTION("IFERROR(VLOOKUP(B2,IMPORTRANGE(""https://docs.google.com/spreadsheets/d/1x0DhHglkXKoEBOD2MBsuK_EyIr1ouxD2ftIpqOYFa-k/edit?usp=sharing"",""Ubiquitty-SKU-Specific Info!B1:BJ5000""),3,FALSE),"""")"),"10 Ft Black Oil Resistant Extension Cord for Farms and Ranches - 12/3 SJTOW Heavy Duty Outdoor Cable with 3 Prong Grounded Plug for Safety")</f>
        <v>10 Ft Black Oil Resistant Extension Cord for Farms and Ranches - 12/3 SJTOW Heavy Duty Outdoor Cable with 3 Prong Grounded Plug for Safety</v>
      </c>
      <c r="B1" s="47"/>
      <c r="C1" s="48" t="s">
        <v>0</v>
      </c>
      <c r="D1" s="50" t="s">
        <v>1</v>
      </c>
      <c r="E1" s="50" t="s">
        <v>2</v>
      </c>
      <c r="F1" s="52" t="s">
        <v>3</v>
      </c>
      <c r="G1" s="52" t="s">
        <v>4</v>
      </c>
      <c r="H1" s="53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58" t="s">
        <v>10</v>
      </c>
      <c r="N1" s="59" t="s">
        <v>11</v>
      </c>
      <c r="O1" s="50" t="s">
        <v>12</v>
      </c>
      <c r="P1" s="50" t="s">
        <v>13</v>
      </c>
      <c r="Q1" s="57" t="s">
        <v>14</v>
      </c>
      <c r="R1" s="57" t="s">
        <v>15</v>
      </c>
      <c r="S1" s="60" t="s">
        <v>16</v>
      </c>
      <c r="T1" s="62" t="s">
        <v>2006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Info!B1:BJ5000""),2,FALSE),"""")"),"B081HD2J8Z")</f>
        <v>B081HD2J8Z</v>
      </c>
      <c r="B2" s="3" t="s">
        <v>608</v>
      </c>
      <c r="C2" s="49"/>
      <c r="D2" s="49"/>
      <c r="E2" s="51"/>
      <c r="F2" s="49"/>
      <c r="G2" s="49"/>
      <c r="H2" s="54"/>
      <c r="I2" s="49"/>
      <c r="J2" s="49"/>
      <c r="K2" s="54"/>
      <c r="L2" s="54"/>
      <c r="M2" s="54"/>
      <c r="N2" s="49"/>
      <c r="O2" s="49"/>
      <c r="P2" s="51"/>
      <c r="Q2" s="49"/>
      <c r="R2" s="49"/>
      <c r="S2" s="61"/>
      <c r="T2" s="47"/>
      <c r="U2" s="63"/>
      <c r="V2" s="63"/>
      <c r="W2" s="47"/>
      <c r="X2" s="47"/>
      <c r="Y2" s="47"/>
      <c r="Z2" s="47"/>
      <c r="AA2" s="63"/>
      <c r="AB2" s="63"/>
      <c r="AC2" s="63"/>
      <c r="AD2" s="63"/>
      <c r="AE2" s="47"/>
      <c r="AF2" s="47"/>
      <c r="AG2" s="47"/>
    </row>
    <row r="3" spans="1:33" ht="148.5" customHeight="1">
      <c r="A3" s="55" t="s">
        <v>31</v>
      </c>
      <c r="B3" s="56"/>
      <c r="C3" s="4">
        <f>((AE32+AF32)/0.85)*-1</f>
        <v>12.004098409411764</v>
      </c>
      <c r="D3" s="5">
        <f>SUM(D4:D99765)</f>
        <v>673</v>
      </c>
      <c r="E3" s="5"/>
      <c r="F3" s="6">
        <f t="shared" ref="F3:G3" si="0">SUM(F4:F99765)</f>
        <v>13002</v>
      </c>
      <c r="G3" s="6">
        <f t="shared" si="0"/>
        <v>-43.679999999999993</v>
      </c>
      <c r="H3" s="7">
        <f t="shared" ref="H3:H32" si="1">G3/F3*-1</f>
        <v>3.3594831564374705E-3</v>
      </c>
      <c r="I3" s="8">
        <f t="shared" ref="I3:I32" si="2">J3/F3</f>
        <v>0.35142434342737805</v>
      </c>
      <c r="J3" s="6">
        <f>SUM(J4:J99765)</f>
        <v>4569.2193132427692</v>
      </c>
      <c r="K3" s="6">
        <f t="shared" ref="K3:K32" si="3">J3/D3</f>
        <v>6.7893303317128817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Sheet!a1:g5000""),2,FALSE),"""")"),"3 - March
4 - April
7 - May
7 - June
8 - July
8 - Aug
7 - Sept
7 - Oct
7 - Nov
7 - Dec
3 - Jan
3 - Feb")</f>
        <v>3 - March
4 - April
7 - May
7 - June
8 - July
8 - Aug
7 - Sept
7 - Oct
7 - Nov
7 - Dec
3 - Jan
3 -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QTY-1")</f>
        <v>Del QTY-1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QTY-0")</f>
        <v>US QTY-0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17</v>
      </c>
      <c r="X3" s="7">
        <f>W3/D3</f>
        <v>2.5260029717682021E-2</v>
      </c>
      <c r="Y3" s="6"/>
      <c r="Z3" s="5"/>
      <c r="AA3" s="5"/>
      <c r="AB3" s="5"/>
      <c r="AC3" s="5"/>
      <c r="AD3" s="6">
        <f>SUM(AD4:AD99765)</f>
        <v>-44.190416350666275</v>
      </c>
      <c r="AE3" s="6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Info!B2:BZ3000""),37,FALSE)),"""")*-1"),-5.253483648)</f>
        <v>-5.2534836479999996</v>
      </c>
      <c r="AG3" s="6">
        <f>SUM(AG4:AG99765)</f>
        <v>0</v>
      </c>
    </row>
    <row r="4" spans="1:33" ht="15.75" customHeight="1">
      <c r="A4" s="14" t="s">
        <v>181</v>
      </c>
      <c r="B4" s="14" t="s">
        <v>609</v>
      </c>
      <c r="C4" s="15">
        <f t="shared" ref="C4:C32" si="4">IFERROR(F4/D4," - ")</f>
        <v>18.360000000000003</v>
      </c>
      <c r="D4" s="16">
        <v>10</v>
      </c>
      <c r="E4" s="16">
        <v>0</v>
      </c>
      <c r="F4" s="17">
        <v>183.60000000000002</v>
      </c>
      <c r="G4" s="17">
        <v>-0.05</v>
      </c>
      <c r="H4" s="18">
        <f t="shared" si="1"/>
        <v>2.7233115468409583E-4</v>
      </c>
      <c r="I4" s="18">
        <f t="shared" si="2"/>
        <v>0.36339170908748097</v>
      </c>
      <c r="J4" s="17">
        <f t="shared" ref="J4:J32" si="5">F4*0.85+G4+AF4*D4+D4*AE4+AG4+AD4</f>
        <v>66.718717788461518</v>
      </c>
      <c r="K4" s="17">
        <f t="shared" si="3"/>
        <v>6.6718717788461515</v>
      </c>
      <c r="L4" s="16">
        <v>22</v>
      </c>
      <c r="M4" s="19">
        <f t="shared" ref="M4:M32" si="6">IFERROR(D4/L4,"-")</f>
        <v>0.45454545454545453</v>
      </c>
      <c r="N4" s="16">
        <v>191</v>
      </c>
      <c r="O4" s="20">
        <f t="shared" ref="O4:P4" si="7">D4/7</f>
        <v>1.4285714285714286</v>
      </c>
      <c r="P4" s="20">
        <f t="shared" si="7"/>
        <v>0</v>
      </c>
      <c r="Q4" s="16">
        <f t="shared" ref="Q4:Q32" si="8">ROUNDDOWN(N4/(O4+P4),0)</f>
        <v>133</v>
      </c>
      <c r="R4" s="16"/>
      <c r="S4" s="21">
        <v>0.15763546798029501</v>
      </c>
      <c r="T4" s="14">
        <v>460</v>
      </c>
      <c r="U4" s="22">
        <v>100</v>
      </c>
      <c r="V4" s="23" t="s">
        <v>610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26" t="s">
        <v>35</v>
      </c>
      <c r="AB4" s="27">
        <f t="shared" ref="AB4:AB32" si="11">IF(OR(AA4="UsLargeStandardSize",AA4="UsSmallStandardSize"),-0.69,-0.48)</f>
        <v>-0.69</v>
      </c>
      <c r="AC4" s="28">
        <v>4.7565972222222232E-2</v>
      </c>
      <c r="AD4" s="25">
        <f t="shared" ref="AD4:AD32" si="12">IFERROR(AB4*AC4*D4*2,0)</f>
        <v>-0.65641041666666677</v>
      </c>
      <c r="AE4" s="25">
        <v>-4.9000000000000004</v>
      </c>
      <c r="AF4" s="25">
        <v>-3.9634871794871795</v>
      </c>
      <c r="AG4" s="25">
        <v>0</v>
      </c>
    </row>
    <row r="5" spans="1:33" ht="15.75" customHeight="1">
      <c r="A5" s="14" t="s">
        <v>183</v>
      </c>
      <c r="B5" s="14" t="s">
        <v>611</v>
      </c>
      <c r="C5" s="15">
        <f t="shared" si="4"/>
        <v>13.826259541984726</v>
      </c>
      <c r="D5" s="16">
        <v>131</v>
      </c>
      <c r="E5" s="16">
        <v>2</v>
      </c>
      <c r="F5" s="29">
        <v>1811.2399999999991</v>
      </c>
      <c r="G5" s="29">
        <v>-38.699999999999996</v>
      </c>
      <c r="H5" s="18">
        <f t="shared" si="1"/>
        <v>2.136657759325104E-2</v>
      </c>
      <c r="I5" s="18">
        <f t="shared" si="2"/>
        <v>0.18281853259497874</v>
      </c>
      <c r="J5" s="17">
        <f t="shared" si="5"/>
        <v>331.12823897732915</v>
      </c>
      <c r="K5" s="17">
        <f t="shared" si="3"/>
        <v>2.5276964807429705</v>
      </c>
      <c r="L5" s="16">
        <v>143</v>
      </c>
      <c r="M5" s="19">
        <f t="shared" si="6"/>
        <v>0.91608391608391604</v>
      </c>
      <c r="N5" s="16">
        <v>71</v>
      </c>
      <c r="O5" s="20">
        <f t="shared" ref="O5:P5" si="13">D5/7</f>
        <v>18.714285714285715</v>
      </c>
      <c r="P5" s="20">
        <f t="shared" si="13"/>
        <v>0.2857142857142857</v>
      </c>
      <c r="Q5" s="16">
        <f t="shared" si="8"/>
        <v>3</v>
      </c>
      <c r="R5" s="16"/>
      <c r="S5" s="21">
        <v>3</v>
      </c>
      <c r="T5" s="14">
        <v>460</v>
      </c>
      <c r="U5" s="22">
        <v>100</v>
      </c>
      <c r="V5" s="23" t="s">
        <v>612</v>
      </c>
      <c r="W5" s="14">
        <v>14</v>
      </c>
      <c r="X5" s="24">
        <f t="shared" si="9"/>
        <v>0.10687022900763359</v>
      </c>
      <c r="Y5" s="25">
        <f t="shared" si="10"/>
        <v>2.0368421052631578</v>
      </c>
      <c r="Z5" s="14">
        <v>5</v>
      </c>
      <c r="AA5" s="14" t="s">
        <v>35</v>
      </c>
      <c r="AB5" s="27">
        <f t="shared" si="11"/>
        <v>-0.69</v>
      </c>
      <c r="AC5" s="28">
        <v>4.7621089223638481E-2</v>
      </c>
      <c r="AD5" s="25">
        <f t="shared" si="12"/>
        <v>-8.6089405098493632</v>
      </c>
      <c r="AE5" s="25">
        <v>-4.9000000000000004</v>
      </c>
      <c r="AF5" s="25">
        <v>-3.9634871794871795</v>
      </c>
      <c r="AG5" s="25">
        <v>0</v>
      </c>
    </row>
    <row r="6" spans="1:33" ht="15.75" customHeight="1">
      <c r="A6" s="14" t="s">
        <v>185</v>
      </c>
      <c r="B6" s="14" t="s">
        <v>343</v>
      </c>
      <c r="C6" s="15">
        <f t="shared" si="4"/>
        <v>16.168867924528303</v>
      </c>
      <c r="D6" s="16">
        <v>53</v>
      </c>
      <c r="E6" s="16">
        <v>0</v>
      </c>
      <c r="F6" s="29">
        <v>856.95000000000016</v>
      </c>
      <c r="G6" s="29">
        <v>-4.8499999999999996</v>
      </c>
      <c r="H6" s="18">
        <f t="shared" si="1"/>
        <v>5.6596067448509233E-3</v>
      </c>
      <c r="I6" s="18">
        <f t="shared" si="2"/>
        <v>0.2920936729346667</v>
      </c>
      <c r="J6" s="17">
        <f t="shared" si="5"/>
        <v>250.3096730213627</v>
      </c>
      <c r="K6" s="17">
        <f t="shared" si="3"/>
        <v>4.7228240192709947</v>
      </c>
      <c r="L6" s="16">
        <v>115</v>
      </c>
      <c r="M6" s="19">
        <f t="shared" si="6"/>
        <v>0.46086956521739131</v>
      </c>
      <c r="N6" s="16">
        <v>0</v>
      </c>
      <c r="O6" s="20">
        <f t="shared" ref="O6:P6" si="14">D6/7</f>
        <v>7.5714285714285712</v>
      </c>
      <c r="P6" s="20">
        <f t="shared" si="14"/>
        <v>0</v>
      </c>
      <c r="Q6" s="16">
        <f t="shared" si="8"/>
        <v>0</v>
      </c>
      <c r="R6" s="16"/>
      <c r="S6" s="21">
        <v>100.571428571428</v>
      </c>
      <c r="T6" s="14">
        <v>620</v>
      </c>
      <c r="U6" s="22">
        <v>260</v>
      </c>
      <c r="V6" s="23" t="s">
        <v>613</v>
      </c>
      <c r="W6" s="14">
        <v>3</v>
      </c>
      <c r="X6" s="24">
        <f t="shared" si="9"/>
        <v>5.6603773584905662E-2</v>
      </c>
      <c r="Y6" s="25">
        <f t="shared" si="10"/>
        <v>1.6166666666666665</v>
      </c>
      <c r="Z6" s="14">
        <v>0</v>
      </c>
      <c r="AA6" s="14" t="s">
        <v>35</v>
      </c>
      <c r="AB6" s="27">
        <f t="shared" si="11"/>
        <v>-0.69</v>
      </c>
      <c r="AC6" s="28">
        <v>4.7621089223638481E-2</v>
      </c>
      <c r="AD6" s="25">
        <f t="shared" si="12"/>
        <v>-3.4830064658169184</v>
      </c>
      <c r="AE6" s="25">
        <v>-4.9000000000000004</v>
      </c>
      <c r="AF6" s="25">
        <v>-3.9634871794871795</v>
      </c>
      <c r="AG6" s="25">
        <v>0</v>
      </c>
    </row>
    <row r="7" spans="1:33" ht="15.75" customHeight="1">
      <c r="A7" s="14" t="s">
        <v>187</v>
      </c>
      <c r="B7" s="14"/>
      <c r="C7" s="15" t="str">
        <f t="shared" si="4"/>
        <v xml:space="preserve"> - </v>
      </c>
      <c r="D7" s="16">
        <v>0</v>
      </c>
      <c r="E7" s="16">
        <v>0</v>
      </c>
      <c r="F7" s="29">
        <v>0</v>
      </c>
      <c r="G7" s="29">
        <v>0</v>
      </c>
      <c r="H7" s="18" t="e">
        <f t="shared" si="1"/>
        <v>#DIV/0!</v>
      </c>
      <c r="I7" s="18" t="e">
        <f t="shared" si="2"/>
        <v>#DIV/0!</v>
      </c>
      <c r="J7" s="17">
        <f t="shared" si="5"/>
        <v>0</v>
      </c>
      <c r="K7" s="17" t="e">
        <f t="shared" si="3"/>
        <v>#DIV/0!</v>
      </c>
      <c r="L7" s="16">
        <v>0</v>
      </c>
      <c r="M7" s="19" t="str">
        <f t="shared" si="6"/>
        <v>-</v>
      </c>
      <c r="N7" s="16">
        <v>0</v>
      </c>
      <c r="O7" s="20">
        <f t="shared" ref="O7:P7" si="15">D7/7</f>
        <v>0</v>
      </c>
      <c r="P7" s="20">
        <f t="shared" si="15"/>
        <v>0</v>
      </c>
      <c r="Q7" s="16" t="e">
        <f t="shared" si="8"/>
        <v>#DIV/0!</v>
      </c>
      <c r="R7" s="16"/>
      <c r="S7" s="21">
        <v>3.2727272727272698</v>
      </c>
      <c r="T7" s="14">
        <v>620</v>
      </c>
      <c r="U7" s="22">
        <v>40</v>
      </c>
      <c r="V7" s="23" t="s">
        <v>614</v>
      </c>
      <c r="W7" s="14">
        <v>0</v>
      </c>
      <c r="X7" s="24">
        <f t="shared" si="9"/>
        <v>0</v>
      </c>
      <c r="Y7" s="25">
        <f t="shared" si="10"/>
        <v>0</v>
      </c>
      <c r="Z7" s="14">
        <v>0</v>
      </c>
      <c r="AA7" s="14" t="e">
        <v>#N/A</v>
      </c>
      <c r="AB7" s="27" t="e">
        <f t="shared" si="11"/>
        <v>#N/A</v>
      </c>
      <c r="AC7" s="28" t="e">
        <v>#N/A</v>
      </c>
      <c r="AD7" s="25">
        <f t="shared" si="12"/>
        <v>0</v>
      </c>
      <c r="AE7" s="25">
        <v>0</v>
      </c>
      <c r="AF7" s="25">
        <v>-3.9634871794871795</v>
      </c>
      <c r="AG7" s="25">
        <v>0</v>
      </c>
    </row>
    <row r="8" spans="1:33" ht="15.75" customHeight="1">
      <c r="A8" s="14" t="s">
        <v>189</v>
      </c>
      <c r="B8" s="14" t="s">
        <v>615</v>
      </c>
      <c r="C8" s="15">
        <f t="shared" si="4"/>
        <v>16.540000000000003</v>
      </c>
      <c r="D8" s="16">
        <v>18</v>
      </c>
      <c r="E8" s="16">
        <v>1</v>
      </c>
      <c r="F8" s="29">
        <v>297.72000000000003</v>
      </c>
      <c r="G8" s="29">
        <v>0</v>
      </c>
      <c r="H8" s="18">
        <f t="shared" si="1"/>
        <v>0</v>
      </c>
      <c r="I8" s="18">
        <f t="shared" si="2"/>
        <v>0.31036027559451834</v>
      </c>
      <c r="J8" s="17">
        <f t="shared" si="5"/>
        <v>92.400461250000006</v>
      </c>
      <c r="K8" s="17">
        <f t="shared" si="3"/>
        <v>5.1333589583333339</v>
      </c>
      <c r="L8" s="16">
        <v>1</v>
      </c>
      <c r="M8" s="19">
        <f t="shared" si="6"/>
        <v>18</v>
      </c>
      <c r="N8" s="16">
        <v>43</v>
      </c>
      <c r="O8" s="20">
        <f t="shared" ref="O8:P8" si="16">D8/7</f>
        <v>2.5714285714285716</v>
      </c>
      <c r="P8" s="20">
        <f t="shared" si="16"/>
        <v>0.14285714285714285</v>
      </c>
      <c r="Q8" s="16">
        <f t="shared" si="8"/>
        <v>15</v>
      </c>
      <c r="R8" s="16"/>
      <c r="S8" s="21">
        <v>3.1162790697674398</v>
      </c>
      <c r="T8" s="14">
        <v>620</v>
      </c>
      <c r="U8" s="22">
        <v>40</v>
      </c>
      <c r="V8" s="23" t="s">
        <v>616</v>
      </c>
      <c r="W8" s="14">
        <v>0</v>
      </c>
      <c r="X8" s="24">
        <f t="shared" si="9"/>
        <v>0</v>
      </c>
      <c r="Y8" s="25">
        <f t="shared" si="10"/>
        <v>0</v>
      </c>
      <c r="Z8" s="14">
        <v>0</v>
      </c>
      <c r="AA8" s="14" t="s">
        <v>35</v>
      </c>
      <c r="AB8" s="27">
        <f t="shared" si="11"/>
        <v>-0.69</v>
      </c>
      <c r="AC8" s="28">
        <v>4.7565972222222232E-2</v>
      </c>
      <c r="AD8" s="25">
        <f t="shared" si="12"/>
        <v>-1.1815387500000001</v>
      </c>
      <c r="AE8" s="25">
        <v>-4.9000000000000004</v>
      </c>
      <c r="AF8" s="25">
        <v>-3.96</v>
      </c>
      <c r="AG8" s="25">
        <v>0</v>
      </c>
    </row>
    <row r="9" spans="1:33" ht="15.75" customHeight="1">
      <c r="A9" s="14" t="s">
        <v>191</v>
      </c>
      <c r="B9" s="14" t="s">
        <v>617</v>
      </c>
      <c r="C9" s="15">
        <f t="shared" si="4"/>
        <v>19.989999999999998</v>
      </c>
      <c r="D9" s="16">
        <v>4</v>
      </c>
      <c r="E9" s="16">
        <v>0</v>
      </c>
      <c r="F9" s="29">
        <v>79.959999999999994</v>
      </c>
      <c r="G9" s="29">
        <v>0</v>
      </c>
      <c r="H9" s="18">
        <f t="shared" si="1"/>
        <v>0</v>
      </c>
      <c r="I9" s="18">
        <f t="shared" si="2"/>
        <v>0.39956709043624367</v>
      </c>
      <c r="J9" s="17">
        <f t="shared" si="5"/>
        <v>31.949384551282041</v>
      </c>
      <c r="K9" s="17">
        <f t="shared" si="3"/>
        <v>7.9873461378205102</v>
      </c>
      <c r="L9" s="16">
        <v>14</v>
      </c>
      <c r="M9" s="19">
        <f t="shared" si="6"/>
        <v>0.2857142857142857</v>
      </c>
      <c r="N9" s="16">
        <v>20</v>
      </c>
      <c r="O9" s="20">
        <f t="shared" ref="O9:P9" si="17">D9/7</f>
        <v>0.5714285714285714</v>
      </c>
      <c r="P9" s="20">
        <f t="shared" si="17"/>
        <v>0</v>
      </c>
      <c r="Q9" s="16">
        <f t="shared" si="8"/>
        <v>35</v>
      </c>
      <c r="R9" s="16"/>
      <c r="S9" s="21">
        <v>6.7333333333333298</v>
      </c>
      <c r="T9" s="14">
        <v>620</v>
      </c>
      <c r="U9" s="22">
        <v>60</v>
      </c>
      <c r="V9" s="23" t="s">
        <v>618</v>
      </c>
      <c r="W9" s="14">
        <v>0</v>
      </c>
      <c r="X9" s="24">
        <f t="shared" si="9"/>
        <v>0</v>
      </c>
      <c r="Y9" s="25">
        <f t="shared" si="10"/>
        <v>0</v>
      </c>
      <c r="Z9" s="14">
        <v>0</v>
      </c>
      <c r="AA9" s="14" t="s">
        <v>35</v>
      </c>
      <c r="AB9" s="27">
        <f t="shared" si="11"/>
        <v>-0.69</v>
      </c>
      <c r="AC9" s="28">
        <v>4.7565972222222232E-2</v>
      </c>
      <c r="AD9" s="25">
        <f t="shared" si="12"/>
        <v>-0.26256416666666671</v>
      </c>
      <c r="AE9" s="25">
        <v>-4.9000000000000004</v>
      </c>
      <c r="AF9" s="25">
        <v>-4.0385128205128202</v>
      </c>
      <c r="AG9" s="25">
        <v>0</v>
      </c>
    </row>
    <row r="10" spans="1:33" ht="15.75" customHeight="1">
      <c r="A10" s="14" t="s">
        <v>192</v>
      </c>
      <c r="B10" s="14" t="s">
        <v>343</v>
      </c>
      <c r="C10" s="15" t="str">
        <f t="shared" si="4"/>
        <v xml:space="preserve"> - </v>
      </c>
      <c r="D10" s="16">
        <v>0</v>
      </c>
      <c r="E10" s="16">
        <v>0</v>
      </c>
      <c r="F10" s="29">
        <v>0</v>
      </c>
      <c r="G10" s="29">
        <v>0</v>
      </c>
      <c r="H10" s="18" t="e">
        <f t="shared" si="1"/>
        <v>#DIV/0!</v>
      </c>
      <c r="I10" s="18" t="e">
        <f t="shared" si="2"/>
        <v>#DIV/0!</v>
      </c>
      <c r="J10" s="17">
        <f t="shared" si="5"/>
        <v>0</v>
      </c>
      <c r="K10" s="17" t="e">
        <f t="shared" si="3"/>
        <v>#DIV/0!</v>
      </c>
      <c r="L10" s="16">
        <v>0</v>
      </c>
      <c r="M10" s="19" t="str">
        <f t="shared" si="6"/>
        <v>-</v>
      </c>
      <c r="N10" s="16">
        <v>0</v>
      </c>
      <c r="O10" s="20">
        <f t="shared" ref="O10:P10" si="18">D10/7</f>
        <v>0</v>
      </c>
      <c r="P10" s="20">
        <f t="shared" si="18"/>
        <v>0</v>
      </c>
      <c r="Q10" s="16" t="e">
        <f t="shared" si="8"/>
        <v>#DIV/0!</v>
      </c>
      <c r="R10" s="16"/>
      <c r="S10" s="21" t="e">
        <v>#N/A</v>
      </c>
      <c r="T10" s="14">
        <v>460</v>
      </c>
      <c r="U10" s="22">
        <v>60</v>
      </c>
      <c r="V10" s="23" t="s">
        <v>619</v>
      </c>
      <c r="W10" s="14">
        <v>0</v>
      </c>
      <c r="X10" s="24">
        <f t="shared" si="9"/>
        <v>0</v>
      </c>
      <c r="Y10" s="25">
        <f t="shared" si="10"/>
        <v>0</v>
      </c>
      <c r="Z10" s="14">
        <v>0</v>
      </c>
      <c r="AA10" s="14" t="e">
        <v>#N/A</v>
      </c>
      <c r="AB10" s="27" t="e">
        <f t="shared" si="11"/>
        <v>#N/A</v>
      </c>
      <c r="AC10" s="28" t="e">
        <v>#N/A</v>
      </c>
      <c r="AD10" s="25">
        <f t="shared" si="12"/>
        <v>0</v>
      </c>
      <c r="AE10" s="25">
        <v>0</v>
      </c>
      <c r="AF10" s="25">
        <v>-4.0385128205128202</v>
      </c>
      <c r="AG10" s="25">
        <v>0</v>
      </c>
    </row>
    <row r="11" spans="1:33" ht="15.75" customHeight="1">
      <c r="A11" s="14" t="s">
        <v>193</v>
      </c>
      <c r="B11" s="14"/>
      <c r="C11" s="15" t="str">
        <f t="shared" si="4"/>
        <v xml:space="preserve"> - </v>
      </c>
      <c r="D11" s="16">
        <v>0</v>
      </c>
      <c r="E11" s="16">
        <v>0</v>
      </c>
      <c r="F11" s="29">
        <v>0</v>
      </c>
      <c r="G11" s="29">
        <v>0</v>
      </c>
      <c r="H11" s="18" t="e">
        <f t="shared" si="1"/>
        <v>#DIV/0!</v>
      </c>
      <c r="I11" s="18" t="e">
        <f t="shared" si="2"/>
        <v>#DIV/0!</v>
      </c>
      <c r="J11" s="17">
        <f t="shared" si="5"/>
        <v>0</v>
      </c>
      <c r="K11" s="17" t="e">
        <f t="shared" si="3"/>
        <v>#DIV/0!</v>
      </c>
      <c r="L11" s="16">
        <v>0</v>
      </c>
      <c r="M11" s="19" t="str">
        <f t="shared" si="6"/>
        <v>-</v>
      </c>
      <c r="N11" s="16">
        <v>0</v>
      </c>
      <c r="O11" s="20">
        <f t="shared" ref="O11:P11" si="19">D11/7</f>
        <v>0</v>
      </c>
      <c r="P11" s="20">
        <f t="shared" si="19"/>
        <v>0</v>
      </c>
      <c r="Q11" s="16" t="e">
        <f t="shared" si="8"/>
        <v>#DIV/0!</v>
      </c>
      <c r="R11" s="16"/>
      <c r="S11" s="21" t="e">
        <v>#N/A</v>
      </c>
      <c r="T11" s="14">
        <v>660</v>
      </c>
      <c r="U11" s="22">
        <v>60</v>
      </c>
      <c r="V11" s="23" t="s">
        <v>620</v>
      </c>
      <c r="W11" s="14">
        <v>0</v>
      </c>
      <c r="X11" s="24">
        <f t="shared" si="9"/>
        <v>0</v>
      </c>
      <c r="Y11" s="25">
        <f t="shared" si="10"/>
        <v>0</v>
      </c>
      <c r="Z11" s="14">
        <v>0</v>
      </c>
      <c r="AA11" s="14" t="e">
        <v>#N/A</v>
      </c>
      <c r="AB11" s="27" t="e">
        <f t="shared" si="11"/>
        <v>#N/A</v>
      </c>
      <c r="AC11" s="28" t="e">
        <v>#N/A</v>
      </c>
      <c r="AD11" s="25">
        <f t="shared" si="12"/>
        <v>0</v>
      </c>
      <c r="AE11" s="25">
        <v>0</v>
      </c>
      <c r="AF11" s="25">
        <v>-4.0385128205128202</v>
      </c>
      <c r="AG11" s="25">
        <v>0</v>
      </c>
    </row>
    <row r="12" spans="1:33" ht="15.75" customHeight="1">
      <c r="A12" s="14" t="s">
        <v>195</v>
      </c>
      <c r="B12" s="14"/>
      <c r="C12" s="15" t="str">
        <f t="shared" si="4"/>
        <v xml:space="preserve"> - </v>
      </c>
      <c r="D12" s="16">
        <v>0</v>
      </c>
      <c r="E12" s="16">
        <v>0</v>
      </c>
      <c r="F12" s="29">
        <v>0</v>
      </c>
      <c r="G12" s="29">
        <v>0</v>
      </c>
      <c r="H12" s="18" t="e">
        <f t="shared" si="1"/>
        <v>#DIV/0!</v>
      </c>
      <c r="I12" s="18" t="e">
        <f t="shared" si="2"/>
        <v>#DIV/0!</v>
      </c>
      <c r="J12" s="17">
        <f t="shared" si="5"/>
        <v>0</v>
      </c>
      <c r="K12" s="17" t="e">
        <f t="shared" si="3"/>
        <v>#DIV/0!</v>
      </c>
      <c r="L12" s="16">
        <v>0</v>
      </c>
      <c r="M12" s="19" t="str">
        <f t="shared" si="6"/>
        <v>-</v>
      </c>
      <c r="N12" s="16">
        <v>0</v>
      </c>
      <c r="O12" s="20">
        <f t="shared" ref="O12:P12" si="20">D12/7</f>
        <v>0</v>
      </c>
      <c r="P12" s="20">
        <f t="shared" si="20"/>
        <v>0</v>
      </c>
      <c r="Q12" s="16" t="e">
        <f t="shared" si="8"/>
        <v>#DIV/0!</v>
      </c>
      <c r="R12" s="16"/>
      <c r="S12" s="21" t="e">
        <v>#N/A</v>
      </c>
      <c r="T12" s="14">
        <v>600</v>
      </c>
      <c r="U12" s="22">
        <v>40</v>
      </c>
      <c r="V12" s="23" t="s">
        <v>621</v>
      </c>
      <c r="W12" s="14">
        <v>0</v>
      </c>
      <c r="X12" s="24">
        <f t="shared" si="9"/>
        <v>0</v>
      </c>
      <c r="Y12" s="25">
        <f t="shared" si="10"/>
        <v>0</v>
      </c>
      <c r="Z12" s="14">
        <v>0</v>
      </c>
      <c r="AA12" s="14" t="e">
        <v>#N/A</v>
      </c>
      <c r="AB12" s="27" t="e">
        <f t="shared" si="11"/>
        <v>#N/A</v>
      </c>
      <c r="AC12" s="28" t="e">
        <v>#N/A</v>
      </c>
      <c r="AD12" s="25">
        <f t="shared" si="12"/>
        <v>0</v>
      </c>
      <c r="AE12" s="25">
        <v>0</v>
      </c>
      <c r="AF12" s="25">
        <v>-4.0385128205128202</v>
      </c>
      <c r="AG12" s="25">
        <v>0</v>
      </c>
    </row>
    <row r="13" spans="1:33" ht="15.75" customHeight="1">
      <c r="A13" s="14" t="s">
        <v>197</v>
      </c>
      <c r="B13" s="14" t="s">
        <v>622</v>
      </c>
      <c r="C13" s="15" t="str">
        <f t="shared" si="4"/>
        <v xml:space="preserve"> - </v>
      </c>
      <c r="D13" s="16">
        <v>0</v>
      </c>
      <c r="E13" s="16">
        <v>0</v>
      </c>
      <c r="F13" s="17">
        <v>0</v>
      </c>
      <c r="G13" s="29">
        <v>0</v>
      </c>
      <c r="H13" s="18" t="e">
        <f t="shared" si="1"/>
        <v>#DIV/0!</v>
      </c>
      <c r="I13" s="18" t="e">
        <f t="shared" si="2"/>
        <v>#DIV/0!</v>
      </c>
      <c r="J13" s="17">
        <f t="shared" si="5"/>
        <v>0</v>
      </c>
      <c r="K13" s="17" t="e">
        <f t="shared" si="3"/>
        <v>#DIV/0!</v>
      </c>
      <c r="L13" s="16">
        <v>0</v>
      </c>
      <c r="M13" s="19" t="str">
        <f t="shared" si="6"/>
        <v>-</v>
      </c>
      <c r="N13" s="16">
        <v>52</v>
      </c>
      <c r="O13" s="20">
        <f t="shared" ref="O13:P13" si="21">D13/7</f>
        <v>0</v>
      </c>
      <c r="P13" s="20">
        <f t="shared" si="21"/>
        <v>0</v>
      </c>
      <c r="Q13" s="16" t="e">
        <f t="shared" si="8"/>
        <v>#DIV/0!</v>
      </c>
      <c r="R13" s="16"/>
      <c r="S13" s="21">
        <v>2.5329153605015602</v>
      </c>
      <c r="T13" s="14">
        <v>600</v>
      </c>
      <c r="U13" s="22">
        <v>40</v>
      </c>
      <c r="V13" s="23" t="s">
        <v>623</v>
      </c>
      <c r="W13" s="14">
        <v>0</v>
      </c>
      <c r="X13" s="24">
        <f t="shared" si="9"/>
        <v>0</v>
      </c>
      <c r="Y13" s="25">
        <f t="shared" si="10"/>
        <v>0</v>
      </c>
      <c r="Z13" s="14">
        <v>0</v>
      </c>
      <c r="AA13" s="14" t="e">
        <v>#N/A</v>
      </c>
      <c r="AB13" s="27" t="e">
        <f t="shared" si="11"/>
        <v>#N/A</v>
      </c>
      <c r="AC13" s="28" t="e">
        <v>#N/A</v>
      </c>
      <c r="AD13" s="25">
        <f t="shared" si="12"/>
        <v>0</v>
      </c>
      <c r="AE13" s="25">
        <v>0</v>
      </c>
      <c r="AF13" s="25">
        <v>-4.0780000000000003</v>
      </c>
      <c r="AG13" s="25">
        <v>0</v>
      </c>
    </row>
    <row r="14" spans="1:33" ht="15.75" customHeight="1">
      <c r="A14" s="14" t="s">
        <v>32</v>
      </c>
      <c r="B14" s="14" t="s">
        <v>624</v>
      </c>
      <c r="C14" s="15">
        <f t="shared" si="4"/>
        <v>14.990000000000004</v>
      </c>
      <c r="D14" s="16">
        <v>43</v>
      </c>
      <c r="E14" s="16">
        <v>0</v>
      </c>
      <c r="F14" s="17">
        <v>644.57000000000016</v>
      </c>
      <c r="G14" s="29">
        <v>-0.08</v>
      </c>
      <c r="H14" s="18">
        <f t="shared" si="1"/>
        <v>1.2411375025210601E-4</v>
      </c>
      <c r="I14" s="18">
        <f t="shared" si="2"/>
        <v>0.24656427573162465</v>
      </c>
      <c r="J14" s="17">
        <f t="shared" si="5"/>
        <v>158.92793520833334</v>
      </c>
      <c r="K14" s="17">
        <f t="shared" si="3"/>
        <v>3.6959984932170542</v>
      </c>
      <c r="L14" s="16">
        <v>58</v>
      </c>
      <c r="M14" s="19">
        <f t="shared" si="6"/>
        <v>0.74137931034482762</v>
      </c>
      <c r="N14" s="16">
        <v>12</v>
      </c>
      <c r="O14" s="20">
        <f t="shared" ref="O14:P14" si="22">D14/7</f>
        <v>6.1428571428571432</v>
      </c>
      <c r="P14" s="20">
        <f t="shared" si="22"/>
        <v>0</v>
      </c>
      <c r="Q14" s="16">
        <f t="shared" si="8"/>
        <v>1</v>
      </c>
      <c r="R14" s="16"/>
      <c r="S14" s="21">
        <v>13.235294117646999</v>
      </c>
      <c r="T14" s="14">
        <v>500</v>
      </c>
      <c r="U14" s="22">
        <v>40</v>
      </c>
      <c r="V14" s="23" t="s">
        <v>623</v>
      </c>
      <c r="W14" s="14">
        <v>0</v>
      </c>
      <c r="X14" s="24">
        <f t="shared" si="9"/>
        <v>0</v>
      </c>
      <c r="Y14" s="25">
        <f t="shared" si="10"/>
        <v>0</v>
      </c>
      <c r="Z14" s="14">
        <v>0</v>
      </c>
      <c r="AA14" s="14" t="s">
        <v>35</v>
      </c>
      <c r="AB14" s="27">
        <f t="shared" si="11"/>
        <v>-0.69</v>
      </c>
      <c r="AC14" s="28">
        <v>4.7565972222222232E-2</v>
      </c>
      <c r="AD14" s="25">
        <f t="shared" si="12"/>
        <v>-2.8225647916666672</v>
      </c>
      <c r="AE14" s="25">
        <v>-4.9000000000000004</v>
      </c>
      <c r="AF14" s="25">
        <v>-4.0780000000000003</v>
      </c>
      <c r="AG14" s="25">
        <v>0</v>
      </c>
    </row>
    <row r="15" spans="1:33" ht="15.75" customHeight="1">
      <c r="A15" s="14" t="s">
        <v>36</v>
      </c>
      <c r="B15" s="14" t="s">
        <v>45</v>
      </c>
      <c r="C15" s="15">
        <f t="shared" si="4"/>
        <v>15.878888888888888</v>
      </c>
      <c r="D15" s="16">
        <v>9</v>
      </c>
      <c r="E15" s="16">
        <v>0</v>
      </c>
      <c r="F15" s="17">
        <v>142.91</v>
      </c>
      <c r="G15" s="29">
        <v>0</v>
      </c>
      <c r="H15" s="18">
        <f t="shared" si="1"/>
        <v>0</v>
      </c>
      <c r="I15" s="18">
        <f t="shared" si="2"/>
        <v>0.25904926614652568</v>
      </c>
      <c r="J15" s="17">
        <f t="shared" si="5"/>
        <v>37.020730624999985</v>
      </c>
      <c r="K15" s="17">
        <f t="shared" si="3"/>
        <v>4.1134145138888876</v>
      </c>
      <c r="L15" s="16">
        <v>17</v>
      </c>
      <c r="M15" s="19">
        <f t="shared" si="6"/>
        <v>0.52941176470588236</v>
      </c>
      <c r="N15" s="16">
        <v>6</v>
      </c>
      <c r="O15" s="20">
        <f t="shared" ref="O15:P15" si="23">D15/7</f>
        <v>1.2857142857142858</v>
      </c>
      <c r="P15" s="20">
        <f t="shared" si="23"/>
        <v>0</v>
      </c>
      <c r="Q15" s="16">
        <f t="shared" si="8"/>
        <v>4</v>
      </c>
      <c r="R15" s="16"/>
      <c r="S15" s="21">
        <v>97.6</v>
      </c>
      <c r="T15" s="14">
        <v>500</v>
      </c>
      <c r="U15" s="22">
        <v>40</v>
      </c>
      <c r="V15" s="23" t="s">
        <v>623</v>
      </c>
      <c r="W15" s="14">
        <v>0</v>
      </c>
      <c r="X15" s="24">
        <f t="shared" si="9"/>
        <v>0</v>
      </c>
      <c r="Y15" s="25">
        <f t="shared" si="10"/>
        <v>0</v>
      </c>
      <c r="Z15" s="14">
        <v>0</v>
      </c>
      <c r="AA15" s="14" t="s">
        <v>35</v>
      </c>
      <c r="AB15" s="27">
        <f t="shared" si="11"/>
        <v>-0.69</v>
      </c>
      <c r="AC15" s="28">
        <v>4.7565972222222232E-2</v>
      </c>
      <c r="AD15" s="25">
        <f t="shared" si="12"/>
        <v>-0.59076937500000004</v>
      </c>
      <c r="AE15" s="25">
        <v>-4.9000000000000004</v>
      </c>
      <c r="AF15" s="25">
        <v>-4.4180000000000001</v>
      </c>
      <c r="AG15" s="25">
        <v>0</v>
      </c>
    </row>
    <row r="16" spans="1:33" ht="15.75" customHeight="1">
      <c r="A16" s="14" t="s">
        <v>38</v>
      </c>
      <c r="B16" s="14" t="s">
        <v>45</v>
      </c>
      <c r="C16" s="15">
        <f t="shared" si="4"/>
        <v>15.99</v>
      </c>
      <c r="D16" s="16">
        <v>1</v>
      </c>
      <c r="E16" s="16">
        <v>0</v>
      </c>
      <c r="F16" s="17">
        <v>15.99</v>
      </c>
      <c r="G16" s="29">
        <v>0</v>
      </c>
      <c r="H16" s="18">
        <f t="shared" si="1"/>
        <v>0</v>
      </c>
      <c r="I16" s="18">
        <f t="shared" si="2"/>
        <v>0.2631556571815718</v>
      </c>
      <c r="J16" s="17">
        <f t="shared" si="5"/>
        <v>4.2078589583333335</v>
      </c>
      <c r="K16" s="17">
        <f t="shared" si="3"/>
        <v>4.2078589583333335</v>
      </c>
      <c r="L16" s="16">
        <v>0</v>
      </c>
      <c r="M16" s="19" t="str">
        <f t="shared" si="6"/>
        <v>-</v>
      </c>
      <c r="N16" s="16">
        <v>1</v>
      </c>
      <c r="O16" s="20">
        <f t="shared" ref="O16:P16" si="24">D16/7</f>
        <v>0.14285714285714285</v>
      </c>
      <c r="P16" s="20">
        <f t="shared" si="24"/>
        <v>0</v>
      </c>
      <c r="Q16" s="16">
        <f t="shared" si="8"/>
        <v>7</v>
      </c>
      <c r="R16" s="16"/>
      <c r="S16" s="21">
        <v>5.0980392156862697</v>
      </c>
      <c r="T16" s="14">
        <v>500</v>
      </c>
      <c r="U16" s="22">
        <v>40</v>
      </c>
      <c r="V16" s="23" t="s">
        <v>625</v>
      </c>
      <c r="W16" s="14">
        <v>0</v>
      </c>
      <c r="X16" s="24">
        <f t="shared" si="9"/>
        <v>0</v>
      </c>
      <c r="Y16" s="25">
        <f t="shared" si="10"/>
        <v>0</v>
      </c>
      <c r="Z16" s="14">
        <v>0</v>
      </c>
      <c r="AA16" s="14" t="s">
        <v>35</v>
      </c>
      <c r="AB16" s="27">
        <f t="shared" si="11"/>
        <v>-0.69</v>
      </c>
      <c r="AC16" s="28">
        <v>4.7565972222222232E-2</v>
      </c>
      <c r="AD16" s="25">
        <f t="shared" si="12"/>
        <v>-6.5641041666666677E-2</v>
      </c>
      <c r="AE16" s="25">
        <v>-4.9000000000000004</v>
      </c>
      <c r="AF16" s="25">
        <v>-4.4180000000000001</v>
      </c>
      <c r="AG16" s="25">
        <v>0</v>
      </c>
    </row>
    <row r="17" spans="1:33" ht="15.75" customHeight="1">
      <c r="A17" s="14" t="s">
        <v>40</v>
      </c>
      <c r="B17" s="14" t="s">
        <v>45</v>
      </c>
      <c r="C17" s="15" t="str">
        <f t="shared" si="4"/>
        <v xml:space="preserve"> - </v>
      </c>
      <c r="D17" s="16">
        <v>0</v>
      </c>
      <c r="E17" s="16">
        <v>0</v>
      </c>
      <c r="F17" s="17">
        <v>0</v>
      </c>
      <c r="G17" s="29">
        <v>0</v>
      </c>
      <c r="H17" s="18" t="e">
        <f t="shared" si="1"/>
        <v>#DIV/0!</v>
      </c>
      <c r="I17" s="18" t="e">
        <f t="shared" si="2"/>
        <v>#DIV/0!</v>
      </c>
      <c r="J17" s="17">
        <f t="shared" si="5"/>
        <v>0</v>
      </c>
      <c r="K17" s="17" t="e">
        <f t="shared" si="3"/>
        <v>#DIV/0!</v>
      </c>
      <c r="L17" s="16">
        <v>0</v>
      </c>
      <c r="M17" s="19" t="str">
        <f t="shared" si="6"/>
        <v>-</v>
      </c>
      <c r="N17" s="16">
        <v>0</v>
      </c>
      <c r="O17" s="20">
        <f t="shared" ref="O17:P17" si="25">D17/7</f>
        <v>0</v>
      </c>
      <c r="P17" s="20">
        <f t="shared" si="25"/>
        <v>0</v>
      </c>
      <c r="Q17" s="16" t="e">
        <f t="shared" si="8"/>
        <v>#DIV/0!</v>
      </c>
      <c r="R17" s="16"/>
      <c r="S17" s="21" t="e">
        <v>#N/A</v>
      </c>
      <c r="T17" s="14">
        <v>500</v>
      </c>
      <c r="U17" s="22">
        <v>40</v>
      </c>
      <c r="V17" s="23" t="s">
        <v>626</v>
      </c>
      <c r="W17" s="14">
        <v>0</v>
      </c>
      <c r="X17" s="24">
        <f t="shared" si="9"/>
        <v>0</v>
      </c>
      <c r="Y17" s="25">
        <f t="shared" si="10"/>
        <v>0</v>
      </c>
      <c r="Z17" s="14">
        <v>0</v>
      </c>
      <c r="AA17" s="14" t="e">
        <v>#N/A</v>
      </c>
      <c r="AB17" s="27" t="e">
        <f t="shared" si="11"/>
        <v>#N/A</v>
      </c>
      <c r="AC17" s="28" t="e">
        <v>#N/A</v>
      </c>
      <c r="AD17" s="25">
        <f t="shared" si="12"/>
        <v>0</v>
      </c>
      <c r="AE17" s="25">
        <v>0</v>
      </c>
      <c r="AF17" s="25">
        <v>-4.4180000000000001</v>
      </c>
      <c r="AG17" s="25">
        <v>0</v>
      </c>
    </row>
    <row r="18" spans="1:33" ht="15.75" customHeight="1">
      <c r="A18" s="14" t="s">
        <v>42</v>
      </c>
      <c r="B18" s="14"/>
      <c r="C18" s="15" t="str">
        <f t="shared" si="4"/>
        <v xml:space="preserve"> - </v>
      </c>
      <c r="D18" s="16">
        <v>0</v>
      </c>
      <c r="E18" s="16">
        <v>0</v>
      </c>
      <c r="F18" s="17">
        <v>0</v>
      </c>
      <c r="G18" s="29">
        <v>0</v>
      </c>
      <c r="H18" s="18" t="e">
        <f t="shared" si="1"/>
        <v>#DIV/0!</v>
      </c>
      <c r="I18" s="18" t="e">
        <f t="shared" si="2"/>
        <v>#DIV/0!</v>
      </c>
      <c r="J18" s="17">
        <f t="shared" si="5"/>
        <v>0</v>
      </c>
      <c r="K18" s="17" t="e">
        <f t="shared" si="3"/>
        <v>#DIV/0!</v>
      </c>
      <c r="L18" s="16">
        <v>0</v>
      </c>
      <c r="M18" s="19" t="str">
        <f t="shared" si="6"/>
        <v>-</v>
      </c>
      <c r="N18" s="16">
        <v>0</v>
      </c>
      <c r="O18" s="20">
        <f t="shared" ref="O18:P18" si="26">D18/7</f>
        <v>0</v>
      </c>
      <c r="P18" s="20">
        <f t="shared" si="26"/>
        <v>0</v>
      </c>
      <c r="Q18" s="16" t="e">
        <f t="shared" si="8"/>
        <v>#DIV/0!</v>
      </c>
      <c r="R18" s="16"/>
      <c r="S18" s="21" t="e">
        <v>#N/A</v>
      </c>
      <c r="T18" s="14">
        <v>300</v>
      </c>
      <c r="U18" s="22">
        <v>0</v>
      </c>
      <c r="V18" s="23" t="s">
        <v>201</v>
      </c>
      <c r="W18" s="14">
        <v>0</v>
      </c>
      <c r="X18" s="24">
        <f t="shared" si="9"/>
        <v>0</v>
      </c>
      <c r="Y18" s="25">
        <f t="shared" si="10"/>
        <v>0</v>
      </c>
      <c r="Z18" s="14">
        <v>0</v>
      </c>
      <c r="AA18" s="14" t="e">
        <v>#N/A</v>
      </c>
      <c r="AB18" s="27" t="e">
        <f t="shared" si="11"/>
        <v>#N/A</v>
      </c>
      <c r="AC18" s="28" t="e">
        <v>#N/A</v>
      </c>
      <c r="AD18" s="25">
        <f t="shared" si="12"/>
        <v>0</v>
      </c>
      <c r="AE18" s="25">
        <v>0</v>
      </c>
      <c r="AF18" s="25">
        <v>-4.4180000000000001</v>
      </c>
      <c r="AG18" s="25">
        <v>0</v>
      </c>
    </row>
    <row r="19" spans="1:33" ht="15.75" customHeight="1">
      <c r="A19" s="14" t="s">
        <v>44</v>
      </c>
      <c r="B19" s="14" t="s">
        <v>627</v>
      </c>
      <c r="C19" s="15">
        <f t="shared" si="4"/>
        <v>15.99</v>
      </c>
      <c r="D19" s="16">
        <v>13</v>
      </c>
      <c r="E19" s="16">
        <v>0</v>
      </c>
      <c r="F19" s="17">
        <v>207.87</v>
      </c>
      <c r="G19" s="29">
        <v>0</v>
      </c>
      <c r="H19" s="18">
        <f t="shared" si="1"/>
        <v>0</v>
      </c>
      <c r="I19" s="18">
        <f t="shared" si="2"/>
        <v>0.25030387481759436</v>
      </c>
      <c r="J19" s="17">
        <f t="shared" si="5"/>
        <v>52.030666458333336</v>
      </c>
      <c r="K19" s="17">
        <f t="shared" si="3"/>
        <v>4.0023589583333337</v>
      </c>
      <c r="L19" s="16">
        <v>23</v>
      </c>
      <c r="M19" s="19">
        <f t="shared" si="6"/>
        <v>0.56521739130434778</v>
      </c>
      <c r="N19" s="16">
        <v>138</v>
      </c>
      <c r="O19" s="20">
        <f t="shared" ref="O19:P19" si="27">D19/7</f>
        <v>1.8571428571428572</v>
      </c>
      <c r="P19" s="20">
        <f t="shared" si="27"/>
        <v>0</v>
      </c>
      <c r="Q19" s="16">
        <f t="shared" si="8"/>
        <v>74</v>
      </c>
      <c r="R19" s="16"/>
      <c r="S19" s="21">
        <v>6.1754385964912197</v>
      </c>
      <c r="T19" s="14">
        <v>300</v>
      </c>
      <c r="U19" s="22">
        <v>100</v>
      </c>
      <c r="V19" s="23" t="s">
        <v>628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14" t="s">
        <v>35</v>
      </c>
      <c r="AB19" s="27">
        <f t="shared" si="11"/>
        <v>-0.69</v>
      </c>
      <c r="AC19" s="28">
        <v>4.7565972222222232E-2</v>
      </c>
      <c r="AD19" s="25">
        <f t="shared" si="12"/>
        <v>-0.85333354166666675</v>
      </c>
      <c r="AE19" s="25">
        <v>-4.9000000000000004</v>
      </c>
      <c r="AF19" s="25">
        <v>-4.6234999999999999</v>
      </c>
      <c r="AG19" s="25">
        <v>0</v>
      </c>
    </row>
    <row r="20" spans="1:33" ht="15.75" customHeight="1">
      <c r="A20" s="14" t="s">
        <v>46</v>
      </c>
      <c r="B20" s="14" t="s">
        <v>629</v>
      </c>
      <c r="C20" s="15">
        <f t="shared" si="4"/>
        <v>17.06527777777778</v>
      </c>
      <c r="D20" s="16">
        <v>36</v>
      </c>
      <c r="E20" s="16">
        <v>7</v>
      </c>
      <c r="F20" s="17">
        <v>614.35000000000014</v>
      </c>
      <c r="G20" s="29">
        <v>0</v>
      </c>
      <c r="H20" s="18">
        <f t="shared" si="1"/>
        <v>0</v>
      </c>
      <c r="I20" s="18">
        <f t="shared" si="2"/>
        <v>0.2880905387808253</v>
      </c>
      <c r="J20" s="17">
        <f t="shared" si="5"/>
        <v>176.98842250000007</v>
      </c>
      <c r="K20" s="17">
        <f t="shared" si="3"/>
        <v>4.9163450694444464</v>
      </c>
      <c r="L20" s="16">
        <v>54</v>
      </c>
      <c r="M20" s="19">
        <f t="shared" si="6"/>
        <v>0.66666666666666663</v>
      </c>
      <c r="N20" s="16">
        <v>91</v>
      </c>
      <c r="O20" s="20">
        <f t="shared" ref="O20:P20" si="28">D20/7</f>
        <v>5.1428571428571432</v>
      </c>
      <c r="P20" s="20">
        <f t="shared" si="28"/>
        <v>1</v>
      </c>
      <c r="Q20" s="16">
        <f t="shared" si="8"/>
        <v>14</v>
      </c>
      <c r="R20" s="16"/>
      <c r="S20" s="21">
        <v>3.81102362204724</v>
      </c>
      <c r="T20" s="14">
        <v>300</v>
      </c>
      <c r="U20" s="22">
        <v>200</v>
      </c>
      <c r="V20" s="23" t="s">
        <v>630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14" t="s">
        <v>35</v>
      </c>
      <c r="AB20" s="27">
        <f t="shared" si="11"/>
        <v>-0.69</v>
      </c>
      <c r="AC20" s="28">
        <v>4.7565972222222232E-2</v>
      </c>
      <c r="AD20" s="25">
        <f t="shared" si="12"/>
        <v>-2.3630775000000002</v>
      </c>
      <c r="AE20" s="25">
        <v>-4.9000000000000004</v>
      </c>
      <c r="AF20" s="25">
        <v>-4.6234999999999999</v>
      </c>
      <c r="AG20" s="25">
        <v>0</v>
      </c>
    </row>
    <row r="21" spans="1:33" ht="15.75" customHeight="1">
      <c r="A21" s="14" t="s">
        <v>47</v>
      </c>
      <c r="B21" s="14" t="s">
        <v>631</v>
      </c>
      <c r="C21" s="15">
        <f t="shared" si="4"/>
        <v>19.012954545454548</v>
      </c>
      <c r="D21" s="16">
        <v>44</v>
      </c>
      <c r="E21" s="16">
        <v>5</v>
      </c>
      <c r="F21" s="17">
        <v>836.57</v>
      </c>
      <c r="G21" s="29">
        <v>0</v>
      </c>
      <c r="H21" s="18">
        <f t="shared" si="1"/>
        <v>0</v>
      </c>
      <c r="I21" s="18">
        <f t="shared" si="2"/>
        <v>0.34565223970100134</v>
      </c>
      <c r="J21" s="17">
        <f t="shared" si="5"/>
        <v>289.1622941666667</v>
      </c>
      <c r="K21" s="17">
        <f t="shared" si="3"/>
        <v>6.5718703219696977</v>
      </c>
      <c r="L21" s="16">
        <v>35</v>
      </c>
      <c r="M21" s="19">
        <f t="shared" si="6"/>
        <v>1.2571428571428571</v>
      </c>
      <c r="N21" s="16">
        <v>67</v>
      </c>
      <c r="O21" s="20">
        <f t="shared" ref="O21:P21" si="29">D21/7</f>
        <v>6.2857142857142856</v>
      </c>
      <c r="P21" s="20">
        <f t="shared" si="29"/>
        <v>0.7142857142857143</v>
      </c>
      <c r="Q21" s="16">
        <f t="shared" si="8"/>
        <v>9</v>
      </c>
      <c r="R21" s="16"/>
      <c r="S21" s="21">
        <v>3.28042328042328</v>
      </c>
      <c r="T21" s="14">
        <v>300</v>
      </c>
      <c r="U21" s="22">
        <v>200</v>
      </c>
      <c r="V21" s="23" t="s">
        <v>632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14" t="s">
        <v>35</v>
      </c>
      <c r="AB21" s="27">
        <f t="shared" si="11"/>
        <v>-0.69</v>
      </c>
      <c r="AC21" s="28">
        <v>4.7565972222222232E-2</v>
      </c>
      <c r="AD21" s="25">
        <f t="shared" si="12"/>
        <v>-2.888205833333334</v>
      </c>
      <c r="AE21" s="25">
        <v>-4.9000000000000004</v>
      </c>
      <c r="AF21" s="25">
        <v>-4.6234999999999999</v>
      </c>
      <c r="AG21" s="25">
        <v>0</v>
      </c>
    </row>
    <row r="22" spans="1:33" ht="15.75" customHeight="1">
      <c r="A22" s="14" t="s">
        <v>48</v>
      </c>
      <c r="B22" s="14" t="s">
        <v>633</v>
      </c>
      <c r="C22" s="15">
        <f t="shared" si="4"/>
        <v>21.801000000000009</v>
      </c>
      <c r="D22" s="16">
        <v>50</v>
      </c>
      <c r="E22" s="16">
        <v>0</v>
      </c>
      <c r="F22" s="29">
        <v>1090.0500000000004</v>
      </c>
      <c r="G22" s="29">
        <v>0</v>
      </c>
      <c r="H22" s="18">
        <f t="shared" si="1"/>
        <v>0</v>
      </c>
      <c r="I22" s="18">
        <f t="shared" si="2"/>
        <v>0.41015132142256483</v>
      </c>
      <c r="J22" s="17">
        <f t="shared" si="5"/>
        <v>447.08544791666696</v>
      </c>
      <c r="K22" s="17">
        <f t="shared" si="3"/>
        <v>8.94170895833334</v>
      </c>
      <c r="L22" s="16">
        <v>72</v>
      </c>
      <c r="M22" s="19">
        <f t="shared" si="6"/>
        <v>0.69444444444444442</v>
      </c>
      <c r="N22" s="16">
        <v>59</v>
      </c>
      <c r="O22" s="20">
        <f t="shared" ref="O22:P22" si="30">D22/7</f>
        <v>7.1428571428571432</v>
      </c>
      <c r="P22" s="20">
        <f t="shared" si="30"/>
        <v>0</v>
      </c>
      <c r="Q22" s="16">
        <f t="shared" si="8"/>
        <v>8</v>
      </c>
      <c r="R22" s="16"/>
      <c r="S22" s="21">
        <v>5.6619718309859097</v>
      </c>
      <c r="T22" s="14">
        <v>360</v>
      </c>
      <c r="U22" s="22">
        <v>200</v>
      </c>
      <c r="V22" s="23" t="s">
        <v>634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35</v>
      </c>
      <c r="AB22" s="27">
        <f t="shared" si="11"/>
        <v>-0.69</v>
      </c>
      <c r="AC22" s="28">
        <v>4.7565972222222232E-2</v>
      </c>
      <c r="AD22" s="25">
        <f t="shared" si="12"/>
        <v>-3.2820520833333338</v>
      </c>
      <c r="AE22" s="25">
        <v>-4.9000000000000004</v>
      </c>
      <c r="AF22" s="25">
        <v>-4.6234999999999999</v>
      </c>
      <c r="AG22" s="25">
        <v>0</v>
      </c>
    </row>
    <row r="23" spans="1:33" ht="15.75" customHeight="1">
      <c r="A23" s="14" t="s">
        <v>49</v>
      </c>
      <c r="B23" s="14" t="s">
        <v>68</v>
      </c>
      <c r="C23" s="15">
        <f t="shared" si="4"/>
        <v>24.266585365853658</v>
      </c>
      <c r="D23" s="16">
        <v>41</v>
      </c>
      <c r="E23" s="16">
        <v>4</v>
      </c>
      <c r="F23" s="17">
        <v>994.93</v>
      </c>
      <c r="G23" s="29">
        <v>0</v>
      </c>
      <c r="H23" s="18">
        <f t="shared" si="1"/>
        <v>0</v>
      </c>
      <c r="I23" s="18">
        <f t="shared" si="2"/>
        <v>0.45484176504042156</v>
      </c>
      <c r="J23" s="17">
        <f t="shared" si="5"/>
        <v>452.53571729166663</v>
      </c>
      <c r="K23" s="17">
        <f t="shared" si="3"/>
        <v>11.037456519308941</v>
      </c>
      <c r="L23" s="16">
        <v>58</v>
      </c>
      <c r="M23" s="19">
        <f t="shared" si="6"/>
        <v>0.7068965517241379</v>
      </c>
      <c r="N23" s="16">
        <v>18</v>
      </c>
      <c r="O23" s="20">
        <f t="shared" ref="O23:P23" si="31">D23/7</f>
        <v>5.8571428571428568</v>
      </c>
      <c r="P23" s="20">
        <f t="shared" si="31"/>
        <v>0.5714285714285714</v>
      </c>
      <c r="Q23" s="16">
        <f t="shared" si="8"/>
        <v>2</v>
      </c>
      <c r="R23" s="16"/>
      <c r="S23" s="21">
        <v>14.484848484848399</v>
      </c>
      <c r="T23" s="14">
        <v>800</v>
      </c>
      <c r="U23" s="22">
        <v>200</v>
      </c>
      <c r="V23" s="23" t="s">
        <v>634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35</v>
      </c>
      <c r="AB23" s="27">
        <f t="shared" si="11"/>
        <v>-0.69</v>
      </c>
      <c r="AC23" s="28">
        <v>4.7565972222222232E-2</v>
      </c>
      <c r="AD23" s="25">
        <f t="shared" si="12"/>
        <v>-2.6912827083333339</v>
      </c>
      <c r="AE23" s="25">
        <v>-4.9000000000000004</v>
      </c>
      <c r="AF23" s="25">
        <v>-4.6234999999999999</v>
      </c>
      <c r="AG23" s="25">
        <v>0</v>
      </c>
    </row>
    <row r="24" spans="1:33" ht="15.75" customHeight="1">
      <c r="A24" s="14" t="s">
        <v>50</v>
      </c>
      <c r="B24" s="14" t="s">
        <v>45</v>
      </c>
      <c r="C24" s="15">
        <f t="shared" si="4"/>
        <v>25.358421052631577</v>
      </c>
      <c r="D24" s="16">
        <v>19</v>
      </c>
      <c r="E24" s="16">
        <v>0</v>
      </c>
      <c r="F24" s="17">
        <v>481.80999999999995</v>
      </c>
      <c r="G24" s="17">
        <v>0</v>
      </c>
      <c r="H24" s="18">
        <f t="shared" si="1"/>
        <v>0</v>
      </c>
      <c r="I24" s="18">
        <f t="shared" si="2"/>
        <v>0.4718557526998885</v>
      </c>
      <c r="J24" s="17">
        <f t="shared" si="5"/>
        <v>227.34482020833326</v>
      </c>
      <c r="K24" s="17">
        <f t="shared" si="3"/>
        <v>11.965516853070172</v>
      </c>
      <c r="L24" s="16">
        <v>74</v>
      </c>
      <c r="M24" s="19">
        <f t="shared" si="6"/>
        <v>0.25675675675675674</v>
      </c>
      <c r="N24" s="16">
        <v>2</v>
      </c>
      <c r="O24" s="20">
        <f t="shared" ref="O24:P24" si="32">D24/7</f>
        <v>2.7142857142857144</v>
      </c>
      <c r="P24" s="20">
        <f t="shared" si="32"/>
        <v>0</v>
      </c>
      <c r="Q24" s="16">
        <f t="shared" si="8"/>
        <v>0</v>
      </c>
      <c r="R24" s="16"/>
      <c r="S24" s="21">
        <v>7.2972972972972903</v>
      </c>
      <c r="T24" s="14">
        <v>800</v>
      </c>
      <c r="U24" s="22">
        <v>200</v>
      </c>
      <c r="V24" s="23" t="s">
        <v>635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14" t="s">
        <v>35</v>
      </c>
      <c r="AB24" s="27">
        <f t="shared" si="11"/>
        <v>-0.69</v>
      </c>
      <c r="AC24" s="28">
        <v>4.7565972222222232E-2</v>
      </c>
      <c r="AD24" s="25">
        <f t="shared" si="12"/>
        <v>-1.2471797916666669</v>
      </c>
      <c r="AE24" s="25">
        <v>-4.9000000000000004</v>
      </c>
      <c r="AF24" s="25">
        <v>-4.6234999999999999</v>
      </c>
      <c r="AG24" s="25">
        <v>0</v>
      </c>
    </row>
    <row r="25" spans="1:33" ht="15.75" customHeight="1">
      <c r="A25" s="14" t="s">
        <v>51</v>
      </c>
      <c r="B25" s="14"/>
      <c r="C25" s="15">
        <f t="shared" si="4"/>
        <v>25.07</v>
      </c>
      <c r="D25" s="16">
        <v>1</v>
      </c>
      <c r="E25" s="16">
        <v>0</v>
      </c>
      <c r="F25" s="17">
        <v>25.07</v>
      </c>
      <c r="G25" s="17">
        <v>0</v>
      </c>
      <c r="H25" s="18">
        <f t="shared" si="1"/>
        <v>0</v>
      </c>
      <c r="I25" s="18">
        <f t="shared" si="2"/>
        <v>0.46764495246642729</v>
      </c>
      <c r="J25" s="17">
        <f t="shared" si="5"/>
        <v>11.723858958333333</v>
      </c>
      <c r="K25" s="17">
        <f t="shared" si="3"/>
        <v>11.723858958333333</v>
      </c>
      <c r="L25" s="16">
        <v>59</v>
      </c>
      <c r="M25" s="19">
        <f t="shared" si="6"/>
        <v>1.6949152542372881E-2</v>
      </c>
      <c r="N25" s="16">
        <v>0</v>
      </c>
      <c r="O25" s="20">
        <f t="shared" ref="O25:P25" si="33">D25/7</f>
        <v>0.14285714285714285</v>
      </c>
      <c r="P25" s="20">
        <f t="shared" si="33"/>
        <v>0</v>
      </c>
      <c r="Q25" s="16">
        <f t="shared" si="8"/>
        <v>0</v>
      </c>
      <c r="R25" s="16"/>
      <c r="S25" s="21">
        <v>0</v>
      </c>
      <c r="T25" s="14">
        <v>1200</v>
      </c>
      <c r="U25" s="22">
        <v>200</v>
      </c>
      <c r="V25" s="23" t="s">
        <v>636</v>
      </c>
      <c r="W25" s="30">
        <v>0</v>
      </c>
      <c r="X25" s="24">
        <f t="shared" si="9"/>
        <v>0</v>
      </c>
      <c r="Y25" s="25">
        <f t="shared" si="10"/>
        <v>0</v>
      </c>
      <c r="Z25" s="30">
        <v>0</v>
      </c>
      <c r="AA25" s="14" t="s">
        <v>35</v>
      </c>
      <c r="AB25" s="27">
        <f t="shared" si="11"/>
        <v>-0.69</v>
      </c>
      <c r="AC25" s="28">
        <v>4.7565972222222232E-2</v>
      </c>
      <c r="AD25" s="25">
        <f t="shared" si="12"/>
        <v>-6.5641041666666677E-2</v>
      </c>
      <c r="AE25" s="25">
        <v>-4.9000000000000004</v>
      </c>
      <c r="AF25" s="25">
        <v>-4.62</v>
      </c>
      <c r="AG25" s="25">
        <v>0</v>
      </c>
    </row>
    <row r="26" spans="1:33" ht="15.75" customHeight="1">
      <c r="A26" s="14" t="s">
        <v>52</v>
      </c>
      <c r="B26" s="14" t="s">
        <v>45</v>
      </c>
      <c r="C26" s="15">
        <f t="shared" si="4"/>
        <v>25.07</v>
      </c>
      <c r="D26" s="16">
        <v>1</v>
      </c>
      <c r="E26" s="16">
        <v>1</v>
      </c>
      <c r="F26" s="17">
        <v>25.07</v>
      </c>
      <c r="G26" s="17">
        <v>0</v>
      </c>
      <c r="H26" s="18">
        <f t="shared" si="1"/>
        <v>0</v>
      </c>
      <c r="I26" s="18">
        <f t="shared" si="2"/>
        <v>0.46750534337189203</v>
      </c>
      <c r="J26" s="17">
        <f t="shared" si="5"/>
        <v>11.720358958333334</v>
      </c>
      <c r="K26" s="17">
        <f t="shared" si="3"/>
        <v>11.720358958333334</v>
      </c>
      <c r="L26" s="16">
        <v>49</v>
      </c>
      <c r="M26" s="19">
        <f t="shared" si="6"/>
        <v>2.0408163265306121E-2</v>
      </c>
      <c r="N26" s="16">
        <v>1</v>
      </c>
      <c r="O26" s="20">
        <f t="shared" ref="O26:P26" si="34">D26/7</f>
        <v>0.14285714285714285</v>
      </c>
      <c r="P26" s="20">
        <f t="shared" si="34"/>
        <v>0.14285714285714285</v>
      </c>
      <c r="Q26" s="16">
        <f t="shared" si="8"/>
        <v>3</v>
      </c>
      <c r="R26" s="16"/>
      <c r="S26" s="21">
        <v>9.2881355932203391</v>
      </c>
      <c r="T26" s="14">
        <v>1200</v>
      </c>
      <c r="U26" s="22">
        <v>200</v>
      </c>
      <c r="V26" s="23" t="s">
        <v>637</v>
      </c>
      <c r="W26" s="30">
        <v>0</v>
      </c>
      <c r="X26" s="24">
        <f t="shared" si="9"/>
        <v>0</v>
      </c>
      <c r="Y26" s="25">
        <f t="shared" si="10"/>
        <v>0</v>
      </c>
      <c r="Z26" s="30">
        <v>0</v>
      </c>
      <c r="AA26" s="14" t="s">
        <v>35</v>
      </c>
      <c r="AB26" s="27">
        <f t="shared" si="11"/>
        <v>-0.69</v>
      </c>
      <c r="AC26" s="28">
        <v>4.7565972222222232E-2</v>
      </c>
      <c r="AD26" s="25">
        <f t="shared" si="12"/>
        <v>-6.5641041666666677E-2</v>
      </c>
      <c r="AE26" s="25">
        <v>-4.9000000000000004</v>
      </c>
      <c r="AF26" s="25">
        <v>-4.6234999999999999</v>
      </c>
      <c r="AG26" s="25">
        <v>0</v>
      </c>
    </row>
    <row r="27" spans="1:33" ht="15.75" customHeight="1">
      <c r="A27" s="14" t="s">
        <v>53</v>
      </c>
      <c r="B27" s="14" t="s">
        <v>638</v>
      </c>
      <c r="C27" s="15">
        <f t="shared" si="4"/>
        <v>25.069999999999997</v>
      </c>
      <c r="D27" s="16">
        <v>11</v>
      </c>
      <c r="E27" s="16">
        <v>0</v>
      </c>
      <c r="F27" s="17">
        <v>275.77</v>
      </c>
      <c r="G27" s="17">
        <v>0</v>
      </c>
      <c r="H27" s="18">
        <f t="shared" si="1"/>
        <v>0</v>
      </c>
      <c r="I27" s="18">
        <f t="shared" si="2"/>
        <v>0.43474108330009303</v>
      </c>
      <c r="J27" s="17">
        <f t="shared" si="5"/>
        <v>119.88854854166665</v>
      </c>
      <c r="K27" s="17">
        <f t="shared" si="3"/>
        <v>10.898958958333331</v>
      </c>
      <c r="L27" s="16">
        <v>56</v>
      </c>
      <c r="M27" s="19">
        <f t="shared" si="6"/>
        <v>0.19642857142857142</v>
      </c>
      <c r="N27" s="16">
        <v>196</v>
      </c>
      <c r="O27" s="20">
        <f t="shared" ref="O27:P27" si="35">D27/7</f>
        <v>1.5714285714285714</v>
      </c>
      <c r="P27" s="20">
        <f t="shared" si="35"/>
        <v>0</v>
      </c>
      <c r="Q27" s="16">
        <f t="shared" si="8"/>
        <v>124</v>
      </c>
      <c r="R27" s="16"/>
      <c r="S27" s="21">
        <v>3.787072243346008</v>
      </c>
      <c r="T27" s="14">
        <v>1000</v>
      </c>
      <c r="U27" s="22">
        <v>100</v>
      </c>
      <c r="V27" s="23" t="s">
        <v>639</v>
      </c>
      <c r="W27" s="30">
        <v>0</v>
      </c>
      <c r="X27" s="24">
        <f t="shared" si="9"/>
        <v>0</v>
      </c>
      <c r="Y27" s="25">
        <f t="shared" si="10"/>
        <v>0</v>
      </c>
      <c r="Z27" s="30">
        <v>0</v>
      </c>
      <c r="AA27" s="14" t="s">
        <v>35</v>
      </c>
      <c r="AB27" s="27">
        <f t="shared" si="11"/>
        <v>-0.69</v>
      </c>
      <c r="AC27" s="28">
        <v>4.7565972222222232E-2</v>
      </c>
      <c r="AD27" s="25">
        <f t="shared" si="12"/>
        <v>-0.72205145833333351</v>
      </c>
      <c r="AE27" s="25">
        <v>-4.95</v>
      </c>
      <c r="AF27" s="25">
        <v>-5.3948999999999998</v>
      </c>
      <c r="AG27" s="25">
        <v>0</v>
      </c>
    </row>
    <row r="28" spans="1:33" ht="15.75" customHeight="1">
      <c r="A28" s="14" t="s">
        <v>54</v>
      </c>
      <c r="B28" s="14" t="s">
        <v>68</v>
      </c>
      <c r="C28" s="15">
        <f t="shared" si="4"/>
        <v>22.794838709677418</v>
      </c>
      <c r="D28" s="16">
        <v>31</v>
      </c>
      <c r="E28" s="16">
        <v>1</v>
      </c>
      <c r="F28" s="17">
        <v>706.64</v>
      </c>
      <c r="G28" s="17">
        <v>0</v>
      </c>
      <c r="H28" s="18">
        <f t="shared" si="1"/>
        <v>0</v>
      </c>
      <c r="I28" s="18">
        <f t="shared" si="2"/>
        <v>0.39329393709432431</v>
      </c>
      <c r="J28" s="17">
        <f t="shared" si="5"/>
        <v>277.91722770833331</v>
      </c>
      <c r="K28" s="17">
        <f t="shared" si="3"/>
        <v>8.9650718615591387</v>
      </c>
      <c r="L28" s="16">
        <v>59</v>
      </c>
      <c r="M28" s="19">
        <f t="shared" si="6"/>
        <v>0.52542372881355937</v>
      </c>
      <c r="N28" s="16">
        <v>165</v>
      </c>
      <c r="O28" s="20">
        <f t="shared" ref="O28:P28" si="36">D28/7</f>
        <v>4.4285714285714288</v>
      </c>
      <c r="P28" s="20">
        <f t="shared" si="36"/>
        <v>0.14285714285714285</v>
      </c>
      <c r="Q28" s="16">
        <f t="shared" si="8"/>
        <v>36</v>
      </c>
      <c r="R28" s="16"/>
      <c r="S28" s="21">
        <v>3.2569659442724461</v>
      </c>
      <c r="T28" s="14">
        <v>1600</v>
      </c>
      <c r="U28" s="22">
        <v>44392</v>
      </c>
      <c r="V28" s="23" t="s">
        <v>640</v>
      </c>
      <c r="W28" s="30">
        <v>0</v>
      </c>
      <c r="X28" s="24">
        <f t="shared" si="9"/>
        <v>0</v>
      </c>
      <c r="Y28" s="25">
        <f t="shared" si="10"/>
        <v>0</v>
      </c>
      <c r="Z28" s="30">
        <v>0</v>
      </c>
      <c r="AA28" s="14" t="s">
        <v>35</v>
      </c>
      <c r="AB28" s="27">
        <f t="shared" si="11"/>
        <v>-0.69</v>
      </c>
      <c r="AC28" s="28">
        <v>4.7565972222222232E-2</v>
      </c>
      <c r="AD28" s="25">
        <f t="shared" si="12"/>
        <v>-2.0348722916666668</v>
      </c>
      <c r="AE28" s="25">
        <v>-4.95</v>
      </c>
      <c r="AF28" s="25">
        <v>-5.3948999999999998</v>
      </c>
      <c r="AG28" s="25">
        <v>0</v>
      </c>
    </row>
    <row r="29" spans="1:33" ht="15.75" customHeight="1">
      <c r="A29" s="14" t="s">
        <v>55</v>
      </c>
      <c r="B29" s="14" t="s">
        <v>641</v>
      </c>
      <c r="C29" s="15">
        <f t="shared" si="4"/>
        <v>22.388214285714284</v>
      </c>
      <c r="D29" s="16">
        <v>84</v>
      </c>
      <c r="E29" s="16">
        <v>1</v>
      </c>
      <c r="F29" s="17">
        <v>1880.61</v>
      </c>
      <c r="G29" s="17">
        <v>0</v>
      </c>
      <c r="H29" s="18">
        <f t="shared" si="1"/>
        <v>0</v>
      </c>
      <c r="I29" s="18">
        <f t="shared" si="2"/>
        <v>0.3849990441931076</v>
      </c>
      <c r="J29" s="17">
        <f t="shared" si="5"/>
        <v>724.03305250000005</v>
      </c>
      <c r="K29" s="17">
        <f t="shared" si="3"/>
        <v>8.6194411011904766</v>
      </c>
      <c r="L29" s="16">
        <v>92</v>
      </c>
      <c r="M29" s="19">
        <f t="shared" si="6"/>
        <v>0.91304347826086951</v>
      </c>
      <c r="N29" s="16">
        <v>87</v>
      </c>
      <c r="O29" s="20">
        <f t="shared" ref="O29:P29" si="37">D29/7</f>
        <v>12</v>
      </c>
      <c r="P29" s="20">
        <f t="shared" si="37"/>
        <v>0.14285714285714285</v>
      </c>
      <c r="Q29" s="16">
        <f t="shared" si="8"/>
        <v>7</v>
      </c>
      <c r="R29" s="16"/>
      <c r="S29" s="21">
        <v>6.2068965517241379</v>
      </c>
      <c r="T29" s="14">
        <v>1800</v>
      </c>
      <c r="U29" s="22">
        <v>44392</v>
      </c>
      <c r="V29" s="23" t="s">
        <v>642</v>
      </c>
      <c r="W29" s="30">
        <v>0</v>
      </c>
      <c r="X29" s="24">
        <f t="shared" si="9"/>
        <v>0</v>
      </c>
      <c r="Y29" s="25">
        <f t="shared" si="10"/>
        <v>0</v>
      </c>
      <c r="Z29" s="30">
        <v>0</v>
      </c>
      <c r="AA29" s="14" t="s">
        <v>35</v>
      </c>
      <c r="AB29" s="27">
        <f t="shared" si="11"/>
        <v>-0.69</v>
      </c>
      <c r="AC29" s="28">
        <v>4.7565972222222232E-2</v>
      </c>
      <c r="AD29" s="25">
        <f t="shared" si="12"/>
        <v>-5.5138475000000007</v>
      </c>
      <c r="AE29" s="25">
        <v>-4.95</v>
      </c>
      <c r="AF29" s="25">
        <v>-5.3948999999999998</v>
      </c>
      <c r="AG29" s="25">
        <v>0</v>
      </c>
    </row>
    <row r="30" spans="1:33" ht="15.75" customHeight="1">
      <c r="A30" s="14" t="s">
        <v>57</v>
      </c>
      <c r="B30" s="14" t="s">
        <v>45</v>
      </c>
      <c r="C30" s="15">
        <f t="shared" si="4"/>
        <v>24.706862745098043</v>
      </c>
      <c r="D30" s="16">
        <v>51</v>
      </c>
      <c r="E30" s="16">
        <v>0</v>
      </c>
      <c r="F30" s="17">
        <v>1260.0500000000002</v>
      </c>
      <c r="G30" s="17">
        <v>0</v>
      </c>
      <c r="H30" s="18">
        <f t="shared" si="1"/>
        <v>0</v>
      </c>
      <c r="I30" s="18">
        <f t="shared" si="2"/>
        <v>0.43436144663068921</v>
      </c>
      <c r="J30" s="17">
        <f t="shared" si="5"/>
        <v>547.317140827</v>
      </c>
      <c r="K30" s="17">
        <f t="shared" si="3"/>
        <v>10.731708643666666</v>
      </c>
      <c r="L30" s="16">
        <v>83</v>
      </c>
      <c r="M30" s="19">
        <f t="shared" si="6"/>
        <v>0.61445783132530118</v>
      </c>
      <c r="N30" s="16">
        <v>29</v>
      </c>
      <c r="O30" s="20">
        <f t="shared" ref="O30:P30" si="38">D30/7</f>
        <v>7.2857142857142856</v>
      </c>
      <c r="P30" s="20">
        <f t="shared" si="38"/>
        <v>0</v>
      </c>
      <c r="Q30" s="16">
        <f t="shared" si="8"/>
        <v>3</v>
      </c>
      <c r="R30" s="16"/>
      <c r="S30" s="21">
        <v>12.64406779661017</v>
      </c>
      <c r="T30" s="14">
        <v>600</v>
      </c>
      <c r="U30" s="22">
        <v>100</v>
      </c>
      <c r="V30" s="23" t="s">
        <v>643</v>
      </c>
      <c r="W30" s="30">
        <v>0</v>
      </c>
      <c r="X30" s="24">
        <f t="shared" si="9"/>
        <v>0</v>
      </c>
      <c r="Y30" s="25">
        <f t="shared" si="10"/>
        <v>0</v>
      </c>
      <c r="Z30" s="30">
        <v>0</v>
      </c>
      <c r="AA30" s="14" t="s">
        <v>35</v>
      </c>
      <c r="AB30" s="27">
        <f t="shared" si="11"/>
        <v>-0.69</v>
      </c>
      <c r="AC30" s="28">
        <v>4.7565972222222232E-2</v>
      </c>
      <c r="AD30" s="25">
        <f t="shared" si="12"/>
        <v>-3.3476931250000006</v>
      </c>
      <c r="AE30" s="25">
        <v>-4.95</v>
      </c>
      <c r="AF30" s="25">
        <v>-5.2534836479999996</v>
      </c>
      <c r="AG30" s="25">
        <v>0</v>
      </c>
    </row>
    <row r="31" spans="1:33" ht="15.75" customHeight="1">
      <c r="A31" s="14" t="s">
        <v>58</v>
      </c>
      <c r="B31" s="14" t="s">
        <v>45</v>
      </c>
      <c r="C31" s="15">
        <f t="shared" si="4"/>
        <v>25.92136363636364</v>
      </c>
      <c r="D31" s="16">
        <v>22</v>
      </c>
      <c r="E31" s="16">
        <v>0</v>
      </c>
      <c r="F31" s="17">
        <v>570.2700000000001</v>
      </c>
      <c r="G31" s="17">
        <v>0</v>
      </c>
      <c r="H31" s="18">
        <f t="shared" si="1"/>
        <v>0</v>
      </c>
      <c r="I31" s="18">
        <f t="shared" si="2"/>
        <v>0.4538354758751702</v>
      </c>
      <c r="J31" s="17">
        <f t="shared" si="5"/>
        <v>258.80875682733335</v>
      </c>
      <c r="K31" s="17">
        <f t="shared" si="3"/>
        <v>11.764034401242425</v>
      </c>
      <c r="L31" s="16">
        <v>49</v>
      </c>
      <c r="M31" s="19">
        <f t="shared" si="6"/>
        <v>0.44897959183673469</v>
      </c>
      <c r="N31" s="16">
        <v>0</v>
      </c>
      <c r="O31" s="20">
        <f t="shared" ref="O31:P31" si="39">D31/7</f>
        <v>3.1428571428571428</v>
      </c>
      <c r="P31" s="20">
        <f t="shared" si="39"/>
        <v>0</v>
      </c>
      <c r="Q31" s="16">
        <f t="shared" si="8"/>
        <v>0</v>
      </c>
      <c r="R31" s="16"/>
      <c r="S31" s="21" t="e">
        <v>#N/A</v>
      </c>
      <c r="T31" s="14">
        <v>40</v>
      </c>
      <c r="U31" s="22" t="s">
        <v>34</v>
      </c>
      <c r="V31" s="23" t="s">
        <v>644</v>
      </c>
      <c r="W31" s="30">
        <v>0</v>
      </c>
      <c r="X31" s="24">
        <f t="shared" si="9"/>
        <v>0</v>
      </c>
      <c r="Y31" s="25">
        <f t="shared" si="10"/>
        <v>0</v>
      </c>
      <c r="Z31" s="30">
        <v>0</v>
      </c>
      <c r="AA31" s="14" t="s">
        <v>35</v>
      </c>
      <c r="AB31" s="27">
        <f t="shared" si="11"/>
        <v>-0.69</v>
      </c>
      <c r="AC31" s="28">
        <v>4.7565972222222232E-2</v>
      </c>
      <c r="AD31" s="25">
        <f t="shared" si="12"/>
        <v>-1.444102916666667</v>
      </c>
      <c r="AE31" s="25">
        <v>-4.95</v>
      </c>
      <c r="AF31" s="25">
        <v>-5.2534836480000004</v>
      </c>
      <c r="AG31" s="25">
        <v>0</v>
      </c>
    </row>
    <row r="32" spans="1:33" ht="15.75" customHeight="1">
      <c r="A32" s="14" t="s">
        <v>60</v>
      </c>
      <c r="B32" s="14"/>
      <c r="C32" s="15" t="str">
        <f t="shared" si="4"/>
        <v xml:space="preserve"> - </v>
      </c>
      <c r="D32" s="16">
        <v>0</v>
      </c>
      <c r="E32" s="16">
        <v>0</v>
      </c>
      <c r="F32" s="17">
        <v>0</v>
      </c>
      <c r="G32" s="17">
        <v>0</v>
      </c>
      <c r="H32" s="18" t="e">
        <f t="shared" si="1"/>
        <v>#DIV/0!</v>
      </c>
      <c r="I32" s="18" t="e">
        <f t="shared" si="2"/>
        <v>#DIV/0!</v>
      </c>
      <c r="J32" s="17">
        <f t="shared" si="5"/>
        <v>0</v>
      </c>
      <c r="K32" s="17" t="e">
        <f t="shared" si="3"/>
        <v>#DIV/0!</v>
      </c>
      <c r="L32" s="16">
        <v>0</v>
      </c>
      <c r="M32" s="19" t="str">
        <f t="shared" si="6"/>
        <v>-</v>
      </c>
      <c r="N32" s="16">
        <v>0</v>
      </c>
      <c r="O32" s="20">
        <f t="shared" ref="O32:P32" si="40">D32/7</f>
        <v>0</v>
      </c>
      <c r="P32" s="20">
        <f t="shared" si="40"/>
        <v>0</v>
      </c>
      <c r="Q32" s="16" t="e">
        <f t="shared" si="8"/>
        <v>#DIV/0!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0</v>
      </c>
      <c r="T32" s="14">
        <f ca="1">IFERROR(__xludf.DUMMYFUNCTION("IFERROR(VLOOKUP($B$2,IMPORTRANGE(""https://docs.google.com/spreadsheets/d/1KiWZV1ko8G7lnRucBRBd29jj3Be6ltMfljMDqzOkQmI/edit#gid=1381463014"",""Lookup!A:D""),4,FALSE),"""")"),40)</f>
        <v>40</v>
      </c>
      <c r="U32" s="22">
        <f ca="1">IFERROR(__xludf.DUMMYFUNCTION("IFERROR(VLOOKUP($B$2,IMPORTRANGE(""https://docs.google.com/spreadsheets/d/1KiWZV1ko8G7lnRucBRBd29jj3Be6ltMfljMDqzOkQmI/edit#gid=1381463014"",""Lookup!A:D""),3,FALSE),"""")"),560)</f>
        <v>560</v>
      </c>
      <c r="V32" s="23" t="str">
        <f ca="1">IFERROR(__xludf.DUMMYFUNCTION("IFERROR(VLOOKUP($B$2,IMPORTRANGE(""https://docs.google.com/spreadsheets/d/1KiWZV1ko8G7lnRucBRBd29jj3Be6ltMfljMDqzOkQmI/edit#gid=1381463014"",""Lookup!A:D""),2,FALSE),"""")"),"| 408  - 100 units 07/19| 413  - 60 units 07/26| 414  - 200 units 08/02| 418  - 200 units 09/03")</f>
        <v>| 408  - 100 units 07/19| 413  - 60 units 07/26| 414  - 200 units 08/02| 418  - 200 units 09/03</v>
      </c>
      <c r="W32" s="30">
        <v>0</v>
      </c>
      <c r="X32" s="24">
        <f t="shared" si="9"/>
        <v>0</v>
      </c>
      <c r="Y32" s="25">
        <f t="shared" si="10"/>
        <v>0</v>
      </c>
      <c r="Z32" s="30">
        <v>0</v>
      </c>
      <c r="AA32" s="14" t="s">
        <v>35</v>
      </c>
      <c r="AB32" s="27">
        <f t="shared" si="11"/>
        <v>-0.69</v>
      </c>
      <c r="AC32" s="28">
        <v>4.7565972222222232E-2</v>
      </c>
      <c r="AD32" s="25">
        <f t="shared" si="12"/>
        <v>0</v>
      </c>
      <c r="AE32" s="25">
        <v>-4.95</v>
      </c>
      <c r="AF32" s="25">
        <v>-5.2534836479999996</v>
      </c>
      <c r="AG32" s="25">
        <v>0</v>
      </c>
    </row>
    <row r="33" spans="1:33" ht="15.75" customHeight="1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16"/>
      <c r="S33" s="21"/>
      <c r="T33" s="31"/>
      <c r="U33" s="36"/>
      <c r="V33" s="1"/>
      <c r="W33" s="31"/>
      <c r="X33" s="31"/>
      <c r="Y33" s="31"/>
      <c r="Z33" s="31"/>
      <c r="AA33" s="2"/>
      <c r="AB33" s="31"/>
      <c r="AC33" s="31"/>
      <c r="AD33" s="31"/>
      <c r="AE33" s="37"/>
      <c r="AF33" s="37"/>
      <c r="AG33" s="37"/>
    </row>
    <row r="34" spans="1:33" ht="15.75" customHeight="1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6"/>
      <c r="V34" s="1"/>
      <c r="W34" s="31"/>
      <c r="X34" s="31"/>
      <c r="Y34" s="31"/>
      <c r="Z34" s="31"/>
      <c r="AA34" s="2"/>
      <c r="AB34" s="31"/>
      <c r="AC34" s="31"/>
      <c r="AD34" s="31"/>
      <c r="AE34" s="37"/>
      <c r="AF34" s="37"/>
      <c r="AG34" s="37"/>
    </row>
    <row r="35" spans="1:33" ht="15.75" customHeight="1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6"/>
      <c r="V35" s="1"/>
      <c r="W35" s="31"/>
      <c r="X35" s="31"/>
      <c r="Y35" s="31"/>
      <c r="Z35" s="31"/>
      <c r="AA35" s="2"/>
      <c r="AB35" s="31"/>
      <c r="AC35" s="31"/>
      <c r="AD35" s="31"/>
      <c r="AE35" s="37"/>
      <c r="AF35" s="37"/>
      <c r="AG35" s="37"/>
    </row>
    <row r="36" spans="1:33" ht="15.75" customHeight="1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6"/>
      <c r="V36" s="1"/>
      <c r="W36" s="31"/>
      <c r="X36" s="31"/>
      <c r="Y36" s="31"/>
      <c r="Z36" s="31"/>
      <c r="AA36" s="2"/>
      <c r="AB36" s="31"/>
      <c r="AC36" s="31"/>
      <c r="AD36" s="31"/>
      <c r="AE36" s="37"/>
      <c r="AF36" s="37"/>
      <c r="AG36" s="37"/>
    </row>
    <row r="37" spans="1:33" ht="15.75" customHeight="1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6"/>
      <c r="V37" s="1"/>
      <c r="W37" s="31"/>
      <c r="X37" s="31"/>
      <c r="Y37" s="31"/>
      <c r="Z37" s="31"/>
      <c r="AA37" s="2"/>
      <c r="AB37" s="31"/>
      <c r="AC37" s="31"/>
      <c r="AD37" s="31"/>
      <c r="AE37" s="37"/>
      <c r="AF37" s="37"/>
      <c r="AG37" s="37"/>
    </row>
    <row r="38" spans="1:33" ht="15.75" customHeight="1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6"/>
      <c r="V38" s="1"/>
      <c r="W38" s="31"/>
      <c r="X38" s="31"/>
      <c r="Y38" s="31"/>
      <c r="Z38" s="31"/>
      <c r="AA38" s="2"/>
      <c r="AB38" s="31"/>
      <c r="AC38" s="31"/>
      <c r="AD38" s="31"/>
      <c r="AE38" s="37"/>
      <c r="AF38" s="37"/>
      <c r="AG38" s="37"/>
    </row>
    <row r="39" spans="1:33" ht="15.75" customHeight="1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6"/>
      <c r="V39" s="1"/>
      <c r="W39" s="31"/>
      <c r="X39" s="31"/>
      <c r="Y39" s="31"/>
      <c r="Z39" s="31"/>
      <c r="AA39" s="2"/>
      <c r="AB39" s="31"/>
      <c r="AC39" s="31"/>
      <c r="AD39" s="31"/>
      <c r="AE39" s="37"/>
      <c r="AF39" s="37"/>
      <c r="AG39" s="37"/>
    </row>
    <row r="40" spans="1:33" ht="15.75" customHeight="1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6"/>
      <c r="V40" s="1"/>
      <c r="W40" s="31"/>
      <c r="X40" s="31"/>
      <c r="Y40" s="31"/>
      <c r="Z40" s="31"/>
      <c r="AA40" s="2"/>
      <c r="AB40" s="31"/>
      <c r="AC40" s="31"/>
      <c r="AD40" s="31"/>
      <c r="AE40" s="37"/>
      <c r="AF40" s="37"/>
      <c r="AG40" s="37"/>
    </row>
    <row r="41" spans="1:33" ht="15.75" customHeight="1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6"/>
      <c r="V41" s="1"/>
      <c r="W41" s="31"/>
      <c r="X41" s="31"/>
      <c r="Y41" s="31"/>
      <c r="Z41" s="31"/>
      <c r="AA41" s="2"/>
      <c r="AB41" s="31"/>
      <c r="AC41" s="31"/>
      <c r="AD41" s="31"/>
      <c r="AE41" s="37"/>
      <c r="AF41" s="37"/>
      <c r="AG41" s="37"/>
    </row>
    <row r="42" spans="1:33" ht="15.75" customHeight="1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6"/>
      <c r="V42" s="1"/>
      <c r="W42" s="31"/>
      <c r="X42" s="31"/>
      <c r="Y42" s="31"/>
      <c r="Z42" s="31"/>
      <c r="AA42" s="2"/>
      <c r="AB42" s="31"/>
      <c r="AC42" s="31"/>
      <c r="AD42" s="31"/>
      <c r="AE42" s="37"/>
      <c r="AF42" s="37"/>
      <c r="AG42" s="37"/>
    </row>
    <row r="43" spans="1:33" ht="15.75" customHeight="1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6"/>
      <c r="V43" s="1"/>
      <c r="W43" s="31"/>
      <c r="X43" s="31"/>
      <c r="Y43" s="31"/>
      <c r="Z43" s="31"/>
      <c r="AA43" s="2"/>
      <c r="AB43" s="31"/>
      <c r="AC43" s="31"/>
      <c r="AD43" s="31"/>
      <c r="AE43" s="37"/>
      <c r="AF43" s="37"/>
      <c r="AG43" s="37"/>
    </row>
    <row r="44" spans="1:33" ht="15.75" customHeight="1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6"/>
      <c r="V44" s="1"/>
      <c r="W44" s="31"/>
      <c r="X44" s="31"/>
      <c r="Y44" s="31"/>
      <c r="Z44" s="31"/>
      <c r="AA44" s="2"/>
      <c r="AB44" s="31"/>
      <c r="AC44" s="31"/>
      <c r="AD44" s="31"/>
      <c r="AE44" s="37"/>
      <c r="AF44" s="37"/>
      <c r="AG44" s="37"/>
    </row>
    <row r="45" spans="1:33" ht="15.75" customHeight="1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6"/>
      <c r="V45" s="1"/>
      <c r="W45" s="31"/>
      <c r="X45" s="31"/>
      <c r="Y45" s="31"/>
      <c r="Z45" s="31"/>
      <c r="AA45" s="2"/>
      <c r="AB45" s="31"/>
      <c r="AC45" s="31"/>
      <c r="AD45" s="31"/>
      <c r="AE45" s="37"/>
      <c r="AF45" s="37"/>
      <c r="AG45" s="37"/>
    </row>
    <row r="46" spans="1:33" ht="15.75" customHeight="1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6"/>
      <c r="V46" s="1"/>
      <c r="W46" s="31"/>
      <c r="X46" s="31"/>
      <c r="Y46" s="31"/>
      <c r="Z46" s="31"/>
      <c r="AA46" s="2"/>
      <c r="AB46" s="31"/>
      <c r="AC46" s="31"/>
      <c r="AD46" s="31"/>
      <c r="AE46" s="37"/>
      <c r="AF46" s="37"/>
      <c r="AG46" s="37"/>
    </row>
    <row r="47" spans="1:33" ht="15.75" customHeight="1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6"/>
      <c r="V47" s="1"/>
      <c r="W47" s="31"/>
      <c r="X47" s="31"/>
      <c r="Y47" s="31"/>
      <c r="Z47" s="31"/>
      <c r="AA47" s="2"/>
      <c r="AB47" s="31"/>
      <c r="AC47" s="31"/>
      <c r="AD47" s="31"/>
      <c r="AE47" s="37"/>
      <c r="AF47" s="37"/>
      <c r="AG47" s="37"/>
    </row>
    <row r="48" spans="1:33" ht="15.75" customHeight="1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6"/>
      <c r="V48" s="1"/>
      <c r="W48" s="31"/>
      <c r="X48" s="31"/>
      <c r="Y48" s="31"/>
      <c r="Z48" s="31"/>
      <c r="AA48" s="2"/>
      <c r="AB48" s="31"/>
      <c r="AC48" s="31"/>
      <c r="AD48" s="31"/>
      <c r="AE48" s="37"/>
      <c r="AF48" s="37"/>
      <c r="AG48" s="37"/>
    </row>
    <row r="49" spans="1:33" ht="15.75" customHeight="1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6"/>
      <c r="V49" s="1"/>
      <c r="W49" s="31"/>
      <c r="X49" s="31"/>
      <c r="Y49" s="31"/>
      <c r="Z49" s="31"/>
      <c r="AA49" s="2"/>
      <c r="AB49" s="31"/>
      <c r="AC49" s="31"/>
      <c r="AD49" s="31"/>
      <c r="AE49" s="37"/>
      <c r="AF49" s="37"/>
      <c r="AG49" s="37"/>
    </row>
    <row r="50" spans="1:33" ht="15.75" customHeight="1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6"/>
      <c r="V50" s="1"/>
      <c r="W50" s="31"/>
      <c r="X50" s="31"/>
      <c r="Y50" s="31"/>
      <c r="Z50" s="31"/>
      <c r="AA50" s="2"/>
      <c r="AB50" s="31"/>
      <c r="AC50" s="31"/>
      <c r="AD50" s="31"/>
      <c r="AE50" s="37"/>
      <c r="AF50" s="37"/>
      <c r="AG50" s="37"/>
    </row>
    <row r="51" spans="1:33" ht="15.75" customHeight="1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6"/>
      <c r="V51" s="1"/>
      <c r="W51" s="31"/>
      <c r="X51" s="31"/>
      <c r="Y51" s="31"/>
      <c r="Z51" s="31"/>
      <c r="AA51" s="2"/>
      <c r="AB51" s="31"/>
      <c r="AC51" s="31"/>
      <c r="AD51" s="31"/>
      <c r="AE51" s="37"/>
      <c r="AF51" s="37"/>
      <c r="AG51" s="37"/>
    </row>
    <row r="52" spans="1:33" ht="15.75" customHeight="1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6"/>
      <c r="V52" s="1"/>
      <c r="W52" s="31"/>
      <c r="X52" s="31"/>
      <c r="Y52" s="31"/>
      <c r="Z52" s="31"/>
      <c r="AA52" s="2"/>
      <c r="AB52" s="31"/>
      <c r="AC52" s="31"/>
      <c r="AD52" s="31"/>
      <c r="AE52" s="37"/>
      <c r="AF52" s="37"/>
      <c r="AG52" s="37"/>
    </row>
    <row r="53" spans="1:33" ht="15.75" customHeight="1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6"/>
      <c r="V53" s="1"/>
      <c r="W53" s="31"/>
      <c r="X53" s="31"/>
      <c r="Y53" s="31"/>
      <c r="Z53" s="31"/>
      <c r="AA53" s="2"/>
      <c r="AB53" s="31"/>
      <c r="AC53" s="31"/>
      <c r="AD53" s="31"/>
      <c r="AE53" s="37"/>
      <c r="AF53" s="37"/>
      <c r="AG53" s="37"/>
    </row>
    <row r="54" spans="1:33" ht="15.75" customHeight="1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6"/>
      <c r="V54" s="1"/>
      <c r="W54" s="31"/>
      <c r="X54" s="31"/>
      <c r="Y54" s="31"/>
      <c r="Z54" s="31"/>
      <c r="AA54" s="2"/>
      <c r="AB54" s="31"/>
      <c r="AC54" s="31"/>
      <c r="AD54" s="31"/>
      <c r="AE54" s="37"/>
      <c r="AF54" s="37"/>
      <c r="AG54" s="37"/>
    </row>
    <row r="55" spans="1:33" ht="15.75" customHeight="1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6"/>
      <c r="V55" s="1"/>
      <c r="W55" s="31"/>
      <c r="X55" s="31"/>
      <c r="Y55" s="31"/>
      <c r="Z55" s="31"/>
      <c r="AA55" s="2"/>
      <c r="AB55" s="31"/>
      <c r="AC55" s="31"/>
      <c r="AD55" s="31"/>
      <c r="AE55" s="37"/>
      <c r="AF55" s="37"/>
      <c r="AG55" s="37"/>
    </row>
    <row r="56" spans="1:33" ht="15.75" customHeight="1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6"/>
      <c r="V56" s="1"/>
      <c r="W56" s="31"/>
      <c r="X56" s="31"/>
      <c r="Y56" s="31"/>
      <c r="Z56" s="31"/>
      <c r="AA56" s="2"/>
      <c r="AB56" s="31"/>
      <c r="AC56" s="31"/>
      <c r="AD56" s="31"/>
      <c r="AE56" s="37"/>
      <c r="AF56" s="37"/>
      <c r="AG56" s="37"/>
    </row>
    <row r="57" spans="1:33" ht="15.75" customHeight="1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6"/>
      <c r="V57" s="1"/>
      <c r="W57" s="31"/>
      <c r="X57" s="31"/>
      <c r="Y57" s="31"/>
      <c r="Z57" s="31"/>
      <c r="AA57" s="2"/>
      <c r="AB57" s="31"/>
      <c r="AC57" s="31"/>
      <c r="AD57" s="31"/>
      <c r="AE57" s="37"/>
      <c r="AF57" s="37"/>
      <c r="AG57" s="37"/>
    </row>
    <row r="58" spans="1:33" ht="15.75" customHeight="1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6"/>
      <c r="V58" s="1"/>
      <c r="W58" s="31"/>
      <c r="X58" s="31"/>
      <c r="Y58" s="31"/>
      <c r="Z58" s="31"/>
      <c r="AA58" s="2"/>
      <c r="AB58" s="31"/>
      <c r="AC58" s="31"/>
      <c r="AD58" s="31"/>
      <c r="AE58" s="37"/>
      <c r="AF58" s="37"/>
      <c r="AG58" s="37"/>
    </row>
    <row r="59" spans="1:33" ht="15.75" customHeight="1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6"/>
      <c r="V59" s="1"/>
      <c r="W59" s="31"/>
      <c r="X59" s="31"/>
      <c r="Y59" s="31"/>
      <c r="Z59" s="31"/>
      <c r="AA59" s="2"/>
      <c r="AB59" s="31"/>
      <c r="AC59" s="31"/>
      <c r="AD59" s="31"/>
      <c r="AE59" s="37"/>
      <c r="AF59" s="37"/>
      <c r="AG59" s="37"/>
    </row>
    <row r="60" spans="1:33" ht="15.75" customHeight="1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6"/>
      <c r="V60" s="1"/>
      <c r="W60" s="31"/>
      <c r="X60" s="31"/>
      <c r="Y60" s="31"/>
      <c r="Z60" s="31"/>
      <c r="AA60" s="2"/>
      <c r="AB60" s="31"/>
      <c r="AC60" s="31"/>
      <c r="AD60" s="31"/>
      <c r="AE60" s="37"/>
      <c r="AF60" s="37"/>
      <c r="AG60" s="37"/>
    </row>
    <row r="61" spans="1:33" ht="15.75" customHeight="1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6"/>
      <c r="V61" s="1"/>
      <c r="W61" s="31"/>
      <c r="X61" s="31"/>
      <c r="Y61" s="31"/>
      <c r="Z61" s="31"/>
      <c r="AA61" s="2"/>
      <c r="AB61" s="31"/>
      <c r="AC61" s="31"/>
      <c r="AD61" s="31"/>
      <c r="AE61" s="37"/>
      <c r="AF61" s="37"/>
      <c r="AG61" s="37"/>
    </row>
    <row r="62" spans="1:33" ht="15.75" customHeight="1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6"/>
      <c r="V62" s="1"/>
      <c r="W62" s="31"/>
      <c r="X62" s="31"/>
      <c r="Y62" s="31"/>
      <c r="Z62" s="31"/>
      <c r="AA62" s="2"/>
      <c r="AB62" s="31"/>
      <c r="AC62" s="31"/>
      <c r="AD62" s="31"/>
      <c r="AE62" s="37"/>
      <c r="AF62" s="37"/>
      <c r="AG62" s="37"/>
    </row>
    <row r="63" spans="1:33" ht="15.75" customHeight="1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6"/>
      <c r="V63" s="1"/>
      <c r="W63" s="31"/>
      <c r="X63" s="31"/>
      <c r="Y63" s="31"/>
      <c r="Z63" s="31"/>
      <c r="AA63" s="2"/>
      <c r="AB63" s="31"/>
      <c r="AC63" s="31"/>
      <c r="AD63" s="31"/>
      <c r="AE63" s="37"/>
      <c r="AF63" s="37"/>
      <c r="AG63" s="37"/>
    </row>
    <row r="64" spans="1:33" ht="15.75" customHeight="1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6"/>
      <c r="V64" s="1"/>
      <c r="W64" s="31"/>
      <c r="X64" s="31"/>
      <c r="Y64" s="31"/>
      <c r="Z64" s="31"/>
      <c r="AA64" s="2"/>
      <c r="AB64" s="31"/>
      <c r="AC64" s="31"/>
      <c r="AD64" s="31"/>
      <c r="AE64" s="37"/>
      <c r="AF64" s="37"/>
      <c r="AG64" s="37"/>
    </row>
    <row r="65" spans="1:33" ht="15.75" customHeight="1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6"/>
      <c r="V65" s="1"/>
      <c r="W65" s="31"/>
      <c r="X65" s="31"/>
      <c r="Y65" s="31"/>
      <c r="Z65" s="31"/>
      <c r="AA65" s="2"/>
      <c r="AB65" s="31"/>
      <c r="AC65" s="31"/>
      <c r="AD65" s="31"/>
      <c r="AE65" s="37"/>
      <c r="AF65" s="37"/>
      <c r="AG65" s="37"/>
    </row>
    <row r="66" spans="1:33" ht="15.75" customHeight="1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6"/>
      <c r="V66" s="1"/>
      <c r="W66" s="31"/>
      <c r="X66" s="31"/>
      <c r="Y66" s="31"/>
      <c r="Z66" s="31"/>
      <c r="AA66" s="2"/>
      <c r="AB66" s="31"/>
      <c r="AC66" s="31"/>
      <c r="AD66" s="31"/>
      <c r="AE66" s="37"/>
      <c r="AF66" s="37"/>
      <c r="AG66" s="37"/>
    </row>
    <row r="67" spans="1:33" ht="15.75" customHeight="1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6"/>
      <c r="V67" s="1"/>
      <c r="W67" s="31"/>
      <c r="X67" s="31"/>
      <c r="Y67" s="31"/>
      <c r="Z67" s="31"/>
      <c r="AA67" s="2"/>
      <c r="AB67" s="31"/>
      <c r="AC67" s="31"/>
      <c r="AD67" s="31"/>
      <c r="AE67" s="37"/>
      <c r="AF67" s="37"/>
      <c r="AG67" s="37"/>
    </row>
    <row r="68" spans="1:33" ht="15.75" customHeight="1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6"/>
      <c r="V68" s="1"/>
      <c r="W68" s="31"/>
      <c r="X68" s="31"/>
      <c r="Y68" s="31"/>
      <c r="Z68" s="31"/>
      <c r="AA68" s="2"/>
      <c r="AB68" s="31"/>
      <c r="AC68" s="31"/>
      <c r="AD68" s="31"/>
      <c r="AE68" s="37"/>
      <c r="AF68" s="37"/>
      <c r="AG68" s="37"/>
    </row>
    <row r="69" spans="1:33" ht="15.75" customHeight="1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6"/>
      <c r="V69" s="1"/>
      <c r="W69" s="31"/>
      <c r="X69" s="31"/>
      <c r="Y69" s="31"/>
      <c r="Z69" s="31"/>
      <c r="AA69" s="2"/>
      <c r="AB69" s="31"/>
      <c r="AC69" s="31"/>
      <c r="AD69" s="31"/>
      <c r="AE69" s="37"/>
      <c r="AF69" s="37"/>
      <c r="AG69" s="37"/>
    </row>
    <row r="70" spans="1:33" ht="15.75" customHeight="1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6"/>
      <c r="V70" s="1"/>
      <c r="W70" s="31"/>
      <c r="X70" s="31"/>
      <c r="Y70" s="31"/>
      <c r="Z70" s="31"/>
      <c r="AA70" s="2"/>
      <c r="AB70" s="31"/>
      <c r="AC70" s="31"/>
      <c r="AD70" s="31"/>
      <c r="AE70" s="37"/>
      <c r="AF70" s="37"/>
      <c r="AG70" s="37"/>
    </row>
    <row r="71" spans="1:33" ht="15.75" customHeight="1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6"/>
      <c r="V71" s="1"/>
      <c r="W71" s="31"/>
      <c r="X71" s="31"/>
      <c r="Y71" s="31"/>
      <c r="Z71" s="31"/>
      <c r="AA71" s="2"/>
      <c r="AB71" s="31"/>
      <c r="AC71" s="31"/>
      <c r="AD71" s="31"/>
      <c r="AE71" s="37"/>
      <c r="AF71" s="37"/>
      <c r="AG71" s="37"/>
    </row>
    <row r="72" spans="1:33" ht="15.75" customHeight="1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6"/>
      <c r="V72" s="1"/>
      <c r="W72" s="31"/>
      <c r="X72" s="31"/>
      <c r="Y72" s="31"/>
      <c r="Z72" s="31"/>
      <c r="AA72" s="2"/>
      <c r="AB72" s="31"/>
      <c r="AC72" s="31"/>
      <c r="AD72" s="31"/>
      <c r="AE72" s="37"/>
      <c r="AF72" s="37"/>
      <c r="AG72" s="37"/>
    </row>
    <row r="73" spans="1:33" ht="15.75" customHeight="1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6"/>
      <c r="V73" s="1"/>
      <c r="W73" s="31"/>
      <c r="X73" s="31"/>
      <c r="Y73" s="31"/>
      <c r="Z73" s="31"/>
      <c r="AA73" s="2"/>
      <c r="AB73" s="31"/>
      <c r="AC73" s="31"/>
      <c r="AD73" s="31"/>
      <c r="AE73" s="37"/>
      <c r="AF73" s="37"/>
      <c r="AG73" s="37"/>
    </row>
    <row r="74" spans="1:33" ht="15.75" customHeight="1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6"/>
      <c r="V74" s="1"/>
      <c r="W74" s="31"/>
      <c r="X74" s="31"/>
      <c r="Y74" s="31"/>
      <c r="Z74" s="31"/>
      <c r="AA74" s="2"/>
      <c r="AB74" s="31"/>
      <c r="AC74" s="31"/>
      <c r="AD74" s="31"/>
      <c r="AE74" s="37"/>
      <c r="AF74" s="37"/>
      <c r="AG74" s="37"/>
    </row>
    <row r="75" spans="1:33" ht="15.75" customHeight="1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6"/>
      <c r="V75" s="1"/>
      <c r="W75" s="31"/>
      <c r="X75" s="31"/>
      <c r="Y75" s="31"/>
      <c r="Z75" s="31"/>
      <c r="AA75" s="2"/>
      <c r="AB75" s="31"/>
      <c r="AC75" s="31"/>
      <c r="AD75" s="31"/>
      <c r="AE75" s="37"/>
      <c r="AF75" s="37"/>
      <c r="AG75" s="37"/>
    </row>
    <row r="76" spans="1:33" ht="15.75" customHeight="1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6"/>
      <c r="V76" s="1"/>
      <c r="W76" s="31"/>
      <c r="X76" s="31"/>
      <c r="Y76" s="31"/>
      <c r="Z76" s="31"/>
      <c r="AA76" s="2"/>
      <c r="AB76" s="31"/>
      <c r="AC76" s="31"/>
      <c r="AD76" s="31"/>
      <c r="AE76" s="37"/>
      <c r="AF76" s="37"/>
      <c r="AG76" s="37"/>
    </row>
    <row r="77" spans="1:33" ht="15.75" customHeight="1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6"/>
      <c r="V77" s="1"/>
      <c r="W77" s="31"/>
      <c r="X77" s="31"/>
      <c r="Y77" s="31"/>
      <c r="Z77" s="31"/>
      <c r="AA77" s="2"/>
      <c r="AB77" s="31"/>
      <c r="AC77" s="31"/>
      <c r="AD77" s="31"/>
      <c r="AE77" s="37"/>
      <c r="AF77" s="37"/>
      <c r="AG77" s="37"/>
    </row>
    <row r="78" spans="1:33" ht="15.75" customHeight="1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6"/>
      <c r="V78" s="1"/>
      <c r="W78" s="31"/>
      <c r="X78" s="31"/>
      <c r="Y78" s="31"/>
      <c r="Z78" s="31"/>
      <c r="AA78" s="2"/>
      <c r="AB78" s="31"/>
      <c r="AC78" s="31"/>
      <c r="AD78" s="31"/>
      <c r="AE78" s="37"/>
      <c r="AF78" s="37"/>
      <c r="AG78" s="37"/>
    </row>
    <row r="79" spans="1:33" ht="15.75" customHeight="1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6"/>
      <c r="V79" s="1"/>
      <c r="W79" s="31"/>
      <c r="X79" s="31"/>
      <c r="Y79" s="31"/>
      <c r="Z79" s="31"/>
      <c r="AA79" s="2"/>
      <c r="AB79" s="31"/>
      <c r="AC79" s="31"/>
      <c r="AD79" s="31"/>
      <c r="AE79" s="37"/>
      <c r="AF79" s="37"/>
      <c r="AG79" s="37"/>
    </row>
    <row r="80" spans="1:33" ht="15.75" customHeight="1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6"/>
      <c r="V80" s="1"/>
      <c r="W80" s="31"/>
      <c r="X80" s="31"/>
      <c r="Y80" s="31"/>
      <c r="Z80" s="31"/>
      <c r="AA80" s="2"/>
      <c r="AB80" s="31"/>
      <c r="AC80" s="31"/>
      <c r="AD80" s="31"/>
      <c r="AE80" s="37"/>
      <c r="AF80" s="37"/>
      <c r="AG80" s="37"/>
    </row>
    <row r="81" spans="1:33" ht="15.75" customHeight="1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6"/>
      <c r="V81" s="1"/>
      <c r="W81" s="31"/>
      <c r="X81" s="31"/>
      <c r="Y81" s="31"/>
      <c r="Z81" s="31"/>
      <c r="AA81" s="2"/>
      <c r="AB81" s="31"/>
      <c r="AC81" s="31"/>
      <c r="AD81" s="31"/>
      <c r="AE81" s="37"/>
      <c r="AF81" s="37"/>
      <c r="AG81" s="37"/>
    </row>
    <row r="82" spans="1:33" ht="15.75" customHeight="1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6"/>
      <c r="V82" s="1"/>
      <c r="W82" s="31"/>
      <c r="X82" s="31"/>
      <c r="Y82" s="31"/>
      <c r="Z82" s="31"/>
      <c r="AA82" s="2"/>
      <c r="AB82" s="31"/>
      <c r="AC82" s="31"/>
      <c r="AD82" s="31"/>
      <c r="AE82" s="37"/>
      <c r="AF82" s="37"/>
      <c r="AG82" s="37"/>
    </row>
    <row r="83" spans="1:33" ht="15.75" customHeight="1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6"/>
      <c r="V83" s="1"/>
      <c r="W83" s="31"/>
      <c r="X83" s="31"/>
      <c r="Y83" s="31"/>
      <c r="Z83" s="31"/>
      <c r="AA83" s="2"/>
      <c r="AB83" s="31"/>
      <c r="AC83" s="31"/>
      <c r="AD83" s="31"/>
      <c r="AE83" s="37"/>
      <c r="AF83" s="37"/>
      <c r="AG83" s="37"/>
    </row>
    <row r="84" spans="1:33" ht="15.75" customHeight="1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6"/>
      <c r="V84" s="1"/>
      <c r="W84" s="31"/>
      <c r="X84" s="31"/>
      <c r="Y84" s="31"/>
      <c r="Z84" s="31"/>
      <c r="AA84" s="2"/>
      <c r="AB84" s="31"/>
      <c r="AC84" s="31"/>
      <c r="AD84" s="31"/>
      <c r="AE84" s="37"/>
      <c r="AF84" s="37"/>
      <c r="AG84" s="37"/>
    </row>
    <row r="85" spans="1:33" ht="15.75" customHeight="1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6"/>
      <c r="V85" s="1"/>
      <c r="W85" s="31"/>
      <c r="X85" s="31"/>
      <c r="Y85" s="31"/>
      <c r="Z85" s="31"/>
      <c r="AA85" s="2"/>
      <c r="AB85" s="31"/>
      <c r="AC85" s="31"/>
      <c r="AD85" s="31"/>
      <c r="AE85" s="37"/>
      <c r="AF85" s="37"/>
      <c r="AG85" s="37"/>
    </row>
    <row r="86" spans="1:33" ht="15.75" customHeight="1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6"/>
      <c r="V86" s="1"/>
      <c r="W86" s="31"/>
      <c r="X86" s="31"/>
      <c r="Y86" s="31"/>
      <c r="Z86" s="31"/>
      <c r="AA86" s="2"/>
      <c r="AB86" s="31"/>
      <c r="AC86" s="31"/>
      <c r="AD86" s="31"/>
      <c r="AE86" s="37"/>
      <c r="AF86" s="37"/>
      <c r="AG86" s="37"/>
    </row>
    <row r="87" spans="1:33" ht="15.75" customHeight="1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6"/>
      <c r="V87" s="1"/>
      <c r="W87" s="31"/>
      <c r="X87" s="31"/>
      <c r="Y87" s="31"/>
      <c r="Z87" s="31"/>
      <c r="AA87" s="2"/>
      <c r="AB87" s="31"/>
      <c r="AC87" s="31"/>
      <c r="AD87" s="31"/>
      <c r="AE87" s="37"/>
      <c r="AF87" s="37"/>
      <c r="AG87" s="37"/>
    </row>
    <row r="88" spans="1:33" ht="15.75" customHeight="1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6"/>
      <c r="V88" s="1"/>
      <c r="W88" s="31"/>
      <c r="X88" s="31"/>
      <c r="Y88" s="31"/>
      <c r="Z88" s="31"/>
      <c r="AA88" s="2"/>
      <c r="AB88" s="31"/>
      <c r="AC88" s="31"/>
      <c r="AD88" s="31"/>
      <c r="AE88" s="37"/>
      <c r="AF88" s="37"/>
      <c r="AG88" s="37"/>
    </row>
    <row r="89" spans="1:33" ht="15.75" customHeight="1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6"/>
      <c r="V89" s="1"/>
      <c r="W89" s="31"/>
      <c r="X89" s="31"/>
      <c r="Y89" s="31"/>
      <c r="Z89" s="31"/>
      <c r="AA89" s="2"/>
      <c r="AB89" s="31"/>
      <c r="AC89" s="31"/>
      <c r="AD89" s="31"/>
      <c r="AE89" s="37"/>
      <c r="AF89" s="37"/>
      <c r="AG89" s="37"/>
    </row>
    <row r="90" spans="1:33" ht="15.75" customHeight="1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6"/>
      <c r="V90" s="1"/>
      <c r="W90" s="31"/>
      <c r="X90" s="31"/>
      <c r="Y90" s="31"/>
      <c r="Z90" s="31"/>
      <c r="AA90" s="2"/>
      <c r="AB90" s="31"/>
      <c r="AC90" s="31"/>
      <c r="AD90" s="31"/>
      <c r="AE90" s="37"/>
      <c r="AF90" s="37"/>
      <c r="AG90" s="37"/>
    </row>
    <row r="91" spans="1:33" ht="15.75" customHeight="1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6"/>
      <c r="V91" s="1"/>
      <c r="W91" s="31"/>
      <c r="X91" s="31"/>
      <c r="Y91" s="31"/>
      <c r="Z91" s="31"/>
      <c r="AA91" s="2"/>
      <c r="AB91" s="31"/>
      <c r="AC91" s="31"/>
      <c r="AD91" s="31"/>
      <c r="AE91" s="37"/>
      <c r="AF91" s="37"/>
      <c r="AG91" s="37"/>
    </row>
    <row r="92" spans="1:33" ht="15.75" customHeight="1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6"/>
      <c r="V92" s="1"/>
      <c r="W92" s="31"/>
      <c r="X92" s="31"/>
      <c r="Y92" s="31"/>
      <c r="Z92" s="31"/>
      <c r="AA92" s="2"/>
      <c r="AB92" s="31"/>
      <c r="AC92" s="31"/>
      <c r="AD92" s="31"/>
      <c r="AE92" s="37"/>
      <c r="AF92" s="37"/>
      <c r="AG92" s="37"/>
    </row>
    <row r="93" spans="1:33" ht="15.75" customHeight="1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6"/>
      <c r="V93" s="1"/>
      <c r="W93" s="31"/>
      <c r="X93" s="31"/>
      <c r="Y93" s="31"/>
      <c r="Z93" s="31"/>
      <c r="AA93" s="2"/>
      <c r="AB93" s="31"/>
      <c r="AC93" s="31"/>
      <c r="AD93" s="31"/>
      <c r="AE93" s="37"/>
      <c r="AF93" s="37"/>
      <c r="AG93" s="37"/>
    </row>
    <row r="94" spans="1:33" ht="15.75" customHeight="1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6"/>
      <c r="V94" s="1"/>
      <c r="W94" s="31"/>
      <c r="X94" s="31"/>
      <c r="Y94" s="31"/>
      <c r="Z94" s="31"/>
      <c r="AA94" s="2"/>
      <c r="AB94" s="31"/>
      <c r="AC94" s="31"/>
      <c r="AD94" s="31"/>
      <c r="AE94" s="37"/>
      <c r="AF94" s="37"/>
      <c r="AG94" s="37"/>
    </row>
    <row r="95" spans="1:33" ht="15.75" customHeight="1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6"/>
      <c r="V95" s="1"/>
      <c r="W95" s="31"/>
      <c r="X95" s="31"/>
      <c r="Y95" s="31"/>
      <c r="Z95" s="31"/>
      <c r="AA95" s="2"/>
      <c r="AB95" s="31"/>
      <c r="AC95" s="31"/>
      <c r="AD95" s="31"/>
      <c r="AE95" s="37"/>
      <c r="AF95" s="37"/>
      <c r="AG95" s="37"/>
    </row>
    <row r="96" spans="1:33" ht="15.75" customHeight="1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6"/>
      <c r="V96" s="1"/>
      <c r="W96" s="31"/>
      <c r="X96" s="31"/>
      <c r="Y96" s="31"/>
      <c r="Z96" s="31"/>
      <c r="AA96" s="2"/>
      <c r="AB96" s="31"/>
      <c r="AC96" s="31"/>
      <c r="AD96" s="31"/>
      <c r="AE96" s="37"/>
      <c r="AF96" s="37"/>
      <c r="AG96" s="37"/>
    </row>
    <row r="97" spans="1:33" ht="15.75" customHeight="1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8"/>
      <c r="R97" s="38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8"/>
      <c r="R98" s="38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8"/>
      <c r="R99" s="38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8"/>
      <c r="R100" s="38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8"/>
      <c r="R101" s="38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8"/>
      <c r="R102" s="38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8"/>
      <c r="R103" s="38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8"/>
      <c r="R104" s="38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8"/>
      <c r="R105" s="38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8"/>
      <c r="R106" s="38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8"/>
      <c r="R107" s="38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8"/>
      <c r="R108" s="38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8"/>
      <c r="R109" s="38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8"/>
      <c r="R110" s="38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8"/>
      <c r="R111" s="38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8"/>
      <c r="R112" s="38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8"/>
      <c r="R113" s="38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8"/>
      <c r="R114" s="38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>
      <c r="A115" s="31"/>
      <c r="B115" s="31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>
      <c r="A116" s="31"/>
      <c r="B116" s="31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>
      <c r="A117" s="31"/>
      <c r="B117" s="31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>
      <c r="A118" s="31"/>
      <c r="B118" s="31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>
      <c r="A119" s="31"/>
      <c r="B119" s="31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>
      <c r="A120" s="31"/>
      <c r="B120" s="31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>
      <c r="A121" s="31"/>
      <c r="B121" s="31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>
      <c r="A122" s="31"/>
      <c r="B122" s="31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>
      <c r="A123" s="31"/>
      <c r="B123" s="31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>
      <c r="A124" s="31"/>
      <c r="B124" s="31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>
      <c r="A125" s="31"/>
      <c r="B125" s="31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>
      <c r="A126" s="31"/>
      <c r="B126" s="31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>
      <c r="A127" s="31"/>
      <c r="B127" s="31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>
      <c r="A128" s="31"/>
      <c r="B128" s="31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>
      <c r="A129" s="31"/>
      <c r="B129" s="31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>
      <c r="A130" s="31"/>
      <c r="B130" s="31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>
      <c r="A131" s="31"/>
      <c r="B131" s="31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>
      <c r="A132" s="31"/>
      <c r="B132" s="31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>
      <c r="A133" s="31"/>
      <c r="B133" s="31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>
      <c r="A134" s="31"/>
      <c r="B134" s="31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>
      <c r="A135" s="31"/>
      <c r="B135" s="31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>
      <c r="A136" s="31"/>
      <c r="B136" s="31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>
      <c r="A137" s="31"/>
      <c r="B137" s="31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>
      <c r="A138" s="31"/>
      <c r="B138" s="31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>
      <c r="A139" s="31"/>
      <c r="B139" s="31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>
      <c r="A140" s="31"/>
      <c r="B140" s="31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>
      <c r="A141" s="31"/>
      <c r="B141" s="31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2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>
      <c r="A142" s="31"/>
      <c r="B142" s="31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2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>
      <c r="A143" s="31"/>
      <c r="B143" s="31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2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>
      <c r="A144" s="31"/>
      <c r="B144" s="31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2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>
      <c r="A145" s="31"/>
      <c r="B145" s="31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2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>
      <c r="A146" s="31"/>
      <c r="B146" s="31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2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>
      <c r="A147" s="31"/>
      <c r="B147" s="31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2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>
      <c r="A148" s="31"/>
      <c r="B148" s="31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2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</row>
    <row r="149" spans="1:33" ht="15.75" customHeight="1">
      <c r="A149" s="14"/>
      <c r="B149" s="14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>
      <c r="A150" s="14"/>
      <c r="B150" s="14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>
      <c r="A151" s="14"/>
      <c r="B151" s="14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>
      <c r="A152" s="14"/>
      <c r="B152" s="14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>
      <c r="A153" s="14"/>
      <c r="B153" s="14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>
      <c r="A154" s="14"/>
      <c r="B154" s="14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>
      <c r="A155" s="14"/>
      <c r="B155" s="14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>
      <c r="A156" s="14"/>
      <c r="B156" s="14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>
      <c r="A157" s="14"/>
      <c r="B157" s="14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>
      <c r="A158" s="14"/>
      <c r="B158" s="14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>
      <c r="A159" s="14"/>
      <c r="B159" s="14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>
      <c r="A160" s="14"/>
      <c r="B160" s="14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>
      <c r="A161" s="14"/>
      <c r="B161" s="14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>
      <c r="A162" s="14"/>
      <c r="B162" s="14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>
      <c r="A163" s="14"/>
      <c r="B163" s="14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>
      <c r="A164" s="14"/>
      <c r="B164" s="14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>
      <c r="A165" s="14"/>
      <c r="B165" s="14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>
      <c r="A166" s="14"/>
      <c r="B166" s="14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>
      <c r="A167" s="14"/>
      <c r="B167" s="14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>
      <c r="A168" s="14"/>
      <c r="B168" s="14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>
      <c r="A169" s="14"/>
      <c r="B169" s="14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>
      <c r="A170" s="14"/>
      <c r="B170" s="14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>
      <c r="A171" s="14"/>
      <c r="B171" s="14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>
      <c r="A172" s="14"/>
      <c r="B172" s="14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>
      <c r="A173" s="14"/>
      <c r="B173" s="14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>
      <c r="A174" s="14"/>
      <c r="B174" s="14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>
      <c r="A175" s="14"/>
      <c r="B175" s="14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>
      <c r="A176" s="14"/>
      <c r="B176" s="14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>
      <c r="A177" s="14"/>
      <c r="B177" s="14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>
      <c r="A178" s="14"/>
      <c r="B178" s="14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>
      <c r="A179" s="14"/>
      <c r="B179" s="14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>
      <c r="A180" s="14"/>
      <c r="B180" s="14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>
      <c r="A181" s="14"/>
      <c r="B181" s="14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>
      <c r="A182" s="14"/>
      <c r="B182" s="14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>
      <c r="A183" s="14"/>
      <c r="B183" s="14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>
      <c r="A184" s="14"/>
      <c r="B184" s="14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>
      <c r="A185" s="14"/>
      <c r="B185" s="14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>
      <c r="A186" s="14"/>
      <c r="B186" s="14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>
      <c r="A187" s="14"/>
      <c r="B187" s="14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>
      <c r="A188" s="14"/>
      <c r="B188" s="14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>
      <c r="A189" s="14"/>
      <c r="B189" s="14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>
      <c r="A190" s="14"/>
      <c r="B190" s="14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>
      <c r="A191" s="14"/>
      <c r="B191" s="14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>
      <c r="A192" s="14"/>
      <c r="B192" s="14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>
      <c r="A193" s="14"/>
      <c r="B193" s="14"/>
      <c r="C193" s="39"/>
      <c r="D193" s="39"/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>
      <c r="A194" s="14"/>
      <c r="B194" s="14"/>
      <c r="C194" s="39"/>
      <c r="D194" s="39"/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>
      <c r="A195" s="14"/>
      <c r="B195" s="14"/>
      <c r="C195" s="39"/>
      <c r="D195" s="39"/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>
      <c r="A196" s="14"/>
      <c r="B196" s="14"/>
      <c r="C196" s="39"/>
      <c r="D196" s="39"/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>
      <c r="A197" s="14"/>
      <c r="B197" s="14"/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>
      <c r="A198" s="14"/>
      <c r="B198" s="14"/>
      <c r="C198" s="39"/>
      <c r="D198" s="39"/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>
      <c r="A199" s="14"/>
      <c r="B199" s="14"/>
      <c r="C199" s="39"/>
      <c r="D199" s="39"/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>
      <c r="A200" s="14"/>
      <c r="B200" s="14"/>
      <c r="C200" s="39"/>
      <c r="D200" s="39"/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>
      <c r="A201" s="14"/>
      <c r="B201" s="14"/>
      <c r="C201" s="39"/>
      <c r="D201" s="39"/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>
      <c r="A202" s="14"/>
      <c r="B202" s="14"/>
      <c r="C202" s="39"/>
      <c r="D202" s="39"/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>
      <c r="A203" s="14"/>
      <c r="B203" s="14"/>
      <c r="C203" s="39"/>
      <c r="D203" s="39"/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>
      <c r="A204" s="14"/>
      <c r="B204" s="14"/>
      <c r="C204" s="39"/>
      <c r="D204" s="39"/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>
      <c r="A205" s="14"/>
      <c r="B205" s="14"/>
      <c r="C205" s="39"/>
      <c r="D205" s="39"/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>
      <c r="A206" s="14"/>
      <c r="B206" s="14"/>
      <c r="C206" s="39"/>
      <c r="D206" s="39"/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>
      <c r="A207" s="14"/>
      <c r="B207" s="14"/>
      <c r="C207" s="39"/>
      <c r="D207" s="39"/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>
      <c r="A208" s="14"/>
      <c r="B208" s="14"/>
      <c r="C208" s="39"/>
      <c r="D208" s="39"/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>
      <c r="A209" s="14"/>
      <c r="B209" s="14"/>
      <c r="C209" s="39"/>
      <c r="D209" s="39"/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>
      <c r="A210" s="14"/>
      <c r="B210" s="14"/>
      <c r="C210" s="39"/>
      <c r="D210" s="39"/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>
      <c r="A211" s="14"/>
      <c r="B211" s="14"/>
      <c r="C211" s="39"/>
      <c r="D211" s="39"/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>
      <c r="A212" s="14"/>
      <c r="B212" s="14"/>
      <c r="C212" s="39"/>
      <c r="D212" s="39"/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>
      <c r="A213" s="14"/>
      <c r="B213" s="14"/>
      <c r="C213" s="39"/>
      <c r="D213" s="39"/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>
      <c r="A214" s="14"/>
      <c r="B214" s="14"/>
      <c r="C214" s="39"/>
      <c r="D214" s="39"/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>
      <c r="A215" s="14"/>
      <c r="B215" s="14"/>
      <c r="C215" s="39"/>
      <c r="D215" s="39"/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>
      <c r="A216" s="14"/>
      <c r="B216" s="14"/>
      <c r="C216" s="39"/>
      <c r="D216" s="39"/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>
      <c r="A217" s="14"/>
      <c r="B217" s="14"/>
      <c r="C217" s="39"/>
      <c r="D217" s="39"/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>
      <c r="A218" s="14"/>
      <c r="B218" s="14"/>
      <c r="C218" s="39"/>
      <c r="D218" s="39"/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>
      <c r="A219" s="14"/>
      <c r="B219" s="14"/>
      <c r="C219" s="39"/>
      <c r="D219" s="39"/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>
      <c r="A220" s="14"/>
      <c r="B220" s="14"/>
      <c r="C220" s="39"/>
      <c r="D220" s="39"/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>
      <c r="R221" s="30"/>
      <c r="S221" s="40"/>
    </row>
    <row r="222" spans="1:33" ht="15.75" customHeight="1">
      <c r="R222" s="30"/>
      <c r="S222" s="40"/>
    </row>
    <row r="223" spans="1:33" ht="15.75" customHeight="1">
      <c r="R223" s="30"/>
      <c r="S223" s="40"/>
    </row>
    <row r="224" spans="1:33" ht="15.75" customHeight="1">
      <c r="R224" s="30"/>
      <c r="S224" s="40"/>
    </row>
    <row r="225" spans="18:18" ht="15.75" customHeight="1">
      <c r="R225" s="30"/>
    </row>
    <row r="226" spans="18:18" ht="15.75" customHeight="1">
      <c r="R226" s="30"/>
    </row>
    <row r="227" spans="18:18" ht="15.75" customHeight="1">
      <c r="R227" s="30"/>
    </row>
    <row r="228" spans="18:18" ht="15.75" customHeight="1">
      <c r="R228" s="30"/>
    </row>
    <row r="229" spans="18:18" ht="15.75" customHeight="1">
      <c r="R229" s="30"/>
    </row>
    <row r="230" spans="18:18" ht="15.75" customHeight="1">
      <c r="R230" s="30"/>
    </row>
    <row r="231" spans="18:18" ht="15.75" customHeight="1">
      <c r="R231" s="30"/>
    </row>
    <row r="232" spans="18:18" ht="15.75" customHeight="1">
      <c r="R232" s="30"/>
    </row>
    <row r="233" spans="18:18" ht="15.75" customHeight="1">
      <c r="R233" s="30"/>
    </row>
    <row r="234" spans="18:18" ht="15.75" customHeight="1">
      <c r="R234" s="30"/>
    </row>
    <row r="235" spans="18:18" ht="15.75" customHeight="1">
      <c r="R235" s="30"/>
    </row>
    <row r="236" spans="18:18" ht="15.75" customHeight="1">
      <c r="R236" s="30"/>
    </row>
    <row r="237" spans="18:18" ht="15.75" customHeight="1">
      <c r="R237" s="30"/>
    </row>
    <row r="238" spans="18:18" ht="15.75" customHeight="1">
      <c r="R238" s="30"/>
    </row>
    <row r="239" spans="18:18" ht="15.75" customHeight="1">
      <c r="R239" s="30"/>
    </row>
    <row r="240" spans="18:18" ht="15.75" customHeight="1">
      <c r="R240" s="30"/>
    </row>
    <row r="241" spans="18:18" ht="15.75" customHeight="1">
      <c r="R241" s="30"/>
    </row>
    <row r="242" spans="18:18" ht="15.75" customHeight="1">
      <c r="R242" s="30"/>
    </row>
    <row r="243" spans="18:18" ht="15.75" customHeight="1">
      <c r="R243" s="30"/>
    </row>
    <row r="244" spans="18:18" ht="15.75" customHeight="1">
      <c r="R244" s="30"/>
    </row>
    <row r="245" spans="18:18" ht="15.75" customHeight="1">
      <c r="R245" s="30"/>
    </row>
    <row r="246" spans="18:18" ht="15.75" customHeight="1">
      <c r="R246" s="30"/>
    </row>
    <row r="247" spans="18:18" ht="15.75" customHeight="1">
      <c r="R247" s="30"/>
    </row>
    <row r="248" spans="18:18" ht="15.75" customHeight="1">
      <c r="R248" s="30"/>
    </row>
    <row r="249" spans="18:18" ht="15.75" customHeight="1">
      <c r="R249" s="30"/>
    </row>
    <row r="250" spans="18:18" ht="15.75" customHeight="1">
      <c r="R250" s="30"/>
    </row>
    <row r="251" spans="18:18" ht="15.75" customHeight="1">
      <c r="R251" s="30"/>
    </row>
    <row r="252" spans="18:18" ht="15.75" customHeight="1">
      <c r="R252" s="30"/>
    </row>
    <row r="253" spans="18:18" ht="15.75" customHeight="1">
      <c r="R253" s="30"/>
    </row>
    <row r="254" spans="18:18" ht="15.75" customHeight="1">
      <c r="R254" s="30"/>
    </row>
    <row r="255" spans="18:18" ht="15.75" customHeight="1">
      <c r="R255" s="30"/>
    </row>
    <row r="256" spans="18:18" ht="15.75" customHeight="1">
      <c r="R256" s="30"/>
    </row>
    <row r="257" spans="18:18" ht="15.75" customHeight="1">
      <c r="R257" s="30"/>
    </row>
    <row r="258" spans="18:18" ht="15.75" customHeight="1">
      <c r="R258" s="30"/>
    </row>
    <row r="259" spans="18:18" ht="15.75" customHeight="1">
      <c r="R259" s="30"/>
    </row>
    <row r="260" spans="18:18" ht="15.75" customHeight="1">
      <c r="R260" s="30"/>
    </row>
    <row r="261" spans="18:18" ht="15.75" customHeight="1">
      <c r="R261" s="30"/>
    </row>
    <row r="262" spans="18:18" ht="15.75" customHeight="1">
      <c r="R262" s="30"/>
    </row>
    <row r="263" spans="18:18" ht="15.75" customHeight="1">
      <c r="R263" s="30"/>
    </row>
    <row r="264" spans="18:18" ht="15.75" customHeight="1">
      <c r="R264" s="30"/>
    </row>
    <row r="265" spans="18:18" ht="15.75" customHeight="1">
      <c r="R265" s="30"/>
    </row>
    <row r="266" spans="18:18" ht="15.75" customHeight="1">
      <c r="R266" s="30"/>
    </row>
    <row r="267" spans="18:18" ht="15.75" customHeight="1">
      <c r="R267" s="30"/>
    </row>
    <row r="268" spans="18:18" ht="15.75" customHeight="1">
      <c r="R268" s="30"/>
    </row>
    <row r="269" spans="18:18" ht="15.75" customHeight="1">
      <c r="R269" s="30"/>
    </row>
    <row r="270" spans="18:18" ht="15.75" customHeight="1">
      <c r="R270" s="30"/>
    </row>
    <row r="271" spans="18:18" ht="15.75" customHeight="1">
      <c r="R271" s="30"/>
    </row>
    <row r="272" spans="18:18" ht="15.75" customHeight="1">
      <c r="R272" s="30"/>
    </row>
    <row r="273" spans="18:18" ht="15.75" customHeight="1">
      <c r="R273" s="30"/>
    </row>
    <row r="274" spans="18:18" ht="15.75" customHeight="1">
      <c r="R274" s="30"/>
    </row>
    <row r="275" spans="18:18" ht="15.75" customHeight="1">
      <c r="R275" s="30"/>
    </row>
    <row r="276" spans="18:18" ht="15.75" customHeight="1">
      <c r="R276" s="30"/>
    </row>
    <row r="277" spans="18:18" ht="15.75" customHeight="1">
      <c r="R277" s="30"/>
    </row>
    <row r="278" spans="18:18" ht="15.75" customHeight="1">
      <c r="R278" s="30"/>
    </row>
    <row r="279" spans="18:18" ht="15.75" customHeight="1">
      <c r="R279" s="30"/>
    </row>
    <row r="280" spans="18:18" ht="15.75" customHeight="1">
      <c r="R280" s="30"/>
    </row>
    <row r="281" spans="18:18" ht="15.75" customHeight="1">
      <c r="R281" s="30"/>
    </row>
    <row r="282" spans="18:18" ht="15.75" customHeight="1">
      <c r="R282" s="30"/>
    </row>
    <row r="283" spans="18:18" ht="15.75" customHeight="1">
      <c r="R283" s="30"/>
    </row>
    <row r="284" spans="18:18" ht="15.75" customHeight="1">
      <c r="R284" s="30"/>
    </row>
    <row r="285" spans="18:18" ht="15.75" customHeight="1">
      <c r="R285" s="30"/>
    </row>
    <row r="286" spans="18:18" ht="15.75" customHeight="1">
      <c r="R286" s="30"/>
    </row>
    <row r="287" spans="18:18" ht="15.75" customHeight="1">
      <c r="R287" s="30"/>
    </row>
    <row r="288" spans="18:18" ht="15.75" customHeight="1">
      <c r="R288" s="30"/>
    </row>
    <row r="289" spans="18:18" ht="15.75" customHeight="1">
      <c r="R289" s="30"/>
    </row>
    <row r="290" spans="18:18" ht="15.75" customHeight="1">
      <c r="R290" s="30"/>
    </row>
    <row r="291" spans="18:18" ht="15.75" customHeight="1">
      <c r="R291" s="30"/>
    </row>
    <row r="292" spans="18:18" ht="15.75" customHeight="1">
      <c r="R292" s="30"/>
    </row>
    <row r="293" spans="18:18" ht="15.75" customHeight="1">
      <c r="R293" s="30"/>
    </row>
    <row r="294" spans="18:18" ht="15.75" customHeight="1">
      <c r="R294" s="30"/>
    </row>
    <row r="295" spans="18:18" ht="15.75" customHeight="1">
      <c r="R295" s="30"/>
    </row>
    <row r="296" spans="18:18" ht="15.75" customHeight="1">
      <c r="R296" s="30"/>
    </row>
    <row r="297" spans="18:18" ht="15.75" customHeight="1">
      <c r="R297" s="30"/>
    </row>
    <row r="298" spans="18:18" ht="15.75" customHeight="1">
      <c r="R298" s="30"/>
    </row>
    <row r="299" spans="18:18" ht="15.75" customHeight="1">
      <c r="R299" s="30"/>
    </row>
    <row r="300" spans="18:18" ht="15.75" customHeight="1">
      <c r="R300" s="30"/>
    </row>
    <row r="301" spans="18:18" ht="15.75" customHeight="1">
      <c r="R301" s="30"/>
    </row>
    <row r="302" spans="18:18" ht="15.75" customHeight="1">
      <c r="R302" s="30"/>
    </row>
    <row r="303" spans="18:18" ht="15.75" customHeight="1">
      <c r="R303" s="30"/>
    </row>
    <row r="304" spans="18:18" ht="15.75" customHeight="1">
      <c r="R304" s="30"/>
    </row>
    <row r="305" spans="18:18" ht="15.75" customHeight="1">
      <c r="R305" s="30"/>
    </row>
    <row r="306" spans="18:18" ht="15.75" customHeight="1">
      <c r="R306" s="30"/>
    </row>
    <row r="307" spans="18:18" ht="15.75" customHeight="1">
      <c r="R307" s="30"/>
    </row>
    <row r="308" spans="18:18" ht="15.75" customHeight="1">
      <c r="R308" s="30"/>
    </row>
    <row r="309" spans="18:18" ht="15.75" customHeight="1">
      <c r="R309" s="30"/>
    </row>
    <row r="310" spans="18:18" ht="15.75" customHeight="1">
      <c r="R310" s="30"/>
    </row>
    <row r="311" spans="18:18" ht="15.75" customHeight="1">
      <c r="R311" s="30"/>
    </row>
    <row r="312" spans="18:18" ht="15.75" customHeight="1">
      <c r="R312" s="30"/>
    </row>
    <row r="313" spans="18:18" ht="15.75" customHeight="1">
      <c r="R313" s="30"/>
    </row>
    <row r="314" spans="18:18" ht="15.75" customHeight="1">
      <c r="R314" s="30"/>
    </row>
    <row r="315" spans="18:18" ht="15.75" customHeight="1">
      <c r="R315" s="30"/>
    </row>
    <row r="316" spans="18:18" ht="15.75" customHeight="1">
      <c r="R316" s="30"/>
    </row>
    <row r="317" spans="18:18" ht="15.75" customHeight="1">
      <c r="R317" s="30"/>
    </row>
    <row r="318" spans="18:18" ht="15.75" customHeight="1">
      <c r="R318" s="30"/>
    </row>
    <row r="319" spans="18:18" ht="15.75" customHeight="1">
      <c r="R319" s="30"/>
    </row>
    <row r="320" spans="18:18" ht="15.75" customHeight="1">
      <c r="R320" s="30"/>
    </row>
    <row r="321" spans="18:18" ht="15.75" customHeight="1">
      <c r="R321" s="30"/>
    </row>
    <row r="322" spans="18:18" ht="15.75" customHeight="1">
      <c r="R322" s="30"/>
    </row>
    <row r="323" spans="18:18" ht="15.75" customHeight="1">
      <c r="R323" s="30"/>
    </row>
    <row r="324" spans="18:18" ht="15.75" customHeight="1">
      <c r="R324" s="30"/>
    </row>
    <row r="325" spans="18:18" ht="15.75" customHeight="1">
      <c r="R325" s="30"/>
    </row>
    <row r="326" spans="18:18" ht="15.75" customHeight="1">
      <c r="R326" s="30"/>
    </row>
    <row r="327" spans="18:18" ht="15.75" customHeight="1">
      <c r="R327" s="30"/>
    </row>
    <row r="328" spans="18:18" ht="15.75" customHeight="1">
      <c r="R328" s="30"/>
    </row>
    <row r="329" spans="18:18" ht="15.75" customHeight="1">
      <c r="R329" s="30"/>
    </row>
    <row r="330" spans="18:18" ht="15.75" customHeight="1">
      <c r="R330" s="30"/>
    </row>
    <row r="331" spans="18:18" ht="15.75" customHeight="1">
      <c r="R331" s="30"/>
    </row>
    <row r="332" spans="18:18" ht="15.75" customHeight="1">
      <c r="R332" s="30"/>
    </row>
    <row r="333" spans="18:18" ht="15.75" customHeight="1">
      <c r="R333" s="30"/>
    </row>
    <row r="334" spans="18:18" ht="15.75" customHeight="1">
      <c r="R334" s="30"/>
    </row>
    <row r="335" spans="18:18" ht="15.75" customHeight="1">
      <c r="R335" s="30"/>
    </row>
    <row r="336" spans="18:18" ht="15.75" customHeight="1">
      <c r="R336" s="30"/>
    </row>
    <row r="337" spans="18:18" ht="15.75" customHeight="1">
      <c r="R337" s="30"/>
    </row>
    <row r="338" spans="18:18" ht="15.75" customHeight="1">
      <c r="R338" s="30"/>
    </row>
    <row r="339" spans="18:18" ht="15.75" customHeight="1">
      <c r="R339" s="30"/>
    </row>
    <row r="340" spans="18:18" ht="15.75" customHeight="1">
      <c r="R340" s="30"/>
    </row>
    <row r="341" spans="18:18" ht="15.75" customHeight="1">
      <c r="R341" s="30"/>
    </row>
    <row r="342" spans="18:18" ht="15.75" customHeight="1">
      <c r="R342" s="30"/>
    </row>
    <row r="343" spans="18:18" ht="15.75" customHeight="1">
      <c r="R343" s="30"/>
    </row>
    <row r="344" spans="18:18" ht="15.75" customHeight="1">
      <c r="R344" s="30"/>
    </row>
    <row r="345" spans="18:18" ht="15.75" customHeight="1">
      <c r="R345" s="30"/>
    </row>
    <row r="346" spans="18:18" ht="15.75" customHeight="1">
      <c r="R346" s="30"/>
    </row>
    <row r="347" spans="18:18" ht="15.75" customHeight="1">
      <c r="R347" s="30"/>
    </row>
    <row r="348" spans="18:18" ht="15.75" customHeight="1">
      <c r="R348" s="30"/>
    </row>
    <row r="349" spans="18:18" ht="15.75" customHeight="1">
      <c r="R349" s="30"/>
    </row>
    <row r="350" spans="18:18" ht="15.75" customHeight="1">
      <c r="R350" s="30"/>
    </row>
    <row r="351" spans="18:18" ht="15.75" customHeight="1">
      <c r="R351" s="30"/>
    </row>
    <row r="352" spans="18:18" ht="15.75" customHeight="1">
      <c r="R352" s="30"/>
    </row>
    <row r="353" spans="18:18" ht="15.75" customHeight="1">
      <c r="R353" s="30"/>
    </row>
    <row r="354" spans="18:18" ht="15.75" customHeight="1">
      <c r="R354" s="30"/>
    </row>
    <row r="355" spans="18:18" ht="15.75" customHeight="1">
      <c r="R355" s="30"/>
    </row>
    <row r="356" spans="18:18" ht="15.75" customHeight="1">
      <c r="R356" s="30"/>
    </row>
    <row r="357" spans="18:18" ht="15.75" customHeight="1">
      <c r="R357" s="30"/>
    </row>
    <row r="358" spans="18:18" ht="15.75" customHeight="1">
      <c r="R358" s="30"/>
    </row>
    <row r="359" spans="18:18" ht="15.75" customHeight="1">
      <c r="R359" s="30"/>
    </row>
    <row r="360" spans="18:18" ht="15.75" customHeight="1">
      <c r="R360" s="30"/>
    </row>
    <row r="361" spans="18:18" ht="15.75" customHeight="1">
      <c r="R361" s="30"/>
    </row>
    <row r="362" spans="18:18" ht="15.75" customHeight="1">
      <c r="R362" s="30"/>
    </row>
    <row r="363" spans="18:18" ht="15.75" customHeight="1">
      <c r="R363" s="30"/>
    </row>
    <row r="364" spans="18:18" ht="15.75" customHeight="1">
      <c r="R364" s="30"/>
    </row>
    <row r="365" spans="18:18" ht="15.75" customHeight="1">
      <c r="R365" s="30"/>
    </row>
    <row r="366" spans="18:18" ht="15.75" customHeight="1">
      <c r="R366" s="30"/>
    </row>
    <row r="367" spans="18:18" ht="15.75" customHeight="1">
      <c r="R367" s="30"/>
    </row>
    <row r="368" spans="18:18" ht="15.75" customHeight="1">
      <c r="R368" s="30"/>
    </row>
    <row r="369" spans="18:18" ht="15.75" customHeight="1">
      <c r="R369" s="30"/>
    </row>
    <row r="370" spans="18:18" ht="15.75" customHeight="1">
      <c r="R370" s="30"/>
    </row>
    <row r="371" spans="18:18" ht="15.75" customHeight="1">
      <c r="R371" s="30"/>
    </row>
    <row r="372" spans="18:18" ht="15.75" customHeight="1">
      <c r="R372" s="30"/>
    </row>
    <row r="373" spans="18:18" ht="15.75" customHeight="1">
      <c r="R373" s="30"/>
    </row>
    <row r="374" spans="18:18" ht="15.75" customHeight="1">
      <c r="R374" s="30"/>
    </row>
    <row r="375" spans="18:18" ht="15.75" customHeight="1">
      <c r="R375" s="30"/>
    </row>
    <row r="376" spans="18:18" ht="15.75" customHeight="1">
      <c r="R376" s="30"/>
    </row>
    <row r="377" spans="18:18" ht="15.75" customHeight="1">
      <c r="R377" s="30"/>
    </row>
    <row r="378" spans="18:18" ht="15.75" customHeight="1">
      <c r="R378" s="30"/>
    </row>
    <row r="379" spans="18:18" ht="15.75" customHeight="1">
      <c r="R379" s="30"/>
    </row>
    <row r="380" spans="18:18" ht="15.75" customHeight="1">
      <c r="R380" s="30"/>
    </row>
    <row r="381" spans="18:18" ht="15.75" customHeight="1">
      <c r="R381" s="30"/>
    </row>
    <row r="382" spans="18:18" ht="15.75" customHeight="1">
      <c r="R382" s="30"/>
    </row>
    <row r="383" spans="18:18" ht="15.75" customHeight="1">
      <c r="R383" s="30"/>
    </row>
    <row r="384" spans="18:18" ht="15.75" customHeight="1">
      <c r="R384" s="30"/>
    </row>
    <row r="385" spans="18:18" ht="15.75" customHeight="1">
      <c r="R385" s="30"/>
    </row>
    <row r="386" spans="18:18" ht="15.75" customHeight="1">
      <c r="R386" s="30"/>
    </row>
    <row r="387" spans="18:18" ht="15.75" customHeight="1">
      <c r="R387" s="30"/>
    </row>
    <row r="388" spans="18:18" ht="15.75" customHeight="1">
      <c r="R388" s="30"/>
    </row>
    <row r="389" spans="18:18" ht="15.75" customHeight="1">
      <c r="R389" s="30"/>
    </row>
    <row r="390" spans="18:18" ht="15.75" customHeight="1">
      <c r="R390" s="30"/>
    </row>
    <row r="391" spans="18:18" ht="15.75" customHeight="1">
      <c r="R391" s="30"/>
    </row>
    <row r="392" spans="18:18" ht="15.75" customHeight="1">
      <c r="R392" s="30"/>
    </row>
    <row r="393" spans="18:18" ht="15.75" customHeight="1">
      <c r="R393" s="30"/>
    </row>
    <row r="394" spans="18:18" ht="15.75" customHeight="1">
      <c r="R394" s="30"/>
    </row>
    <row r="395" spans="18:18" ht="15.75" customHeight="1">
      <c r="R395" s="30"/>
    </row>
    <row r="396" spans="18:18" ht="15.75" customHeight="1">
      <c r="R396" s="30"/>
    </row>
    <row r="397" spans="18:18" ht="15.75" customHeight="1">
      <c r="R397" s="30"/>
    </row>
    <row r="398" spans="18:18" ht="15.75" customHeight="1">
      <c r="R398" s="30"/>
    </row>
    <row r="399" spans="18:18" ht="15.75" customHeight="1">
      <c r="R399" s="30"/>
    </row>
    <row r="400" spans="18:18" ht="15.75" customHeight="1">
      <c r="R400" s="30"/>
    </row>
    <row r="401" spans="18:18" ht="15.75" customHeight="1">
      <c r="R401" s="30"/>
    </row>
    <row r="402" spans="18:18" ht="15.75" customHeight="1">
      <c r="R402" s="30"/>
    </row>
    <row r="403" spans="18:18" ht="15.75" customHeight="1">
      <c r="R403" s="30"/>
    </row>
    <row r="404" spans="18:18" ht="15.75" customHeight="1">
      <c r="R404" s="30"/>
    </row>
    <row r="405" spans="18:18" ht="15.75" customHeight="1">
      <c r="R405" s="30"/>
    </row>
    <row r="406" spans="18:18" ht="15.75" customHeight="1">
      <c r="R406" s="30"/>
    </row>
    <row r="407" spans="18:18" ht="15.75" customHeight="1">
      <c r="R407" s="30"/>
    </row>
    <row r="408" spans="18:18" ht="15.75" customHeight="1">
      <c r="R408" s="30"/>
    </row>
    <row r="409" spans="18:18" ht="15.75" customHeight="1">
      <c r="R409" s="30"/>
    </row>
    <row r="410" spans="18:18" ht="15.75" customHeight="1">
      <c r="R410" s="30"/>
    </row>
    <row r="411" spans="18:18" ht="15.75" customHeight="1">
      <c r="R411" s="30"/>
    </row>
    <row r="412" spans="18:18" ht="15.75" customHeight="1">
      <c r="R412" s="30"/>
    </row>
    <row r="413" spans="18:18" ht="15.75" customHeight="1">
      <c r="R413" s="30"/>
    </row>
    <row r="414" spans="18:18" ht="15.75" customHeight="1">
      <c r="R414" s="30"/>
    </row>
    <row r="415" spans="18:18" ht="15.75" customHeight="1">
      <c r="R415" s="30"/>
    </row>
    <row r="416" spans="18:18" ht="15.75" customHeight="1">
      <c r="R416" s="30"/>
    </row>
    <row r="417" spans="18:18" ht="15.75" customHeight="1">
      <c r="R417" s="30"/>
    </row>
    <row r="418" spans="18:18" ht="15.75" customHeight="1">
      <c r="R418" s="30"/>
    </row>
    <row r="419" spans="18:18" ht="15.75" customHeight="1">
      <c r="R419" s="30"/>
    </row>
    <row r="420" spans="18:18" ht="15.75" customHeight="1">
      <c r="R420" s="30"/>
    </row>
    <row r="421" spans="18:18" ht="15.75" customHeight="1">
      <c r="R421" s="30"/>
    </row>
    <row r="422" spans="18:18" ht="15.75" customHeight="1">
      <c r="R422" s="30"/>
    </row>
    <row r="423" spans="18:18" ht="15.75" customHeight="1">
      <c r="R423" s="30"/>
    </row>
    <row r="424" spans="18:18" ht="15.75" customHeight="1">
      <c r="R424" s="30"/>
    </row>
    <row r="425" spans="18:18" ht="15.75" customHeight="1">
      <c r="R425" s="30"/>
    </row>
    <row r="426" spans="18:18" ht="15.75" customHeight="1">
      <c r="R426" s="30"/>
    </row>
    <row r="427" spans="18:18" ht="15.75" customHeight="1">
      <c r="R427" s="30"/>
    </row>
    <row r="428" spans="18:18" ht="15.75" customHeight="1">
      <c r="R428" s="30"/>
    </row>
    <row r="429" spans="18:18" ht="15.75" customHeight="1">
      <c r="R429" s="30"/>
    </row>
    <row r="430" spans="18:18" ht="15.75" customHeight="1">
      <c r="R430" s="30"/>
    </row>
    <row r="431" spans="18:18" ht="15.75" customHeight="1">
      <c r="R431" s="30"/>
    </row>
    <row r="432" spans="18:18" ht="15.75" customHeight="1">
      <c r="R432" s="30"/>
    </row>
    <row r="433" spans="18:18" ht="15.75" customHeight="1">
      <c r="R433" s="30"/>
    </row>
    <row r="434" spans="18:18" ht="15.75" customHeight="1">
      <c r="R434" s="30"/>
    </row>
    <row r="435" spans="18:18" ht="15.75" customHeight="1">
      <c r="R435" s="30"/>
    </row>
    <row r="436" spans="18:18" ht="15.75" customHeight="1">
      <c r="R436" s="30"/>
    </row>
    <row r="437" spans="18:18" ht="15.75" customHeight="1">
      <c r="R437" s="30"/>
    </row>
    <row r="438" spans="18:18" ht="15.75" customHeight="1">
      <c r="R438" s="30"/>
    </row>
    <row r="439" spans="18:18" ht="15.75" customHeight="1">
      <c r="R439" s="30"/>
    </row>
    <row r="440" spans="18:18" ht="15.75" customHeight="1">
      <c r="R440" s="30"/>
    </row>
    <row r="441" spans="18:18" ht="15.75" customHeight="1">
      <c r="R441" s="30"/>
    </row>
    <row r="442" spans="18:18" ht="15.75" customHeight="1">
      <c r="R442" s="30"/>
    </row>
    <row r="443" spans="18:18" ht="15.75" customHeight="1">
      <c r="R443" s="30"/>
    </row>
    <row r="444" spans="18:18" ht="15.75" customHeight="1">
      <c r="R444" s="30"/>
    </row>
    <row r="445" spans="18:18" ht="15.75" customHeight="1">
      <c r="R445" s="30"/>
    </row>
    <row r="446" spans="18:18" ht="15.75" customHeight="1">
      <c r="R446" s="30"/>
    </row>
    <row r="447" spans="18:18" ht="15.75" customHeight="1">
      <c r="R447" s="30"/>
    </row>
    <row r="448" spans="18:18" ht="15.75" customHeight="1">
      <c r="R448" s="30"/>
    </row>
    <row r="449" spans="18:18" ht="15.75" customHeight="1">
      <c r="R449" s="30"/>
    </row>
    <row r="450" spans="18:18" ht="15.75" customHeight="1">
      <c r="R450" s="30"/>
    </row>
    <row r="451" spans="18:18" ht="15.75" customHeight="1">
      <c r="R451" s="30"/>
    </row>
    <row r="452" spans="18:18" ht="15.75" customHeight="1">
      <c r="R452" s="30"/>
    </row>
    <row r="453" spans="18:18" ht="15.75" customHeight="1">
      <c r="R453" s="30"/>
    </row>
    <row r="454" spans="18:18" ht="15.75" customHeight="1">
      <c r="R454" s="30"/>
    </row>
    <row r="455" spans="18:18" ht="15.75" customHeight="1">
      <c r="R455" s="30"/>
    </row>
    <row r="456" spans="18:18" ht="15.75" customHeight="1">
      <c r="R456" s="30"/>
    </row>
    <row r="457" spans="18:18" ht="15.75" customHeight="1">
      <c r="R457" s="30"/>
    </row>
    <row r="458" spans="18:18" ht="15.75" customHeight="1">
      <c r="R458" s="30"/>
    </row>
    <row r="459" spans="18:18" ht="15.75" customHeight="1">
      <c r="R459" s="30"/>
    </row>
    <row r="460" spans="18:18" ht="15.75" customHeight="1">
      <c r="R460" s="30"/>
    </row>
    <row r="461" spans="18:18" ht="15.75" customHeight="1">
      <c r="R461" s="30"/>
    </row>
    <row r="462" spans="18:18" ht="15.75" customHeight="1">
      <c r="R462" s="30"/>
    </row>
    <row r="463" spans="18:18" ht="15.75" customHeight="1">
      <c r="R463" s="30"/>
    </row>
    <row r="464" spans="18:18" ht="15.75" customHeight="1">
      <c r="R464" s="30"/>
    </row>
    <row r="465" spans="18:18" ht="15.75" customHeight="1">
      <c r="R465" s="30"/>
    </row>
    <row r="466" spans="18:18" ht="15.75" customHeight="1">
      <c r="R466" s="30"/>
    </row>
    <row r="467" spans="18:18" ht="15.75" customHeight="1">
      <c r="R467" s="30"/>
    </row>
    <row r="468" spans="18:18" ht="15.75" customHeight="1">
      <c r="R468" s="30"/>
    </row>
    <row r="469" spans="18:18" ht="15.75" customHeight="1">
      <c r="R469" s="30"/>
    </row>
    <row r="470" spans="18:18" ht="15.75" customHeight="1">
      <c r="R470" s="30"/>
    </row>
    <row r="471" spans="18:18" ht="15.75" customHeight="1">
      <c r="R471" s="30"/>
    </row>
    <row r="472" spans="18:18" ht="15.75" customHeight="1">
      <c r="R472" s="30"/>
    </row>
    <row r="473" spans="18:18" ht="15.75" customHeight="1">
      <c r="R473" s="30"/>
    </row>
    <row r="474" spans="18:18" ht="15.75" customHeight="1">
      <c r="R474" s="30"/>
    </row>
    <row r="475" spans="18:18" ht="15.75" customHeight="1">
      <c r="R475" s="30"/>
    </row>
    <row r="476" spans="18:18" ht="15.75" customHeight="1">
      <c r="R476" s="30"/>
    </row>
    <row r="477" spans="18:18" ht="15.75" customHeight="1">
      <c r="R477" s="30"/>
    </row>
    <row r="478" spans="18:18" ht="15.75" customHeight="1">
      <c r="R478" s="30"/>
    </row>
    <row r="479" spans="18:18" ht="15.75" customHeight="1">
      <c r="R479" s="30"/>
    </row>
    <row r="480" spans="18:18" ht="15.75" customHeight="1">
      <c r="R480" s="30"/>
    </row>
    <row r="481" spans="18:18" ht="15.75" customHeight="1">
      <c r="R481" s="30"/>
    </row>
    <row r="482" spans="18:18" ht="15.75" customHeight="1">
      <c r="R482" s="30"/>
    </row>
    <row r="483" spans="18:18" ht="15.75" customHeight="1">
      <c r="R483" s="30"/>
    </row>
    <row r="484" spans="18:18" ht="15.75" customHeight="1">
      <c r="R484" s="30"/>
    </row>
    <row r="485" spans="18:18" ht="15.75" customHeight="1">
      <c r="R485" s="30"/>
    </row>
    <row r="486" spans="18:18" ht="15.75" customHeight="1">
      <c r="R486" s="30"/>
    </row>
    <row r="487" spans="18:18" ht="15.75" customHeight="1">
      <c r="R487" s="30"/>
    </row>
    <row r="488" spans="18:18" ht="15.75" customHeight="1">
      <c r="R488" s="30"/>
    </row>
    <row r="489" spans="18:18" ht="15.75" customHeight="1">
      <c r="R489" s="30"/>
    </row>
    <row r="490" spans="18:18" ht="15.75" customHeight="1">
      <c r="R490" s="30"/>
    </row>
    <row r="491" spans="18:18" ht="15.75" customHeight="1">
      <c r="R491" s="30"/>
    </row>
    <row r="492" spans="18:18" ht="15.75" customHeight="1">
      <c r="R492" s="30"/>
    </row>
    <row r="493" spans="18:18" ht="15.75" customHeight="1">
      <c r="R493" s="30"/>
    </row>
    <row r="494" spans="18:18" ht="15.75" customHeight="1">
      <c r="R494" s="30"/>
    </row>
    <row r="495" spans="18:18" ht="15.75" customHeight="1">
      <c r="R495" s="30"/>
    </row>
    <row r="496" spans="18:18" ht="15.75" customHeight="1">
      <c r="R496" s="30"/>
    </row>
    <row r="497" spans="18:18" ht="15.75" customHeight="1">
      <c r="R497" s="30"/>
    </row>
    <row r="498" spans="18:18" ht="15.75" customHeight="1">
      <c r="R498" s="30"/>
    </row>
    <row r="499" spans="18:18" ht="15.75" customHeight="1">
      <c r="R499" s="30"/>
    </row>
    <row r="500" spans="18:18" ht="15.75" customHeight="1">
      <c r="R500" s="30"/>
    </row>
    <row r="501" spans="18:18" ht="15.75" customHeight="1">
      <c r="R501" s="30"/>
    </row>
    <row r="502" spans="18:18" ht="15.75" customHeight="1">
      <c r="R502" s="30"/>
    </row>
    <row r="503" spans="18:18" ht="15.75" customHeight="1">
      <c r="R503" s="30"/>
    </row>
    <row r="504" spans="18:18" ht="15.75" customHeight="1">
      <c r="R504" s="30"/>
    </row>
    <row r="505" spans="18:18" ht="15.75" customHeight="1">
      <c r="R505" s="30"/>
    </row>
    <row r="506" spans="18:18" ht="15.75" customHeight="1">
      <c r="R506" s="30"/>
    </row>
    <row r="507" spans="18:18" ht="15.75" customHeight="1">
      <c r="R507" s="30"/>
    </row>
    <row r="508" spans="18:18" ht="15.75" customHeight="1">
      <c r="R508" s="30"/>
    </row>
    <row r="509" spans="18:18" ht="15.75" customHeight="1">
      <c r="R509" s="30"/>
    </row>
    <row r="510" spans="18:18" ht="15.75" customHeight="1">
      <c r="R510" s="30"/>
    </row>
    <row r="511" spans="18:18" ht="15.75" customHeight="1">
      <c r="R511" s="30"/>
    </row>
    <row r="512" spans="18:18" ht="15.75" customHeight="1">
      <c r="R512" s="30"/>
    </row>
    <row r="513" spans="18:18" ht="15.75" customHeight="1">
      <c r="R513" s="30"/>
    </row>
    <row r="514" spans="18:18" ht="15.75" customHeight="1">
      <c r="R514" s="30"/>
    </row>
    <row r="515" spans="18:18" ht="15.75" customHeight="1">
      <c r="R515" s="30"/>
    </row>
    <row r="516" spans="18:18" ht="15.75" customHeight="1">
      <c r="R516" s="30"/>
    </row>
    <row r="517" spans="18:18" ht="15.75" customHeight="1">
      <c r="R517" s="30"/>
    </row>
    <row r="518" spans="18:18" ht="15.75" customHeight="1">
      <c r="R518" s="30"/>
    </row>
    <row r="519" spans="18:18" ht="15.75" customHeight="1">
      <c r="R519" s="30"/>
    </row>
    <row r="520" spans="18:18" ht="15.75" customHeight="1">
      <c r="R520" s="30"/>
    </row>
    <row r="521" spans="18:18" ht="15.75" customHeight="1">
      <c r="R521" s="30"/>
    </row>
    <row r="522" spans="18:18" ht="15.75" customHeight="1">
      <c r="R522" s="30"/>
    </row>
    <row r="523" spans="18:18" ht="15.75" customHeight="1">
      <c r="R523" s="30"/>
    </row>
    <row r="524" spans="18:18" ht="15.75" customHeight="1">
      <c r="R524" s="30"/>
    </row>
    <row r="525" spans="18:18" ht="15.75" customHeight="1">
      <c r="R525" s="30"/>
    </row>
    <row r="526" spans="18:18" ht="15.75" customHeight="1">
      <c r="R526" s="30"/>
    </row>
    <row r="527" spans="18:18" ht="15.75" customHeight="1">
      <c r="R527" s="30"/>
    </row>
    <row r="528" spans="18:18" ht="15.75" customHeight="1">
      <c r="R528" s="30"/>
    </row>
    <row r="529" spans="18:18" ht="15.75" customHeight="1">
      <c r="R529" s="30"/>
    </row>
    <row r="530" spans="18:18" ht="15.75" customHeight="1">
      <c r="R530" s="30"/>
    </row>
    <row r="531" spans="18:18" ht="15.75" customHeight="1">
      <c r="R531" s="30"/>
    </row>
    <row r="532" spans="18:18" ht="15.75" customHeight="1">
      <c r="R532" s="30"/>
    </row>
    <row r="533" spans="18:18" ht="15.75" customHeight="1">
      <c r="R533" s="30"/>
    </row>
    <row r="534" spans="18:18" ht="15.75" customHeight="1">
      <c r="R534" s="30"/>
    </row>
    <row r="535" spans="18:18" ht="15.75" customHeight="1">
      <c r="R535" s="30"/>
    </row>
    <row r="536" spans="18:18" ht="15.75" customHeight="1">
      <c r="R536" s="30"/>
    </row>
    <row r="537" spans="18:18" ht="15.75" customHeight="1">
      <c r="R537" s="30"/>
    </row>
    <row r="538" spans="18:18" ht="15.75" customHeight="1">
      <c r="R538" s="30"/>
    </row>
    <row r="539" spans="18:18" ht="15.75" customHeight="1">
      <c r="R539" s="30"/>
    </row>
    <row r="540" spans="18:18" ht="15.75" customHeight="1">
      <c r="R540" s="30"/>
    </row>
    <row r="541" spans="18:18" ht="15.75" customHeight="1">
      <c r="R541" s="30"/>
    </row>
    <row r="542" spans="18:18" ht="15.75" customHeight="1">
      <c r="R542" s="30"/>
    </row>
    <row r="543" spans="18:18" ht="15.75" customHeight="1">
      <c r="R543" s="30"/>
    </row>
    <row r="544" spans="18:18" ht="15.75" customHeight="1">
      <c r="R544" s="30"/>
    </row>
    <row r="545" spans="18:18" ht="15.75" customHeight="1">
      <c r="R545" s="30"/>
    </row>
    <row r="546" spans="18:18" ht="15.75" customHeight="1">
      <c r="R546" s="30"/>
    </row>
    <row r="547" spans="18:18" ht="15.75" customHeight="1">
      <c r="R547" s="30"/>
    </row>
    <row r="548" spans="18:18" ht="15.75" customHeight="1">
      <c r="R548" s="30"/>
    </row>
    <row r="549" spans="18:18" ht="15.75" customHeight="1">
      <c r="R549" s="30"/>
    </row>
    <row r="550" spans="18:18" ht="15.75" customHeight="1">
      <c r="R550" s="30"/>
    </row>
    <row r="551" spans="18:18" ht="15.75" customHeight="1">
      <c r="R551" s="30"/>
    </row>
    <row r="552" spans="18:18" ht="15.75" customHeight="1">
      <c r="R552" s="30"/>
    </row>
    <row r="553" spans="18:18" ht="15.75" customHeight="1">
      <c r="R553" s="30"/>
    </row>
    <row r="554" spans="18:18" ht="15.75" customHeight="1">
      <c r="R554" s="30"/>
    </row>
    <row r="555" spans="18:18" ht="15.75" customHeight="1">
      <c r="R555" s="30"/>
    </row>
    <row r="556" spans="18:18" ht="15.75" customHeight="1">
      <c r="R556" s="30"/>
    </row>
    <row r="557" spans="18:18" ht="15.75" customHeight="1">
      <c r="R557" s="30"/>
    </row>
    <row r="558" spans="18:18" ht="15.75" customHeight="1">
      <c r="R558" s="30"/>
    </row>
    <row r="559" spans="18:18" ht="15.75" customHeight="1">
      <c r="R559" s="30"/>
    </row>
    <row r="560" spans="18:18" ht="15.75" customHeight="1">
      <c r="R560" s="30"/>
    </row>
    <row r="561" spans="18:18" ht="15.75" customHeight="1">
      <c r="R561" s="30"/>
    </row>
    <row r="562" spans="18:18" ht="15.75" customHeight="1">
      <c r="R562" s="30"/>
    </row>
    <row r="563" spans="18:18" ht="15.75" customHeight="1">
      <c r="R563" s="30"/>
    </row>
    <row r="564" spans="18:18" ht="15.75" customHeight="1">
      <c r="R564" s="30"/>
    </row>
    <row r="565" spans="18:18" ht="15.75" customHeight="1">
      <c r="R565" s="30"/>
    </row>
    <row r="566" spans="18:18" ht="15.75" customHeight="1">
      <c r="R566" s="30"/>
    </row>
    <row r="567" spans="18:18" ht="15.75" customHeight="1">
      <c r="R567" s="30"/>
    </row>
    <row r="568" spans="18:18" ht="15.75" customHeight="1">
      <c r="R568" s="30"/>
    </row>
    <row r="569" spans="18:18" ht="15.75" customHeight="1">
      <c r="R569" s="30"/>
    </row>
    <row r="570" spans="18:18" ht="15.75" customHeight="1">
      <c r="R570" s="30"/>
    </row>
    <row r="571" spans="18:18" ht="15.75" customHeight="1">
      <c r="R571" s="30"/>
    </row>
    <row r="572" spans="18:18" ht="15.75" customHeight="1">
      <c r="R572" s="30"/>
    </row>
    <row r="573" spans="18:18" ht="15.75" customHeight="1">
      <c r="R573" s="30"/>
    </row>
    <row r="574" spans="18:18" ht="15.75" customHeight="1">
      <c r="R574" s="30"/>
    </row>
    <row r="575" spans="18:18" ht="15.75" customHeight="1">
      <c r="R575" s="30"/>
    </row>
    <row r="576" spans="18:18" ht="15.75" customHeight="1">
      <c r="R576" s="30"/>
    </row>
    <row r="577" spans="18:18" ht="15.75" customHeight="1">
      <c r="R577" s="30"/>
    </row>
    <row r="578" spans="18:18" ht="15.75" customHeight="1">
      <c r="R578" s="30"/>
    </row>
    <row r="579" spans="18:18" ht="15.75" customHeight="1">
      <c r="R579" s="30"/>
    </row>
    <row r="580" spans="18:18" ht="15.75" customHeight="1">
      <c r="R580" s="30"/>
    </row>
    <row r="581" spans="18:18" ht="15.75" customHeight="1">
      <c r="R581" s="30"/>
    </row>
    <row r="582" spans="18:18" ht="15.75" customHeight="1">
      <c r="R582" s="30"/>
    </row>
    <row r="583" spans="18:18" ht="15.75" customHeight="1">
      <c r="R583" s="30"/>
    </row>
    <row r="584" spans="18:18" ht="15.75" customHeight="1">
      <c r="R584" s="30"/>
    </row>
    <row r="585" spans="18:18" ht="15.75" customHeight="1">
      <c r="R585" s="30"/>
    </row>
    <row r="586" spans="18:18" ht="15.75" customHeight="1">
      <c r="R586" s="30"/>
    </row>
    <row r="587" spans="18:18" ht="15.75" customHeight="1">
      <c r="R587" s="30"/>
    </row>
    <row r="588" spans="18:18" ht="15.75" customHeight="1">
      <c r="R588" s="30"/>
    </row>
    <row r="589" spans="18:18" ht="15.75" customHeight="1">
      <c r="R589" s="30"/>
    </row>
    <row r="590" spans="18:18" ht="15.75" customHeight="1">
      <c r="R590" s="30"/>
    </row>
    <row r="591" spans="18:18" ht="15.75" customHeight="1">
      <c r="R591" s="30"/>
    </row>
    <row r="592" spans="18:18" ht="15.75" customHeight="1">
      <c r="R592" s="30"/>
    </row>
    <row r="593" spans="18:18" ht="15.75" customHeight="1">
      <c r="R593" s="30"/>
    </row>
    <row r="594" spans="18:18" ht="15.75" customHeight="1">
      <c r="R594" s="30"/>
    </row>
    <row r="595" spans="18:18" ht="15.75" customHeight="1">
      <c r="R595" s="30"/>
    </row>
    <row r="596" spans="18:18" ht="15.75" customHeight="1">
      <c r="R596" s="30"/>
    </row>
    <row r="597" spans="18:18" ht="15.75" customHeight="1">
      <c r="R597" s="30"/>
    </row>
    <row r="598" spans="18:18" ht="15.75" customHeight="1">
      <c r="R598" s="30"/>
    </row>
    <row r="599" spans="18:18" ht="15.75" customHeight="1">
      <c r="R599" s="30"/>
    </row>
    <row r="600" spans="18:18" ht="15.75" customHeight="1">
      <c r="R600" s="30"/>
    </row>
    <row r="601" spans="18:18" ht="15.75" customHeight="1">
      <c r="R601" s="30"/>
    </row>
    <row r="602" spans="18:18" ht="15.75" customHeight="1">
      <c r="R602" s="30"/>
    </row>
    <row r="603" spans="18:18" ht="15.75" customHeight="1">
      <c r="R603" s="30"/>
    </row>
    <row r="604" spans="18:18" ht="15.75" customHeight="1">
      <c r="R604" s="30"/>
    </row>
    <row r="605" spans="18:18" ht="15.75" customHeight="1">
      <c r="R605" s="30"/>
    </row>
    <row r="606" spans="18:18" ht="15.75" customHeight="1">
      <c r="R606" s="30"/>
    </row>
    <row r="607" spans="18:18" ht="15.75" customHeight="1">
      <c r="R607" s="30"/>
    </row>
    <row r="608" spans="18:18" ht="15.75" customHeight="1">
      <c r="R608" s="30"/>
    </row>
    <row r="609" spans="18:18" ht="15.75" customHeight="1">
      <c r="R609" s="30"/>
    </row>
    <row r="610" spans="18:18" ht="15.75" customHeight="1">
      <c r="R610" s="30"/>
    </row>
    <row r="611" spans="18:18" ht="15.75" customHeight="1">
      <c r="R611" s="30"/>
    </row>
    <row r="612" spans="18:18" ht="15.75" customHeight="1">
      <c r="R612" s="30"/>
    </row>
    <row r="613" spans="18:18" ht="15.75" customHeight="1">
      <c r="R613" s="30"/>
    </row>
    <row r="614" spans="18:18" ht="15.75" customHeight="1">
      <c r="R614" s="30"/>
    </row>
    <row r="615" spans="18:18" ht="15.75" customHeight="1">
      <c r="R615" s="30"/>
    </row>
    <row r="616" spans="18:18" ht="15.75" customHeight="1">
      <c r="R616" s="30"/>
    </row>
    <row r="617" spans="18:18" ht="15.75" customHeight="1">
      <c r="R617" s="30"/>
    </row>
    <row r="618" spans="18:18" ht="15.75" customHeight="1">
      <c r="R618" s="30"/>
    </row>
    <row r="619" spans="18:18" ht="15.75" customHeight="1">
      <c r="R619" s="30"/>
    </row>
    <row r="620" spans="18:18" ht="15.75" customHeight="1">
      <c r="R620" s="30"/>
    </row>
    <row r="621" spans="18:18" ht="15.75" customHeight="1">
      <c r="R621" s="30"/>
    </row>
    <row r="622" spans="18:18" ht="15.75" customHeight="1">
      <c r="R622" s="30"/>
    </row>
    <row r="623" spans="18:18" ht="15.75" customHeight="1">
      <c r="R623" s="30"/>
    </row>
    <row r="624" spans="18:18" ht="15.75" customHeight="1">
      <c r="R624" s="30"/>
    </row>
    <row r="625" spans="18:18" ht="15.75" customHeight="1">
      <c r="R625" s="30"/>
    </row>
    <row r="626" spans="18:18" ht="15.75" customHeight="1">
      <c r="R626" s="30"/>
    </row>
    <row r="627" spans="18:18" ht="15.75" customHeight="1">
      <c r="R627" s="30"/>
    </row>
    <row r="628" spans="18:18" ht="15.75" customHeight="1">
      <c r="R628" s="30"/>
    </row>
    <row r="629" spans="18:18" ht="15.75" customHeight="1">
      <c r="R629" s="30"/>
    </row>
    <row r="630" spans="18:18" ht="15.75" customHeight="1">
      <c r="R630" s="30"/>
    </row>
    <row r="631" spans="18:18" ht="15.75" customHeight="1">
      <c r="R631" s="30"/>
    </row>
    <row r="632" spans="18:18" ht="15.75" customHeight="1">
      <c r="R632" s="30"/>
    </row>
    <row r="633" spans="18:18" ht="15.75" customHeight="1">
      <c r="R633" s="30"/>
    </row>
    <row r="634" spans="18:18" ht="15.75" customHeight="1">
      <c r="R634" s="30"/>
    </row>
    <row r="635" spans="18:18" ht="15.75" customHeight="1">
      <c r="R635" s="30"/>
    </row>
    <row r="636" spans="18:18" ht="15.75" customHeight="1">
      <c r="R636" s="30"/>
    </row>
    <row r="637" spans="18:18" ht="15.75" customHeight="1">
      <c r="R637" s="30"/>
    </row>
    <row r="638" spans="18:18" ht="15.75" customHeight="1">
      <c r="R638" s="30"/>
    </row>
    <row r="639" spans="18:18" ht="15.75" customHeight="1">
      <c r="R639" s="30"/>
    </row>
    <row r="640" spans="18:18" ht="15.75" customHeight="1">
      <c r="R640" s="30"/>
    </row>
    <row r="641" spans="18:18" ht="15.75" customHeight="1">
      <c r="R641" s="30"/>
    </row>
    <row r="642" spans="18:18" ht="15.75" customHeight="1">
      <c r="R642" s="30"/>
    </row>
    <row r="643" spans="18:18" ht="15.75" customHeight="1">
      <c r="R643" s="30"/>
    </row>
    <row r="644" spans="18:18" ht="15.75" customHeight="1">
      <c r="R644" s="30"/>
    </row>
    <row r="645" spans="18:18" ht="15.75" customHeight="1">
      <c r="R645" s="30"/>
    </row>
    <row r="646" spans="18:18" ht="15.75" customHeight="1">
      <c r="R646" s="30"/>
    </row>
    <row r="647" spans="18:18" ht="15.75" customHeight="1">
      <c r="R647" s="30"/>
    </row>
    <row r="648" spans="18:18" ht="15.75" customHeight="1">
      <c r="R648" s="30"/>
    </row>
    <row r="649" spans="18:18" ht="15.75" customHeight="1">
      <c r="R649" s="30"/>
    </row>
    <row r="650" spans="18:18" ht="15.75" customHeight="1">
      <c r="R650" s="30"/>
    </row>
    <row r="651" spans="18:18" ht="15.75" customHeight="1">
      <c r="R651" s="30"/>
    </row>
    <row r="652" spans="18:18" ht="15.75" customHeight="1">
      <c r="R652" s="30"/>
    </row>
    <row r="653" spans="18:18" ht="15.75" customHeight="1">
      <c r="R653" s="30"/>
    </row>
    <row r="654" spans="18:18" ht="15.75" customHeight="1">
      <c r="R654" s="30"/>
    </row>
    <row r="655" spans="18:18" ht="15.75" customHeight="1">
      <c r="R655" s="30"/>
    </row>
    <row r="656" spans="18:18" ht="15.75" customHeight="1">
      <c r="R656" s="30"/>
    </row>
    <row r="657" spans="18:18" ht="15.75" customHeight="1">
      <c r="R657" s="30"/>
    </row>
    <row r="658" spans="18:18" ht="15.75" customHeight="1">
      <c r="R658" s="30"/>
    </row>
    <row r="659" spans="18:18" ht="15.75" customHeight="1">
      <c r="R659" s="30"/>
    </row>
    <row r="660" spans="18:18" ht="15.75" customHeight="1">
      <c r="R660" s="30"/>
    </row>
    <row r="661" spans="18:18" ht="15.75" customHeight="1">
      <c r="R661" s="30"/>
    </row>
    <row r="662" spans="18:18" ht="15.75" customHeight="1">
      <c r="R662" s="30"/>
    </row>
    <row r="663" spans="18:18" ht="15.75" customHeight="1">
      <c r="R663" s="30"/>
    </row>
    <row r="664" spans="18:18" ht="15.75" customHeight="1">
      <c r="R664" s="30"/>
    </row>
    <row r="665" spans="18:18" ht="15.75" customHeight="1">
      <c r="R665" s="30"/>
    </row>
    <row r="666" spans="18:18" ht="15.75" customHeight="1">
      <c r="R666" s="30"/>
    </row>
    <row r="667" spans="18:18" ht="15.75" customHeight="1">
      <c r="R667" s="30"/>
    </row>
    <row r="668" spans="18:18" ht="15.75" customHeight="1">
      <c r="R668" s="30"/>
    </row>
    <row r="669" spans="18:18" ht="15.75" customHeight="1">
      <c r="R669" s="30"/>
    </row>
    <row r="670" spans="18:18" ht="15.75" customHeight="1">
      <c r="R670" s="30"/>
    </row>
    <row r="671" spans="18:18" ht="15.75" customHeight="1">
      <c r="R671" s="30"/>
    </row>
    <row r="672" spans="18:18" ht="15.75" customHeight="1">
      <c r="R672" s="30"/>
    </row>
    <row r="673" spans="18:18" ht="15.75" customHeight="1">
      <c r="R673" s="30"/>
    </row>
    <row r="674" spans="18:18" ht="15.75" customHeight="1">
      <c r="R674" s="30"/>
    </row>
    <row r="675" spans="18:18" ht="15.75" customHeight="1">
      <c r="R675" s="30"/>
    </row>
    <row r="676" spans="18:18" ht="15.75" customHeight="1">
      <c r="R676" s="30"/>
    </row>
    <row r="677" spans="18:18" ht="15.75" customHeight="1">
      <c r="R677" s="30"/>
    </row>
    <row r="678" spans="18:18" ht="15.75" customHeight="1">
      <c r="R678" s="30"/>
    </row>
    <row r="679" spans="18:18" ht="15.75" customHeight="1">
      <c r="R679" s="30"/>
    </row>
    <row r="680" spans="18:18" ht="15.75" customHeight="1">
      <c r="R680" s="30"/>
    </row>
    <row r="681" spans="18:18" ht="15.75" customHeight="1">
      <c r="R681" s="30"/>
    </row>
    <row r="682" spans="18:18" ht="15.75" customHeight="1">
      <c r="R682" s="30"/>
    </row>
    <row r="683" spans="18:18" ht="15.75" customHeight="1">
      <c r="R683" s="30"/>
    </row>
    <row r="684" spans="18:18" ht="15.75" customHeight="1">
      <c r="R684" s="30"/>
    </row>
    <row r="685" spans="18:18" ht="15.75" customHeight="1">
      <c r="R685" s="30"/>
    </row>
    <row r="686" spans="18:18" ht="15.75" customHeight="1">
      <c r="R686" s="30"/>
    </row>
    <row r="687" spans="18:18" ht="15.75" customHeight="1">
      <c r="R687" s="30"/>
    </row>
    <row r="688" spans="18:18" ht="15.75" customHeight="1">
      <c r="R688" s="30"/>
    </row>
    <row r="689" spans="18:18" ht="15.75" customHeight="1">
      <c r="R689" s="30"/>
    </row>
    <row r="690" spans="18:18" ht="15.75" customHeight="1">
      <c r="R690" s="30"/>
    </row>
    <row r="691" spans="18:18" ht="15.75" customHeight="1">
      <c r="R691" s="30"/>
    </row>
    <row r="692" spans="18:18" ht="15.75" customHeight="1">
      <c r="R692" s="30"/>
    </row>
    <row r="693" spans="18:18" ht="15.75" customHeight="1">
      <c r="R693" s="30"/>
    </row>
    <row r="694" spans="18:18" ht="15.75" customHeight="1">
      <c r="R694" s="30"/>
    </row>
    <row r="695" spans="18:18" ht="15.75" customHeight="1">
      <c r="R695" s="30"/>
    </row>
    <row r="696" spans="18:18" ht="15.75" customHeight="1">
      <c r="R696" s="30"/>
    </row>
    <row r="697" spans="18:18" ht="15.75" customHeight="1">
      <c r="R697" s="30"/>
    </row>
    <row r="698" spans="18:18" ht="15.75" customHeight="1">
      <c r="R698" s="30"/>
    </row>
    <row r="699" spans="18:18" ht="15.75" customHeight="1">
      <c r="R699" s="30"/>
    </row>
    <row r="700" spans="18:18" ht="15.75" customHeight="1">
      <c r="R700" s="30"/>
    </row>
    <row r="701" spans="18:18" ht="15.75" customHeight="1">
      <c r="R701" s="30"/>
    </row>
    <row r="702" spans="18:18" ht="15.75" customHeight="1">
      <c r="R702" s="30"/>
    </row>
    <row r="703" spans="18:18" ht="15.75" customHeight="1">
      <c r="R703" s="30"/>
    </row>
    <row r="704" spans="18:18" ht="15.75" customHeight="1">
      <c r="R704" s="30"/>
    </row>
    <row r="705" spans="18:18" ht="15.75" customHeight="1">
      <c r="R705" s="30"/>
    </row>
    <row r="706" spans="18:18" ht="15.75" customHeight="1">
      <c r="R706" s="30"/>
    </row>
    <row r="707" spans="18:18" ht="15.75" customHeight="1">
      <c r="R707" s="30"/>
    </row>
    <row r="708" spans="18:18" ht="15.75" customHeight="1">
      <c r="R708" s="30"/>
    </row>
    <row r="709" spans="18:18" ht="15.75" customHeight="1">
      <c r="R709" s="30"/>
    </row>
    <row r="710" spans="18:18" ht="15.75" customHeight="1">
      <c r="R710" s="30"/>
    </row>
    <row r="711" spans="18:18" ht="15.75" customHeight="1">
      <c r="R711" s="30"/>
    </row>
    <row r="712" spans="18:18" ht="15.75" customHeight="1">
      <c r="R712" s="30"/>
    </row>
    <row r="713" spans="18:18" ht="15.75" customHeight="1">
      <c r="R713" s="30"/>
    </row>
    <row r="714" spans="18:18" ht="15.75" customHeight="1">
      <c r="R714" s="30"/>
    </row>
    <row r="715" spans="18:18" ht="15.75" customHeight="1">
      <c r="R715" s="30"/>
    </row>
    <row r="716" spans="18:18" ht="15.75" customHeight="1">
      <c r="R716" s="30"/>
    </row>
    <row r="717" spans="18:18" ht="15.75" customHeight="1">
      <c r="R717" s="30"/>
    </row>
    <row r="718" spans="18:18" ht="15.75" customHeight="1">
      <c r="R718" s="30"/>
    </row>
    <row r="719" spans="18:18" ht="15.75" customHeight="1">
      <c r="R719" s="30"/>
    </row>
    <row r="720" spans="18:18" ht="15.75" customHeight="1">
      <c r="R720" s="30"/>
    </row>
    <row r="721" spans="18:18" ht="15.75" customHeight="1">
      <c r="R721" s="30"/>
    </row>
    <row r="722" spans="18:18" ht="15.75" customHeight="1">
      <c r="R722" s="30"/>
    </row>
    <row r="723" spans="18:18" ht="15.75" customHeight="1">
      <c r="R723" s="30"/>
    </row>
    <row r="724" spans="18:18" ht="15.75" customHeight="1">
      <c r="R724" s="30"/>
    </row>
    <row r="725" spans="18:18" ht="15.75" customHeight="1">
      <c r="R725" s="30"/>
    </row>
    <row r="726" spans="18:18" ht="15.75" customHeight="1">
      <c r="R726" s="30"/>
    </row>
    <row r="727" spans="18:18" ht="15.75" customHeight="1">
      <c r="R727" s="30"/>
    </row>
    <row r="728" spans="18:18" ht="15.75" customHeight="1">
      <c r="R728" s="30"/>
    </row>
    <row r="729" spans="18:18" ht="15.75" customHeight="1">
      <c r="R729" s="30"/>
    </row>
    <row r="730" spans="18:18" ht="15.75" customHeight="1">
      <c r="R730" s="30"/>
    </row>
    <row r="731" spans="18:18" ht="15.75" customHeight="1">
      <c r="R731" s="30"/>
    </row>
    <row r="732" spans="18:18" ht="15.75" customHeight="1">
      <c r="R732" s="30"/>
    </row>
    <row r="733" spans="18:18" ht="15.75" customHeight="1">
      <c r="R733" s="30"/>
    </row>
    <row r="734" spans="18:18" ht="15.75" customHeight="1">
      <c r="R734" s="30"/>
    </row>
    <row r="735" spans="18:18" ht="15.75" customHeight="1">
      <c r="R735" s="30"/>
    </row>
    <row r="736" spans="18:18" ht="15.75" customHeight="1">
      <c r="R736" s="30"/>
    </row>
    <row r="737" spans="18:18" ht="15.75" customHeight="1">
      <c r="R737" s="30"/>
    </row>
    <row r="738" spans="18:18" ht="15.75" customHeight="1">
      <c r="R738" s="30"/>
    </row>
    <row r="739" spans="18:18" ht="15.75" customHeight="1">
      <c r="R739" s="30"/>
    </row>
    <row r="740" spans="18:18" ht="15.75" customHeight="1">
      <c r="R740" s="30"/>
    </row>
    <row r="741" spans="18:18" ht="15.75" customHeight="1">
      <c r="R741" s="30"/>
    </row>
    <row r="742" spans="18:18" ht="15.75" customHeight="1">
      <c r="R742" s="30"/>
    </row>
    <row r="743" spans="18:18" ht="15.75" customHeight="1">
      <c r="R743" s="30"/>
    </row>
    <row r="744" spans="18:18" ht="15.75" customHeight="1">
      <c r="R744" s="30"/>
    </row>
    <row r="745" spans="18:18" ht="15.75" customHeight="1">
      <c r="R745" s="30"/>
    </row>
    <row r="746" spans="18:18" ht="15.75" customHeight="1">
      <c r="R746" s="30"/>
    </row>
    <row r="747" spans="18:18" ht="15.75" customHeight="1">
      <c r="R747" s="30"/>
    </row>
    <row r="748" spans="18:18" ht="15.75" customHeight="1">
      <c r="R748" s="30"/>
    </row>
    <row r="749" spans="18:18" ht="15.75" customHeight="1">
      <c r="R749" s="30"/>
    </row>
    <row r="750" spans="18:18" ht="15.75" customHeight="1">
      <c r="R750" s="30"/>
    </row>
    <row r="751" spans="18:18" ht="15.75" customHeight="1">
      <c r="R751" s="30"/>
    </row>
    <row r="752" spans="18:18" ht="15.75" customHeight="1">
      <c r="R752" s="30"/>
    </row>
    <row r="753" spans="18:18" ht="15.75" customHeight="1">
      <c r="R753" s="30"/>
    </row>
    <row r="754" spans="18:18" ht="15.75" customHeight="1">
      <c r="R754" s="30"/>
    </row>
    <row r="755" spans="18:18" ht="15.75" customHeight="1">
      <c r="R755" s="30"/>
    </row>
    <row r="756" spans="18:18" ht="15.75" customHeight="1">
      <c r="R756" s="30"/>
    </row>
    <row r="757" spans="18:18" ht="15.75" customHeight="1">
      <c r="R757" s="30"/>
    </row>
    <row r="758" spans="18:18" ht="15.75" customHeight="1">
      <c r="R758" s="30"/>
    </row>
    <row r="759" spans="18:18" ht="15.75" customHeight="1">
      <c r="R759" s="30"/>
    </row>
    <row r="760" spans="18:18" ht="15.75" customHeight="1">
      <c r="R760" s="30"/>
    </row>
    <row r="761" spans="18:18" ht="15.75" customHeight="1">
      <c r="R761" s="30"/>
    </row>
    <row r="762" spans="18:18" ht="15.75" customHeight="1">
      <c r="R762" s="30"/>
    </row>
    <row r="763" spans="18:18" ht="15.75" customHeight="1">
      <c r="R763" s="30"/>
    </row>
    <row r="764" spans="18:18" ht="15.75" customHeight="1">
      <c r="R764" s="30"/>
    </row>
    <row r="765" spans="18:18" ht="15.75" customHeight="1">
      <c r="R765" s="30"/>
    </row>
    <row r="766" spans="18:18" ht="15.75" customHeight="1">
      <c r="R766" s="30"/>
    </row>
    <row r="767" spans="18:18" ht="15.75" customHeight="1">
      <c r="R767" s="30"/>
    </row>
    <row r="768" spans="18:18" ht="15.75" customHeight="1">
      <c r="R768" s="30"/>
    </row>
    <row r="769" spans="18:18" ht="15.75" customHeight="1">
      <c r="R769" s="30"/>
    </row>
    <row r="770" spans="18:18" ht="15.75" customHeight="1">
      <c r="R770" s="30"/>
    </row>
    <row r="771" spans="18:18" ht="15.75" customHeight="1">
      <c r="R771" s="30"/>
    </row>
    <row r="772" spans="18:18" ht="15.75" customHeight="1">
      <c r="R772" s="30"/>
    </row>
    <row r="773" spans="18:18" ht="15.75" customHeight="1">
      <c r="R773" s="30"/>
    </row>
    <row r="774" spans="18:18" ht="15.75" customHeight="1">
      <c r="R774" s="30"/>
    </row>
    <row r="775" spans="18:18" ht="15.75" customHeight="1">
      <c r="R775" s="30"/>
    </row>
    <row r="776" spans="18:18" ht="15.75" customHeight="1">
      <c r="R776" s="30"/>
    </row>
    <row r="777" spans="18:18" ht="15.75" customHeight="1">
      <c r="R777" s="30"/>
    </row>
    <row r="778" spans="18:18" ht="15.75" customHeight="1">
      <c r="R778" s="30"/>
    </row>
    <row r="779" spans="18:18" ht="15.75" customHeight="1">
      <c r="R779" s="30"/>
    </row>
    <row r="780" spans="18:18" ht="15.75" customHeight="1">
      <c r="R780" s="30"/>
    </row>
    <row r="781" spans="18:18" ht="15.75" customHeight="1">
      <c r="R781" s="30"/>
    </row>
    <row r="782" spans="18:18" ht="15.75" customHeight="1">
      <c r="R782" s="30"/>
    </row>
    <row r="783" spans="18:18" ht="15.75" customHeight="1">
      <c r="R783" s="30"/>
    </row>
    <row r="784" spans="18:18" ht="15.75" customHeight="1">
      <c r="R784" s="30"/>
    </row>
    <row r="785" spans="18:18" ht="15.75" customHeight="1">
      <c r="R785" s="30"/>
    </row>
    <row r="786" spans="18:18" ht="15.75" customHeight="1">
      <c r="R786" s="30"/>
    </row>
    <row r="787" spans="18:18" ht="15.75" customHeight="1">
      <c r="R787" s="30"/>
    </row>
    <row r="788" spans="18:18" ht="15.75" customHeight="1">
      <c r="R788" s="30"/>
    </row>
    <row r="789" spans="18:18" ht="15.75" customHeight="1">
      <c r="R789" s="30"/>
    </row>
    <row r="790" spans="18:18" ht="15.75" customHeight="1">
      <c r="R790" s="30"/>
    </row>
    <row r="791" spans="18:18" ht="15.75" customHeight="1">
      <c r="R791" s="30"/>
    </row>
    <row r="792" spans="18:18" ht="15.75" customHeight="1">
      <c r="R792" s="30"/>
    </row>
    <row r="793" spans="18:18" ht="15.75" customHeight="1">
      <c r="R793" s="30"/>
    </row>
    <row r="794" spans="18:18" ht="15.75" customHeight="1">
      <c r="R794" s="30"/>
    </row>
    <row r="795" spans="18:18" ht="15.75" customHeight="1">
      <c r="R795" s="30"/>
    </row>
    <row r="796" spans="18:18" ht="15.75" customHeight="1">
      <c r="R796" s="30"/>
    </row>
    <row r="797" spans="18:18" ht="15.75" customHeight="1">
      <c r="R797" s="30"/>
    </row>
    <row r="798" spans="18:18" ht="15.75" customHeight="1">
      <c r="R798" s="30"/>
    </row>
    <row r="799" spans="18:18" ht="15.75" customHeight="1">
      <c r="R799" s="30"/>
    </row>
    <row r="800" spans="18:18" ht="15.75" customHeight="1">
      <c r="R800" s="30"/>
    </row>
    <row r="801" spans="18:18" ht="15.75" customHeight="1">
      <c r="R801" s="30"/>
    </row>
    <row r="802" spans="18:18" ht="15.75" customHeight="1">
      <c r="R802" s="30"/>
    </row>
    <row r="803" spans="18:18" ht="15.75" customHeight="1">
      <c r="R803" s="30"/>
    </row>
    <row r="804" spans="18:18" ht="15.75" customHeight="1">
      <c r="R804" s="30"/>
    </row>
    <row r="805" spans="18:18" ht="15.75" customHeight="1">
      <c r="R805" s="30"/>
    </row>
    <row r="806" spans="18:18" ht="15.75" customHeight="1">
      <c r="R806" s="30"/>
    </row>
    <row r="807" spans="18:18" ht="15.75" customHeight="1">
      <c r="R807" s="30"/>
    </row>
    <row r="808" spans="18:18" ht="15.75" customHeight="1">
      <c r="R808" s="30"/>
    </row>
    <row r="809" spans="18:18" ht="15.75" customHeight="1">
      <c r="R809" s="30"/>
    </row>
    <row r="810" spans="18:18" ht="15.75" customHeight="1">
      <c r="R810" s="30"/>
    </row>
    <row r="811" spans="18:18" ht="15.75" customHeight="1">
      <c r="R811" s="30"/>
    </row>
    <row r="812" spans="18:18" ht="15.75" customHeight="1">
      <c r="R812" s="30"/>
    </row>
    <row r="813" spans="18:18" ht="15.75" customHeight="1">
      <c r="R813" s="30"/>
    </row>
    <row r="814" spans="18:18" ht="15.75" customHeight="1">
      <c r="R814" s="30"/>
    </row>
    <row r="815" spans="18:18" ht="15.75" customHeight="1">
      <c r="R815" s="30"/>
    </row>
    <row r="816" spans="18:18" ht="15.75" customHeight="1">
      <c r="R816" s="30"/>
    </row>
    <row r="817" spans="18:18" ht="15.75" customHeight="1">
      <c r="R817" s="30"/>
    </row>
    <row r="818" spans="18:18" ht="15.75" customHeight="1">
      <c r="R818" s="30"/>
    </row>
    <row r="819" spans="18:18" ht="15.75" customHeight="1">
      <c r="R819" s="30"/>
    </row>
    <row r="820" spans="18:18" ht="15.75" customHeight="1">
      <c r="R820" s="30"/>
    </row>
    <row r="821" spans="18:18" ht="15.75" customHeight="1">
      <c r="R821" s="30"/>
    </row>
    <row r="822" spans="18:18" ht="15.75" customHeight="1">
      <c r="R822" s="30"/>
    </row>
    <row r="823" spans="18:18" ht="15.75" customHeight="1">
      <c r="R823" s="30"/>
    </row>
    <row r="824" spans="18:18" ht="15.75" customHeight="1">
      <c r="R824" s="30"/>
    </row>
    <row r="825" spans="18:18" ht="15.75" customHeight="1">
      <c r="R825" s="30"/>
    </row>
    <row r="826" spans="18:18" ht="15.75" customHeight="1">
      <c r="R826" s="30"/>
    </row>
    <row r="827" spans="18:18" ht="15.75" customHeight="1">
      <c r="R827" s="30"/>
    </row>
    <row r="828" spans="18:18" ht="15.75" customHeight="1">
      <c r="R828" s="30"/>
    </row>
    <row r="829" spans="18:18" ht="15.75" customHeight="1">
      <c r="R829" s="30"/>
    </row>
    <row r="830" spans="18:18" ht="15.75" customHeight="1">
      <c r="R830" s="30"/>
    </row>
    <row r="831" spans="18:18" ht="15.75" customHeight="1">
      <c r="R831" s="30"/>
    </row>
    <row r="832" spans="18:18" ht="15.75" customHeight="1">
      <c r="R832" s="30"/>
    </row>
    <row r="833" spans="18:18" ht="15.75" customHeight="1">
      <c r="R833" s="30"/>
    </row>
    <row r="834" spans="18:18" ht="15.75" customHeight="1">
      <c r="R834" s="30"/>
    </row>
    <row r="835" spans="18:18" ht="15.75" customHeight="1">
      <c r="R835" s="30"/>
    </row>
    <row r="836" spans="18:18" ht="15.75" customHeight="1">
      <c r="R836" s="30"/>
    </row>
    <row r="837" spans="18:18" ht="15.75" customHeight="1">
      <c r="R837" s="30"/>
    </row>
    <row r="838" spans="18:18" ht="15.75" customHeight="1">
      <c r="R838" s="30"/>
    </row>
    <row r="839" spans="18:18" ht="15.75" customHeight="1">
      <c r="R839" s="30"/>
    </row>
    <row r="840" spans="18:18" ht="15.75" customHeight="1">
      <c r="R840" s="30"/>
    </row>
    <row r="841" spans="18:18" ht="15.75" customHeight="1">
      <c r="R841" s="30"/>
    </row>
    <row r="842" spans="18:18" ht="15.75" customHeight="1">
      <c r="R842" s="30"/>
    </row>
    <row r="843" spans="18:18" ht="15.75" customHeight="1">
      <c r="R843" s="30"/>
    </row>
    <row r="844" spans="18:18" ht="15.75" customHeight="1">
      <c r="R844" s="30"/>
    </row>
    <row r="845" spans="18:18" ht="15.75" customHeight="1">
      <c r="R845" s="30"/>
    </row>
    <row r="846" spans="18:18" ht="15.75" customHeight="1">
      <c r="R846" s="30"/>
    </row>
    <row r="847" spans="18:18" ht="15.75" customHeight="1">
      <c r="R847" s="30"/>
    </row>
    <row r="848" spans="18:18" ht="15.75" customHeight="1">
      <c r="R848" s="30"/>
    </row>
    <row r="849" spans="18:18" ht="15.75" customHeight="1">
      <c r="R849" s="30"/>
    </row>
    <row r="850" spans="18:18" ht="15.75" customHeight="1">
      <c r="R850" s="30"/>
    </row>
    <row r="851" spans="18:18" ht="15.75" customHeight="1">
      <c r="R851" s="30"/>
    </row>
    <row r="852" spans="18:18" ht="15.75" customHeight="1">
      <c r="R852" s="30"/>
    </row>
    <row r="853" spans="18:18" ht="15.75" customHeight="1">
      <c r="R853" s="30"/>
    </row>
    <row r="854" spans="18:18" ht="15.75" customHeight="1">
      <c r="R854" s="30"/>
    </row>
    <row r="855" spans="18:18" ht="15.75" customHeight="1">
      <c r="R855" s="30"/>
    </row>
    <row r="856" spans="18:18" ht="15.75" customHeight="1">
      <c r="R856" s="30"/>
    </row>
    <row r="857" spans="18:18" ht="15.75" customHeight="1">
      <c r="R857" s="30"/>
    </row>
    <row r="858" spans="18:18" ht="15.75" customHeight="1">
      <c r="R858" s="30"/>
    </row>
    <row r="859" spans="18:18" ht="15.75" customHeight="1">
      <c r="R859" s="30"/>
    </row>
    <row r="860" spans="18:18" ht="15.75" customHeight="1">
      <c r="R860" s="30"/>
    </row>
    <row r="861" spans="18:18" ht="15.75" customHeight="1">
      <c r="R861" s="30"/>
    </row>
    <row r="862" spans="18:18" ht="15.75" customHeight="1">
      <c r="R862" s="30"/>
    </row>
    <row r="863" spans="18:18" ht="15.75" customHeight="1">
      <c r="R863" s="30"/>
    </row>
    <row r="864" spans="18:18" ht="15.75" customHeight="1">
      <c r="R864" s="30"/>
    </row>
    <row r="865" spans="18:18" ht="15.75" customHeight="1">
      <c r="R865" s="30"/>
    </row>
    <row r="866" spans="18:18" ht="15.75" customHeight="1">
      <c r="R866" s="30"/>
    </row>
    <row r="867" spans="18:18" ht="15.75" customHeight="1">
      <c r="R867" s="30"/>
    </row>
    <row r="868" spans="18:18" ht="15.75" customHeight="1">
      <c r="R868" s="30"/>
    </row>
    <row r="869" spans="18:18" ht="15.75" customHeight="1">
      <c r="R869" s="30"/>
    </row>
    <row r="870" spans="18:18" ht="15.75" customHeight="1">
      <c r="R870" s="30"/>
    </row>
    <row r="871" spans="18:18" ht="15.75" customHeight="1">
      <c r="R871" s="30"/>
    </row>
    <row r="872" spans="18:18" ht="15.75" customHeight="1">
      <c r="R872" s="30"/>
    </row>
    <row r="873" spans="18:18" ht="15.75" customHeight="1">
      <c r="R873" s="30"/>
    </row>
    <row r="874" spans="18:18" ht="15.75" customHeight="1">
      <c r="R874" s="30"/>
    </row>
    <row r="875" spans="18:18" ht="15.75" customHeight="1">
      <c r="R875" s="30"/>
    </row>
    <row r="876" spans="18:18" ht="15.75" customHeight="1">
      <c r="R876" s="30"/>
    </row>
    <row r="877" spans="18:18" ht="15.75" customHeight="1">
      <c r="R877" s="30"/>
    </row>
    <row r="878" spans="18:18" ht="15.75" customHeight="1">
      <c r="R878" s="30"/>
    </row>
    <row r="879" spans="18:18" ht="15.75" customHeight="1">
      <c r="R879" s="30"/>
    </row>
    <row r="880" spans="18:18" ht="15.75" customHeight="1">
      <c r="R880" s="30"/>
    </row>
    <row r="881" spans="18:18" ht="15.75" customHeight="1">
      <c r="R881" s="30"/>
    </row>
    <row r="882" spans="18:18" ht="15.75" customHeight="1">
      <c r="R882" s="30"/>
    </row>
    <row r="883" spans="18:18" ht="15.75" customHeight="1">
      <c r="R883" s="30"/>
    </row>
    <row r="884" spans="18:18" ht="15.75" customHeight="1">
      <c r="R884" s="30"/>
    </row>
    <row r="885" spans="18:18" ht="15.75" customHeight="1">
      <c r="R885" s="30"/>
    </row>
    <row r="886" spans="18:18" ht="15.75" customHeight="1">
      <c r="R886" s="30"/>
    </row>
    <row r="887" spans="18:18" ht="15.75" customHeight="1">
      <c r="R887" s="30"/>
    </row>
    <row r="888" spans="18:18" ht="15.75" customHeight="1">
      <c r="R888" s="30"/>
    </row>
    <row r="889" spans="18:18" ht="15.75" customHeight="1">
      <c r="R889" s="30"/>
    </row>
    <row r="890" spans="18:18" ht="15.75" customHeight="1">
      <c r="R890" s="30"/>
    </row>
    <row r="891" spans="18:18" ht="15.75" customHeight="1">
      <c r="R891" s="30"/>
    </row>
    <row r="892" spans="18:18" ht="15.75" customHeight="1">
      <c r="R892" s="30"/>
    </row>
    <row r="893" spans="18:18" ht="15.75" customHeight="1">
      <c r="R893" s="30"/>
    </row>
    <row r="894" spans="18:18" ht="15.75" customHeight="1">
      <c r="R894" s="30"/>
    </row>
    <row r="895" spans="18:18" ht="15.75" customHeight="1">
      <c r="R895" s="30"/>
    </row>
    <row r="896" spans="18:18" ht="15.75" customHeight="1">
      <c r="R896" s="30"/>
    </row>
    <row r="897" spans="18:18" ht="15.75" customHeight="1">
      <c r="R897" s="30"/>
    </row>
    <row r="898" spans="18:18" ht="15.75" customHeight="1">
      <c r="R898" s="30"/>
    </row>
    <row r="899" spans="18:18" ht="15.75" customHeight="1">
      <c r="R899" s="30"/>
    </row>
    <row r="900" spans="18:18" ht="15.75" customHeight="1">
      <c r="R900" s="30"/>
    </row>
    <row r="901" spans="18:18" ht="15.75" customHeight="1">
      <c r="R901" s="30"/>
    </row>
    <row r="902" spans="18:18" ht="15.75" customHeight="1">
      <c r="R902" s="30"/>
    </row>
    <row r="903" spans="18:18" ht="15.75" customHeight="1">
      <c r="R903" s="30"/>
    </row>
    <row r="904" spans="18:18" ht="15.75" customHeight="1">
      <c r="R904" s="30"/>
    </row>
    <row r="905" spans="18:18" ht="15.75" customHeight="1">
      <c r="R905" s="30"/>
    </row>
    <row r="906" spans="18:18" ht="15.75" customHeight="1">
      <c r="R906" s="30"/>
    </row>
    <row r="907" spans="18:18" ht="15.75" customHeight="1">
      <c r="R907" s="30"/>
    </row>
    <row r="908" spans="18:18" ht="15.75" customHeight="1">
      <c r="R908" s="30"/>
    </row>
    <row r="909" spans="18:18" ht="15.75" customHeight="1">
      <c r="R909" s="30"/>
    </row>
    <row r="910" spans="18:18" ht="15.75" customHeight="1">
      <c r="R910" s="30"/>
    </row>
    <row r="911" spans="18:18" ht="15.75" customHeight="1">
      <c r="R911" s="30"/>
    </row>
    <row r="912" spans="18:18" ht="15.75" customHeight="1">
      <c r="R912" s="30"/>
    </row>
    <row r="913" spans="18:18" ht="15.75" customHeight="1">
      <c r="R913" s="30"/>
    </row>
    <row r="914" spans="18:18" ht="15.75" customHeight="1">
      <c r="R914" s="30"/>
    </row>
    <row r="915" spans="18:18" ht="15.75" customHeight="1">
      <c r="R915" s="30"/>
    </row>
    <row r="916" spans="18:18" ht="15.75" customHeight="1">
      <c r="R916" s="30"/>
    </row>
    <row r="917" spans="18:18" ht="15.75" customHeight="1">
      <c r="R917" s="30"/>
    </row>
    <row r="918" spans="18:18" ht="15.75" customHeight="1">
      <c r="R918" s="30"/>
    </row>
    <row r="919" spans="18:18" ht="15.75" customHeight="1">
      <c r="R919" s="30"/>
    </row>
    <row r="920" spans="18:18" ht="15.75" customHeight="1">
      <c r="R920" s="30"/>
    </row>
    <row r="921" spans="18:18" ht="15.75" customHeight="1">
      <c r="R921" s="30"/>
    </row>
    <row r="922" spans="18:18" ht="15.75" customHeight="1">
      <c r="R922" s="30"/>
    </row>
    <row r="923" spans="18:18" ht="15.75" customHeight="1">
      <c r="R923" s="30"/>
    </row>
    <row r="924" spans="18:18" ht="15.75" customHeight="1">
      <c r="R924" s="30"/>
    </row>
    <row r="925" spans="18:18" ht="15.75" customHeight="1">
      <c r="R925" s="30"/>
    </row>
    <row r="926" spans="18:18" ht="15.75" customHeight="1">
      <c r="R926" s="30"/>
    </row>
    <row r="927" spans="18:18" ht="15.75" customHeight="1">
      <c r="R927" s="30"/>
    </row>
    <row r="928" spans="18:18" ht="15.75" customHeight="1">
      <c r="R928" s="30"/>
    </row>
    <row r="929" spans="18:18" ht="15.75" customHeight="1">
      <c r="R929" s="30"/>
    </row>
    <row r="930" spans="18:18" ht="15.75" customHeight="1">
      <c r="R930" s="30"/>
    </row>
    <row r="931" spans="18:18" ht="15.75" customHeight="1">
      <c r="R931" s="30"/>
    </row>
    <row r="932" spans="18:18" ht="15.75" customHeight="1">
      <c r="R932" s="30"/>
    </row>
    <row r="933" spans="18:18" ht="15.75" customHeight="1">
      <c r="R933" s="30"/>
    </row>
    <row r="934" spans="18:18" ht="15.75" customHeight="1">
      <c r="R934" s="30"/>
    </row>
    <row r="935" spans="18:18" ht="15.75" customHeight="1">
      <c r="R935" s="30"/>
    </row>
    <row r="936" spans="18:18" ht="15.75" customHeight="1">
      <c r="R936" s="30"/>
    </row>
    <row r="937" spans="18:18" ht="15.75" customHeight="1">
      <c r="R937" s="30"/>
    </row>
    <row r="938" spans="18:18" ht="15.75" customHeight="1">
      <c r="R938" s="30"/>
    </row>
    <row r="939" spans="18:18" ht="15.75" customHeight="1">
      <c r="R939" s="30"/>
    </row>
    <row r="940" spans="18:18" ht="15.75" customHeight="1">
      <c r="R940" s="30"/>
    </row>
    <row r="941" spans="18:18" ht="15.75" customHeight="1">
      <c r="R941" s="30"/>
    </row>
    <row r="942" spans="18:18" ht="15.75" customHeight="1">
      <c r="R942" s="30"/>
    </row>
    <row r="943" spans="18:18" ht="15.75" customHeight="1">
      <c r="R943" s="30"/>
    </row>
    <row r="944" spans="18:18" ht="15.75" customHeight="1">
      <c r="R944" s="30"/>
    </row>
    <row r="945" spans="18:18" ht="15.75" customHeight="1">
      <c r="R945" s="30"/>
    </row>
    <row r="946" spans="18:18" ht="15.75" customHeight="1">
      <c r="R946" s="30"/>
    </row>
    <row r="947" spans="18:18" ht="15.75" customHeight="1">
      <c r="R947" s="30"/>
    </row>
    <row r="948" spans="18:18" ht="15.75" customHeight="1">
      <c r="R948" s="30"/>
    </row>
    <row r="949" spans="18:18" ht="15.75" customHeight="1">
      <c r="R949" s="30"/>
    </row>
    <row r="950" spans="18:18" ht="15.75" customHeight="1">
      <c r="R950" s="30"/>
    </row>
    <row r="951" spans="18:18" ht="15.75" customHeight="1">
      <c r="R951" s="30"/>
    </row>
    <row r="952" spans="18:18" ht="15.75" customHeight="1">
      <c r="R952" s="30"/>
    </row>
    <row r="953" spans="18:18" ht="15.75" customHeight="1">
      <c r="R953" s="30"/>
    </row>
    <row r="954" spans="18:18" ht="15.75" customHeight="1">
      <c r="R954" s="30"/>
    </row>
    <row r="955" spans="18:18" ht="15.75" customHeight="1">
      <c r="R955" s="30"/>
    </row>
    <row r="956" spans="18:18" ht="15.75" customHeight="1">
      <c r="R956" s="30"/>
    </row>
    <row r="957" spans="18:18" ht="15.75" customHeight="1">
      <c r="R957" s="30"/>
    </row>
    <row r="958" spans="18:18" ht="15.75" customHeight="1">
      <c r="R958" s="30"/>
    </row>
    <row r="959" spans="18:18" ht="15.75" customHeight="1">
      <c r="R959" s="30"/>
    </row>
    <row r="960" spans="18:18" ht="15.75" customHeight="1">
      <c r="R960" s="30"/>
    </row>
    <row r="961" spans="18:18" ht="15.75" customHeight="1">
      <c r="R961" s="30"/>
    </row>
    <row r="962" spans="18:18" ht="15.75" customHeight="1">
      <c r="R962" s="30"/>
    </row>
    <row r="963" spans="18:18" ht="15.75" customHeight="1">
      <c r="R963" s="30"/>
    </row>
    <row r="964" spans="18:18" ht="15.75" customHeight="1">
      <c r="R964" s="30"/>
    </row>
    <row r="965" spans="18:18" ht="15.75" customHeight="1">
      <c r="R965" s="30"/>
    </row>
    <row r="966" spans="18:18" ht="15.75" customHeight="1">
      <c r="R966" s="30"/>
    </row>
    <row r="967" spans="18:18" ht="15.75" customHeight="1">
      <c r="R967" s="30"/>
    </row>
    <row r="968" spans="18:18" ht="15.75" customHeight="1">
      <c r="R968" s="30"/>
    </row>
    <row r="969" spans="18:18" ht="15.75" customHeight="1">
      <c r="R969" s="30"/>
    </row>
    <row r="970" spans="18:18" ht="15.75" customHeight="1">
      <c r="R970" s="30"/>
    </row>
    <row r="971" spans="18:18" ht="15.75" customHeight="1">
      <c r="R971" s="30"/>
    </row>
    <row r="972" spans="18:18" ht="15.75" customHeight="1">
      <c r="R972" s="30"/>
    </row>
    <row r="973" spans="18:18" ht="15.75" customHeight="1">
      <c r="R973" s="30"/>
    </row>
    <row r="974" spans="18:18" ht="15.75" customHeight="1">
      <c r="R974" s="30"/>
    </row>
    <row r="975" spans="18:18" ht="15.75" customHeight="1">
      <c r="R975" s="30"/>
    </row>
    <row r="976" spans="18:18" ht="15.75" customHeight="1">
      <c r="R976" s="30"/>
    </row>
    <row r="977" spans="18:18" ht="15.75" customHeight="1">
      <c r="R977" s="30"/>
    </row>
    <row r="978" spans="18:18" ht="15.75" customHeight="1">
      <c r="R978" s="30"/>
    </row>
    <row r="979" spans="18:18" ht="15.75" customHeight="1">
      <c r="R979" s="30"/>
    </row>
    <row r="980" spans="18:18" ht="15.75" customHeight="1">
      <c r="R980" s="30"/>
    </row>
    <row r="981" spans="18:18" ht="15.75" customHeight="1">
      <c r="R981" s="30"/>
    </row>
    <row r="982" spans="18:18" ht="15.75" customHeight="1">
      <c r="R982" s="30"/>
    </row>
    <row r="983" spans="18:18" ht="15.75" customHeight="1">
      <c r="R983" s="30"/>
    </row>
    <row r="984" spans="18:18" ht="15.75" customHeight="1">
      <c r="R984" s="30"/>
    </row>
    <row r="985" spans="18:18" ht="15.75" customHeight="1">
      <c r="R985" s="30"/>
    </row>
    <row r="986" spans="18:18" ht="15.75" customHeight="1">
      <c r="R986" s="30"/>
    </row>
    <row r="987" spans="18:18" ht="15.75" customHeight="1">
      <c r="R987" s="30"/>
    </row>
    <row r="988" spans="18:18" ht="15.75" customHeight="1">
      <c r="R988" s="30"/>
    </row>
    <row r="989" spans="18:18" ht="15.75" customHeight="1">
      <c r="R989" s="30"/>
    </row>
    <row r="990" spans="18:18" ht="15.75" customHeight="1">
      <c r="R990" s="30"/>
    </row>
    <row r="991" spans="18:18" ht="15.75" customHeight="1">
      <c r="R991" s="30"/>
    </row>
    <row r="992" spans="18:18" ht="15.75" customHeight="1">
      <c r="R992" s="30"/>
    </row>
    <row r="993" spans="18:18" ht="15.75" customHeight="1">
      <c r="R993" s="30"/>
    </row>
    <row r="994" spans="18:18" ht="15.75" customHeight="1">
      <c r="R994" s="30"/>
    </row>
    <row r="995" spans="18:18" ht="15.75" customHeight="1">
      <c r="R995" s="30"/>
    </row>
    <row r="996" spans="18:18" ht="15.75" customHeight="1">
      <c r="R996" s="30"/>
    </row>
    <row r="997" spans="18:18" ht="15.75" customHeight="1">
      <c r="R997" s="30"/>
    </row>
    <row r="998" spans="18:18" ht="15.75" customHeight="1">
      <c r="R998" s="30"/>
    </row>
    <row r="999" spans="18:18" ht="15.75" customHeight="1">
      <c r="R999" s="30"/>
    </row>
    <row r="1000" spans="18:18" ht="15.75" customHeight="1">
      <c r="R1000" s="3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2.6640625" defaultRowHeight="15" customHeight="1"/>
  <cols>
    <col min="1" max="1" width="13.33203125" customWidth="1"/>
    <col min="2" max="2" width="39.6640625" customWidth="1"/>
    <col min="3" max="3" width="8" customWidth="1"/>
    <col min="4" max="4" width="5.6640625" customWidth="1"/>
    <col min="5" max="5" width="8.6640625" customWidth="1"/>
    <col min="6" max="6" width="9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16.33203125" customWidth="1"/>
    <col min="16" max="16" width="10" customWidth="1"/>
    <col min="17" max="18" width="7.33203125" customWidth="1"/>
    <col min="19" max="19" width="7.1640625" customWidth="1"/>
    <col min="20" max="20" width="11.1640625" customWidth="1"/>
    <col min="21" max="21" width="20.1640625" customWidth="1"/>
    <col min="22" max="22" width="63.664062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6640625" customWidth="1"/>
    <col min="32" max="32" width="10.1640625" customWidth="1"/>
    <col min="33" max="33" width="8.83203125" customWidth="1"/>
  </cols>
  <sheetData>
    <row r="1" spans="1:33" ht="18.75" customHeight="1">
      <c r="A1" s="46" t="str">
        <f ca="1">IFERROR(__xludf.DUMMYFUNCTION("IFERROR(VLOOKUP(B2,IMPORTRANGE(""https://docs.google.com/spreadsheets/d/1x0DhHglkXKoEBOD2MBsuK_EyIr1ouxD2ftIpqOYFa-k/edit?usp=sharing"",""Ubiquitty-SKU-Specific Info!B1:BJ5000""),3,FALSE),"""")"),"100 Ft Black Oil Resistant Extension Cord for Farms and Ranches - 12/3 SJTOW Heavy Duty Outdoor Cable with 3 Prong Grounded Plug for Safety")</f>
        <v>100 Ft Black Oil Resistant Extension Cord for Farms and Ranches - 12/3 SJTOW Heavy Duty Outdoor Cable with 3 Prong Grounded Plug for Safety</v>
      </c>
      <c r="B1" s="47"/>
      <c r="C1" s="48" t="s">
        <v>0</v>
      </c>
      <c r="D1" s="50" t="s">
        <v>1</v>
      </c>
      <c r="E1" s="50" t="s">
        <v>2</v>
      </c>
      <c r="F1" s="52" t="s">
        <v>3</v>
      </c>
      <c r="G1" s="52" t="s">
        <v>4</v>
      </c>
      <c r="H1" s="53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58" t="s">
        <v>10</v>
      </c>
      <c r="N1" s="59" t="s">
        <v>11</v>
      </c>
      <c r="O1" s="50" t="s">
        <v>12</v>
      </c>
      <c r="P1" s="50" t="s">
        <v>13</v>
      </c>
      <c r="Q1" s="57" t="s">
        <v>14</v>
      </c>
      <c r="R1" s="57" t="s">
        <v>15</v>
      </c>
      <c r="S1" s="60" t="s">
        <v>16</v>
      </c>
      <c r="T1" s="62" t="s">
        <v>2006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Info!B1:BJ5000""),2,FALSE),"""")"),"B081HCT4KH")</f>
        <v>B081HCT4KH</v>
      </c>
      <c r="B2" s="3" t="s">
        <v>645</v>
      </c>
      <c r="C2" s="49"/>
      <c r="D2" s="49"/>
      <c r="E2" s="51"/>
      <c r="F2" s="49"/>
      <c r="G2" s="49"/>
      <c r="H2" s="54"/>
      <c r="I2" s="49"/>
      <c r="J2" s="49"/>
      <c r="K2" s="54"/>
      <c r="L2" s="54"/>
      <c r="M2" s="54"/>
      <c r="N2" s="49"/>
      <c r="O2" s="49"/>
      <c r="P2" s="51"/>
      <c r="Q2" s="49"/>
      <c r="R2" s="49"/>
      <c r="S2" s="61"/>
      <c r="T2" s="47"/>
      <c r="U2" s="63"/>
      <c r="V2" s="63"/>
      <c r="W2" s="47"/>
      <c r="X2" s="47"/>
      <c r="Y2" s="47"/>
      <c r="Z2" s="47"/>
      <c r="AA2" s="63"/>
      <c r="AB2" s="63"/>
      <c r="AC2" s="63"/>
      <c r="AD2" s="63"/>
      <c r="AE2" s="47"/>
      <c r="AF2" s="47"/>
      <c r="AG2" s="47"/>
    </row>
    <row r="3" spans="1:33" ht="129" customHeight="1">
      <c r="A3" s="55" t="s">
        <v>31</v>
      </c>
      <c r="B3" s="56"/>
      <c r="C3" s="4">
        <f>((AE32+AF32)/0.85)*-1</f>
        <v>58.562869298823529</v>
      </c>
      <c r="D3" s="5">
        <f>SUM(D4:D99765)</f>
        <v>203</v>
      </c>
      <c r="E3" s="5"/>
      <c r="F3" s="6">
        <f t="shared" ref="F3:G3" si="0">SUM(F4:F99765)</f>
        <v>16474.5</v>
      </c>
      <c r="G3" s="6">
        <f t="shared" si="0"/>
        <v>-0.22</v>
      </c>
      <c r="H3" s="7">
        <f t="shared" ref="H3:H32" si="1">G3/F3*-1</f>
        <v>1.3353971288961729E-5</v>
      </c>
      <c r="I3" s="8">
        <f t="shared" ref="I3:I32" si="2">J3/F3</f>
        <v>0.27026689826001515</v>
      </c>
      <c r="J3" s="6">
        <f>SUM(J4:J99765)</f>
        <v>4452.5120153846201</v>
      </c>
      <c r="K3" s="6">
        <f t="shared" ref="K3:K32" si="3">J3/D3</f>
        <v>21.933556726032613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Sheet!a1:g5000""),2,FALSE),"""")"),"2 - March
2 - April
2 - May
2 - June
2 - July
2 - Aug
5 - Sept
2 - Oct
2 - Nov
1.5 - Dec
1 - Jan
2 - Feb")</f>
        <v>2 - March
2 - April
2 - May
2 - June
2 - July
2 - Aug
5 - Sept
2 - Oct
2 - Nov
1.5 - Dec
1 - Jan
2 -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QTY-0")</f>
        <v>US QTY-0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1</v>
      </c>
      <c r="X3" s="7">
        <f>W3/D3</f>
        <v>4.9261083743842365E-3</v>
      </c>
      <c r="Y3" s="6"/>
      <c r="Z3" s="5"/>
      <c r="AA3" s="5"/>
      <c r="AB3" s="5"/>
      <c r="AC3" s="5"/>
      <c r="AD3" s="6">
        <f>SUM(AD4:AD99765)</f>
        <v>-129.48693333333335</v>
      </c>
      <c r="AE3" s="6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Info!B2:BZ3000""),37,FALSE)),"""")*-1"),-40.498438904)</f>
        <v>-40.498438903999997</v>
      </c>
      <c r="AG3" s="6">
        <f>SUM(AG4:AG99765)</f>
        <v>0</v>
      </c>
    </row>
    <row r="4" spans="1:33" ht="15.75" customHeight="1">
      <c r="A4" s="14" t="s">
        <v>181</v>
      </c>
      <c r="B4" s="14" t="s">
        <v>343</v>
      </c>
      <c r="C4" s="15" t="str">
        <f t="shared" ref="C4:C32" si="4">IFERROR(F4/D4," - ")</f>
        <v xml:space="preserve"> - </v>
      </c>
      <c r="D4" s="16">
        <v>0</v>
      </c>
      <c r="E4" s="16">
        <v>0</v>
      </c>
      <c r="F4" s="17">
        <v>0</v>
      </c>
      <c r="G4" s="17">
        <v>0</v>
      </c>
      <c r="H4" s="18" t="e">
        <f t="shared" si="1"/>
        <v>#DIV/0!</v>
      </c>
      <c r="I4" s="18" t="e">
        <f t="shared" si="2"/>
        <v>#DIV/0!</v>
      </c>
      <c r="J4" s="17">
        <f t="shared" ref="J4:J32" si="5">F4*0.85+G4+AF4*D4+D4*AE4+AG4+AD4</f>
        <v>0</v>
      </c>
      <c r="K4" s="17" t="e">
        <f t="shared" si="3"/>
        <v>#DIV/0!</v>
      </c>
      <c r="L4" s="16">
        <v>0</v>
      </c>
      <c r="M4" s="19" t="str">
        <f t="shared" ref="M4:M32" si="6">IFERROR(D4/L4,"-")</f>
        <v>-</v>
      </c>
      <c r="N4" s="16">
        <v>0</v>
      </c>
      <c r="O4" s="20">
        <f t="shared" ref="O4:P4" si="7">D4/7</f>
        <v>0</v>
      </c>
      <c r="P4" s="20">
        <f t="shared" si="7"/>
        <v>0</v>
      </c>
      <c r="Q4" s="16" t="e">
        <f t="shared" ref="Q4:Q32" si="8">ROUNDDOWN(N4/(O4+P4),0)</f>
        <v>#DIV/0!</v>
      </c>
      <c r="R4" s="16"/>
      <c r="S4" s="21" t="e">
        <v>#N/A</v>
      </c>
      <c r="T4" s="14">
        <v>204</v>
      </c>
      <c r="U4" s="22">
        <v>102</v>
      </c>
      <c r="V4" s="23" t="s">
        <v>646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26" t="e">
        <v>#N/A</v>
      </c>
      <c r="AB4" s="27" t="e">
        <f t="shared" ref="AB4:AB32" si="11">IF(OR(AA4="UsLargeStandardSize",AA4="UsSmallStandardSize"),-0.69,-0.48)</f>
        <v>#N/A</v>
      </c>
      <c r="AC4" s="28" t="e">
        <v>#N/A</v>
      </c>
      <c r="AD4" s="25">
        <f t="shared" ref="AD4:AD32" si="12">IFERROR(AB4*AC4*D4*2,0)</f>
        <v>0</v>
      </c>
      <c r="AE4" s="25">
        <v>0</v>
      </c>
      <c r="AF4" s="25">
        <v>-31.249829059829057</v>
      </c>
      <c r="AG4" s="25">
        <v>0</v>
      </c>
    </row>
    <row r="5" spans="1:33" ht="15.75" customHeight="1">
      <c r="A5" s="14" t="s">
        <v>183</v>
      </c>
      <c r="B5" s="14"/>
      <c r="C5" s="15" t="str">
        <f t="shared" si="4"/>
        <v xml:space="preserve"> - </v>
      </c>
      <c r="D5" s="16">
        <v>0</v>
      </c>
      <c r="E5" s="16">
        <v>0</v>
      </c>
      <c r="F5" s="29">
        <v>0</v>
      </c>
      <c r="G5" s="29">
        <v>0</v>
      </c>
      <c r="H5" s="18" t="e">
        <f t="shared" si="1"/>
        <v>#DIV/0!</v>
      </c>
      <c r="I5" s="18" t="e">
        <f t="shared" si="2"/>
        <v>#DIV/0!</v>
      </c>
      <c r="J5" s="17">
        <f t="shared" si="5"/>
        <v>0</v>
      </c>
      <c r="K5" s="17" t="e">
        <f t="shared" si="3"/>
        <v>#DIV/0!</v>
      </c>
      <c r="L5" s="16">
        <v>0</v>
      </c>
      <c r="M5" s="19" t="str">
        <f t="shared" si="6"/>
        <v>-</v>
      </c>
      <c r="N5" s="16">
        <v>0</v>
      </c>
      <c r="O5" s="20">
        <f t="shared" ref="O5:P5" si="13">D5/7</f>
        <v>0</v>
      </c>
      <c r="P5" s="20">
        <f t="shared" si="13"/>
        <v>0</v>
      </c>
      <c r="Q5" s="16" t="e">
        <f t="shared" si="8"/>
        <v>#DIV/0!</v>
      </c>
      <c r="R5" s="16"/>
      <c r="S5" s="21" t="e">
        <v>#N/A</v>
      </c>
      <c r="T5" s="14">
        <v>204</v>
      </c>
      <c r="U5" s="22">
        <v>102</v>
      </c>
      <c r="V5" s="23" t="s">
        <v>647</v>
      </c>
      <c r="W5" s="14">
        <v>0</v>
      </c>
      <c r="X5" s="24">
        <f t="shared" si="9"/>
        <v>0</v>
      </c>
      <c r="Y5" s="25">
        <f t="shared" si="10"/>
        <v>0</v>
      </c>
      <c r="Z5" s="14">
        <v>0</v>
      </c>
      <c r="AA5" s="14" t="e">
        <v>#N/A</v>
      </c>
      <c r="AB5" s="27" t="e">
        <f t="shared" si="11"/>
        <v>#N/A</v>
      </c>
      <c r="AC5" s="28" t="e">
        <v>#N/A</v>
      </c>
      <c r="AD5" s="25">
        <f t="shared" si="12"/>
        <v>0</v>
      </c>
      <c r="AE5" s="25">
        <v>0</v>
      </c>
      <c r="AF5" s="25">
        <v>-31.249829059829057</v>
      </c>
      <c r="AG5" s="25">
        <v>0</v>
      </c>
    </row>
    <row r="6" spans="1:33" ht="15.75" customHeight="1">
      <c r="A6" s="14" t="s">
        <v>185</v>
      </c>
      <c r="B6" s="14"/>
      <c r="C6" s="15" t="str">
        <f t="shared" si="4"/>
        <v xml:space="preserve"> - </v>
      </c>
      <c r="D6" s="16">
        <v>0</v>
      </c>
      <c r="E6" s="16">
        <v>0</v>
      </c>
      <c r="F6" s="29">
        <v>0</v>
      </c>
      <c r="G6" s="29">
        <v>0</v>
      </c>
      <c r="H6" s="18" t="e">
        <f t="shared" si="1"/>
        <v>#DIV/0!</v>
      </c>
      <c r="I6" s="18" t="e">
        <f t="shared" si="2"/>
        <v>#DIV/0!</v>
      </c>
      <c r="J6" s="17">
        <f t="shared" si="5"/>
        <v>0</v>
      </c>
      <c r="K6" s="17" t="e">
        <f t="shared" si="3"/>
        <v>#DIV/0!</v>
      </c>
      <c r="L6" s="16">
        <v>0</v>
      </c>
      <c r="M6" s="19" t="str">
        <f t="shared" si="6"/>
        <v>-</v>
      </c>
      <c r="N6" s="16">
        <v>0</v>
      </c>
      <c r="O6" s="20">
        <f t="shared" ref="O6:P6" si="14">D6/7</f>
        <v>0</v>
      </c>
      <c r="P6" s="20">
        <f t="shared" si="14"/>
        <v>0</v>
      </c>
      <c r="Q6" s="16" t="e">
        <f t="shared" si="8"/>
        <v>#DIV/0!</v>
      </c>
      <c r="R6" s="16"/>
      <c r="S6" s="21" t="e">
        <v>#N/A</v>
      </c>
      <c r="T6" s="14">
        <v>204</v>
      </c>
      <c r="U6" s="22">
        <v>102</v>
      </c>
      <c r="V6" s="23" t="s">
        <v>648</v>
      </c>
      <c r="W6" s="14">
        <v>0</v>
      </c>
      <c r="X6" s="24">
        <f t="shared" si="9"/>
        <v>0</v>
      </c>
      <c r="Y6" s="25">
        <f t="shared" si="10"/>
        <v>0</v>
      </c>
      <c r="Z6" s="14">
        <v>0</v>
      </c>
      <c r="AA6" s="14" t="e">
        <v>#N/A</v>
      </c>
      <c r="AB6" s="27" t="e">
        <f t="shared" si="11"/>
        <v>#N/A</v>
      </c>
      <c r="AC6" s="28" t="e">
        <v>#N/A</v>
      </c>
      <c r="AD6" s="25">
        <f t="shared" si="12"/>
        <v>0</v>
      </c>
      <c r="AE6" s="25">
        <v>0</v>
      </c>
      <c r="AF6" s="25">
        <v>-31.249829059829057</v>
      </c>
      <c r="AG6" s="25">
        <v>0</v>
      </c>
    </row>
    <row r="7" spans="1:33" ht="15.75" customHeight="1">
      <c r="A7" s="14" t="s">
        <v>187</v>
      </c>
      <c r="B7" s="14" t="s">
        <v>83</v>
      </c>
      <c r="C7" s="15">
        <f t="shared" si="4"/>
        <v>74.989999999999995</v>
      </c>
      <c r="D7" s="16">
        <v>4</v>
      </c>
      <c r="E7" s="16">
        <v>0</v>
      </c>
      <c r="F7" s="29">
        <v>299.95999999999998</v>
      </c>
      <c r="G7" s="29">
        <v>-0.08</v>
      </c>
      <c r="H7" s="18">
        <f t="shared" si="1"/>
        <v>2.6670222696359517E-4</v>
      </c>
      <c r="I7" s="18">
        <f t="shared" si="2"/>
        <v>0.29142291336850606</v>
      </c>
      <c r="J7" s="17">
        <f t="shared" si="5"/>
        <v>87.415217094017081</v>
      </c>
      <c r="K7" s="17">
        <f t="shared" si="3"/>
        <v>21.85380427350427</v>
      </c>
      <c r="L7" s="16">
        <v>8</v>
      </c>
      <c r="M7" s="19">
        <f t="shared" si="6"/>
        <v>0.5</v>
      </c>
      <c r="N7" s="16">
        <v>44</v>
      </c>
      <c r="O7" s="20">
        <f t="shared" ref="O7:P7" si="15">D7/7</f>
        <v>0.5714285714285714</v>
      </c>
      <c r="P7" s="20">
        <f t="shared" si="15"/>
        <v>0</v>
      </c>
      <c r="Q7" s="16">
        <f t="shared" si="8"/>
        <v>77</v>
      </c>
      <c r="R7" s="16"/>
      <c r="S7" s="21">
        <v>0</v>
      </c>
      <c r="T7" s="14">
        <v>204</v>
      </c>
      <c r="U7" s="22">
        <v>102</v>
      </c>
      <c r="V7" s="23" t="s">
        <v>649</v>
      </c>
      <c r="W7" s="14">
        <v>1</v>
      </c>
      <c r="X7" s="24">
        <f t="shared" si="9"/>
        <v>0.25</v>
      </c>
      <c r="Y7" s="25">
        <f t="shared" si="10"/>
        <v>0.08</v>
      </c>
      <c r="Z7" s="14">
        <v>0</v>
      </c>
      <c r="AA7" s="14" t="s">
        <v>35</v>
      </c>
      <c r="AB7" s="27">
        <f t="shared" si="11"/>
        <v>-0.69</v>
      </c>
      <c r="AC7" s="28">
        <v>0.46222222222222226</v>
      </c>
      <c r="AD7" s="25">
        <f t="shared" si="12"/>
        <v>-2.5514666666666668</v>
      </c>
      <c r="AE7" s="25">
        <v>-9.98</v>
      </c>
      <c r="AF7" s="25">
        <v>-31.249829059829057</v>
      </c>
      <c r="AG7" s="25">
        <v>0</v>
      </c>
    </row>
    <row r="8" spans="1:33" ht="15.75" customHeight="1">
      <c r="A8" s="14" t="s">
        <v>189</v>
      </c>
      <c r="B8" s="14" t="s">
        <v>650</v>
      </c>
      <c r="C8" s="15">
        <f t="shared" si="4"/>
        <v>74.989999999999995</v>
      </c>
      <c r="D8" s="16">
        <v>3</v>
      </c>
      <c r="E8" s="16">
        <v>0</v>
      </c>
      <c r="F8" s="29">
        <v>224.96999999999997</v>
      </c>
      <c r="G8" s="29">
        <v>0</v>
      </c>
      <c r="H8" s="18">
        <f t="shared" si="1"/>
        <v>0</v>
      </c>
      <c r="I8" s="18">
        <f t="shared" si="2"/>
        <v>0.29168733608925629</v>
      </c>
      <c r="J8" s="17">
        <f t="shared" si="5"/>
        <v>65.620899999999978</v>
      </c>
      <c r="K8" s="17">
        <f t="shared" si="3"/>
        <v>21.873633333333327</v>
      </c>
      <c r="L8" s="16">
        <v>15</v>
      </c>
      <c r="M8" s="19">
        <f t="shared" si="6"/>
        <v>0.2</v>
      </c>
      <c r="N8" s="16">
        <v>41</v>
      </c>
      <c r="O8" s="20">
        <f t="shared" ref="O8:P8" si="16">D8/7</f>
        <v>0.42857142857142855</v>
      </c>
      <c r="P8" s="20">
        <f t="shared" si="16"/>
        <v>0</v>
      </c>
      <c r="Q8" s="16">
        <f t="shared" si="8"/>
        <v>95</v>
      </c>
      <c r="R8" s="16"/>
      <c r="S8" s="21">
        <v>0.55813953488372003</v>
      </c>
      <c r="T8" s="14">
        <v>204</v>
      </c>
      <c r="U8" s="22">
        <v>102</v>
      </c>
      <c r="V8" s="23" t="s">
        <v>651</v>
      </c>
      <c r="W8" s="14">
        <v>0</v>
      </c>
      <c r="X8" s="24">
        <f t="shared" si="9"/>
        <v>0</v>
      </c>
      <c r="Y8" s="25">
        <f t="shared" si="10"/>
        <v>0</v>
      </c>
      <c r="Z8" s="14">
        <v>0</v>
      </c>
      <c r="AA8" s="14" t="s">
        <v>35</v>
      </c>
      <c r="AB8" s="27">
        <f t="shared" si="11"/>
        <v>-0.69</v>
      </c>
      <c r="AC8" s="28">
        <v>0.46222222222222226</v>
      </c>
      <c r="AD8" s="25">
        <f t="shared" si="12"/>
        <v>-1.9136000000000002</v>
      </c>
      <c r="AE8" s="25">
        <v>-9.98</v>
      </c>
      <c r="AF8" s="25">
        <v>-31.25</v>
      </c>
      <c r="AG8" s="25">
        <v>0</v>
      </c>
    </row>
    <row r="9" spans="1:33" ht="15.75" customHeight="1">
      <c r="A9" s="14" t="s">
        <v>191</v>
      </c>
      <c r="B9" s="14" t="s">
        <v>68</v>
      </c>
      <c r="C9" s="15">
        <f t="shared" si="4"/>
        <v>69.015000000000015</v>
      </c>
      <c r="D9" s="16">
        <v>10</v>
      </c>
      <c r="E9" s="16">
        <v>1</v>
      </c>
      <c r="F9" s="29">
        <v>690.15000000000009</v>
      </c>
      <c r="G9" s="29">
        <v>0</v>
      </c>
      <c r="H9" s="18">
        <f t="shared" si="1"/>
        <v>0</v>
      </c>
      <c r="I9" s="18">
        <f t="shared" si="2"/>
        <v>0.23436517268945059</v>
      </c>
      <c r="J9" s="17">
        <f t="shared" si="5"/>
        <v>161.74712393162434</v>
      </c>
      <c r="K9" s="17">
        <f t="shared" si="3"/>
        <v>16.174712393162434</v>
      </c>
      <c r="L9" s="16">
        <v>26</v>
      </c>
      <c r="M9" s="19">
        <f t="shared" si="6"/>
        <v>0.38461538461538464</v>
      </c>
      <c r="N9" s="16">
        <v>33</v>
      </c>
      <c r="O9" s="20">
        <f t="shared" ref="O9:P9" si="17">D9/7</f>
        <v>1.4285714285714286</v>
      </c>
      <c r="P9" s="20">
        <f t="shared" si="17"/>
        <v>0.14285714285714285</v>
      </c>
      <c r="Q9" s="16">
        <f t="shared" si="8"/>
        <v>21</v>
      </c>
      <c r="R9" s="16"/>
      <c r="S9" s="21">
        <v>1.6470588235294099</v>
      </c>
      <c r="T9" s="14">
        <v>204</v>
      </c>
      <c r="U9" s="22">
        <v>102</v>
      </c>
      <c r="V9" s="23" t="s">
        <v>652</v>
      </c>
      <c r="W9" s="14">
        <v>0</v>
      </c>
      <c r="X9" s="24">
        <f t="shared" si="9"/>
        <v>0</v>
      </c>
      <c r="Y9" s="25">
        <f t="shared" si="10"/>
        <v>0</v>
      </c>
      <c r="Z9" s="14">
        <v>0</v>
      </c>
      <c r="AA9" s="14" t="s">
        <v>35</v>
      </c>
      <c r="AB9" s="27">
        <f t="shared" si="11"/>
        <v>-0.69</v>
      </c>
      <c r="AC9" s="28">
        <v>0.46222222222222226</v>
      </c>
      <c r="AD9" s="25">
        <f t="shared" si="12"/>
        <v>-6.3786666666666667</v>
      </c>
      <c r="AE9" s="25">
        <v>-9.98</v>
      </c>
      <c r="AF9" s="25">
        <v>-31.870170940170901</v>
      </c>
      <c r="AG9" s="25">
        <v>0</v>
      </c>
    </row>
    <row r="10" spans="1:33" ht="15.75" customHeight="1">
      <c r="A10" s="14" t="s">
        <v>192</v>
      </c>
      <c r="B10" s="14" t="s">
        <v>653</v>
      </c>
      <c r="C10" s="15">
        <f t="shared" si="4"/>
        <v>65.056818181818187</v>
      </c>
      <c r="D10" s="16">
        <v>22</v>
      </c>
      <c r="E10" s="16">
        <v>0</v>
      </c>
      <c r="F10" s="29">
        <v>1431.2500000000002</v>
      </c>
      <c r="G10" s="29">
        <v>0</v>
      </c>
      <c r="H10" s="18">
        <f t="shared" si="1"/>
        <v>0</v>
      </c>
      <c r="I10" s="18">
        <f t="shared" si="2"/>
        <v>0.19690876691673267</v>
      </c>
      <c r="J10" s="17">
        <f t="shared" si="5"/>
        <v>281.82567264957368</v>
      </c>
      <c r="K10" s="17">
        <f t="shared" si="3"/>
        <v>12.810257847707895</v>
      </c>
      <c r="L10" s="16">
        <v>47</v>
      </c>
      <c r="M10" s="19">
        <f t="shared" si="6"/>
        <v>0.46808510638297873</v>
      </c>
      <c r="N10" s="16">
        <v>13</v>
      </c>
      <c r="O10" s="20">
        <f t="shared" ref="O10:P10" si="18">D10/7</f>
        <v>3.1428571428571428</v>
      </c>
      <c r="P10" s="20">
        <f t="shared" si="18"/>
        <v>0</v>
      </c>
      <c r="Q10" s="16">
        <f t="shared" si="8"/>
        <v>4</v>
      </c>
      <c r="R10" s="16"/>
      <c r="S10" s="21">
        <v>8</v>
      </c>
      <c r="T10" s="14">
        <v>102</v>
      </c>
      <c r="U10" s="22">
        <v>102</v>
      </c>
      <c r="V10" s="23" t="s">
        <v>654</v>
      </c>
      <c r="W10" s="14">
        <v>0</v>
      </c>
      <c r="X10" s="24">
        <f t="shared" si="9"/>
        <v>0</v>
      </c>
      <c r="Y10" s="25">
        <f t="shared" si="10"/>
        <v>0</v>
      </c>
      <c r="Z10" s="14">
        <v>0</v>
      </c>
      <c r="AA10" s="14" t="s">
        <v>35</v>
      </c>
      <c r="AB10" s="27">
        <f t="shared" si="11"/>
        <v>-0.69</v>
      </c>
      <c r="AC10" s="28">
        <v>0.46222222222222226</v>
      </c>
      <c r="AD10" s="25">
        <f t="shared" si="12"/>
        <v>-14.033066666666667</v>
      </c>
      <c r="AE10" s="25">
        <v>-9.98</v>
      </c>
      <c r="AF10" s="25">
        <v>-31.870170940170901</v>
      </c>
      <c r="AG10" s="25">
        <v>0</v>
      </c>
    </row>
    <row r="11" spans="1:33" ht="15.75" customHeight="1">
      <c r="A11" s="14" t="s">
        <v>193</v>
      </c>
      <c r="B11" s="14" t="s">
        <v>655</v>
      </c>
      <c r="C11" s="15">
        <f t="shared" si="4"/>
        <v>71.947500000000005</v>
      </c>
      <c r="D11" s="16">
        <v>12</v>
      </c>
      <c r="E11" s="16">
        <v>0</v>
      </c>
      <c r="F11" s="29">
        <v>863.37</v>
      </c>
      <c r="G11" s="29">
        <v>0</v>
      </c>
      <c r="H11" s="18">
        <f t="shared" si="1"/>
        <v>0</v>
      </c>
      <c r="I11" s="18">
        <f t="shared" si="2"/>
        <v>0.25945776285711714</v>
      </c>
      <c r="J11" s="17">
        <f t="shared" si="5"/>
        <v>224.00804871794924</v>
      </c>
      <c r="K11" s="17">
        <f t="shared" si="3"/>
        <v>18.667337393162438</v>
      </c>
      <c r="L11" s="16">
        <v>24</v>
      </c>
      <c r="M11" s="19">
        <f t="shared" si="6"/>
        <v>0.5</v>
      </c>
      <c r="N11" s="16">
        <v>68</v>
      </c>
      <c r="O11" s="20">
        <f t="shared" ref="O11:P11" si="19">D11/7</f>
        <v>1.7142857142857142</v>
      </c>
      <c r="P11" s="20">
        <f t="shared" si="19"/>
        <v>0</v>
      </c>
      <c r="Q11" s="16">
        <f t="shared" si="8"/>
        <v>39</v>
      </c>
      <c r="R11" s="16"/>
      <c r="S11" s="21">
        <v>1.54621848739495</v>
      </c>
      <c r="T11" s="14">
        <v>102</v>
      </c>
      <c r="U11" s="22">
        <v>102</v>
      </c>
      <c r="V11" s="23" t="s">
        <v>656</v>
      </c>
      <c r="W11" s="14">
        <v>0</v>
      </c>
      <c r="X11" s="24">
        <f t="shared" si="9"/>
        <v>0</v>
      </c>
      <c r="Y11" s="25">
        <f t="shared" si="10"/>
        <v>0</v>
      </c>
      <c r="Z11" s="14">
        <v>0</v>
      </c>
      <c r="AA11" s="14" t="s">
        <v>35</v>
      </c>
      <c r="AB11" s="27">
        <f t="shared" si="11"/>
        <v>-0.69</v>
      </c>
      <c r="AC11" s="28">
        <v>0.46222222222222226</v>
      </c>
      <c r="AD11" s="25">
        <f t="shared" si="12"/>
        <v>-7.6544000000000008</v>
      </c>
      <c r="AE11" s="25">
        <v>-9.98</v>
      </c>
      <c r="AF11" s="25">
        <v>-31.870170940170901</v>
      </c>
      <c r="AG11" s="25">
        <v>0</v>
      </c>
    </row>
    <row r="12" spans="1:33" ht="15.75" customHeight="1">
      <c r="A12" s="14" t="s">
        <v>195</v>
      </c>
      <c r="B12" s="14" t="s">
        <v>68</v>
      </c>
      <c r="C12" s="15">
        <f t="shared" si="4"/>
        <v>72.936363636363637</v>
      </c>
      <c r="D12" s="16">
        <v>11</v>
      </c>
      <c r="E12" s="16">
        <v>0</v>
      </c>
      <c r="F12" s="29">
        <v>802.3</v>
      </c>
      <c r="G12" s="29">
        <v>0</v>
      </c>
      <c r="H12" s="18">
        <f t="shared" si="1"/>
        <v>0</v>
      </c>
      <c r="I12" s="18">
        <f t="shared" si="2"/>
        <v>0.26746427312076115</v>
      </c>
      <c r="J12" s="17">
        <f t="shared" si="5"/>
        <v>214.58658632478665</v>
      </c>
      <c r="K12" s="17">
        <f t="shared" si="3"/>
        <v>19.507871484071515</v>
      </c>
      <c r="L12" s="16">
        <v>27</v>
      </c>
      <c r="M12" s="19">
        <f t="shared" si="6"/>
        <v>0.40740740740740738</v>
      </c>
      <c r="N12" s="16">
        <v>47</v>
      </c>
      <c r="O12" s="20">
        <f t="shared" ref="O12:P12" si="20">D12/7</f>
        <v>1.5714285714285714</v>
      </c>
      <c r="P12" s="20">
        <f t="shared" si="20"/>
        <v>0</v>
      </c>
      <c r="Q12" s="16">
        <f t="shared" si="8"/>
        <v>29</v>
      </c>
      <c r="R12" s="16"/>
      <c r="S12" s="21">
        <v>2.5806451612903198</v>
      </c>
      <c r="T12" s="14">
        <v>102</v>
      </c>
      <c r="U12" s="22">
        <v>102</v>
      </c>
      <c r="V12" s="23" t="s">
        <v>657</v>
      </c>
      <c r="W12" s="14">
        <v>0</v>
      </c>
      <c r="X12" s="24">
        <f t="shared" si="9"/>
        <v>0</v>
      </c>
      <c r="Y12" s="25">
        <f t="shared" si="10"/>
        <v>0</v>
      </c>
      <c r="Z12" s="14">
        <v>0</v>
      </c>
      <c r="AA12" s="14" t="s">
        <v>35</v>
      </c>
      <c r="AB12" s="27">
        <f t="shared" si="11"/>
        <v>-0.69</v>
      </c>
      <c r="AC12" s="28">
        <v>0.46222222222222226</v>
      </c>
      <c r="AD12" s="25">
        <f t="shared" si="12"/>
        <v>-7.0165333333333333</v>
      </c>
      <c r="AE12" s="25">
        <v>-9.98</v>
      </c>
      <c r="AF12" s="25">
        <v>-31.870170940170901</v>
      </c>
      <c r="AG12" s="25">
        <v>0</v>
      </c>
    </row>
    <row r="13" spans="1:33" ht="15.75" customHeight="1">
      <c r="A13" s="14" t="s">
        <v>197</v>
      </c>
      <c r="B13" s="14" t="s">
        <v>658</v>
      </c>
      <c r="C13" s="15">
        <f t="shared" si="4"/>
        <v>72.474999999999994</v>
      </c>
      <c r="D13" s="16">
        <v>8</v>
      </c>
      <c r="E13" s="16">
        <v>0</v>
      </c>
      <c r="F13" s="17">
        <v>579.79999999999995</v>
      </c>
      <c r="G13" s="29">
        <v>0</v>
      </c>
      <c r="H13" s="18">
        <f t="shared" si="1"/>
        <v>0</v>
      </c>
      <c r="I13" s="18">
        <f t="shared" si="2"/>
        <v>0.25925100609405621</v>
      </c>
      <c r="J13" s="17">
        <f t="shared" si="5"/>
        <v>150.31373333333377</v>
      </c>
      <c r="K13" s="17">
        <f t="shared" si="3"/>
        <v>18.789216666666722</v>
      </c>
      <c r="L13" s="16">
        <v>16</v>
      </c>
      <c r="M13" s="19">
        <f t="shared" si="6"/>
        <v>0.5</v>
      </c>
      <c r="N13" s="16">
        <v>30</v>
      </c>
      <c r="O13" s="20">
        <f t="shared" ref="O13:P13" si="21">D13/7</f>
        <v>1.1428571428571428</v>
      </c>
      <c r="P13" s="20">
        <f t="shared" si="21"/>
        <v>0</v>
      </c>
      <c r="Q13" s="16">
        <f t="shared" si="8"/>
        <v>26</v>
      </c>
      <c r="R13" s="16"/>
      <c r="S13" s="21">
        <v>3.25</v>
      </c>
      <c r="T13" s="14">
        <v>102</v>
      </c>
      <c r="U13" s="22">
        <v>102</v>
      </c>
      <c r="V13" s="23" t="s">
        <v>657</v>
      </c>
      <c r="W13" s="14">
        <v>0</v>
      </c>
      <c r="X13" s="24">
        <f t="shared" si="9"/>
        <v>0</v>
      </c>
      <c r="Y13" s="25">
        <f t="shared" si="10"/>
        <v>0</v>
      </c>
      <c r="Z13" s="14">
        <v>0</v>
      </c>
      <c r="AA13" s="14" t="s">
        <v>35</v>
      </c>
      <c r="AB13" s="27">
        <f t="shared" si="11"/>
        <v>-0.69</v>
      </c>
      <c r="AC13" s="28">
        <v>0.46222222222222226</v>
      </c>
      <c r="AD13" s="25">
        <f t="shared" si="12"/>
        <v>-5.1029333333333335</v>
      </c>
      <c r="AE13" s="25">
        <v>-9.98</v>
      </c>
      <c r="AF13" s="25">
        <v>-32.196666666666601</v>
      </c>
      <c r="AG13" s="25">
        <v>0</v>
      </c>
    </row>
    <row r="14" spans="1:33" ht="15.75" customHeight="1">
      <c r="A14" s="14" t="s">
        <v>32</v>
      </c>
      <c r="B14" s="14" t="s">
        <v>659</v>
      </c>
      <c r="C14" s="15">
        <f t="shared" si="4"/>
        <v>73.054000000000016</v>
      </c>
      <c r="D14" s="16">
        <v>15</v>
      </c>
      <c r="E14" s="16">
        <v>0</v>
      </c>
      <c r="F14" s="17">
        <v>1095.8100000000002</v>
      </c>
      <c r="G14" s="29">
        <v>-0.08</v>
      </c>
      <c r="H14" s="18">
        <f t="shared" si="1"/>
        <v>7.3005356768052841E-5</v>
      </c>
      <c r="I14" s="18">
        <f t="shared" si="2"/>
        <v>0.26386006698241571</v>
      </c>
      <c r="J14" s="17">
        <f t="shared" si="5"/>
        <v>289.140500000001</v>
      </c>
      <c r="K14" s="17">
        <f t="shared" si="3"/>
        <v>19.276033333333398</v>
      </c>
      <c r="L14" s="16">
        <v>24</v>
      </c>
      <c r="M14" s="19">
        <f t="shared" si="6"/>
        <v>0.625</v>
      </c>
      <c r="N14" s="16">
        <v>18</v>
      </c>
      <c r="O14" s="20">
        <f t="shared" ref="O14:P14" si="22">D14/7</f>
        <v>2.1428571428571428</v>
      </c>
      <c r="P14" s="20">
        <f t="shared" si="22"/>
        <v>0</v>
      </c>
      <c r="Q14" s="16">
        <f t="shared" si="8"/>
        <v>8</v>
      </c>
      <c r="R14" s="16"/>
      <c r="S14" s="21">
        <v>6.7555555555555502</v>
      </c>
      <c r="T14" s="14">
        <v>102</v>
      </c>
      <c r="U14" s="22">
        <v>102</v>
      </c>
      <c r="V14" s="23" t="s">
        <v>657</v>
      </c>
      <c r="W14" s="14">
        <v>0</v>
      </c>
      <c r="X14" s="24">
        <f t="shared" si="9"/>
        <v>0</v>
      </c>
      <c r="Y14" s="25">
        <f t="shared" si="10"/>
        <v>0</v>
      </c>
      <c r="Z14" s="14">
        <v>0</v>
      </c>
      <c r="AA14" s="14" t="s">
        <v>35</v>
      </c>
      <c r="AB14" s="27">
        <f t="shared" si="11"/>
        <v>-0.69</v>
      </c>
      <c r="AC14" s="28">
        <v>0.46222222222222226</v>
      </c>
      <c r="AD14" s="25">
        <f t="shared" si="12"/>
        <v>-9.5679999999999996</v>
      </c>
      <c r="AE14" s="25">
        <v>-9.98</v>
      </c>
      <c r="AF14" s="25">
        <v>-32.196666666666601</v>
      </c>
      <c r="AG14" s="25">
        <v>0</v>
      </c>
    </row>
    <row r="15" spans="1:33" ht="15.75" customHeight="1">
      <c r="A15" s="14" t="s">
        <v>36</v>
      </c>
      <c r="B15" s="14" t="s">
        <v>660</v>
      </c>
      <c r="C15" s="15">
        <f t="shared" si="4"/>
        <v>80.058000000000007</v>
      </c>
      <c r="D15" s="16">
        <v>10</v>
      </c>
      <c r="E15" s="16">
        <v>0</v>
      </c>
      <c r="F15" s="17">
        <v>800.58</v>
      </c>
      <c r="G15" s="29">
        <v>0</v>
      </c>
      <c r="H15" s="18">
        <f t="shared" si="1"/>
        <v>0</v>
      </c>
      <c r="I15" s="18">
        <f t="shared" si="2"/>
        <v>0.24663077602071912</v>
      </c>
      <c r="J15" s="17">
        <f t="shared" si="5"/>
        <v>197.44766666666732</v>
      </c>
      <c r="K15" s="17">
        <f t="shared" si="3"/>
        <v>19.744766666666731</v>
      </c>
      <c r="L15" s="16">
        <v>20</v>
      </c>
      <c r="M15" s="19">
        <f t="shared" si="6"/>
        <v>0.5</v>
      </c>
      <c r="N15" s="16">
        <v>7</v>
      </c>
      <c r="O15" s="20">
        <f t="shared" ref="O15:P15" si="23">D15/7</f>
        <v>1.4285714285714286</v>
      </c>
      <c r="P15" s="20">
        <f t="shared" si="23"/>
        <v>0</v>
      </c>
      <c r="Q15" s="16">
        <f t="shared" si="8"/>
        <v>4</v>
      </c>
      <c r="R15" s="16"/>
      <c r="S15" s="21">
        <v>26.285714285714199</v>
      </c>
      <c r="T15" s="14">
        <v>102</v>
      </c>
      <c r="U15" s="22">
        <v>102</v>
      </c>
      <c r="V15" s="23" t="s">
        <v>657</v>
      </c>
      <c r="W15" s="14">
        <v>0</v>
      </c>
      <c r="X15" s="24">
        <f t="shared" si="9"/>
        <v>0</v>
      </c>
      <c r="Y15" s="25">
        <f t="shared" si="10"/>
        <v>0</v>
      </c>
      <c r="Z15" s="14">
        <v>0</v>
      </c>
      <c r="AA15" s="14" t="s">
        <v>35</v>
      </c>
      <c r="AB15" s="27">
        <f t="shared" si="11"/>
        <v>-0.69</v>
      </c>
      <c r="AC15" s="28">
        <v>0.46222222222222226</v>
      </c>
      <c r="AD15" s="25">
        <f t="shared" si="12"/>
        <v>-6.3786666666666667</v>
      </c>
      <c r="AE15" s="25">
        <v>-9.98</v>
      </c>
      <c r="AF15" s="25">
        <v>-37.686666666666603</v>
      </c>
      <c r="AG15" s="25">
        <v>0</v>
      </c>
    </row>
    <row r="16" spans="1:33" ht="15.75" customHeight="1">
      <c r="A16" s="14" t="s">
        <v>38</v>
      </c>
      <c r="B16" s="14" t="s">
        <v>45</v>
      </c>
      <c r="C16" s="15">
        <f t="shared" si="4"/>
        <v>89.69</v>
      </c>
      <c r="D16" s="16">
        <v>6</v>
      </c>
      <c r="E16" s="16">
        <v>0</v>
      </c>
      <c r="F16" s="17">
        <v>538.14</v>
      </c>
      <c r="G16" s="29">
        <v>0</v>
      </c>
      <c r="H16" s="18">
        <f t="shared" si="1"/>
        <v>0</v>
      </c>
      <c r="I16" s="18">
        <f t="shared" si="2"/>
        <v>0.31142788122050097</v>
      </c>
      <c r="J16" s="17">
        <f t="shared" si="5"/>
        <v>167.59180000000038</v>
      </c>
      <c r="K16" s="17">
        <f t="shared" si="3"/>
        <v>27.931966666666728</v>
      </c>
      <c r="L16" s="16">
        <v>23</v>
      </c>
      <c r="M16" s="19">
        <f t="shared" si="6"/>
        <v>0.2608695652173913</v>
      </c>
      <c r="N16" s="16">
        <v>1</v>
      </c>
      <c r="O16" s="20">
        <f t="shared" ref="O16:P16" si="24">D16/7</f>
        <v>0.8571428571428571</v>
      </c>
      <c r="P16" s="20">
        <f t="shared" si="24"/>
        <v>0</v>
      </c>
      <c r="Q16" s="16">
        <f t="shared" si="8"/>
        <v>1</v>
      </c>
      <c r="R16" s="16"/>
      <c r="S16" s="21" t="e">
        <v>#N/A</v>
      </c>
      <c r="T16" s="14">
        <v>102</v>
      </c>
      <c r="U16" s="22">
        <v>102</v>
      </c>
      <c r="V16" s="23" t="s">
        <v>661</v>
      </c>
      <c r="W16" s="14">
        <v>0</v>
      </c>
      <c r="X16" s="24">
        <f t="shared" si="9"/>
        <v>0</v>
      </c>
      <c r="Y16" s="25">
        <f t="shared" si="10"/>
        <v>0</v>
      </c>
      <c r="Z16" s="14">
        <v>0</v>
      </c>
      <c r="AA16" s="14" t="s">
        <v>35</v>
      </c>
      <c r="AB16" s="27">
        <f t="shared" si="11"/>
        <v>-0.69</v>
      </c>
      <c r="AC16" s="28">
        <v>0.46222222222222226</v>
      </c>
      <c r="AD16" s="25">
        <f t="shared" si="12"/>
        <v>-3.8272000000000004</v>
      </c>
      <c r="AE16" s="25">
        <v>-9.98</v>
      </c>
      <c r="AF16" s="25">
        <v>-37.686666666666603</v>
      </c>
      <c r="AG16" s="25">
        <v>0</v>
      </c>
    </row>
    <row r="17" spans="1:33" ht="15.75" customHeight="1">
      <c r="A17" s="14" t="s">
        <v>40</v>
      </c>
      <c r="B17" s="14"/>
      <c r="C17" s="15" t="str">
        <f t="shared" si="4"/>
        <v xml:space="preserve"> - </v>
      </c>
      <c r="D17" s="16">
        <v>0</v>
      </c>
      <c r="E17" s="16">
        <v>0</v>
      </c>
      <c r="F17" s="17">
        <v>0</v>
      </c>
      <c r="G17" s="29">
        <v>0</v>
      </c>
      <c r="H17" s="18" t="e">
        <f t="shared" si="1"/>
        <v>#DIV/0!</v>
      </c>
      <c r="I17" s="18" t="e">
        <f t="shared" si="2"/>
        <v>#DIV/0!</v>
      </c>
      <c r="J17" s="17">
        <f t="shared" si="5"/>
        <v>0</v>
      </c>
      <c r="K17" s="17" t="e">
        <f t="shared" si="3"/>
        <v>#DIV/0!</v>
      </c>
      <c r="L17" s="16">
        <v>0</v>
      </c>
      <c r="M17" s="19" t="str">
        <f t="shared" si="6"/>
        <v>-</v>
      </c>
      <c r="N17" s="16">
        <v>0</v>
      </c>
      <c r="O17" s="20">
        <f t="shared" ref="O17:P17" si="25">D17/7</f>
        <v>0</v>
      </c>
      <c r="P17" s="20">
        <f t="shared" si="25"/>
        <v>0</v>
      </c>
      <c r="Q17" s="16" t="e">
        <f t="shared" si="8"/>
        <v>#DIV/0!</v>
      </c>
      <c r="R17" s="16"/>
      <c r="S17" s="21" t="e">
        <v>#N/A</v>
      </c>
      <c r="T17" s="14">
        <v>0</v>
      </c>
      <c r="U17" s="22" t="s">
        <v>34</v>
      </c>
      <c r="V17" s="23" t="s">
        <v>34</v>
      </c>
      <c r="W17" s="14">
        <v>0</v>
      </c>
      <c r="X17" s="24">
        <f t="shared" si="9"/>
        <v>0</v>
      </c>
      <c r="Y17" s="25">
        <f t="shared" si="10"/>
        <v>0</v>
      </c>
      <c r="Z17" s="14">
        <v>0</v>
      </c>
      <c r="AA17" s="14" t="e">
        <v>#N/A</v>
      </c>
      <c r="AB17" s="27" t="e">
        <f t="shared" si="11"/>
        <v>#N/A</v>
      </c>
      <c r="AC17" s="28" t="e">
        <v>#N/A</v>
      </c>
      <c r="AD17" s="25">
        <f t="shared" si="12"/>
        <v>0</v>
      </c>
      <c r="AE17" s="25">
        <v>0</v>
      </c>
      <c r="AF17" s="25">
        <v>-37.686666666666603</v>
      </c>
      <c r="AG17" s="25">
        <v>0</v>
      </c>
    </row>
    <row r="18" spans="1:33" ht="15.75" customHeight="1">
      <c r="A18" s="14" t="s">
        <v>42</v>
      </c>
      <c r="B18" s="14" t="s">
        <v>662</v>
      </c>
      <c r="C18" s="15">
        <f t="shared" si="4"/>
        <v>89.69</v>
      </c>
      <c r="D18" s="16">
        <v>1</v>
      </c>
      <c r="E18" s="16">
        <v>1</v>
      </c>
      <c r="F18" s="17">
        <v>89.69</v>
      </c>
      <c r="G18" s="29">
        <v>0</v>
      </c>
      <c r="H18" s="18">
        <f t="shared" si="1"/>
        <v>0</v>
      </c>
      <c r="I18" s="18">
        <f t="shared" si="2"/>
        <v>0.31142788122050086</v>
      </c>
      <c r="J18" s="17">
        <f t="shared" si="5"/>
        <v>27.931966666666721</v>
      </c>
      <c r="K18" s="17">
        <f t="shared" si="3"/>
        <v>27.931966666666721</v>
      </c>
      <c r="L18" s="16">
        <v>16</v>
      </c>
      <c r="M18" s="19">
        <f t="shared" si="6"/>
        <v>6.25E-2</v>
      </c>
      <c r="N18" s="16">
        <v>100</v>
      </c>
      <c r="O18" s="20">
        <f t="shared" ref="O18:P18" si="26">D18/7</f>
        <v>0.14285714285714285</v>
      </c>
      <c r="P18" s="20">
        <f t="shared" si="26"/>
        <v>0.14285714285714285</v>
      </c>
      <c r="Q18" s="16">
        <f t="shared" si="8"/>
        <v>350</v>
      </c>
      <c r="R18" s="16"/>
      <c r="S18" s="21">
        <v>2.7012987012987</v>
      </c>
      <c r="T18" s="14">
        <v>0</v>
      </c>
      <c r="U18" s="22">
        <v>0</v>
      </c>
      <c r="V18" s="23" t="s">
        <v>34</v>
      </c>
      <c r="W18" s="14">
        <v>0</v>
      </c>
      <c r="X18" s="24">
        <f t="shared" si="9"/>
        <v>0</v>
      </c>
      <c r="Y18" s="25">
        <f t="shared" si="10"/>
        <v>0</v>
      </c>
      <c r="Z18" s="14">
        <v>0</v>
      </c>
      <c r="AA18" s="14" t="s">
        <v>35</v>
      </c>
      <c r="AB18" s="27">
        <f t="shared" si="11"/>
        <v>-0.69</v>
      </c>
      <c r="AC18" s="28">
        <v>0.46222222222222226</v>
      </c>
      <c r="AD18" s="25">
        <f t="shared" si="12"/>
        <v>-0.63786666666666669</v>
      </c>
      <c r="AE18" s="25">
        <v>-9.98</v>
      </c>
      <c r="AF18" s="25">
        <v>-37.686666666666603</v>
      </c>
      <c r="AG18" s="25">
        <v>0</v>
      </c>
    </row>
    <row r="19" spans="1:33" ht="15.75" customHeight="1">
      <c r="A19" s="14" t="s">
        <v>44</v>
      </c>
      <c r="B19" s="14" t="s">
        <v>663</v>
      </c>
      <c r="C19" s="15">
        <f t="shared" si="4"/>
        <v>88.385000000000019</v>
      </c>
      <c r="D19" s="16">
        <v>8</v>
      </c>
      <c r="E19" s="16">
        <v>0</v>
      </c>
      <c r="F19" s="17">
        <v>707.08000000000015</v>
      </c>
      <c r="G19" s="29">
        <v>0</v>
      </c>
      <c r="H19" s="18">
        <f t="shared" si="1"/>
        <v>0</v>
      </c>
      <c r="I19" s="18">
        <f t="shared" si="2"/>
        <v>0.28359695272576424</v>
      </c>
      <c r="J19" s="17">
        <f t="shared" si="5"/>
        <v>200.52573333333342</v>
      </c>
      <c r="K19" s="17">
        <f t="shared" si="3"/>
        <v>25.065716666666678</v>
      </c>
      <c r="L19" s="16">
        <v>23</v>
      </c>
      <c r="M19" s="19">
        <f t="shared" si="6"/>
        <v>0.34782608695652173</v>
      </c>
      <c r="N19" s="16">
        <v>92</v>
      </c>
      <c r="O19" s="20">
        <f t="shared" ref="O19:P19" si="27">D19/7</f>
        <v>1.1428571428571428</v>
      </c>
      <c r="P19" s="20">
        <f t="shared" si="27"/>
        <v>0</v>
      </c>
      <c r="Q19" s="16">
        <f t="shared" si="8"/>
        <v>80</v>
      </c>
      <c r="R19" s="16"/>
      <c r="S19" s="21">
        <v>3.24242424242424</v>
      </c>
      <c r="T19" s="14">
        <v>0</v>
      </c>
      <c r="U19" s="22" t="s">
        <v>34</v>
      </c>
      <c r="V19" s="23" t="s">
        <v>34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14" t="s">
        <v>35</v>
      </c>
      <c r="AB19" s="27">
        <f t="shared" si="11"/>
        <v>-0.69</v>
      </c>
      <c r="AC19" s="28">
        <v>0.46222222222222226</v>
      </c>
      <c r="AD19" s="25">
        <f t="shared" si="12"/>
        <v>-5.1029333333333335</v>
      </c>
      <c r="AE19" s="25">
        <v>-9.98</v>
      </c>
      <c r="AF19" s="25">
        <v>-39.443666666666672</v>
      </c>
      <c r="AG19" s="25">
        <v>0</v>
      </c>
    </row>
    <row r="20" spans="1:33" ht="15.75" customHeight="1">
      <c r="A20" s="14" t="s">
        <v>46</v>
      </c>
      <c r="B20" s="14" t="s">
        <v>664</v>
      </c>
      <c r="C20" s="15">
        <f t="shared" si="4"/>
        <v>88.750000000000014</v>
      </c>
      <c r="D20" s="16">
        <v>15</v>
      </c>
      <c r="E20" s="16">
        <v>0</v>
      </c>
      <c r="F20" s="17">
        <v>1331.2500000000002</v>
      </c>
      <c r="G20" s="29">
        <v>0</v>
      </c>
      <c r="H20" s="18">
        <f t="shared" si="1"/>
        <v>0</v>
      </c>
      <c r="I20" s="18">
        <f t="shared" si="2"/>
        <v>0.28592638497652584</v>
      </c>
      <c r="J20" s="17">
        <f t="shared" si="5"/>
        <v>380.63950000000011</v>
      </c>
      <c r="K20" s="17">
        <f t="shared" si="3"/>
        <v>25.375966666666674</v>
      </c>
      <c r="L20" s="16">
        <v>26</v>
      </c>
      <c r="M20" s="19">
        <f t="shared" si="6"/>
        <v>0.57692307692307687</v>
      </c>
      <c r="N20" s="16">
        <v>76</v>
      </c>
      <c r="O20" s="20">
        <f t="shared" ref="O20:P20" si="28">D20/7</f>
        <v>2.1428571428571428</v>
      </c>
      <c r="P20" s="20">
        <f t="shared" si="28"/>
        <v>0</v>
      </c>
      <c r="Q20" s="16">
        <f t="shared" si="8"/>
        <v>35</v>
      </c>
      <c r="R20" s="16"/>
      <c r="S20" s="21">
        <v>2.2549019607843102</v>
      </c>
      <c r="T20" s="14">
        <v>0</v>
      </c>
      <c r="U20" s="22" t="s">
        <v>34</v>
      </c>
      <c r="V20" s="23" t="s">
        <v>34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14" t="s">
        <v>35</v>
      </c>
      <c r="AB20" s="27">
        <f t="shared" si="11"/>
        <v>-0.69</v>
      </c>
      <c r="AC20" s="28">
        <v>0.46222222222222226</v>
      </c>
      <c r="AD20" s="25">
        <f t="shared" si="12"/>
        <v>-9.5679999999999996</v>
      </c>
      <c r="AE20" s="25">
        <v>-9.98</v>
      </c>
      <c r="AF20" s="25">
        <v>-39.443666666666672</v>
      </c>
      <c r="AG20" s="25">
        <v>0</v>
      </c>
    </row>
    <row r="21" spans="1:33" ht="15.75" customHeight="1">
      <c r="A21" s="14" t="s">
        <v>47</v>
      </c>
      <c r="B21" s="14" t="s">
        <v>553</v>
      </c>
      <c r="C21" s="15">
        <f t="shared" si="4"/>
        <v>94.876666666666665</v>
      </c>
      <c r="D21" s="16">
        <v>6</v>
      </c>
      <c r="E21" s="16">
        <v>0</v>
      </c>
      <c r="F21" s="17">
        <v>569.26</v>
      </c>
      <c r="G21" s="29">
        <v>0</v>
      </c>
      <c r="H21" s="18">
        <f t="shared" si="1"/>
        <v>0</v>
      </c>
      <c r="I21" s="18">
        <f t="shared" si="2"/>
        <v>0.32235147384323498</v>
      </c>
      <c r="J21" s="17">
        <f t="shared" si="5"/>
        <v>183.50179999999995</v>
      </c>
      <c r="K21" s="17">
        <f t="shared" si="3"/>
        <v>30.583633333333324</v>
      </c>
      <c r="L21" s="16">
        <v>14</v>
      </c>
      <c r="M21" s="19">
        <f t="shared" si="6"/>
        <v>0.42857142857142855</v>
      </c>
      <c r="N21" s="16">
        <v>69</v>
      </c>
      <c r="O21" s="20">
        <f t="shared" ref="O21:P21" si="29">D21/7</f>
        <v>0.8571428571428571</v>
      </c>
      <c r="P21" s="20">
        <f t="shared" si="29"/>
        <v>0</v>
      </c>
      <c r="Q21" s="16">
        <f t="shared" si="8"/>
        <v>80</v>
      </c>
      <c r="R21" s="16"/>
      <c r="S21" s="21">
        <v>3.28</v>
      </c>
      <c r="T21" s="14">
        <v>102</v>
      </c>
      <c r="U21" s="22">
        <v>102</v>
      </c>
      <c r="V21" s="23" t="s">
        <v>665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14" t="s">
        <v>35</v>
      </c>
      <c r="AB21" s="27">
        <f t="shared" si="11"/>
        <v>-0.69</v>
      </c>
      <c r="AC21" s="28">
        <v>0.46222222222222226</v>
      </c>
      <c r="AD21" s="25">
        <f t="shared" si="12"/>
        <v>-3.8272000000000004</v>
      </c>
      <c r="AE21" s="25">
        <v>-9.98</v>
      </c>
      <c r="AF21" s="25">
        <v>-39.443666666666672</v>
      </c>
      <c r="AG21" s="25">
        <v>0</v>
      </c>
    </row>
    <row r="22" spans="1:33" ht="15.75" customHeight="1">
      <c r="A22" s="14" t="s">
        <v>48</v>
      </c>
      <c r="B22" s="14" t="s">
        <v>68</v>
      </c>
      <c r="C22" s="15">
        <f t="shared" si="4"/>
        <v>98.936250000000001</v>
      </c>
      <c r="D22" s="16">
        <v>8</v>
      </c>
      <c r="E22" s="16">
        <v>0</v>
      </c>
      <c r="F22" s="29">
        <v>791.49</v>
      </c>
      <c r="G22" s="29">
        <v>0</v>
      </c>
      <c r="H22" s="18">
        <f t="shared" si="1"/>
        <v>0</v>
      </c>
      <c r="I22" s="18">
        <f t="shared" si="2"/>
        <v>0.34400211415600096</v>
      </c>
      <c r="J22" s="17">
        <f t="shared" si="5"/>
        <v>272.2742333333332</v>
      </c>
      <c r="K22" s="17">
        <f t="shared" si="3"/>
        <v>34.03427916666665</v>
      </c>
      <c r="L22" s="16">
        <v>32</v>
      </c>
      <c r="M22" s="19">
        <f t="shared" si="6"/>
        <v>0.25</v>
      </c>
      <c r="N22" s="16">
        <v>61</v>
      </c>
      <c r="O22" s="20">
        <f t="shared" ref="O22:P22" si="30">D22/7</f>
        <v>1.1428571428571428</v>
      </c>
      <c r="P22" s="20">
        <f t="shared" si="30"/>
        <v>0</v>
      </c>
      <c r="Q22" s="16">
        <f t="shared" si="8"/>
        <v>53</v>
      </c>
      <c r="R22" s="16"/>
      <c r="S22" s="21">
        <v>2.16450216450216</v>
      </c>
      <c r="T22" s="14">
        <v>190</v>
      </c>
      <c r="U22" s="22">
        <v>88</v>
      </c>
      <c r="V22" s="23" t="s">
        <v>666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35</v>
      </c>
      <c r="AB22" s="27">
        <f t="shared" si="11"/>
        <v>-0.69</v>
      </c>
      <c r="AC22" s="28">
        <v>0.46222222222222226</v>
      </c>
      <c r="AD22" s="25">
        <f t="shared" si="12"/>
        <v>-5.1029333333333335</v>
      </c>
      <c r="AE22" s="25">
        <v>-9.98</v>
      </c>
      <c r="AF22" s="25">
        <v>-39.443666666666672</v>
      </c>
      <c r="AG22" s="25">
        <v>0</v>
      </c>
    </row>
    <row r="23" spans="1:33" ht="15.75" customHeight="1">
      <c r="A23" s="14" t="s">
        <v>49</v>
      </c>
      <c r="B23" s="14" t="s">
        <v>68</v>
      </c>
      <c r="C23" s="15">
        <f t="shared" si="4"/>
        <v>100.99583333333332</v>
      </c>
      <c r="D23" s="16">
        <v>12</v>
      </c>
      <c r="E23" s="16">
        <v>1</v>
      </c>
      <c r="F23" s="17">
        <v>1211.9499999999998</v>
      </c>
      <c r="G23" s="29">
        <v>0</v>
      </c>
      <c r="H23" s="18">
        <f t="shared" si="1"/>
        <v>0</v>
      </c>
      <c r="I23" s="18">
        <f t="shared" si="2"/>
        <v>0.35432080531375038</v>
      </c>
      <c r="J23" s="17">
        <f t="shared" si="5"/>
        <v>429.41909999999973</v>
      </c>
      <c r="K23" s="17">
        <f t="shared" si="3"/>
        <v>35.78492499999998</v>
      </c>
      <c r="L23" s="16">
        <v>34</v>
      </c>
      <c r="M23" s="19">
        <f t="shared" si="6"/>
        <v>0.35294117647058826</v>
      </c>
      <c r="N23" s="16">
        <v>51</v>
      </c>
      <c r="O23" s="20">
        <f t="shared" ref="O23:P23" si="31">D23/7</f>
        <v>1.7142857142857142</v>
      </c>
      <c r="P23" s="20">
        <f t="shared" si="31"/>
        <v>0.14285714285714285</v>
      </c>
      <c r="Q23" s="16">
        <f t="shared" si="8"/>
        <v>27</v>
      </c>
      <c r="R23" s="16"/>
      <c r="S23" s="21">
        <v>2.2914572864321601</v>
      </c>
      <c r="T23" s="14">
        <v>190</v>
      </c>
      <c r="U23" s="22">
        <v>88</v>
      </c>
      <c r="V23" s="23" t="s">
        <v>666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35</v>
      </c>
      <c r="AB23" s="27">
        <f t="shared" si="11"/>
        <v>-0.69</v>
      </c>
      <c r="AC23" s="28">
        <v>0.46222222222222226</v>
      </c>
      <c r="AD23" s="25">
        <f t="shared" si="12"/>
        <v>-7.6544000000000008</v>
      </c>
      <c r="AE23" s="25">
        <v>-9.98</v>
      </c>
      <c r="AF23" s="25">
        <v>-39.443666666666672</v>
      </c>
      <c r="AG23" s="25">
        <v>0</v>
      </c>
    </row>
    <row r="24" spans="1:33" ht="15.75" customHeight="1">
      <c r="A24" s="14" t="s">
        <v>50</v>
      </c>
      <c r="B24" s="14" t="s">
        <v>667</v>
      </c>
      <c r="C24" s="15">
        <f t="shared" si="4"/>
        <v>100.23333333333333</v>
      </c>
      <c r="D24" s="16">
        <v>3</v>
      </c>
      <c r="E24" s="16">
        <v>0</v>
      </c>
      <c r="F24" s="17">
        <v>300.7</v>
      </c>
      <c r="G24" s="17">
        <v>0</v>
      </c>
      <c r="H24" s="18">
        <f t="shared" si="1"/>
        <v>0</v>
      </c>
      <c r="I24" s="18">
        <f t="shared" si="2"/>
        <v>0.35055004988360478</v>
      </c>
      <c r="J24" s="17">
        <f t="shared" si="5"/>
        <v>105.41039999999995</v>
      </c>
      <c r="K24" s="17">
        <f t="shared" si="3"/>
        <v>35.136799999999987</v>
      </c>
      <c r="L24" s="16">
        <v>26</v>
      </c>
      <c r="M24" s="19">
        <f t="shared" si="6"/>
        <v>0.11538461538461539</v>
      </c>
      <c r="N24" s="16">
        <v>49</v>
      </c>
      <c r="O24" s="20">
        <f t="shared" ref="O24:P24" si="32">D24/7</f>
        <v>0.42857142857142855</v>
      </c>
      <c r="P24" s="20">
        <f t="shared" si="32"/>
        <v>0</v>
      </c>
      <c r="Q24" s="16">
        <f t="shared" si="8"/>
        <v>114</v>
      </c>
      <c r="R24" s="16"/>
      <c r="S24" s="21">
        <v>2.1165048543689302</v>
      </c>
      <c r="T24" s="14">
        <v>204</v>
      </c>
      <c r="U24" s="22">
        <v>88</v>
      </c>
      <c r="V24" s="23" t="s">
        <v>668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14" t="s">
        <v>35</v>
      </c>
      <c r="AB24" s="27">
        <f t="shared" si="11"/>
        <v>-0.69</v>
      </c>
      <c r="AC24" s="28">
        <v>0.46222222222222226</v>
      </c>
      <c r="AD24" s="25">
        <f t="shared" si="12"/>
        <v>-1.9136000000000002</v>
      </c>
      <c r="AE24" s="25">
        <v>-9.98</v>
      </c>
      <c r="AF24" s="25">
        <v>-39.443666666666672</v>
      </c>
      <c r="AG24" s="25">
        <v>0</v>
      </c>
    </row>
    <row r="25" spans="1:33" ht="15.75" customHeight="1">
      <c r="A25" s="14" t="s">
        <v>51</v>
      </c>
      <c r="B25" s="14"/>
      <c r="C25" s="15">
        <f t="shared" si="4"/>
        <v>98.26428571428572</v>
      </c>
      <c r="D25" s="16">
        <v>14</v>
      </c>
      <c r="E25" s="16">
        <v>0</v>
      </c>
      <c r="F25" s="17">
        <v>1375.7</v>
      </c>
      <c r="G25" s="17">
        <v>0</v>
      </c>
      <c r="H25" s="18">
        <f t="shared" si="1"/>
        <v>0</v>
      </c>
      <c r="I25" s="18">
        <f t="shared" si="2"/>
        <v>0.34057924450582733</v>
      </c>
      <c r="J25" s="17">
        <f t="shared" si="5"/>
        <v>468.53486666666669</v>
      </c>
      <c r="K25" s="17">
        <f t="shared" si="3"/>
        <v>33.466776190476189</v>
      </c>
      <c r="L25" s="16">
        <v>39</v>
      </c>
      <c r="M25" s="19">
        <f t="shared" si="6"/>
        <v>0.35897435897435898</v>
      </c>
      <c r="N25" s="16">
        <v>35</v>
      </c>
      <c r="O25" s="20">
        <f t="shared" ref="O25:P25" si="33">D25/7</f>
        <v>2</v>
      </c>
      <c r="P25" s="20">
        <f t="shared" si="33"/>
        <v>0</v>
      </c>
      <c r="Q25" s="16">
        <f t="shared" si="8"/>
        <v>17</v>
      </c>
      <c r="R25" s="16"/>
      <c r="S25" s="21">
        <v>2.7354838709677418</v>
      </c>
      <c r="T25" s="14">
        <v>345</v>
      </c>
      <c r="U25" s="22">
        <v>88</v>
      </c>
      <c r="V25" s="23" t="s">
        <v>669</v>
      </c>
      <c r="W25" s="30">
        <v>0</v>
      </c>
      <c r="X25" s="24">
        <f t="shared" si="9"/>
        <v>0</v>
      </c>
      <c r="Y25" s="25">
        <f t="shared" si="10"/>
        <v>0</v>
      </c>
      <c r="Z25" s="30">
        <v>0</v>
      </c>
      <c r="AA25" s="14" t="s">
        <v>35</v>
      </c>
      <c r="AB25" s="27">
        <f t="shared" si="11"/>
        <v>-0.69</v>
      </c>
      <c r="AC25" s="28">
        <v>0.46222222222222226</v>
      </c>
      <c r="AD25" s="25">
        <f t="shared" si="12"/>
        <v>-8.9301333333333339</v>
      </c>
      <c r="AE25" s="25">
        <v>-9.98</v>
      </c>
      <c r="AF25" s="25">
        <v>-39.44</v>
      </c>
      <c r="AG25" s="25">
        <v>0</v>
      </c>
    </row>
    <row r="26" spans="1:33" ht="15.75" customHeight="1">
      <c r="A26" s="14" t="s">
        <v>52</v>
      </c>
      <c r="B26" s="14" t="s">
        <v>670</v>
      </c>
      <c r="C26" s="15" t="str">
        <f t="shared" si="4"/>
        <v xml:space="preserve"> - </v>
      </c>
      <c r="D26" s="16">
        <v>0</v>
      </c>
      <c r="E26" s="16">
        <v>0</v>
      </c>
      <c r="F26" s="17">
        <v>0</v>
      </c>
      <c r="G26" s="17">
        <v>0</v>
      </c>
      <c r="H26" s="18" t="e">
        <f t="shared" si="1"/>
        <v>#DIV/0!</v>
      </c>
      <c r="I26" s="18" t="e">
        <f t="shared" si="2"/>
        <v>#DIV/0!</v>
      </c>
      <c r="J26" s="17">
        <f t="shared" si="5"/>
        <v>0</v>
      </c>
      <c r="K26" s="17" t="e">
        <f t="shared" si="3"/>
        <v>#DIV/0!</v>
      </c>
      <c r="L26" s="16">
        <v>0</v>
      </c>
      <c r="M26" s="19" t="str">
        <f t="shared" si="6"/>
        <v>-</v>
      </c>
      <c r="N26" s="16">
        <v>35</v>
      </c>
      <c r="O26" s="20">
        <f t="shared" ref="O26:P26" si="34">D26/7</f>
        <v>0</v>
      </c>
      <c r="P26" s="20">
        <f t="shared" si="34"/>
        <v>0</v>
      </c>
      <c r="Q26" s="16" t="e">
        <f t="shared" si="8"/>
        <v>#DIV/0!</v>
      </c>
      <c r="R26" s="16"/>
      <c r="S26" s="21">
        <v>1.7606837606837611</v>
      </c>
      <c r="T26" s="14">
        <v>345</v>
      </c>
      <c r="U26" s="22">
        <v>14</v>
      </c>
      <c r="V26" s="23" t="s">
        <v>671</v>
      </c>
      <c r="W26" s="30">
        <v>0</v>
      </c>
      <c r="X26" s="24">
        <f t="shared" si="9"/>
        <v>0</v>
      </c>
      <c r="Y26" s="25">
        <f t="shared" si="10"/>
        <v>0</v>
      </c>
      <c r="Z26" s="30">
        <v>0</v>
      </c>
      <c r="AA26" s="14" t="s">
        <v>35</v>
      </c>
      <c r="AB26" s="27">
        <f t="shared" si="11"/>
        <v>-0.69</v>
      </c>
      <c r="AC26" s="28">
        <v>0.46222222222222226</v>
      </c>
      <c r="AD26" s="25">
        <f t="shared" si="12"/>
        <v>0</v>
      </c>
      <c r="AE26" s="25">
        <v>-9.2799999999999994</v>
      </c>
      <c r="AF26" s="25">
        <v>-39.443666666666601</v>
      </c>
      <c r="AG26" s="25">
        <v>0</v>
      </c>
    </row>
    <row r="27" spans="1:33" ht="15.75" customHeight="1">
      <c r="A27" s="14" t="s">
        <v>53</v>
      </c>
      <c r="B27" s="14" t="s">
        <v>672</v>
      </c>
      <c r="C27" s="15">
        <f t="shared" si="4"/>
        <v>78.782941176470587</v>
      </c>
      <c r="D27" s="16">
        <v>17</v>
      </c>
      <c r="E27" s="16">
        <v>0</v>
      </c>
      <c r="F27" s="17">
        <v>1339.31</v>
      </c>
      <c r="G27" s="17">
        <v>-0.06</v>
      </c>
      <c r="H27" s="18">
        <f t="shared" si="1"/>
        <v>4.4799187641397438E-5</v>
      </c>
      <c r="I27" s="18">
        <f t="shared" si="2"/>
        <v>0.19326650787843494</v>
      </c>
      <c r="J27" s="17">
        <f t="shared" si="5"/>
        <v>258.84376666666668</v>
      </c>
      <c r="K27" s="17">
        <f t="shared" si="3"/>
        <v>15.226103921568628</v>
      </c>
      <c r="L27" s="16">
        <v>34</v>
      </c>
      <c r="M27" s="19">
        <f t="shared" si="6"/>
        <v>0.5</v>
      </c>
      <c r="N27" s="16">
        <v>20</v>
      </c>
      <c r="O27" s="20">
        <f t="shared" ref="O27:P27" si="35">D27/7</f>
        <v>2.4285714285714284</v>
      </c>
      <c r="P27" s="20">
        <f t="shared" si="35"/>
        <v>0</v>
      </c>
      <c r="Q27" s="16">
        <f t="shared" si="8"/>
        <v>8</v>
      </c>
      <c r="R27" s="16"/>
      <c r="S27" s="21">
        <v>2.0097560975609761</v>
      </c>
      <c r="T27" s="14">
        <v>345</v>
      </c>
      <c r="U27" s="22">
        <v>88</v>
      </c>
      <c r="V27" s="23" t="s">
        <v>673</v>
      </c>
      <c r="W27" s="30">
        <v>0</v>
      </c>
      <c r="X27" s="24">
        <f t="shared" si="9"/>
        <v>0</v>
      </c>
      <c r="Y27" s="25">
        <f t="shared" si="10"/>
        <v>0</v>
      </c>
      <c r="Z27" s="30">
        <v>0</v>
      </c>
      <c r="AA27" s="14" t="s">
        <v>35</v>
      </c>
      <c r="AB27" s="27">
        <f t="shared" si="11"/>
        <v>-0.69</v>
      </c>
      <c r="AC27" s="28">
        <v>0.46222222222222226</v>
      </c>
      <c r="AD27" s="25">
        <f t="shared" si="12"/>
        <v>-10.843733333333335</v>
      </c>
      <c r="AE27" s="25">
        <v>-9.2799999999999994</v>
      </c>
      <c r="AF27" s="25">
        <v>-41.817999999999998</v>
      </c>
      <c r="AG27" s="25">
        <v>0</v>
      </c>
    </row>
    <row r="28" spans="1:33" ht="15.75" customHeight="1">
      <c r="A28" s="14" t="s">
        <v>54</v>
      </c>
      <c r="B28" s="14" t="s">
        <v>45</v>
      </c>
      <c r="C28" s="15">
        <f t="shared" si="4"/>
        <v>79.541111111111107</v>
      </c>
      <c r="D28" s="16">
        <v>18</v>
      </c>
      <c r="E28" s="16">
        <v>0</v>
      </c>
      <c r="F28" s="17">
        <v>1431.74</v>
      </c>
      <c r="G28" s="17">
        <v>0</v>
      </c>
      <c r="H28" s="18">
        <f t="shared" si="1"/>
        <v>0</v>
      </c>
      <c r="I28" s="18">
        <f t="shared" si="2"/>
        <v>0.19957073211616644</v>
      </c>
      <c r="J28" s="17">
        <f t="shared" si="5"/>
        <v>285.73340000000013</v>
      </c>
      <c r="K28" s="17">
        <f t="shared" si="3"/>
        <v>15.874077777777785</v>
      </c>
      <c r="L28" s="16">
        <v>36</v>
      </c>
      <c r="M28" s="19">
        <f t="shared" si="6"/>
        <v>0.5</v>
      </c>
      <c r="N28" s="16">
        <v>5</v>
      </c>
      <c r="O28" s="20">
        <f t="shared" ref="O28:P28" si="36">D28/7</f>
        <v>2.5714285714285716</v>
      </c>
      <c r="P28" s="20">
        <f t="shared" si="36"/>
        <v>0</v>
      </c>
      <c r="Q28" s="16">
        <f t="shared" si="8"/>
        <v>1</v>
      </c>
      <c r="R28" s="16"/>
      <c r="S28" s="21">
        <v>2.4819277108433742</v>
      </c>
      <c r="T28" s="14">
        <v>645</v>
      </c>
      <c r="U28" s="22">
        <v>44395</v>
      </c>
      <c r="V28" s="23" t="s">
        <v>674</v>
      </c>
      <c r="W28" s="30">
        <v>0</v>
      </c>
      <c r="X28" s="24">
        <f t="shared" si="9"/>
        <v>0</v>
      </c>
      <c r="Y28" s="25">
        <f t="shared" si="10"/>
        <v>0</v>
      </c>
      <c r="Z28" s="30">
        <v>0</v>
      </c>
      <c r="AA28" s="14" t="s">
        <v>35</v>
      </c>
      <c r="AB28" s="27">
        <f t="shared" si="11"/>
        <v>-0.69</v>
      </c>
      <c r="AC28" s="28">
        <v>0.46222222222222226</v>
      </c>
      <c r="AD28" s="25">
        <f t="shared" si="12"/>
        <v>-11.4816</v>
      </c>
      <c r="AE28" s="25">
        <v>-9.2799999999999994</v>
      </c>
      <c r="AF28" s="25">
        <v>-41.817999999999998</v>
      </c>
      <c r="AG28" s="25">
        <v>0</v>
      </c>
    </row>
    <row r="29" spans="1:33" ht="15.75" customHeight="1">
      <c r="A29" s="14" t="s">
        <v>55</v>
      </c>
      <c r="B29" s="14"/>
      <c r="C29" s="15" t="str">
        <f t="shared" si="4"/>
        <v xml:space="preserve"> - </v>
      </c>
      <c r="D29" s="16">
        <v>0</v>
      </c>
      <c r="E29" s="16">
        <v>0</v>
      </c>
      <c r="F29" s="17">
        <v>0</v>
      </c>
      <c r="G29" s="17">
        <v>0</v>
      </c>
      <c r="H29" s="18" t="e">
        <f t="shared" si="1"/>
        <v>#DIV/0!</v>
      </c>
      <c r="I29" s="18" t="e">
        <f t="shared" si="2"/>
        <v>#DIV/0!</v>
      </c>
      <c r="J29" s="17">
        <f t="shared" si="5"/>
        <v>0</v>
      </c>
      <c r="K29" s="17" t="e">
        <f t="shared" si="3"/>
        <v>#DIV/0!</v>
      </c>
      <c r="L29" s="16">
        <v>0</v>
      </c>
      <c r="M29" s="19" t="str">
        <f t="shared" si="6"/>
        <v>-</v>
      </c>
      <c r="N29" s="16">
        <v>0</v>
      </c>
      <c r="O29" s="20">
        <f t="shared" ref="O29:P29" si="37">D29/7</f>
        <v>0</v>
      </c>
      <c r="P29" s="20">
        <f t="shared" si="37"/>
        <v>0</v>
      </c>
      <c r="Q29" s="16" t="e">
        <f t="shared" si="8"/>
        <v>#DIV/0!</v>
      </c>
      <c r="R29" s="16"/>
      <c r="S29" s="21">
        <v>0</v>
      </c>
      <c r="T29" s="14">
        <v>659</v>
      </c>
      <c r="U29" s="22">
        <v>44395</v>
      </c>
      <c r="V29" s="23" t="s">
        <v>675</v>
      </c>
      <c r="W29" s="30">
        <v>0</v>
      </c>
      <c r="X29" s="24">
        <f t="shared" si="9"/>
        <v>0</v>
      </c>
      <c r="Y29" s="25">
        <f t="shared" si="10"/>
        <v>0</v>
      </c>
      <c r="Z29" s="30">
        <v>0</v>
      </c>
      <c r="AA29" s="14" t="s">
        <v>35</v>
      </c>
      <c r="AB29" s="27">
        <f t="shared" si="11"/>
        <v>-0.69</v>
      </c>
      <c r="AC29" s="28">
        <v>0.46222222222222226</v>
      </c>
      <c r="AD29" s="25">
        <f t="shared" si="12"/>
        <v>0</v>
      </c>
      <c r="AE29" s="25">
        <v>-9.2799999999999994</v>
      </c>
      <c r="AF29" s="25">
        <v>-41.817999999999998</v>
      </c>
      <c r="AG29" s="25">
        <v>0</v>
      </c>
    </row>
    <row r="30" spans="1:33" ht="15.75" customHeight="1">
      <c r="A30" s="14" t="s">
        <v>57</v>
      </c>
      <c r="B30" s="14"/>
      <c r="C30" s="15" t="str">
        <f t="shared" si="4"/>
        <v xml:space="preserve"> - </v>
      </c>
      <c r="D30" s="16">
        <v>0</v>
      </c>
      <c r="E30" s="16">
        <v>0</v>
      </c>
      <c r="F30" s="17">
        <v>0</v>
      </c>
      <c r="G30" s="17">
        <v>0</v>
      </c>
      <c r="H30" s="18" t="e">
        <f t="shared" si="1"/>
        <v>#DIV/0!</v>
      </c>
      <c r="I30" s="18" t="e">
        <f t="shared" si="2"/>
        <v>#DIV/0!</v>
      </c>
      <c r="J30" s="17">
        <f t="shared" si="5"/>
        <v>0</v>
      </c>
      <c r="K30" s="17" t="e">
        <f t="shared" si="3"/>
        <v>#DIV/0!</v>
      </c>
      <c r="L30" s="16">
        <v>0</v>
      </c>
      <c r="M30" s="19" t="str">
        <f t="shared" si="6"/>
        <v>-</v>
      </c>
      <c r="N30" s="16">
        <v>0</v>
      </c>
      <c r="O30" s="20">
        <f t="shared" ref="O30:P30" si="38">D30/7</f>
        <v>0</v>
      </c>
      <c r="P30" s="20">
        <f t="shared" si="38"/>
        <v>0</v>
      </c>
      <c r="Q30" s="16" t="e">
        <f t="shared" si="8"/>
        <v>#DIV/0!</v>
      </c>
      <c r="R30" s="16"/>
      <c r="S30" s="21">
        <v>0</v>
      </c>
      <c r="T30" s="14">
        <v>204</v>
      </c>
      <c r="U30" s="22">
        <v>88</v>
      </c>
      <c r="V30" s="23" t="s">
        <v>676</v>
      </c>
      <c r="W30" s="30">
        <v>0</v>
      </c>
      <c r="X30" s="24">
        <f t="shared" si="9"/>
        <v>0</v>
      </c>
      <c r="Y30" s="25">
        <f t="shared" si="10"/>
        <v>0</v>
      </c>
      <c r="Z30" s="30">
        <v>0</v>
      </c>
      <c r="AA30" s="14" t="s">
        <v>35</v>
      </c>
      <c r="AB30" s="27">
        <f t="shared" si="11"/>
        <v>-0.69</v>
      </c>
      <c r="AC30" s="28">
        <v>0.46222222222222226</v>
      </c>
      <c r="AD30" s="25">
        <f t="shared" si="12"/>
        <v>0</v>
      </c>
      <c r="AE30" s="25">
        <v>-9.2799999999999994</v>
      </c>
      <c r="AF30" s="25">
        <v>-40.498438903999997</v>
      </c>
      <c r="AG30" s="25">
        <v>0</v>
      </c>
    </row>
    <row r="31" spans="1:33" ht="15.75" customHeight="1">
      <c r="A31" s="14" t="s">
        <v>58</v>
      </c>
      <c r="B31" s="14"/>
      <c r="C31" s="15" t="str">
        <f t="shared" si="4"/>
        <v xml:space="preserve"> - </v>
      </c>
      <c r="D31" s="16">
        <v>0</v>
      </c>
      <c r="E31" s="16">
        <v>0</v>
      </c>
      <c r="F31" s="17">
        <v>0</v>
      </c>
      <c r="G31" s="17">
        <v>0</v>
      </c>
      <c r="H31" s="18" t="e">
        <f t="shared" si="1"/>
        <v>#DIV/0!</v>
      </c>
      <c r="I31" s="18" t="e">
        <f t="shared" si="2"/>
        <v>#DIV/0!</v>
      </c>
      <c r="J31" s="17">
        <f t="shared" si="5"/>
        <v>0</v>
      </c>
      <c r="K31" s="17" t="e">
        <f t="shared" si="3"/>
        <v>#DIV/0!</v>
      </c>
      <c r="L31" s="16">
        <v>0</v>
      </c>
      <c r="M31" s="19" t="str">
        <f t="shared" si="6"/>
        <v>-</v>
      </c>
      <c r="N31" s="16">
        <v>0</v>
      </c>
      <c r="O31" s="20">
        <f t="shared" ref="O31:P31" si="39">D31/7</f>
        <v>0</v>
      </c>
      <c r="P31" s="20">
        <f t="shared" si="39"/>
        <v>0</v>
      </c>
      <c r="Q31" s="16" t="e">
        <f t="shared" si="8"/>
        <v>#DIV/0!</v>
      </c>
      <c r="R31" s="16"/>
      <c r="S31" s="21" t="e">
        <v>#N/A</v>
      </c>
      <c r="T31" s="14">
        <v>103</v>
      </c>
      <c r="U31" s="22" t="s">
        <v>34</v>
      </c>
      <c r="V31" s="23" t="s">
        <v>677</v>
      </c>
      <c r="W31" s="30">
        <v>0</v>
      </c>
      <c r="X31" s="24">
        <f t="shared" si="9"/>
        <v>0</v>
      </c>
      <c r="Y31" s="25">
        <f t="shared" si="10"/>
        <v>0</v>
      </c>
      <c r="Z31" s="30">
        <v>0</v>
      </c>
      <c r="AA31" s="14" t="s">
        <v>35</v>
      </c>
      <c r="AB31" s="27">
        <f t="shared" si="11"/>
        <v>-0.69</v>
      </c>
      <c r="AC31" s="28">
        <v>0.46222222222222226</v>
      </c>
      <c r="AD31" s="25">
        <f t="shared" si="12"/>
        <v>0</v>
      </c>
      <c r="AE31" s="25">
        <v>-9.2799999999999994</v>
      </c>
      <c r="AF31" s="25">
        <v>-40.498438903999997</v>
      </c>
      <c r="AG31" s="25">
        <v>0</v>
      </c>
    </row>
    <row r="32" spans="1:33" ht="15.75" customHeight="1">
      <c r="A32" s="14" t="s">
        <v>60</v>
      </c>
      <c r="B32" s="14"/>
      <c r="C32" s="15" t="str">
        <f t="shared" si="4"/>
        <v xml:space="preserve"> - </v>
      </c>
      <c r="D32" s="16">
        <v>0</v>
      </c>
      <c r="E32" s="16">
        <v>0</v>
      </c>
      <c r="F32" s="17">
        <v>0</v>
      </c>
      <c r="G32" s="17">
        <v>0</v>
      </c>
      <c r="H32" s="18" t="e">
        <f t="shared" si="1"/>
        <v>#DIV/0!</v>
      </c>
      <c r="I32" s="18" t="e">
        <f t="shared" si="2"/>
        <v>#DIV/0!</v>
      </c>
      <c r="J32" s="17">
        <f t="shared" si="5"/>
        <v>0</v>
      </c>
      <c r="K32" s="17" t="e">
        <f t="shared" si="3"/>
        <v>#DIV/0!</v>
      </c>
      <c r="L32" s="16">
        <v>0</v>
      </c>
      <c r="M32" s="19" t="str">
        <f t="shared" si="6"/>
        <v>-</v>
      </c>
      <c r="N32" s="16">
        <v>0</v>
      </c>
      <c r="O32" s="20">
        <f t="shared" ref="O32:P32" si="40">D32/7</f>
        <v>0</v>
      </c>
      <c r="P32" s="20">
        <f t="shared" si="40"/>
        <v>0</v>
      </c>
      <c r="Q32" s="16" t="e">
        <f t="shared" si="8"/>
        <v>#DIV/0!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0</v>
      </c>
      <c r="T32" s="14">
        <f ca="1">IFERROR(__xludf.DUMMYFUNCTION("IFERROR(VLOOKUP($B$2,IMPORTRANGE(""https://docs.google.com/spreadsheets/d/1KiWZV1ko8G7lnRucBRBd29jj3Be6ltMfljMDqzOkQmI/edit#gid=1381463014"",""Lookup!A:D""),4,FALSE),"""")"),103)</f>
        <v>103</v>
      </c>
      <c r="U32" s="22">
        <f ca="1">IFERROR(__xludf.DUMMYFUNCTION("IFERROR(VLOOKUP($B$2,IMPORTRANGE(""https://docs.google.com/spreadsheets/d/1KiWZV1ko8G7lnRucBRBd29jj3Be6ltMfljMDqzOkQmI/edit#gid=1381463014"",""Lookup!A:D""),3,FALSE),"""")"),102)</f>
        <v>102</v>
      </c>
      <c r="V32" s="23" t="str">
        <f ca="1">IFERROR(__xludf.DUMMYFUNCTION("IFERROR(VLOOKUP($B$2,IMPORTRANGE(""https://docs.google.com/spreadsheets/d/1KiWZV1ko8G7lnRucBRBd29jj3Be6ltMfljMDqzOkQmI/edit#gid=1381463014"",""Lookup!A:D""),2,FALSE),"""")"),"| 413  - 88 units 07/26| 418  - 14 units 09/03")</f>
        <v>| 413  - 88 units 07/26| 418  - 14 units 09/03</v>
      </c>
      <c r="W32" s="30">
        <v>0</v>
      </c>
      <c r="X32" s="24">
        <f t="shared" si="9"/>
        <v>0</v>
      </c>
      <c r="Y32" s="25">
        <f t="shared" si="10"/>
        <v>0</v>
      </c>
      <c r="Z32" s="30">
        <v>0</v>
      </c>
      <c r="AA32" s="14" t="s">
        <v>35</v>
      </c>
      <c r="AB32" s="27">
        <f t="shared" si="11"/>
        <v>-0.69</v>
      </c>
      <c r="AC32" s="28">
        <v>0.46222222222222226</v>
      </c>
      <c r="AD32" s="25">
        <f t="shared" si="12"/>
        <v>0</v>
      </c>
      <c r="AE32" s="25">
        <v>-9.2799999999999994</v>
      </c>
      <c r="AF32" s="25">
        <v>-40.498438903999997</v>
      </c>
      <c r="AG32" s="25">
        <v>0</v>
      </c>
    </row>
    <row r="33" spans="1:33" ht="15.75" customHeight="1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16"/>
      <c r="S33" s="21"/>
      <c r="T33" s="31"/>
      <c r="U33" s="36"/>
      <c r="V33" s="1"/>
      <c r="W33" s="31"/>
      <c r="X33" s="31"/>
      <c r="Y33" s="31"/>
      <c r="Z33" s="31"/>
      <c r="AA33" s="2"/>
      <c r="AB33" s="31"/>
      <c r="AC33" s="31"/>
      <c r="AD33" s="31"/>
      <c r="AE33" s="37"/>
      <c r="AF33" s="37"/>
      <c r="AG33" s="37"/>
    </row>
    <row r="34" spans="1:33" ht="15.75" customHeight="1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6"/>
      <c r="V34" s="1"/>
      <c r="W34" s="31"/>
      <c r="X34" s="31"/>
      <c r="Y34" s="31"/>
      <c r="Z34" s="31"/>
      <c r="AA34" s="2"/>
      <c r="AB34" s="31"/>
      <c r="AC34" s="31"/>
      <c r="AD34" s="31"/>
      <c r="AE34" s="37"/>
      <c r="AF34" s="37"/>
      <c r="AG34" s="37"/>
    </row>
    <row r="35" spans="1:33" ht="15.75" customHeight="1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6"/>
      <c r="V35" s="1"/>
      <c r="W35" s="31"/>
      <c r="X35" s="31"/>
      <c r="Y35" s="31"/>
      <c r="Z35" s="31"/>
      <c r="AA35" s="2"/>
      <c r="AB35" s="31"/>
      <c r="AC35" s="31"/>
      <c r="AD35" s="31"/>
      <c r="AE35" s="37"/>
      <c r="AF35" s="37"/>
      <c r="AG35" s="37"/>
    </row>
    <row r="36" spans="1:33" ht="15.75" customHeight="1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6"/>
      <c r="V36" s="1"/>
      <c r="W36" s="31"/>
      <c r="X36" s="31"/>
      <c r="Y36" s="31"/>
      <c r="Z36" s="31"/>
      <c r="AA36" s="2"/>
      <c r="AB36" s="31"/>
      <c r="AC36" s="31"/>
      <c r="AD36" s="31"/>
      <c r="AE36" s="37"/>
      <c r="AF36" s="37"/>
      <c r="AG36" s="37"/>
    </row>
    <row r="37" spans="1:33" ht="15.75" customHeight="1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6"/>
      <c r="V37" s="1"/>
      <c r="W37" s="31"/>
      <c r="X37" s="31"/>
      <c r="Y37" s="31"/>
      <c r="Z37" s="31"/>
      <c r="AA37" s="2"/>
      <c r="AB37" s="31"/>
      <c r="AC37" s="31"/>
      <c r="AD37" s="31"/>
      <c r="AE37" s="37"/>
      <c r="AF37" s="37"/>
      <c r="AG37" s="37"/>
    </row>
    <row r="38" spans="1:33" ht="15.75" customHeight="1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6"/>
      <c r="V38" s="1"/>
      <c r="W38" s="31"/>
      <c r="X38" s="31"/>
      <c r="Y38" s="31"/>
      <c r="Z38" s="31"/>
      <c r="AA38" s="2"/>
      <c r="AB38" s="31"/>
      <c r="AC38" s="31"/>
      <c r="AD38" s="31"/>
      <c r="AE38" s="37"/>
      <c r="AF38" s="37"/>
      <c r="AG38" s="37"/>
    </row>
    <row r="39" spans="1:33" ht="15.75" customHeight="1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6"/>
      <c r="V39" s="1"/>
      <c r="W39" s="31"/>
      <c r="X39" s="31"/>
      <c r="Y39" s="31"/>
      <c r="Z39" s="31"/>
      <c r="AA39" s="2"/>
      <c r="AB39" s="31"/>
      <c r="AC39" s="31"/>
      <c r="AD39" s="31"/>
      <c r="AE39" s="37"/>
      <c r="AF39" s="37"/>
      <c r="AG39" s="37"/>
    </row>
    <row r="40" spans="1:33" ht="15.75" customHeight="1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6"/>
      <c r="V40" s="1"/>
      <c r="W40" s="31"/>
      <c r="X40" s="31"/>
      <c r="Y40" s="31"/>
      <c r="Z40" s="31"/>
      <c r="AA40" s="2"/>
      <c r="AB40" s="31"/>
      <c r="AC40" s="31"/>
      <c r="AD40" s="31"/>
      <c r="AE40" s="37"/>
      <c r="AF40" s="37"/>
      <c r="AG40" s="37"/>
    </row>
    <row r="41" spans="1:33" ht="15.75" customHeight="1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6"/>
      <c r="V41" s="1"/>
      <c r="W41" s="31"/>
      <c r="X41" s="31"/>
      <c r="Y41" s="31"/>
      <c r="Z41" s="31"/>
      <c r="AA41" s="2"/>
      <c r="AB41" s="31"/>
      <c r="AC41" s="31"/>
      <c r="AD41" s="31"/>
      <c r="AE41" s="37"/>
      <c r="AF41" s="37"/>
      <c r="AG41" s="37"/>
    </row>
    <row r="42" spans="1:33" ht="15.75" customHeight="1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6"/>
      <c r="V42" s="1"/>
      <c r="W42" s="31"/>
      <c r="X42" s="31"/>
      <c r="Y42" s="31"/>
      <c r="Z42" s="31"/>
      <c r="AA42" s="2"/>
      <c r="AB42" s="31"/>
      <c r="AC42" s="31"/>
      <c r="AD42" s="31"/>
      <c r="AE42" s="37"/>
      <c r="AF42" s="37"/>
      <c r="AG42" s="37"/>
    </row>
    <row r="43" spans="1:33" ht="15.75" customHeight="1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6"/>
      <c r="V43" s="1"/>
      <c r="W43" s="31"/>
      <c r="X43" s="31"/>
      <c r="Y43" s="31"/>
      <c r="Z43" s="31"/>
      <c r="AA43" s="2"/>
      <c r="AB43" s="31"/>
      <c r="AC43" s="31"/>
      <c r="AD43" s="31"/>
      <c r="AE43" s="37"/>
      <c r="AF43" s="37"/>
      <c r="AG43" s="37"/>
    </row>
    <row r="44" spans="1:33" ht="15.75" customHeight="1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6"/>
      <c r="V44" s="1"/>
      <c r="W44" s="31"/>
      <c r="X44" s="31"/>
      <c r="Y44" s="31"/>
      <c r="Z44" s="31"/>
      <c r="AA44" s="2"/>
      <c r="AB44" s="31"/>
      <c r="AC44" s="31"/>
      <c r="AD44" s="31"/>
      <c r="AE44" s="37"/>
      <c r="AF44" s="37"/>
      <c r="AG44" s="37"/>
    </row>
    <row r="45" spans="1:33" ht="15.75" customHeight="1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6"/>
      <c r="V45" s="1"/>
      <c r="W45" s="31"/>
      <c r="X45" s="31"/>
      <c r="Y45" s="31"/>
      <c r="Z45" s="31"/>
      <c r="AA45" s="2"/>
      <c r="AB45" s="31"/>
      <c r="AC45" s="31"/>
      <c r="AD45" s="31"/>
      <c r="AE45" s="37"/>
      <c r="AF45" s="37"/>
      <c r="AG45" s="37"/>
    </row>
    <row r="46" spans="1:33" ht="15.75" customHeight="1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6"/>
      <c r="V46" s="1"/>
      <c r="W46" s="31"/>
      <c r="X46" s="31"/>
      <c r="Y46" s="31"/>
      <c r="Z46" s="31"/>
      <c r="AA46" s="2"/>
      <c r="AB46" s="31"/>
      <c r="AC46" s="31"/>
      <c r="AD46" s="31"/>
      <c r="AE46" s="37"/>
      <c r="AF46" s="37"/>
      <c r="AG46" s="37"/>
    </row>
    <row r="47" spans="1:33" ht="15.75" customHeight="1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6"/>
      <c r="V47" s="1"/>
      <c r="W47" s="31"/>
      <c r="X47" s="31"/>
      <c r="Y47" s="31"/>
      <c r="Z47" s="31"/>
      <c r="AA47" s="2"/>
      <c r="AB47" s="31"/>
      <c r="AC47" s="31"/>
      <c r="AD47" s="31"/>
      <c r="AE47" s="37"/>
      <c r="AF47" s="37"/>
      <c r="AG47" s="37"/>
    </row>
    <row r="48" spans="1:33" ht="15.75" customHeight="1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6"/>
      <c r="V48" s="1"/>
      <c r="W48" s="31"/>
      <c r="X48" s="31"/>
      <c r="Y48" s="31"/>
      <c r="Z48" s="31"/>
      <c r="AA48" s="2"/>
      <c r="AB48" s="31"/>
      <c r="AC48" s="31"/>
      <c r="AD48" s="31"/>
      <c r="AE48" s="37"/>
      <c r="AF48" s="37"/>
      <c r="AG48" s="37"/>
    </row>
    <row r="49" spans="1:33" ht="15.75" customHeight="1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6"/>
      <c r="V49" s="1"/>
      <c r="W49" s="31"/>
      <c r="X49" s="31"/>
      <c r="Y49" s="31"/>
      <c r="Z49" s="31"/>
      <c r="AA49" s="2"/>
      <c r="AB49" s="31"/>
      <c r="AC49" s="31"/>
      <c r="AD49" s="31"/>
      <c r="AE49" s="37"/>
      <c r="AF49" s="37"/>
      <c r="AG49" s="37"/>
    </row>
    <row r="50" spans="1:33" ht="15.75" customHeight="1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6"/>
      <c r="V50" s="1"/>
      <c r="W50" s="31"/>
      <c r="X50" s="31"/>
      <c r="Y50" s="31"/>
      <c r="Z50" s="31"/>
      <c r="AA50" s="2"/>
      <c r="AB50" s="31"/>
      <c r="AC50" s="31"/>
      <c r="AD50" s="31"/>
      <c r="AE50" s="37"/>
      <c r="AF50" s="37"/>
      <c r="AG50" s="37"/>
    </row>
    <row r="51" spans="1:33" ht="15.75" customHeight="1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6"/>
      <c r="V51" s="1"/>
      <c r="W51" s="31"/>
      <c r="X51" s="31"/>
      <c r="Y51" s="31"/>
      <c r="Z51" s="31"/>
      <c r="AA51" s="2"/>
      <c r="AB51" s="31"/>
      <c r="AC51" s="31"/>
      <c r="AD51" s="31"/>
      <c r="AE51" s="37"/>
      <c r="AF51" s="37"/>
      <c r="AG51" s="37"/>
    </row>
    <row r="52" spans="1:33" ht="15.75" customHeight="1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6"/>
      <c r="V52" s="1"/>
      <c r="W52" s="31"/>
      <c r="X52" s="31"/>
      <c r="Y52" s="31"/>
      <c r="Z52" s="31"/>
      <c r="AA52" s="2"/>
      <c r="AB52" s="31"/>
      <c r="AC52" s="31"/>
      <c r="AD52" s="31"/>
      <c r="AE52" s="37"/>
      <c r="AF52" s="37"/>
      <c r="AG52" s="37"/>
    </row>
    <row r="53" spans="1:33" ht="15.75" customHeight="1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6"/>
      <c r="V53" s="1"/>
      <c r="W53" s="31"/>
      <c r="X53" s="31"/>
      <c r="Y53" s="31"/>
      <c r="Z53" s="31"/>
      <c r="AA53" s="2"/>
      <c r="AB53" s="31"/>
      <c r="AC53" s="31"/>
      <c r="AD53" s="31"/>
      <c r="AE53" s="37"/>
      <c r="AF53" s="37"/>
      <c r="AG53" s="37"/>
    </row>
    <row r="54" spans="1:33" ht="15.75" customHeight="1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6"/>
      <c r="V54" s="1"/>
      <c r="W54" s="31"/>
      <c r="X54" s="31"/>
      <c r="Y54" s="31"/>
      <c r="Z54" s="31"/>
      <c r="AA54" s="2"/>
      <c r="AB54" s="31"/>
      <c r="AC54" s="31"/>
      <c r="AD54" s="31"/>
      <c r="AE54" s="37"/>
      <c r="AF54" s="37"/>
      <c r="AG54" s="37"/>
    </row>
    <row r="55" spans="1:33" ht="15.75" customHeight="1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6"/>
      <c r="V55" s="1"/>
      <c r="W55" s="31"/>
      <c r="X55" s="31"/>
      <c r="Y55" s="31"/>
      <c r="Z55" s="31"/>
      <c r="AA55" s="2"/>
      <c r="AB55" s="31"/>
      <c r="AC55" s="31"/>
      <c r="AD55" s="31"/>
      <c r="AE55" s="37"/>
      <c r="AF55" s="37"/>
      <c r="AG55" s="37"/>
    </row>
    <row r="56" spans="1:33" ht="15.75" customHeight="1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6"/>
      <c r="V56" s="1"/>
      <c r="W56" s="31"/>
      <c r="X56" s="31"/>
      <c r="Y56" s="31"/>
      <c r="Z56" s="31"/>
      <c r="AA56" s="2"/>
      <c r="AB56" s="31"/>
      <c r="AC56" s="31"/>
      <c r="AD56" s="31"/>
      <c r="AE56" s="37"/>
      <c r="AF56" s="37"/>
      <c r="AG56" s="37"/>
    </row>
    <row r="57" spans="1:33" ht="15.75" customHeight="1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6"/>
      <c r="V57" s="1"/>
      <c r="W57" s="31"/>
      <c r="X57" s="31"/>
      <c r="Y57" s="31"/>
      <c r="Z57" s="31"/>
      <c r="AA57" s="2"/>
      <c r="AB57" s="31"/>
      <c r="AC57" s="31"/>
      <c r="AD57" s="31"/>
      <c r="AE57" s="37"/>
      <c r="AF57" s="37"/>
      <c r="AG57" s="37"/>
    </row>
    <row r="58" spans="1:33" ht="15.75" customHeight="1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6"/>
      <c r="V58" s="1"/>
      <c r="W58" s="31"/>
      <c r="X58" s="31"/>
      <c r="Y58" s="31"/>
      <c r="Z58" s="31"/>
      <c r="AA58" s="2"/>
      <c r="AB58" s="31"/>
      <c r="AC58" s="31"/>
      <c r="AD58" s="31"/>
      <c r="AE58" s="37"/>
      <c r="AF58" s="37"/>
      <c r="AG58" s="37"/>
    </row>
    <row r="59" spans="1:33" ht="15.75" customHeight="1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6"/>
      <c r="V59" s="1"/>
      <c r="W59" s="31"/>
      <c r="X59" s="31"/>
      <c r="Y59" s="31"/>
      <c r="Z59" s="31"/>
      <c r="AA59" s="2"/>
      <c r="AB59" s="31"/>
      <c r="AC59" s="31"/>
      <c r="AD59" s="31"/>
      <c r="AE59" s="37"/>
      <c r="AF59" s="37"/>
      <c r="AG59" s="37"/>
    </row>
    <row r="60" spans="1:33" ht="15.75" customHeight="1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6"/>
      <c r="V60" s="1"/>
      <c r="W60" s="31"/>
      <c r="X60" s="31"/>
      <c r="Y60" s="31"/>
      <c r="Z60" s="31"/>
      <c r="AA60" s="2"/>
      <c r="AB60" s="31"/>
      <c r="AC60" s="31"/>
      <c r="AD60" s="31"/>
      <c r="AE60" s="37"/>
      <c r="AF60" s="37"/>
      <c r="AG60" s="37"/>
    </row>
    <row r="61" spans="1:33" ht="15.75" customHeight="1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6"/>
      <c r="V61" s="1"/>
      <c r="W61" s="31"/>
      <c r="X61" s="31"/>
      <c r="Y61" s="31"/>
      <c r="Z61" s="31"/>
      <c r="AA61" s="2"/>
      <c r="AB61" s="31"/>
      <c r="AC61" s="31"/>
      <c r="AD61" s="31"/>
      <c r="AE61" s="37"/>
      <c r="AF61" s="37"/>
      <c r="AG61" s="37"/>
    </row>
    <row r="62" spans="1:33" ht="15.75" customHeight="1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6"/>
      <c r="V62" s="1"/>
      <c r="W62" s="31"/>
      <c r="X62" s="31"/>
      <c r="Y62" s="31"/>
      <c r="Z62" s="31"/>
      <c r="AA62" s="2"/>
      <c r="AB62" s="31"/>
      <c r="AC62" s="31"/>
      <c r="AD62" s="31"/>
      <c r="AE62" s="37"/>
      <c r="AF62" s="37"/>
      <c r="AG62" s="37"/>
    </row>
    <row r="63" spans="1:33" ht="15.75" customHeight="1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6"/>
      <c r="V63" s="1"/>
      <c r="W63" s="31"/>
      <c r="X63" s="31"/>
      <c r="Y63" s="31"/>
      <c r="Z63" s="31"/>
      <c r="AA63" s="2"/>
      <c r="AB63" s="31"/>
      <c r="AC63" s="31"/>
      <c r="AD63" s="31"/>
      <c r="AE63" s="37"/>
      <c r="AF63" s="37"/>
      <c r="AG63" s="37"/>
    </row>
    <row r="64" spans="1:33" ht="15.75" customHeight="1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6"/>
      <c r="V64" s="1"/>
      <c r="W64" s="31"/>
      <c r="X64" s="31"/>
      <c r="Y64" s="31"/>
      <c r="Z64" s="31"/>
      <c r="AA64" s="2"/>
      <c r="AB64" s="31"/>
      <c r="AC64" s="31"/>
      <c r="AD64" s="31"/>
      <c r="AE64" s="37"/>
      <c r="AF64" s="37"/>
      <c r="AG64" s="37"/>
    </row>
    <row r="65" spans="1:33" ht="15.75" customHeight="1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6"/>
      <c r="V65" s="1"/>
      <c r="W65" s="31"/>
      <c r="X65" s="31"/>
      <c r="Y65" s="31"/>
      <c r="Z65" s="31"/>
      <c r="AA65" s="2"/>
      <c r="AB65" s="31"/>
      <c r="AC65" s="31"/>
      <c r="AD65" s="31"/>
      <c r="AE65" s="37"/>
      <c r="AF65" s="37"/>
      <c r="AG65" s="37"/>
    </row>
    <row r="66" spans="1:33" ht="15.75" customHeight="1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6"/>
      <c r="V66" s="1"/>
      <c r="W66" s="31"/>
      <c r="X66" s="31"/>
      <c r="Y66" s="31"/>
      <c r="Z66" s="31"/>
      <c r="AA66" s="2"/>
      <c r="AB66" s="31"/>
      <c r="AC66" s="31"/>
      <c r="AD66" s="31"/>
      <c r="AE66" s="37"/>
      <c r="AF66" s="37"/>
      <c r="AG66" s="37"/>
    </row>
    <row r="67" spans="1:33" ht="15.75" customHeight="1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6"/>
      <c r="V67" s="1"/>
      <c r="W67" s="31"/>
      <c r="X67" s="31"/>
      <c r="Y67" s="31"/>
      <c r="Z67" s="31"/>
      <c r="AA67" s="2"/>
      <c r="AB67" s="31"/>
      <c r="AC67" s="31"/>
      <c r="AD67" s="31"/>
      <c r="AE67" s="37"/>
      <c r="AF67" s="37"/>
      <c r="AG67" s="37"/>
    </row>
    <row r="68" spans="1:33" ht="15.75" customHeight="1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6"/>
      <c r="V68" s="1"/>
      <c r="W68" s="31"/>
      <c r="X68" s="31"/>
      <c r="Y68" s="31"/>
      <c r="Z68" s="31"/>
      <c r="AA68" s="2"/>
      <c r="AB68" s="31"/>
      <c r="AC68" s="31"/>
      <c r="AD68" s="31"/>
      <c r="AE68" s="37"/>
      <c r="AF68" s="37"/>
      <c r="AG68" s="37"/>
    </row>
    <row r="69" spans="1:33" ht="15.75" customHeight="1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6"/>
      <c r="V69" s="1"/>
      <c r="W69" s="31"/>
      <c r="X69" s="31"/>
      <c r="Y69" s="31"/>
      <c r="Z69" s="31"/>
      <c r="AA69" s="2"/>
      <c r="AB69" s="31"/>
      <c r="AC69" s="31"/>
      <c r="AD69" s="31"/>
      <c r="AE69" s="37"/>
      <c r="AF69" s="37"/>
      <c r="AG69" s="37"/>
    </row>
    <row r="70" spans="1:33" ht="15.75" customHeight="1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6"/>
      <c r="V70" s="1"/>
      <c r="W70" s="31"/>
      <c r="X70" s="31"/>
      <c r="Y70" s="31"/>
      <c r="Z70" s="31"/>
      <c r="AA70" s="2"/>
      <c r="AB70" s="31"/>
      <c r="AC70" s="31"/>
      <c r="AD70" s="31"/>
      <c r="AE70" s="37"/>
      <c r="AF70" s="37"/>
      <c r="AG70" s="37"/>
    </row>
    <row r="71" spans="1:33" ht="15.75" customHeight="1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6"/>
      <c r="V71" s="1"/>
      <c r="W71" s="31"/>
      <c r="X71" s="31"/>
      <c r="Y71" s="31"/>
      <c r="Z71" s="31"/>
      <c r="AA71" s="2"/>
      <c r="AB71" s="31"/>
      <c r="AC71" s="31"/>
      <c r="AD71" s="31"/>
      <c r="AE71" s="37"/>
      <c r="AF71" s="37"/>
      <c r="AG71" s="37"/>
    </row>
    <row r="72" spans="1:33" ht="15.75" customHeight="1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6"/>
      <c r="V72" s="1"/>
      <c r="W72" s="31"/>
      <c r="X72" s="31"/>
      <c r="Y72" s="31"/>
      <c r="Z72" s="31"/>
      <c r="AA72" s="2"/>
      <c r="AB72" s="31"/>
      <c r="AC72" s="31"/>
      <c r="AD72" s="31"/>
      <c r="AE72" s="37"/>
      <c r="AF72" s="37"/>
      <c r="AG72" s="37"/>
    </row>
    <row r="73" spans="1:33" ht="15.75" customHeight="1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6"/>
      <c r="V73" s="1"/>
      <c r="W73" s="31"/>
      <c r="X73" s="31"/>
      <c r="Y73" s="31"/>
      <c r="Z73" s="31"/>
      <c r="AA73" s="2"/>
      <c r="AB73" s="31"/>
      <c r="AC73" s="31"/>
      <c r="AD73" s="31"/>
      <c r="AE73" s="37"/>
      <c r="AF73" s="37"/>
      <c r="AG73" s="37"/>
    </row>
    <row r="74" spans="1:33" ht="15.75" customHeight="1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6"/>
      <c r="V74" s="1"/>
      <c r="W74" s="31"/>
      <c r="X74" s="31"/>
      <c r="Y74" s="31"/>
      <c r="Z74" s="31"/>
      <c r="AA74" s="2"/>
      <c r="AB74" s="31"/>
      <c r="AC74" s="31"/>
      <c r="AD74" s="31"/>
      <c r="AE74" s="37"/>
      <c r="AF74" s="37"/>
      <c r="AG74" s="37"/>
    </row>
    <row r="75" spans="1:33" ht="15.75" customHeight="1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6"/>
      <c r="V75" s="1"/>
      <c r="W75" s="31"/>
      <c r="X75" s="31"/>
      <c r="Y75" s="31"/>
      <c r="Z75" s="31"/>
      <c r="AA75" s="2"/>
      <c r="AB75" s="31"/>
      <c r="AC75" s="31"/>
      <c r="AD75" s="31"/>
      <c r="AE75" s="37"/>
      <c r="AF75" s="37"/>
      <c r="AG75" s="37"/>
    </row>
    <row r="76" spans="1:33" ht="15.75" customHeight="1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6"/>
      <c r="V76" s="1"/>
      <c r="W76" s="31"/>
      <c r="X76" s="31"/>
      <c r="Y76" s="31"/>
      <c r="Z76" s="31"/>
      <c r="AA76" s="2"/>
      <c r="AB76" s="31"/>
      <c r="AC76" s="31"/>
      <c r="AD76" s="31"/>
      <c r="AE76" s="37"/>
      <c r="AF76" s="37"/>
      <c r="AG76" s="37"/>
    </row>
    <row r="77" spans="1:33" ht="15.75" customHeight="1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6"/>
      <c r="V77" s="1"/>
      <c r="W77" s="31"/>
      <c r="X77" s="31"/>
      <c r="Y77" s="31"/>
      <c r="Z77" s="31"/>
      <c r="AA77" s="2"/>
      <c r="AB77" s="31"/>
      <c r="AC77" s="31"/>
      <c r="AD77" s="31"/>
      <c r="AE77" s="37"/>
      <c r="AF77" s="37"/>
      <c r="AG77" s="37"/>
    </row>
    <row r="78" spans="1:33" ht="15.75" customHeight="1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6"/>
      <c r="V78" s="1"/>
      <c r="W78" s="31"/>
      <c r="X78" s="31"/>
      <c r="Y78" s="31"/>
      <c r="Z78" s="31"/>
      <c r="AA78" s="2"/>
      <c r="AB78" s="31"/>
      <c r="AC78" s="31"/>
      <c r="AD78" s="31"/>
      <c r="AE78" s="37"/>
      <c r="AF78" s="37"/>
      <c r="AG78" s="37"/>
    </row>
    <row r="79" spans="1:33" ht="15.75" customHeight="1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6"/>
      <c r="V79" s="1"/>
      <c r="W79" s="31"/>
      <c r="X79" s="31"/>
      <c r="Y79" s="31"/>
      <c r="Z79" s="31"/>
      <c r="AA79" s="2"/>
      <c r="AB79" s="31"/>
      <c r="AC79" s="31"/>
      <c r="AD79" s="31"/>
      <c r="AE79" s="37"/>
      <c r="AF79" s="37"/>
      <c r="AG79" s="37"/>
    </row>
    <row r="80" spans="1:33" ht="15.75" customHeight="1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6"/>
      <c r="V80" s="1"/>
      <c r="W80" s="31"/>
      <c r="X80" s="31"/>
      <c r="Y80" s="31"/>
      <c r="Z80" s="31"/>
      <c r="AA80" s="2"/>
      <c r="AB80" s="31"/>
      <c r="AC80" s="31"/>
      <c r="AD80" s="31"/>
      <c r="AE80" s="37"/>
      <c r="AF80" s="37"/>
      <c r="AG80" s="37"/>
    </row>
    <row r="81" spans="1:33" ht="15.75" customHeight="1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6"/>
      <c r="V81" s="1"/>
      <c r="W81" s="31"/>
      <c r="X81" s="31"/>
      <c r="Y81" s="31"/>
      <c r="Z81" s="31"/>
      <c r="AA81" s="2"/>
      <c r="AB81" s="31"/>
      <c r="AC81" s="31"/>
      <c r="AD81" s="31"/>
      <c r="AE81" s="37"/>
      <c r="AF81" s="37"/>
      <c r="AG81" s="37"/>
    </row>
    <row r="82" spans="1:33" ht="15.75" customHeight="1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6"/>
      <c r="V82" s="1"/>
      <c r="W82" s="31"/>
      <c r="X82" s="31"/>
      <c r="Y82" s="31"/>
      <c r="Z82" s="31"/>
      <c r="AA82" s="2"/>
      <c r="AB82" s="31"/>
      <c r="AC82" s="31"/>
      <c r="AD82" s="31"/>
      <c r="AE82" s="37"/>
      <c r="AF82" s="37"/>
      <c r="AG82" s="37"/>
    </row>
    <row r="83" spans="1:33" ht="15.75" customHeight="1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6"/>
      <c r="V83" s="1"/>
      <c r="W83" s="31"/>
      <c r="X83" s="31"/>
      <c r="Y83" s="31"/>
      <c r="Z83" s="31"/>
      <c r="AA83" s="2"/>
      <c r="AB83" s="31"/>
      <c r="AC83" s="31"/>
      <c r="AD83" s="31"/>
      <c r="AE83" s="37"/>
      <c r="AF83" s="37"/>
      <c r="AG83" s="37"/>
    </row>
    <row r="84" spans="1:33" ht="15.75" customHeight="1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6"/>
      <c r="V84" s="1"/>
      <c r="W84" s="31"/>
      <c r="X84" s="31"/>
      <c r="Y84" s="31"/>
      <c r="Z84" s="31"/>
      <c r="AA84" s="2"/>
      <c r="AB84" s="31"/>
      <c r="AC84" s="31"/>
      <c r="AD84" s="31"/>
      <c r="AE84" s="37"/>
      <c r="AF84" s="37"/>
      <c r="AG84" s="37"/>
    </row>
    <row r="85" spans="1:33" ht="15.75" customHeight="1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6"/>
      <c r="V85" s="1"/>
      <c r="W85" s="31"/>
      <c r="X85" s="31"/>
      <c r="Y85" s="31"/>
      <c r="Z85" s="31"/>
      <c r="AA85" s="2"/>
      <c r="AB85" s="31"/>
      <c r="AC85" s="31"/>
      <c r="AD85" s="31"/>
      <c r="AE85" s="37"/>
      <c r="AF85" s="37"/>
      <c r="AG85" s="37"/>
    </row>
    <row r="86" spans="1:33" ht="15.75" customHeight="1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6"/>
      <c r="V86" s="1"/>
      <c r="W86" s="31"/>
      <c r="X86" s="31"/>
      <c r="Y86" s="31"/>
      <c r="Z86" s="31"/>
      <c r="AA86" s="2"/>
      <c r="AB86" s="31"/>
      <c r="AC86" s="31"/>
      <c r="AD86" s="31"/>
      <c r="AE86" s="37"/>
      <c r="AF86" s="37"/>
      <c r="AG86" s="37"/>
    </row>
    <row r="87" spans="1:33" ht="15.75" customHeight="1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6"/>
      <c r="V87" s="1"/>
      <c r="W87" s="31"/>
      <c r="X87" s="31"/>
      <c r="Y87" s="31"/>
      <c r="Z87" s="31"/>
      <c r="AA87" s="2"/>
      <c r="AB87" s="31"/>
      <c r="AC87" s="31"/>
      <c r="AD87" s="31"/>
      <c r="AE87" s="37"/>
      <c r="AF87" s="37"/>
      <c r="AG87" s="37"/>
    </row>
    <row r="88" spans="1:33" ht="15.75" customHeight="1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6"/>
      <c r="V88" s="1"/>
      <c r="W88" s="31"/>
      <c r="X88" s="31"/>
      <c r="Y88" s="31"/>
      <c r="Z88" s="31"/>
      <c r="AA88" s="2"/>
      <c r="AB88" s="31"/>
      <c r="AC88" s="31"/>
      <c r="AD88" s="31"/>
      <c r="AE88" s="37"/>
      <c r="AF88" s="37"/>
      <c r="AG88" s="37"/>
    </row>
    <row r="89" spans="1:33" ht="15.75" customHeight="1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6"/>
      <c r="V89" s="1"/>
      <c r="W89" s="31"/>
      <c r="X89" s="31"/>
      <c r="Y89" s="31"/>
      <c r="Z89" s="31"/>
      <c r="AA89" s="2"/>
      <c r="AB89" s="31"/>
      <c r="AC89" s="31"/>
      <c r="AD89" s="31"/>
      <c r="AE89" s="37"/>
      <c r="AF89" s="37"/>
      <c r="AG89" s="37"/>
    </row>
    <row r="90" spans="1:33" ht="15.75" customHeight="1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6"/>
      <c r="V90" s="1"/>
      <c r="W90" s="31"/>
      <c r="X90" s="31"/>
      <c r="Y90" s="31"/>
      <c r="Z90" s="31"/>
      <c r="AA90" s="2"/>
      <c r="AB90" s="31"/>
      <c r="AC90" s="31"/>
      <c r="AD90" s="31"/>
      <c r="AE90" s="37"/>
      <c r="AF90" s="37"/>
      <c r="AG90" s="37"/>
    </row>
    <row r="91" spans="1:33" ht="15.75" customHeight="1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6"/>
      <c r="V91" s="1"/>
      <c r="W91" s="31"/>
      <c r="X91" s="31"/>
      <c r="Y91" s="31"/>
      <c r="Z91" s="31"/>
      <c r="AA91" s="2"/>
      <c r="AB91" s="31"/>
      <c r="AC91" s="31"/>
      <c r="AD91" s="31"/>
      <c r="AE91" s="37"/>
      <c r="AF91" s="37"/>
      <c r="AG91" s="37"/>
    </row>
    <row r="92" spans="1:33" ht="15.75" customHeight="1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6"/>
      <c r="V92" s="1"/>
      <c r="W92" s="31"/>
      <c r="X92" s="31"/>
      <c r="Y92" s="31"/>
      <c r="Z92" s="31"/>
      <c r="AA92" s="2"/>
      <c r="AB92" s="31"/>
      <c r="AC92" s="31"/>
      <c r="AD92" s="31"/>
      <c r="AE92" s="37"/>
      <c r="AF92" s="37"/>
      <c r="AG92" s="37"/>
    </row>
    <row r="93" spans="1:33" ht="15.75" customHeight="1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6"/>
      <c r="V93" s="1"/>
      <c r="W93" s="31"/>
      <c r="X93" s="31"/>
      <c r="Y93" s="31"/>
      <c r="Z93" s="31"/>
      <c r="AA93" s="2"/>
      <c r="AB93" s="31"/>
      <c r="AC93" s="31"/>
      <c r="AD93" s="31"/>
      <c r="AE93" s="37"/>
      <c r="AF93" s="37"/>
      <c r="AG93" s="37"/>
    </row>
    <row r="94" spans="1:33" ht="15.75" customHeight="1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6"/>
      <c r="V94" s="1"/>
      <c r="W94" s="31"/>
      <c r="X94" s="31"/>
      <c r="Y94" s="31"/>
      <c r="Z94" s="31"/>
      <c r="AA94" s="2"/>
      <c r="AB94" s="31"/>
      <c r="AC94" s="31"/>
      <c r="AD94" s="31"/>
      <c r="AE94" s="37"/>
      <c r="AF94" s="37"/>
      <c r="AG94" s="37"/>
    </row>
    <row r="95" spans="1:33" ht="15.75" customHeight="1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6"/>
      <c r="V95" s="1"/>
      <c r="W95" s="31"/>
      <c r="X95" s="31"/>
      <c r="Y95" s="31"/>
      <c r="Z95" s="31"/>
      <c r="AA95" s="2"/>
      <c r="AB95" s="31"/>
      <c r="AC95" s="31"/>
      <c r="AD95" s="31"/>
      <c r="AE95" s="37"/>
      <c r="AF95" s="37"/>
      <c r="AG95" s="37"/>
    </row>
    <row r="96" spans="1:33" ht="15.75" customHeight="1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6"/>
      <c r="V96" s="1"/>
      <c r="W96" s="31"/>
      <c r="X96" s="31"/>
      <c r="Y96" s="31"/>
      <c r="Z96" s="31"/>
      <c r="AA96" s="2"/>
      <c r="AB96" s="31"/>
      <c r="AC96" s="31"/>
      <c r="AD96" s="31"/>
      <c r="AE96" s="37"/>
      <c r="AF96" s="37"/>
      <c r="AG96" s="37"/>
    </row>
    <row r="97" spans="1:33" ht="15.75" customHeight="1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8"/>
      <c r="R97" s="38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8"/>
      <c r="R98" s="38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8"/>
      <c r="R99" s="38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8"/>
      <c r="R100" s="38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8"/>
      <c r="R101" s="38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8"/>
      <c r="R102" s="38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8"/>
      <c r="R103" s="38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8"/>
      <c r="R104" s="38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8"/>
      <c r="R105" s="38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8"/>
      <c r="R106" s="38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8"/>
      <c r="R107" s="38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8"/>
      <c r="R108" s="38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8"/>
      <c r="R109" s="38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8"/>
      <c r="R110" s="38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8"/>
      <c r="R111" s="38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8"/>
      <c r="R112" s="38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8"/>
      <c r="R113" s="38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8"/>
      <c r="R114" s="38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>
      <c r="A115" s="31"/>
      <c r="B115" s="31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>
      <c r="A116" s="31"/>
      <c r="B116" s="31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>
      <c r="A117" s="31"/>
      <c r="B117" s="31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>
      <c r="A118" s="31"/>
      <c r="B118" s="31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>
      <c r="A119" s="31"/>
      <c r="B119" s="31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>
      <c r="A120" s="31"/>
      <c r="B120" s="31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>
      <c r="A121" s="31"/>
      <c r="B121" s="31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>
      <c r="A122" s="31"/>
      <c r="B122" s="31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>
      <c r="A123" s="31"/>
      <c r="B123" s="31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>
      <c r="A124" s="31"/>
      <c r="B124" s="31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>
      <c r="A125" s="31"/>
      <c r="B125" s="31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>
      <c r="A126" s="31"/>
      <c r="B126" s="31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>
      <c r="A127" s="31"/>
      <c r="B127" s="31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>
      <c r="A128" s="31"/>
      <c r="B128" s="31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>
      <c r="A129" s="31"/>
      <c r="B129" s="31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>
      <c r="A130" s="31"/>
      <c r="B130" s="31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>
      <c r="A131" s="31"/>
      <c r="B131" s="31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>
      <c r="A132" s="31"/>
      <c r="B132" s="31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>
      <c r="A133" s="31"/>
      <c r="B133" s="31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>
      <c r="A134" s="31"/>
      <c r="B134" s="31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>
      <c r="A135" s="31"/>
      <c r="B135" s="31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>
      <c r="A136" s="31"/>
      <c r="B136" s="31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>
      <c r="A137" s="31"/>
      <c r="B137" s="31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>
      <c r="A138" s="31"/>
      <c r="B138" s="31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>
      <c r="A139" s="31"/>
      <c r="B139" s="31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>
      <c r="A140" s="31"/>
      <c r="B140" s="31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>
      <c r="A141" s="31"/>
      <c r="B141" s="31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2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>
      <c r="A142" s="31"/>
      <c r="B142" s="31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2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>
      <c r="A143" s="31"/>
      <c r="B143" s="31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2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>
      <c r="A144" s="31"/>
      <c r="B144" s="31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2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>
      <c r="A145" s="31"/>
      <c r="B145" s="31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2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>
      <c r="A146" s="31"/>
      <c r="B146" s="31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2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>
      <c r="A147" s="31"/>
      <c r="B147" s="31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2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>
      <c r="A148" s="31"/>
      <c r="B148" s="31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2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</row>
    <row r="149" spans="1:33" ht="15.75" customHeight="1">
      <c r="A149" s="14"/>
      <c r="B149" s="14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>
      <c r="A150" s="14"/>
      <c r="B150" s="14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>
      <c r="A151" s="14"/>
      <c r="B151" s="14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>
      <c r="A152" s="14"/>
      <c r="B152" s="14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>
      <c r="A153" s="14"/>
      <c r="B153" s="14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>
      <c r="A154" s="14"/>
      <c r="B154" s="14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>
      <c r="A155" s="14"/>
      <c r="B155" s="14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>
      <c r="A156" s="14"/>
      <c r="B156" s="14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>
      <c r="A157" s="14"/>
      <c r="B157" s="14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>
      <c r="A158" s="14"/>
      <c r="B158" s="14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>
      <c r="A159" s="14"/>
      <c r="B159" s="14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>
      <c r="A160" s="14"/>
      <c r="B160" s="14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>
      <c r="A161" s="14"/>
      <c r="B161" s="14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>
      <c r="A162" s="14"/>
      <c r="B162" s="14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>
      <c r="A163" s="14"/>
      <c r="B163" s="14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>
      <c r="A164" s="14"/>
      <c r="B164" s="14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>
      <c r="A165" s="14"/>
      <c r="B165" s="14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>
      <c r="A166" s="14"/>
      <c r="B166" s="14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>
      <c r="A167" s="14"/>
      <c r="B167" s="14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>
      <c r="A168" s="14"/>
      <c r="B168" s="14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>
      <c r="A169" s="14"/>
      <c r="B169" s="14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>
      <c r="A170" s="14"/>
      <c r="B170" s="14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>
      <c r="A171" s="14"/>
      <c r="B171" s="14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>
      <c r="A172" s="14"/>
      <c r="B172" s="14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>
      <c r="A173" s="14"/>
      <c r="B173" s="14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>
      <c r="A174" s="14"/>
      <c r="B174" s="14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>
      <c r="A175" s="14"/>
      <c r="B175" s="14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>
      <c r="A176" s="14"/>
      <c r="B176" s="14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>
      <c r="A177" s="14"/>
      <c r="B177" s="14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>
      <c r="A178" s="14"/>
      <c r="B178" s="14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>
      <c r="A179" s="14"/>
      <c r="B179" s="14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>
      <c r="A180" s="14"/>
      <c r="B180" s="14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>
      <c r="A181" s="14"/>
      <c r="B181" s="14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>
      <c r="A182" s="14"/>
      <c r="B182" s="14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>
      <c r="A183" s="14"/>
      <c r="B183" s="14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>
      <c r="A184" s="14"/>
      <c r="B184" s="14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>
      <c r="A185" s="14"/>
      <c r="B185" s="14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>
      <c r="A186" s="14"/>
      <c r="B186" s="14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>
      <c r="A187" s="14"/>
      <c r="B187" s="14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>
      <c r="A188" s="14"/>
      <c r="B188" s="14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>
      <c r="A189" s="14"/>
      <c r="B189" s="14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>
      <c r="A190" s="14"/>
      <c r="B190" s="14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>
      <c r="A191" s="14"/>
      <c r="B191" s="14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>
      <c r="A192" s="14"/>
      <c r="B192" s="14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>
      <c r="A193" s="14"/>
      <c r="B193" s="14"/>
      <c r="C193" s="39"/>
      <c r="D193" s="39"/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>
      <c r="A194" s="14"/>
      <c r="B194" s="14"/>
      <c r="C194" s="39"/>
      <c r="D194" s="39"/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>
      <c r="A195" s="14"/>
      <c r="B195" s="14"/>
      <c r="C195" s="39"/>
      <c r="D195" s="39"/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>
      <c r="A196" s="14"/>
      <c r="B196" s="14"/>
      <c r="C196" s="39"/>
      <c r="D196" s="39"/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>
      <c r="A197" s="14"/>
      <c r="B197" s="14"/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>
      <c r="A198" s="14"/>
      <c r="B198" s="14"/>
      <c r="C198" s="39"/>
      <c r="D198" s="39"/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>
      <c r="A199" s="14"/>
      <c r="B199" s="14"/>
      <c r="C199" s="39"/>
      <c r="D199" s="39"/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>
      <c r="A200" s="14"/>
      <c r="B200" s="14"/>
      <c r="C200" s="39"/>
      <c r="D200" s="39"/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>
      <c r="A201" s="14"/>
      <c r="B201" s="14"/>
      <c r="C201" s="39"/>
      <c r="D201" s="39"/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>
      <c r="A202" s="14"/>
      <c r="B202" s="14"/>
      <c r="C202" s="39"/>
      <c r="D202" s="39"/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>
      <c r="A203" s="14"/>
      <c r="B203" s="14"/>
      <c r="C203" s="39"/>
      <c r="D203" s="39"/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>
      <c r="A204" s="14"/>
      <c r="B204" s="14"/>
      <c r="C204" s="39"/>
      <c r="D204" s="39"/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>
      <c r="A205" s="14"/>
      <c r="B205" s="14"/>
      <c r="C205" s="39"/>
      <c r="D205" s="39"/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>
      <c r="A206" s="14"/>
      <c r="B206" s="14"/>
      <c r="C206" s="39"/>
      <c r="D206" s="39"/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>
      <c r="A207" s="14"/>
      <c r="B207" s="14"/>
      <c r="C207" s="39"/>
      <c r="D207" s="39"/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>
      <c r="A208" s="14"/>
      <c r="B208" s="14"/>
      <c r="C208" s="39"/>
      <c r="D208" s="39"/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>
      <c r="A209" s="14"/>
      <c r="B209" s="14"/>
      <c r="C209" s="39"/>
      <c r="D209" s="39"/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>
      <c r="A210" s="14"/>
      <c r="B210" s="14"/>
      <c r="C210" s="39"/>
      <c r="D210" s="39"/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>
      <c r="A211" s="14"/>
      <c r="B211" s="14"/>
      <c r="C211" s="39"/>
      <c r="D211" s="39"/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>
      <c r="A212" s="14"/>
      <c r="B212" s="14"/>
      <c r="C212" s="39"/>
      <c r="D212" s="39"/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>
      <c r="A213" s="14"/>
      <c r="B213" s="14"/>
      <c r="C213" s="39"/>
      <c r="D213" s="39"/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>
      <c r="A214" s="14"/>
      <c r="B214" s="14"/>
      <c r="C214" s="39"/>
      <c r="D214" s="39"/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>
      <c r="A215" s="14"/>
      <c r="B215" s="14"/>
      <c r="C215" s="39"/>
      <c r="D215" s="39"/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>
      <c r="A216" s="14"/>
      <c r="B216" s="14"/>
      <c r="C216" s="39"/>
      <c r="D216" s="39"/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>
      <c r="A217" s="14"/>
      <c r="B217" s="14"/>
      <c r="C217" s="39"/>
      <c r="D217" s="39"/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>
      <c r="A218" s="14"/>
      <c r="B218" s="14"/>
      <c r="C218" s="39"/>
      <c r="D218" s="39"/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>
      <c r="A219" s="14"/>
      <c r="B219" s="14"/>
      <c r="C219" s="39"/>
      <c r="D219" s="39"/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>
      <c r="A220" s="14"/>
      <c r="B220" s="14"/>
      <c r="C220" s="39"/>
      <c r="D220" s="39"/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>
      <c r="R221" s="30"/>
      <c r="S221" s="40"/>
    </row>
    <row r="222" spans="1:33" ht="15.75" customHeight="1">
      <c r="R222" s="30"/>
      <c r="S222" s="40"/>
    </row>
    <row r="223" spans="1:33" ht="15.75" customHeight="1">
      <c r="R223" s="30"/>
      <c r="S223" s="40"/>
    </row>
    <row r="224" spans="1:33" ht="15.75" customHeight="1">
      <c r="R224" s="30"/>
      <c r="S224" s="40"/>
    </row>
    <row r="225" spans="18:18" ht="15.75" customHeight="1">
      <c r="R225" s="30"/>
    </row>
    <row r="226" spans="18:18" ht="15.75" customHeight="1">
      <c r="R226" s="30"/>
    </row>
    <row r="227" spans="18:18" ht="15.75" customHeight="1">
      <c r="R227" s="30"/>
    </row>
    <row r="228" spans="18:18" ht="15.75" customHeight="1">
      <c r="R228" s="30"/>
    </row>
    <row r="229" spans="18:18" ht="15.75" customHeight="1">
      <c r="R229" s="30"/>
    </row>
    <row r="230" spans="18:18" ht="15.75" customHeight="1">
      <c r="R230" s="30"/>
    </row>
    <row r="231" spans="18:18" ht="15.75" customHeight="1">
      <c r="R231" s="30"/>
    </row>
    <row r="232" spans="18:18" ht="15.75" customHeight="1">
      <c r="R232" s="30"/>
    </row>
    <row r="233" spans="18:18" ht="15.75" customHeight="1">
      <c r="R233" s="30"/>
    </row>
    <row r="234" spans="18:18" ht="15.75" customHeight="1">
      <c r="R234" s="30"/>
    </row>
    <row r="235" spans="18:18" ht="15.75" customHeight="1">
      <c r="R235" s="30"/>
    </row>
    <row r="236" spans="18:18" ht="15.75" customHeight="1">
      <c r="R236" s="30"/>
    </row>
    <row r="237" spans="18:18" ht="15.75" customHeight="1">
      <c r="R237" s="30"/>
    </row>
    <row r="238" spans="18:18" ht="15.75" customHeight="1">
      <c r="R238" s="30"/>
    </row>
    <row r="239" spans="18:18" ht="15.75" customHeight="1">
      <c r="R239" s="30"/>
    </row>
    <row r="240" spans="18:18" ht="15.75" customHeight="1">
      <c r="R240" s="30"/>
    </row>
    <row r="241" spans="18:18" ht="15.75" customHeight="1">
      <c r="R241" s="30"/>
    </row>
    <row r="242" spans="18:18" ht="15.75" customHeight="1">
      <c r="R242" s="30"/>
    </row>
    <row r="243" spans="18:18" ht="15.75" customHeight="1">
      <c r="R243" s="30"/>
    </row>
    <row r="244" spans="18:18" ht="15.75" customHeight="1">
      <c r="R244" s="30"/>
    </row>
    <row r="245" spans="18:18" ht="15.75" customHeight="1">
      <c r="R245" s="30"/>
    </row>
    <row r="246" spans="18:18" ht="15.75" customHeight="1">
      <c r="R246" s="30"/>
    </row>
    <row r="247" spans="18:18" ht="15.75" customHeight="1">
      <c r="R247" s="30"/>
    </row>
    <row r="248" spans="18:18" ht="15.75" customHeight="1">
      <c r="R248" s="30"/>
    </row>
    <row r="249" spans="18:18" ht="15.75" customHeight="1">
      <c r="R249" s="30"/>
    </row>
    <row r="250" spans="18:18" ht="15.75" customHeight="1">
      <c r="R250" s="30"/>
    </row>
    <row r="251" spans="18:18" ht="15.75" customHeight="1">
      <c r="R251" s="30"/>
    </row>
    <row r="252" spans="18:18" ht="15.75" customHeight="1">
      <c r="R252" s="30"/>
    </row>
    <row r="253" spans="18:18" ht="15.75" customHeight="1">
      <c r="R253" s="30"/>
    </row>
    <row r="254" spans="18:18" ht="15.75" customHeight="1">
      <c r="R254" s="30"/>
    </row>
    <row r="255" spans="18:18" ht="15.75" customHeight="1">
      <c r="R255" s="30"/>
    </row>
    <row r="256" spans="18:18" ht="15.75" customHeight="1">
      <c r="R256" s="30"/>
    </row>
    <row r="257" spans="18:18" ht="15.75" customHeight="1">
      <c r="R257" s="30"/>
    </row>
    <row r="258" spans="18:18" ht="15.75" customHeight="1">
      <c r="R258" s="30"/>
    </row>
    <row r="259" spans="18:18" ht="15.75" customHeight="1">
      <c r="R259" s="30"/>
    </row>
    <row r="260" spans="18:18" ht="15.75" customHeight="1">
      <c r="R260" s="30"/>
    </row>
    <row r="261" spans="18:18" ht="15.75" customHeight="1">
      <c r="R261" s="30"/>
    </row>
    <row r="262" spans="18:18" ht="15.75" customHeight="1">
      <c r="R262" s="30"/>
    </row>
    <row r="263" spans="18:18" ht="15.75" customHeight="1">
      <c r="R263" s="30"/>
    </row>
    <row r="264" spans="18:18" ht="15.75" customHeight="1">
      <c r="R264" s="30"/>
    </row>
    <row r="265" spans="18:18" ht="15.75" customHeight="1">
      <c r="R265" s="30"/>
    </row>
    <row r="266" spans="18:18" ht="15.75" customHeight="1">
      <c r="R266" s="30"/>
    </row>
    <row r="267" spans="18:18" ht="15.75" customHeight="1">
      <c r="R267" s="30"/>
    </row>
    <row r="268" spans="18:18" ht="15.75" customHeight="1">
      <c r="R268" s="30"/>
    </row>
    <row r="269" spans="18:18" ht="15.75" customHeight="1">
      <c r="R269" s="30"/>
    </row>
    <row r="270" spans="18:18" ht="15.75" customHeight="1">
      <c r="R270" s="30"/>
    </row>
    <row r="271" spans="18:18" ht="15.75" customHeight="1">
      <c r="R271" s="30"/>
    </row>
    <row r="272" spans="18:18" ht="15.75" customHeight="1">
      <c r="R272" s="30"/>
    </row>
    <row r="273" spans="18:18" ht="15.75" customHeight="1">
      <c r="R273" s="30"/>
    </row>
    <row r="274" spans="18:18" ht="15.75" customHeight="1">
      <c r="R274" s="30"/>
    </row>
    <row r="275" spans="18:18" ht="15.75" customHeight="1">
      <c r="R275" s="30"/>
    </row>
    <row r="276" spans="18:18" ht="15.75" customHeight="1">
      <c r="R276" s="30"/>
    </row>
    <row r="277" spans="18:18" ht="15.75" customHeight="1">
      <c r="R277" s="30"/>
    </row>
    <row r="278" spans="18:18" ht="15.75" customHeight="1">
      <c r="R278" s="30"/>
    </row>
    <row r="279" spans="18:18" ht="15.75" customHeight="1">
      <c r="R279" s="30"/>
    </row>
    <row r="280" spans="18:18" ht="15.75" customHeight="1">
      <c r="R280" s="30"/>
    </row>
    <row r="281" spans="18:18" ht="15.75" customHeight="1">
      <c r="R281" s="30"/>
    </row>
    <row r="282" spans="18:18" ht="15.75" customHeight="1">
      <c r="R282" s="30"/>
    </row>
    <row r="283" spans="18:18" ht="15.75" customHeight="1">
      <c r="R283" s="30"/>
    </row>
    <row r="284" spans="18:18" ht="15.75" customHeight="1">
      <c r="R284" s="30"/>
    </row>
    <row r="285" spans="18:18" ht="15.75" customHeight="1">
      <c r="R285" s="30"/>
    </row>
    <row r="286" spans="18:18" ht="15.75" customHeight="1">
      <c r="R286" s="30"/>
    </row>
    <row r="287" spans="18:18" ht="15.75" customHeight="1">
      <c r="R287" s="30"/>
    </row>
    <row r="288" spans="18:18" ht="15.75" customHeight="1">
      <c r="R288" s="30"/>
    </row>
    <row r="289" spans="18:18" ht="15.75" customHeight="1">
      <c r="R289" s="30"/>
    </row>
    <row r="290" spans="18:18" ht="15.75" customHeight="1">
      <c r="R290" s="30"/>
    </row>
    <row r="291" spans="18:18" ht="15.75" customHeight="1">
      <c r="R291" s="30"/>
    </row>
    <row r="292" spans="18:18" ht="15.75" customHeight="1">
      <c r="R292" s="30"/>
    </row>
    <row r="293" spans="18:18" ht="15.75" customHeight="1">
      <c r="R293" s="30"/>
    </row>
    <row r="294" spans="18:18" ht="15.75" customHeight="1">
      <c r="R294" s="30"/>
    </row>
    <row r="295" spans="18:18" ht="15.75" customHeight="1">
      <c r="R295" s="30"/>
    </row>
    <row r="296" spans="18:18" ht="15.75" customHeight="1">
      <c r="R296" s="30"/>
    </row>
    <row r="297" spans="18:18" ht="15.75" customHeight="1">
      <c r="R297" s="30"/>
    </row>
    <row r="298" spans="18:18" ht="15.75" customHeight="1">
      <c r="R298" s="30"/>
    </row>
    <row r="299" spans="18:18" ht="15.75" customHeight="1">
      <c r="R299" s="30"/>
    </row>
    <row r="300" spans="18:18" ht="15.75" customHeight="1">
      <c r="R300" s="30"/>
    </row>
    <row r="301" spans="18:18" ht="15.75" customHeight="1">
      <c r="R301" s="30"/>
    </row>
    <row r="302" spans="18:18" ht="15.75" customHeight="1">
      <c r="R302" s="30"/>
    </row>
    <row r="303" spans="18:18" ht="15.75" customHeight="1">
      <c r="R303" s="30"/>
    </row>
    <row r="304" spans="18:18" ht="15.75" customHeight="1">
      <c r="R304" s="30"/>
    </row>
    <row r="305" spans="18:18" ht="15.75" customHeight="1">
      <c r="R305" s="30"/>
    </row>
    <row r="306" spans="18:18" ht="15.75" customHeight="1">
      <c r="R306" s="30"/>
    </row>
    <row r="307" spans="18:18" ht="15.75" customHeight="1">
      <c r="R307" s="30"/>
    </row>
    <row r="308" spans="18:18" ht="15.75" customHeight="1">
      <c r="R308" s="30"/>
    </row>
    <row r="309" spans="18:18" ht="15.75" customHeight="1">
      <c r="R309" s="30"/>
    </row>
    <row r="310" spans="18:18" ht="15.75" customHeight="1">
      <c r="R310" s="30"/>
    </row>
    <row r="311" spans="18:18" ht="15.75" customHeight="1">
      <c r="R311" s="30"/>
    </row>
    <row r="312" spans="18:18" ht="15.75" customHeight="1">
      <c r="R312" s="30"/>
    </row>
    <row r="313" spans="18:18" ht="15.75" customHeight="1">
      <c r="R313" s="30"/>
    </row>
    <row r="314" spans="18:18" ht="15.75" customHeight="1">
      <c r="R314" s="30"/>
    </row>
    <row r="315" spans="18:18" ht="15.75" customHeight="1">
      <c r="R315" s="30"/>
    </row>
    <row r="316" spans="18:18" ht="15.75" customHeight="1">
      <c r="R316" s="30"/>
    </row>
    <row r="317" spans="18:18" ht="15.75" customHeight="1">
      <c r="R317" s="30"/>
    </row>
    <row r="318" spans="18:18" ht="15.75" customHeight="1">
      <c r="R318" s="30"/>
    </row>
    <row r="319" spans="18:18" ht="15.75" customHeight="1">
      <c r="R319" s="30"/>
    </row>
    <row r="320" spans="18:18" ht="15.75" customHeight="1">
      <c r="R320" s="30"/>
    </row>
    <row r="321" spans="18:18" ht="15.75" customHeight="1">
      <c r="R321" s="30"/>
    </row>
    <row r="322" spans="18:18" ht="15.75" customHeight="1">
      <c r="R322" s="30"/>
    </row>
    <row r="323" spans="18:18" ht="15.75" customHeight="1">
      <c r="R323" s="30"/>
    </row>
    <row r="324" spans="18:18" ht="15.75" customHeight="1">
      <c r="R324" s="30"/>
    </row>
    <row r="325" spans="18:18" ht="15.75" customHeight="1">
      <c r="R325" s="30"/>
    </row>
    <row r="326" spans="18:18" ht="15.75" customHeight="1">
      <c r="R326" s="30"/>
    </row>
    <row r="327" spans="18:18" ht="15.75" customHeight="1">
      <c r="R327" s="30"/>
    </row>
    <row r="328" spans="18:18" ht="15.75" customHeight="1">
      <c r="R328" s="30"/>
    </row>
    <row r="329" spans="18:18" ht="15.75" customHeight="1">
      <c r="R329" s="30"/>
    </row>
    <row r="330" spans="18:18" ht="15.75" customHeight="1">
      <c r="R330" s="30"/>
    </row>
    <row r="331" spans="18:18" ht="15.75" customHeight="1">
      <c r="R331" s="30"/>
    </row>
    <row r="332" spans="18:18" ht="15.75" customHeight="1">
      <c r="R332" s="30"/>
    </row>
    <row r="333" spans="18:18" ht="15.75" customHeight="1">
      <c r="R333" s="30"/>
    </row>
    <row r="334" spans="18:18" ht="15.75" customHeight="1">
      <c r="R334" s="30"/>
    </row>
    <row r="335" spans="18:18" ht="15.75" customHeight="1">
      <c r="R335" s="30"/>
    </row>
    <row r="336" spans="18:18" ht="15.75" customHeight="1">
      <c r="R336" s="30"/>
    </row>
    <row r="337" spans="18:18" ht="15.75" customHeight="1">
      <c r="R337" s="30"/>
    </row>
    <row r="338" spans="18:18" ht="15.75" customHeight="1">
      <c r="R338" s="30"/>
    </row>
    <row r="339" spans="18:18" ht="15.75" customHeight="1">
      <c r="R339" s="30"/>
    </row>
    <row r="340" spans="18:18" ht="15.75" customHeight="1">
      <c r="R340" s="30"/>
    </row>
    <row r="341" spans="18:18" ht="15.75" customHeight="1">
      <c r="R341" s="30"/>
    </row>
    <row r="342" spans="18:18" ht="15.75" customHeight="1">
      <c r="R342" s="30"/>
    </row>
    <row r="343" spans="18:18" ht="15.75" customHeight="1">
      <c r="R343" s="30"/>
    </row>
    <row r="344" spans="18:18" ht="15.75" customHeight="1">
      <c r="R344" s="30"/>
    </row>
    <row r="345" spans="18:18" ht="15.75" customHeight="1">
      <c r="R345" s="30"/>
    </row>
    <row r="346" spans="18:18" ht="15.75" customHeight="1">
      <c r="R346" s="30"/>
    </row>
    <row r="347" spans="18:18" ht="15.75" customHeight="1">
      <c r="R347" s="30"/>
    </row>
    <row r="348" spans="18:18" ht="15.75" customHeight="1">
      <c r="R348" s="30"/>
    </row>
    <row r="349" spans="18:18" ht="15.75" customHeight="1">
      <c r="R349" s="30"/>
    </row>
    <row r="350" spans="18:18" ht="15.75" customHeight="1">
      <c r="R350" s="30"/>
    </row>
    <row r="351" spans="18:18" ht="15.75" customHeight="1">
      <c r="R351" s="30"/>
    </row>
    <row r="352" spans="18:18" ht="15.75" customHeight="1">
      <c r="R352" s="30"/>
    </row>
    <row r="353" spans="18:18" ht="15.75" customHeight="1">
      <c r="R353" s="30"/>
    </row>
    <row r="354" spans="18:18" ht="15.75" customHeight="1">
      <c r="R354" s="30"/>
    </row>
    <row r="355" spans="18:18" ht="15.75" customHeight="1">
      <c r="R355" s="30"/>
    </row>
    <row r="356" spans="18:18" ht="15.75" customHeight="1">
      <c r="R356" s="30"/>
    </row>
    <row r="357" spans="18:18" ht="15.75" customHeight="1">
      <c r="R357" s="30"/>
    </row>
    <row r="358" spans="18:18" ht="15.75" customHeight="1">
      <c r="R358" s="30"/>
    </row>
    <row r="359" spans="18:18" ht="15.75" customHeight="1">
      <c r="R359" s="30"/>
    </row>
    <row r="360" spans="18:18" ht="15.75" customHeight="1">
      <c r="R360" s="30"/>
    </row>
    <row r="361" spans="18:18" ht="15.75" customHeight="1">
      <c r="R361" s="30"/>
    </row>
    <row r="362" spans="18:18" ht="15.75" customHeight="1">
      <c r="R362" s="30"/>
    </row>
    <row r="363" spans="18:18" ht="15.75" customHeight="1">
      <c r="R363" s="30"/>
    </row>
    <row r="364" spans="18:18" ht="15.75" customHeight="1">
      <c r="R364" s="30"/>
    </row>
    <row r="365" spans="18:18" ht="15.75" customHeight="1">
      <c r="R365" s="30"/>
    </row>
    <row r="366" spans="18:18" ht="15.75" customHeight="1">
      <c r="R366" s="30"/>
    </row>
    <row r="367" spans="18:18" ht="15.75" customHeight="1">
      <c r="R367" s="30"/>
    </row>
    <row r="368" spans="18:18" ht="15.75" customHeight="1">
      <c r="R368" s="30"/>
    </row>
    <row r="369" spans="18:18" ht="15.75" customHeight="1">
      <c r="R369" s="30"/>
    </row>
    <row r="370" spans="18:18" ht="15.75" customHeight="1">
      <c r="R370" s="30"/>
    </row>
    <row r="371" spans="18:18" ht="15.75" customHeight="1">
      <c r="R371" s="30"/>
    </row>
    <row r="372" spans="18:18" ht="15.75" customHeight="1">
      <c r="R372" s="30"/>
    </row>
    <row r="373" spans="18:18" ht="15.75" customHeight="1">
      <c r="R373" s="30"/>
    </row>
    <row r="374" spans="18:18" ht="15.75" customHeight="1">
      <c r="R374" s="30"/>
    </row>
    <row r="375" spans="18:18" ht="15.75" customHeight="1">
      <c r="R375" s="30"/>
    </row>
    <row r="376" spans="18:18" ht="15.75" customHeight="1">
      <c r="R376" s="30"/>
    </row>
    <row r="377" spans="18:18" ht="15.75" customHeight="1">
      <c r="R377" s="30"/>
    </row>
    <row r="378" spans="18:18" ht="15.75" customHeight="1">
      <c r="R378" s="30"/>
    </row>
    <row r="379" spans="18:18" ht="15.75" customHeight="1">
      <c r="R379" s="30"/>
    </row>
    <row r="380" spans="18:18" ht="15.75" customHeight="1">
      <c r="R380" s="30"/>
    </row>
    <row r="381" spans="18:18" ht="15.75" customHeight="1">
      <c r="R381" s="30"/>
    </row>
    <row r="382" spans="18:18" ht="15.75" customHeight="1">
      <c r="R382" s="30"/>
    </row>
    <row r="383" spans="18:18" ht="15.75" customHeight="1">
      <c r="R383" s="30"/>
    </row>
    <row r="384" spans="18:18" ht="15.75" customHeight="1">
      <c r="R384" s="30"/>
    </row>
    <row r="385" spans="18:18" ht="15.75" customHeight="1">
      <c r="R385" s="30"/>
    </row>
    <row r="386" spans="18:18" ht="15.75" customHeight="1">
      <c r="R386" s="30"/>
    </row>
    <row r="387" spans="18:18" ht="15.75" customHeight="1">
      <c r="R387" s="30"/>
    </row>
    <row r="388" spans="18:18" ht="15.75" customHeight="1">
      <c r="R388" s="30"/>
    </row>
    <row r="389" spans="18:18" ht="15.75" customHeight="1">
      <c r="R389" s="30"/>
    </row>
    <row r="390" spans="18:18" ht="15.75" customHeight="1">
      <c r="R390" s="30"/>
    </row>
    <row r="391" spans="18:18" ht="15.75" customHeight="1">
      <c r="R391" s="30"/>
    </row>
    <row r="392" spans="18:18" ht="15.75" customHeight="1">
      <c r="R392" s="30"/>
    </row>
    <row r="393" spans="18:18" ht="15.75" customHeight="1">
      <c r="R393" s="30"/>
    </row>
    <row r="394" spans="18:18" ht="15.75" customHeight="1">
      <c r="R394" s="30"/>
    </row>
    <row r="395" spans="18:18" ht="15.75" customHeight="1">
      <c r="R395" s="30"/>
    </row>
    <row r="396" spans="18:18" ht="15.75" customHeight="1">
      <c r="R396" s="30"/>
    </row>
    <row r="397" spans="18:18" ht="15.75" customHeight="1">
      <c r="R397" s="30"/>
    </row>
    <row r="398" spans="18:18" ht="15.75" customHeight="1">
      <c r="R398" s="30"/>
    </row>
    <row r="399" spans="18:18" ht="15.75" customHeight="1">
      <c r="R399" s="30"/>
    </row>
    <row r="400" spans="18:18" ht="15.75" customHeight="1">
      <c r="R400" s="30"/>
    </row>
    <row r="401" spans="18:18" ht="15.75" customHeight="1">
      <c r="R401" s="30"/>
    </row>
    <row r="402" spans="18:18" ht="15.75" customHeight="1">
      <c r="R402" s="30"/>
    </row>
    <row r="403" spans="18:18" ht="15.75" customHeight="1">
      <c r="R403" s="30"/>
    </row>
    <row r="404" spans="18:18" ht="15.75" customHeight="1">
      <c r="R404" s="30"/>
    </row>
    <row r="405" spans="18:18" ht="15.75" customHeight="1">
      <c r="R405" s="30"/>
    </row>
    <row r="406" spans="18:18" ht="15.75" customHeight="1">
      <c r="R406" s="30"/>
    </row>
    <row r="407" spans="18:18" ht="15.75" customHeight="1">
      <c r="R407" s="30"/>
    </row>
    <row r="408" spans="18:18" ht="15.75" customHeight="1">
      <c r="R408" s="30"/>
    </row>
    <row r="409" spans="18:18" ht="15.75" customHeight="1">
      <c r="R409" s="30"/>
    </row>
    <row r="410" spans="18:18" ht="15.75" customHeight="1">
      <c r="R410" s="30"/>
    </row>
    <row r="411" spans="18:18" ht="15.75" customHeight="1">
      <c r="R411" s="30"/>
    </row>
    <row r="412" spans="18:18" ht="15.75" customHeight="1">
      <c r="R412" s="30"/>
    </row>
    <row r="413" spans="18:18" ht="15.75" customHeight="1">
      <c r="R413" s="30"/>
    </row>
    <row r="414" spans="18:18" ht="15.75" customHeight="1">
      <c r="R414" s="30"/>
    </row>
    <row r="415" spans="18:18" ht="15.75" customHeight="1">
      <c r="R415" s="30"/>
    </row>
    <row r="416" spans="18:18" ht="15.75" customHeight="1">
      <c r="R416" s="30"/>
    </row>
    <row r="417" spans="18:18" ht="15.75" customHeight="1">
      <c r="R417" s="30"/>
    </row>
    <row r="418" spans="18:18" ht="15.75" customHeight="1">
      <c r="R418" s="30"/>
    </row>
    <row r="419" spans="18:18" ht="15.75" customHeight="1">
      <c r="R419" s="30"/>
    </row>
    <row r="420" spans="18:18" ht="15.75" customHeight="1">
      <c r="R420" s="30"/>
    </row>
    <row r="421" spans="18:18" ht="15.75" customHeight="1">
      <c r="R421" s="30"/>
    </row>
    <row r="422" spans="18:18" ht="15.75" customHeight="1">
      <c r="R422" s="30"/>
    </row>
    <row r="423" spans="18:18" ht="15.75" customHeight="1">
      <c r="R423" s="30"/>
    </row>
    <row r="424" spans="18:18" ht="15.75" customHeight="1">
      <c r="R424" s="30"/>
    </row>
    <row r="425" spans="18:18" ht="15.75" customHeight="1">
      <c r="R425" s="30"/>
    </row>
    <row r="426" spans="18:18" ht="15.75" customHeight="1">
      <c r="R426" s="30"/>
    </row>
    <row r="427" spans="18:18" ht="15.75" customHeight="1">
      <c r="R427" s="30"/>
    </row>
    <row r="428" spans="18:18" ht="15.75" customHeight="1">
      <c r="R428" s="30"/>
    </row>
    <row r="429" spans="18:18" ht="15.75" customHeight="1">
      <c r="R429" s="30"/>
    </row>
    <row r="430" spans="18:18" ht="15.75" customHeight="1">
      <c r="R430" s="30"/>
    </row>
    <row r="431" spans="18:18" ht="15.75" customHeight="1">
      <c r="R431" s="30"/>
    </row>
    <row r="432" spans="18:18" ht="15.75" customHeight="1">
      <c r="R432" s="30"/>
    </row>
    <row r="433" spans="18:18" ht="15.75" customHeight="1">
      <c r="R433" s="30"/>
    </row>
    <row r="434" spans="18:18" ht="15.75" customHeight="1">
      <c r="R434" s="30"/>
    </row>
    <row r="435" spans="18:18" ht="15.75" customHeight="1">
      <c r="R435" s="30"/>
    </row>
    <row r="436" spans="18:18" ht="15.75" customHeight="1">
      <c r="R436" s="30"/>
    </row>
    <row r="437" spans="18:18" ht="15.75" customHeight="1">
      <c r="R437" s="30"/>
    </row>
    <row r="438" spans="18:18" ht="15.75" customHeight="1">
      <c r="R438" s="30"/>
    </row>
    <row r="439" spans="18:18" ht="15.75" customHeight="1">
      <c r="R439" s="30"/>
    </row>
    <row r="440" spans="18:18" ht="15.75" customHeight="1">
      <c r="R440" s="30"/>
    </row>
    <row r="441" spans="18:18" ht="15.75" customHeight="1">
      <c r="R441" s="30"/>
    </row>
    <row r="442" spans="18:18" ht="15.75" customHeight="1">
      <c r="R442" s="30"/>
    </row>
    <row r="443" spans="18:18" ht="15.75" customHeight="1">
      <c r="R443" s="30"/>
    </row>
    <row r="444" spans="18:18" ht="15.75" customHeight="1">
      <c r="R444" s="30"/>
    </row>
    <row r="445" spans="18:18" ht="15.75" customHeight="1">
      <c r="R445" s="30"/>
    </row>
    <row r="446" spans="18:18" ht="15.75" customHeight="1">
      <c r="R446" s="30"/>
    </row>
    <row r="447" spans="18:18" ht="15.75" customHeight="1">
      <c r="R447" s="30"/>
    </row>
    <row r="448" spans="18:18" ht="15.75" customHeight="1">
      <c r="R448" s="30"/>
    </row>
    <row r="449" spans="18:18" ht="15.75" customHeight="1">
      <c r="R449" s="30"/>
    </row>
    <row r="450" spans="18:18" ht="15.75" customHeight="1">
      <c r="R450" s="30"/>
    </row>
    <row r="451" spans="18:18" ht="15.75" customHeight="1">
      <c r="R451" s="30"/>
    </row>
    <row r="452" spans="18:18" ht="15.75" customHeight="1">
      <c r="R452" s="30"/>
    </row>
    <row r="453" spans="18:18" ht="15.75" customHeight="1">
      <c r="R453" s="30"/>
    </row>
    <row r="454" spans="18:18" ht="15.75" customHeight="1">
      <c r="R454" s="30"/>
    </row>
    <row r="455" spans="18:18" ht="15.75" customHeight="1">
      <c r="R455" s="30"/>
    </row>
    <row r="456" spans="18:18" ht="15.75" customHeight="1">
      <c r="R456" s="30"/>
    </row>
    <row r="457" spans="18:18" ht="15.75" customHeight="1">
      <c r="R457" s="30"/>
    </row>
    <row r="458" spans="18:18" ht="15.75" customHeight="1">
      <c r="R458" s="30"/>
    </row>
    <row r="459" spans="18:18" ht="15.75" customHeight="1">
      <c r="R459" s="30"/>
    </row>
    <row r="460" spans="18:18" ht="15.75" customHeight="1">
      <c r="R460" s="30"/>
    </row>
    <row r="461" spans="18:18" ht="15.75" customHeight="1">
      <c r="R461" s="30"/>
    </row>
    <row r="462" spans="18:18" ht="15.75" customHeight="1">
      <c r="R462" s="30"/>
    </row>
    <row r="463" spans="18:18" ht="15.75" customHeight="1">
      <c r="R463" s="30"/>
    </row>
    <row r="464" spans="18:18" ht="15.75" customHeight="1">
      <c r="R464" s="30"/>
    </row>
    <row r="465" spans="18:18" ht="15.75" customHeight="1">
      <c r="R465" s="30"/>
    </row>
    <row r="466" spans="18:18" ht="15.75" customHeight="1">
      <c r="R466" s="30"/>
    </row>
    <row r="467" spans="18:18" ht="15.75" customHeight="1">
      <c r="R467" s="30"/>
    </row>
    <row r="468" spans="18:18" ht="15.75" customHeight="1">
      <c r="R468" s="30"/>
    </row>
    <row r="469" spans="18:18" ht="15.75" customHeight="1">
      <c r="R469" s="30"/>
    </row>
    <row r="470" spans="18:18" ht="15.75" customHeight="1">
      <c r="R470" s="30"/>
    </row>
    <row r="471" spans="18:18" ht="15.75" customHeight="1">
      <c r="R471" s="30"/>
    </row>
    <row r="472" spans="18:18" ht="15.75" customHeight="1">
      <c r="R472" s="30"/>
    </row>
    <row r="473" spans="18:18" ht="15.75" customHeight="1">
      <c r="R473" s="30"/>
    </row>
    <row r="474" spans="18:18" ht="15.75" customHeight="1">
      <c r="R474" s="30"/>
    </row>
    <row r="475" spans="18:18" ht="15.75" customHeight="1">
      <c r="R475" s="30"/>
    </row>
    <row r="476" spans="18:18" ht="15.75" customHeight="1">
      <c r="R476" s="30"/>
    </row>
    <row r="477" spans="18:18" ht="15.75" customHeight="1">
      <c r="R477" s="30"/>
    </row>
    <row r="478" spans="18:18" ht="15.75" customHeight="1">
      <c r="R478" s="30"/>
    </row>
    <row r="479" spans="18:18" ht="15.75" customHeight="1">
      <c r="R479" s="30"/>
    </row>
    <row r="480" spans="18:18" ht="15.75" customHeight="1">
      <c r="R480" s="30"/>
    </row>
    <row r="481" spans="18:18" ht="15.75" customHeight="1">
      <c r="R481" s="30"/>
    </row>
    <row r="482" spans="18:18" ht="15.75" customHeight="1">
      <c r="R482" s="30"/>
    </row>
    <row r="483" spans="18:18" ht="15.75" customHeight="1">
      <c r="R483" s="30"/>
    </row>
    <row r="484" spans="18:18" ht="15.75" customHeight="1">
      <c r="R484" s="30"/>
    </row>
    <row r="485" spans="18:18" ht="15.75" customHeight="1">
      <c r="R485" s="30"/>
    </row>
    <row r="486" spans="18:18" ht="15.75" customHeight="1">
      <c r="R486" s="30"/>
    </row>
    <row r="487" spans="18:18" ht="15.75" customHeight="1">
      <c r="R487" s="30"/>
    </row>
    <row r="488" spans="18:18" ht="15.75" customHeight="1">
      <c r="R488" s="30"/>
    </row>
    <row r="489" spans="18:18" ht="15.75" customHeight="1">
      <c r="R489" s="30"/>
    </row>
    <row r="490" spans="18:18" ht="15.75" customHeight="1">
      <c r="R490" s="30"/>
    </row>
    <row r="491" spans="18:18" ht="15.75" customHeight="1">
      <c r="R491" s="30"/>
    </row>
    <row r="492" spans="18:18" ht="15.75" customHeight="1">
      <c r="R492" s="30"/>
    </row>
    <row r="493" spans="18:18" ht="15.75" customHeight="1">
      <c r="R493" s="30"/>
    </row>
    <row r="494" spans="18:18" ht="15.75" customHeight="1">
      <c r="R494" s="30"/>
    </row>
    <row r="495" spans="18:18" ht="15.75" customHeight="1">
      <c r="R495" s="30"/>
    </row>
    <row r="496" spans="18:18" ht="15.75" customHeight="1">
      <c r="R496" s="30"/>
    </row>
    <row r="497" spans="18:18" ht="15.75" customHeight="1">
      <c r="R497" s="30"/>
    </row>
    <row r="498" spans="18:18" ht="15.75" customHeight="1">
      <c r="R498" s="30"/>
    </row>
    <row r="499" spans="18:18" ht="15.75" customHeight="1">
      <c r="R499" s="30"/>
    </row>
    <row r="500" spans="18:18" ht="15.75" customHeight="1">
      <c r="R500" s="30"/>
    </row>
    <row r="501" spans="18:18" ht="15.75" customHeight="1">
      <c r="R501" s="30"/>
    </row>
    <row r="502" spans="18:18" ht="15.75" customHeight="1">
      <c r="R502" s="30"/>
    </row>
    <row r="503" spans="18:18" ht="15.75" customHeight="1">
      <c r="R503" s="30"/>
    </row>
    <row r="504" spans="18:18" ht="15.75" customHeight="1">
      <c r="R504" s="30"/>
    </row>
    <row r="505" spans="18:18" ht="15.75" customHeight="1">
      <c r="R505" s="30"/>
    </row>
    <row r="506" spans="18:18" ht="15.75" customHeight="1">
      <c r="R506" s="30"/>
    </row>
    <row r="507" spans="18:18" ht="15.75" customHeight="1">
      <c r="R507" s="30"/>
    </row>
    <row r="508" spans="18:18" ht="15.75" customHeight="1">
      <c r="R508" s="30"/>
    </row>
    <row r="509" spans="18:18" ht="15.75" customHeight="1">
      <c r="R509" s="30"/>
    </row>
    <row r="510" spans="18:18" ht="15.75" customHeight="1">
      <c r="R510" s="30"/>
    </row>
    <row r="511" spans="18:18" ht="15.75" customHeight="1">
      <c r="R511" s="30"/>
    </row>
    <row r="512" spans="18:18" ht="15.75" customHeight="1">
      <c r="R512" s="30"/>
    </row>
    <row r="513" spans="18:18" ht="15.75" customHeight="1">
      <c r="R513" s="30"/>
    </row>
    <row r="514" spans="18:18" ht="15.75" customHeight="1">
      <c r="R514" s="30"/>
    </row>
    <row r="515" spans="18:18" ht="15.75" customHeight="1">
      <c r="R515" s="30"/>
    </row>
    <row r="516" spans="18:18" ht="15.75" customHeight="1">
      <c r="R516" s="30"/>
    </row>
    <row r="517" spans="18:18" ht="15.75" customHeight="1">
      <c r="R517" s="30"/>
    </row>
    <row r="518" spans="18:18" ht="15.75" customHeight="1">
      <c r="R518" s="30"/>
    </row>
    <row r="519" spans="18:18" ht="15.75" customHeight="1">
      <c r="R519" s="30"/>
    </row>
    <row r="520" spans="18:18" ht="15.75" customHeight="1">
      <c r="R520" s="30"/>
    </row>
    <row r="521" spans="18:18" ht="15.75" customHeight="1">
      <c r="R521" s="30"/>
    </row>
    <row r="522" spans="18:18" ht="15.75" customHeight="1">
      <c r="R522" s="30"/>
    </row>
    <row r="523" spans="18:18" ht="15.75" customHeight="1">
      <c r="R523" s="30"/>
    </row>
    <row r="524" spans="18:18" ht="15.75" customHeight="1">
      <c r="R524" s="30"/>
    </row>
    <row r="525" spans="18:18" ht="15.75" customHeight="1">
      <c r="R525" s="30"/>
    </row>
    <row r="526" spans="18:18" ht="15.75" customHeight="1">
      <c r="R526" s="30"/>
    </row>
    <row r="527" spans="18:18" ht="15.75" customHeight="1">
      <c r="R527" s="30"/>
    </row>
    <row r="528" spans="18:18" ht="15.75" customHeight="1">
      <c r="R528" s="30"/>
    </row>
    <row r="529" spans="18:18" ht="15.75" customHeight="1">
      <c r="R529" s="30"/>
    </row>
    <row r="530" spans="18:18" ht="15.75" customHeight="1">
      <c r="R530" s="30"/>
    </row>
    <row r="531" spans="18:18" ht="15.75" customHeight="1">
      <c r="R531" s="30"/>
    </row>
    <row r="532" spans="18:18" ht="15.75" customHeight="1">
      <c r="R532" s="30"/>
    </row>
    <row r="533" spans="18:18" ht="15.75" customHeight="1">
      <c r="R533" s="30"/>
    </row>
    <row r="534" spans="18:18" ht="15.75" customHeight="1">
      <c r="R534" s="30"/>
    </row>
    <row r="535" spans="18:18" ht="15.75" customHeight="1">
      <c r="R535" s="30"/>
    </row>
    <row r="536" spans="18:18" ht="15.75" customHeight="1">
      <c r="R536" s="30"/>
    </row>
    <row r="537" spans="18:18" ht="15.75" customHeight="1">
      <c r="R537" s="30"/>
    </row>
    <row r="538" spans="18:18" ht="15.75" customHeight="1">
      <c r="R538" s="30"/>
    </row>
    <row r="539" spans="18:18" ht="15.75" customHeight="1">
      <c r="R539" s="30"/>
    </row>
    <row r="540" spans="18:18" ht="15.75" customHeight="1">
      <c r="R540" s="30"/>
    </row>
    <row r="541" spans="18:18" ht="15.75" customHeight="1">
      <c r="R541" s="30"/>
    </row>
    <row r="542" spans="18:18" ht="15.75" customHeight="1">
      <c r="R542" s="30"/>
    </row>
    <row r="543" spans="18:18" ht="15.75" customHeight="1">
      <c r="R543" s="30"/>
    </row>
    <row r="544" spans="18:18" ht="15.75" customHeight="1">
      <c r="R544" s="30"/>
    </row>
    <row r="545" spans="18:18" ht="15.75" customHeight="1">
      <c r="R545" s="30"/>
    </row>
    <row r="546" spans="18:18" ht="15.75" customHeight="1">
      <c r="R546" s="30"/>
    </row>
    <row r="547" spans="18:18" ht="15.75" customHeight="1">
      <c r="R547" s="30"/>
    </row>
    <row r="548" spans="18:18" ht="15.75" customHeight="1">
      <c r="R548" s="30"/>
    </row>
    <row r="549" spans="18:18" ht="15.75" customHeight="1">
      <c r="R549" s="30"/>
    </row>
    <row r="550" spans="18:18" ht="15.75" customHeight="1">
      <c r="R550" s="30"/>
    </row>
    <row r="551" spans="18:18" ht="15.75" customHeight="1">
      <c r="R551" s="30"/>
    </row>
    <row r="552" spans="18:18" ht="15.75" customHeight="1">
      <c r="R552" s="30"/>
    </row>
    <row r="553" spans="18:18" ht="15.75" customHeight="1">
      <c r="R553" s="30"/>
    </row>
    <row r="554" spans="18:18" ht="15.75" customHeight="1">
      <c r="R554" s="30"/>
    </row>
    <row r="555" spans="18:18" ht="15.75" customHeight="1">
      <c r="R555" s="30"/>
    </row>
    <row r="556" spans="18:18" ht="15.75" customHeight="1">
      <c r="R556" s="30"/>
    </row>
    <row r="557" spans="18:18" ht="15.75" customHeight="1">
      <c r="R557" s="30"/>
    </row>
    <row r="558" spans="18:18" ht="15.75" customHeight="1">
      <c r="R558" s="30"/>
    </row>
    <row r="559" spans="18:18" ht="15.75" customHeight="1">
      <c r="R559" s="30"/>
    </row>
    <row r="560" spans="18:18" ht="15.75" customHeight="1">
      <c r="R560" s="30"/>
    </row>
    <row r="561" spans="18:18" ht="15.75" customHeight="1">
      <c r="R561" s="30"/>
    </row>
    <row r="562" spans="18:18" ht="15.75" customHeight="1">
      <c r="R562" s="30"/>
    </row>
    <row r="563" spans="18:18" ht="15.75" customHeight="1">
      <c r="R563" s="30"/>
    </row>
    <row r="564" spans="18:18" ht="15.75" customHeight="1">
      <c r="R564" s="30"/>
    </row>
    <row r="565" spans="18:18" ht="15.75" customHeight="1">
      <c r="R565" s="30"/>
    </row>
    <row r="566" spans="18:18" ht="15.75" customHeight="1">
      <c r="R566" s="30"/>
    </row>
    <row r="567" spans="18:18" ht="15.75" customHeight="1">
      <c r="R567" s="30"/>
    </row>
    <row r="568" spans="18:18" ht="15.75" customHeight="1">
      <c r="R568" s="30"/>
    </row>
    <row r="569" spans="18:18" ht="15.75" customHeight="1">
      <c r="R569" s="30"/>
    </row>
    <row r="570" spans="18:18" ht="15.75" customHeight="1">
      <c r="R570" s="30"/>
    </row>
    <row r="571" spans="18:18" ht="15.75" customHeight="1">
      <c r="R571" s="30"/>
    </row>
    <row r="572" spans="18:18" ht="15.75" customHeight="1">
      <c r="R572" s="30"/>
    </row>
    <row r="573" spans="18:18" ht="15.75" customHeight="1">
      <c r="R573" s="30"/>
    </row>
    <row r="574" spans="18:18" ht="15.75" customHeight="1">
      <c r="R574" s="30"/>
    </row>
    <row r="575" spans="18:18" ht="15.75" customHeight="1">
      <c r="R575" s="30"/>
    </row>
    <row r="576" spans="18:18" ht="15.75" customHeight="1">
      <c r="R576" s="30"/>
    </row>
    <row r="577" spans="18:18" ht="15.75" customHeight="1">
      <c r="R577" s="30"/>
    </row>
    <row r="578" spans="18:18" ht="15.75" customHeight="1">
      <c r="R578" s="30"/>
    </row>
    <row r="579" spans="18:18" ht="15.75" customHeight="1">
      <c r="R579" s="30"/>
    </row>
    <row r="580" spans="18:18" ht="15.75" customHeight="1">
      <c r="R580" s="30"/>
    </row>
    <row r="581" spans="18:18" ht="15.75" customHeight="1">
      <c r="R581" s="30"/>
    </row>
    <row r="582" spans="18:18" ht="15.75" customHeight="1">
      <c r="R582" s="30"/>
    </row>
    <row r="583" spans="18:18" ht="15.75" customHeight="1">
      <c r="R583" s="30"/>
    </row>
    <row r="584" spans="18:18" ht="15.75" customHeight="1">
      <c r="R584" s="30"/>
    </row>
    <row r="585" spans="18:18" ht="15.75" customHeight="1">
      <c r="R585" s="30"/>
    </row>
    <row r="586" spans="18:18" ht="15.75" customHeight="1">
      <c r="R586" s="30"/>
    </row>
    <row r="587" spans="18:18" ht="15.75" customHeight="1">
      <c r="R587" s="30"/>
    </row>
    <row r="588" spans="18:18" ht="15.75" customHeight="1">
      <c r="R588" s="30"/>
    </row>
    <row r="589" spans="18:18" ht="15.75" customHeight="1">
      <c r="R589" s="30"/>
    </row>
    <row r="590" spans="18:18" ht="15.75" customHeight="1">
      <c r="R590" s="30"/>
    </row>
    <row r="591" spans="18:18" ht="15.75" customHeight="1">
      <c r="R591" s="30"/>
    </row>
    <row r="592" spans="18:18" ht="15.75" customHeight="1">
      <c r="R592" s="30"/>
    </row>
    <row r="593" spans="18:18" ht="15.75" customHeight="1">
      <c r="R593" s="30"/>
    </row>
    <row r="594" spans="18:18" ht="15.75" customHeight="1">
      <c r="R594" s="30"/>
    </row>
    <row r="595" spans="18:18" ht="15.75" customHeight="1">
      <c r="R595" s="30"/>
    </row>
    <row r="596" spans="18:18" ht="15.75" customHeight="1">
      <c r="R596" s="30"/>
    </row>
    <row r="597" spans="18:18" ht="15.75" customHeight="1">
      <c r="R597" s="30"/>
    </row>
    <row r="598" spans="18:18" ht="15.75" customHeight="1">
      <c r="R598" s="30"/>
    </row>
    <row r="599" spans="18:18" ht="15.75" customHeight="1">
      <c r="R599" s="30"/>
    </row>
    <row r="600" spans="18:18" ht="15.75" customHeight="1">
      <c r="R600" s="30"/>
    </row>
    <row r="601" spans="18:18" ht="15.75" customHeight="1">
      <c r="R601" s="30"/>
    </row>
    <row r="602" spans="18:18" ht="15.75" customHeight="1">
      <c r="R602" s="30"/>
    </row>
    <row r="603" spans="18:18" ht="15.75" customHeight="1">
      <c r="R603" s="30"/>
    </row>
    <row r="604" spans="18:18" ht="15.75" customHeight="1">
      <c r="R604" s="30"/>
    </row>
    <row r="605" spans="18:18" ht="15.75" customHeight="1">
      <c r="R605" s="30"/>
    </row>
    <row r="606" spans="18:18" ht="15.75" customHeight="1">
      <c r="R606" s="30"/>
    </row>
    <row r="607" spans="18:18" ht="15.75" customHeight="1">
      <c r="R607" s="30"/>
    </row>
    <row r="608" spans="18:18" ht="15.75" customHeight="1">
      <c r="R608" s="30"/>
    </row>
    <row r="609" spans="18:18" ht="15.75" customHeight="1">
      <c r="R609" s="30"/>
    </row>
    <row r="610" spans="18:18" ht="15.75" customHeight="1">
      <c r="R610" s="30"/>
    </row>
    <row r="611" spans="18:18" ht="15.75" customHeight="1">
      <c r="R611" s="30"/>
    </row>
    <row r="612" spans="18:18" ht="15.75" customHeight="1">
      <c r="R612" s="30"/>
    </row>
    <row r="613" spans="18:18" ht="15.75" customHeight="1">
      <c r="R613" s="30"/>
    </row>
    <row r="614" spans="18:18" ht="15.75" customHeight="1">
      <c r="R614" s="30"/>
    </row>
    <row r="615" spans="18:18" ht="15.75" customHeight="1">
      <c r="R615" s="30"/>
    </row>
    <row r="616" spans="18:18" ht="15.75" customHeight="1">
      <c r="R616" s="30"/>
    </row>
    <row r="617" spans="18:18" ht="15.75" customHeight="1">
      <c r="R617" s="30"/>
    </row>
    <row r="618" spans="18:18" ht="15.75" customHeight="1">
      <c r="R618" s="30"/>
    </row>
    <row r="619" spans="18:18" ht="15.75" customHeight="1">
      <c r="R619" s="30"/>
    </row>
    <row r="620" spans="18:18" ht="15.75" customHeight="1">
      <c r="R620" s="30"/>
    </row>
    <row r="621" spans="18:18" ht="15.75" customHeight="1">
      <c r="R621" s="30"/>
    </row>
    <row r="622" spans="18:18" ht="15.75" customHeight="1">
      <c r="R622" s="30"/>
    </row>
    <row r="623" spans="18:18" ht="15.75" customHeight="1">
      <c r="R623" s="30"/>
    </row>
    <row r="624" spans="18:18" ht="15.75" customHeight="1">
      <c r="R624" s="30"/>
    </row>
    <row r="625" spans="18:18" ht="15.75" customHeight="1">
      <c r="R625" s="30"/>
    </row>
    <row r="626" spans="18:18" ht="15.75" customHeight="1">
      <c r="R626" s="30"/>
    </row>
    <row r="627" spans="18:18" ht="15.75" customHeight="1">
      <c r="R627" s="30"/>
    </row>
    <row r="628" spans="18:18" ht="15.75" customHeight="1">
      <c r="R628" s="30"/>
    </row>
    <row r="629" spans="18:18" ht="15.75" customHeight="1">
      <c r="R629" s="30"/>
    </row>
    <row r="630" spans="18:18" ht="15.75" customHeight="1">
      <c r="R630" s="30"/>
    </row>
    <row r="631" spans="18:18" ht="15.75" customHeight="1">
      <c r="R631" s="30"/>
    </row>
    <row r="632" spans="18:18" ht="15.75" customHeight="1">
      <c r="R632" s="30"/>
    </row>
    <row r="633" spans="18:18" ht="15.75" customHeight="1">
      <c r="R633" s="30"/>
    </row>
    <row r="634" spans="18:18" ht="15.75" customHeight="1">
      <c r="R634" s="30"/>
    </row>
    <row r="635" spans="18:18" ht="15.75" customHeight="1">
      <c r="R635" s="30"/>
    </row>
    <row r="636" spans="18:18" ht="15.75" customHeight="1">
      <c r="R636" s="30"/>
    </row>
    <row r="637" spans="18:18" ht="15.75" customHeight="1">
      <c r="R637" s="30"/>
    </row>
    <row r="638" spans="18:18" ht="15.75" customHeight="1">
      <c r="R638" s="30"/>
    </row>
    <row r="639" spans="18:18" ht="15.75" customHeight="1">
      <c r="R639" s="30"/>
    </row>
    <row r="640" spans="18:18" ht="15.75" customHeight="1">
      <c r="R640" s="30"/>
    </row>
    <row r="641" spans="18:18" ht="15.75" customHeight="1">
      <c r="R641" s="30"/>
    </row>
    <row r="642" spans="18:18" ht="15.75" customHeight="1">
      <c r="R642" s="30"/>
    </row>
    <row r="643" spans="18:18" ht="15.75" customHeight="1">
      <c r="R643" s="30"/>
    </row>
    <row r="644" spans="18:18" ht="15.75" customHeight="1">
      <c r="R644" s="30"/>
    </row>
    <row r="645" spans="18:18" ht="15.75" customHeight="1">
      <c r="R645" s="30"/>
    </row>
    <row r="646" spans="18:18" ht="15.75" customHeight="1">
      <c r="R646" s="30"/>
    </row>
    <row r="647" spans="18:18" ht="15.75" customHeight="1">
      <c r="R647" s="30"/>
    </row>
    <row r="648" spans="18:18" ht="15.75" customHeight="1">
      <c r="R648" s="30"/>
    </row>
    <row r="649" spans="18:18" ht="15.75" customHeight="1">
      <c r="R649" s="30"/>
    </row>
    <row r="650" spans="18:18" ht="15.75" customHeight="1">
      <c r="R650" s="30"/>
    </row>
    <row r="651" spans="18:18" ht="15.75" customHeight="1">
      <c r="R651" s="30"/>
    </row>
    <row r="652" spans="18:18" ht="15.75" customHeight="1">
      <c r="R652" s="30"/>
    </row>
    <row r="653" spans="18:18" ht="15.75" customHeight="1">
      <c r="R653" s="30"/>
    </row>
    <row r="654" spans="18:18" ht="15.75" customHeight="1">
      <c r="R654" s="30"/>
    </row>
    <row r="655" spans="18:18" ht="15.75" customHeight="1">
      <c r="R655" s="30"/>
    </row>
    <row r="656" spans="18:18" ht="15.75" customHeight="1">
      <c r="R656" s="30"/>
    </row>
    <row r="657" spans="18:18" ht="15.75" customHeight="1">
      <c r="R657" s="30"/>
    </row>
    <row r="658" spans="18:18" ht="15.75" customHeight="1">
      <c r="R658" s="30"/>
    </row>
    <row r="659" spans="18:18" ht="15.75" customHeight="1">
      <c r="R659" s="30"/>
    </row>
    <row r="660" spans="18:18" ht="15.75" customHeight="1">
      <c r="R660" s="30"/>
    </row>
    <row r="661" spans="18:18" ht="15.75" customHeight="1">
      <c r="R661" s="30"/>
    </row>
    <row r="662" spans="18:18" ht="15.75" customHeight="1">
      <c r="R662" s="30"/>
    </row>
    <row r="663" spans="18:18" ht="15.75" customHeight="1">
      <c r="R663" s="30"/>
    </row>
    <row r="664" spans="18:18" ht="15.75" customHeight="1">
      <c r="R664" s="30"/>
    </row>
    <row r="665" spans="18:18" ht="15.75" customHeight="1">
      <c r="R665" s="30"/>
    </row>
    <row r="666" spans="18:18" ht="15.75" customHeight="1">
      <c r="R666" s="30"/>
    </row>
    <row r="667" spans="18:18" ht="15.75" customHeight="1">
      <c r="R667" s="30"/>
    </row>
    <row r="668" spans="18:18" ht="15.75" customHeight="1">
      <c r="R668" s="30"/>
    </row>
    <row r="669" spans="18:18" ht="15.75" customHeight="1">
      <c r="R669" s="30"/>
    </row>
    <row r="670" spans="18:18" ht="15.75" customHeight="1">
      <c r="R670" s="30"/>
    </row>
    <row r="671" spans="18:18" ht="15.75" customHeight="1">
      <c r="R671" s="30"/>
    </row>
    <row r="672" spans="18:18" ht="15.75" customHeight="1">
      <c r="R672" s="30"/>
    </row>
    <row r="673" spans="18:18" ht="15.75" customHeight="1">
      <c r="R673" s="30"/>
    </row>
    <row r="674" spans="18:18" ht="15.75" customHeight="1">
      <c r="R674" s="30"/>
    </row>
    <row r="675" spans="18:18" ht="15.75" customHeight="1">
      <c r="R675" s="30"/>
    </row>
    <row r="676" spans="18:18" ht="15.75" customHeight="1">
      <c r="R676" s="30"/>
    </row>
    <row r="677" spans="18:18" ht="15.75" customHeight="1">
      <c r="R677" s="30"/>
    </row>
    <row r="678" spans="18:18" ht="15.75" customHeight="1">
      <c r="R678" s="30"/>
    </row>
    <row r="679" spans="18:18" ht="15.75" customHeight="1">
      <c r="R679" s="30"/>
    </row>
    <row r="680" spans="18:18" ht="15.75" customHeight="1">
      <c r="R680" s="30"/>
    </row>
    <row r="681" spans="18:18" ht="15.75" customHeight="1">
      <c r="R681" s="30"/>
    </row>
    <row r="682" spans="18:18" ht="15.75" customHeight="1">
      <c r="R682" s="30"/>
    </row>
    <row r="683" spans="18:18" ht="15.75" customHeight="1">
      <c r="R683" s="30"/>
    </row>
    <row r="684" spans="18:18" ht="15.75" customHeight="1">
      <c r="R684" s="30"/>
    </row>
    <row r="685" spans="18:18" ht="15.75" customHeight="1">
      <c r="R685" s="30"/>
    </row>
    <row r="686" spans="18:18" ht="15.75" customHeight="1">
      <c r="R686" s="30"/>
    </row>
    <row r="687" spans="18:18" ht="15.75" customHeight="1">
      <c r="R687" s="30"/>
    </row>
    <row r="688" spans="18:18" ht="15.75" customHeight="1">
      <c r="R688" s="30"/>
    </row>
    <row r="689" spans="18:18" ht="15.75" customHeight="1">
      <c r="R689" s="30"/>
    </row>
    <row r="690" spans="18:18" ht="15.75" customHeight="1">
      <c r="R690" s="30"/>
    </row>
    <row r="691" spans="18:18" ht="15.75" customHeight="1">
      <c r="R691" s="30"/>
    </row>
    <row r="692" spans="18:18" ht="15.75" customHeight="1">
      <c r="R692" s="30"/>
    </row>
    <row r="693" spans="18:18" ht="15.75" customHeight="1">
      <c r="R693" s="30"/>
    </row>
    <row r="694" spans="18:18" ht="15.75" customHeight="1">
      <c r="R694" s="30"/>
    </row>
    <row r="695" spans="18:18" ht="15.75" customHeight="1">
      <c r="R695" s="30"/>
    </row>
    <row r="696" spans="18:18" ht="15.75" customHeight="1">
      <c r="R696" s="30"/>
    </row>
    <row r="697" spans="18:18" ht="15.75" customHeight="1">
      <c r="R697" s="30"/>
    </row>
    <row r="698" spans="18:18" ht="15.75" customHeight="1">
      <c r="R698" s="30"/>
    </row>
    <row r="699" spans="18:18" ht="15.75" customHeight="1">
      <c r="R699" s="30"/>
    </row>
    <row r="700" spans="18:18" ht="15.75" customHeight="1">
      <c r="R700" s="30"/>
    </row>
    <row r="701" spans="18:18" ht="15.75" customHeight="1">
      <c r="R701" s="30"/>
    </row>
    <row r="702" spans="18:18" ht="15.75" customHeight="1">
      <c r="R702" s="30"/>
    </row>
    <row r="703" spans="18:18" ht="15.75" customHeight="1">
      <c r="R703" s="30"/>
    </row>
    <row r="704" spans="18:18" ht="15.75" customHeight="1">
      <c r="R704" s="30"/>
    </row>
    <row r="705" spans="18:18" ht="15.75" customHeight="1">
      <c r="R705" s="30"/>
    </row>
    <row r="706" spans="18:18" ht="15.75" customHeight="1">
      <c r="R706" s="30"/>
    </row>
    <row r="707" spans="18:18" ht="15.75" customHeight="1">
      <c r="R707" s="30"/>
    </row>
    <row r="708" spans="18:18" ht="15.75" customHeight="1">
      <c r="R708" s="30"/>
    </row>
    <row r="709" spans="18:18" ht="15.75" customHeight="1">
      <c r="R709" s="30"/>
    </row>
    <row r="710" spans="18:18" ht="15.75" customHeight="1">
      <c r="R710" s="30"/>
    </row>
    <row r="711" spans="18:18" ht="15.75" customHeight="1">
      <c r="R711" s="30"/>
    </row>
    <row r="712" spans="18:18" ht="15.75" customHeight="1">
      <c r="R712" s="30"/>
    </row>
    <row r="713" spans="18:18" ht="15.75" customHeight="1">
      <c r="R713" s="30"/>
    </row>
    <row r="714" spans="18:18" ht="15.75" customHeight="1">
      <c r="R714" s="30"/>
    </row>
    <row r="715" spans="18:18" ht="15.75" customHeight="1">
      <c r="R715" s="30"/>
    </row>
    <row r="716" spans="18:18" ht="15.75" customHeight="1">
      <c r="R716" s="30"/>
    </row>
    <row r="717" spans="18:18" ht="15.75" customHeight="1">
      <c r="R717" s="30"/>
    </row>
    <row r="718" spans="18:18" ht="15.75" customHeight="1">
      <c r="R718" s="30"/>
    </row>
    <row r="719" spans="18:18" ht="15.75" customHeight="1">
      <c r="R719" s="30"/>
    </row>
    <row r="720" spans="18:18" ht="15.75" customHeight="1">
      <c r="R720" s="30"/>
    </row>
    <row r="721" spans="18:18" ht="15.75" customHeight="1">
      <c r="R721" s="30"/>
    </row>
    <row r="722" spans="18:18" ht="15.75" customHeight="1">
      <c r="R722" s="30"/>
    </row>
    <row r="723" spans="18:18" ht="15.75" customHeight="1">
      <c r="R723" s="30"/>
    </row>
    <row r="724" spans="18:18" ht="15.75" customHeight="1">
      <c r="R724" s="30"/>
    </row>
    <row r="725" spans="18:18" ht="15.75" customHeight="1">
      <c r="R725" s="30"/>
    </row>
    <row r="726" spans="18:18" ht="15.75" customHeight="1">
      <c r="R726" s="30"/>
    </row>
    <row r="727" spans="18:18" ht="15.75" customHeight="1">
      <c r="R727" s="30"/>
    </row>
    <row r="728" spans="18:18" ht="15.75" customHeight="1">
      <c r="R728" s="30"/>
    </row>
    <row r="729" spans="18:18" ht="15.75" customHeight="1">
      <c r="R729" s="30"/>
    </row>
    <row r="730" spans="18:18" ht="15.75" customHeight="1">
      <c r="R730" s="30"/>
    </row>
    <row r="731" spans="18:18" ht="15.75" customHeight="1">
      <c r="R731" s="30"/>
    </row>
    <row r="732" spans="18:18" ht="15.75" customHeight="1">
      <c r="R732" s="30"/>
    </row>
    <row r="733" spans="18:18" ht="15.75" customHeight="1">
      <c r="R733" s="30"/>
    </row>
    <row r="734" spans="18:18" ht="15.75" customHeight="1">
      <c r="R734" s="30"/>
    </row>
    <row r="735" spans="18:18" ht="15.75" customHeight="1">
      <c r="R735" s="30"/>
    </row>
    <row r="736" spans="18:18" ht="15.75" customHeight="1">
      <c r="R736" s="30"/>
    </row>
    <row r="737" spans="18:18" ht="15.75" customHeight="1">
      <c r="R737" s="30"/>
    </row>
    <row r="738" spans="18:18" ht="15.75" customHeight="1">
      <c r="R738" s="30"/>
    </row>
    <row r="739" spans="18:18" ht="15.75" customHeight="1">
      <c r="R739" s="30"/>
    </row>
    <row r="740" spans="18:18" ht="15.75" customHeight="1">
      <c r="R740" s="30"/>
    </row>
    <row r="741" spans="18:18" ht="15.75" customHeight="1">
      <c r="R741" s="30"/>
    </row>
    <row r="742" spans="18:18" ht="15.75" customHeight="1">
      <c r="R742" s="30"/>
    </row>
    <row r="743" spans="18:18" ht="15.75" customHeight="1">
      <c r="R743" s="30"/>
    </row>
    <row r="744" spans="18:18" ht="15.75" customHeight="1">
      <c r="R744" s="30"/>
    </row>
    <row r="745" spans="18:18" ht="15.75" customHeight="1">
      <c r="R745" s="30"/>
    </row>
    <row r="746" spans="18:18" ht="15.75" customHeight="1">
      <c r="R746" s="30"/>
    </row>
    <row r="747" spans="18:18" ht="15.75" customHeight="1">
      <c r="R747" s="30"/>
    </row>
    <row r="748" spans="18:18" ht="15.75" customHeight="1">
      <c r="R748" s="30"/>
    </row>
    <row r="749" spans="18:18" ht="15.75" customHeight="1">
      <c r="R749" s="30"/>
    </row>
    <row r="750" spans="18:18" ht="15.75" customHeight="1">
      <c r="R750" s="30"/>
    </row>
    <row r="751" spans="18:18" ht="15.75" customHeight="1">
      <c r="R751" s="30"/>
    </row>
    <row r="752" spans="18:18" ht="15.75" customHeight="1">
      <c r="R752" s="30"/>
    </row>
    <row r="753" spans="18:18" ht="15.75" customHeight="1">
      <c r="R753" s="30"/>
    </row>
    <row r="754" spans="18:18" ht="15.75" customHeight="1">
      <c r="R754" s="30"/>
    </row>
    <row r="755" spans="18:18" ht="15.75" customHeight="1">
      <c r="R755" s="30"/>
    </row>
    <row r="756" spans="18:18" ht="15.75" customHeight="1">
      <c r="R756" s="30"/>
    </row>
    <row r="757" spans="18:18" ht="15.75" customHeight="1">
      <c r="R757" s="30"/>
    </row>
    <row r="758" spans="18:18" ht="15.75" customHeight="1">
      <c r="R758" s="30"/>
    </row>
    <row r="759" spans="18:18" ht="15.75" customHeight="1">
      <c r="R759" s="30"/>
    </row>
    <row r="760" spans="18:18" ht="15.75" customHeight="1">
      <c r="R760" s="30"/>
    </row>
    <row r="761" spans="18:18" ht="15.75" customHeight="1">
      <c r="R761" s="30"/>
    </row>
    <row r="762" spans="18:18" ht="15.75" customHeight="1">
      <c r="R762" s="30"/>
    </row>
    <row r="763" spans="18:18" ht="15.75" customHeight="1">
      <c r="R763" s="30"/>
    </row>
    <row r="764" spans="18:18" ht="15.75" customHeight="1">
      <c r="R764" s="30"/>
    </row>
    <row r="765" spans="18:18" ht="15.75" customHeight="1">
      <c r="R765" s="30"/>
    </row>
    <row r="766" spans="18:18" ht="15.75" customHeight="1">
      <c r="R766" s="30"/>
    </row>
    <row r="767" spans="18:18" ht="15.75" customHeight="1">
      <c r="R767" s="30"/>
    </row>
    <row r="768" spans="18:18" ht="15.75" customHeight="1">
      <c r="R768" s="30"/>
    </row>
    <row r="769" spans="18:18" ht="15.75" customHeight="1">
      <c r="R769" s="30"/>
    </row>
    <row r="770" spans="18:18" ht="15.75" customHeight="1">
      <c r="R770" s="30"/>
    </row>
    <row r="771" spans="18:18" ht="15.75" customHeight="1">
      <c r="R771" s="30"/>
    </row>
    <row r="772" spans="18:18" ht="15.75" customHeight="1">
      <c r="R772" s="30"/>
    </row>
    <row r="773" spans="18:18" ht="15.75" customHeight="1">
      <c r="R773" s="30"/>
    </row>
    <row r="774" spans="18:18" ht="15.75" customHeight="1">
      <c r="R774" s="30"/>
    </row>
    <row r="775" spans="18:18" ht="15.75" customHeight="1">
      <c r="R775" s="30"/>
    </row>
    <row r="776" spans="18:18" ht="15.75" customHeight="1">
      <c r="R776" s="30"/>
    </row>
    <row r="777" spans="18:18" ht="15.75" customHeight="1">
      <c r="R777" s="30"/>
    </row>
    <row r="778" spans="18:18" ht="15.75" customHeight="1">
      <c r="R778" s="30"/>
    </row>
    <row r="779" spans="18:18" ht="15.75" customHeight="1">
      <c r="R779" s="30"/>
    </row>
    <row r="780" spans="18:18" ht="15.75" customHeight="1">
      <c r="R780" s="30"/>
    </row>
    <row r="781" spans="18:18" ht="15.75" customHeight="1">
      <c r="R781" s="30"/>
    </row>
    <row r="782" spans="18:18" ht="15.75" customHeight="1">
      <c r="R782" s="30"/>
    </row>
    <row r="783" spans="18:18" ht="15.75" customHeight="1">
      <c r="R783" s="30"/>
    </row>
    <row r="784" spans="18:18" ht="15.75" customHeight="1">
      <c r="R784" s="30"/>
    </row>
    <row r="785" spans="18:18" ht="15.75" customHeight="1">
      <c r="R785" s="30"/>
    </row>
    <row r="786" spans="18:18" ht="15.75" customHeight="1">
      <c r="R786" s="30"/>
    </row>
    <row r="787" spans="18:18" ht="15.75" customHeight="1">
      <c r="R787" s="30"/>
    </row>
    <row r="788" spans="18:18" ht="15.75" customHeight="1">
      <c r="R788" s="30"/>
    </row>
    <row r="789" spans="18:18" ht="15.75" customHeight="1">
      <c r="R789" s="30"/>
    </row>
    <row r="790" spans="18:18" ht="15.75" customHeight="1">
      <c r="R790" s="30"/>
    </row>
    <row r="791" spans="18:18" ht="15.75" customHeight="1">
      <c r="R791" s="30"/>
    </row>
    <row r="792" spans="18:18" ht="15.75" customHeight="1">
      <c r="R792" s="30"/>
    </row>
    <row r="793" spans="18:18" ht="15.75" customHeight="1">
      <c r="R793" s="30"/>
    </row>
    <row r="794" spans="18:18" ht="15.75" customHeight="1">
      <c r="R794" s="30"/>
    </row>
    <row r="795" spans="18:18" ht="15.75" customHeight="1">
      <c r="R795" s="30"/>
    </row>
    <row r="796" spans="18:18" ht="15.75" customHeight="1">
      <c r="R796" s="30"/>
    </row>
    <row r="797" spans="18:18" ht="15.75" customHeight="1">
      <c r="R797" s="30"/>
    </row>
    <row r="798" spans="18:18" ht="15.75" customHeight="1">
      <c r="R798" s="30"/>
    </row>
    <row r="799" spans="18:18" ht="15.75" customHeight="1">
      <c r="R799" s="30"/>
    </row>
    <row r="800" spans="18:18" ht="15.75" customHeight="1">
      <c r="R800" s="30"/>
    </row>
    <row r="801" spans="18:18" ht="15.75" customHeight="1">
      <c r="R801" s="30"/>
    </row>
    <row r="802" spans="18:18" ht="15.75" customHeight="1">
      <c r="R802" s="30"/>
    </row>
    <row r="803" spans="18:18" ht="15.75" customHeight="1">
      <c r="R803" s="30"/>
    </row>
    <row r="804" spans="18:18" ht="15.75" customHeight="1">
      <c r="R804" s="30"/>
    </row>
    <row r="805" spans="18:18" ht="15.75" customHeight="1">
      <c r="R805" s="30"/>
    </row>
    <row r="806" spans="18:18" ht="15.75" customHeight="1">
      <c r="R806" s="30"/>
    </row>
    <row r="807" spans="18:18" ht="15.75" customHeight="1">
      <c r="R807" s="30"/>
    </row>
    <row r="808" spans="18:18" ht="15.75" customHeight="1">
      <c r="R808" s="30"/>
    </row>
    <row r="809" spans="18:18" ht="15.75" customHeight="1">
      <c r="R809" s="30"/>
    </row>
    <row r="810" spans="18:18" ht="15.75" customHeight="1">
      <c r="R810" s="30"/>
    </row>
    <row r="811" spans="18:18" ht="15.75" customHeight="1">
      <c r="R811" s="30"/>
    </row>
    <row r="812" spans="18:18" ht="15.75" customHeight="1">
      <c r="R812" s="30"/>
    </row>
    <row r="813" spans="18:18" ht="15.75" customHeight="1">
      <c r="R813" s="30"/>
    </row>
    <row r="814" spans="18:18" ht="15.75" customHeight="1">
      <c r="R814" s="30"/>
    </row>
    <row r="815" spans="18:18" ht="15.75" customHeight="1">
      <c r="R815" s="30"/>
    </row>
    <row r="816" spans="18:18" ht="15.75" customHeight="1">
      <c r="R816" s="30"/>
    </row>
    <row r="817" spans="18:18" ht="15.75" customHeight="1">
      <c r="R817" s="30"/>
    </row>
    <row r="818" spans="18:18" ht="15.75" customHeight="1">
      <c r="R818" s="30"/>
    </row>
    <row r="819" spans="18:18" ht="15.75" customHeight="1">
      <c r="R819" s="30"/>
    </row>
    <row r="820" spans="18:18" ht="15.75" customHeight="1">
      <c r="R820" s="30"/>
    </row>
    <row r="821" spans="18:18" ht="15.75" customHeight="1">
      <c r="R821" s="30"/>
    </row>
    <row r="822" spans="18:18" ht="15.75" customHeight="1">
      <c r="R822" s="30"/>
    </row>
    <row r="823" spans="18:18" ht="15.75" customHeight="1">
      <c r="R823" s="30"/>
    </row>
    <row r="824" spans="18:18" ht="15.75" customHeight="1">
      <c r="R824" s="30"/>
    </row>
    <row r="825" spans="18:18" ht="15.75" customHeight="1">
      <c r="R825" s="30"/>
    </row>
    <row r="826" spans="18:18" ht="15.75" customHeight="1">
      <c r="R826" s="30"/>
    </row>
    <row r="827" spans="18:18" ht="15.75" customHeight="1">
      <c r="R827" s="30"/>
    </row>
    <row r="828" spans="18:18" ht="15.75" customHeight="1">
      <c r="R828" s="30"/>
    </row>
    <row r="829" spans="18:18" ht="15.75" customHeight="1">
      <c r="R829" s="30"/>
    </row>
    <row r="830" spans="18:18" ht="15.75" customHeight="1">
      <c r="R830" s="30"/>
    </row>
    <row r="831" spans="18:18" ht="15.75" customHeight="1">
      <c r="R831" s="30"/>
    </row>
    <row r="832" spans="18:18" ht="15.75" customHeight="1">
      <c r="R832" s="30"/>
    </row>
    <row r="833" spans="18:18" ht="15.75" customHeight="1">
      <c r="R833" s="30"/>
    </row>
    <row r="834" spans="18:18" ht="15.75" customHeight="1">
      <c r="R834" s="30"/>
    </row>
    <row r="835" spans="18:18" ht="15.75" customHeight="1">
      <c r="R835" s="30"/>
    </row>
    <row r="836" spans="18:18" ht="15.75" customHeight="1">
      <c r="R836" s="30"/>
    </row>
    <row r="837" spans="18:18" ht="15.75" customHeight="1">
      <c r="R837" s="30"/>
    </row>
    <row r="838" spans="18:18" ht="15.75" customHeight="1">
      <c r="R838" s="30"/>
    </row>
    <row r="839" spans="18:18" ht="15.75" customHeight="1">
      <c r="R839" s="30"/>
    </row>
    <row r="840" spans="18:18" ht="15.75" customHeight="1">
      <c r="R840" s="30"/>
    </row>
    <row r="841" spans="18:18" ht="15.75" customHeight="1">
      <c r="R841" s="30"/>
    </row>
    <row r="842" spans="18:18" ht="15.75" customHeight="1">
      <c r="R842" s="30"/>
    </row>
    <row r="843" spans="18:18" ht="15.75" customHeight="1">
      <c r="R843" s="30"/>
    </row>
    <row r="844" spans="18:18" ht="15.75" customHeight="1">
      <c r="R844" s="30"/>
    </row>
    <row r="845" spans="18:18" ht="15.75" customHeight="1">
      <c r="R845" s="30"/>
    </row>
    <row r="846" spans="18:18" ht="15.75" customHeight="1">
      <c r="R846" s="30"/>
    </row>
    <row r="847" spans="18:18" ht="15.75" customHeight="1">
      <c r="R847" s="30"/>
    </row>
    <row r="848" spans="18:18" ht="15.75" customHeight="1">
      <c r="R848" s="30"/>
    </row>
    <row r="849" spans="18:18" ht="15.75" customHeight="1">
      <c r="R849" s="30"/>
    </row>
    <row r="850" spans="18:18" ht="15.75" customHeight="1">
      <c r="R850" s="30"/>
    </row>
    <row r="851" spans="18:18" ht="15.75" customHeight="1">
      <c r="R851" s="30"/>
    </row>
    <row r="852" spans="18:18" ht="15.75" customHeight="1">
      <c r="R852" s="30"/>
    </row>
    <row r="853" spans="18:18" ht="15.75" customHeight="1">
      <c r="R853" s="30"/>
    </row>
    <row r="854" spans="18:18" ht="15.75" customHeight="1">
      <c r="R854" s="30"/>
    </row>
    <row r="855" spans="18:18" ht="15.75" customHeight="1">
      <c r="R855" s="30"/>
    </row>
    <row r="856" spans="18:18" ht="15.75" customHeight="1">
      <c r="R856" s="30"/>
    </row>
    <row r="857" spans="18:18" ht="15.75" customHeight="1">
      <c r="R857" s="30"/>
    </row>
    <row r="858" spans="18:18" ht="15.75" customHeight="1">
      <c r="R858" s="30"/>
    </row>
    <row r="859" spans="18:18" ht="15.75" customHeight="1">
      <c r="R859" s="30"/>
    </row>
    <row r="860" spans="18:18" ht="15.75" customHeight="1">
      <c r="R860" s="30"/>
    </row>
    <row r="861" spans="18:18" ht="15.75" customHeight="1">
      <c r="R861" s="30"/>
    </row>
    <row r="862" spans="18:18" ht="15.75" customHeight="1">
      <c r="R862" s="30"/>
    </row>
    <row r="863" spans="18:18" ht="15.75" customHeight="1">
      <c r="R863" s="30"/>
    </row>
    <row r="864" spans="18:18" ht="15.75" customHeight="1">
      <c r="R864" s="30"/>
    </row>
    <row r="865" spans="18:18" ht="15.75" customHeight="1">
      <c r="R865" s="30"/>
    </row>
    <row r="866" spans="18:18" ht="15.75" customHeight="1">
      <c r="R866" s="30"/>
    </row>
    <row r="867" spans="18:18" ht="15.75" customHeight="1">
      <c r="R867" s="30"/>
    </row>
    <row r="868" spans="18:18" ht="15.75" customHeight="1">
      <c r="R868" s="30"/>
    </row>
    <row r="869" spans="18:18" ht="15.75" customHeight="1">
      <c r="R869" s="30"/>
    </row>
    <row r="870" spans="18:18" ht="15.75" customHeight="1">
      <c r="R870" s="30"/>
    </row>
    <row r="871" spans="18:18" ht="15.75" customHeight="1">
      <c r="R871" s="30"/>
    </row>
    <row r="872" spans="18:18" ht="15.75" customHeight="1">
      <c r="R872" s="30"/>
    </row>
    <row r="873" spans="18:18" ht="15.75" customHeight="1">
      <c r="R873" s="30"/>
    </row>
    <row r="874" spans="18:18" ht="15.75" customHeight="1">
      <c r="R874" s="30"/>
    </row>
    <row r="875" spans="18:18" ht="15.75" customHeight="1">
      <c r="R875" s="30"/>
    </row>
    <row r="876" spans="18:18" ht="15.75" customHeight="1">
      <c r="R876" s="30"/>
    </row>
    <row r="877" spans="18:18" ht="15.75" customHeight="1">
      <c r="R877" s="30"/>
    </row>
    <row r="878" spans="18:18" ht="15.75" customHeight="1">
      <c r="R878" s="30"/>
    </row>
    <row r="879" spans="18:18" ht="15.75" customHeight="1">
      <c r="R879" s="30"/>
    </row>
    <row r="880" spans="18:18" ht="15.75" customHeight="1">
      <c r="R880" s="30"/>
    </row>
    <row r="881" spans="18:18" ht="15.75" customHeight="1">
      <c r="R881" s="30"/>
    </row>
    <row r="882" spans="18:18" ht="15.75" customHeight="1">
      <c r="R882" s="30"/>
    </row>
    <row r="883" spans="18:18" ht="15.75" customHeight="1">
      <c r="R883" s="30"/>
    </row>
    <row r="884" spans="18:18" ht="15.75" customHeight="1">
      <c r="R884" s="30"/>
    </row>
    <row r="885" spans="18:18" ht="15.75" customHeight="1">
      <c r="R885" s="30"/>
    </row>
    <row r="886" spans="18:18" ht="15.75" customHeight="1">
      <c r="R886" s="30"/>
    </row>
    <row r="887" spans="18:18" ht="15.75" customHeight="1">
      <c r="R887" s="30"/>
    </row>
    <row r="888" spans="18:18" ht="15.75" customHeight="1">
      <c r="R888" s="30"/>
    </row>
    <row r="889" spans="18:18" ht="15.75" customHeight="1">
      <c r="R889" s="30"/>
    </row>
    <row r="890" spans="18:18" ht="15.75" customHeight="1">
      <c r="R890" s="30"/>
    </row>
    <row r="891" spans="18:18" ht="15.75" customHeight="1">
      <c r="R891" s="30"/>
    </row>
    <row r="892" spans="18:18" ht="15.75" customHeight="1">
      <c r="R892" s="30"/>
    </row>
    <row r="893" spans="18:18" ht="15.75" customHeight="1">
      <c r="R893" s="30"/>
    </row>
    <row r="894" spans="18:18" ht="15.75" customHeight="1">
      <c r="R894" s="30"/>
    </row>
    <row r="895" spans="18:18" ht="15.75" customHeight="1">
      <c r="R895" s="30"/>
    </row>
    <row r="896" spans="18:18" ht="15.75" customHeight="1">
      <c r="R896" s="30"/>
    </row>
    <row r="897" spans="18:18" ht="15.75" customHeight="1">
      <c r="R897" s="30"/>
    </row>
    <row r="898" spans="18:18" ht="15.75" customHeight="1">
      <c r="R898" s="30"/>
    </row>
    <row r="899" spans="18:18" ht="15.75" customHeight="1">
      <c r="R899" s="30"/>
    </row>
    <row r="900" spans="18:18" ht="15.75" customHeight="1">
      <c r="R900" s="30"/>
    </row>
    <row r="901" spans="18:18" ht="15.75" customHeight="1">
      <c r="R901" s="30"/>
    </row>
    <row r="902" spans="18:18" ht="15.75" customHeight="1">
      <c r="R902" s="30"/>
    </row>
    <row r="903" spans="18:18" ht="15.75" customHeight="1">
      <c r="R903" s="30"/>
    </row>
    <row r="904" spans="18:18" ht="15.75" customHeight="1">
      <c r="R904" s="30"/>
    </row>
    <row r="905" spans="18:18" ht="15.75" customHeight="1">
      <c r="R905" s="30"/>
    </row>
    <row r="906" spans="18:18" ht="15.75" customHeight="1">
      <c r="R906" s="30"/>
    </row>
    <row r="907" spans="18:18" ht="15.75" customHeight="1">
      <c r="R907" s="30"/>
    </row>
    <row r="908" spans="18:18" ht="15.75" customHeight="1">
      <c r="R908" s="30"/>
    </row>
    <row r="909" spans="18:18" ht="15.75" customHeight="1">
      <c r="R909" s="30"/>
    </row>
    <row r="910" spans="18:18" ht="15.75" customHeight="1">
      <c r="R910" s="30"/>
    </row>
    <row r="911" spans="18:18" ht="15.75" customHeight="1">
      <c r="R911" s="30"/>
    </row>
    <row r="912" spans="18:18" ht="15.75" customHeight="1">
      <c r="R912" s="30"/>
    </row>
    <row r="913" spans="18:18" ht="15.75" customHeight="1">
      <c r="R913" s="30"/>
    </row>
    <row r="914" spans="18:18" ht="15.75" customHeight="1">
      <c r="R914" s="30"/>
    </row>
    <row r="915" spans="18:18" ht="15.75" customHeight="1">
      <c r="R915" s="30"/>
    </row>
    <row r="916" spans="18:18" ht="15.75" customHeight="1">
      <c r="R916" s="30"/>
    </row>
    <row r="917" spans="18:18" ht="15.75" customHeight="1">
      <c r="R917" s="30"/>
    </row>
    <row r="918" spans="18:18" ht="15.75" customHeight="1">
      <c r="R918" s="30"/>
    </row>
    <row r="919" spans="18:18" ht="15.75" customHeight="1">
      <c r="R919" s="30"/>
    </row>
    <row r="920" spans="18:18" ht="15.75" customHeight="1">
      <c r="R920" s="30"/>
    </row>
    <row r="921" spans="18:18" ht="15.75" customHeight="1">
      <c r="R921" s="30"/>
    </row>
    <row r="922" spans="18:18" ht="15.75" customHeight="1">
      <c r="R922" s="30"/>
    </row>
    <row r="923" spans="18:18" ht="15.75" customHeight="1">
      <c r="R923" s="30"/>
    </row>
    <row r="924" spans="18:18" ht="15.75" customHeight="1">
      <c r="R924" s="30"/>
    </row>
    <row r="925" spans="18:18" ht="15.75" customHeight="1">
      <c r="R925" s="30"/>
    </row>
    <row r="926" spans="18:18" ht="15.75" customHeight="1">
      <c r="R926" s="30"/>
    </row>
    <row r="927" spans="18:18" ht="15.75" customHeight="1">
      <c r="R927" s="30"/>
    </row>
    <row r="928" spans="18:18" ht="15.75" customHeight="1">
      <c r="R928" s="30"/>
    </row>
    <row r="929" spans="18:18" ht="15.75" customHeight="1">
      <c r="R929" s="30"/>
    </row>
    <row r="930" spans="18:18" ht="15.75" customHeight="1">
      <c r="R930" s="30"/>
    </row>
    <row r="931" spans="18:18" ht="15.75" customHeight="1">
      <c r="R931" s="30"/>
    </row>
    <row r="932" spans="18:18" ht="15.75" customHeight="1">
      <c r="R932" s="30"/>
    </row>
    <row r="933" spans="18:18" ht="15.75" customHeight="1">
      <c r="R933" s="30"/>
    </row>
    <row r="934" spans="18:18" ht="15.75" customHeight="1">
      <c r="R934" s="30"/>
    </row>
    <row r="935" spans="18:18" ht="15.75" customHeight="1">
      <c r="R935" s="30"/>
    </row>
    <row r="936" spans="18:18" ht="15.75" customHeight="1">
      <c r="R936" s="30"/>
    </row>
    <row r="937" spans="18:18" ht="15.75" customHeight="1">
      <c r="R937" s="30"/>
    </row>
    <row r="938" spans="18:18" ht="15.75" customHeight="1">
      <c r="R938" s="30"/>
    </row>
    <row r="939" spans="18:18" ht="15.75" customHeight="1">
      <c r="R939" s="30"/>
    </row>
    <row r="940" spans="18:18" ht="15.75" customHeight="1">
      <c r="R940" s="30"/>
    </row>
    <row r="941" spans="18:18" ht="15.75" customHeight="1">
      <c r="R941" s="30"/>
    </row>
    <row r="942" spans="18:18" ht="15.75" customHeight="1">
      <c r="R942" s="30"/>
    </row>
    <row r="943" spans="18:18" ht="15.75" customHeight="1">
      <c r="R943" s="30"/>
    </row>
    <row r="944" spans="18:18" ht="15.75" customHeight="1">
      <c r="R944" s="30"/>
    </row>
    <row r="945" spans="18:18" ht="15.75" customHeight="1">
      <c r="R945" s="30"/>
    </row>
    <row r="946" spans="18:18" ht="15.75" customHeight="1">
      <c r="R946" s="30"/>
    </row>
    <row r="947" spans="18:18" ht="15.75" customHeight="1">
      <c r="R947" s="30"/>
    </row>
    <row r="948" spans="18:18" ht="15.75" customHeight="1">
      <c r="R948" s="30"/>
    </row>
    <row r="949" spans="18:18" ht="15.75" customHeight="1">
      <c r="R949" s="30"/>
    </row>
    <row r="950" spans="18:18" ht="15.75" customHeight="1">
      <c r="R950" s="30"/>
    </row>
    <row r="951" spans="18:18" ht="15.75" customHeight="1">
      <c r="R951" s="30"/>
    </row>
    <row r="952" spans="18:18" ht="15.75" customHeight="1">
      <c r="R952" s="30"/>
    </row>
    <row r="953" spans="18:18" ht="15.75" customHeight="1">
      <c r="R953" s="30"/>
    </row>
    <row r="954" spans="18:18" ht="15.75" customHeight="1">
      <c r="R954" s="30"/>
    </row>
    <row r="955" spans="18:18" ht="15.75" customHeight="1">
      <c r="R955" s="30"/>
    </row>
    <row r="956" spans="18:18" ht="15.75" customHeight="1">
      <c r="R956" s="30"/>
    </row>
    <row r="957" spans="18:18" ht="15.75" customHeight="1">
      <c r="R957" s="30"/>
    </row>
    <row r="958" spans="18:18" ht="15.75" customHeight="1">
      <c r="R958" s="30"/>
    </row>
    <row r="959" spans="18:18" ht="15.75" customHeight="1">
      <c r="R959" s="30"/>
    </row>
    <row r="960" spans="18:18" ht="15.75" customHeight="1">
      <c r="R960" s="30"/>
    </row>
    <row r="961" spans="18:18" ht="15.75" customHeight="1">
      <c r="R961" s="30"/>
    </row>
    <row r="962" spans="18:18" ht="15.75" customHeight="1">
      <c r="R962" s="30"/>
    </row>
    <row r="963" spans="18:18" ht="15.75" customHeight="1">
      <c r="R963" s="30"/>
    </row>
    <row r="964" spans="18:18" ht="15.75" customHeight="1">
      <c r="R964" s="30"/>
    </row>
    <row r="965" spans="18:18" ht="15.75" customHeight="1">
      <c r="R965" s="30"/>
    </row>
    <row r="966" spans="18:18" ht="15.75" customHeight="1">
      <c r="R966" s="30"/>
    </row>
    <row r="967" spans="18:18" ht="15.75" customHeight="1">
      <c r="R967" s="30"/>
    </row>
    <row r="968" spans="18:18" ht="15.75" customHeight="1">
      <c r="R968" s="30"/>
    </row>
    <row r="969" spans="18:18" ht="15.75" customHeight="1">
      <c r="R969" s="30"/>
    </row>
    <row r="970" spans="18:18" ht="15.75" customHeight="1">
      <c r="R970" s="30"/>
    </row>
    <row r="971" spans="18:18" ht="15.75" customHeight="1">
      <c r="R971" s="30"/>
    </row>
    <row r="972" spans="18:18" ht="15.75" customHeight="1">
      <c r="R972" s="30"/>
    </row>
    <row r="973" spans="18:18" ht="15.75" customHeight="1">
      <c r="R973" s="30"/>
    </row>
    <row r="974" spans="18:18" ht="15.75" customHeight="1">
      <c r="R974" s="30"/>
    </row>
    <row r="975" spans="18:18" ht="15.75" customHeight="1">
      <c r="R975" s="30"/>
    </row>
    <row r="976" spans="18:18" ht="15.75" customHeight="1">
      <c r="R976" s="30"/>
    </row>
    <row r="977" spans="18:18" ht="15.75" customHeight="1">
      <c r="R977" s="30"/>
    </row>
    <row r="978" spans="18:18" ht="15.75" customHeight="1">
      <c r="R978" s="30"/>
    </row>
    <row r="979" spans="18:18" ht="15.75" customHeight="1">
      <c r="R979" s="30"/>
    </row>
    <row r="980" spans="18:18" ht="15.75" customHeight="1">
      <c r="R980" s="30"/>
    </row>
    <row r="981" spans="18:18" ht="15.75" customHeight="1">
      <c r="R981" s="30"/>
    </row>
    <row r="982" spans="18:18" ht="15.75" customHeight="1">
      <c r="R982" s="30"/>
    </row>
    <row r="983" spans="18:18" ht="15.75" customHeight="1">
      <c r="R983" s="30"/>
    </row>
    <row r="984" spans="18:18" ht="15.75" customHeight="1">
      <c r="R984" s="30"/>
    </row>
    <row r="985" spans="18:18" ht="15.75" customHeight="1">
      <c r="R985" s="30"/>
    </row>
    <row r="986" spans="18:18" ht="15.75" customHeight="1">
      <c r="R986" s="30"/>
    </row>
    <row r="987" spans="18:18" ht="15.75" customHeight="1">
      <c r="R987" s="30"/>
    </row>
    <row r="988" spans="18:18" ht="15.75" customHeight="1">
      <c r="R988" s="30"/>
    </row>
    <row r="989" spans="18:18" ht="15.75" customHeight="1">
      <c r="R989" s="30"/>
    </row>
    <row r="990" spans="18:18" ht="15.75" customHeight="1">
      <c r="R990" s="30"/>
    </row>
    <row r="991" spans="18:18" ht="15.75" customHeight="1">
      <c r="R991" s="30"/>
    </row>
    <row r="992" spans="18:18" ht="15.75" customHeight="1">
      <c r="R992" s="30"/>
    </row>
    <row r="993" spans="18:18" ht="15.75" customHeight="1">
      <c r="R993" s="30"/>
    </row>
    <row r="994" spans="18:18" ht="15.75" customHeight="1">
      <c r="R994" s="30"/>
    </row>
    <row r="995" spans="18:18" ht="15.75" customHeight="1">
      <c r="R995" s="30"/>
    </row>
    <row r="996" spans="18:18" ht="15.75" customHeight="1">
      <c r="R996" s="30"/>
    </row>
    <row r="997" spans="18:18" ht="15.75" customHeight="1">
      <c r="R997" s="30"/>
    </row>
    <row r="998" spans="18:18" ht="15.75" customHeight="1">
      <c r="R998" s="30"/>
    </row>
    <row r="999" spans="18:18" ht="15.75" customHeight="1">
      <c r="R999" s="30"/>
    </row>
    <row r="1000" spans="18:18" ht="15.75" customHeight="1">
      <c r="R1000" s="3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2.6640625" defaultRowHeight="15" customHeight="1"/>
  <cols>
    <col min="1" max="1" width="13.33203125" customWidth="1"/>
    <col min="2" max="2" width="30" customWidth="1"/>
    <col min="3" max="3" width="8" customWidth="1"/>
    <col min="4" max="4" width="5.6640625" customWidth="1"/>
    <col min="5" max="5" width="8.6640625" customWidth="1"/>
    <col min="6" max="6" width="9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16.33203125" customWidth="1"/>
    <col min="16" max="16" width="10" customWidth="1"/>
    <col min="17" max="18" width="7.33203125" customWidth="1"/>
    <col min="19" max="19" width="7.1640625" customWidth="1"/>
    <col min="20" max="20" width="11.1640625" customWidth="1"/>
    <col min="21" max="21" width="20.6640625" customWidth="1"/>
    <col min="22" max="22" width="73.164062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6640625" customWidth="1"/>
    <col min="32" max="32" width="10.1640625" customWidth="1"/>
    <col min="33" max="33" width="8.83203125" customWidth="1"/>
  </cols>
  <sheetData>
    <row r="1" spans="1:33" ht="18.75" customHeight="1">
      <c r="A1" s="46" t="str">
        <f ca="1">IFERROR(__xludf.DUMMYFUNCTION("IFERROR(VLOOKUP(B2,IMPORTRANGE(""https://docs.google.com/spreadsheets/d/1x0DhHglkXKoEBOD2MBsuK_EyIr1ouxD2ftIpqOYFa-k/edit?usp=sharing"",""Ubiquitty-SKU-Specific Info!B1:BJ5000""),3,FALSE),"""")"),"Pack of 2 10 Ft Black Extension Cord - 12/3 SJTW Heavy Duty Outdoor Cable with 3 Prong Grounded Plug for Safety")</f>
        <v>Pack of 2 10 Ft Black Extension Cord - 12/3 SJTW Heavy Duty Outdoor Cable with 3 Prong Grounded Plug for Safety</v>
      </c>
      <c r="B1" s="47"/>
      <c r="C1" s="48" t="s">
        <v>0</v>
      </c>
      <c r="D1" s="50" t="s">
        <v>1</v>
      </c>
      <c r="E1" s="50" t="s">
        <v>2</v>
      </c>
      <c r="F1" s="52" t="s">
        <v>3</v>
      </c>
      <c r="G1" s="52" t="s">
        <v>4</v>
      </c>
      <c r="H1" s="53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58" t="s">
        <v>10</v>
      </c>
      <c r="N1" s="59" t="s">
        <v>11</v>
      </c>
      <c r="O1" s="50" t="s">
        <v>12</v>
      </c>
      <c r="P1" s="50" t="s">
        <v>13</v>
      </c>
      <c r="Q1" s="57" t="s">
        <v>14</v>
      </c>
      <c r="R1" s="57" t="s">
        <v>15</v>
      </c>
      <c r="S1" s="60" t="s">
        <v>16</v>
      </c>
      <c r="T1" s="62" t="s">
        <v>2006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Info!B1:BJ5000""),2,FALSE),"""")"),"B08FXNDLNC")</f>
        <v>B08FXNDLNC</v>
      </c>
      <c r="B2" s="3" t="s">
        <v>678</v>
      </c>
      <c r="C2" s="49"/>
      <c r="D2" s="49"/>
      <c r="E2" s="51"/>
      <c r="F2" s="49"/>
      <c r="G2" s="49"/>
      <c r="H2" s="54"/>
      <c r="I2" s="49"/>
      <c r="J2" s="49"/>
      <c r="K2" s="54"/>
      <c r="L2" s="54"/>
      <c r="M2" s="54"/>
      <c r="N2" s="49"/>
      <c r="O2" s="49"/>
      <c r="P2" s="51"/>
      <c r="Q2" s="49"/>
      <c r="R2" s="49"/>
      <c r="S2" s="61"/>
      <c r="T2" s="47"/>
      <c r="U2" s="63"/>
      <c r="V2" s="63"/>
      <c r="W2" s="47"/>
      <c r="X2" s="47"/>
      <c r="Y2" s="47"/>
      <c r="Z2" s="47"/>
      <c r="AA2" s="63"/>
      <c r="AB2" s="63"/>
      <c r="AC2" s="63"/>
      <c r="AD2" s="63"/>
      <c r="AE2" s="47"/>
      <c r="AF2" s="47"/>
      <c r="AG2" s="47"/>
    </row>
    <row r="3" spans="1:33" ht="148.5" customHeight="1">
      <c r="A3" s="55" t="s">
        <v>31</v>
      </c>
      <c r="B3" s="56"/>
      <c r="C3" s="4">
        <f>((AE32+AF32)/0.85)*-1</f>
        <v>16.581697941176472</v>
      </c>
      <c r="D3" s="5">
        <f>SUM(D4:D99765)</f>
        <v>195</v>
      </c>
      <c r="E3" s="5"/>
      <c r="F3" s="6">
        <f t="shared" ref="F3:G3" si="0">SUM(F4:F99765)</f>
        <v>7284.369999999999</v>
      </c>
      <c r="G3" s="6">
        <f t="shared" si="0"/>
        <v>-133.16</v>
      </c>
      <c r="H3" s="7">
        <f>G3/F3*-1</f>
        <v>1.8280235627789364E-2</v>
      </c>
      <c r="I3" s="8">
        <f>J3/F3</f>
        <v>0.44308259356251056</v>
      </c>
      <c r="J3" s="6">
        <f>SUM(J4:J99765)</f>
        <v>3227.5775520689444</v>
      </c>
      <c r="K3" s="6">
        <f>J3/D3</f>
        <v>16.551679754199714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Sheet!a1:g5000""),2,FALSE),"""")"),"3.5 - March
3.5 - April
3.5 - May
3.5 - June
3.5 - July
3.5 - Aug
3.5 - Sept
3.5 - Oct
3.5 - Nov
3.5 - Dec
3.5 - Jan
3.5 - Feb")</f>
        <v>3.5 - March
3.5 - April
3.5 - May
3.5 - June
3.5 - July
3.5 - Aug
3.5 - Sept
3.5 - Oct
3.5 - Nov
3.5 - Dec
3.5 - Jan
3.5 -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9</v>
      </c>
      <c r="X3" s="7">
        <f>W3/D3</f>
        <v>4.6153846153846156E-2</v>
      </c>
      <c r="Y3" s="6"/>
      <c r="Z3" s="5"/>
      <c r="AA3" s="5"/>
      <c r="AB3" s="5"/>
      <c r="AC3" s="5"/>
      <c r="AD3" s="6">
        <f>SUM(AD4:AD99765)</f>
        <v>-30.452409469518027</v>
      </c>
      <c r="AE3" s="6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Info!B2:BZ3000""),37,FALSE)),"""")*-1"),-8.41444325)</f>
        <v>-8.4144432499999997</v>
      </c>
      <c r="AG3" s="6">
        <f>SUM(AG4:AG99765)</f>
        <v>0</v>
      </c>
    </row>
    <row r="4" spans="1:33" ht="15.75" hidden="1" customHeight="1">
      <c r="A4" s="14"/>
      <c r="B4" s="14"/>
      <c r="C4" s="15"/>
      <c r="D4" s="16"/>
      <c r="E4" s="16"/>
      <c r="F4" s="17"/>
      <c r="G4" s="17"/>
      <c r="H4" s="18"/>
      <c r="I4" s="18"/>
      <c r="J4" s="17"/>
      <c r="K4" s="17"/>
      <c r="L4" s="16"/>
      <c r="M4" s="19"/>
      <c r="N4" s="16"/>
      <c r="O4" s="20"/>
      <c r="P4" s="20"/>
      <c r="Q4" s="16"/>
      <c r="R4" s="16"/>
      <c r="S4" s="21"/>
      <c r="T4" s="14"/>
      <c r="U4" s="22"/>
      <c r="V4" s="23"/>
      <c r="W4" s="14"/>
      <c r="X4" s="24"/>
      <c r="Y4" s="25"/>
      <c r="Z4" s="14"/>
      <c r="AA4" s="26"/>
      <c r="AB4" s="27"/>
      <c r="AC4" s="28"/>
      <c r="AD4" s="25"/>
      <c r="AE4" s="25"/>
      <c r="AF4" s="25"/>
      <c r="AG4" s="25"/>
    </row>
    <row r="5" spans="1:33" ht="15.75" customHeight="1">
      <c r="A5" s="14" t="s">
        <v>183</v>
      </c>
      <c r="B5" s="14" t="s">
        <v>679</v>
      </c>
      <c r="C5" s="15">
        <f t="shared" ref="C5:C32" si="1">IFERROR(F5/D5," - ")</f>
        <v>29.99</v>
      </c>
      <c r="D5" s="16">
        <v>6</v>
      </c>
      <c r="E5" s="16">
        <v>0</v>
      </c>
      <c r="F5" s="29">
        <v>179.94</v>
      </c>
      <c r="G5" s="29">
        <v>-46.5</v>
      </c>
      <c r="H5" s="18">
        <f t="shared" ref="H5:H32" si="2">G5/F5*-1</f>
        <v>0.25841947315771924</v>
      </c>
      <c r="I5" s="18">
        <f t="shared" ref="I5:I32" si="3">J5/F5</f>
        <v>0.11190155535753499</v>
      </c>
      <c r="J5" s="17">
        <f t="shared" ref="J5:J32" si="4">F5*0.85+G5+AF5*D5+D5*AE5+AG5+AD5</f>
        <v>20.135565871034846</v>
      </c>
      <c r="K5" s="17">
        <f t="shared" ref="K5:K32" si="5">J5/D5</f>
        <v>3.3559276451724744</v>
      </c>
      <c r="L5" s="16">
        <v>36</v>
      </c>
      <c r="M5" s="19">
        <f t="shared" ref="M5:M32" si="6">IFERROR(D5/L5,"-")</f>
        <v>0.16666666666666666</v>
      </c>
      <c r="N5" s="16">
        <v>99</v>
      </c>
      <c r="O5" s="20">
        <f t="shared" ref="O5:P5" si="7">D5/7</f>
        <v>0.8571428571428571</v>
      </c>
      <c r="P5" s="20">
        <f t="shared" si="7"/>
        <v>0</v>
      </c>
      <c r="Q5" s="16">
        <f t="shared" ref="Q5:Q32" si="8">ROUNDDOWN(N5/(O5+P5),0)</f>
        <v>115</v>
      </c>
      <c r="R5" s="16"/>
      <c r="S5" s="21">
        <v>8.5714285714285701E-2</v>
      </c>
      <c r="T5" s="14">
        <v>204</v>
      </c>
      <c r="U5" s="22">
        <v>84</v>
      </c>
      <c r="V5" s="23" t="s">
        <v>680</v>
      </c>
      <c r="W5" s="14">
        <v>2</v>
      </c>
      <c r="X5" s="24">
        <f t="shared" ref="X5:X32" si="9">IFERROR(W5/D5,0)</f>
        <v>0.33333333333333331</v>
      </c>
      <c r="Y5" s="25">
        <f t="shared" ref="Y5:Y32" si="10">IFERROR(G5/(W5+Z5)*-1,0)</f>
        <v>5.8125</v>
      </c>
      <c r="Z5" s="14">
        <v>6</v>
      </c>
      <c r="AA5" s="14" t="s">
        <v>35</v>
      </c>
      <c r="AB5" s="27">
        <f t="shared" ref="AB5:AB32" si="11">IF(OR(AA5="UsLargeStandardSize",AA5="UsSmallStandardSize"),-0.69,-0.48)</f>
        <v>-0.69</v>
      </c>
      <c r="AC5" s="28">
        <v>0.11329100405561993</v>
      </c>
      <c r="AD5" s="25">
        <f t="shared" ref="AD5:AD32" si="12">IFERROR(AB5*AC5*D5*2,0)</f>
        <v>-0.9380495135805329</v>
      </c>
      <c r="AE5" s="25">
        <v>-5.8</v>
      </c>
      <c r="AF5" s="25">
        <v>-8.4292307692307684</v>
      </c>
      <c r="AG5" s="25">
        <v>0</v>
      </c>
    </row>
    <row r="6" spans="1:33" ht="15.75" customHeight="1">
      <c r="A6" s="14" t="s">
        <v>185</v>
      </c>
      <c r="B6" s="14" t="s">
        <v>681</v>
      </c>
      <c r="C6" s="15">
        <f t="shared" si="1"/>
        <v>27.242777777777771</v>
      </c>
      <c r="D6" s="16">
        <v>18</v>
      </c>
      <c r="E6" s="16">
        <v>0</v>
      </c>
      <c r="F6" s="29">
        <v>490.36999999999989</v>
      </c>
      <c r="G6" s="29">
        <v>-78.599999999999994</v>
      </c>
      <c r="H6" s="18">
        <f t="shared" si="2"/>
        <v>0.16028713012623125</v>
      </c>
      <c r="I6" s="18">
        <f t="shared" si="3"/>
        <v>0.16166864761194838</v>
      </c>
      <c r="J6" s="17">
        <f t="shared" si="4"/>
        <v>79.277454729471103</v>
      </c>
      <c r="K6" s="17">
        <f t="shared" si="5"/>
        <v>4.4043030405261723</v>
      </c>
      <c r="L6" s="16">
        <v>55</v>
      </c>
      <c r="M6" s="19">
        <f t="shared" si="6"/>
        <v>0.32727272727272727</v>
      </c>
      <c r="N6" s="16">
        <v>89</v>
      </c>
      <c r="O6" s="20">
        <f t="shared" ref="O6:P6" si="13">D6/7</f>
        <v>2.5714285714285716</v>
      </c>
      <c r="P6" s="20">
        <f t="shared" si="13"/>
        <v>0</v>
      </c>
      <c r="Q6" s="16">
        <f t="shared" si="8"/>
        <v>34</v>
      </c>
      <c r="R6" s="16"/>
      <c r="S6" s="21">
        <v>0.57142857142857095</v>
      </c>
      <c r="T6" s="14">
        <v>120</v>
      </c>
      <c r="U6" s="22" t="s">
        <v>34</v>
      </c>
      <c r="V6" s="23" t="s">
        <v>186</v>
      </c>
      <c r="W6" s="14">
        <v>5</v>
      </c>
      <c r="X6" s="24">
        <f t="shared" si="9"/>
        <v>0.27777777777777779</v>
      </c>
      <c r="Y6" s="25">
        <f t="shared" si="10"/>
        <v>6.55</v>
      </c>
      <c r="Z6" s="14">
        <v>7</v>
      </c>
      <c r="AA6" s="14" t="s">
        <v>35</v>
      </c>
      <c r="AB6" s="27">
        <f t="shared" si="11"/>
        <v>-0.69</v>
      </c>
      <c r="AC6" s="28">
        <v>0.11315988020833333</v>
      </c>
      <c r="AD6" s="25">
        <f t="shared" si="12"/>
        <v>-2.8108914243749994</v>
      </c>
      <c r="AE6" s="25">
        <v>-5.8</v>
      </c>
      <c r="AF6" s="25">
        <v>-8.4292307692307684</v>
      </c>
      <c r="AG6" s="25">
        <v>0</v>
      </c>
    </row>
    <row r="7" spans="1:33" ht="15.75" customHeight="1">
      <c r="A7" s="14" t="s">
        <v>187</v>
      </c>
      <c r="B7" s="14" t="s">
        <v>682</v>
      </c>
      <c r="C7" s="15">
        <f t="shared" si="1"/>
        <v>29.11965517241379</v>
      </c>
      <c r="D7" s="16">
        <v>29</v>
      </c>
      <c r="E7" s="16">
        <v>0</v>
      </c>
      <c r="F7" s="29">
        <v>844.46999999999991</v>
      </c>
      <c r="G7" s="29">
        <v>-7.99</v>
      </c>
      <c r="H7" s="18">
        <f t="shared" si="2"/>
        <v>9.4615557687070008E-3</v>
      </c>
      <c r="I7" s="18">
        <f t="shared" si="3"/>
        <v>0.34652876867901777</v>
      </c>
      <c r="J7" s="17">
        <f t="shared" si="4"/>
        <v>292.6331492863701</v>
      </c>
      <c r="K7" s="17">
        <f t="shared" si="5"/>
        <v>10.090798251254141</v>
      </c>
      <c r="L7" s="16">
        <v>55</v>
      </c>
      <c r="M7" s="19">
        <f t="shared" si="6"/>
        <v>0.52727272727272723</v>
      </c>
      <c r="N7" s="16">
        <v>63</v>
      </c>
      <c r="O7" s="20">
        <f t="shared" ref="O7:P7" si="14">D7/7</f>
        <v>4.1428571428571432</v>
      </c>
      <c r="P7" s="20">
        <f t="shared" si="14"/>
        <v>0</v>
      </c>
      <c r="Q7" s="16">
        <f t="shared" si="8"/>
        <v>15</v>
      </c>
      <c r="R7" s="16"/>
      <c r="S7" s="21">
        <v>0.95833333333333304</v>
      </c>
      <c r="T7" s="14">
        <v>120</v>
      </c>
      <c r="U7" s="22" t="s">
        <v>34</v>
      </c>
      <c r="V7" s="23" t="s">
        <v>186</v>
      </c>
      <c r="W7" s="14">
        <v>2</v>
      </c>
      <c r="X7" s="24">
        <f t="shared" si="9"/>
        <v>6.8965517241379309E-2</v>
      </c>
      <c r="Y7" s="25">
        <f t="shared" si="10"/>
        <v>2.6633333333333336</v>
      </c>
      <c r="Z7" s="14">
        <v>1</v>
      </c>
      <c r="AA7" s="14" t="s">
        <v>35</v>
      </c>
      <c r="AB7" s="27">
        <f t="shared" si="11"/>
        <v>-0.69</v>
      </c>
      <c r="AC7" s="28">
        <v>0.11315988020833333</v>
      </c>
      <c r="AD7" s="25">
        <f t="shared" si="12"/>
        <v>-4.5286584059374988</v>
      </c>
      <c r="AE7" s="25">
        <v>-5.8</v>
      </c>
      <c r="AF7" s="25">
        <v>-8.4292307692307684</v>
      </c>
      <c r="AG7" s="25">
        <v>0</v>
      </c>
    </row>
    <row r="8" spans="1:33" ht="15.75" customHeight="1">
      <c r="A8" s="14" t="s">
        <v>189</v>
      </c>
      <c r="B8" s="14" t="s">
        <v>683</v>
      </c>
      <c r="C8" s="15">
        <f t="shared" si="1"/>
        <v>32.215652173913057</v>
      </c>
      <c r="D8" s="16">
        <v>23</v>
      </c>
      <c r="E8" s="16">
        <v>0</v>
      </c>
      <c r="F8" s="29">
        <v>740.96000000000026</v>
      </c>
      <c r="G8" s="29">
        <v>0</v>
      </c>
      <c r="H8" s="18">
        <f t="shared" si="2"/>
        <v>0</v>
      </c>
      <c r="I8" s="18">
        <f t="shared" si="3"/>
        <v>0.40344189349247961</v>
      </c>
      <c r="J8" s="17">
        <f t="shared" si="4"/>
        <v>298.93430540218782</v>
      </c>
      <c r="K8" s="17">
        <f t="shared" si="5"/>
        <v>12.9971437131386</v>
      </c>
      <c r="L8" s="16">
        <v>22</v>
      </c>
      <c r="M8" s="19">
        <f t="shared" si="6"/>
        <v>1.0454545454545454</v>
      </c>
      <c r="N8" s="16">
        <v>44</v>
      </c>
      <c r="O8" s="20">
        <f t="shared" ref="O8:P8" si="15">D8/7</f>
        <v>3.2857142857142856</v>
      </c>
      <c r="P8" s="20">
        <f t="shared" si="15"/>
        <v>0</v>
      </c>
      <c r="Q8" s="16">
        <f t="shared" si="8"/>
        <v>13</v>
      </c>
      <c r="R8" s="16"/>
      <c r="S8" s="21">
        <v>1.5204678362573001</v>
      </c>
      <c r="T8" s="14">
        <v>240</v>
      </c>
      <c r="U8" s="22" t="s">
        <v>34</v>
      </c>
      <c r="V8" s="23" t="s">
        <v>34</v>
      </c>
      <c r="W8" s="14">
        <v>0</v>
      </c>
      <c r="X8" s="24">
        <f t="shared" si="9"/>
        <v>0</v>
      </c>
      <c r="Y8" s="25">
        <f t="shared" si="10"/>
        <v>0</v>
      </c>
      <c r="Z8" s="14">
        <v>0</v>
      </c>
      <c r="AA8" s="14" t="s">
        <v>35</v>
      </c>
      <c r="AB8" s="27">
        <f t="shared" si="11"/>
        <v>-0.69</v>
      </c>
      <c r="AC8" s="28">
        <v>0.11315988020833333</v>
      </c>
      <c r="AD8" s="25">
        <f t="shared" si="12"/>
        <v>-3.5916945978124994</v>
      </c>
      <c r="AE8" s="25">
        <v>-5.8</v>
      </c>
      <c r="AF8" s="25">
        <v>-8.43</v>
      </c>
      <c r="AG8" s="25">
        <v>0</v>
      </c>
    </row>
    <row r="9" spans="1:33" ht="15.75" customHeight="1">
      <c r="A9" s="14" t="s">
        <v>191</v>
      </c>
      <c r="B9" s="14" t="s">
        <v>684</v>
      </c>
      <c r="C9" s="15">
        <f t="shared" si="1"/>
        <v>36.49388888888889</v>
      </c>
      <c r="D9" s="16">
        <v>18</v>
      </c>
      <c r="E9" s="16">
        <v>1</v>
      </c>
      <c r="F9" s="29">
        <v>656.89</v>
      </c>
      <c r="G9" s="29">
        <v>0</v>
      </c>
      <c r="H9" s="18">
        <f t="shared" si="2"/>
        <v>0</v>
      </c>
      <c r="I9" s="18">
        <f t="shared" si="3"/>
        <v>0.45220929291324102</v>
      </c>
      <c r="J9" s="17">
        <f t="shared" si="4"/>
        <v>297.0517624217789</v>
      </c>
      <c r="K9" s="17">
        <f t="shared" si="5"/>
        <v>16.502875690098829</v>
      </c>
      <c r="L9" s="16">
        <v>44</v>
      </c>
      <c r="M9" s="19">
        <f t="shared" si="6"/>
        <v>0.40909090909090912</v>
      </c>
      <c r="N9" s="16">
        <v>22</v>
      </c>
      <c r="O9" s="20">
        <f t="shared" ref="O9:P9" si="16">D9/7</f>
        <v>2.5714285714285716</v>
      </c>
      <c r="P9" s="20">
        <f t="shared" si="16"/>
        <v>0.14285714285714285</v>
      </c>
      <c r="Q9" s="16">
        <f t="shared" si="8"/>
        <v>8</v>
      </c>
      <c r="R9" s="16"/>
      <c r="S9" s="21">
        <v>2.9593495934959302</v>
      </c>
      <c r="T9" s="14">
        <v>240</v>
      </c>
      <c r="U9" s="22" t="s">
        <v>34</v>
      </c>
      <c r="V9" s="23" t="s">
        <v>34</v>
      </c>
      <c r="W9" s="14">
        <v>0</v>
      </c>
      <c r="X9" s="24">
        <f t="shared" si="9"/>
        <v>0</v>
      </c>
      <c r="Y9" s="25">
        <f t="shared" si="10"/>
        <v>0</v>
      </c>
      <c r="Z9" s="14">
        <v>0</v>
      </c>
      <c r="AA9" s="14" t="s">
        <v>35</v>
      </c>
      <c r="AB9" s="27">
        <f t="shared" si="11"/>
        <v>-0.69</v>
      </c>
      <c r="AC9" s="28">
        <v>0.11315988020833333</v>
      </c>
      <c r="AD9" s="25">
        <f t="shared" si="12"/>
        <v>-2.8108914243749994</v>
      </c>
      <c r="AE9" s="25">
        <v>-5.8</v>
      </c>
      <c r="AF9" s="25">
        <v>-8.56076923076923</v>
      </c>
      <c r="AG9" s="25">
        <v>0</v>
      </c>
    </row>
    <row r="10" spans="1:33" ht="15.75" customHeight="1">
      <c r="A10" s="14" t="s">
        <v>192</v>
      </c>
      <c r="B10" s="14" t="s">
        <v>68</v>
      </c>
      <c r="C10" s="15">
        <f t="shared" si="1"/>
        <v>39.468666666666671</v>
      </c>
      <c r="D10" s="16">
        <v>15</v>
      </c>
      <c r="E10" s="16">
        <v>0</v>
      </c>
      <c r="F10" s="29">
        <v>592.03000000000009</v>
      </c>
      <c r="G10" s="29">
        <v>0</v>
      </c>
      <c r="H10" s="18">
        <f t="shared" si="2"/>
        <v>0</v>
      </c>
      <c r="I10" s="18">
        <f t="shared" si="3"/>
        <v>0.48219102413416393</v>
      </c>
      <c r="J10" s="17">
        <f t="shared" si="4"/>
        <v>285.47155201814911</v>
      </c>
      <c r="K10" s="17">
        <f t="shared" si="5"/>
        <v>19.031436801209942</v>
      </c>
      <c r="L10" s="16">
        <v>37</v>
      </c>
      <c r="M10" s="19">
        <f t="shared" si="6"/>
        <v>0.40540540540540543</v>
      </c>
      <c r="N10" s="16">
        <v>92</v>
      </c>
      <c r="O10" s="20">
        <f t="shared" ref="O10:P10" si="17">D10/7</f>
        <v>2.1428571428571428</v>
      </c>
      <c r="P10" s="20">
        <f t="shared" si="17"/>
        <v>0</v>
      </c>
      <c r="Q10" s="16">
        <f t="shared" si="8"/>
        <v>42</v>
      </c>
      <c r="R10" s="16"/>
      <c r="S10" s="21">
        <v>2.1333333333333302</v>
      </c>
      <c r="T10" s="14">
        <v>120</v>
      </c>
      <c r="U10" s="22" t="s">
        <v>34</v>
      </c>
      <c r="V10" s="23" t="s">
        <v>34</v>
      </c>
      <c r="W10" s="14">
        <v>0</v>
      </c>
      <c r="X10" s="24">
        <f t="shared" si="9"/>
        <v>0</v>
      </c>
      <c r="Y10" s="25">
        <f t="shared" si="10"/>
        <v>0</v>
      </c>
      <c r="Z10" s="14">
        <v>0</v>
      </c>
      <c r="AA10" s="14" t="s">
        <v>35</v>
      </c>
      <c r="AB10" s="27">
        <f t="shared" si="11"/>
        <v>-0.69</v>
      </c>
      <c r="AC10" s="28">
        <v>0.11315988020833333</v>
      </c>
      <c r="AD10" s="25">
        <f t="shared" si="12"/>
        <v>-2.3424095203124997</v>
      </c>
      <c r="AE10" s="25">
        <v>-5.8</v>
      </c>
      <c r="AF10" s="25">
        <v>-8.56076923076923</v>
      </c>
      <c r="AG10" s="25">
        <v>0</v>
      </c>
    </row>
    <row r="11" spans="1:33" ht="15.75" customHeight="1">
      <c r="A11" s="14" t="s">
        <v>193</v>
      </c>
      <c r="B11" s="14" t="s">
        <v>685</v>
      </c>
      <c r="C11" s="15">
        <f t="shared" si="1"/>
        <v>39.230357142857144</v>
      </c>
      <c r="D11" s="16">
        <v>28</v>
      </c>
      <c r="E11" s="16">
        <v>0</v>
      </c>
      <c r="F11" s="29">
        <v>1098.45</v>
      </c>
      <c r="G11" s="29">
        <v>0</v>
      </c>
      <c r="H11" s="18">
        <f t="shared" si="2"/>
        <v>0</v>
      </c>
      <c r="I11" s="18">
        <f t="shared" si="3"/>
        <v>0.47995672426347269</v>
      </c>
      <c r="J11" s="17">
        <f t="shared" si="4"/>
        <v>527.20846376721158</v>
      </c>
      <c r="K11" s="17">
        <f t="shared" si="5"/>
        <v>18.828873705971841</v>
      </c>
      <c r="L11" s="16">
        <v>31</v>
      </c>
      <c r="M11" s="19">
        <f t="shared" si="6"/>
        <v>0.90322580645161288</v>
      </c>
      <c r="N11" s="16">
        <v>61</v>
      </c>
      <c r="O11" s="20">
        <f t="shared" ref="O11:P11" si="18">D11/7</f>
        <v>4</v>
      </c>
      <c r="P11" s="20">
        <f t="shared" si="18"/>
        <v>0</v>
      </c>
      <c r="Q11" s="16">
        <f t="shared" si="8"/>
        <v>15</v>
      </c>
      <c r="R11" s="16"/>
      <c r="S11" s="21">
        <v>1.6714285714285699</v>
      </c>
      <c r="T11" s="14">
        <v>120</v>
      </c>
      <c r="U11" s="22" t="s">
        <v>34</v>
      </c>
      <c r="V11" s="23" t="s">
        <v>34</v>
      </c>
      <c r="W11" s="14">
        <v>0</v>
      </c>
      <c r="X11" s="24">
        <f t="shared" si="9"/>
        <v>0</v>
      </c>
      <c r="Y11" s="25">
        <f t="shared" si="10"/>
        <v>0</v>
      </c>
      <c r="Z11" s="14">
        <v>0</v>
      </c>
      <c r="AA11" s="14" t="s">
        <v>35</v>
      </c>
      <c r="AB11" s="27">
        <f t="shared" si="11"/>
        <v>-0.69</v>
      </c>
      <c r="AC11" s="28">
        <v>0.11315988020833333</v>
      </c>
      <c r="AD11" s="25">
        <f t="shared" si="12"/>
        <v>-4.3724977712499991</v>
      </c>
      <c r="AE11" s="25">
        <v>-5.8</v>
      </c>
      <c r="AF11" s="25">
        <v>-8.56076923076923</v>
      </c>
      <c r="AG11" s="25">
        <v>0</v>
      </c>
    </row>
    <row r="12" spans="1:33" ht="15.75" customHeight="1">
      <c r="A12" s="14" t="s">
        <v>195</v>
      </c>
      <c r="B12" s="14" t="s">
        <v>686</v>
      </c>
      <c r="C12" s="15">
        <f t="shared" si="1"/>
        <v>42.898571428571429</v>
      </c>
      <c r="D12" s="16">
        <v>7</v>
      </c>
      <c r="E12" s="16">
        <v>0</v>
      </c>
      <c r="F12" s="29">
        <v>300.29000000000002</v>
      </c>
      <c r="G12" s="29">
        <v>0</v>
      </c>
      <c r="H12" s="18">
        <f t="shared" si="2"/>
        <v>0</v>
      </c>
      <c r="I12" s="18">
        <f t="shared" si="3"/>
        <v>0.51159875767359175</v>
      </c>
      <c r="J12" s="17">
        <f t="shared" si="4"/>
        <v>153.62799094180289</v>
      </c>
      <c r="K12" s="17">
        <f t="shared" si="5"/>
        <v>21.946855848828985</v>
      </c>
      <c r="L12" s="16">
        <v>17</v>
      </c>
      <c r="M12" s="19">
        <f t="shared" si="6"/>
        <v>0.41176470588235292</v>
      </c>
      <c r="N12" s="16">
        <v>48</v>
      </c>
      <c r="O12" s="20">
        <f t="shared" ref="O12:P12" si="19">D12/7</f>
        <v>1</v>
      </c>
      <c r="P12" s="20">
        <f t="shared" si="19"/>
        <v>0</v>
      </c>
      <c r="Q12" s="16">
        <f t="shared" si="8"/>
        <v>48</v>
      </c>
      <c r="R12" s="16"/>
      <c r="S12" s="21">
        <v>2.51327433628318</v>
      </c>
      <c r="T12" s="14">
        <v>120</v>
      </c>
      <c r="U12" s="22" t="s">
        <v>34</v>
      </c>
      <c r="V12" s="23" t="s">
        <v>34</v>
      </c>
      <c r="W12" s="14">
        <v>0</v>
      </c>
      <c r="X12" s="24">
        <f t="shared" si="9"/>
        <v>0</v>
      </c>
      <c r="Y12" s="25">
        <f t="shared" si="10"/>
        <v>0</v>
      </c>
      <c r="Z12" s="14">
        <v>0</v>
      </c>
      <c r="AA12" s="14" t="s">
        <v>35</v>
      </c>
      <c r="AB12" s="27">
        <f t="shared" si="11"/>
        <v>-0.69</v>
      </c>
      <c r="AC12" s="28">
        <v>0.11315988020833333</v>
      </c>
      <c r="AD12" s="25">
        <f t="shared" si="12"/>
        <v>-1.0931244428124998</v>
      </c>
      <c r="AE12" s="25">
        <v>-5.8</v>
      </c>
      <c r="AF12" s="25">
        <v>-8.56076923076923</v>
      </c>
      <c r="AG12" s="25">
        <v>0</v>
      </c>
    </row>
    <row r="13" spans="1:33" ht="15.75" customHeight="1">
      <c r="A13" s="14" t="s">
        <v>197</v>
      </c>
      <c r="B13" s="14" t="s">
        <v>687</v>
      </c>
      <c r="C13" s="15">
        <f t="shared" si="1"/>
        <v>49.675714285714278</v>
      </c>
      <c r="D13" s="16">
        <v>7</v>
      </c>
      <c r="E13" s="16">
        <v>0</v>
      </c>
      <c r="F13" s="17">
        <v>347.72999999999996</v>
      </c>
      <c r="G13" s="29">
        <v>0</v>
      </c>
      <c r="H13" s="18">
        <f t="shared" si="2"/>
        <v>0</v>
      </c>
      <c r="I13" s="18">
        <f t="shared" si="3"/>
        <v>0.55637240260313336</v>
      </c>
      <c r="J13" s="17">
        <f t="shared" si="4"/>
        <v>193.46737555718755</v>
      </c>
      <c r="K13" s="17">
        <f t="shared" si="5"/>
        <v>27.638196508169649</v>
      </c>
      <c r="L13" s="16">
        <v>10</v>
      </c>
      <c r="M13" s="19">
        <f t="shared" si="6"/>
        <v>0.7</v>
      </c>
      <c r="N13" s="16">
        <v>47</v>
      </c>
      <c r="O13" s="20">
        <f t="shared" ref="O13:P13" si="20">D13/7</f>
        <v>1</v>
      </c>
      <c r="P13" s="20">
        <f t="shared" si="20"/>
        <v>0</v>
      </c>
      <c r="Q13" s="16">
        <f t="shared" si="8"/>
        <v>47</v>
      </c>
      <c r="R13" s="16"/>
      <c r="S13" s="21">
        <v>2.6118721461187202</v>
      </c>
      <c r="T13" s="14">
        <v>120</v>
      </c>
      <c r="U13" s="22" t="s">
        <v>34</v>
      </c>
      <c r="V13" s="23" t="s">
        <v>34</v>
      </c>
      <c r="W13" s="14">
        <v>0</v>
      </c>
      <c r="X13" s="24">
        <f t="shared" si="9"/>
        <v>0</v>
      </c>
      <c r="Y13" s="25">
        <f t="shared" si="10"/>
        <v>0</v>
      </c>
      <c r="Z13" s="14">
        <v>0</v>
      </c>
      <c r="AA13" s="14" t="s">
        <v>35</v>
      </c>
      <c r="AB13" s="27">
        <f t="shared" si="11"/>
        <v>-0.69</v>
      </c>
      <c r="AC13" s="28">
        <v>0.11315988020833333</v>
      </c>
      <c r="AD13" s="25">
        <f t="shared" si="12"/>
        <v>-1.0931244428124998</v>
      </c>
      <c r="AE13" s="25">
        <v>-5.8</v>
      </c>
      <c r="AF13" s="25">
        <v>-8.6299999999999901</v>
      </c>
      <c r="AG13" s="25">
        <v>0</v>
      </c>
    </row>
    <row r="14" spans="1:33" ht="15.75" customHeight="1">
      <c r="A14" s="14" t="s">
        <v>32</v>
      </c>
      <c r="B14" s="14" t="s">
        <v>688</v>
      </c>
      <c r="C14" s="15">
        <f t="shared" si="1"/>
        <v>55.919999999999995</v>
      </c>
      <c r="D14" s="16">
        <v>3</v>
      </c>
      <c r="E14" s="16">
        <v>0</v>
      </c>
      <c r="F14" s="17">
        <v>167.76</v>
      </c>
      <c r="G14" s="29">
        <v>0</v>
      </c>
      <c r="H14" s="18">
        <f t="shared" si="2"/>
        <v>0</v>
      </c>
      <c r="I14" s="18">
        <f t="shared" si="3"/>
        <v>0.58916021754850689</v>
      </c>
      <c r="J14" s="17">
        <f t="shared" si="4"/>
        <v>98.837518095937511</v>
      </c>
      <c r="K14" s="17">
        <f t="shared" si="5"/>
        <v>32.945839365312501</v>
      </c>
      <c r="L14" s="16">
        <v>14</v>
      </c>
      <c r="M14" s="19">
        <f t="shared" si="6"/>
        <v>0.21428571428571427</v>
      </c>
      <c r="N14" s="16">
        <v>43</v>
      </c>
      <c r="O14" s="20">
        <f t="shared" ref="O14:P14" si="21">D14/7</f>
        <v>0.42857142857142855</v>
      </c>
      <c r="P14" s="20">
        <f t="shared" si="21"/>
        <v>0</v>
      </c>
      <c r="Q14" s="16">
        <f t="shared" si="8"/>
        <v>100</v>
      </c>
      <c r="R14" s="16"/>
      <c r="S14" s="21">
        <v>2.48780487804878</v>
      </c>
      <c r="T14" s="14">
        <v>0</v>
      </c>
      <c r="U14" s="22" t="s">
        <v>34</v>
      </c>
      <c r="V14" s="23" t="s">
        <v>34</v>
      </c>
      <c r="W14" s="14">
        <v>0</v>
      </c>
      <c r="X14" s="24">
        <f t="shared" si="9"/>
        <v>0</v>
      </c>
      <c r="Y14" s="25">
        <f t="shared" si="10"/>
        <v>0</v>
      </c>
      <c r="Z14" s="14">
        <v>0</v>
      </c>
      <c r="AA14" s="14" t="s">
        <v>35</v>
      </c>
      <c r="AB14" s="27">
        <f t="shared" si="11"/>
        <v>-0.69</v>
      </c>
      <c r="AC14" s="28">
        <v>0.11315988020833333</v>
      </c>
      <c r="AD14" s="25">
        <f t="shared" si="12"/>
        <v>-0.4684819040624999</v>
      </c>
      <c r="AE14" s="25">
        <v>-5.8</v>
      </c>
      <c r="AF14" s="25">
        <v>-8.6299999999999901</v>
      </c>
      <c r="AG14" s="25">
        <v>0</v>
      </c>
    </row>
    <row r="15" spans="1:33" ht="15.75" customHeight="1">
      <c r="A15" s="14" t="s">
        <v>36</v>
      </c>
      <c r="B15" s="14" t="s">
        <v>292</v>
      </c>
      <c r="C15" s="15">
        <f t="shared" si="1"/>
        <v>48.95</v>
      </c>
      <c r="D15" s="16">
        <v>2</v>
      </c>
      <c r="E15" s="16">
        <v>0</v>
      </c>
      <c r="F15" s="17">
        <v>97.9</v>
      </c>
      <c r="G15" s="29">
        <v>0</v>
      </c>
      <c r="H15" s="18">
        <f t="shared" si="2"/>
        <v>0</v>
      </c>
      <c r="I15" s="18">
        <f t="shared" si="3"/>
        <v>0.55201919030260493</v>
      </c>
      <c r="J15" s="17">
        <f t="shared" si="4"/>
        <v>54.042678730625028</v>
      </c>
      <c r="K15" s="17">
        <f t="shared" si="5"/>
        <v>27.021339365312514</v>
      </c>
      <c r="L15" s="16">
        <v>16</v>
      </c>
      <c r="M15" s="19">
        <f t="shared" si="6"/>
        <v>0.125</v>
      </c>
      <c r="N15" s="16">
        <v>41</v>
      </c>
      <c r="O15" s="20">
        <f t="shared" ref="O15:P15" si="22">D15/7</f>
        <v>0.2857142857142857</v>
      </c>
      <c r="P15" s="20">
        <f t="shared" si="22"/>
        <v>0</v>
      </c>
      <c r="Q15" s="16">
        <f t="shared" si="8"/>
        <v>143</v>
      </c>
      <c r="R15" s="16"/>
      <c r="S15" s="21">
        <v>1.7790697674418601</v>
      </c>
      <c r="T15" s="14">
        <v>0</v>
      </c>
      <c r="U15" s="22" t="s">
        <v>34</v>
      </c>
      <c r="V15" s="23" t="s">
        <v>34</v>
      </c>
      <c r="W15" s="14">
        <v>0</v>
      </c>
      <c r="X15" s="24">
        <f t="shared" si="9"/>
        <v>0</v>
      </c>
      <c r="Y15" s="25">
        <f t="shared" si="10"/>
        <v>0</v>
      </c>
      <c r="Z15" s="14">
        <v>0</v>
      </c>
      <c r="AA15" s="14" t="s">
        <v>35</v>
      </c>
      <c r="AB15" s="27">
        <f t="shared" si="11"/>
        <v>-0.69</v>
      </c>
      <c r="AC15" s="28">
        <v>0.11315988020833333</v>
      </c>
      <c r="AD15" s="25">
        <f t="shared" si="12"/>
        <v>-0.31232126937499993</v>
      </c>
      <c r="AE15" s="25">
        <v>-5.8</v>
      </c>
      <c r="AF15" s="25">
        <v>-8.6299999999999901</v>
      </c>
      <c r="AG15" s="25">
        <v>0</v>
      </c>
    </row>
    <row r="16" spans="1:33" ht="15.75" customHeight="1">
      <c r="A16" s="14" t="s">
        <v>38</v>
      </c>
      <c r="B16" s="14" t="s">
        <v>689</v>
      </c>
      <c r="C16" s="15">
        <f t="shared" si="1"/>
        <v>48.929999999999993</v>
      </c>
      <c r="D16" s="16">
        <v>5</v>
      </c>
      <c r="E16" s="16">
        <v>0</v>
      </c>
      <c r="F16" s="17">
        <v>244.64999999999998</v>
      </c>
      <c r="G16" s="29">
        <v>0</v>
      </c>
      <c r="H16" s="18">
        <f t="shared" si="2"/>
        <v>0</v>
      </c>
      <c r="I16" s="18">
        <f t="shared" si="3"/>
        <v>0.55189739148400796</v>
      </c>
      <c r="J16" s="17">
        <f t="shared" si="4"/>
        <v>135.02169682656253</v>
      </c>
      <c r="K16" s="17">
        <f t="shared" si="5"/>
        <v>27.004339365312507</v>
      </c>
      <c r="L16" s="16">
        <v>10</v>
      </c>
      <c r="M16" s="19">
        <f t="shared" si="6"/>
        <v>0.5</v>
      </c>
      <c r="N16" s="16">
        <v>36</v>
      </c>
      <c r="O16" s="20">
        <f t="shared" ref="O16:P16" si="23">D16/7</f>
        <v>0.7142857142857143</v>
      </c>
      <c r="P16" s="20">
        <f t="shared" si="23"/>
        <v>0</v>
      </c>
      <c r="Q16" s="16">
        <f t="shared" si="8"/>
        <v>50</v>
      </c>
      <c r="R16" s="16"/>
      <c r="S16" s="21">
        <v>2.33576642335766</v>
      </c>
      <c r="T16" s="14">
        <v>0</v>
      </c>
      <c r="U16" s="22" t="s">
        <v>34</v>
      </c>
      <c r="V16" s="23" t="s">
        <v>34</v>
      </c>
      <c r="W16" s="14">
        <v>0</v>
      </c>
      <c r="X16" s="24">
        <f t="shared" si="9"/>
        <v>0</v>
      </c>
      <c r="Y16" s="25">
        <f t="shared" si="10"/>
        <v>0</v>
      </c>
      <c r="Z16" s="14">
        <v>0</v>
      </c>
      <c r="AA16" s="14" t="s">
        <v>35</v>
      </c>
      <c r="AB16" s="27">
        <f t="shared" si="11"/>
        <v>-0.69</v>
      </c>
      <c r="AC16" s="28">
        <v>0.11315988020833333</v>
      </c>
      <c r="AD16" s="25">
        <f t="shared" si="12"/>
        <v>-0.78080317343749983</v>
      </c>
      <c r="AE16" s="25">
        <v>-5.8</v>
      </c>
      <c r="AF16" s="25">
        <v>-8.6299999999999901</v>
      </c>
      <c r="AG16" s="25">
        <v>0</v>
      </c>
    </row>
    <row r="17" spans="1:33" ht="15.75" customHeight="1">
      <c r="A17" s="14" t="s">
        <v>40</v>
      </c>
      <c r="B17" s="14" t="s">
        <v>690</v>
      </c>
      <c r="C17" s="15">
        <f t="shared" si="1"/>
        <v>49.11</v>
      </c>
      <c r="D17" s="16">
        <v>4</v>
      </c>
      <c r="E17" s="16">
        <v>0</v>
      </c>
      <c r="F17" s="17">
        <v>196.44</v>
      </c>
      <c r="G17" s="29">
        <v>0</v>
      </c>
      <c r="H17" s="18">
        <f t="shared" si="2"/>
        <v>0</v>
      </c>
      <c r="I17" s="18">
        <f t="shared" si="3"/>
        <v>0.55299000947490351</v>
      </c>
      <c r="J17" s="17">
        <f t="shared" si="4"/>
        <v>108.62935746125004</v>
      </c>
      <c r="K17" s="17">
        <f t="shared" si="5"/>
        <v>27.157339365312509</v>
      </c>
      <c r="L17" s="16">
        <v>7</v>
      </c>
      <c r="M17" s="19">
        <f t="shared" si="6"/>
        <v>0.5714285714285714</v>
      </c>
      <c r="N17" s="16">
        <v>32</v>
      </c>
      <c r="O17" s="20">
        <f t="shared" ref="O17:P17" si="24">D17/7</f>
        <v>0.5714285714285714</v>
      </c>
      <c r="P17" s="20">
        <f t="shared" si="24"/>
        <v>0</v>
      </c>
      <c r="Q17" s="16">
        <f t="shared" si="8"/>
        <v>56</v>
      </c>
      <c r="R17" s="16"/>
      <c r="S17" s="21">
        <v>2.6184738955823201</v>
      </c>
      <c r="T17" s="14">
        <v>0</v>
      </c>
      <c r="U17" s="22" t="s">
        <v>34</v>
      </c>
      <c r="V17" s="23" t="s">
        <v>34</v>
      </c>
      <c r="W17" s="14">
        <v>0</v>
      </c>
      <c r="X17" s="24">
        <f t="shared" si="9"/>
        <v>0</v>
      </c>
      <c r="Y17" s="25">
        <f t="shared" si="10"/>
        <v>0</v>
      </c>
      <c r="Z17" s="14">
        <v>0</v>
      </c>
      <c r="AA17" s="14" t="s">
        <v>35</v>
      </c>
      <c r="AB17" s="27">
        <f t="shared" si="11"/>
        <v>-0.69</v>
      </c>
      <c r="AC17" s="28">
        <v>0.11315988020833333</v>
      </c>
      <c r="AD17" s="25">
        <f t="shared" si="12"/>
        <v>-0.62464253874999986</v>
      </c>
      <c r="AE17" s="25">
        <v>-5.8</v>
      </c>
      <c r="AF17" s="25">
        <v>-8.6299999999999901</v>
      </c>
      <c r="AG17" s="25">
        <v>0</v>
      </c>
    </row>
    <row r="18" spans="1:33" ht="15.75" customHeight="1">
      <c r="A18" s="14" t="s">
        <v>42</v>
      </c>
      <c r="B18" s="14" t="s">
        <v>691</v>
      </c>
      <c r="C18" s="15">
        <f t="shared" si="1"/>
        <v>48.95</v>
      </c>
      <c r="D18" s="16">
        <v>5</v>
      </c>
      <c r="E18" s="16">
        <v>0</v>
      </c>
      <c r="F18" s="17">
        <v>244.75</v>
      </c>
      <c r="G18" s="29">
        <v>0</v>
      </c>
      <c r="H18" s="18">
        <f t="shared" si="2"/>
        <v>0</v>
      </c>
      <c r="I18" s="18">
        <f t="shared" si="3"/>
        <v>0.55201919030260482</v>
      </c>
      <c r="J18" s="17">
        <f t="shared" si="4"/>
        <v>135.10669682656254</v>
      </c>
      <c r="K18" s="17">
        <f t="shared" si="5"/>
        <v>27.021339365312507</v>
      </c>
      <c r="L18" s="16">
        <v>12</v>
      </c>
      <c r="M18" s="19">
        <f t="shared" si="6"/>
        <v>0.41666666666666669</v>
      </c>
      <c r="N18" s="16">
        <v>27</v>
      </c>
      <c r="O18" s="20">
        <f t="shared" ref="O18:P18" si="25">D18/7</f>
        <v>0.7142857142857143</v>
      </c>
      <c r="P18" s="20">
        <f t="shared" si="25"/>
        <v>0</v>
      </c>
      <c r="Q18" s="16">
        <f t="shared" si="8"/>
        <v>37</v>
      </c>
      <c r="R18" s="16"/>
      <c r="S18" s="21">
        <v>2.4885496183206102</v>
      </c>
      <c r="T18" s="14">
        <v>0</v>
      </c>
      <c r="U18" s="22">
        <v>0</v>
      </c>
      <c r="V18" s="23" t="s">
        <v>34</v>
      </c>
      <c r="W18" s="14">
        <v>0</v>
      </c>
      <c r="X18" s="24">
        <f t="shared" si="9"/>
        <v>0</v>
      </c>
      <c r="Y18" s="25">
        <f t="shared" si="10"/>
        <v>0</v>
      </c>
      <c r="Z18" s="14">
        <v>0</v>
      </c>
      <c r="AA18" s="14" t="s">
        <v>35</v>
      </c>
      <c r="AB18" s="27">
        <f t="shared" si="11"/>
        <v>-0.69</v>
      </c>
      <c r="AC18" s="28">
        <v>0.11315988020833333</v>
      </c>
      <c r="AD18" s="25">
        <f t="shared" si="12"/>
        <v>-0.78080317343749983</v>
      </c>
      <c r="AE18" s="25">
        <v>-5.8</v>
      </c>
      <c r="AF18" s="25">
        <v>-8.6299999999999901</v>
      </c>
      <c r="AG18" s="25">
        <v>0</v>
      </c>
    </row>
    <row r="19" spans="1:33" ht="15.75" customHeight="1">
      <c r="A19" s="14" t="s">
        <v>44</v>
      </c>
      <c r="B19" s="14" t="s">
        <v>692</v>
      </c>
      <c r="C19" s="15" t="str">
        <f t="shared" si="1"/>
        <v xml:space="preserve"> - </v>
      </c>
      <c r="D19" s="16">
        <v>0</v>
      </c>
      <c r="E19" s="16">
        <v>0</v>
      </c>
      <c r="F19" s="17">
        <v>0</v>
      </c>
      <c r="G19" s="29">
        <v>0</v>
      </c>
      <c r="H19" s="18" t="e">
        <f t="shared" si="2"/>
        <v>#DIV/0!</v>
      </c>
      <c r="I19" s="18" t="e">
        <f t="shared" si="3"/>
        <v>#DIV/0!</v>
      </c>
      <c r="J19" s="17">
        <f t="shared" si="4"/>
        <v>0</v>
      </c>
      <c r="K19" s="17" t="e">
        <f t="shared" si="5"/>
        <v>#DIV/0!</v>
      </c>
      <c r="L19" s="16">
        <v>0</v>
      </c>
      <c r="M19" s="19" t="str">
        <f t="shared" si="6"/>
        <v>-</v>
      </c>
      <c r="N19" s="16">
        <v>27</v>
      </c>
      <c r="O19" s="20">
        <f t="shared" ref="O19:P19" si="26">D19/7</f>
        <v>0</v>
      </c>
      <c r="P19" s="20">
        <f t="shared" si="26"/>
        <v>0</v>
      </c>
      <c r="Q19" s="16" t="e">
        <f t="shared" si="8"/>
        <v>#DIV/0!</v>
      </c>
      <c r="R19" s="16"/>
      <c r="S19" s="21">
        <v>2.2878228782287802</v>
      </c>
      <c r="T19" s="14">
        <v>0</v>
      </c>
      <c r="U19" s="22" t="s">
        <v>34</v>
      </c>
      <c r="V19" s="23" t="s">
        <v>34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14" t="s">
        <v>35</v>
      </c>
      <c r="AB19" s="27">
        <f t="shared" si="11"/>
        <v>-0.69</v>
      </c>
      <c r="AC19" s="28">
        <v>0.11315988020833333</v>
      </c>
      <c r="AD19" s="25">
        <f t="shared" si="12"/>
        <v>0</v>
      </c>
      <c r="AE19" s="25">
        <v>-5.8</v>
      </c>
      <c r="AF19" s="25">
        <v>-9.0344999999999995</v>
      </c>
      <c r="AG19" s="25">
        <v>0</v>
      </c>
    </row>
    <row r="20" spans="1:33" ht="15.75" customHeight="1">
      <c r="A20" s="14" t="s">
        <v>46</v>
      </c>
      <c r="B20" s="14" t="s">
        <v>693</v>
      </c>
      <c r="C20" s="15" t="str">
        <f t="shared" si="1"/>
        <v xml:space="preserve"> - </v>
      </c>
      <c r="D20" s="16">
        <v>0</v>
      </c>
      <c r="E20" s="16">
        <v>0</v>
      </c>
      <c r="F20" s="17">
        <v>0</v>
      </c>
      <c r="G20" s="29">
        <v>0</v>
      </c>
      <c r="H20" s="18" t="e">
        <f t="shared" si="2"/>
        <v>#DIV/0!</v>
      </c>
      <c r="I20" s="18" t="e">
        <f t="shared" si="3"/>
        <v>#DIV/0!</v>
      </c>
      <c r="J20" s="17">
        <f t="shared" si="4"/>
        <v>0</v>
      </c>
      <c r="K20" s="17" t="e">
        <f t="shared" si="5"/>
        <v>#DIV/0!</v>
      </c>
      <c r="L20" s="16">
        <v>0</v>
      </c>
      <c r="M20" s="19" t="str">
        <f t="shared" si="6"/>
        <v>-</v>
      </c>
      <c r="N20" s="16">
        <v>27</v>
      </c>
      <c r="O20" s="20">
        <f t="shared" ref="O20:P20" si="27">D20/7</f>
        <v>0</v>
      </c>
      <c r="P20" s="20">
        <f t="shared" si="27"/>
        <v>0</v>
      </c>
      <c r="Q20" s="16" t="e">
        <f t="shared" si="8"/>
        <v>#DIV/0!</v>
      </c>
      <c r="R20" s="16"/>
      <c r="S20" s="21">
        <v>2.3495145631067902</v>
      </c>
      <c r="T20" s="14">
        <v>0</v>
      </c>
      <c r="U20" s="22" t="s">
        <v>34</v>
      </c>
      <c r="V20" s="23" t="s">
        <v>34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14" t="s">
        <v>35</v>
      </c>
      <c r="AB20" s="27">
        <f t="shared" si="11"/>
        <v>-0.69</v>
      </c>
      <c r="AC20" s="28">
        <v>0.11315988020833333</v>
      </c>
      <c r="AD20" s="25">
        <f t="shared" si="12"/>
        <v>0</v>
      </c>
      <c r="AE20" s="25">
        <v>-5.8</v>
      </c>
      <c r="AF20" s="25">
        <v>-9.0344999999999995</v>
      </c>
      <c r="AG20" s="25">
        <v>0</v>
      </c>
    </row>
    <row r="21" spans="1:33" ht="15.75" customHeight="1">
      <c r="A21" s="14" t="s">
        <v>47</v>
      </c>
      <c r="B21" s="14" t="s">
        <v>694</v>
      </c>
      <c r="C21" s="15" t="str">
        <f t="shared" si="1"/>
        <v xml:space="preserve"> - </v>
      </c>
      <c r="D21" s="16">
        <v>0</v>
      </c>
      <c r="E21" s="16">
        <v>0</v>
      </c>
      <c r="F21" s="17">
        <v>0</v>
      </c>
      <c r="G21" s="29">
        <v>0</v>
      </c>
      <c r="H21" s="18" t="e">
        <f t="shared" si="2"/>
        <v>#DIV/0!</v>
      </c>
      <c r="I21" s="18" t="e">
        <f t="shared" si="3"/>
        <v>#DIV/0!</v>
      </c>
      <c r="J21" s="17">
        <f t="shared" si="4"/>
        <v>0</v>
      </c>
      <c r="K21" s="17" t="e">
        <f t="shared" si="5"/>
        <v>#DIV/0!</v>
      </c>
      <c r="L21" s="16">
        <v>0</v>
      </c>
      <c r="M21" s="19" t="str">
        <f t="shared" si="6"/>
        <v>-</v>
      </c>
      <c r="N21" s="16">
        <v>27</v>
      </c>
      <c r="O21" s="20">
        <f t="shared" ref="O21:P21" si="28">D21/7</f>
        <v>0</v>
      </c>
      <c r="P21" s="20">
        <f t="shared" si="28"/>
        <v>0</v>
      </c>
      <c r="Q21" s="16" t="e">
        <f t="shared" si="8"/>
        <v>#DIV/0!</v>
      </c>
      <c r="R21" s="16"/>
      <c r="S21" s="21">
        <v>2.43373493975903</v>
      </c>
      <c r="T21" s="14">
        <v>204</v>
      </c>
      <c r="U21" s="22" t="s">
        <v>34</v>
      </c>
      <c r="V21" s="23" t="s">
        <v>34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14" t="s">
        <v>35</v>
      </c>
      <c r="AB21" s="27">
        <f t="shared" si="11"/>
        <v>-0.69</v>
      </c>
      <c r="AC21" s="28">
        <v>0.11315988020833333</v>
      </c>
      <c r="AD21" s="25">
        <f t="shared" si="12"/>
        <v>0</v>
      </c>
      <c r="AE21" s="25">
        <v>-5.8</v>
      </c>
      <c r="AF21" s="25">
        <v>-9.0344999999999995</v>
      </c>
      <c r="AG21" s="25">
        <v>0</v>
      </c>
    </row>
    <row r="22" spans="1:33" ht="15.75" customHeight="1">
      <c r="A22" s="14" t="s">
        <v>48</v>
      </c>
      <c r="B22" s="14" t="s">
        <v>695</v>
      </c>
      <c r="C22" s="15">
        <f t="shared" si="1"/>
        <v>50.282499999999999</v>
      </c>
      <c r="D22" s="16">
        <v>4</v>
      </c>
      <c r="E22" s="16">
        <v>1</v>
      </c>
      <c r="F22" s="29">
        <v>201.13</v>
      </c>
      <c r="G22" s="29">
        <v>0</v>
      </c>
      <c r="H22" s="18">
        <f t="shared" si="2"/>
        <v>0</v>
      </c>
      <c r="I22" s="18">
        <f t="shared" si="3"/>
        <v>0.55187121494182867</v>
      </c>
      <c r="J22" s="17">
        <f t="shared" si="4"/>
        <v>110.99785746124999</v>
      </c>
      <c r="K22" s="17">
        <f t="shared" si="5"/>
        <v>27.749464365312498</v>
      </c>
      <c r="L22" s="16">
        <v>15</v>
      </c>
      <c r="M22" s="19">
        <f t="shared" si="6"/>
        <v>0.26666666666666666</v>
      </c>
      <c r="N22" s="16">
        <v>22</v>
      </c>
      <c r="O22" s="20">
        <f t="shared" ref="O22:P22" si="29">D22/7</f>
        <v>0.5714285714285714</v>
      </c>
      <c r="P22" s="20">
        <f t="shared" si="29"/>
        <v>0.14285714285714285</v>
      </c>
      <c r="Q22" s="16">
        <f t="shared" si="8"/>
        <v>30</v>
      </c>
      <c r="R22" s="16"/>
      <c r="S22" s="21">
        <v>2.5511811023622002</v>
      </c>
      <c r="T22" s="14">
        <v>204</v>
      </c>
      <c r="U22" s="22" t="s">
        <v>34</v>
      </c>
      <c r="V22" s="23" t="s">
        <v>34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35</v>
      </c>
      <c r="AB22" s="27">
        <f t="shared" si="11"/>
        <v>-0.69</v>
      </c>
      <c r="AC22" s="28">
        <v>0.11315988020833333</v>
      </c>
      <c r="AD22" s="25">
        <f t="shared" si="12"/>
        <v>-0.62464253874999986</v>
      </c>
      <c r="AE22" s="25">
        <v>-5.8</v>
      </c>
      <c r="AF22" s="25">
        <v>-9.0344999999999995</v>
      </c>
      <c r="AG22" s="25">
        <v>0</v>
      </c>
    </row>
    <row r="23" spans="1:33" ht="15.75" customHeight="1">
      <c r="A23" s="14" t="s">
        <v>49</v>
      </c>
      <c r="B23" s="14" t="s">
        <v>694</v>
      </c>
      <c r="C23" s="15">
        <f t="shared" si="1"/>
        <v>50.283333333333339</v>
      </c>
      <c r="D23" s="16">
        <v>3</v>
      </c>
      <c r="E23" s="16">
        <v>0</v>
      </c>
      <c r="F23" s="17">
        <v>150.85000000000002</v>
      </c>
      <c r="G23" s="29">
        <v>0</v>
      </c>
      <c r="H23" s="18">
        <f t="shared" si="2"/>
        <v>0</v>
      </c>
      <c r="I23" s="18">
        <f t="shared" si="3"/>
        <v>0.55187615575696058</v>
      </c>
      <c r="J23" s="17">
        <f t="shared" si="4"/>
        <v>83.250518095937522</v>
      </c>
      <c r="K23" s="17">
        <f t="shared" si="5"/>
        <v>27.750172698645841</v>
      </c>
      <c r="L23" s="16">
        <v>13</v>
      </c>
      <c r="M23" s="19">
        <f t="shared" si="6"/>
        <v>0.23076923076923078</v>
      </c>
      <c r="N23" s="16">
        <v>19</v>
      </c>
      <c r="O23" s="20">
        <f t="shared" ref="O23:P23" si="30">D23/7</f>
        <v>0.42857142857142855</v>
      </c>
      <c r="P23" s="20">
        <f t="shared" si="30"/>
        <v>0</v>
      </c>
      <c r="Q23" s="16">
        <f t="shared" si="8"/>
        <v>44</v>
      </c>
      <c r="R23" s="16"/>
      <c r="S23" s="21">
        <v>1.5</v>
      </c>
      <c r="T23" s="14">
        <v>408</v>
      </c>
      <c r="U23" s="22" t="s">
        <v>34</v>
      </c>
      <c r="V23" s="23" t="s">
        <v>34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35</v>
      </c>
      <c r="AB23" s="27">
        <f t="shared" si="11"/>
        <v>-0.69</v>
      </c>
      <c r="AC23" s="28">
        <v>0.11315988020833333</v>
      </c>
      <c r="AD23" s="25">
        <f t="shared" si="12"/>
        <v>-0.4684819040624999</v>
      </c>
      <c r="AE23" s="25">
        <v>-5.8</v>
      </c>
      <c r="AF23" s="25">
        <v>-9.0344999999999995</v>
      </c>
      <c r="AG23" s="25">
        <v>0</v>
      </c>
    </row>
    <row r="24" spans="1:33" ht="15.75" customHeight="1">
      <c r="A24" s="14" t="s">
        <v>50</v>
      </c>
      <c r="B24" s="14" t="s">
        <v>696</v>
      </c>
      <c r="C24" s="15" t="str">
        <f t="shared" si="1"/>
        <v xml:space="preserve"> - </v>
      </c>
      <c r="D24" s="16">
        <v>0</v>
      </c>
      <c r="E24" s="16">
        <v>0</v>
      </c>
      <c r="F24" s="17">
        <v>0</v>
      </c>
      <c r="G24" s="17">
        <v>0</v>
      </c>
      <c r="H24" s="18" t="e">
        <f t="shared" si="2"/>
        <v>#DIV/0!</v>
      </c>
      <c r="I24" s="18" t="e">
        <f t="shared" si="3"/>
        <v>#DIV/0!</v>
      </c>
      <c r="J24" s="17">
        <f t="shared" si="4"/>
        <v>0</v>
      </c>
      <c r="K24" s="17" t="e">
        <f t="shared" si="5"/>
        <v>#DIV/0!</v>
      </c>
      <c r="L24" s="16">
        <v>0</v>
      </c>
      <c r="M24" s="19" t="str">
        <f t="shared" si="6"/>
        <v>-</v>
      </c>
      <c r="N24" s="16">
        <v>19</v>
      </c>
      <c r="O24" s="20">
        <f t="shared" ref="O24:P24" si="31">D24/7</f>
        <v>0</v>
      </c>
      <c r="P24" s="20">
        <f t="shared" si="31"/>
        <v>0</v>
      </c>
      <c r="Q24" s="16" t="e">
        <f t="shared" si="8"/>
        <v>#DIV/0!</v>
      </c>
      <c r="R24" s="16"/>
      <c r="S24" s="21">
        <v>1.3770491803278599</v>
      </c>
      <c r="T24" s="14">
        <v>408</v>
      </c>
      <c r="U24" s="22" t="s">
        <v>34</v>
      </c>
      <c r="V24" s="23" t="s">
        <v>34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14" t="s">
        <v>35</v>
      </c>
      <c r="AB24" s="27">
        <f t="shared" si="11"/>
        <v>-0.69</v>
      </c>
      <c r="AC24" s="28">
        <v>0.11315988020833333</v>
      </c>
      <c r="AD24" s="25">
        <f t="shared" si="12"/>
        <v>0</v>
      </c>
      <c r="AE24" s="25">
        <v>-5.8</v>
      </c>
      <c r="AF24" s="25">
        <v>-9.0344999999999995</v>
      </c>
      <c r="AG24" s="25">
        <v>0</v>
      </c>
    </row>
    <row r="25" spans="1:33" ht="15.75" customHeight="1">
      <c r="A25" s="14" t="s">
        <v>51</v>
      </c>
      <c r="B25" s="14"/>
      <c r="C25" s="15">
        <f t="shared" si="1"/>
        <v>41.616666666666667</v>
      </c>
      <c r="D25" s="16">
        <v>6</v>
      </c>
      <c r="E25" s="16">
        <v>0</v>
      </c>
      <c r="F25" s="17">
        <v>249.7</v>
      </c>
      <c r="G25" s="17">
        <v>0</v>
      </c>
      <c r="H25" s="18">
        <f t="shared" si="2"/>
        <v>0</v>
      </c>
      <c r="I25" s="18">
        <f t="shared" si="3"/>
        <v>0.48990002479725686</v>
      </c>
      <c r="J25" s="17">
        <f t="shared" si="4"/>
        <v>122.32803619187503</v>
      </c>
      <c r="K25" s="17">
        <f t="shared" si="5"/>
        <v>20.38800603197917</v>
      </c>
      <c r="L25" s="16">
        <v>9</v>
      </c>
      <c r="M25" s="19">
        <f t="shared" si="6"/>
        <v>0.66666666666666663</v>
      </c>
      <c r="N25" s="16">
        <v>13</v>
      </c>
      <c r="O25" s="20">
        <f t="shared" ref="O25:P25" si="32">D25/7</f>
        <v>0.8571428571428571</v>
      </c>
      <c r="P25" s="20">
        <f t="shared" si="32"/>
        <v>0</v>
      </c>
      <c r="Q25" s="16">
        <f t="shared" si="8"/>
        <v>15</v>
      </c>
      <c r="R25" s="16"/>
      <c r="S25" s="21">
        <v>1</v>
      </c>
      <c r="T25" s="14">
        <v>408</v>
      </c>
      <c r="U25" s="22" t="s">
        <v>34</v>
      </c>
      <c r="V25" s="23" t="s">
        <v>34</v>
      </c>
      <c r="W25" s="30">
        <v>0</v>
      </c>
      <c r="X25" s="24">
        <f t="shared" si="9"/>
        <v>0</v>
      </c>
      <c r="Y25" s="25">
        <f t="shared" si="10"/>
        <v>0</v>
      </c>
      <c r="Z25" s="30">
        <v>0</v>
      </c>
      <c r="AA25" s="14" t="s">
        <v>35</v>
      </c>
      <c r="AB25" s="27">
        <f t="shared" si="11"/>
        <v>-0.69</v>
      </c>
      <c r="AC25" s="28">
        <v>0.11315988020833333</v>
      </c>
      <c r="AD25" s="25">
        <f t="shared" si="12"/>
        <v>-0.9369638081249998</v>
      </c>
      <c r="AE25" s="25">
        <v>-5.8</v>
      </c>
      <c r="AF25" s="25">
        <v>-9.0299999999999905</v>
      </c>
      <c r="AG25" s="25">
        <v>0</v>
      </c>
    </row>
    <row r="26" spans="1:33" ht="15.75" customHeight="1">
      <c r="A26" s="14" t="s">
        <v>52</v>
      </c>
      <c r="B26" s="14" t="s">
        <v>142</v>
      </c>
      <c r="C26" s="15">
        <f t="shared" si="1"/>
        <v>40.032857142857146</v>
      </c>
      <c r="D26" s="16">
        <v>7</v>
      </c>
      <c r="E26" s="16">
        <v>1</v>
      </c>
      <c r="F26" s="17">
        <v>280.23</v>
      </c>
      <c r="G26" s="17">
        <v>-7.0000000000000007E-2</v>
      </c>
      <c r="H26" s="18">
        <f t="shared" si="2"/>
        <v>2.4979481140491739E-4</v>
      </c>
      <c r="I26" s="18">
        <f t="shared" si="3"/>
        <v>0.47828881831776582</v>
      </c>
      <c r="J26" s="17">
        <f t="shared" si="4"/>
        <v>134.03087555718753</v>
      </c>
      <c r="K26" s="17">
        <f t="shared" si="5"/>
        <v>19.147267936741077</v>
      </c>
      <c r="L26" s="16">
        <v>14</v>
      </c>
      <c r="M26" s="19">
        <f t="shared" si="6"/>
        <v>0.5</v>
      </c>
      <c r="N26" s="16">
        <v>6</v>
      </c>
      <c r="O26" s="20">
        <f t="shared" ref="O26:P26" si="33">D26/7</f>
        <v>1</v>
      </c>
      <c r="P26" s="20">
        <f t="shared" si="33"/>
        <v>0.14285714285714285</v>
      </c>
      <c r="Q26" s="16">
        <f t="shared" si="8"/>
        <v>5</v>
      </c>
      <c r="R26" s="16"/>
      <c r="S26" s="21">
        <v>1.28125</v>
      </c>
      <c r="T26" s="14">
        <v>408</v>
      </c>
      <c r="U26" s="22" t="s">
        <v>34</v>
      </c>
      <c r="V26" s="23" t="s">
        <v>34</v>
      </c>
      <c r="W26" s="30">
        <v>0</v>
      </c>
      <c r="X26" s="24">
        <f t="shared" si="9"/>
        <v>0</v>
      </c>
      <c r="Y26" s="25">
        <f t="shared" si="10"/>
        <v>0</v>
      </c>
      <c r="Z26" s="30">
        <v>0</v>
      </c>
      <c r="AA26" s="14" t="s">
        <v>35</v>
      </c>
      <c r="AB26" s="27">
        <f t="shared" si="11"/>
        <v>-0.69</v>
      </c>
      <c r="AC26" s="28">
        <v>0.11315988020833333</v>
      </c>
      <c r="AD26" s="25">
        <f t="shared" si="12"/>
        <v>-1.0931244428124998</v>
      </c>
      <c r="AE26" s="25">
        <v>-5.68</v>
      </c>
      <c r="AF26" s="25">
        <v>-9.0344999999999995</v>
      </c>
      <c r="AG26" s="25">
        <v>0</v>
      </c>
    </row>
    <row r="27" spans="1:33" ht="15.75" customHeight="1">
      <c r="A27" s="14" t="s">
        <v>53</v>
      </c>
      <c r="B27" s="14" t="s">
        <v>697</v>
      </c>
      <c r="C27" s="15">
        <f t="shared" si="1"/>
        <v>39.949999999999996</v>
      </c>
      <c r="D27" s="16">
        <v>3</v>
      </c>
      <c r="E27" s="16">
        <v>0</v>
      </c>
      <c r="F27" s="17">
        <v>119.85</v>
      </c>
      <c r="G27" s="17">
        <v>0</v>
      </c>
      <c r="H27" s="18">
        <f t="shared" si="2"/>
        <v>0</v>
      </c>
      <c r="I27" s="18">
        <f t="shared" si="3"/>
        <v>0.48789335082133933</v>
      </c>
      <c r="J27" s="17">
        <f t="shared" si="4"/>
        <v>58.474018095937517</v>
      </c>
      <c r="K27" s="17">
        <f t="shared" si="5"/>
        <v>19.491339365312506</v>
      </c>
      <c r="L27" s="16">
        <v>15</v>
      </c>
      <c r="M27" s="19">
        <f t="shared" si="6"/>
        <v>0.2</v>
      </c>
      <c r="N27" s="16">
        <v>2</v>
      </c>
      <c r="O27" s="20">
        <f t="shared" ref="O27:P27" si="34">D27/7</f>
        <v>0.42857142857142855</v>
      </c>
      <c r="P27" s="20">
        <f t="shared" si="34"/>
        <v>0</v>
      </c>
      <c r="Q27" s="16">
        <f t="shared" si="8"/>
        <v>4</v>
      </c>
      <c r="R27" s="16"/>
      <c r="S27" s="21">
        <v>1.481481481481481</v>
      </c>
      <c r="T27" s="14">
        <v>408</v>
      </c>
      <c r="U27" s="22" t="s">
        <v>34</v>
      </c>
      <c r="V27" s="23" t="s">
        <v>34</v>
      </c>
      <c r="W27" s="30">
        <v>0</v>
      </c>
      <c r="X27" s="24">
        <f t="shared" si="9"/>
        <v>0</v>
      </c>
      <c r="Y27" s="25">
        <f t="shared" si="10"/>
        <v>0</v>
      </c>
      <c r="Z27" s="30">
        <v>0</v>
      </c>
      <c r="AA27" s="14" t="s">
        <v>35</v>
      </c>
      <c r="AB27" s="27">
        <f t="shared" si="11"/>
        <v>-0.69</v>
      </c>
      <c r="AC27" s="28">
        <v>0.11315988020833333</v>
      </c>
      <c r="AD27" s="25">
        <f t="shared" si="12"/>
        <v>-0.4684819040624999</v>
      </c>
      <c r="AE27" s="25">
        <v>-5.68</v>
      </c>
      <c r="AF27" s="25">
        <v>-8.6299999999999901</v>
      </c>
      <c r="AG27" s="25">
        <v>0</v>
      </c>
    </row>
    <row r="28" spans="1:33" ht="15.75" customHeight="1">
      <c r="A28" s="14" t="s">
        <v>54</v>
      </c>
      <c r="B28" s="14" t="s">
        <v>45</v>
      </c>
      <c r="C28" s="15">
        <f t="shared" si="1"/>
        <v>39.99</v>
      </c>
      <c r="D28" s="16">
        <v>2</v>
      </c>
      <c r="E28" s="16">
        <v>0</v>
      </c>
      <c r="F28" s="17">
        <v>79.98</v>
      </c>
      <c r="G28" s="17">
        <v>0</v>
      </c>
      <c r="H28" s="18">
        <f t="shared" si="2"/>
        <v>0</v>
      </c>
      <c r="I28" s="18">
        <f t="shared" si="3"/>
        <v>0.4882555480198178</v>
      </c>
      <c r="J28" s="17">
        <f t="shared" si="4"/>
        <v>39.05067873062503</v>
      </c>
      <c r="K28" s="17">
        <f t="shared" si="5"/>
        <v>19.525339365312515</v>
      </c>
      <c r="L28" s="16">
        <v>8</v>
      </c>
      <c r="M28" s="19">
        <f t="shared" si="6"/>
        <v>0.25</v>
      </c>
      <c r="N28" s="16">
        <v>0</v>
      </c>
      <c r="O28" s="20">
        <f t="shared" ref="O28:P28" si="35">D28/7</f>
        <v>0.2857142857142857</v>
      </c>
      <c r="P28" s="20">
        <f t="shared" si="35"/>
        <v>0</v>
      </c>
      <c r="Q28" s="16">
        <f t="shared" si="8"/>
        <v>0</v>
      </c>
      <c r="R28" s="16"/>
      <c r="S28" s="21">
        <v>1.547169811320755</v>
      </c>
      <c r="T28" s="14">
        <v>564</v>
      </c>
      <c r="U28" s="22" t="s">
        <v>34</v>
      </c>
      <c r="V28" s="23" t="s">
        <v>34</v>
      </c>
      <c r="W28" s="30">
        <v>0</v>
      </c>
      <c r="X28" s="24">
        <f t="shared" si="9"/>
        <v>0</v>
      </c>
      <c r="Y28" s="25">
        <f t="shared" si="10"/>
        <v>0</v>
      </c>
      <c r="Z28" s="30">
        <v>0</v>
      </c>
      <c r="AA28" s="14" t="s">
        <v>35</v>
      </c>
      <c r="AB28" s="27">
        <f t="shared" si="11"/>
        <v>-0.69</v>
      </c>
      <c r="AC28" s="28">
        <v>0.11315988020833333</v>
      </c>
      <c r="AD28" s="25">
        <f t="shared" si="12"/>
        <v>-0.31232126937499993</v>
      </c>
      <c r="AE28" s="25">
        <v>-5.68</v>
      </c>
      <c r="AF28" s="25">
        <v>-8.6299999999999901</v>
      </c>
      <c r="AG28" s="25">
        <v>0</v>
      </c>
    </row>
    <row r="29" spans="1:33" ht="15.75" customHeight="1">
      <c r="A29" s="14" t="s">
        <v>55</v>
      </c>
      <c r="B29" s="14"/>
      <c r="C29" s="15" t="str">
        <f t="shared" si="1"/>
        <v xml:space="preserve"> - </v>
      </c>
      <c r="D29" s="16">
        <v>0</v>
      </c>
      <c r="E29" s="16">
        <v>0</v>
      </c>
      <c r="F29" s="17">
        <v>0</v>
      </c>
      <c r="G29" s="17">
        <v>0</v>
      </c>
      <c r="H29" s="18" t="e">
        <f t="shared" si="2"/>
        <v>#DIV/0!</v>
      </c>
      <c r="I29" s="18" t="e">
        <f t="shared" si="3"/>
        <v>#DIV/0!</v>
      </c>
      <c r="J29" s="17">
        <f t="shared" si="4"/>
        <v>0</v>
      </c>
      <c r="K29" s="17" t="e">
        <f t="shared" si="5"/>
        <v>#DIV/0!</v>
      </c>
      <c r="L29" s="16">
        <v>0</v>
      </c>
      <c r="M29" s="19" t="str">
        <f t="shared" si="6"/>
        <v>-</v>
      </c>
      <c r="N29" s="16">
        <v>0</v>
      </c>
      <c r="O29" s="20">
        <f t="shared" ref="O29:P29" si="36">D29/7</f>
        <v>0</v>
      </c>
      <c r="P29" s="20">
        <f t="shared" si="36"/>
        <v>0</v>
      </c>
      <c r="Q29" s="16" t="e">
        <f t="shared" si="8"/>
        <v>#DIV/0!</v>
      </c>
      <c r="R29" s="16"/>
      <c r="S29" s="21">
        <v>1.5</v>
      </c>
      <c r="T29" s="14">
        <v>684</v>
      </c>
      <c r="U29" s="22">
        <v>44409</v>
      </c>
      <c r="V29" s="23" t="s">
        <v>698</v>
      </c>
      <c r="W29" s="30">
        <v>0</v>
      </c>
      <c r="X29" s="24">
        <f t="shared" si="9"/>
        <v>0</v>
      </c>
      <c r="Y29" s="25">
        <f t="shared" si="10"/>
        <v>0</v>
      </c>
      <c r="Z29" s="30">
        <v>0</v>
      </c>
      <c r="AA29" s="14" t="s">
        <v>35</v>
      </c>
      <c r="AB29" s="27">
        <f t="shared" si="11"/>
        <v>-0.69</v>
      </c>
      <c r="AC29" s="28">
        <v>0.11315988020833333</v>
      </c>
      <c r="AD29" s="25">
        <f t="shared" si="12"/>
        <v>0</v>
      </c>
      <c r="AE29" s="25">
        <v>-5.68</v>
      </c>
      <c r="AF29" s="25">
        <v>-8.6299999999999901</v>
      </c>
      <c r="AG29" s="25">
        <v>0</v>
      </c>
    </row>
    <row r="30" spans="1:33" ht="15.75" customHeight="1">
      <c r="A30" s="14" t="s">
        <v>57</v>
      </c>
      <c r="B30" s="14"/>
      <c r="C30" s="15" t="str">
        <f t="shared" si="1"/>
        <v xml:space="preserve"> - </v>
      </c>
      <c r="D30" s="16">
        <v>0</v>
      </c>
      <c r="E30" s="16">
        <v>0</v>
      </c>
      <c r="F30" s="17">
        <v>0</v>
      </c>
      <c r="G30" s="17">
        <v>0</v>
      </c>
      <c r="H30" s="18" t="e">
        <f t="shared" si="2"/>
        <v>#DIV/0!</v>
      </c>
      <c r="I30" s="18" t="e">
        <f t="shared" si="3"/>
        <v>#DIV/0!</v>
      </c>
      <c r="J30" s="17">
        <f t="shared" si="4"/>
        <v>0</v>
      </c>
      <c r="K30" s="17" t="e">
        <f t="shared" si="5"/>
        <v>#DIV/0!</v>
      </c>
      <c r="L30" s="16">
        <v>0</v>
      </c>
      <c r="M30" s="19" t="str">
        <f t="shared" si="6"/>
        <v>-</v>
      </c>
      <c r="N30" s="16">
        <v>0</v>
      </c>
      <c r="O30" s="20">
        <f t="shared" ref="O30:P30" si="37">D30/7</f>
        <v>0</v>
      </c>
      <c r="P30" s="20">
        <f t="shared" si="37"/>
        <v>0</v>
      </c>
      <c r="Q30" s="16" t="e">
        <f t="shared" si="8"/>
        <v>#DIV/0!</v>
      </c>
      <c r="R30" s="16"/>
      <c r="S30" s="21">
        <v>1.4505494505494509</v>
      </c>
      <c r="T30" s="14">
        <v>564</v>
      </c>
      <c r="U30" s="22">
        <v>120</v>
      </c>
      <c r="V30" s="23" t="s">
        <v>698</v>
      </c>
      <c r="W30" s="30">
        <v>0</v>
      </c>
      <c r="X30" s="24">
        <f t="shared" si="9"/>
        <v>0</v>
      </c>
      <c r="Y30" s="25">
        <f t="shared" si="10"/>
        <v>0</v>
      </c>
      <c r="Z30" s="30">
        <v>0</v>
      </c>
      <c r="AA30" s="14" t="s">
        <v>35</v>
      </c>
      <c r="AB30" s="27">
        <f t="shared" si="11"/>
        <v>-0.69</v>
      </c>
      <c r="AC30" s="28">
        <v>0.11315988020833333</v>
      </c>
      <c r="AD30" s="25">
        <f t="shared" si="12"/>
        <v>0</v>
      </c>
      <c r="AE30" s="25">
        <v>-5.68</v>
      </c>
      <c r="AF30" s="25">
        <v>-8.4144432499999997</v>
      </c>
      <c r="AG30" s="25">
        <v>0</v>
      </c>
    </row>
    <row r="31" spans="1:33" ht="15.75" customHeight="1">
      <c r="A31" s="14" t="s">
        <v>58</v>
      </c>
      <c r="B31" s="14"/>
      <c r="C31" s="15" t="str">
        <f t="shared" si="1"/>
        <v xml:space="preserve"> - </v>
      </c>
      <c r="D31" s="16">
        <v>0</v>
      </c>
      <c r="E31" s="16">
        <v>0</v>
      </c>
      <c r="F31" s="17">
        <v>0</v>
      </c>
      <c r="G31" s="17">
        <v>0</v>
      </c>
      <c r="H31" s="18" t="e">
        <f t="shared" si="2"/>
        <v>#DIV/0!</v>
      </c>
      <c r="I31" s="18" t="e">
        <f t="shared" si="3"/>
        <v>#DIV/0!</v>
      </c>
      <c r="J31" s="17">
        <f t="shared" si="4"/>
        <v>0</v>
      </c>
      <c r="K31" s="17" t="e">
        <f t="shared" si="5"/>
        <v>#DIV/0!</v>
      </c>
      <c r="L31" s="16">
        <v>0</v>
      </c>
      <c r="M31" s="19" t="str">
        <f t="shared" si="6"/>
        <v>-</v>
      </c>
      <c r="N31" s="16">
        <v>0</v>
      </c>
      <c r="O31" s="20">
        <f t="shared" ref="O31:P31" si="38">D31/7</f>
        <v>0</v>
      </c>
      <c r="P31" s="20">
        <f t="shared" si="38"/>
        <v>0</v>
      </c>
      <c r="Q31" s="16" t="e">
        <f t="shared" si="8"/>
        <v>#DIV/0!</v>
      </c>
      <c r="R31" s="16"/>
      <c r="S31" s="21">
        <v>1.54285714285714</v>
      </c>
      <c r="T31" s="14">
        <v>240</v>
      </c>
      <c r="U31" s="22" t="s">
        <v>34</v>
      </c>
      <c r="V31" s="23" t="s">
        <v>699</v>
      </c>
      <c r="W31" s="30">
        <v>0</v>
      </c>
      <c r="X31" s="24">
        <f t="shared" si="9"/>
        <v>0</v>
      </c>
      <c r="Y31" s="25">
        <f t="shared" si="10"/>
        <v>0</v>
      </c>
      <c r="Z31" s="30">
        <v>0</v>
      </c>
      <c r="AA31" s="14" t="s">
        <v>35</v>
      </c>
      <c r="AB31" s="27">
        <f t="shared" si="11"/>
        <v>-0.69</v>
      </c>
      <c r="AC31" s="28">
        <v>0.11315988020833333</v>
      </c>
      <c r="AD31" s="25">
        <f t="shared" si="12"/>
        <v>0</v>
      </c>
      <c r="AE31" s="25">
        <v>-5.68</v>
      </c>
      <c r="AF31" s="25">
        <v>-8.4144432499999997</v>
      </c>
      <c r="AG31" s="25">
        <v>0</v>
      </c>
    </row>
    <row r="32" spans="1:33" ht="15.75" customHeight="1">
      <c r="A32" s="14" t="s">
        <v>60</v>
      </c>
      <c r="B32" s="14"/>
      <c r="C32" s="15" t="str">
        <f t="shared" si="1"/>
        <v xml:space="preserve"> - </v>
      </c>
      <c r="D32" s="16">
        <v>0</v>
      </c>
      <c r="E32" s="16">
        <v>0</v>
      </c>
      <c r="F32" s="17">
        <v>0</v>
      </c>
      <c r="G32" s="17">
        <v>0</v>
      </c>
      <c r="H32" s="18" t="e">
        <f t="shared" si="2"/>
        <v>#DIV/0!</v>
      </c>
      <c r="I32" s="18" t="e">
        <f t="shared" si="3"/>
        <v>#DIV/0!</v>
      </c>
      <c r="J32" s="17">
        <f t="shared" si="4"/>
        <v>0</v>
      </c>
      <c r="K32" s="17" t="e">
        <f t="shared" si="5"/>
        <v>#DIV/0!</v>
      </c>
      <c r="L32" s="16">
        <v>0</v>
      </c>
      <c r="M32" s="19" t="str">
        <f t="shared" si="6"/>
        <v>-</v>
      </c>
      <c r="N32" s="16">
        <v>0</v>
      </c>
      <c r="O32" s="20">
        <f t="shared" ref="O32:P32" si="39">D32/7</f>
        <v>0</v>
      </c>
      <c r="P32" s="20">
        <f t="shared" si="39"/>
        <v>0</v>
      </c>
      <c r="Q32" s="16" t="e">
        <f t="shared" si="8"/>
        <v>#DIV/0!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0</v>
      </c>
      <c r="T32" s="14">
        <f ca="1">IFERROR(__xludf.DUMMYFUNCTION("IFERROR(VLOOKUP($B$2,IMPORTRANGE(""https://docs.google.com/spreadsheets/d/1KiWZV1ko8G7lnRucBRBd29jj3Be6ltMfljMDqzOkQmI/edit#gid=1381463014"",""Lookup!A:D""),4,FALSE),"""")"),240)</f>
        <v>240</v>
      </c>
      <c r="U32" s="22">
        <f ca="1">IFERROR(__xludf.DUMMYFUNCTION("IFERROR(VLOOKUP($B$2,IMPORTRANGE(""https://docs.google.com/spreadsheets/d/1KiWZV1ko8G7lnRucBRBd29jj3Be6ltMfljMDqzOkQmI/edit#gid=1381463014"",""Lookup!A:D""),3,FALSE),"""")"),120)</f>
        <v>120</v>
      </c>
      <c r="V32" s="23" t="str">
        <f ca="1">IFERROR(__xludf.DUMMYFUNCTION("IFERROR(VLOOKUP($B$2,IMPORTRANGE(""https://docs.google.com/spreadsheets/d/1KiWZV1ko8G7lnRucBRBd29jj3Be6ltMfljMDqzOkQmI/edit#gid=1381463014"",""Lookup!A:D""),2,FALSE),"""")"),"| 417  - 120 units 08/14")</f>
        <v>| 417  - 120 units 08/14</v>
      </c>
      <c r="W32" s="30">
        <v>0</v>
      </c>
      <c r="X32" s="24">
        <f t="shared" si="9"/>
        <v>0</v>
      </c>
      <c r="Y32" s="25">
        <f t="shared" si="10"/>
        <v>0</v>
      </c>
      <c r="Z32" s="30">
        <v>0</v>
      </c>
      <c r="AA32" s="14" t="s">
        <v>35</v>
      </c>
      <c r="AB32" s="27">
        <f t="shared" si="11"/>
        <v>-0.69</v>
      </c>
      <c r="AC32" s="28">
        <v>0.11315988020833333</v>
      </c>
      <c r="AD32" s="25">
        <f t="shared" si="12"/>
        <v>0</v>
      </c>
      <c r="AE32" s="25">
        <v>-5.68</v>
      </c>
      <c r="AF32" s="25">
        <v>-8.4144432499999997</v>
      </c>
      <c r="AG32" s="25">
        <v>0</v>
      </c>
    </row>
    <row r="33" spans="1:33" ht="15.75" customHeight="1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16"/>
      <c r="S33" s="21"/>
      <c r="T33" s="31"/>
      <c r="U33" s="36"/>
      <c r="V33" s="1"/>
      <c r="W33" s="31"/>
      <c r="X33" s="31"/>
      <c r="Y33" s="31"/>
      <c r="Z33" s="31"/>
      <c r="AA33" s="2"/>
      <c r="AB33" s="31"/>
      <c r="AC33" s="31"/>
      <c r="AD33" s="31"/>
      <c r="AE33" s="37"/>
      <c r="AF33" s="37"/>
      <c r="AG33" s="37"/>
    </row>
    <row r="34" spans="1:33" ht="15.75" customHeight="1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6"/>
      <c r="V34" s="1"/>
      <c r="W34" s="31"/>
      <c r="X34" s="31"/>
      <c r="Y34" s="31"/>
      <c r="Z34" s="31"/>
      <c r="AA34" s="2"/>
      <c r="AB34" s="31"/>
      <c r="AC34" s="31"/>
      <c r="AD34" s="31"/>
      <c r="AE34" s="37"/>
      <c r="AF34" s="37"/>
      <c r="AG34" s="37"/>
    </row>
    <row r="35" spans="1:33" ht="15.75" customHeight="1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6"/>
      <c r="V35" s="1"/>
      <c r="W35" s="31"/>
      <c r="X35" s="31"/>
      <c r="Y35" s="31"/>
      <c r="Z35" s="31"/>
      <c r="AA35" s="2"/>
      <c r="AB35" s="31"/>
      <c r="AC35" s="31"/>
      <c r="AD35" s="31"/>
      <c r="AE35" s="37"/>
      <c r="AF35" s="37"/>
      <c r="AG35" s="37"/>
    </row>
    <row r="36" spans="1:33" ht="15.75" customHeight="1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6"/>
      <c r="V36" s="1"/>
      <c r="W36" s="31"/>
      <c r="X36" s="31"/>
      <c r="Y36" s="31"/>
      <c r="Z36" s="31"/>
      <c r="AA36" s="2"/>
      <c r="AB36" s="31"/>
      <c r="AC36" s="31"/>
      <c r="AD36" s="31"/>
      <c r="AE36" s="37"/>
      <c r="AF36" s="37"/>
      <c r="AG36" s="37"/>
    </row>
    <row r="37" spans="1:33" ht="15.75" customHeight="1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6"/>
      <c r="V37" s="1"/>
      <c r="W37" s="31"/>
      <c r="X37" s="31"/>
      <c r="Y37" s="31"/>
      <c r="Z37" s="31"/>
      <c r="AA37" s="2"/>
      <c r="AB37" s="31"/>
      <c r="AC37" s="31"/>
      <c r="AD37" s="31"/>
      <c r="AE37" s="37"/>
      <c r="AF37" s="37"/>
      <c r="AG37" s="37"/>
    </row>
    <row r="38" spans="1:33" ht="15.75" customHeight="1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6"/>
      <c r="V38" s="1"/>
      <c r="W38" s="31"/>
      <c r="X38" s="31"/>
      <c r="Y38" s="31"/>
      <c r="Z38" s="31"/>
      <c r="AA38" s="2"/>
      <c r="AB38" s="31"/>
      <c r="AC38" s="31"/>
      <c r="AD38" s="31"/>
      <c r="AE38" s="37"/>
      <c r="AF38" s="37"/>
      <c r="AG38" s="37"/>
    </row>
    <row r="39" spans="1:33" ht="15.75" customHeight="1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6"/>
      <c r="V39" s="1"/>
      <c r="W39" s="31"/>
      <c r="X39" s="31"/>
      <c r="Y39" s="31"/>
      <c r="Z39" s="31"/>
      <c r="AA39" s="2"/>
      <c r="AB39" s="31"/>
      <c r="AC39" s="31"/>
      <c r="AD39" s="31"/>
      <c r="AE39" s="37"/>
      <c r="AF39" s="37"/>
      <c r="AG39" s="37"/>
    </row>
    <row r="40" spans="1:33" ht="15.75" customHeight="1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6"/>
      <c r="V40" s="1"/>
      <c r="W40" s="31"/>
      <c r="X40" s="31"/>
      <c r="Y40" s="31"/>
      <c r="Z40" s="31"/>
      <c r="AA40" s="2"/>
      <c r="AB40" s="31"/>
      <c r="AC40" s="31"/>
      <c r="AD40" s="31"/>
      <c r="AE40" s="37"/>
      <c r="AF40" s="37"/>
      <c r="AG40" s="37"/>
    </row>
    <row r="41" spans="1:33" ht="15.75" customHeight="1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6"/>
      <c r="V41" s="1"/>
      <c r="W41" s="31"/>
      <c r="X41" s="31"/>
      <c r="Y41" s="31"/>
      <c r="Z41" s="31"/>
      <c r="AA41" s="2"/>
      <c r="AB41" s="31"/>
      <c r="AC41" s="31"/>
      <c r="AD41" s="31"/>
      <c r="AE41" s="37"/>
      <c r="AF41" s="37"/>
      <c r="AG41" s="37"/>
    </row>
    <row r="42" spans="1:33" ht="15.75" customHeight="1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6"/>
      <c r="V42" s="1"/>
      <c r="W42" s="31"/>
      <c r="X42" s="31"/>
      <c r="Y42" s="31"/>
      <c r="Z42" s="31"/>
      <c r="AA42" s="2"/>
      <c r="AB42" s="31"/>
      <c r="AC42" s="31"/>
      <c r="AD42" s="31"/>
      <c r="AE42" s="37"/>
      <c r="AF42" s="37"/>
      <c r="AG42" s="37"/>
    </row>
    <row r="43" spans="1:33" ht="15.75" customHeight="1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6"/>
      <c r="V43" s="1"/>
      <c r="W43" s="31"/>
      <c r="X43" s="31"/>
      <c r="Y43" s="31"/>
      <c r="Z43" s="31"/>
      <c r="AA43" s="2"/>
      <c r="AB43" s="31"/>
      <c r="AC43" s="31"/>
      <c r="AD43" s="31"/>
      <c r="AE43" s="37"/>
      <c r="AF43" s="37"/>
      <c r="AG43" s="37"/>
    </row>
    <row r="44" spans="1:33" ht="15.75" customHeight="1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6"/>
      <c r="V44" s="1"/>
      <c r="W44" s="31"/>
      <c r="X44" s="31"/>
      <c r="Y44" s="31"/>
      <c r="Z44" s="31"/>
      <c r="AA44" s="2"/>
      <c r="AB44" s="31"/>
      <c r="AC44" s="31"/>
      <c r="AD44" s="31"/>
      <c r="AE44" s="37"/>
      <c r="AF44" s="37"/>
      <c r="AG44" s="37"/>
    </row>
    <row r="45" spans="1:33" ht="15.75" customHeight="1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6"/>
      <c r="V45" s="1"/>
      <c r="W45" s="31"/>
      <c r="X45" s="31"/>
      <c r="Y45" s="31"/>
      <c r="Z45" s="31"/>
      <c r="AA45" s="2"/>
      <c r="AB45" s="31"/>
      <c r="AC45" s="31"/>
      <c r="AD45" s="31"/>
      <c r="AE45" s="37"/>
      <c r="AF45" s="37"/>
      <c r="AG45" s="37"/>
    </row>
    <row r="46" spans="1:33" ht="15.75" customHeight="1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6"/>
      <c r="V46" s="1"/>
      <c r="W46" s="31"/>
      <c r="X46" s="31"/>
      <c r="Y46" s="31"/>
      <c r="Z46" s="31"/>
      <c r="AA46" s="2"/>
      <c r="AB46" s="31"/>
      <c r="AC46" s="31"/>
      <c r="AD46" s="31"/>
      <c r="AE46" s="37"/>
      <c r="AF46" s="37"/>
      <c r="AG46" s="37"/>
    </row>
    <row r="47" spans="1:33" ht="15.75" customHeight="1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6"/>
      <c r="V47" s="1"/>
      <c r="W47" s="31"/>
      <c r="X47" s="31"/>
      <c r="Y47" s="31"/>
      <c r="Z47" s="31"/>
      <c r="AA47" s="2"/>
      <c r="AB47" s="31"/>
      <c r="AC47" s="31"/>
      <c r="AD47" s="31"/>
      <c r="AE47" s="37"/>
      <c r="AF47" s="37"/>
      <c r="AG47" s="37"/>
    </row>
    <row r="48" spans="1:33" ht="15.75" customHeight="1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6"/>
      <c r="V48" s="1"/>
      <c r="W48" s="31"/>
      <c r="X48" s="31"/>
      <c r="Y48" s="31"/>
      <c r="Z48" s="31"/>
      <c r="AA48" s="2"/>
      <c r="AB48" s="31"/>
      <c r="AC48" s="31"/>
      <c r="AD48" s="31"/>
      <c r="AE48" s="37"/>
      <c r="AF48" s="37"/>
      <c r="AG48" s="37"/>
    </row>
    <row r="49" spans="1:33" ht="15.75" customHeight="1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6"/>
      <c r="V49" s="1"/>
      <c r="W49" s="31"/>
      <c r="X49" s="31"/>
      <c r="Y49" s="31"/>
      <c r="Z49" s="31"/>
      <c r="AA49" s="2"/>
      <c r="AB49" s="31"/>
      <c r="AC49" s="31"/>
      <c r="AD49" s="31"/>
      <c r="AE49" s="37"/>
      <c r="AF49" s="37"/>
      <c r="AG49" s="37"/>
    </row>
    <row r="50" spans="1:33" ht="15.75" customHeight="1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6"/>
      <c r="V50" s="1"/>
      <c r="W50" s="31"/>
      <c r="X50" s="31"/>
      <c r="Y50" s="31"/>
      <c r="Z50" s="31"/>
      <c r="AA50" s="2"/>
      <c r="AB50" s="31"/>
      <c r="AC50" s="31"/>
      <c r="AD50" s="31"/>
      <c r="AE50" s="37"/>
      <c r="AF50" s="37"/>
      <c r="AG50" s="37"/>
    </row>
    <row r="51" spans="1:33" ht="15.75" customHeight="1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6"/>
      <c r="V51" s="1"/>
      <c r="W51" s="31"/>
      <c r="X51" s="31"/>
      <c r="Y51" s="31"/>
      <c r="Z51" s="31"/>
      <c r="AA51" s="2"/>
      <c r="AB51" s="31"/>
      <c r="AC51" s="31"/>
      <c r="AD51" s="31"/>
      <c r="AE51" s="37"/>
      <c r="AF51" s="37"/>
      <c r="AG51" s="37"/>
    </row>
    <row r="52" spans="1:33" ht="15.75" customHeight="1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6"/>
      <c r="V52" s="1"/>
      <c r="W52" s="31"/>
      <c r="X52" s="31"/>
      <c r="Y52" s="31"/>
      <c r="Z52" s="31"/>
      <c r="AA52" s="2"/>
      <c r="AB52" s="31"/>
      <c r="AC52" s="31"/>
      <c r="AD52" s="31"/>
      <c r="AE52" s="37"/>
      <c r="AF52" s="37"/>
      <c r="AG52" s="37"/>
    </row>
    <row r="53" spans="1:33" ht="15.75" customHeight="1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6"/>
      <c r="V53" s="1"/>
      <c r="W53" s="31"/>
      <c r="X53" s="31"/>
      <c r="Y53" s="31"/>
      <c r="Z53" s="31"/>
      <c r="AA53" s="2"/>
      <c r="AB53" s="31"/>
      <c r="AC53" s="31"/>
      <c r="AD53" s="31"/>
      <c r="AE53" s="37"/>
      <c r="AF53" s="37"/>
      <c r="AG53" s="37"/>
    </row>
    <row r="54" spans="1:33" ht="15.75" customHeight="1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6"/>
      <c r="V54" s="1"/>
      <c r="W54" s="31"/>
      <c r="X54" s="31"/>
      <c r="Y54" s="31"/>
      <c r="Z54" s="31"/>
      <c r="AA54" s="2"/>
      <c r="AB54" s="31"/>
      <c r="AC54" s="31"/>
      <c r="AD54" s="31"/>
      <c r="AE54" s="37"/>
      <c r="AF54" s="37"/>
      <c r="AG54" s="37"/>
    </row>
    <row r="55" spans="1:33" ht="15.75" customHeight="1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6"/>
      <c r="V55" s="1"/>
      <c r="W55" s="31"/>
      <c r="X55" s="31"/>
      <c r="Y55" s="31"/>
      <c r="Z55" s="31"/>
      <c r="AA55" s="2"/>
      <c r="AB55" s="31"/>
      <c r="AC55" s="31"/>
      <c r="AD55" s="31"/>
      <c r="AE55" s="37"/>
      <c r="AF55" s="37"/>
      <c r="AG55" s="37"/>
    </row>
    <row r="56" spans="1:33" ht="15.75" customHeight="1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6"/>
      <c r="V56" s="1"/>
      <c r="W56" s="31"/>
      <c r="X56" s="31"/>
      <c r="Y56" s="31"/>
      <c r="Z56" s="31"/>
      <c r="AA56" s="2"/>
      <c r="AB56" s="31"/>
      <c r="AC56" s="31"/>
      <c r="AD56" s="31"/>
      <c r="AE56" s="37"/>
      <c r="AF56" s="37"/>
      <c r="AG56" s="37"/>
    </row>
    <row r="57" spans="1:33" ht="15.75" customHeight="1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6"/>
      <c r="V57" s="1"/>
      <c r="W57" s="31"/>
      <c r="X57" s="31"/>
      <c r="Y57" s="31"/>
      <c r="Z57" s="31"/>
      <c r="AA57" s="2"/>
      <c r="AB57" s="31"/>
      <c r="AC57" s="31"/>
      <c r="AD57" s="31"/>
      <c r="AE57" s="37"/>
      <c r="AF57" s="37"/>
      <c r="AG57" s="37"/>
    </row>
    <row r="58" spans="1:33" ht="15.75" customHeight="1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6"/>
      <c r="V58" s="1"/>
      <c r="W58" s="31"/>
      <c r="X58" s="31"/>
      <c r="Y58" s="31"/>
      <c r="Z58" s="31"/>
      <c r="AA58" s="2"/>
      <c r="AB58" s="31"/>
      <c r="AC58" s="31"/>
      <c r="AD58" s="31"/>
      <c r="AE58" s="37"/>
      <c r="AF58" s="37"/>
      <c r="AG58" s="37"/>
    </row>
    <row r="59" spans="1:33" ht="15.75" customHeight="1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6"/>
      <c r="V59" s="1"/>
      <c r="W59" s="31"/>
      <c r="X59" s="31"/>
      <c r="Y59" s="31"/>
      <c r="Z59" s="31"/>
      <c r="AA59" s="2"/>
      <c r="AB59" s="31"/>
      <c r="AC59" s="31"/>
      <c r="AD59" s="31"/>
      <c r="AE59" s="37"/>
      <c r="AF59" s="37"/>
      <c r="AG59" s="37"/>
    </row>
    <row r="60" spans="1:33" ht="15.75" customHeight="1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6"/>
      <c r="V60" s="1"/>
      <c r="W60" s="31"/>
      <c r="X60" s="31"/>
      <c r="Y60" s="31"/>
      <c r="Z60" s="31"/>
      <c r="AA60" s="2"/>
      <c r="AB60" s="31"/>
      <c r="AC60" s="31"/>
      <c r="AD60" s="31"/>
      <c r="AE60" s="37"/>
      <c r="AF60" s="37"/>
      <c r="AG60" s="37"/>
    </row>
    <row r="61" spans="1:33" ht="15.75" customHeight="1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6"/>
      <c r="V61" s="1"/>
      <c r="W61" s="31"/>
      <c r="X61" s="31"/>
      <c r="Y61" s="31"/>
      <c r="Z61" s="31"/>
      <c r="AA61" s="2"/>
      <c r="AB61" s="31"/>
      <c r="AC61" s="31"/>
      <c r="AD61" s="31"/>
      <c r="AE61" s="37"/>
      <c r="AF61" s="37"/>
      <c r="AG61" s="37"/>
    </row>
    <row r="62" spans="1:33" ht="15.75" customHeight="1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6"/>
      <c r="V62" s="1"/>
      <c r="W62" s="31"/>
      <c r="X62" s="31"/>
      <c r="Y62" s="31"/>
      <c r="Z62" s="31"/>
      <c r="AA62" s="2"/>
      <c r="AB62" s="31"/>
      <c r="AC62" s="31"/>
      <c r="AD62" s="31"/>
      <c r="AE62" s="37"/>
      <c r="AF62" s="37"/>
      <c r="AG62" s="37"/>
    </row>
    <row r="63" spans="1:33" ht="15.75" customHeight="1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6"/>
      <c r="V63" s="1"/>
      <c r="W63" s="31"/>
      <c r="X63" s="31"/>
      <c r="Y63" s="31"/>
      <c r="Z63" s="31"/>
      <c r="AA63" s="2"/>
      <c r="AB63" s="31"/>
      <c r="AC63" s="31"/>
      <c r="AD63" s="31"/>
      <c r="AE63" s="37"/>
      <c r="AF63" s="37"/>
      <c r="AG63" s="37"/>
    </row>
    <row r="64" spans="1:33" ht="15.75" customHeight="1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6"/>
      <c r="V64" s="1"/>
      <c r="W64" s="31"/>
      <c r="X64" s="31"/>
      <c r="Y64" s="31"/>
      <c r="Z64" s="31"/>
      <c r="AA64" s="2"/>
      <c r="AB64" s="31"/>
      <c r="AC64" s="31"/>
      <c r="AD64" s="31"/>
      <c r="AE64" s="37"/>
      <c r="AF64" s="37"/>
      <c r="AG64" s="37"/>
    </row>
    <row r="65" spans="1:33" ht="15.75" customHeight="1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6"/>
      <c r="V65" s="1"/>
      <c r="W65" s="31"/>
      <c r="X65" s="31"/>
      <c r="Y65" s="31"/>
      <c r="Z65" s="31"/>
      <c r="AA65" s="2"/>
      <c r="AB65" s="31"/>
      <c r="AC65" s="31"/>
      <c r="AD65" s="31"/>
      <c r="AE65" s="37"/>
      <c r="AF65" s="37"/>
      <c r="AG65" s="37"/>
    </row>
    <row r="66" spans="1:33" ht="15.75" customHeight="1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6"/>
      <c r="V66" s="1"/>
      <c r="W66" s="31"/>
      <c r="X66" s="31"/>
      <c r="Y66" s="31"/>
      <c r="Z66" s="31"/>
      <c r="AA66" s="2"/>
      <c r="AB66" s="31"/>
      <c r="AC66" s="31"/>
      <c r="AD66" s="31"/>
      <c r="AE66" s="37"/>
      <c r="AF66" s="37"/>
      <c r="AG66" s="37"/>
    </row>
    <row r="67" spans="1:33" ht="15.75" customHeight="1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6"/>
      <c r="V67" s="1"/>
      <c r="W67" s="31"/>
      <c r="X67" s="31"/>
      <c r="Y67" s="31"/>
      <c r="Z67" s="31"/>
      <c r="AA67" s="2"/>
      <c r="AB67" s="31"/>
      <c r="AC67" s="31"/>
      <c r="AD67" s="31"/>
      <c r="AE67" s="37"/>
      <c r="AF67" s="37"/>
      <c r="AG67" s="37"/>
    </row>
    <row r="68" spans="1:33" ht="15.75" customHeight="1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6"/>
      <c r="V68" s="1"/>
      <c r="W68" s="31"/>
      <c r="X68" s="31"/>
      <c r="Y68" s="31"/>
      <c r="Z68" s="31"/>
      <c r="AA68" s="2"/>
      <c r="AB68" s="31"/>
      <c r="AC68" s="31"/>
      <c r="AD68" s="31"/>
      <c r="AE68" s="37"/>
      <c r="AF68" s="37"/>
      <c r="AG68" s="37"/>
    </row>
    <row r="69" spans="1:33" ht="15.75" customHeight="1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6"/>
      <c r="V69" s="1"/>
      <c r="W69" s="31"/>
      <c r="X69" s="31"/>
      <c r="Y69" s="31"/>
      <c r="Z69" s="31"/>
      <c r="AA69" s="2"/>
      <c r="AB69" s="31"/>
      <c r="AC69" s="31"/>
      <c r="AD69" s="31"/>
      <c r="AE69" s="37"/>
      <c r="AF69" s="37"/>
      <c r="AG69" s="37"/>
    </row>
    <row r="70" spans="1:33" ht="15.75" customHeight="1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6"/>
      <c r="V70" s="1"/>
      <c r="W70" s="31"/>
      <c r="X70" s="31"/>
      <c r="Y70" s="31"/>
      <c r="Z70" s="31"/>
      <c r="AA70" s="2"/>
      <c r="AB70" s="31"/>
      <c r="AC70" s="31"/>
      <c r="AD70" s="31"/>
      <c r="AE70" s="37"/>
      <c r="AF70" s="37"/>
      <c r="AG70" s="37"/>
    </row>
    <row r="71" spans="1:33" ht="15.75" customHeight="1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6"/>
      <c r="V71" s="1"/>
      <c r="W71" s="31"/>
      <c r="X71" s="31"/>
      <c r="Y71" s="31"/>
      <c r="Z71" s="31"/>
      <c r="AA71" s="2"/>
      <c r="AB71" s="31"/>
      <c r="AC71" s="31"/>
      <c r="AD71" s="31"/>
      <c r="AE71" s="37"/>
      <c r="AF71" s="37"/>
      <c r="AG71" s="37"/>
    </row>
    <row r="72" spans="1:33" ht="15.75" customHeight="1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6"/>
      <c r="V72" s="1"/>
      <c r="W72" s="31"/>
      <c r="X72" s="31"/>
      <c r="Y72" s="31"/>
      <c r="Z72" s="31"/>
      <c r="AA72" s="2"/>
      <c r="AB72" s="31"/>
      <c r="AC72" s="31"/>
      <c r="AD72" s="31"/>
      <c r="AE72" s="37"/>
      <c r="AF72" s="37"/>
      <c r="AG72" s="37"/>
    </row>
    <row r="73" spans="1:33" ht="15.75" customHeight="1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6"/>
      <c r="V73" s="1"/>
      <c r="W73" s="31"/>
      <c r="X73" s="31"/>
      <c r="Y73" s="31"/>
      <c r="Z73" s="31"/>
      <c r="AA73" s="2"/>
      <c r="AB73" s="31"/>
      <c r="AC73" s="31"/>
      <c r="AD73" s="31"/>
      <c r="AE73" s="37"/>
      <c r="AF73" s="37"/>
      <c r="AG73" s="37"/>
    </row>
    <row r="74" spans="1:33" ht="15.75" customHeight="1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6"/>
      <c r="V74" s="1"/>
      <c r="W74" s="31"/>
      <c r="X74" s="31"/>
      <c r="Y74" s="31"/>
      <c r="Z74" s="31"/>
      <c r="AA74" s="2"/>
      <c r="AB74" s="31"/>
      <c r="AC74" s="31"/>
      <c r="AD74" s="31"/>
      <c r="AE74" s="37"/>
      <c r="AF74" s="37"/>
      <c r="AG74" s="37"/>
    </row>
    <row r="75" spans="1:33" ht="15.75" customHeight="1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6"/>
      <c r="V75" s="1"/>
      <c r="W75" s="31"/>
      <c r="X75" s="31"/>
      <c r="Y75" s="31"/>
      <c r="Z75" s="31"/>
      <c r="AA75" s="2"/>
      <c r="AB75" s="31"/>
      <c r="AC75" s="31"/>
      <c r="AD75" s="31"/>
      <c r="AE75" s="37"/>
      <c r="AF75" s="37"/>
      <c r="AG75" s="37"/>
    </row>
    <row r="76" spans="1:33" ht="15.75" customHeight="1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6"/>
      <c r="V76" s="1"/>
      <c r="W76" s="31"/>
      <c r="X76" s="31"/>
      <c r="Y76" s="31"/>
      <c r="Z76" s="31"/>
      <c r="AA76" s="2"/>
      <c r="AB76" s="31"/>
      <c r="AC76" s="31"/>
      <c r="AD76" s="31"/>
      <c r="AE76" s="37"/>
      <c r="AF76" s="37"/>
      <c r="AG76" s="37"/>
    </row>
    <row r="77" spans="1:33" ht="15.75" customHeight="1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6"/>
      <c r="V77" s="1"/>
      <c r="W77" s="31"/>
      <c r="X77" s="31"/>
      <c r="Y77" s="31"/>
      <c r="Z77" s="31"/>
      <c r="AA77" s="2"/>
      <c r="AB77" s="31"/>
      <c r="AC77" s="31"/>
      <c r="AD77" s="31"/>
      <c r="AE77" s="37"/>
      <c r="AF77" s="37"/>
      <c r="AG77" s="37"/>
    </row>
    <row r="78" spans="1:33" ht="15.75" customHeight="1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6"/>
      <c r="V78" s="1"/>
      <c r="W78" s="31"/>
      <c r="X78" s="31"/>
      <c r="Y78" s="31"/>
      <c r="Z78" s="31"/>
      <c r="AA78" s="2"/>
      <c r="AB78" s="31"/>
      <c r="AC78" s="31"/>
      <c r="AD78" s="31"/>
      <c r="AE78" s="37"/>
      <c r="AF78" s="37"/>
      <c r="AG78" s="37"/>
    </row>
    <row r="79" spans="1:33" ht="15.75" customHeight="1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6"/>
      <c r="V79" s="1"/>
      <c r="W79" s="31"/>
      <c r="X79" s="31"/>
      <c r="Y79" s="31"/>
      <c r="Z79" s="31"/>
      <c r="AA79" s="2"/>
      <c r="AB79" s="31"/>
      <c r="AC79" s="31"/>
      <c r="AD79" s="31"/>
      <c r="AE79" s="37"/>
      <c r="AF79" s="37"/>
      <c r="AG79" s="37"/>
    </row>
    <row r="80" spans="1:33" ht="15.75" customHeight="1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6"/>
      <c r="V80" s="1"/>
      <c r="W80" s="31"/>
      <c r="X80" s="31"/>
      <c r="Y80" s="31"/>
      <c r="Z80" s="31"/>
      <c r="AA80" s="2"/>
      <c r="AB80" s="31"/>
      <c r="AC80" s="31"/>
      <c r="AD80" s="31"/>
      <c r="AE80" s="37"/>
      <c r="AF80" s="37"/>
      <c r="AG80" s="37"/>
    </row>
    <row r="81" spans="1:33" ht="15.75" customHeight="1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6"/>
      <c r="V81" s="1"/>
      <c r="W81" s="31"/>
      <c r="X81" s="31"/>
      <c r="Y81" s="31"/>
      <c r="Z81" s="31"/>
      <c r="AA81" s="2"/>
      <c r="AB81" s="31"/>
      <c r="AC81" s="31"/>
      <c r="AD81" s="31"/>
      <c r="AE81" s="37"/>
      <c r="AF81" s="37"/>
      <c r="AG81" s="37"/>
    </row>
    <row r="82" spans="1:33" ht="15.75" customHeight="1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6"/>
      <c r="V82" s="1"/>
      <c r="W82" s="31"/>
      <c r="X82" s="31"/>
      <c r="Y82" s="31"/>
      <c r="Z82" s="31"/>
      <c r="AA82" s="2"/>
      <c r="AB82" s="31"/>
      <c r="AC82" s="31"/>
      <c r="AD82" s="31"/>
      <c r="AE82" s="37"/>
      <c r="AF82" s="37"/>
      <c r="AG82" s="37"/>
    </row>
    <row r="83" spans="1:33" ht="15.75" customHeight="1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6"/>
      <c r="V83" s="1"/>
      <c r="W83" s="31"/>
      <c r="X83" s="31"/>
      <c r="Y83" s="31"/>
      <c r="Z83" s="31"/>
      <c r="AA83" s="2"/>
      <c r="AB83" s="31"/>
      <c r="AC83" s="31"/>
      <c r="AD83" s="31"/>
      <c r="AE83" s="37"/>
      <c r="AF83" s="37"/>
      <c r="AG83" s="37"/>
    </row>
    <row r="84" spans="1:33" ht="15.75" customHeight="1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6"/>
      <c r="V84" s="1"/>
      <c r="W84" s="31"/>
      <c r="X84" s="31"/>
      <c r="Y84" s="31"/>
      <c r="Z84" s="31"/>
      <c r="AA84" s="2"/>
      <c r="AB84" s="31"/>
      <c r="AC84" s="31"/>
      <c r="AD84" s="31"/>
      <c r="AE84" s="37"/>
      <c r="AF84" s="37"/>
      <c r="AG84" s="37"/>
    </row>
    <row r="85" spans="1:33" ht="15.75" customHeight="1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6"/>
      <c r="V85" s="1"/>
      <c r="W85" s="31"/>
      <c r="X85" s="31"/>
      <c r="Y85" s="31"/>
      <c r="Z85" s="31"/>
      <c r="AA85" s="2"/>
      <c r="AB85" s="31"/>
      <c r="AC85" s="31"/>
      <c r="AD85" s="31"/>
      <c r="AE85" s="37"/>
      <c r="AF85" s="37"/>
      <c r="AG85" s="37"/>
    </row>
    <row r="86" spans="1:33" ht="15.75" customHeight="1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6"/>
      <c r="V86" s="1"/>
      <c r="W86" s="31"/>
      <c r="X86" s="31"/>
      <c r="Y86" s="31"/>
      <c r="Z86" s="31"/>
      <c r="AA86" s="2"/>
      <c r="AB86" s="31"/>
      <c r="AC86" s="31"/>
      <c r="AD86" s="31"/>
      <c r="AE86" s="37"/>
      <c r="AF86" s="37"/>
      <c r="AG86" s="37"/>
    </row>
    <row r="87" spans="1:33" ht="15.75" customHeight="1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6"/>
      <c r="V87" s="1"/>
      <c r="W87" s="31"/>
      <c r="X87" s="31"/>
      <c r="Y87" s="31"/>
      <c r="Z87" s="31"/>
      <c r="AA87" s="2"/>
      <c r="AB87" s="31"/>
      <c r="AC87" s="31"/>
      <c r="AD87" s="31"/>
      <c r="AE87" s="37"/>
      <c r="AF87" s="37"/>
      <c r="AG87" s="37"/>
    </row>
    <row r="88" spans="1:33" ht="15.75" customHeight="1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6"/>
      <c r="V88" s="1"/>
      <c r="W88" s="31"/>
      <c r="X88" s="31"/>
      <c r="Y88" s="31"/>
      <c r="Z88" s="31"/>
      <c r="AA88" s="2"/>
      <c r="AB88" s="31"/>
      <c r="AC88" s="31"/>
      <c r="AD88" s="31"/>
      <c r="AE88" s="37"/>
      <c r="AF88" s="37"/>
      <c r="AG88" s="37"/>
    </row>
    <row r="89" spans="1:33" ht="15.75" customHeight="1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6"/>
      <c r="V89" s="1"/>
      <c r="W89" s="31"/>
      <c r="X89" s="31"/>
      <c r="Y89" s="31"/>
      <c r="Z89" s="31"/>
      <c r="AA89" s="2"/>
      <c r="AB89" s="31"/>
      <c r="AC89" s="31"/>
      <c r="AD89" s="31"/>
      <c r="AE89" s="37"/>
      <c r="AF89" s="37"/>
      <c r="AG89" s="37"/>
    </row>
    <row r="90" spans="1:33" ht="15.75" customHeight="1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6"/>
      <c r="V90" s="1"/>
      <c r="W90" s="31"/>
      <c r="X90" s="31"/>
      <c r="Y90" s="31"/>
      <c r="Z90" s="31"/>
      <c r="AA90" s="2"/>
      <c r="AB90" s="31"/>
      <c r="AC90" s="31"/>
      <c r="AD90" s="31"/>
      <c r="AE90" s="37"/>
      <c r="AF90" s="37"/>
      <c r="AG90" s="37"/>
    </row>
    <row r="91" spans="1:33" ht="15.75" customHeight="1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6"/>
      <c r="V91" s="1"/>
      <c r="W91" s="31"/>
      <c r="X91" s="31"/>
      <c r="Y91" s="31"/>
      <c r="Z91" s="31"/>
      <c r="AA91" s="2"/>
      <c r="AB91" s="31"/>
      <c r="AC91" s="31"/>
      <c r="AD91" s="31"/>
      <c r="AE91" s="37"/>
      <c r="AF91" s="37"/>
      <c r="AG91" s="37"/>
    </row>
    <row r="92" spans="1:33" ht="15.75" customHeight="1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6"/>
      <c r="V92" s="1"/>
      <c r="W92" s="31"/>
      <c r="X92" s="31"/>
      <c r="Y92" s="31"/>
      <c r="Z92" s="31"/>
      <c r="AA92" s="2"/>
      <c r="AB92" s="31"/>
      <c r="AC92" s="31"/>
      <c r="AD92" s="31"/>
      <c r="AE92" s="37"/>
      <c r="AF92" s="37"/>
      <c r="AG92" s="37"/>
    </row>
    <row r="93" spans="1:33" ht="15.75" customHeight="1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6"/>
      <c r="V93" s="1"/>
      <c r="W93" s="31"/>
      <c r="X93" s="31"/>
      <c r="Y93" s="31"/>
      <c r="Z93" s="31"/>
      <c r="AA93" s="2"/>
      <c r="AB93" s="31"/>
      <c r="AC93" s="31"/>
      <c r="AD93" s="31"/>
      <c r="AE93" s="37"/>
      <c r="AF93" s="37"/>
      <c r="AG93" s="37"/>
    </row>
    <row r="94" spans="1:33" ht="15.75" customHeight="1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6"/>
      <c r="V94" s="1"/>
      <c r="W94" s="31"/>
      <c r="X94" s="31"/>
      <c r="Y94" s="31"/>
      <c r="Z94" s="31"/>
      <c r="AA94" s="2"/>
      <c r="AB94" s="31"/>
      <c r="AC94" s="31"/>
      <c r="AD94" s="31"/>
      <c r="AE94" s="37"/>
      <c r="AF94" s="37"/>
      <c r="AG94" s="37"/>
    </row>
    <row r="95" spans="1:33" ht="15.75" customHeight="1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6"/>
      <c r="V95" s="1"/>
      <c r="W95" s="31"/>
      <c r="X95" s="31"/>
      <c r="Y95" s="31"/>
      <c r="Z95" s="31"/>
      <c r="AA95" s="2"/>
      <c r="AB95" s="31"/>
      <c r="AC95" s="31"/>
      <c r="AD95" s="31"/>
      <c r="AE95" s="37"/>
      <c r="AF95" s="37"/>
      <c r="AG95" s="37"/>
    </row>
    <row r="96" spans="1:33" ht="15.75" customHeight="1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6"/>
      <c r="V96" s="1"/>
      <c r="W96" s="31"/>
      <c r="X96" s="31"/>
      <c r="Y96" s="31"/>
      <c r="Z96" s="31"/>
      <c r="AA96" s="2"/>
      <c r="AB96" s="31"/>
      <c r="AC96" s="31"/>
      <c r="AD96" s="31"/>
      <c r="AE96" s="37"/>
      <c r="AF96" s="37"/>
      <c r="AG96" s="37"/>
    </row>
    <row r="97" spans="1:33" ht="15.75" customHeight="1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8"/>
      <c r="R97" s="38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8"/>
      <c r="R98" s="38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8"/>
      <c r="R99" s="38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8"/>
      <c r="R100" s="38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8"/>
      <c r="R101" s="38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8"/>
      <c r="R102" s="38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8"/>
      <c r="R103" s="38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8"/>
      <c r="R104" s="38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8"/>
      <c r="R105" s="38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8"/>
      <c r="R106" s="38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8"/>
      <c r="R107" s="38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8"/>
      <c r="R108" s="38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8"/>
      <c r="R109" s="38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8"/>
      <c r="R110" s="38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8"/>
      <c r="R111" s="38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8"/>
      <c r="R112" s="38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8"/>
      <c r="R113" s="38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8"/>
      <c r="R114" s="38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>
      <c r="A115" s="31"/>
      <c r="B115" s="31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>
      <c r="A116" s="31"/>
      <c r="B116" s="31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>
      <c r="A117" s="31"/>
      <c r="B117" s="31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>
      <c r="A118" s="31"/>
      <c r="B118" s="31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>
      <c r="A119" s="31"/>
      <c r="B119" s="31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>
      <c r="A120" s="31"/>
      <c r="B120" s="31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>
      <c r="A121" s="31"/>
      <c r="B121" s="31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>
      <c r="A122" s="31"/>
      <c r="B122" s="31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>
      <c r="A123" s="31"/>
      <c r="B123" s="31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>
      <c r="A124" s="31"/>
      <c r="B124" s="31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>
      <c r="A125" s="31"/>
      <c r="B125" s="31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>
      <c r="A126" s="31"/>
      <c r="B126" s="31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>
      <c r="A127" s="31"/>
      <c r="B127" s="31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>
      <c r="A128" s="31"/>
      <c r="B128" s="31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>
      <c r="A129" s="31"/>
      <c r="B129" s="31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>
      <c r="A130" s="31"/>
      <c r="B130" s="31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>
      <c r="A131" s="31"/>
      <c r="B131" s="31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>
      <c r="A132" s="31"/>
      <c r="B132" s="31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>
      <c r="A133" s="31"/>
      <c r="B133" s="31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>
      <c r="A134" s="31"/>
      <c r="B134" s="31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>
      <c r="A135" s="31"/>
      <c r="B135" s="31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>
      <c r="A136" s="31"/>
      <c r="B136" s="31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>
      <c r="A137" s="31"/>
      <c r="B137" s="31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>
      <c r="A138" s="31"/>
      <c r="B138" s="31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>
      <c r="A139" s="31"/>
      <c r="B139" s="31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>
      <c r="A140" s="31"/>
      <c r="B140" s="31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>
      <c r="A141" s="31"/>
      <c r="B141" s="31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2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>
      <c r="A142" s="31"/>
      <c r="B142" s="31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2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>
      <c r="A143" s="31"/>
      <c r="B143" s="31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2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>
      <c r="A144" s="31"/>
      <c r="B144" s="31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2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>
      <c r="A145" s="31"/>
      <c r="B145" s="31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2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>
      <c r="A146" s="31"/>
      <c r="B146" s="31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2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>
      <c r="A147" s="31"/>
      <c r="B147" s="31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2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>
      <c r="A148" s="31"/>
      <c r="B148" s="31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2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</row>
    <row r="149" spans="1:33" ht="15.75" customHeight="1">
      <c r="A149" s="14"/>
      <c r="B149" s="14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>
      <c r="A150" s="14"/>
      <c r="B150" s="14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>
      <c r="A151" s="14"/>
      <c r="B151" s="14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>
      <c r="A152" s="14"/>
      <c r="B152" s="14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>
      <c r="A153" s="14"/>
      <c r="B153" s="14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>
      <c r="A154" s="14"/>
      <c r="B154" s="14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>
      <c r="A155" s="14"/>
      <c r="B155" s="14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>
      <c r="A156" s="14"/>
      <c r="B156" s="14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>
      <c r="A157" s="14"/>
      <c r="B157" s="14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>
      <c r="A158" s="14"/>
      <c r="B158" s="14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>
      <c r="A159" s="14"/>
      <c r="B159" s="14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>
      <c r="A160" s="14"/>
      <c r="B160" s="14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>
      <c r="A161" s="14"/>
      <c r="B161" s="14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>
      <c r="A162" s="14"/>
      <c r="B162" s="14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>
      <c r="A163" s="14"/>
      <c r="B163" s="14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>
      <c r="A164" s="14"/>
      <c r="B164" s="14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>
      <c r="A165" s="14"/>
      <c r="B165" s="14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>
      <c r="A166" s="14"/>
      <c r="B166" s="14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>
      <c r="A167" s="14"/>
      <c r="B167" s="14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>
      <c r="A168" s="14"/>
      <c r="B168" s="14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>
      <c r="A169" s="14"/>
      <c r="B169" s="14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>
      <c r="A170" s="14"/>
      <c r="B170" s="14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>
      <c r="A171" s="14"/>
      <c r="B171" s="14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>
      <c r="A172" s="14"/>
      <c r="B172" s="14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>
      <c r="A173" s="14"/>
      <c r="B173" s="14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>
      <c r="A174" s="14"/>
      <c r="B174" s="14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>
      <c r="A175" s="14"/>
      <c r="B175" s="14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>
      <c r="A176" s="14"/>
      <c r="B176" s="14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>
      <c r="A177" s="14"/>
      <c r="B177" s="14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>
      <c r="A178" s="14"/>
      <c r="B178" s="14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>
      <c r="A179" s="14"/>
      <c r="B179" s="14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>
      <c r="A180" s="14"/>
      <c r="B180" s="14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>
      <c r="A181" s="14"/>
      <c r="B181" s="14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>
      <c r="A182" s="14"/>
      <c r="B182" s="14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>
      <c r="A183" s="14"/>
      <c r="B183" s="14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>
      <c r="A184" s="14"/>
      <c r="B184" s="14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>
      <c r="A185" s="14"/>
      <c r="B185" s="14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>
      <c r="A186" s="14"/>
      <c r="B186" s="14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>
      <c r="A187" s="14"/>
      <c r="B187" s="14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>
      <c r="A188" s="14"/>
      <c r="B188" s="14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>
      <c r="A189" s="14"/>
      <c r="B189" s="14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>
      <c r="A190" s="14"/>
      <c r="B190" s="14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>
      <c r="A191" s="14"/>
      <c r="B191" s="14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>
      <c r="A192" s="14"/>
      <c r="B192" s="14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>
      <c r="A193" s="14"/>
      <c r="B193" s="14"/>
      <c r="C193" s="39"/>
      <c r="D193" s="39"/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>
      <c r="A194" s="14"/>
      <c r="B194" s="14"/>
      <c r="C194" s="39"/>
      <c r="D194" s="39"/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>
      <c r="A195" s="14"/>
      <c r="B195" s="14"/>
      <c r="C195" s="39"/>
      <c r="D195" s="39"/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>
      <c r="A196" s="14"/>
      <c r="B196" s="14"/>
      <c r="C196" s="39"/>
      <c r="D196" s="39"/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>
      <c r="A197" s="14"/>
      <c r="B197" s="14"/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>
      <c r="A198" s="14"/>
      <c r="B198" s="14"/>
      <c r="C198" s="39"/>
      <c r="D198" s="39"/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>
      <c r="A199" s="14"/>
      <c r="B199" s="14"/>
      <c r="C199" s="39"/>
      <c r="D199" s="39"/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>
      <c r="A200" s="14"/>
      <c r="B200" s="14"/>
      <c r="C200" s="39"/>
      <c r="D200" s="39"/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>
      <c r="A201" s="14"/>
      <c r="B201" s="14"/>
      <c r="C201" s="39"/>
      <c r="D201" s="39"/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>
      <c r="A202" s="14"/>
      <c r="B202" s="14"/>
      <c r="C202" s="39"/>
      <c r="D202" s="39"/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>
      <c r="A203" s="14"/>
      <c r="B203" s="14"/>
      <c r="C203" s="39"/>
      <c r="D203" s="39"/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>
      <c r="A204" s="14"/>
      <c r="B204" s="14"/>
      <c r="C204" s="39"/>
      <c r="D204" s="39"/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>
      <c r="A205" s="14"/>
      <c r="B205" s="14"/>
      <c r="C205" s="39"/>
      <c r="D205" s="39"/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>
      <c r="A206" s="14"/>
      <c r="B206" s="14"/>
      <c r="C206" s="39"/>
      <c r="D206" s="39"/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>
      <c r="A207" s="14"/>
      <c r="B207" s="14"/>
      <c r="C207" s="39"/>
      <c r="D207" s="39"/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>
      <c r="A208" s="14"/>
      <c r="B208" s="14"/>
      <c r="C208" s="39"/>
      <c r="D208" s="39"/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>
      <c r="A209" s="14"/>
      <c r="B209" s="14"/>
      <c r="C209" s="39"/>
      <c r="D209" s="39"/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>
      <c r="A210" s="14"/>
      <c r="B210" s="14"/>
      <c r="C210" s="39"/>
      <c r="D210" s="39"/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>
      <c r="A211" s="14"/>
      <c r="B211" s="14"/>
      <c r="C211" s="39"/>
      <c r="D211" s="39"/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>
      <c r="A212" s="14"/>
      <c r="B212" s="14"/>
      <c r="C212" s="39"/>
      <c r="D212" s="39"/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>
      <c r="A213" s="14"/>
      <c r="B213" s="14"/>
      <c r="C213" s="39"/>
      <c r="D213" s="39"/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>
      <c r="A214" s="14"/>
      <c r="B214" s="14"/>
      <c r="C214" s="39"/>
      <c r="D214" s="39"/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>
      <c r="A215" s="14"/>
      <c r="B215" s="14"/>
      <c r="C215" s="39"/>
      <c r="D215" s="39"/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>
      <c r="A216" s="14"/>
      <c r="B216" s="14"/>
      <c r="C216" s="39"/>
      <c r="D216" s="39"/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>
      <c r="A217" s="14"/>
      <c r="B217" s="14"/>
      <c r="C217" s="39"/>
      <c r="D217" s="39"/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>
      <c r="A218" s="14"/>
      <c r="B218" s="14"/>
      <c r="C218" s="39"/>
      <c r="D218" s="39"/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>
      <c r="A219" s="14"/>
      <c r="B219" s="14"/>
      <c r="C219" s="39"/>
      <c r="D219" s="39"/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>
      <c r="A220" s="14"/>
      <c r="B220" s="14"/>
      <c r="C220" s="39"/>
      <c r="D220" s="39"/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>
      <c r="R221" s="30"/>
      <c r="S221" s="40"/>
    </row>
    <row r="222" spans="1:33" ht="15.75" customHeight="1">
      <c r="R222" s="30"/>
      <c r="S222" s="40"/>
    </row>
    <row r="223" spans="1:33" ht="15.75" customHeight="1">
      <c r="R223" s="30"/>
      <c r="S223" s="40"/>
    </row>
    <row r="224" spans="1:33" ht="15.75" customHeight="1">
      <c r="R224" s="30"/>
      <c r="S224" s="40"/>
    </row>
    <row r="225" spans="18:18" ht="15.75" customHeight="1">
      <c r="R225" s="30"/>
    </row>
    <row r="226" spans="18:18" ht="15.75" customHeight="1">
      <c r="R226" s="30"/>
    </row>
    <row r="227" spans="18:18" ht="15.75" customHeight="1">
      <c r="R227" s="30"/>
    </row>
    <row r="228" spans="18:18" ht="15.75" customHeight="1">
      <c r="R228" s="30"/>
    </row>
    <row r="229" spans="18:18" ht="15.75" customHeight="1">
      <c r="R229" s="30"/>
    </row>
    <row r="230" spans="18:18" ht="15.75" customHeight="1">
      <c r="R230" s="30"/>
    </row>
    <row r="231" spans="18:18" ht="15.75" customHeight="1">
      <c r="R231" s="30"/>
    </row>
    <row r="232" spans="18:18" ht="15.75" customHeight="1">
      <c r="R232" s="30"/>
    </row>
    <row r="233" spans="18:18" ht="15.75" customHeight="1">
      <c r="R233" s="30"/>
    </row>
    <row r="234" spans="18:18" ht="15.75" customHeight="1">
      <c r="R234" s="30"/>
    </row>
    <row r="235" spans="18:18" ht="15.75" customHeight="1">
      <c r="R235" s="30"/>
    </row>
    <row r="236" spans="18:18" ht="15.75" customHeight="1">
      <c r="R236" s="30"/>
    </row>
    <row r="237" spans="18:18" ht="15.75" customHeight="1">
      <c r="R237" s="30"/>
    </row>
    <row r="238" spans="18:18" ht="15.75" customHeight="1">
      <c r="R238" s="30"/>
    </row>
    <row r="239" spans="18:18" ht="15.75" customHeight="1">
      <c r="R239" s="30"/>
    </row>
    <row r="240" spans="18:18" ht="15.75" customHeight="1">
      <c r="R240" s="30"/>
    </row>
    <row r="241" spans="18:18" ht="15.75" customHeight="1">
      <c r="R241" s="30"/>
    </row>
    <row r="242" spans="18:18" ht="15.75" customHeight="1">
      <c r="R242" s="30"/>
    </row>
    <row r="243" spans="18:18" ht="15.75" customHeight="1">
      <c r="R243" s="30"/>
    </row>
    <row r="244" spans="18:18" ht="15.75" customHeight="1">
      <c r="R244" s="30"/>
    </row>
    <row r="245" spans="18:18" ht="15.75" customHeight="1">
      <c r="R245" s="30"/>
    </row>
    <row r="246" spans="18:18" ht="15.75" customHeight="1">
      <c r="R246" s="30"/>
    </row>
    <row r="247" spans="18:18" ht="15.75" customHeight="1">
      <c r="R247" s="30"/>
    </row>
    <row r="248" spans="18:18" ht="15.75" customHeight="1">
      <c r="R248" s="30"/>
    </row>
    <row r="249" spans="18:18" ht="15.75" customHeight="1">
      <c r="R249" s="30"/>
    </row>
    <row r="250" spans="18:18" ht="15.75" customHeight="1">
      <c r="R250" s="30"/>
    </row>
    <row r="251" spans="18:18" ht="15.75" customHeight="1">
      <c r="R251" s="30"/>
    </row>
    <row r="252" spans="18:18" ht="15.75" customHeight="1">
      <c r="R252" s="30"/>
    </row>
    <row r="253" spans="18:18" ht="15.75" customHeight="1">
      <c r="R253" s="30"/>
    </row>
    <row r="254" spans="18:18" ht="15.75" customHeight="1">
      <c r="R254" s="30"/>
    </row>
    <row r="255" spans="18:18" ht="15.75" customHeight="1">
      <c r="R255" s="30"/>
    </row>
    <row r="256" spans="18:18" ht="15.75" customHeight="1">
      <c r="R256" s="30"/>
    </row>
    <row r="257" spans="18:18" ht="15.75" customHeight="1">
      <c r="R257" s="30"/>
    </row>
    <row r="258" spans="18:18" ht="15.75" customHeight="1">
      <c r="R258" s="30"/>
    </row>
    <row r="259" spans="18:18" ht="15.75" customHeight="1">
      <c r="R259" s="30"/>
    </row>
    <row r="260" spans="18:18" ht="15.75" customHeight="1">
      <c r="R260" s="30"/>
    </row>
    <row r="261" spans="18:18" ht="15.75" customHeight="1">
      <c r="R261" s="30"/>
    </row>
    <row r="262" spans="18:18" ht="15.75" customHeight="1">
      <c r="R262" s="30"/>
    </row>
    <row r="263" spans="18:18" ht="15.75" customHeight="1">
      <c r="R263" s="30"/>
    </row>
    <row r="264" spans="18:18" ht="15.75" customHeight="1">
      <c r="R264" s="30"/>
    </row>
    <row r="265" spans="18:18" ht="15.75" customHeight="1">
      <c r="R265" s="30"/>
    </row>
    <row r="266" spans="18:18" ht="15.75" customHeight="1">
      <c r="R266" s="30"/>
    </row>
    <row r="267" spans="18:18" ht="15.75" customHeight="1">
      <c r="R267" s="30"/>
    </row>
    <row r="268" spans="18:18" ht="15.75" customHeight="1">
      <c r="R268" s="30"/>
    </row>
    <row r="269" spans="18:18" ht="15.75" customHeight="1">
      <c r="R269" s="30"/>
    </row>
    <row r="270" spans="18:18" ht="15.75" customHeight="1">
      <c r="R270" s="30"/>
    </row>
    <row r="271" spans="18:18" ht="15.75" customHeight="1">
      <c r="R271" s="30"/>
    </row>
    <row r="272" spans="18:18" ht="15.75" customHeight="1">
      <c r="R272" s="30"/>
    </row>
    <row r="273" spans="18:18" ht="15.75" customHeight="1">
      <c r="R273" s="30"/>
    </row>
    <row r="274" spans="18:18" ht="15.75" customHeight="1">
      <c r="R274" s="30"/>
    </row>
    <row r="275" spans="18:18" ht="15.75" customHeight="1">
      <c r="R275" s="30"/>
    </row>
    <row r="276" spans="18:18" ht="15.75" customHeight="1">
      <c r="R276" s="30"/>
    </row>
    <row r="277" spans="18:18" ht="15.75" customHeight="1">
      <c r="R277" s="30"/>
    </row>
    <row r="278" spans="18:18" ht="15.75" customHeight="1">
      <c r="R278" s="30"/>
    </row>
    <row r="279" spans="18:18" ht="15.75" customHeight="1">
      <c r="R279" s="30"/>
    </row>
    <row r="280" spans="18:18" ht="15.75" customHeight="1">
      <c r="R280" s="30"/>
    </row>
    <row r="281" spans="18:18" ht="15.75" customHeight="1">
      <c r="R281" s="30"/>
    </row>
    <row r="282" spans="18:18" ht="15.75" customHeight="1">
      <c r="R282" s="30"/>
    </row>
    <row r="283" spans="18:18" ht="15.75" customHeight="1">
      <c r="R283" s="30"/>
    </row>
    <row r="284" spans="18:18" ht="15.75" customHeight="1">
      <c r="R284" s="30"/>
    </row>
    <row r="285" spans="18:18" ht="15.75" customHeight="1">
      <c r="R285" s="30"/>
    </row>
    <row r="286" spans="18:18" ht="15.75" customHeight="1">
      <c r="R286" s="30"/>
    </row>
    <row r="287" spans="18:18" ht="15.75" customHeight="1">
      <c r="R287" s="30"/>
    </row>
    <row r="288" spans="18:18" ht="15.75" customHeight="1">
      <c r="R288" s="30"/>
    </row>
    <row r="289" spans="18:18" ht="15.75" customHeight="1">
      <c r="R289" s="30"/>
    </row>
    <row r="290" spans="18:18" ht="15.75" customHeight="1">
      <c r="R290" s="30"/>
    </row>
    <row r="291" spans="18:18" ht="15.75" customHeight="1">
      <c r="R291" s="30"/>
    </row>
    <row r="292" spans="18:18" ht="15.75" customHeight="1">
      <c r="R292" s="30"/>
    </row>
    <row r="293" spans="18:18" ht="15.75" customHeight="1">
      <c r="R293" s="30"/>
    </row>
    <row r="294" spans="18:18" ht="15.75" customHeight="1">
      <c r="R294" s="30"/>
    </row>
    <row r="295" spans="18:18" ht="15.75" customHeight="1">
      <c r="R295" s="30"/>
    </row>
    <row r="296" spans="18:18" ht="15.75" customHeight="1">
      <c r="R296" s="30"/>
    </row>
    <row r="297" spans="18:18" ht="15.75" customHeight="1">
      <c r="R297" s="30"/>
    </row>
    <row r="298" spans="18:18" ht="15.75" customHeight="1">
      <c r="R298" s="30"/>
    </row>
    <row r="299" spans="18:18" ht="15.75" customHeight="1">
      <c r="R299" s="30"/>
    </row>
    <row r="300" spans="18:18" ht="15.75" customHeight="1">
      <c r="R300" s="30"/>
    </row>
    <row r="301" spans="18:18" ht="15.75" customHeight="1">
      <c r="R301" s="30"/>
    </row>
    <row r="302" spans="18:18" ht="15.75" customHeight="1">
      <c r="R302" s="30"/>
    </row>
    <row r="303" spans="18:18" ht="15.75" customHeight="1">
      <c r="R303" s="30"/>
    </row>
    <row r="304" spans="18:18" ht="15.75" customHeight="1">
      <c r="R304" s="30"/>
    </row>
    <row r="305" spans="18:18" ht="15.75" customHeight="1">
      <c r="R305" s="30"/>
    </row>
    <row r="306" spans="18:18" ht="15.75" customHeight="1">
      <c r="R306" s="30"/>
    </row>
    <row r="307" spans="18:18" ht="15.75" customHeight="1">
      <c r="R307" s="30"/>
    </row>
    <row r="308" spans="18:18" ht="15.75" customHeight="1">
      <c r="R308" s="30"/>
    </row>
    <row r="309" spans="18:18" ht="15.75" customHeight="1">
      <c r="R309" s="30"/>
    </row>
    <row r="310" spans="18:18" ht="15.75" customHeight="1">
      <c r="R310" s="30"/>
    </row>
    <row r="311" spans="18:18" ht="15.75" customHeight="1">
      <c r="R311" s="30"/>
    </row>
    <row r="312" spans="18:18" ht="15.75" customHeight="1">
      <c r="R312" s="30"/>
    </row>
    <row r="313" spans="18:18" ht="15.75" customHeight="1">
      <c r="R313" s="30"/>
    </row>
    <row r="314" spans="18:18" ht="15.75" customHeight="1">
      <c r="R314" s="30"/>
    </row>
    <row r="315" spans="18:18" ht="15.75" customHeight="1">
      <c r="R315" s="30"/>
    </row>
    <row r="316" spans="18:18" ht="15.75" customHeight="1">
      <c r="R316" s="30"/>
    </row>
    <row r="317" spans="18:18" ht="15.75" customHeight="1">
      <c r="R317" s="30"/>
    </row>
    <row r="318" spans="18:18" ht="15.75" customHeight="1">
      <c r="R318" s="30"/>
    </row>
    <row r="319" spans="18:18" ht="15.75" customHeight="1">
      <c r="R319" s="30"/>
    </row>
    <row r="320" spans="18:18" ht="15.75" customHeight="1">
      <c r="R320" s="30"/>
    </row>
    <row r="321" spans="18:18" ht="15.75" customHeight="1">
      <c r="R321" s="30"/>
    </row>
    <row r="322" spans="18:18" ht="15.75" customHeight="1">
      <c r="R322" s="30"/>
    </row>
    <row r="323" spans="18:18" ht="15.75" customHeight="1">
      <c r="R323" s="30"/>
    </row>
    <row r="324" spans="18:18" ht="15.75" customHeight="1">
      <c r="R324" s="30"/>
    </row>
    <row r="325" spans="18:18" ht="15.75" customHeight="1">
      <c r="R325" s="30"/>
    </row>
    <row r="326" spans="18:18" ht="15.75" customHeight="1">
      <c r="R326" s="30"/>
    </row>
    <row r="327" spans="18:18" ht="15.75" customHeight="1">
      <c r="R327" s="30"/>
    </row>
    <row r="328" spans="18:18" ht="15.75" customHeight="1">
      <c r="R328" s="30"/>
    </row>
    <row r="329" spans="18:18" ht="15.75" customHeight="1">
      <c r="R329" s="30"/>
    </row>
    <row r="330" spans="18:18" ht="15.75" customHeight="1">
      <c r="R330" s="30"/>
    </row>
    <row r="331" spans="18:18" ht="15.75" customHeight="1">
      <c r="R331" s="30"/>
    </row>
    <row r="332" spans="18:18" ht="15.75" customHeight="1">
      <c r="R332" s="30"/>
    </row>
    <row r="333" spans="18:18" ht="15.75" customHeight="1">
      <c r="R333" s="30"/>
    </row>
    <row r="334" spans="18:18" ht="15.75" customHeight="1">
      <c r="R334" s="30"/>
    </row>
    <row r="335" spans="18:18" ht="15.75" customHeight="1">
      <c r="R335" s="30"/>
    </row>
    <row r="336" spans="18:18" ht="15.75" customHeight="1">
      <c r="R336" s="30"/>
    </row>
    <row r="337" spans="18:18" ht="15.75" customHeight="1">
      <c r="R337" s="30"/>
    </row>
    <row r="338" spans="18:18" ht="15.75" customHeight="1">
      <c r="R338" s="30"/>
    </row>
    <row r="339" spans="18:18" ht="15.75" customHeight="1">
      <c r="R339" s="30"/>
    </row>
    <row r="340" spans="18:18" ht="15.75" customHeight="1">
      <c r="R340" s="30"/>
    </row>
    <row r="341" spans="18:18" ht="15.75" customHeight="1">
      <c r="R341" s="30"/>
    </row>
    <row r="342" spans="18:18" ht="15.75" customHeight="1">
      <c r="R342" s="30"/>
    </row>
    <row r="343" spans="18:18" ht="15.75" customHeight="1">
      <c r="R343" s="30"/>
    </row>
    <row r="344" spans="18:18" ht="15.75" customHeight="1">
      <c r="R344" s="30"/>
    </row>
    <row r="345" spans="18:18" ht="15.75" customHeight="1">
      <c r="R345" s="30"/>
    </row>
    <row r="346" spans="18:18" ht="15.75" customHeight="1">
      <c r="R346" s="30"/>
    </row>
    <row r="347" spans="18:18" ht="15.75" customHeight="1">
      <c r="R347" s="30"/>
    </row>
    <row r="348" spans="18:18" ht="15.75" customHeight="1">
      <c r="R348" s="30"/>
    </row>
    <row r="349" spans="18:18" ht="15.75" customHeight="1">
      <c r="R349" s="30"/>
    </row>
    <row r="350" spans="18:18" ht="15.75" customHeight="1">
      <c r="R350" s="30"/>
    </row>
    <row r="351" spans="18:18" ht="15.75" customHeight="1">
      <c r="R351" s="30"/>
    </row>
    <row r="352" spans="18:18" ht="15.75" customHeight="1">
      <c r="R352" s="30"/>
    </row>
    <row r="353" spans="18:18" ht="15.75" customHeight="1">
      <c r="R353" s="30"/>
    </row>
    <row r="354" spans="18:18" ht="15.75" customHeight="1">
      <c r="R354" s="30"/>
    </row>
    <row r="355" spans="18:18" ht="15.75" customHeight="1">
      <c r="R355" s="30"/>
    </row>
    <row r="356" spans="18:18" ht="15.75" customHeight="1">
      <c r="R356" s="30"/>
    </row>
    <row r="357" spans="18:18" ht="15.75" customHeight="1">
      <c r="R357" s="30"/>
    </row>
    <row r="358" spans="18:18" ht="15.75" customHeight="1">
      <c r="R358" s="30"/>
    </row>
    <row r="359" spans="18:18" ht="15.75" customHeight="1">
      <c r="R359" s="30"/>
    </row>
    <row r="360" spans="18:18" ht="15.75" customHeight="1">
      <c r="R360" s="30"/>
    </row>
    <row r="361" spans="18:18" ht="15.75" customHeight="1">
      <c r="R361" s="30"/>
    </row>
    <row r="362" spans="18:18" ht="15.75" customHeight="1">
      <c r="R362" s="30"/>
    </row>
    <row r="363" spans="18:18" ht="15.75" customHeight="1">
      <c r="R363" s="30"/>
    </row>
    <row r="364" spans="18:18" ht="15.75" customHeight="1">
      <c r="R364" s="30"/>
    </row>
    <row r="365" spans="18:18" ht="15.75" customHeight="1">
      <c r="R365" s="30"/>
    </row>
    <row r="366" spans="18:18" ht="15.75" customHeight="1">
      <c r="R366" s="30"/>
    </row>
    <row r="367" spans="18:18" ht="15.75" customHeight="1">
      <c r="R367" s="30"/>
    </row>
    <row r="368" spans="18:18" ht="15.75" customHeight="1">
      <c r="R368" s="30"/>
    </row>
    <row r="369" spans="18:18" ht="15.75" customHeight="1">
      <c r="R369" s="30"/>
    </row>
    <row r="370" spans="18:18" ht="15.75" customHeight="1">
      <c r="R370" s="30"/>
    </row>
    <row r="371" spans="18:18" ht="15.75" customHeight="1">
      <c r="R371" s="30"/>
    </row>
    <row r="372" spans="18:18" ht="15.75" customHeight="1">
      <c r="R372" s="30"/>
    </row>
    <row r="373" spans="18:18" ht="15.75" customHeight="1">
      <c r="R373" s="30"/>
    </row>
    <row r="374" spans="18:18" ht="15.75" customHeight="1">
      <c r="R374" s="30"/>
    </row>
    <row r="375" spans="18:18" ht="15.75" customHeight="1">
      <c r="R375" s="30"/>
    </row>
    <row r="376" spans="18:18" ht="15.75" customHeight="1">
      <c r="R376" s="30"/>
    </row>
    <row r="377" spans="18:18" ht="15.75" customHeight="1">
      <c r="R377" s="30"/>
    </row>
    <row r="378" spans="18:18" ht="15.75" customHeight="1">
      <c r="R378" s="30"/>
    </row>
    <row r="379" spans="18:18" ht="15.75" customHeight="1">
      <c r="R379" s="30"/>
    </row>
    <row r="380" spans="18:18" ht="15.75" customHeight="1">
      <c r="R380" s="30"/>
    </row>
    <row r="381" spans="18:18" ht="15.75" customHeight="1">
      <c r="R381" s="30"/>
    </row>
    <row r="382" spans="18:18" ht="15.75" customHeight="1">
      <c r="R382" s="30"/>
    </row>
    <row r="383" spans="18:18" ht="15.75" customHeight="1">
      <c r="R383" s="30"/>
    </row>
    <row r="384" spans="18:18" ht="15.75" customHeight="1">
      <c r="R384" s="30"/>
    </row>
    <row r="385" spans="18:18" ht="15.75" customHeight="1">
      <c r="R385" s="30"/>
    </row>
    <row r="386" spans="18:18" ht="15.75" customHeight="1">
      <c r="R386" s="30"/>
    </row>
    <row r="387" spans="18:18" ht="15.75" customHeight="1">
      <c r="R387" s="30"/>
    </row>
    <row r="388" spans="18:18" ht="15.75" customHeight="1">
      <c r="R388" s="30"/>
    </row>
    <row r="389" spans="18:18" ht="15.75" customHeight="1">
      <c r="R389" s="30"/>
    </row>
    <row r="390" spans="18:18" ht="15.75" customHeight="1">
      <c r="R390" s="30"/>
    </row>
    <row r="391" spans="18:18" ht="15.75" customHeight="1">
      <c r="R391" s="30"/>
    </row>
    <row r="392" spans="18:18" ht="15.75" customHeight="1">
      <c r="R392" s="30"/>
    </row>
    <row r="393" spans="18:18" ht="15.75" customHeight="1">
      <c r="R393" s="30"/>
    </row>
    <row r="394" spans="18:18" ht="15.75" customHeight="1">
      <c r="R394" s="30"/>
    </row>
    <row r="395" spans="18:18" ht="15.75" customHeight="1">
      <c r="R395" s="30"/>
    </row>
    <row r="396" spans="18:18" ht="15.75" customHeight="1">
      <c r="R396" s="30"/>
    </row>
    <row r="397" spans="18:18" ht="15.75" customHeight="1">
      <c r="R397" s="30"/>
    </row>
    <row r="398" spans="18:18" ht="15.75" customHeight="1">
      <c r="R398" s="30"/>
    </row>
    <row r="399" spans="18:18" ht="15.75" customHeight="1">
      <c r="R399" s="30"/>
    </row>
    <row r="400" spans="18:18" ht="15.75" customHeight="1">
      <c r="R400" s="30"/>
    </row>
    <row r="401" spans="18:18" ht="15.75" customHeight="1">
      <c r="R401" s="30"/>
    </row>
    <row r="402" spans="18:18" ht="15.75" customHeight="1">
      <c r="R402" s="30"/>
    </row>
    <row r="403" spans="18:18" ht="15.75" customHeight="1">
      <c r="R403" s="30"/>
    </row>
    <row r="404" spans="18:18" ht="15.75" customHeight="1">
      <c r="R404" s="30"/>
    </row>
    <row r="405" spans="18:18" ht="15.75" customHeight="1">
      <c r="R405" s="30"/>
    </row>
    <row r="406" spans="18:18" ht="15.75" customHeight="1">
      <c r="R406" s="30"/>
    </row>
    <row r="407" spans="18:18" ht="15.75" customHeight="1">
      <c r="R407" s="30"/>
    </row>
    <row r="408" spans="18:18" ht="15.75" customHeight="1">
      <c r="R408" s="30"/>
    </row>
    <row r="409" spans="18:18" ht="15.75" customHeight="1">
      <c r="R409" s="30"/>
    </row>
    <row r="410" spans="18:18" ht="15.75" customHeight="1">
      <c r="R410" s="30"/>
    </row>
    <row r="411" spans="18:18" ht="15.75" customHeight="1">
      <c r="R411" s="30"/>
    </row>
    <row r="412" spans="18:18" ht="15.75" customHeight="1">
      <c r="R412" s="30"/>
    </row>
    <row r="413" spans="18:18" ht="15.75" customHeight="1">
      <c r="R413" s="30"/>
    </row>
    <row r="414" spans="18:18" ht="15.75" customHeight="1">
      <c r="R414" s="30"/>
    </row>
    <row r="415" spans="18:18" ht="15.75" customHeight="1">
      <c r="R415" s="30"/>
    </row>
    <row r="416" spans="18:18" ht="15.75" customHeight="1">
      <c r="R416" s="30"/>
    </row>
    <row r="417" spans="18:18" ht="15.75" customHeight="1">
      <c r="R417" s="30"/>
    </row>
    <row r="418" spans="18:18" ht="15.75" customHeight="1">
      <c r="R418" s="30"/>
    </row>
    <row r="419" spans="18:18" ht="15.75" customHeight="1">
      <c r="R419" s="30"/>
    </row>
    <row r="420" spans="18:18" ht="15.75" customHeight="1">
      <c r="R420" s="30"/>
    </row>
    <row r="421" spans="18:18" ht="15.75" customHeight="1">
      <c r="R421" s="30"/>
    </row>
    <row r="422" spans="18:18" ht="15.75" customHeight="1">
      <c r="R422" s="30"/>
    </row>
    <row r="423" spans="18:18" ht="15.75" customHeight="1">
      <c r="R423" s="30"/>
    </row>
    <row r="424" spans="18:18" ht="15.75" customHeight="1">
      <c r="R424" s="30"/>
    </row>
    <row r="425" spans="18:18" ht="15.75" customHeight="1">
      <c r="R425" s="30"/>
    </row>
    <row r="426" spans="18:18" ht="15.75" customHeight="1">
      <c r="R426" s="30"/>
    </row>
    <row r="427" spans="18:18" ht="15.75" customHeight="1">
      <c r="R427" s="30"/>
    </row>
    <row r="428" spans="18:18" ht="15.75" customHeight="1">
      <c r="R428" s="30"/>
    </row>
    <row r="429" spans="18:18" ht="15.75" customHeight="1">
      <c r="R429" s="30"/>
    </row>
    <row r="430" spans="18:18" ht="15.75" customHeight="1">
      <c r="R430" s="30"/>
    </row>
    <row r="431" spans="18:18" ht="15.75" customHeight="1">
      <c r="R431" s="30"/>
    </row>
    <row r="432" spans="18:18" ht="15.75" customHeight="1">
      <c r="R432" s="30"/>
    </row>
    <row r="433" spans="18:18" ht="15.75" customHeight="1">
      <c r="R433" s="30"/>
    </row>
    <row r="434" spans="18:18" ht="15.75" customHeight="1">
      <c r="R434" s="30"/>
    </row>
    <row r="435" spans="18:18" ht="15.75" customHeight="1">
      <c r="R435" s="30"/>
    </row>
    <row r="436" spans="18:18" ht="15.75" customHeight="1">
      <c r="R436" s="30"/>
    </row>
    <row r="437" spans="18:18" ht="15.75" customHeight="1">
      <c r="R437" s="30"/>
    </row>
    <row r="438" spans="18:18" ht="15.75" customHeight="1">
      <c r="R438" s="30"/>
    </row>
    <row r="439" spans="18:18" ht="15.75" customHeight="1">
      <c r="R439" s="30"/>
    </row>
    <row r="440" spans="18:18" ht="15.75" customHeight="1">
      <c r="R440" s="30"/>
    </row>
    <row r="441" spans="18:18" ht="15.75" customHeight="1">
      <c r="R441" s="30"/>
    </row>
    <row r="442" spans="18:18" ht="15.75" customHeight="1">
      <c r="R442" s="30"/>
    </row>
    <row r="443" spans="18:18" ht="15.75" customHeight="1">
      <c r="R443" s="30"/>
    </row>
    <row r="444" spans="18:18" ht="15.75" customHeight="1">
      <c r="R444" s="30"/>
    </row>
    <row r="445" spans="18:18" ht="15.75" customHeight="1">
      <c r="R445" s="30"/>
    </row>
    <row r="446" spans="18:18" ht="15.75" customHeight="1">
      <c r="R446" s="30"/>
    </row>
    <row r="447" spans="18:18" ht="15.75" customHeight="1">
      <c r="R447" s="30"/>
    </row>
    <row r="448" spans="18:18" ht="15.75" customHeight="1">
      <c r="R448" s="30"/>
    </row>
    <row r="449" spans="18:18" ht="15.75" customHeight="1">
      <c r="R449" s="30"/>
    </row>
    <row r="450" spans="18:18" ht="15.75" customHeight="1">
      <c r="R450" s="30"/>
    </row>
    <row r="451" spans="18:18" ht="15.75" customHeight="1">
      <c r="R451" s="30"/>
    </row>
    <row r="452" spans="18:18" ht="15.75" customHeight="1">
      <c r="R452" s="30"/>
    </row>
    <row r="453" spans="18:18" ht="15.75" customHeight="1">
      <c r="R453" s="30"/>
    </row>
    <row r="454" spans="18:18" ht="15.75" customHeight="1">
      <c r="R454" s="30"/>
    </row>
    <row r="455" spans="18:18" ht="15.75" customHeight="1">
      <c r="R455" s="30"/>
    </row>
    <row r="456" spans="18:18" ht="15.75" customHeight="1">
      <c r="R456" s="30"/>
    </row>
    <row r="457" spans="18:18" ht="15.75" customHeight="1">
      <c r="R457" s="30"/>
    </row>
    <row r="458" spans="18:18" ht="15.75" customHeight="1">
      <c r="R458" s="30"/>
    </row>
    <row r="459" spans="18:18" ht="15.75" customHeight="1">
      <c r="R459" s="30"/>
    </row>
    <row r="460" spans="18:18" ht="15.75" customHeight="1">
      <c r="R460" s="30"/>
    </row>
    <row r="461" spans="18:18" ht="15.75" customHeight="1">
      <c r="R461" s="30"/>
    </row>
    <row r="462" spans="18:18" ht="15.75" customHeight="1">
      <c r="R462" s="30"/>
    </row>
    <row r="463" spans="18:18" ht="15.75" customHeight="1">
      <c r="R463" s="30"/>
    </row>
    <row r="464" spans="18:18" ht="15.75" customHeight="1">
      <c r="R464" s="30"/>
    </row>
    <row r="465" spans="18:18" ht="15.75" customHeight="1">
      <c r="R465" s="30"/>
    </row>
    <row r="466" spans="18:18" ht="15.75" customHeight="1">
      <c r="R466" s="30"/>
    </row>
    <row r="467" spans="18:18" ht="15.75" customHeight="1">
      <c r="R467" s="30"/>
    </row>
    <row r="468" spans="18:18" ht="15.75" customHeight="1">
      <c r="R468" s="30"/>
    </row>
    <row r="469" spans="18:18" ht="15.75" customHeight="1">
      <c r="R469" s="30"/>
    </row>
    <row r="470" spans="18:18" ht="15.75" customHeight="1">
      <c r="R470" s="30"/>
    </row>
    <row r="471" spans="18:18" ht="15.75" customHeight="1">
      <c r="R471" s="30"/>
    </row>
    <row r="472" spans="18:18" ht="15.75" customHeight="1">
      <c r="R472" s="30"/>
    </row>
    <row r="473" spans="18:18" ht="15.75" customHeight="1">
      <c r="R473" s="30"/>
    </row>
    <row r="474" spans="18:18" ht="15.75" customHeight="1">
      <c r="R474" s="30"/>
    </row>
    <row r="475" spans="18:18" ht="15.75" customHeight="1">
      <c r="R475" s="30"/>
    </row>
    <row r="476" spans="18:18" ht="15.75" customHeight="1">
      <c r="R476" s="30"/>
    </row>
    <row r="477" spans="18:18" ht="15.75" customHeight="1">
      <c r="R477" s="30"/>
    </row>
    <row r="478" spans="18:18" ht="15.75" customHeight="1">
      <c r="R478" s="30"/>
    </row>
    <row r="479" spans="18:18" ht="15.75" customHeight="1">
      <c r="R479" s="30"/>
    </row>
    <row r="480" spans="18:18" ht="15.75" customHeight="1">
      <c r="R480" s="30"/>
    </row>
    <row r="481" spans="18:18" ht="15.75" customHeight="1">
      <c r="R481" s="30"/>
    </row>
    <row r="482" spans="18:18" ht="15.75" customHeight="1">
      <c r="R482" s="30"/>
    </row>
    <row r="483" spans="18:18" ht="15.75" customHeight="1">
      <c r="R483" s="30"/>
    </row>
    <row r="484" spans="18:18" ht="15.75" customHeight="1">
      <c r="R484" s="30"/>
    </row>
    <row r="485" spans="18:18" ht="15.75" customHeight="1">
      <c r="R485" s="30"/>
    </row>
    <row r="486" spans="18:18" ht="15.75" customHeight="1">
      <c r="R486" s="30"/>
    </row>
    <row r="487" spans="18:18" ht="15.75" customHeight="1">
      <c r="R487" s="30"/>
    </row>
    <row r="488" spans="18:18" ht="15.75" customHeight="1">
      <c r="R488" s="30"/>
    </row>
    <row r="489" spans="18:18" ht="15.75" customHeight="1">
      <c r="R489" s="30"/>
    </row>
    <row r="490" spans="18:18" ht="15.75" customHeight="1">
      <c r="R490" s="30"/>
    </row>
    <row r="491" spans="18:18" ht="15.75" customHeight="1">
      <c r="R491" s="30"/>
    </row>
    <row r="492" spans="18:18" ht="15.75" customHeight="1">
      <c r="R492" s="30"/>
    </row>
    <row r="493" spans="18:18" ht="15.75" customHeight="1">
      <c r="R493" s="30"/>
    </row>
    <row r="494" spans="18:18" ht="15.75" customHeight="1">
      <c r="R494" s="30"/>
    </row>
    <row r="495" spans="18:18" ht="15.75" customHeight="1">
      <c r="R495" s="30"/>
    </row>
    <row r="496" spans="18:18" ht="15.75" customHeight="1">
      <c r="R496" s="30"/>
    </row>
    <row r="497" spans="18:18" ht="15.75" customHeight="1">
      <c r="R497" s="30"/>
    </row>
    <row r="498" spans="18:18" ht="15.75" customHeight="1">
      <c r="R498" s="30"/>
    </row>
    <row r="499" spans="18:18" ht="15.75" customHeight="1">
      <c r="R499" s="30"/>
    </row>
    <row r="500" spans="18:18" ht="15.75" customHeight="1">
      <c r="R500" s="30"/>
    </row>
    <row r="501" spans="18:18" ht="15.75" customHeight="1">
      <c r="R501" s="30"/>
    </row>
    <row r="502" spans="18:18" ht="15.75" customHeight="1">
      <c r="R502" s="30"/>
    </row>
    <row r="503" spans="18:18" ht="15.75" customHeight="1">
      <c r="R503" s="30"/>
    </row>
    <row r="504" spans="18:18" ht="15.75" customHeight="1">
      <c r="R504" s="30"/>
    </row>
    <row r="505" spans="18:18" ht="15.75" customHeight="1">
      <c r="R505" s="30"/>
    </row>
    <row r="506" spans="18:18" ht="15.75" customHeight="1">
      <c r="R506" s="30"/>
    </row>
    <row r="507" spans="18:18" ht="15.75" customHeight="1">
      <c r="R507" s="30"/>
    </row>
    <row r="508" spans="18:18" ht="15.75" customHeight="1">
      <c r="R508" s="30"/>
    </row>
    <row r="509" spans="18:18" ht="15.75" customHeight="1">
      <c r="R509" s="30"/>
    </row>
    <row r="510" spans="18:18" ht="15.75" customHeight="1">
      <c r="R510" s="30"/>
    </row>
    <row r="511" spans="18:18" ht="15.75" customHeight="1">
      <c r="R511" s="30"/>
    </row>
    <row r="512" spans="18:18" ht="15.75" customHeight="1">
      <c r="R512" s="30"/>
    </row>
    <row r="513" spans="18:18" ht="15.75" customHeight="1">
      <c r="R513" s="30"/>
    </row>
    <row r="514" spans="18:18" ht="15.75" customHeight="1">
      <c r="R514" s="30"/>
    </row>
    <row r="515" spans="18:18" ht="15.75" customHeight="1">
      <c r="R515" s="30"/>
    </row>
    <row r="516" spans="18:18" ht="15.75" customHeight="1">
      <c r="R516" s="30"/>
    </row>
    <row r="517" spans="18:18" ht="15.75" customHeight="1">
      <c r="R517" s="30"/>
    </row>
    <row r="518" spans="18:18" ht="15.75" customHeight="1">
      <c r="R518" s="30"/>
    </row>
    <row r="519" spans="18:18" ht="15.75" customHeight="1">
      <c r="R519" s="30"/>
    </row>
    <row r="520" spans="18:18" ht="15.75" customHeight="1">
      <c r="R520" s="30"/>
    </row>
    <row r="521" spans="18:18" ht="15.75" customHeight="1">
      <c r="R521" s="30"/>
    </row>
    <row r="522" spans="18:18" ht="15.75" customHeight="1">
      <c r="R522" s="30"/>
    </row>
    <row r="523" spans="18:18" ht="15.75" customHeight="1">
      <c r="R523" s="30"/>
    </row>
    <row r="524" spans="18:18" ht="15.75" customHeight="1">
      <c r="R524" s="30"/>
    </row>
    <row r="525" spans="18:18" ht="15.75" customHeight="1">
      <c r="R525" s="30"/>
    </row>
    <row r="526" spans="18:18" ht="15.75" customHeight="1">
      <c r="R526" s="30"/>
    </row>
    <row r="527" spans="18:18" ht="15.75" customHeight="1">
      <c r="R527" s="30"/>
    </row>
    <row r="528" spans="18:18" ht="15.75" customHeight="1">
      <c r="R528" s="30"/>
    </row>
    <row r="529" spans="18:18" ht="15.75" customHeight="1">
      <c r="R529" s="30"/>
    </row>
    <row r="530" spans="18:18" ht="15.75" customHeight="1">
      <c r="R530" s="30"/>
    </row>
    <row r="531" spans="18:18" ht="15.75" customHeight="1">
      <c r="R531" s="30"/>
    </row>
    <row r="532" spans="18:18" ht="15.75" customHeight="1">
      <c r="R532" s="30"/>
    </row>
    <row r="533" spans="18:18" ht="15.75" customHeight="1">
      <c r="R533" s="30"/>
    </row>
    <row r="534" spans="18:18" ht="15.75" customHeight="1">
      <c r="R534" s="30"/>
    </row>
    <row r="535" spans="18:18" ht="15.75" customHeight="1">
      <c r="R535" s="30"/>
    </row>
    <row r="536" spans="18:18" ht="15.75" customHeight="1">
      <c r="R536" s="30"/>
    </row>
    <row r="537" spans="18:18" ht="15.75" customHeight="1">
      <c r="R537" s="30"/>
    </row>
    <row r="538" spans="18:18" ht="15.75" customHeight="1">
      <c r="R538" s="30"/>
    </row>
    <row r="539" spans="18:18" ht="15.75" customHeight="1">
      <c r="R539" s="30"/>
    </row>
    <row r="540" spans="18:18" ht="15.75" customHeight="1">
      <c r="R540" s="30"/>
    </row>
    <row r="541" spans="18:18" ht="15.75" customHeight="1">
      <c r="R541" s="30"/>
    </row>
    <row r="542" spans="18:18" ht="15.75" customHeight="1">
      <c r="R542" s="30"/>
    </row>
    <row r="543" spans="18:18" ht="15.75" customHeight="1">
      <c r="R543" s="30"/>
    </row>
    <row r="544" spans="18:18" ht="15.75" customHeight="1">
      <c r="R544" s="30"/>
    </row>
    <row r="545" spans="18:18" ht="15.75" customHeight="1">
      <c r="R545" s="30"/>
    </row>
    <row r="546" spans="18:18" ht="15.75" customHeight="1">
      <c r="R546" s="30"/>
    </row>
    <row r="547" spans="18:18" ht="15.75" customHeight="1">
      <c r="R547" s="30"/>
    </row>
    <row r="548" spans="18:18" ht="15.75" customHeight="1">
      <c r="R548" s="30"/>
    </row>
    <row r="549" spans="18:18" ht="15.75" customHeight="1">
      <c r="R549" s="30"/>
    </row>
    <row r="550" spans="18:18" ht="15.75" customHeight="1">
      <c r="R550" s="30"/>
    </row>
    <row r="551" spans="18:18" ht="15.75" customHeight="1">
      <c r="R551" s="30"/>
    </row>
    <row r="552" spans="18:18" ht="15.75" customHeight="1">
      <c r="R552" s="30"/>
    </row>
    <row r="553" spans="18:18" ht="15.75" customHeight="1">
      <c r="R553" s="30"/>
    </row>
    <row r="554" spans="18:18" ht="15.75" customHeight="1">
      <c r="R554" s="30"/>
    </row>
    <row r="555" spans="18:18" ht="15.75" customHeight="1">
      <c r="R555" s="30"/>
    </row>
    <row r="556" spans="18:18" ht="15.75" customHeight="1">
      <c r="R556" s="30"/>
    </row>
    <row r="557" spans="18:18" ht="15.75" customHeight="1">
      <c r="R557" s="30"/>
    </row>
    <row r="558" spans="18:18" ht="15.75" customHeight="1">
      <c r="R558" s="30"/>
    </row>
    <row r="559" spans="18:18" ht="15.75" customHeight="1">
      <c r="R559" s="30"/>
    </row>
    <row r="560" spans="18:18" ht="15.75" customHeight="1">
      <c r="R560" s="30"/>
    </row>
    <row r="561" spans="18:18" ht="15.75" customHeight="1">
      <c r="R561" s="30"/>
    </row>
    <row r="562" spans="18:18" ht="15.75" customHeight="1">
      <c r="R562" s="30"/>
    </row>
    <row r="563" spans="18:18" ht="15.75" customHeight="1">
      <c r="R563" s="30"/>
    </row>
    <row r="564" spans="18:18" ht="15.75" customHeight="1">
      <c r="R564" s="30"/>
    </row>
    <row r="565" spans="18:18" ht="15.75" customHeight="1">
      <c r="R565" s="30"/>
    </row>
    <row r="566" spans="18:18" ht="15.75" customHeight="1">
      <c r="R566" s="30"/>
    </row>
    <row r="567" spans="18:18" ht="15.75" customHeight="1">
      <c r="R567" s="30"/>
    </row>
    <row r="568" spans="18:18" ht="15.75" customHeight="1">
      <c r="R568" s="30"/>
    </row>
    <row r="569" spans="18:18" ht="15.75" customHeight="1">
      <c r="R569" s="30"/>
    </row>
    <row r="570" spans="18:18" ht="15.75" customHeight="1">
      <c r="R570" s="30"/>
    </row>
    <row r="571" spans="18:18" ht="15.75" customHeight="1">
      <c r="R571" s="30"/>
    </row>
    <row r="572" spans="18:18" ht="15.75" customHeight="1">
      <c r="R572" s="30"/>
    </row>
    <row r="573" spans="18:18" ht="15.75" customHeight="1">
      <c r="R573" s="30"/>
    </row>
    <row r="574" spans="18:18" ht="15.75" customHeight="1">
      <c r="R574" s="30"/>
    </row>
    <row r="575" spans="18:18" ht="15.75" customHeight="1">
      <c r="R575" s="30"/>
    </row>
    <row r="576" spans="18:18" ht="15.75" customHeight="1">
      <c r="R576" s="30"/>
    </row>
    <row r="577" spans="18:18" ht="15.75" customHeight="1">
      <c r="R577" s="30"/>
    </row>
    <row r="578" spans="18:18" ht="15.75" customHeight="1">
      <c r="R578" s="30"/>
    </row>
    <row r="579" spans="18:18" ht="15.75" customHeight="1">
      <c r="R579" s="30"/>
    </row>
    <row r="580" spans="18:18" ht="15.75" customHeight="1">
      <c r="R580" s="30"/>
    </row>
    <row r="581" spans="18:18" ht="15.75" customHeight="1">
      <c r="R581" s="30"/>
    </row>
    <row r="582" spans="18:18" ht="15.75" customHeight="1">
      <c r="R582" s="30"/>
    </row>
    <row r="583" spans="18:18" ht="15.75" customHeight="1">
      <c r="R583" s="30"/>
    </row>
    <row r="584" spans="18:18" ht="15.75" customHeight="1">
      <c r="R584" s="30"/>
    </row>
    <row r="585" spans="18:18" ht="15.75" customHeight="1">
      <c r="R585" s="30"/>
    </row>
    <row r="586" spans="18:18" ht="15.75" customHeight="1">
      <c r="R586" s="30"/>
    </row>
    <row r="587" spans="18:18" ht="15.75" customHeight="1">
      <c r="R587" s="30"/>
    </row>
    <row r="588" spans="18:18" ht="15.75" customHeight="1">
      <c r="R588" s="30"/>
    </row>
    <row r="589" spans="18:18" ht="15.75" customHeight="1">
      <c r="R589" s="30"/>
    </row>
    <row r="590" spans="18:18" ht="15.75" customHeight="1">
      <c r="R590" s="30"/>
    </row>
    <row r="591" spans="18:18" ht="15.75" customHeight="1">
      <c r="R591" s="30"/>
    </row>
    <row r="592" spans="18:18" ht="15.75" customHeight="1">
      <c r="R592" s="30"/>
    </row>
    <row r="593" spans="18:18" ht="15.75" customHeight="1">
      <c r="R593" s="30"/>
    </row>
    <row r="594" spans="18:18" ht="15.75" customHeight="1">
      <c r="R594" s="30"/>
    </row>
    <row r="595" spans="18:18" ht="15.75" customHeight="1">
      <c r="R595" s="30"/>
    </row>
    <row r="596" spans="18:18" ht="15.75" customHeight="1">
      <c r="R596" s="30"/>
    </row>
    <row r="597" spans="18:18" ht="15.75" customHeight="1">
      <c r="R597" s="30"/>
    </row>
    <row r="598" spans="18:18" ht="15.75" customHeight="1">
      <c r="R598" s="30"/>
    </row>
    <row r="599" spans="18:18" ht="15.75" customHeight="1">
      <c r="R599" s="30"/>
    </row>
    <row r="600" spans="18:18" ht="15.75" customHeight="1">
      <c r="R600" s="30"/>
    </row>
    <row r="601" spans="18:18" ht="15.75" customHeight="1">
      <c r="R601" s="30"/>
    </row>
    <row r="602" spans="18:18" ht="15.75" customHeight="1">
      <c r="R602" s="30"/>
    </row>
    <row r="603" spans="18:18" ht="15.75" customHeight="1">
      <c r="R603" s="30"/>
    </row>
    <row r="604" spans="18:18" ht="15.75" customHeight="1">
      <c r="R604" s="30"/>
    </row>
    <row r="605" spans="18:18" ht="15.75" customHeight="1">
      <c r="R605" s="30"/>
    </row>
    <row r="606" spans="18:18" ht="15.75" customHeight="1">
      <c r="R606" s="30"/>
    </row>
    <row r="607" spans="18:18" ht="15.75" customHeight="1">
      <c r="R607" s="30"/>
    </row>
    <row r="608" spans="18:18" ht="15.75" customHeight="1">
      <c r="R608" s="30"/>
    </row>
    <row r="609" spans="18:18" ht="15.75" customHeight="1">
      <c r="R609" s="30"/>
    </row>
    <row r="610" spans="18:18" ht="15.75" customHeight="1">
      <c r="R610" s="30"/>
    </row>
    <row r="611" spans="18:18" ht="15.75" customHeight="1">
      <c r="R611" s="30"/>
    </row>
    <row r="612" spans="18:18" ht="15.75" customHeight="1">
      <c r="R612" s="30"/>
    </row>
    <row r="613" spans="18:18" ht="15.75" customHeight="1">
      <c r="R613" s="30"/>
    </row>
    <row r="614" spans="18:18" ht="15.75" customHeight="1">
      <c r="R614" s="30"/>
    </row>
    <row r="615" spans="18:18" ht="15.75" customHeight="1">
      <c r="R615" s="30"/>
    </row>
    <row r="616" spans="18:18" ht="15.75" customHeight="1">
      <c r="R616" s="30"/>
    </row>
    <row r="617" spans="18:18" ht="15.75" customHeight="1">
      <c r="R617" s="30"/>
    </row>
    <row r="618" spans="18:18" ht="15.75" customHeight="1">
      <c r="R618" s="30"/>
    </row>
    <row r="619" spans="18:18" ht="15.75" customHeight="1">
      <c r="R619" s="30"/>
    </row>
    <row r="620" spans="18:18" ht="15.75" customHeight="1">
      <c r="R620" s="30"/>
    </row>
    <row r="621" spans="18:18" ht="15.75" customHeight="1">
      <c r="R621" s="30"/>
    </row>
    <row r="622" spans="18:18" ht="15.75" customHeight="1">
      <c r="R622" s="30"/>
    </row>
    <row r="623" spans="18:18" ht="15.75" customHeight="1">
      <c r="R623" s="30"/>
    </row>
    <row r="624" spans="18:18" ht="15.75" customHeight="1">
      <c r="R624" s="30"/>
    </row>
    <row r="625" spans="18:18" ht="15.75" customHeight="1">
      <c r="R625" s="30"/>
    </row>
    <row r="626" spans="18:18" ht="15.75" customHeight="1">
      <c r="R626" s="30"/>
    </row>
    <row r="627" spans="18:18" ht="15.75" customHeight="1">
      <c r="R627" s="30"/>
    </row>
    <row r="628" spans="18:18" ht="15.75" customHeight="1">
      <c r="R628" s="30"/>
    </row>
    <row r="629" spans="18:18" ht="15.75" customHeight="1">
      <c r="R629" s="30"/>
    </row>
    <row r="630" spans="18:18" ht="15.75" customHeight="1">
      <c r="R630" s="30"/>
    </row>
    <row r="631" spans="18:18" ht="15.75" customHeight="1">
      <c r="R631" s="30"/>
    </row>
    <row r="632" spans="18:18" ht="15.75" customHeight="1">
      <c r="R632" s="30"/>
    </row>
    <row r="633" spans="18:18" ht="15.75" customHeight="1">
      <c r="R633" s="30"/>
    </row>
    <row r="634" spans="18:18" ht="15.75" customHeight="1">
      <c r="R634" s="30"/>
    </row>
    <row r="635" spans="18:18" ht="15.75" customHeight="1">
      <c r="R635" s="30"/>
    </row>
    <row r="636" spans="18:18" ht="15.75" customHeight="1">
      <c r="R636" s="30"/>
    </row>
    <row r="637" spans="18:18" ht="15.75" customHeight="1">
      <c r="R637" s="30"/>
    </row>
    <row r="638" spans="18:18" ht="15.75" customHeight="1">
      <c r="R638" s="30"/>
    </row>
    <row r="639" spans="18:18" ht="15.75" customHeight="1">
      <c r="R639" s="30"/>
    </row>
    <row r="640" spans="18:18" ht="15.75" customHeight="1">
      <c r="R640" s="30"/>
    </row>
    <row r="641" spans="18:18" ht="15.75" customHeight="1">
      <c r="R641" s="30"/>
    </row>
    <row r="642" spans="18:18" ht="15.75" customHeight="1">
      <c r="R642" s="30"/>
    </row>
    <row r="643" spans="18:18" ht="15.75" customHeight="1">
      <c r="R643" s="30"/>
    </row>
    <row r="644" spans="18:18" ht="15.75" customHeight="1">
      <c r="R644" s="30"/>
    </row>
    <row r="645" spans="18:18" ht="15.75" customHeight="1">
      <c r="R645" s="30"/>
    </row>
    <row r="646" spans="18:18" ht="15.75" customHeight="1">
      <c r="R646" s="30"/>
    </row>
    <row r="647" spans="18:18" ht="15.75" customHeight="1">
      <c r="R647" s="30"/>
    </row>
    <row r="648" spans="18:18" ht="15.75" customHeight="1">
      <c r="R648" s="30"/>
    </row>
    <row r="649" spans="18:18" ht="15.75" customHeight="1">
      <c r="R649" s="30"/>
    </row>
    <row r="650" spans="18:18" ht="15.75" customHeight="1">
      <c r="R650" s="30"/>
    </row>
    <row r="651" spans="18:18" ht="15.75" customHeight="1">
      <c r="R651" s="30"/>
    </row>
    <row r="652" spans="18:18" ht="15.75" customHeight="1">
      <c r="R652" s="30"/>
    </row>
    <row r="653" spans="18:18" ht="15.75" customHeight="1">
      <c r="R653" s="30"/>
    </row>
    <row r="654" spans="18:18" ht="15.75" customHeight="1">
      <c r="R654" s="30"/>
    </row>
    <row r="655" spans="18:18" ht="15.75" customHeight="1">
      <c r="R655" s="30"/>
    </row>
    <row r="656" spans="18:18" ht="15.75" customHeight="1">
      <c r="R656" s="30"/>
    </row>
    <row r="657" spans="18:18" ht="15.75" customHeight="1">
      <c r="R657" s="30"/>
    </row>
    <row r="658" spans="18:18" ht="15.75" customHeight="1">
      <c r="R658" s="30"/>
    </row>
    <row r="659" spans="18:18" ht="15.75" customHeight="1">
      <c r="R659" s="30"/>
    </row>
    <row r="660" spans="18:18" ht="15.75" customHeight="1">
      <c r="R660" s="30"/>
    </row>
    <row r="661" spans="18:18" ht="15.75" customHeight="1">
      <c r="R661" s="30"/>
    </row>
    <row r="662" spans="18:18" ht="15.75" customHeight="1">
      <c r="R662" s="30"/>
    </row>
    <row r="663" spans="18:18" ht="15.75" customHeight="1">
      <c r="R663" s="30"/>
    </row>
    <row r="664" spans="18:18" ht="15.75" customHeight="1">
      <c r="R664" s="30"/>
    </row>
    <row r="665" spans="18:18" ht="15.75" customHeight="1">
      <c r="R665" s="30"/>
    </row>
    <row r="666" spans="18:18" ht="15.75" customHeight="1">
      <c r="R666" s="30"/>
    </row>
    <row r="667" spans="18:18" ht="15.75" customHeight="1">
      <c r="R667" s="30"/>
    </row>
    <row r="668" spans="18:18" ht="15.75" customHeight="1">
      <c r="R668" s="30"/>
    </row>
    <row r="669" spans="18:18" ht="15.75" customHeight="1">
      <c r="R669" s="30"/>
    </row>
    <row r="670" spans="18:18" ht="15.75" customHeight="1">
      <c r="R670" s="30"/>
    </row>
    <row r="671" spans="18:18" ht="15.75" customHeight="1">
      <c r="R671" s="30"/>
    </row>
    <row r="672" spans="18:18" ht="15.75" customHeight="1">
      <c r="R672" s="30"/>
    </row>
    <row r="673" spans="18:18" ht="15.75" customHeight="1">
      <c r="R673" s="30"/>
    </row>
    <row r="674" spans="18:18" ht="15.75" customHeight="1">
      <c r="R674" s="30"/>
    </row>
    <row r="675" spans="18:18" ht="15.75" customHeight="1">
      <c r="R675" s="30"/>
    </row>
    <row r="676" spans="18:18" ht="15.75" customHeight="1">
      <c r="R676" s="30"/>
    </row>
    <row r="677" spans="18:18" ht="15.75" customHeight="1">
      <c r="R677" s="30"/>
    </row>
    <row r="678" spans="18:18" ht="15.75" customHeight="1">
      <c r="R678" s="30"/>
    </row>
    <row r="679" spans="18:18" ht="15.75" customHeight="1">
      <c r="R679" s="30"/>
    </row>
    <row r="680" spans="18:18" ht="15.75" customHeight="1">
      <c r="R680" s="30"/>
    </row>
    <row r="681" spans="18:18" ht="15.75" customHeight="1">
      <c r="R681" s="30"/>
    </row>
    <row r="682" spans="18:18" ht="15.75" customHeight="1">
      <c r="R682" s="30"/>
    </row>
    <row r="683" spans="18:18" ht="15.75" customHeight="1">
      <c r="R683" s="30"/>
    </row>
    <row r="684" spans="18:18" ht="15.75" customHeight="1">
      <c r="R684" s="30"/>
    </row>
    <row r="685" spans="18:18" ht="15.75" customHeight="1">
      <c r="R685" s="30"/>
    </row>
    <row r="686" spans="18:18" ht="15.75" customHeight="1">
      <c r="R686" s="30"/>
    </row>
    <row r="687" spans="18:18" ht="15.75" customHeight="1">
      <c r="R687" s="30"/>
    </row>
    <row r="688" spans="18:18" ht="15.75" customHeight="1">
      <c r="R688" s="30"/>
    </row>
    <row r="689" spans="18:18" ht="15.75" customHeight="1">
      <c r="R689" s="30"/>
    </row>
    <row r="690" spans="18:18" ht="15.75" customHeight="1">
      <c r="R690" s="30"/>
    </row>
    <row r="691" spans="18:18" ht="15.75" customHeight="1">
      <c r="R691" s="30"/>
    </row>
    <row r="692" spans="18:18" ht="15.75" customHeight="1">
      <c r="R692" s="30"/>
    </row>
    <row r="693" spans="18:18" ht="15.75" customHeight="1">
      <c r="R693" s="30"/>
    </row>
    <row r="694" spans="18:18" ht="15.75" customHeight="1">
      <c r="R694" s="30"/>
    </row>
    <row r="695" spans="18:18" ht="15.75" customHeight="1">
      <c r="R695" s="30"/>
    </row>
    <row r="696" spans="18:18" ht="15.75" customHeight="1">
      <c r="R696" s="30"/>
    </row>
    <row r="697" spans="18:18" ht="15.75" customHeight="1">
      <c r="R697" s="30"/>
    </row>
    <row r="698" spans="18:18" ht="15.75" customHeight="1">
      <c r="R698" s="30"/>
    </row>
    <row r="699" spans="18:18" ht="15.75" customHeight="1">
      <c r="R699" s="30"/>
    </row>
    <row r="700" spans="18:18" ht="15.75" customHeight="1">
      <c r="R700" s="30"/>
    </row>
    <row r="701" spans="18:18" ht="15.75" customHeight="1">
      <c r="R701" s="30"/>
    </row>
    <row r="702" spans="18:18" ht="15.75" customHeight="1">
      <c r="R702" s="30"/>
    </row>
    <row r="703" spans="18:18" ht="15.75" customHeight="1">
      <c r="R703" s="30"/>
    </row>
    <row r="704" spans="18:18" ht="15.75" customHeight="1">
      <c r="R704" s="30"/>
    </row>
    <row r="705" spans="18:18" ht="15.75" customHeight="1">
      <c r="R705" s="30"/>
    </row>
    <row r="706" spans="18:18" ht="15.75" customHeight="1">
      <c r="R706" s="30"/>
    </row>
    <row r="707" spans="18:18" ht="15.75" customHeight="1">
      <c r="R707" s="30"/>
    </row>
    <row r="708" spans="18:18" ht="15.75" customHeight="1">
      <c r="R708" s="30"/>
    </row>
    <row r="709" spans="18:18" ht="15.75" customHeight="1">
      <c r="R709" s="30"/>
    </row>
    <row r="710" spans="18:18" ht="15.75" customHeight="1">
      <c r="R710" s="30"/>
    </row>
    <row r="711" spans="18:18" ht="15.75" customHeight="1">
      <c r="R711" s="30"/>
    </row>
    <row r="712" spans="18:18" ht="15.75" customHeight="1">
      <c r="R712" s="30"/>
    </row>
    <row r="713" spans="18:18" ht="15.75" customHeight="1">
      <c r="R713" s="30"/>
    </row>
    <row r="714" spans="18:18" ht="15.75" customHeight="1">
      <c r="R714" s="30"/>
    </row>
    <row r="715" spans="18:18" ht="15.75" customHeight="1">
      <c r="R715" s="30"/>
    </row>
    <row r="716" spans="18:18" ht="15.75" customHeight="1">
      <c r="R716" s="30"/>
    </row>
    <row r="717" spans="18:18" ht="15.75" customHeight="1">
      <c r="R717" s="30"/>
    </row>
    <row r="718" spans="18:18" ht="15.75" customHeight="1">
      <c r="R718" s="30"/>
    </row>
    <row r="719" spans="18:18" ht="15.75" customHeight="1">
      <c r="R719" s="30"/>
    </row>
    <row r="720" spans="18:18" ht="15.75" customHeight="1">
      <c r="R720" s="30"/>
    </row>
    <row r="721" spans="18:18" ht="15.75" customHeight="1">
      <c r="R721" s="30"/>
    </row>
    <row r="722" spans="18:18" ht="15.75" customHeight="1">
      <c r="R722" s="30"/>
    </row>
    <row r="723" spans="18:18" ht="15.75" customHeight="1">
      <c r="R723" s="30"/>
    </row>
    <row r="724" spans="18:18" ht="15.75" customHeight="1">
      <c r="R724" s="30"/>
    </row>
    <row r="725" spans="18:18" ht="15.75" customHeight="1">
      <c r="R725" s="30"/>
    </row>
    <row r="726" spans="18:18" ht="15.75" customHeight="1">
      <c r="R726" s="30"/>
    </row>
    <row r="727" spans="18:18" ht="15.75" customHeight="1">
      <c r="R727" s="30"/>
    </row>
    <row r="728" spans="18:18" ht="15.75" customHeight="1">
      <c r="R728" s="30"/>
    </row>
    <row r="729" spans="18:18" ht="15.75" customHeight="1">
      <c r="R729" s="30"/>
    </row>
    <row r="730" spans="18:18" ht="15.75" customHeight="1">
      <c r="R730" s="30"/>
    </row>
    <row r="731" spans="18:18" ht="15.75" customHeight="1">
      <c r="R731" s="30"/>
    </row>
    <row r="732" spans="18:18" ht="15.75" customHeight="1">
      <c r="R732" s="30"/>
    </row>
    <row r="733" spans="18:18" ht="15.75" customHeight="1">
      <c r="R733" s="30"/>
    </row>
    <row r="734" spans="18:18" ht="15.75" customHeight="1">
      <c r="R734" s="30"/>
    </row>
    <row r="735" spans="18:18" ht="15.75" customHeight="1">
      <c r="R735" s="30"/>
    </row>
    <row r="736" spans="18:18" ht="15.75" customHeight="1">
      <c r="R736" s="30"/>
    </row>
    <row r="737" spans="18:18" ht="15.75" customHeight="1">
      <c r="R737" s="30"/>
    </row>
    <row r="738" spans="18:18" ht="15.75" customHeight="1">
      <c r="R738" s="30"/>
    </row>
    <row r="739" spans="18:18" ht="15.75" customHeight="1">
      <c r="R739" s="30"/>
    </row>
    <row r="740" spans="18:18" ht="15.75" customHeight="1">
      <c r="R740" s="30"/>
    </row>
    <row r="741" spans="18:18" ht="15.75" customHeight="1">
      <c r="R741" s="30"/>
    </row>
    <row r="742" spans="18:18" ht="15.75" customHeight="1">
      <c r="R742" s="30"/>
    </row>
    <row r="743" spans="18:18" ht="15.75" customHeight="1">
      <c r="R743" s="30"/>
    </row>
    <row r="744" spans="18:18" ht="15.75" customHeight="1">
      <c r="R744" s="30"/>
    </row>
    <row r="745" spans="18:18" ht="15.75" customHeight="1">
      <c r="R745" s="30"/>
    </row>
    <row r="746" spans="18:18" ht="15.75" customHeight="1">
      <c r="R746" s="30"/>
    </row>
    <row r="747" spans="18:18" ht="15.75" customHeight="1">
      <c r="R747" s="30"/>
    </row>
    <row r="748" spans="18:18" ht="15.75" customHeight="1">
      <c r="R748" s="30"/>
    </row>
    <row r="749" spans="18:18" ht="15.75" customHeight="1">
      <c r="R749" s="30"/>
    </row>
    <row r="750" spans="18:18" ht="15.75" customHeight="1">
      <c r="R750" s="30"/>
    </row>
    <row r="751" spans="18:18" ht="15.75" customHeight="1">
      <c r="R751" s="30"/>
    </row>
    <row r="752" spans="18:18" ht="15.75" customHeight="1">
      <c r="R752" s="30"/>
    </row>
    <row r="753" spans="18:18" ht="15.75" customHeight="1">
      <c r="R753" s="30"/>
    </row>
    <row r="754" spans="18:18" ht="15.75" customHeight="1">
      <c r="R754" s="30"/>
    </row>
    <row r="755" spans="18:18" ht="15.75" customHeight="1">
      <c r="R755" s="30"/>
    </row>
    <row r="756" spans="18:18" ht="15.75" customHeight="1">
      <c r="R756" s="30"/>
    </row>
    <row r="757" spans="18:18" ht="15.75" customHeight="1">
      <c r="R757" s="30"/>
    </row>
    <row r="758" spans="18:18" ht="15.75" customHeight="1">
      <c r="R758" s="30"/>
    </row>
    <row r="759" spans="18:18" ht="15.75" customHeight="1">
      <c r="R759" s="30"/>
    </row>
    <row r="760" spans="18:18" ht="15.75" customHeight="1">
      <c r="R760" s="30"/>
    </row>
    <row r="761" spans="18:18" ht="15.75" customHeight="1">
      <c r="R761" s="30"/>
    </row>
    <row r="762" spans="18:18" ht="15.75" customHeight="1">
      <c r="R762" s="30"/>
    </row>
    <row r="763" spans="18:18" ht="15.75" customHeight="1">
      <c r="R763" s="30"/>
    </row>
    <row r="764" spans="18:18" ht="15.75" customHeight="1">
      <c r="R764" s="30"/>
    </row>
    <row r="765" spans="18:18" ht="15.75" customHeight="1">
      <c r="R765" s="30"/>
    </row>
    <row r="766" spans="18:18" ht="15.75" customHeight="1">
      <c r="R766" s="30"/>
    </row>
    <row r="767" spans="18:18" ht="15.75" customHeight="1">
      <c r="R767" s="30"/>
    </row>
    <row r="768" spans="18:18" ht="15.75" customHeight="1">
      <c r="R768" s="30"/>
    </row>
    <row r="769" spans="18:18" ht="15.75" customHeight="1">
      <c r="R769" s="30"/>
    </row>
    <row r="770" spans="18:18" ht="15.75" customHeight="1">
      <c r="R770" s="30"/>
    </row>
    <row r="771" spans="18:18" ht="15.75" customHeight="1">
      <c r="R771" s="30"/>
    </row>
    <row r="772" spans="18:18" ht="15.75" customHeight="1">
      <c r="R772" s="30"/>
    </row>
    <row r="773" spans="18:18" ht="15.75" customHeight="1">
      <c r="R773" s="30"/>
    </row>
    <row r="774" spans="18:18" ht="15.75" customHeight="1">
      <c r="R774" s="30"/>
    </row>
    <row r="775" spans="18:18" ht="15.75" customHeight="1">
      <c r="R775" s="30"/>
    </row>
    <row r="776" spans="18:18" ht="15.75" customHeight="1">
      <c r="R776" s="30"/>
    </row>
    <row r="777" spans="18:18" ht="15.75" customHeight="1">
      <c r="R777" s="30"/>
    </row>
    <row r="778" spans="18:18" ht="15.75" customHeight="1">
      <c r="R778" s="30"/>
    </row>
    <row r="779" spans="18:18" ht="15.75" customHeight="1">
      <c r="R779" s="30"/>
    </row>
    <row r="780" spans="18:18" ht="15.75" customHeight="1">
      <c r="R780" s="30"/>
    </row>
    <row r="781" spans="18:18" ht="15.75" customHeight="1">
      <c r="R781" s="30"/>
    </row>
    <row r="782" spans="18:18" ht="15.75" customHeight="1">
      <c r="R782" s="30"/>
    </row>
    <row r="783" spans="18:18" ht="15.75" customHeight="1">
      <c r="R783" s="30"/>
    </row>
    <row r="784" spans="18:18" ht="15.75" customHeight="1">
      <c r="R784" s="30"/>
    </row>
    <row r="785" spans="18:18" ht="15.75" customHeight="1">
      <c r="R785" s="30"/>
    </row>
    <row r="786" spans="18:18" ht="15.75" customHeight="1">
      <c r="R786" s="30"/>
    </row>
    <row r="787" spans="18:18" ht="15.75" customHeight="1">
      <c r="R787" s="30"/>
    </row>
    <row r="788" spans="18:18" ht="15.75" customHeight="1">
      <c r="R788" s="30"/>
    </row>
    <row r="789" spans="18:18" ht="15.75" customHeight="1">
      <c r="R789" s="30"/>
    </row>
    <row r="790" spans="18:18" ht="15.75" customHeight="1">
      <c r="R790" s="30"/>
    </row>
    <row r="791" spans="18:18" ht="15.75" customHeight="1">
      <c r="R791" s="30"/>
    </row>
    <row r="792" spans="18:18" ht="15.75" customHeight="1">
      <c r="R792" s="30"/>
    </row>
    <row r="793" spans="18:18" ht="15.75" customHeight="1">
      <c r="R793" s="30"/>
    </row>
    <row r="794" spans="18:18" ht="15.75" customHeight="1">
      <c r="R794" s="30"/>
    </row>
    <row r="795" spans="18:18" ht="15.75" customHeight="1">
      <c r="R795" s="30"/>
    </row>
    <row r="796" spans="18:18" ht="15.75" customHeight="1">
      <c r="R796" s="30"/>
    </row>
    <row r="797" spans="18:18" ht="15.75" customHeight="1">
      <c r="R797" s="30"/>
    </row>
    <row r="798" spans="18:18" ht="15.75" customHeight="1">
      <c r="R798" s="30"/>
    </row>
    <row r="799" spans="18:18" ht="15.75" customHeight="1">
      <c r="R799" s="30"/>
    </row>
    <row r="800" spans="18:18" ht="15.75" customHeight="1">
      <c r="R800" s="30"/>
    </row>
    <row r="801" spans="18:18" ht="15.75" customHeight="1">
      <c r="R801" s="30"/>
    </row>
    <row r="802" spans="18:18" ht="15.75" customHeight="1">
      <c r="R802" s="30"/>
    </row>
    <row r="803" spans="18:18" ht="15.75" customHeight="1">
      <c r="R803" s="30"/>
    </row>
    <row r="804" spans="18:18" ht="15.75" customHeight="1">
      <c r="R804" s="30"/>
    </row>
    <row r="805" spans="18:18" ht="15.75" customHeight="1">
      <c r="R805" s="30"/>
    </row>
    <row r="806" spans="18:18" ht="15.75" customHeight="1">
      <c r="R806" s="30"/>
    </row>
    <row r="807" spans="18:18" ht="15.75" customHeight="1">
      <c r="R807" s="30"/>
    </row>
    <row r="808" spans="18:18" ht="15.75" customHeight="1">
      <c r="R808" s="30"/>
    </row>
    <row r="809" spans="18:18" ht="15.75" customHeight="1">
      <c r="R809" s="30"/>
    </row>
    <row r="810" spans="18:18" ht="15.75" customHeight="1">
      <c r="R810" s="30"/>
    </row>
    <row r="811" spans="18:18" ht="15.75" customHeight="1">
      <c r="R811" s="30"/>
    </row>
    <row r="812" spans="18:18" ht="15.75" customHeight="1">
      <c r="R812" s="30"/>
    </row>
    <row r="813" spans="18:18" ht="15.75" customHeight="1">
      <c r="R813" s="30"/>
    </row>
    <row r="814" spans="18:18" ht="15.75" customHeight="1">
      <c r="R814" s="30"/>
    </row>
    <row r="815" spans="18:18" ht="15.75" customHeight="1">
      <c r="R815" s="30"/>
    </row>
    <row r="816" spans="18:18" ht="15.75" customHeight="1">
      <c r="R816" s="30"/>
    </row>
    <row r="817" spans="18:18" ht="15.75" customHeight="1">
      <c r="R817" s="30"/>
    </row>
    <row r="818" spans="18:18" ht="15.75" customHeight="1">
      <c r="R818" s="30"/>
    </row>
    <row r="819" spans="18:18" ht="15.75" customHeight="1">
      <c r="R819" s="30"/>
    </row>
    <row r="820" spans="18:18" ht="15.75" customHeight="1">
      <c r="R820" s="30"/>
    </row>
    <row r="821" spans="18:18" ht="15.75" customHeight="1">
      <c r="R821" s="30"/>
    </row>
    <row r="822" spans="18:18" ht="15.75" customHeight="1">
      <c r="R822" s="30"/>
    </row>
    <row r="823" spans="18:18" ht="15.75" customHeight="1">
      <c r="R823" s="30"/>
    </row>
    <row r="824" spans="18:18" ht="15.75" customHeight="1">
      <c r="R824" s="30"/>
    </row>
    <row r="825" spans="18:18" ht="15.75" customHeight="1">
      <c r="R825" s="30"/>
    </row>
    <row r="826" spans="18:18" ht="15.75" customHeight="1">
      <c r="R826" s="30"/>
    </row>
    <row r="827" spans="18:18" ht="15.75" customHeight="1">
      <c r="R827" s="30"/>
    </row>
    <row r="828" spans="18:18" ht="15.75" customHeight="1">
      <c r="R828" s="30"/>
    </row>
    <row r="829" spans="18:18" ht="15.75" customHeight="1">
      <c r="R829" s="30"/>
    </row>
    <row r="830" spans="18:18" ht="15.75" customHeight="1">
      <c r="R830" s="30"/>
    </row>
    <row r="831" spans="18:18" ht="15.75" customHeight="1">
      <c r="R831" s="30"/>
    </row>
    <row r="832" spans="18:18" ht="15.75" customHeight="1">
      <c r="R832" s="30"/>
    </row>
    <row r="833" spans="18:18" ht="15.75" customHeight="1">
      <c r="R833" s="30"/>
    </row>
    <row r="834" spans="18:18" ht="15.75" customHeight="1">
      <c r="R834" s="30"/>
    </row>
    <row r="835" spans="18:18" ht="15.75" customHeight="1">
      <c r="R835" s="30"/>
    </row>
    <row r="836" spans="18:18" ht="15.75" customHeight="1">
      <c r="R836" s="30"/>
    </row>
    <row r="837" spans="18:18" ht="15.75" customHeight="1">
      <c r="R837" s="30"/>
    </row>
    <row r="838" spans="18:18" ht="15.75" customHeight="1">
      <c r="R838" s="30"/>
    </row>
    <row r="839" spans="18:18" ht="15.75" customHeight="1">
      <c r="R839" s="30"/>
    </row>
    <row r="840" spans="18:18" ht="15.75" customHeight="1">
      <c r="R840" s="30"/>
    </row>
    <row r="841" spans="18:18" ht="15.75" customHeight="1">
      <c r="R841" s="30"/>
    </row>
    <row r="842" spans="18:18" ht="15.75" customHeight="1">
      <c r="R842" s="30"/>
    </row>
    <row r="843" spans="18:18" ht="15.75" customHeight="1">
      <c r="R843" s="30"/>
    </row>
    <row r="844" spans="18:18" ht="15.75" customHeight="1">
      <c r="R844" s="30"/>
    </row>
    <row r="845" spans="18:18" ht="15.75" customHeight="1">
      <c r="R845" s="30"/>
    </row>
    <row r="846" spans="18:18" ht="15.75" customHeight="1">
      <c r="R846" s="30"/>
    </row>
    <row r="847" spans="18:18" ht="15.75" customHeight="1">
      <c r="R847" s="30"/>
    </row>
    <row r="848" spans="18:18" ht="15.75" customHeight="1">
      <c r="R848" s="30"/>
    </row>
    <row r="849" spans="18:18" ht="15.75" customHeight="1">
      <c r="R849" s="30"/>
    </row>
    <row r="850" spans="18:18" ht="15.75" customHeight="1">
      <c r="R850" s="30"/>
    </row>
    <row r="851" spans="18:18" ht="15.75" customHeight="1">
      <c r="R851" s="30"/>
    </row>
    <row r="852" spans="18:18" ht="15.75" customHeight="1">
      <c r="R852" s="30"/>
    </row>
    <row r="853" spans="18:18" ht="15.75" customHeight="1">
      <c r="R853" s="30"/>
    </row>
    <row r="854" spans="18:18" ht="15.75" customHeight="1">
      <c r="R854" s="30"/>
    </row>
    <row r="855" spans="18:18" ht="15.75" customHeight="1">
      <c r="R855" s="30"/>
    </row>
    <row r="856" spans="18:18" ht="15.75" customHeight="1">
      <c r="R856" s="30"/>
    </row>
    <row r="857" spans="18:18" ht="15.75" customHeight="1">
      <c r="R857" s="30"/>
    </row>
    <row r="858" spans="18:18" ht="15.75" customHeight="1">
      <c r="R858" s="30"/>
    </row>
    <row r="859" spans="18:18" ht="15.75" customHeight="1">
      <c r="R859" s="30"/>
    </row>
    <row r="860" spans="18:18" ht="15.75" customHeight="1">
      <c r="R860" s="30"/>
    </row>
    <row r="861" spans="18:18" ht="15.75" customHeight="1">
      <c r="R861" s="30"/>
    </row>
    <row r="862" spans="18:18" ht="15.75" customHeight="1">
      <c r="R862" s="30"/>
    </row>
    <row r="863" spans="18:18" ht="15.75" customHeight="1">
      <c r="R863" s="30"/>
    </row>
    <row r="864" spans="18:18" ht="15.75" customHeight="1">
      <c r="R864" s="30"/>
    </row>
    <row r="865" spans="18:18" ht="15.75" customHeight="1">
      <c r="R865" s="30"/>
    </row>
    <row r="866" spans="18:18" ht="15.75" customHeight="1">
      <c r="R866" s="30"/>
    </row>
    <row r="867" spans="18:18" ht="15.75" customHeight="1">
      <c r="R867" s="30"/>
    </row>
    <row r="868" spans="18:18" ht="15.75" customHeight="1">
      <c r="R868" s="30"/>
    </row>
    <row r="869" spans="18:18" ht="15.75" customHeight="1">
      <c r="R869" s="30"/>
    </row>
    <row r="870" spans="18:18" ht="15.75" customHeight="1">
      <c r="R870" s="30"/>
    </row>
    <row r="871" spans="18:18" ht="15.75" customHeight="1">
      <c r="R871" s="30"/>
    </row>
    <row r="872" spans="18:18" ht="15.75" customHeight="1">
      <c r="R872" s="30"/>
    </row>
    <row r="873" spans="18:18" ht="15.75" customHeight="1">
      <c r="R873" s="30"/>
    </row>
    <row r="874" spans="18:18" ht="15.75" customHeight="1">
      <c r="R874" s="30"/>
    </row>
    <row r="875" spans="18:18" ht="15.75" customHeight="1">
      <c r="R875" s="30"/>
    </row>
    <row r="876" spans="18:18" ht="15.75" customHeight="1">
      <c r="R876" s="30"/>
    </row>
    <row r="877" spans="18:18" ht="15.75" customHeight="1">
      <c r="R877" s="30"/>
    </row>
    <row r="878" spans="18:18" ht="15.75" customHeight="1">
      <c r="R878" s="30"/>
    </row>
    <row r="879" spans="18:18" ht="15.75" customHeight="1">
      <c r="R879" s="30"/>
    </row>
    <row r="880" spans="18:18" ht="15.75" customHeight="1">
      <c r="R880" s="30"/>
    </row>
    <row r="881" spans="18:18" ht="15.75" customHeight="1">
      <c r="R881" s="30"/>
    </row>
    <row r="882" spans="18:18" ht="15.75" customHeight="1">
      <c r="R882" s="30"/>
    </row>
    <row r="883" spans="18:18" ht="15.75" customHeight="1">
      <c r="R883" s="30"/>
    </row>
    <row r="884" spans="18:18" ht="15.75" customHeight="1">
      <c r="R884" s="30"/>
    </row>
    <row r="885" spans="18:18" ht="15.75" customHeight="1">
      <c r="R885" s="30"/>
    </row>
    <row r="886" spans="18:18" ht="15.75" customHeight="1">
      <c r="R886" s="30"/>
    </row>
    <row r="887" spans="18:18" ht="15.75" customHeight="1">
      <c r="R887" s="30"/>
    </row>
    <row r="888" spans="18:18" ht="15.75" customHeight="1">
      <c r="R888" s="30"/>
    </row>
    <row r="889" spans="18:18" ht="15.75" customHeight="1">
      <c r="R889" s="30"/>
    </row>
    <row r="890" spans="18:18" ht="15.75" customHeight="1">
      <c r="R890" s="30"/>
    </row>
    <row r="891" spans="18:18" ht="15.75" customHeight="1">
      <c r="R891" s="30"/>
    </row>
    <row r="892" spans="18:18" ht="15.75" customHeight="1">
      <c r="R892" s="30"/>
    </row>
    <row r="893" spans="18:18" ht="15.75" customHeight="1">
      <c r="R893" s="30"/>
    </row>
    <row r="894" spans="18:18" ht="15.75" customHeight="1">
      <c r="R894" s="30"/>
    </row>
    <row r="895" spans="18:18" ht="15.75" customHeight="1">
      <c r="R895" s="30"/>
    </row>
    <row r="896" spans="18:18" ht="15.75" customHeight="1">
      <c r="R896" s="30"/>
    </row>
    <row r="897" spans="18:18" ht="15.75" customHeight="1">
      <c r="R897" s="30"/>
    </row>
    <row r="898" spans="18:18" ht="15.75" customHeight="1">
      <c r="R898" s="30"/>
    </row>
    <row r="899" spans="18:18" ht="15.75" customHeight="1">
      <c r="R899" s="30"/>
    </row>
    <row r="900" spans="18:18" ht="15.75" customHeight="1">
      <c r="R900" s="30"/>
    </row>
    <row r="901" spans="18:18" ht="15.75" customHeight="1">
      <c r="R901" s="30"/>
    </row>
    <row r="902" spans="18:18" ht="15.75" customHeight="1">
      <c r="R902" s="30"/>
    </row>
    <row r="903" spans="18:18" ht="15.75" customHeight="1">
      <c r="R903" s="30"/>
    </row>
    <row r="904" spans="18:18" ht="15.75" customHeight="1">
      <c r="R904" s="30"/>
    </row>
    <row r="905" spans="18:18" ht="15.75" customHeight="1">
      <c r="R905" s="30"/>
    </row>
    <row r="906" spans="18:18" ht="15.75" customHeight="1">
      <c r="R906" s="30"/>
    </row>
    <row r="907" spans="18:18" ht="15.75" customHeight="1">
      <c r="R907" s="30"/>
    </row>
    <row r="908" spans="18:18" ht="15.75" customHeight="1">
      <c r="R908" s="30"/>
    </row>
    <row r="909" spans="18:18" ht="15.75" customHeight="1">
      <c r="R909" s="30"/>
    </row>
    <row r="910" spans="18:18" ht="15.75" customHeight="1">
      <c r="R910" s="30"/>
    </row>
    <row r="911" spans="18:18" ht="15.75" customHeight="1">
      <c r="R911" s="30"/>
    </row>
    <row r="912" spans="18:18" ht="15.75" customHeight="1">
      <c r="R912" s="30"/>
    </row>
    <row r="913" spans="18:18" ht="15.75" customHeight="1">
      <c r="R913" s="30"/>
    </row>
    <row r="914" spans="18:18" ht="15.75" customHeight="1">
      <c r="R914" s="30"/>
    </row>
    <row r="915" spans="18:18" ht="15.75" customHeight="1">
      <c r="R915" s="30"/>
    </row>
    <row r="916" spans="18:18" ht="15.75" customHeight="1">
      <c r="R916" s="30"/>
    </row>
    <row r="917" spans="18:18" ht="15.75" customHeight="1">
      <c r="R917" s="30"/>
    </row>
    <row r="918" spans="18:18" ht="15.75" customHeight="1">
      <c r="R918" s="30"/>
    </row>
    <row r="919" spans="18:18" ht="15.75" customHeight="1">
      <c r="R919" s="30"/>
    </row>
    <row r="920" spans="18:18" ht="15.75" customHeight="1">
      <c r="R920" s="30"/>
    </row>
    <row r="921" spans="18:18" ht="15.75" customHeight="1">
      <c r="R921" s="30"/>
    </row>
    <row r="922" spans="18:18" ht="15.75" customHeight="1">
      <c r="R922" s="30"/>
    </row>
    <row r="923" spans="18:18" ht="15.75" customHeight="1">
      <c r="R923" s="30"/>
    </row>
    <row r="924" spans="18:18" ht="15.75" customHeight="1">
      <c r="R924" s="30"/>
    </row>
    <row r="925" spans="18:18" ht="15.75" customHeight="1">
      <c r="R925" s="30"/>
    </row>
    <row r="926" spans="18:18" ht="15.75" customHeight="1">
      <c r="R926" s="30"/>
    </row>
    <row r="927" spans="18:18" ht="15.75" customHeight="1">
      <c r="R927" s="30"/>
    </row>
    <row r="928" spans="18:18" ht="15.75" customHeight="1">
      <c r="R928" s="30"/>
    </row>
    <row r="929" spans="18:18" ht="15.75" customHeight="1">
      <c r="R929" s="30"/>
    </row>
    <row r="930" spans="18:18" ht="15.75" customHeight="1">
      <c r="R930" s="30"/>
    </row>
    <row r="931" spans="18:18" ht="15.75" customHeight="1">
      <c r="R931" s="30"/>
    </row>
    <row r="932" spans="18:18" ht="15.75" customHeight="1">
      <c r="R932" s="30"/>
    </row>
    <row r="933" spans="18:18" ht="15.75" customHeight="1">
      <c r="R933" s="30"/>
    </row>
    <row r="934" spans="18:18" ht="15.75" customHeight="1">
      <c r="R934" s="30"/>
    </row>
    <row r="935" spans="18:18" ht="15.75" customHeight="1">
      <c r="R935" s="30"/>
    </row>
    <row r="936" spans="18:18" ht="15.75" customHeight="1">
      <c r="R936" s="30"/>
    </row>
    <row r="937" spans="18:18" ht="15.75" customHeight="1">
      <c r="R937" s="30"/>
    </row>
    <row r="938" spans="18:18" ht="15.75" customHeight="1">
      <c r="R938" s="30"/>
    </row>
    <row r="939" spans="18:18" ht="15.75" customHeight="1">
      <c r="R939" s="30"/>
    </row>
    <row r="940" spans="18:18" ht="15.75" customHeight="1">
      <c r="R940" s="30"/>
    </row>
    <row r="941" spans="18:18" ht="15.75" customHeight="1">
      <c r="R941" s="30"/>
    </row>
    <row r="942" spans="18:18" ht="15.75" customHeight="1">
      <c r="R942" s="30"/>
    </row>
    <row r="943" spans="18:18" ht="15.75" customHeight="1">
      <c r="R943" s="30"/>
    </row>
    <row r="944" spans="18:18" ht="15.75" customHeight="1">
      <c r="R944" s="30"/>
    </row>
    <row r="945" spans="18:18" ht="15.75" customHeight="1">
      <c r="R945" s="30"/>
    </row>
    <row r="946" spans="18:18" ht="15.75" customHeight="1">
      <c r="R946" s="30"/>
    </row>
    <row r="947" spans="18:18" ht="15.75" customHeight="1">
      <c r="R947" s="30"/>
    </row>
    <row r="948" spans="18:18" ht="15.75" customHeight="1">
      <c r="R948" s="30"/>
    </row>
    <row r="949" spans="18:18" ht="15.75" customHeight="1">
      <c r="R949" s="30"/>
    </row>
    <row r="950" spans="18:18" ht="15.75" customHeight="1">
      <c r="R950" s="30"/>
    </row>
    <row r="951" spans="18:18" ht="15.75" customHeight="1">
      <c r="R951" s="30"/>
    </row>
    <row r="952" spans="18:18" ht="15.75" customHeight="1">
      <c r="R952" s="30"/>
    </row>
    <row r="953" spans="18:18" ht="15.75" customHeight="1">
      <c r="R953" s="30"/>
    </row>
    <row r="954" spans="18:18" ht="15.75" customHeight="1">
      <c r="R954" s="30"/>
    </row>
    <row r="955" spans="18:18" ht="15.75" customHeight="1">
      <c r="R955" s="30"/>
    </row>
    <row r="956" spans="18:18" ht="15.75" customHeight="1">
      <c r="R956" s="30"/>
    </row>
    <row r="957" spans="18:18" ht="15.75" customHeight="1">
      <c r="R957" s="30"/>
    </row>
    <row r="958" spans="18:18" ht="15.75" customHeight="1">
      <c r="R958" s="30"/>
    </row>
    <row r="959" spans="18:18" ht="15.75" customHeight="1">
      <c r="R959" s="30"/>
    </row>
    <row r="960" spans="18:18" ht="15.75" customHeight="1">
      <c r="R960" s="30"/>
    </row>
    <row r="961" spans="18:18" ht="15.75" customHeight="1">
      <c r="R961" s="30"/>
    </row>
    <row r="962" spans="18:18" ht="15.75" customHeight="1">
      <c r="R962" s="30"/>
    </row>
    <row r="963" spans="18:18" ht="15.75" customHeight="1">
      <c r="R963" s="30"/>
    </row>
    <row r="964" spans="18:18" ht="15.75" customHeight="1">
      <c r="R964" s="30"/>
    </row>
    <row r="965" spans="18:18" ht="15.75" customHeight="1">
      <c r="R965" s="30"/>
    </row>
    <row r="966" spans="18:18" ht="15.75" customHeight="1">
      <c r="R966" s="30"/>
    </row>
    <row r="967" spans="18:18" ht="15.75" customHeight="1">
      <c r="R967" s="30"/>
    </row>
    <row r="968" spans="18:18" ht="15.75" customHeight="1">
      <c r="R968" s="30"/>
    </row>
    <row r="969" spans="18:18" ht="15.75" customHeight="1">
      <c r="R969" s="30"/>
    </row>
    <row r="970" spans="18:18" ht="15.75" customHeight="1">
      <c r="R970" s="30"/>
    </row>
    <row r="971" spans="18:18" ht="15.75" customHeight="1">
      <c r="R971" s="30"/>
    </row>
    <row r="972" spans="18:18" ht="15.75" customHeight="1">
      <c r="R972" s="30"/>
    </row>
    <row r="973" spans="18:18" ht="15.75" customHeight="1">
      <c r="R973" s="30"/>
    </row>
    <row r="974" spans="18:18" ht="15.75" customHeight="1">
      <c r="R974" s="30"/>
    </row>
    <row r="975" spans="18:18" ht="15.75" customHeight="1">
      <c r="R975" s="30"/>
    </row>
    <row r="976" spans="18:18" ht="15.75" customHeight="1">
      <c r="R976" s="30"/>
    </row>
    <row r="977" spans="18:18" ht="15.75" customHeight="1">
      <c r="R977" s="30"/>
    </row>
    <row r="978" spans="18:18" ht="15.75" customHeight="1">
      <c r="R978" s="30"/>
    </row>
    <row r="979" spans="18:18" ht="15.75" customHeight="1">
      <c r="R979" s="30"/>
    </row>
    <row r="980" spans="18:18" ht="15.75" customHeight="1">
      <c r="R980" s="30"/>
    </row>
    <row r="981" spans="18:18" ht="15.75" customHeight="1">
      <c r="R981" s="30"/>
    </row>
    <row r="982" spans="18:18" ht="15.75" customHeight="1">
      <c r="R982" s="30"/>
    </row>
    <row r="983" spans="18:18" ht="15.75" customHeight="1">
      <c r="R983" s="30"/>
    </row>
    <row r="984" spans="18:18" ht="15.75" customHeight="1">
      <c r="R984" s="30"/>
    </row>
    <row r="985" spans="18:18" ht="15.75" customHeight="1">
      <c r="R985" s="30"/>
    </row>
    <row r="986" spans="18:18" ht="15.75" customHeight="1">
      <c r="R986" s="30"/>
    </row>
    <row r="987" spans="18:18" ht="15.75" customHeight="1">
      <c r="R987" s="30"/>
    </row>
    <row r="988" spans="18:18" ht="15.75" customHeight="1">
      <c r="R988" s="30"/>
    </row>
    <row r="989" spans="18:18" ht="15.75" customHeight="1">
      <c r="R989" s="30"/>
    </row>
    <row r="990" spans="18:18" ht="15.75" customHeight="1">
      <c r="R990" s="30"/>
    </row>
    <row r="991" spans="18:18" ht="15.75" customHeight="1">
      <c r="R991" s="30"/>
    </row>
    <row r="992" spans="18:18" ht="15.75" customHeight="1">
      <c r="R992" s="30"/>
    </row>
    <row r="993" spans="18:18" ht="15.75" customHeight="1">
      <c r="R993" s="30"/>
    </row>
    <row r="994" spans="18:18" ht="15.75" customHeight="1">
      <c r="R994" s="30"/>
    </row>
    <row r="995" spans="18:18" ht="15.75" customHeight="1">
      <c r="R995" s="30"/>
    </row>
    <row r="996" spans="18:18" ht="15.75" customHeight="1">
      <c r="R996" s="30"/>
    </row>
    <row r="997" spans="18:18" ht="15.75" customHeight="1">
      <c r="R997" s="30"/>
    </row>
    <row r="998" spans="18:18" ht="15.75" customHeight="1">
      <c r="R998" s="30"/>
    </row>
    <row r="999" spans="18:18" ht="15.75" customHeight="1">
      <c r="R999" s="30"/>
    </row>
    <row r="1000" spans="18:18" ht="15.75" customHeight="1">
      <c r="R1000" s="3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2.6640625" defaultRowHeight="15" customHeight="1"/>
  <cols>
    <col min="1" max="1" width="13.33203125" customWidth="1"/>
    <col min="2" max="2" width="30" customWidth="1"/>
    <col min="3" max="3" width="8" customWidth="1"/>
    <col min="4" max="4" width="5.6640625" customWidth="1"/>
    <col min="5" max="5" width="8.6640625" customWidth="1"/>
    <col min="6" max="6" width="9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16.33203125" customWidth="1"/>
    <col min="16" max="16" width="10" customWidth="1"/>
    <col min="17" max="18" width="7.33203125" customWidth="1"/>
    <col min="19" max="19" width="7.1640625" customWidth="1"/>
    <col min="20" max="20" width="15.5" customWidth="1"/>
    <col min="21" max="21" width="20.6640625" customWidth="1"/>
    <col min="22" max="22" width="76.164062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6640625" customWidth="1"/>
    <col min="32" max="32" width="10.1640625" customWidth="1"/>
    <col min="33" max="33" width="8.83203125" customWidth="1"/>
  </cols>
  <sheetData>
    <row r="1" spans="1:33" ht="18.75" customHeight="1">
      <c r="A1" s="46" t="str">
        <f ca="1">IFERROR(__xludf.DUMMYFUNCTION("IFERROR(VLOOKUP(B2,IMPORTRANGE(""https://docs.google.com/spreadsheets/d/1x0DhHglkXKoEBOD2MBsuK_EyIr1ouxD2ftIpqOYFa-k/edit?usp=sharing"",""Ubiquitty-SKU-Specific Info!B1:BJ5000""),3,FALSE),"""")"),"10ft Black Outdoor Extension Cord, Lighted with 3 Electrical Power Outlets - 12/3 Gauge SJTW Heavy Duty Extension Cable - 3 Pronged with Grounded Plug for Safety")</f>
        <v>10ft Black Outdoor Extension Cord, Lighted with 3 Electrical Power Outlets - 12/3 Gauge SJTW Heavy Duty Extension Cable - 3 Pronged with Grounded Plug for Safety</v>
      </c>
      <c r="B1" s="47"/>
      <c r="C1" s="48" t="s">
        <v>0</v>
      </c>
      <c r="D1" s="50" t="s">
        <v>1</v>
      </c>
      <c r="E1" s="50" t="s">
        <v>2</v>
      </c>
      <c r="F1" s="52" t="s">
        <v>3</v>
      </c>
      <c r="G1" s="52" t="s">
        <v>4</v>
      </c>
      <c r="H1" s="53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58" t="s">
        <v>10</v>
      </c>
      <c r="N1" s="59" t="s">
        <v>11</v>
      </c>
      <c r="O1" s="50" t="s">
        <v>12</v>
      </c>
      <c r="P1" s="50" t="s">
        <v>13</v>
      </c>
      <c r="Q1" s="57" t="s">
        <v>14</v>
      </c>
      <c r="R1" s="57" t="s">
        <v>15</v>
      </c>
      <c r="S1" s="60" t="s">
        <v>16</v>
      </c>
      <c r="T1" s="62" t="s">
        <v>2006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Info!B1:BJ5000""),2,FALSE),"""")"),"B08FXQPRYN")</f>
        <v>B08FXQPRYN</v>
      </c>
      <c r="B2" s="3" t="s">
        <v>700</v>
      </c>
      <c r="C2" s="49"/>
      <c r="D2" s="49"/>
      <c r="E2" s="51"/>
      <c r="F2" s="49"/>
      <c r="G2" s="49"/>
      <c r="H2" s="54"/>
      <c r="I2" s="49"/>
      <c r="J2" s="49"/>
      <c r="K2" s="54"/>
      <c r="L2" s="54"/>
      <c r="M2" s="54"/>
      <c r="N2" s="49"/>
      <c r="O2" s="49"/>
      <c r="P2" s="51"/>
      <c r="Q2" s="49"/>
      <c r="R2" s="49"/>
      <c r="S2" s="61"/>
      <c r="T2" s="47"/>
      <c r="U2" s="63"/>
      <c r="V2" s="63"/>
      <c r="W2" s="47"/>
      <c r="X2" s="47"/>
      <c r="Y2" s="47"/>
      <c r="Z2" s="47"/>
      <c r="AA2" s="63"/>
      <c r="AB2" s="63"/>
      <c r="AC2" s="63"/>
      <c r="AD2" s="63"/>
      <c r="AE2" s="47"/>
      <c r="AF2" s="47"/>
      <c r="AG2" s="47"/>
    </row>
    <row r="3" spans="1:33" ht="142.5" customHeight="1">
      <c r="A3" s="55" t="s">
        <v>31</v>
      </c>
      <c r="B3" s="56"/>
      <c r="C3" s="4">
        <f>((AE32+AF32)/0.85)*-1</f>
        <v>12.698351929411766</v>
      </c>
      <c r="D3" s="5">
        <f>SUM(D4:D99765)</f>
        <v>501</v>
      </c>
      <c r="E3" s="5"/>
      <c r="F3" s="6">
        <f t="shared" ref="F3:G3" si="0">SUM(F4:F99765)</f>
        <v>8967.3499999999985</v>
      </c>
      <c r="G3" s="6">
        <f t="shared" si="0"/>
        <v>-61.969999999999992</v>
      </c>
      <c r="H3" s="7">
        <f t="shared" ref="H3:H32" si="1">G3/F3*-1</f>
        <v>6.9106257701550631E-3</v>
      </c>
      <c r="I3" s="8">
        <f t="shared" ref="I3:I32" si="2">J3/F3</f>
        <v>0.25142165160557017</v>
      </c>
      <c r="J3" s="6">
        <f>SUM(J4:J99765)</f>
        <v>2254.5859475252091</v>
      </c>
      <c r="K3" s="6">
        <f t="shared" ref="K3:K32" si="3">J3/D3</f>
        <v>4.5001715519465249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Sheet!a1:g5000""),2,FALSE),"""")"),"4 - March
4 - April
4 - May
0.5 - June
0.5 - July
0.5 - Aug
0.5 - Sept
0.5 - Oct
0.5 - Nov
0.5 - Dec
4 - Jan
4 - Feb")</f>
        <v>4 - March
4 - April
4 - May
0.5 - June
0.5 - July
0.5 - Aug
0.5 - Sept
0.5 - Oct
0.5 - Nov
0.5 - Dec
4 - Jan
4 -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QTY-0")</f>
        <v>US QTY-0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12</v>
      </c>
      <c r="X3" s="7">
        <f>W3/D3</f>
        <v>2.3952095808383235E-2</v>
      </c>
      <c r="Y3" s="6"/>
      <c r="Z3" s="5"/>
      <c r="AA3" s="5"/>
      <c r="AB3" s="5"/>
      <c r="AC3" s="5"/>
      <c r="AD3" s="6">
        <f>SUM(AD4:AD99765)</f>
        <v>-68.126912005560399</v>
      </c>
      <c r="AE3" s="6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Info!B2:BZ3000""),37,FALSE)),"""")*-1"),-5.84359914)</f>
        <v>-5.8435991400000002</v>
      </c>
      <c r="AG3" s="6">
        <f>SUM(AG4:AG99765)</f>
        <v>0</v>
      </c>
    </row>
    <row r="4" spans="1:33" ht="15.75" customHeight="1">
      <c r="A4" s="14" t="s">
        <v>181</v>
      </c>
      <c r="B4" s="14" t="s">
        <v>66</v>
      </c>
      <c r="C4" s="15">
        <f t="shared" ref="C4:C32" si="4">IFERROR(F4/D4," - ")</f>
        <v>18.990000000000006</v>
      </c>
      <c r="D4" s="16">
        <v>28</v>
      </c>
      <c r="E4" s="16">
        <v>0</v>
      </c>
      <c r="F4" s="17">
        <v>531.72000000000014</v>
      </c>
      <c r="G4" s="17">
        <v>-35.65</v>
      </c>
      <c r="H4" s="18">
        <f t="shared" si="1"/>
        <v>6.7046565861731716E-2</v>
      </c>
      <c r="I4" s="18">
        <f t="shared" si="2"/>
        <v>0.25033414747479726</v>
      </c>
      <c r="J4" s="17">
        <f t="shared" ref="J4:J32" si="5">F4*0.85+G4+AF4*D4+D4*AE4+AG4+AD4</f>
        <v>133.10767289529923</v>
      </c>
      <c r="K4" s="17">
        <f t="shared" si="3"/>
        <v>4.7538454605464011</v>
      </c>
      <c r="L4" s="16">
        <v>42</v>
      </c>
      <c r="M4" s="19">
        <f t="shared" ref="M4:M32" si="6">IFERROR(D4/L4,"-")</f>
        <v>0.66666666666666663</v>
      </c>
      <c r="N4" s="16">
        <v>81</v>
      </c>
      <c r="O4" s="20">
        <f t="shared" ref="O4:P4" si="7">D4/7</f>
        <v>4</v>
      </c>
      <c r="P4" s="20">
        <f t="shared" si="7"/>
        <v>0</v>
      </c>
      <c r="Q4" s="16">
        <f t="shared" ref="Q4:Q32" si="8">ROUNDDOWN(N4/(O4+P4),0)</f>
        <v>20</v>
      </c>
      <c r="R4" s="16"/>
      <c r="S4" s="21">
        <v>0.78947368421052599</v>
      </c>
      <c r="T4" s="14">
        <v>200</v>
      </c>
      <c r="U4" s="22">
        <v>80</v>
      </c>
      <c r="V4" s="23" t="s">
        <v>299</v>
      </c>
      <c r="W4" s="14">
        <v>9</v>
      </c>
      <c r="X4" s="24">
        <f t="shared" ref="X4:X32" si="9">IFERROR(W4/D4,0)</f>
        <v>0.32142857142857145</v>
      </c>
      <c r="Y4" s="25">
        <f t="shared" ref="Y4:Y32" si="10">IFERROR(G4/(W4+Z4)*-1,0)</f>
        <v>2.9708333333333332</v>
      </c>
      <c r="Z4" s="14">
        <v>3</v>
      </c>
      <c r="AA4" s="26" t="s">
        <v>35</v>
      </c>
      <c r="AB4" s="27">
        <f t="shared" ref="AB4:AB32" si="11">IF(OR(AA4="UsLargeStandardSize",AA4="UsSmallStandardSize"),-0.69,-0.48)</f>
        <v>-0.69</v>
      </c>
      <c r="AC4" s="28">
        <v>9.8535300925925939E-2</v>
      </c>
      <c r="AD4" s="25">
        <f t="shared" ref="AD4:AD32" si="12">IFERROR(AB4*AC4*D4*2,0)</f>
        <v>-3.8074040277777774</v>
      </c>
      <c r="AE4" s="25">
        <v>-4.9000000000000004</v>
      </c>
      <c r="AF4" s="25">
        <v>-5.0784615384615384</v>
      </c>
      <c r="AG4" s="25">
        <v>0</v>
      </c>
    </row>
    <row r="5" spans="1:33" ht="15.75" customHeight="1">
      <c r="A5" s="14" t="s">
        <v>183</v>
      </c>
      <c r="B5" s="14" t="s">
        <v>701</v>
      </c>
      <c r="C5" s="15">
        <f t="shared" si="4"/>
        <v>19.990000000000002</v>
      </c>
      <c r="D5" s="16">
        <v>10</v>
      </c>
      <c r="E5" s="16">
        <v>0</v>
      </c>
      <c r="F5" s="29">
        <v>199.9</v>
      </c>
      <c r="G5" s="29">
        <v>-3.7</v>
      </c>
      <c r="H5" s="18">
        <f t="shared" si="1"/>
        <v>1.8509254627313659E-2</v>
      </c>
      <c r="I5" s="18">
        <f t="shared" si="2"/>
        <v>0.32550786298755935</v>
      </c>
      <c r="J5" s="17">
        <f t="shared" si="5"/>
        <v>65.069021811213119</v>
      </c>
      <c r="K5" s="17">
        <f t="shared" si="3"/>
        <v>6.5069021811213119</v>
      </c>
      <c r="L5" s="16">
        <v>30</v>
      </c>
      <c r="M5" s="19">
        <f t="shared" si="6"/>
        <v>0.33333333333333331</v>
      </c>
      <c r="N5" s="16">
        <v>56</v>
      </c>
      <c r="O5" s="20">
        <f t="shared" ref="O5:P5" si="13">D5/7</f>
        <v>1.4285714285714286</v>
      </c>
      <c r="P5" s="20">
        <f t="shared" si="13"/>
        <v>0</v>
      </c>
      <c r="Q5" s="16">
        <f t="shared" si="8"/>
        <v>39</v>
      </c>
      <c r="R5" s="16"/>
      <c r="S5" s="21">
        <v>2.5714285714285698</v>
      </c>
      <c r="T5" s="14">
        <v>200</v>
      </c>
      <c r="U5" s="22">
        <v>80</v>
      </c>
      <c r="V5" s="23" t="s">
        <v>300</v>
      </c>
      <c r="W5" s="14">
        <v>0</v>
      </c>
      <c r="X5" s="24">
        <f t="shared" si="9"/>
        <v>0</v>
      </c>
      <c r="Y5" s="25">
        <f t="shared" si="10"/>
        <v>3.7</v>
      </c>
      <c r="Z5" s="14">
        <v>1</v>
      </c>
      <c r="AA5" s="14" t="s">
        <v>35</v>
      </c>
      <c r="AB5" s="27">
        <f t="shared" si="11"/>
        <v>-0.69</v>
      </c>
      <c r="AC5" s="28">
        <v>9.8649478563151816E-2</v>
      </c>
      <c r="AD5" s="25">
        <f t="shared" si="12"/>
        <v>-1.3613628041714951</v>
      </c>
      <c r="AE5" s="25">
        <v>-4.9000000000000004</v>
      </c>
      <c r="AF5" s="25">
        <v>-5.0784615384615384</v>
      </c>
      <c r="AG5" s="25">
        <v>0</v>
      </c>
    </row>
    <row r="6" spans="1:33" ht="15.75" customHeight="1">
      <c r="A6" s="14" t="s">
        <v>185</v>
      </c>
      <c r="B6" s="14" t="s">
        <v>702</v>
      </c>
      <c r="C6" s="15">
        <f t="shared" si="4"/>
        <v>18.969333333333331</v>
      </c>
      <c r="D6" s="16">
        <v>15</v>
      </c>
      <c r="E6" s="16">
        <v>0</v>
      </c>
      <c r="F6" s="29">
        <v>284.53999999999996</v>
      </c>
      <c r="G6" s="29">
        <v>0</v>
      </c>
      <c r="H6" s="18">
        <f t="shared" si="1"/>
        <v>0</v>
      </c>
      <c r="I6" s="18">
        <f t="shared" si="2"/>
        <v>0.3168004364725881</v>
      </c>
      <c r="J6" s="17">
        <f t="shared" si="5"/>
        <v>90.142396193910201</v>
      </c>
      <c r="K6" s="17">
        <f t="shared" si="3"/>
        <v>6.0094930795940131</v>
      </c>
      <c r="L6" s="16">
        <v>18</v>
      </c>
      <c r="M6" s="19">
        <f t="shared" si="6"/>
        <v>0.83333333333333337</v>
      </c>
      <c r="N6" s="16">
        <v>53</v>
      </c>
      <c r="O6" s="20">
        <f t="shared" ref="O6:P6" si="14">D6/7</f>
        <v>2.1428571428571428</v>
      </c>
      <c r="P6" s="20">
        <f t="shared" si="14"/>
        <v>0</v>
      </c>
      <c r="Q6" s="16">
        <f t="shared" si="8"/>
        <v>24</v>
      </c>
      <c r="R6" s="16"/>
      <c r="S6" s="21">
        <v>3.93333333333333</v>
      </c>
      <c r="T6" s="14">
        <v>120</v>
      </c>
      <c r="U6" s="22">
        <v>120</v>
      </c>
      <c r="V6" s="23" t="s">
        <v>301</v>
      </c>
      <c r="W6" s="14">
        <v>0</v>
      </c>
      <c r="X6" s="24">
        <f t="shared" si="9"/>
        <v>0</v>
      </c>
      <c r="Y6" s="25">
        <f t="shared" si="10"/>
        <v>0</v>
      </c>
      <c r="Z6" s="14">
        <v>0</v>
      </c>
      <c r="AA6" s="14" t="s">
        <v>35</v>
      </c>
      <c r="AB6" s="27">
        <f t="shared" si="11"/>
        <v>-0.69</v>
      </c>
      <c r="AC6" s="28">
        <v>9.8535300925925939E-2</v>
      </c>
      <c r="AD6" s="25">
        <f t="shared" si="12"/>
        <v>-2.0396807291666668</v>
      </c>
      <c r="AE6" s="25">
        <v>-4.9000000000000004</v>
      </c>
      <c r="AF6" s="25">
        <v>-5.0784615384615384</v>
      </c>
      <c r="AG6" s="25">
        <v>0</v>
      </c>
    </row>
    <row r="7" spans="1:33" ht="15.75" customHeight="1">
      <c r="A7" s="14" t="s">
        <v>187</v>
      </c>
      <c r="B7" s="14" t="s">
        <v>703</v>
      </c>
      <c r="C7" s="15">
        <f t="shared" si="4"/>
        <v>19.152666666666665</v>
      </c>
      <c r="D7" s="16">
        <v>15</v>
      </c>
      <c r="E7" s="16">
        <v>0</v>
      </c>
      <c r="F7" s="29">
        <v>287.28999999999996</v>
      </c>
      <c r="G7" s="29">
        <v>0</v>
      </c>
      <c r="H7" s="18">
        <f t="shared" si="1"/>
        <v>0</v>
      </c>
      <c r="I7" s="18">
        <f t="shared" si="2"/>
        <v>0.32190433427515835</v>
      </c>
      <c r="J7" s="17">
        <f t="shared" si="5"/>
        <v>92.479896193910236</v>
      </c>
      <c r="K7" s="17">
        <f t="shared" si="3"/>
        <v>6.1653264129273486</v>
      </c>
      <c r="L7" s="16">
        <v>42</v>
      </c>
      <c r="M7" s="19">
        <f t="shared" si="6"/>
        <v>0.35714285714285715</v>
      </c>
      <c r="N7" s="16">
        <v>78</v>
      </c>
      <c r="O7" s="20">
        <f t="shared" ref="O7:P7" si="15">D7/7</f>
        <v>2.1428571428571428</v>
      </c>
      <c r="P7" s="20">
        <f t="shared" si="15"/>
        <v>0</v>
      </c>
      <c r="Q7" s="16">
        <f t="shared" si="8"/>
        <v>36</v>
      </c>
      <c r="R7" s="16"/>
      <c r="S7" s="21">
        <v>1.3873873873873801</v>
      </c>
      <c r="T7" s="14">
        <v>120</v>
      </c>
      <c r="U7" s="22">
        <v>120</v>
      </c>
      <c r="V7" s="23" t="s">
        <v>704</v>
      </c>
      <c r="W7" s="14">
        <v>0</v>
      </c>
      <c r="X7" s="24">
        <f t="shared" si="9"/>
        <v>0</v>
      </c>
      <c r="Y7" s="25">
        <f t="shared" si="10"/>
        <v>0</v>
      </c>
      <c r="Z7" s="14">
        <v>0</v>
      </c>
      <c r="AA7" s="14" t="s">
        <v>35</v>
      </c>
      <c r="AB7" s="27">
        <f t="shared" si="11"/>
        <v>-0.69</v>
      </c>
      <c r="AC7" s="28">
        <v>9.8535300925925939E-2</v>
      </c>
      <c r="AD7" s="25">
        <f t="shared" si="12"/>
        <v>-2.0396807291666668</v>
      </c>
      <c r="AE7" s="25">
        <v>-4.9000000000000004</v>
      </c>
      <c r="AF7" s="25">
        <v>-5.0784615384615384</v>
      </c>
      <c r="AG7" s="25">
        <v>0</v>
      </c>
    </row>
    <row r="8" spans="1:33" ht="15.75" customHeight="1">
      <c r="A8" s="14" t="s">
        <v>189</v>
      </c>
      <c r="B8" s="14" t="s">
        <v>705</v>
      </c>
      <c r="C8" s="15">
        <f t="shared" si="4"/>
        <v>18.10125</v>
      </c>
      <c r="D8" s="16">
        <v>8</v>
      </c>
      <c r="E8" s="16">
        <v>0</v>
      </c>
      <c r="F8" s="29">
        <v>144.81</v>
      </c>
      <c r="G8" s="29">
        <v>0</v>
      </c>
      <c r="H8" s="18">
        <f t="shared" si="1"/>
        <v>0</v>
      </c>
      <c r="I8" s="18">
        <f t="shared" si="2"/>
        <v>0.29114474330348572</v>
      </c>
      <c r="J8" s="17">
        <f t="shared" si="5"/>
        <v>42.160670277777768</v>
      </c>
      <c r="K8" s="17">
        <f t="shared" si="3"/>
        <v>5.2700837847222211</v>
      </c>
      <c r="L8" s="16">
        <v>16</v>
      </c>
      <c r="M8" s="19">
        <f t="shared" si="6"/>
        <v>0.5</v>
      </c>
      <c r="N8" s="16">
        <v>179</v>
      </c>
      <c r="O8" s="20">
        <f t="shared" ref="O8:P8" si="16">D8/7</f>
        <v>1.1428571428571428</v>
      </c>
      <c r="P8" s="20">
        <f t="shared" si="16"/>
        <v>0</v>
      </c>
      <c r="Q8" s="16">
        <f t="shared" si="8"/>
        <v>156</v>
      </c>
      <c r="R8" s="16"/>
      <c r="S8" s="21">
        <v>1.3090909090909</v>
      </c>
      <c r="T8" s="14">
        <v>0</v>
      </c>
      <c r="U8" s="22" t="s">
        <v>34</v>
      </c>
      <c r="V8" s="23" t="s">
        <v>34</v>
      </c>
      <c r="W8" s="14">
        <v>0</v>
      </c>
      <c r="X8" s="24">
        <f t="shared" si="9"/>
        <v>0</v>
      </c>
      <c r="Y8" s="25">
        <f t="shared" si="10"/>
        <v>0</v>
      </c>
      <c r="Z8" s="14">
        <v>0</v>
      </c>
      <c r="AA8" s="14" t="s">
        <v>35</v>
      </c>
      <c r="AB8" s="27">
        <f t="shared" si="11"/>
        <v>-0.69</v>
      </c>
      <c r="AC8" s="28">
        <v>9.8535300925925939E-2</v>
      </c>
      <c r="AD8" s="25">
        <f t="shared" si="12"/>
        <v>-1.0878297222222222</v>
      </c>
      <c r="AE8" s="25">
        <v>-4.9000000000000004</v>
      </c>
      <c r="AF8" s="25">
        <v>-5.08</v>
      </c>
      <c r="AG8" s="25">
        <v>0</v>
      </c>
    </row>
    <row r="9" spans="1:33" ht="15.75" customHeight="1">
      <c r="A9" s="14" t="s">
        <v>191</v>
      </c>
      <c r="B9" s="14" t="s">
        <v>706</v>
      </c>
      <c r="C9" s="15">
        <f t="shared" si="4"/>
        <v>17.058846153846154</v>
      </c>
      <c r="D9" s="16">
        <v>26</v>
      </c>
      <c r="E9" s="16">
        <v>0</v>
      </c>
      <c r="F9" s="29">
        <v>443.53000000000003</v>
      </c>
      <c r="G9" s="29">
        <v>0</v>
      </c>
      <c r="H9" s="18">
        <f t="shared" si="1"/>
        <v>0</v>
      </c>
      <c r="I9" s="18">
        <f t="shared" si="2"/>
        <v>0.25280150926155565</v>
      </c>
      <c r="J9" s="17">
        <f t="shared" si="5"/>
        <v>112.12505340277779</v>
      </c>
      <c r="K9" s="17">
        <f t="shared" si="3"/>
        <v>4.3125020539529917</v>
      </c>
      <c r="L9" s="16">
        <v>38</v>
      </c>
      <c r="M9" s="19">
        <f t="shared" si="6"/>
        <v>0.68421052631578949</v>
      </c>
      <c r="N9" s="16">
        <v>158</v>
      </c>
      <c r="O9" s="20">
        <f t="shared" ref="O9:P9" si="17">D9/7</f>
        <v>3.7142857142857144</v>
      </c>
      <c r="P9" s="20">
        <f t="shared" si="17"/>
        <v>0</v>
      </c>
      <c r="Q9" s="16">
        <f t="shared" si="8"/>
        <v>42</v>
      </c>
      <c r="R9" s="16"/>
      <c r="S9" s="21">
        <v>1.9272727272727199</v>
      </c>
      <c r="T9" s="14">
        <v>0</v>
      </c>
      <c r="U9" s="22" t="s">
        <v>34</v>
      </c>
      <c r="V9" s="23" t="s">
        <v>34</v>
      </c>
      <c r="W9" s="14">
        <v>0</v>
      </c>
      <c r="X9" s="24">
        <f t="shared" si="9"/>
        <v>0</v>
      </c>
      <c r="Y9" s="25">
        <f t="shared" si="10"/>
        <v>0</v>
      </c>
      <c r="Z9" s="14">
        <v>0</v>
      </c>
      <c r="AA9" s="14" t="s">
        <v>35</v>
      </c>
      <c r="AB9" s="27">
        <f t="shared" si="11"/>
        <v>-0.69</v>
      </c>
      <c r="AC9" s="28">
        <v>9.8535300925925939E-2</v>
      </c>
      <c r="AD9" s="25">
        <f t="shared" si="12"/>
        <v>-3.5354465972222222</v>
      </c>
      <c r="AE9" s="25">
        <v>-4.9000000000000004</v>
      </c>
      <c r="AF9" s="25">
        <v>-5.1515384615384603</v>
      </c>
      <c r="AG9" s="25">
        <v>0</v>
      </c>
    </row>
    <row r="10" spans="1:33" ht="15.75" customHeight="1">
      <c r="A10" s="14" t="s">
        <v>192</v>
      </c>
      <c r="B10" s="14" t="s">
        <v>707</v>
      </c>
      <c r="C10" s="15">
        <f t="shared" si="4"/>
        <v>17.783214285714283</v>
      </c>
      <c r="D10" s="16">
        <v>28</v>
      </c>
      <c r="E10" s="16">
        <v>0</v>
      </c>
      <c r="F10" s="29">
        <v>497.92999999999989</v>
      </c>
      <c r="G10" s="29">
        <v>0</v>
      </c>
      <c r="H10" s="18">
        <f t="shared" si="1"/>
        <v>0</v>
      </c>
      <c r="I10" s="18">
        <f t="shared" si="2"/>
        <v>0.27712734530786498</v>
      </c>
      <c r="J10" s="17">
        <f t="shared" si="5"/>
        <v>137.99001904914519</v>
      </c>
      <c r="K10" s="17">
        <f t="shared" si="3"/>
        <v>4.9282149660408994</v>
      </c>
      <c r="L10" s="16">
        <v>33</v>
      </c>
      <c r="M10" s="19">
        <f t="shared" si="6"/>
        <v>0.84848484848484851</v>
      </c>
      <c r="N10" s="16">
        <v>98</v>
      </c>
      <c r="O10" s="20">
        <f t="shared" ref="O10:P10" si="18">D10/7</f>
        <v>4</v>
      </c>
      <c r="P10" s="20">
        <f t="shared" si="18"/>
        <v>0</v>
      </c>
      <c r="Q10" s="16">
        <f t="shared" si="8"/>
        <v>24</v>
      </c>
      <c r="R10" s="16"/>
      <c r="S10" s="21">
        <v>3.2574850299401099</v>
      </c>
      <c r="T10" s="14">
        <v>0</v>
      </c>
      <c r="U10" s="22" t="s">
        <v>34</v>
      </c>
      <c r="V10" s="23" t="s">
        <v>34</v>
      </c>
      <c r="W10" s="14">
        <v>0</v>
      </c>
      <c r="X10" s="24">
        <f t="shared" si="9"/>
        <v>0</v>
      </c>
      <c r="Y10" s="25">
        <f t="shared" si="10"/>
        <v>0</v>
      </c>
      <c r="Z10" s="14">
        <v>0</v>
      </c>
      <c r="AA10" s="14" t="s">
        <v>35</v>
      </c>
      <c r="AB10" s="27">
        <f t="shared" si="11"/>
        <v>-0.69</v>
      </c>
      <c r="AC10" s="28">
        <v>9.8535300925925939E-2</v>
      </c>
      <c r="AD10" s="25">
        <f t="shared" si="12"/>
        <v>-3.8074040277777774</v>
      </c>
      <c r="AE10" s="25">
        <v>-4.9000000000000004</v>
      </c>
      <c r="AF10" s="25">
        <v>-5.1515384615384603</v>
      </c>
      <c r="AG10" s="25">
        <v>0</v>
      </c>
    </row>
    <row r="11" spans="1:33" ht="15.75" customHeight="1">
      <c r="A11" s="14" t="s">
        <v>193</v>
      </c>
      <c r="B11" s="14" t="s">
        <v>708</v>
      </c>
      <c r="C11" s="15">
        <f t="shared" si="4"/>
        <v>20.094615384615391</v>
      </c>
      <c r="D11" s="16">
        <v>26</v>
      </c>
      <c r="E11" s="16">
        <v>0</v>
      </c>
      <c r="F11" s="29">
        <v>522.46000000000015</v>
      </c>
      <c r="G11" s="29">
        <v>-0.16</v>
      </c>
      <c r="H11" s="18">
        <f t="shared" si="1"/>
        <v>3.0624354017532433E-4</v>
      </c>
      <c r="I11" s="18">
        <f t="shared" si="2"/>
        <v>0.34271629101324086</v>
      </c>
      <c r="J11" s="17">
        <f t="shared" si="5"/>
        <v>179.05555340277786</v>
      </c>
      <c r="K11" s="17">
        <f t="shared" si="3"/>
        <v>6.8867520539529945</v>
      </c>
      <c r="L11" s="16">
        <v>44</v>
      </c>
      <c r="M11" s="19">
        <f t="shared" si="6"/>
        <v>0.59090909090909094</v>
      </c>
      <c r="N11" s="16">
        <v>101</v>
      </c>
      <c r="O11" s="20">
        <f t="shared" ref="O11:P11" si="19">D11/7</f>
        <v>3.7142857142857144</v>
      </c>
      <c r="P11" s="20">
        <f t="shared" si="19"/>
        <v>0</v>
      </c>
      <c r="Q11" s="16">
        <f t="shared" si="8"/>
        <v>27</v>
      </c>
      <c r="R11" s="16"/>
      <c r="S11" s="21">
        <v>2.28956228956228</v>
      </c>
      <c r="T11" s="14">
        <v>500</v>
      </c>
      <c r="U11" s="22" t="s">
        <v>34</v>
      </c>
      <c r="V11" s="23" t="s">
        <v>34</v>
      </c>
      <c r="W11" s="14">
        <v>0</v>
      </c>
      <c r="X11" s="24">
        <f t="shared" si="9"/>
        <v>0</v>
      </c>
      <c r="Y11" s="25">
        <f t="shared" si="10"/>
        <v>0</v>
      </c>
      <c r="Z11" s="14">
        <v>0</v>
      </c>
      <c r="AA11" s="14" t="s">
        <v>35</v>
      </c>
      <c r="AB11" s="27">
        <f t="shared" si="11"/>
        <v>-0.69</v>
      </c>
      <c r="AC11" s="28">
        <v>9.8535300925925939E-2</v>
      </c>
      <c r="AD11" s="25">
        <f t="shared" si="12"/>
        <v>-3.5354465972222222</v>
      </c>
      <c r="AE11" s="25">
        <v>-4.9000000000000004</v>
      </c>
      <c r="AF11" s="25">
        <v>-5.1515384615384603</v>
      </c>
      <c r="AG11" s="25">
        <v>0</v>
      </c>
    </row>
    <row r="12" spans="1:33" ht="15.75" customHeight="1">
      <c r="A12" s="14" t="s">
        <v>195</v>
      </c>
      <c r="B12" s="14" t="s">
        <v>68</v>
      </c>
      <c r="C12" s="15">
        <f t="shared" si="4"/>
        <v>21.615714285714287</v>
      </c>
      <c r="D12" s="16">
        <v>7</v>
      </c>
      <c r="E12" s="16">
        <v>0</v>
      </c>
      <c r="F12" s="29">
        <v>151.31</v>
      </c>
      <c r="G12" s="29">
        <v>0</v>
      </c>
      <c r="H12" s="18">
        <f t="shared" si="1"/>
        <v>0</v>
      </c>
      <c r="I12" s="18">
        <f t="shared" si="2"/>
        <v>0.37869856428713444</v>
      </c>
      <c r="J12" s="17">
        <f t="shared" si="5"/>
        <v>57.300879762286314</v>
      </c>
      <c r="K12" s="17">
        <f t="shared" si="3"/>
        <v>8.185839966040902</v>
      </c>
      <c r="L12" s="16">
        <v>21</v>
      </c>
      <c r="M12" s="19">
        <f t="shared" si="6"/>
        <v>0.33333333333333331</v>
      </c>
      <c r="N12" s="16">
        <v>102</v>
      </c>
      <c r="O12" s="20">
        <f t="shared" ref="O12:P12" si="20">D12/7</f>
        <v>1</v>
      </c>
      <c r="P12" s="20">
        <f t="shared" si="20"/>
        <v>0</v>
      </c>
      <c r="Q12" s="16">
        <f t="shared" si="8"/>
        <v>102</v>
      </c>
      <c r="R12" s="16"/>
      <c r="S12" s="21">
        <v>2.57875457875457</v>
      </c>
      <c r="T12" s="14">
        <v>500</v>
      </c>
      <c r="U12" s="22" t="s">
        <v>34</v>
      </c>
      <c r="V12" s="23" t="s">
        <v>34</v>
      </c>
      <c r="W12" s="14">
        <v>0</v>
      </c>
      <c r="X12" s="24">
        <f t="shared" si="9"/>
        <v>0</v>
      </c>
      <c r="Y12" s="25">
        <f t="shared" si="10"/>
        <v>0</v>
      </c>
      <c r="Z12" s="14">
        <v>0</v>
      </c>
      <c r="AA12" s="14" t="s">
        <v>35</v>
      </c>
      <c r="AB12" s="27">
        <f t="shared" si="11"/>
        <v>-0.69</v>
      </c>
      <c r="AC12" s="28">
        <v>9.8535300925925939E-2</v>
      </c>
      <c r="AD12" s="25">
        <f t="shared" si="12"/>
        <v>-0.95185100694444436</v>
      </c>
      <c r="AE12" s="25">
        <v>-4.9000000000000004</v>
      </c>
      <c r="AF12" s="25">
        <v>-5.1515384615384603</v>
      </c>
      <c r="AG12" s="25">
        <v>0</v>
      </c>
    </row>
    <row r="13" spans="1:33" ht="15.75" customHeight="1">
      <c r="A13" s="14" t="s">
        <v>197</v>
      </c>
      <c r="B13" s="14" t="s">
        <v>68</v>
      </c>
      <c r="C13" s="15">
        <f t="shared" si="4"/>
        <v>23.155555555555559</v>
      </c>
      <c r="D13" s="16">
        <v>9</v>
      </c>
      <c r="E13" s="16">
        <v>0</v>
      </c>
      <c r="F13" s="17">
        <v>208.40000000000003</v>
      </c>
      <c r="G13" s="29">
        <v>0</v>
      </c>
      <c r="H13" s="18">
        <f t="shared" si="1"/>
        <v>0</v>
      </c>
      <c r="I13" s="18">
        <f t="shared" si="2"/>
        <v>0.40837903820777405</v>
      </c>
      <c r="J13" s="17">
        <f t="shared" si="5"/>
        <v>85.106191562500129</v>
      </c>
      <c r="K13" s="17">
        <f t="shared" si="3"/>
        <v>9.4562435069444586</v>
      </c>
      <c r="L13" s="16">
        <v>9</v>
      </c>
      <c r="M13" s="19">
        <f t="shared" si="6"/>
        <v>1</v>
      </c>
      <c r="N13" s="16">
        <v>104</v>
      </c>
      <c r="O13" s="20">
        <f t="shared" ref="O13:P13" si="21">D13/7</f>
        <v>1.2857142857142858</v>
      </c>
      <c r="P13" s="20">
        <f t="shared" si="21"/>
        <v>0</v>
      </c>
      <c r="Q13" s="16">
        <f t="shared" si="8"/>
        <v>80</v>
      </c>
      <c r="R13" s="16"/>
      <c r="S13" s="21">
        <v>1.88051948051948</v>
      </c>
      <c r="T13" s="14">
        <v>500</v>
      </c>
      <c r="U13" s="22" t="s">
        <v>34</v>
      </c>
      <c r="V13" s="23" t="s">
        <v>34</v>
      </c>
      <c r="W13" s="14">
        <v>0</v>
      </c>
      <c r="X13" s="24">
        <f t="shared" si="9"/>
        <v>0</v>
      </c>
      <c r="Y13" s="25">
        <f t="shared" si="10"/>
        <v>0</v>
      </c>
      <c r="Z13" s="14">
        <v>0</v>
      </c>
      <c r="AA13" s="14" t="s">
        <v>35</v>
      </c>
      <c r="AB13" s="27">
        <f t="shared" si="11"/>
        <v>-0.69</v>
      </c>
      <c r="AC13" s="28">
        <v>9.8535300925925939E-2</v>
      </c>
      <c r="AD13" s="25">
        <f t="shared" si="12"/>
        <v>-1.2238084375</v>
      </c>
      <c r="AE13" s="25">
        <v>-4.9000000000000004</v>
      </c>
      <c r="AF13" s="25">
        <v>-5.1899999999999897</v>
      </c>
      <c r="AG13" s="25">
        <v>0</v>
      </c>
    </row>
    <row r="14" spans="1:33" ht="15.75" customHeight="1">
      <c r="A14" s="14" t="s">
        <v>32</v>
      </c>
      <c r="B14" s="14" t="s">
        <v>709</v>
      </c>
      <c r="C14" s="15">
        <f t="shared" si="4"/>
        <v>22.195</v>
      </c>
      <c r="D14" s="16">
        <v>20</v>
      </c>
      <c r="E14" s="16">
        <v>0</v>
      </c>
      <c r="F14" s="17">
        <v>443.9</v>
      </c>
      <c r="G14" s="29">
        <v>0</v>
      </c>
      <c r="H14" s="18">
        <f t="shared" si="1"/>
        <v>0</v>
      </c>
      <c r="I14" s="18">
        <f t="shared" si="2"/>
        <v>0.38926655934770138</v>
      </c>
      <c r="J14" s="17">
        <f t="shared" si="5"/>
        <v>172.79542569444465</v>
      </c>
      <c r="K14" s="17">
        <f t="shared" si="3"/>
        <v>8.639771284722233</v>
      </c>
      <c r="L14" s="16">
        <v>39</v>
      </c>
      <c r="M14" s="19">
        <f t="shared" si="6"/>
        <v>0.51282051282051277</v>
      </c>
      <c r="N14" s="16">
        <v>85</v>
      </c>
      <c r="O14" s="20">
        <f t="shared" ref="O14:P14" si="22">D14/7</f>
        <v>2.8571428571428572</v>
      </c>
      <c r="P14" s="20">
        <f t="shared" si="22"/>
        <v>0</v>
      </c>
      <c r="Q14" s="16">
        <f t="shared" si="8"/>
        <v>29</v>
      </c>
      <c r="R14" s="16"/>
      <c r="S14" s="21">
        <v>2.8350877192982402</v>
      </c>
      <c r="T14" s="14">
        <v>500</v>
      </c>
      <c r="U14" s="22" t="s">
        <v>34</v>
      </c>
      <c r="V14" s="23" t="s">
        <v>34</v>
      </c>
      <c r="W14" s="14">
        <v>0</v>
      </c>
      <c r="X14" s="24">
        <f t="shared" si="9"/>
        <v>0</v>
      </c>
      <c r="Y14" s="25">
        <f t="shared" si="10"/>
        <v>0</v>
      </c>
      <c r="Z14" s="14">
        <v>0</v>
      </c>
      <c r="AA14" s="14" t="s">
        <v>35</v>
      </c>
      <c r="AB14" s="27">
        <f t="shared" si="11"/>
        <v>-0.69</v>
      </c>
      <c r="AC14" s="28">
        <v>9.8535300925925939E-2</v>
      </c>
      <c r="AD14" s="25">
        <f t="shared" si="12"/>
        <v>-2.7195743055555557</v>
      </c>
      <c r="AE14" s="25">
        <v>-4.9000000000000004</v>
      </c>
      <c r="AF14" s="25">
        <v>-5.1899999999999897</v>
      </c>
      <c r="AG14" s="25">
        <v>0</v>
      </c>
    </row>
    <row r="15" spans="1:33" ht="15.75" customHeight="1">
      <c r="A15" s="14" t="s">
        <v>36</v>
      </c>
      <c r="B15" s="14" t="s">
        <v>710</v>
      </c>
      <c r="C15" s="15">
        <f t="shared" si="4"/>
        <v>23.222499999999997</v>
      </c>
      <c r="D15" s="16">
        <v>12</v>
      </c>
      <c r="E15" s="16">
        <v>0</v>
      </c>
      <c r="F15" s="17">
        <v>278.66999999999996</v>
      </c>
      <c r="G15" s="29">
        <v>0</v>
      </c>
      <c r="H15" s="18">
        <f t="shared" si="1"/>
        <v>0</v>
      </c>
      <c r="I15" s="18">
        <f t="shared" si="2"/>
        <v>0.40276224716211523</v>
      </c>
      <c r="J15" s="17">
        <f t="shared" si="5"/>
        <v>112.23775541666663</v>
      </c>
      <c r="K15" s="17">
        <f t="shared" si="3"/>
        <v>9.3531462847222198</v>
      </c>
      <c r="L15" s="16">
        <v>23</v>
      </c>
      <c r="M15" s="19">
        <f t="shared" si="6"/>
        <v>0.52173913043478259</v>
      </c>
      <c r="N15" s="16">
        <v>78</v>
      </c>
      <c r="O15" s="20">
        <f t="shared" ref="O15:P15" si="23">D15/7</f>
        <v>1.7142857142857142</v>
      </c>
      <c r="P15" s="20">
        <f t="shared" si="23"/>
        <v>0</v>
      </c>
      <c r="Q15" s="16">
        <f t="shared" si="8"/>
        <v>45</v>
      </c>
      <c r="R15" s="16"/>
      <c r="S15" s="21">
        <v>2.5357142857142798</v>
      </c>
      <c r="T15" s="14">
        <v>500</v>
      </c>
      <c r="U15" s="22" t="s">
        <v>34</v>
      </c>
      <c r="V15" s="23" t="s">
        <v>34</v>
      </c>
      <c r="W15" s="14">
        <v>0</v>
      </c>
      <c r="X15" s="24">
        <f t="shared" si="9"/>
        <v>0</v>
      </c>
      <c r="Y15" s="25">
        <f t="shared" si="10"/>
        <v>0</v>
      </c>
      <c r="Z15" s="14">
        <v>0</v>
      </c>
      <c r="AA15" s="14" t="s">
        <v>35</v>
      </c>
      <c r="AB15" s="27">
        <f t="shared" si="11"/>
        <v>-0.69</v>
      </c>
      <c r="AC15" s="28">
        <v>9.8535300925925939E-2</v>
      </c>
      <c r="AD15" s="25">
        <f t="shared" si="12"/>
        <v>-1.6317445833333333</v>
      </c>
      <c r="AE15" s="25">
        <v>-4.9000000000000004</v>
      </c>
      <c r="AF15" s="25">
        <v>-5.35</v>
      </c>
      <c r="AG15" s="25">
        <v>0</v>
      </c>
    </row>
    <row r="16" spans="1:33" ht="15.75" customHeight="1">
      <c r="A16" s="14" t="s">
        <v>38</v>
      </c>
      <c r="B16" s="14" t="s">
        <v>711</v>
      </c>
      <c r="C16" s="15">
        <f t="shared" si="4"/>
        <v>23.45</v>
      </c>
      <c r="D16" s="16">
        <v>2</v>
      </c>
      <c r="E16" s="16">
        <v>0</v>
      </c>
      <c r="F16" s="17">
        <v>46.9</v>
      </c>
      <c r="G16" s="29">
        <v>-0.08</v>
      </c>
      <c r="H16" s="18">
        <f t="shared" si="1"/>
        <v>1.7057569296375268E-3</v>
      </c>
      <c r="I16" s="18">
        <f t="shared" si="2"/>
        <v>0.40539536395403925</v>
      </c>
      <c r="J16" s="17">
        <f t="shared" si="5"/>
        <v>19.01304256944444</v>
      </c>
      <c r="K16" s="17">
        <f t="shared" si="3"/>
        <v>9.5065212847222202</v>
      </c>
      <c r="L16" s="16">
        <v>15</v>
      </c>
      <c r="M16" s="19">
        <f t="shared" si="6"/>
        <v>0.13333333333333333</v>
      </c>
      <c r="N16" s="16">
        <v>69</v>
      </c>
      <c r="O16" s="20">
        <f t="shared" ref="O16:P16" si="24">D16/7</f>
        <v>0.2857142857142857</v>
      </c>
      <c r="P16" s="20">
        <f t="shared" si="24"/>
        <v>0</v>
      </c>
      <c r="Q16" s="16">
        <f t="shared" si="8"/>
        <v>241</v>
      </c>
      <c r="R16" s="16"/>
      <c r="S16" s="21">
        <v>2.3844011142061201</v>
      </c>
      <c r="T16" s="14">
        <v>500</v>
      </c>
      <c r="U16" s="22" t="s">
        <v>34</v>
      </c>
      <c r="V16" s="23" t="s">
        <v>34</v>
      </c>
      <c r="W16" s="14">
        <v>0</v>
      </c>
      <c r="X16" s="24">
        <f t="shared" si="9"/>
        <v>0</v>
      </c>
      <c r="Y16" s="25">
        <f t="shared" si="10"/>
        <v>0</v>
      </c>
      <c r="Z16" s="14">
        <v>0</v>
      </c>
      <c r="AA16" s="14" t="s">
        <v>35</v>
      </c>
      <c r="AB16" s="27">
        <f t="shared" si="11"/>
        <v>-0.69</v>
      </c>
      <c r="AC16" s="28">
        <v>9.8535300925925939E-2</v>
      </c>
      <c r="AD16" s="25">
        <f t="shared" si="12"/>
        <v>-0.27195743055555555</v>
      </c>
      <c r="AE16" s="25">
        <v>-4.9000000000000004</v>
      </c>
      <c r="AF16" s="25">
        <v>-5.35</v>
      </c>
      <c r="AG16" s="25">
        <v>0</v>
      </c>
    </row>
    <row r="17" spans="1:33" ht="15.75" customHeight="1">
      <c r="A17" s="14" t="s">
        <v>40</v>
      </c>
      <c r="B17" s="14" t="s">
        <v>68</v>
      </c>
      <c r="C17" s="15">
        <f t="shared" si="4"/>
        <v>23.694444444444443</v>
      </c>
      <c r="D17" s="16">
        <v>9</v>
      </c>
      <c r="E17" s="16">
        <v>0</v>
      </c>
      <c r="F17" s="17">
        <v>213.25</v>
      </c>
      <c r="G17" s="29">
        <v>0</v>
      </c>
      <c r="H17" s="18">
        <f t="shared" si="1"/>
        <v>0</v>
      </c>
      <c r="I17" s="18">
        <f t="shared" si="2"/>
        <v>0.41167030041031649</v>
      </c>
      <c r="J17" s="17">
        <f t="shared" si="5"/>
        <v>87.788691562499992</v>
      </c>
      <c r="K17" s="17">
        <f t="shared" si="3"/>
        <v>9.7542990624999995</v>
      </c>
      <c r="L17" s="16">
        <v>10</v>
      </c>
      <c r="M17" s="19">
        <f t="shared" si="6"/>
        <v>0.9</v>
      </c>
      <c r="N17" s="16">
        <v>60</v>
      </c>
      <c r="O17" s="20">
        <f t="shared" ref="O17:P17" si="25">D17/7</f>
        <v>1.2857142857142858</v>
      </c>
      <c r="P17" s="20">
        <f t="shared" si="25"/>
        <v>0</v>
      </c>
      <c r="Q17" s="16">
        <f t="shared" si="8"/>
        <v>46</v>
      </c>
      <c r="R17" s="16"/>
      <c r="S17" s="21">
        <v>1.7466063348416201</v>
      </c>
      <c r="T17" s="14">
        <v>500</v>
      </c>
      <c r="U17" s="22" t="s">
        <v>34</v>
      </c>
      <c r="V17" s="23" t="s">
        <v>34</v>
      </c>
      <c r="W17" s="14">
        <v>0</v>
      </c>
      <c r="X17" s="24">
        <f t="shared" si="9"/>
        <v>0</v>
      </c>
      <c r="Y17" s="25">
        <f t="shared" si="10"/>
        <v>0</v>
      </c>
      <c r="Z17" s="14">
        <v>0</v>
      </c>
      <c r="AA17" s="14" t="s">
        <v>35</v>
      </c>
      <c r="AB17" s="27">
        <f t="shared" si="11"/>
        <v>-0.69</v>
      </c>
      <c r="AC17" s="28">
        <v>9.8535300925925939E-2</v>
      </c>
      <c r="AD17" s="25">
        <f t="shared" si="12"/>
        <v>-1.2238084375</v>
      </c>
      <c r="AE17" s="25">
        <v>-4.9000000000000004</v>
      </c>
      <c r="AF17" s="25">
        <v>-5.35</v>
      </c>
      <c r="AG17" s="25">
        <v>0</v>
      </c>
    </row>
    <row r="18" spans="1:33" ht="15.75" customHeight="1">
      <c r="A18" s="14" t="s">
        <v>42</v>
      </c>
      <c r="B18" s="14" t="s">
        <v>712</v>
      </c>
      <c r="C18" s="15">
        <f t="shared" si="4"/>
        <v>22.95</v>
      </c>
      <c r="D18" s="16">
        <v>6</v>
      </c>
      <c r="E18" s="16">
        <v>0</v>
      </c>
      <c r="F18" s="17">
        <v>137.69999999999999</v>
      </c>
      <c r="G18" s="29">
        <v>0</v>
      </c>
      <c r="H18" s="18">
        <f t="shared" si="1"/>
        <v>0</v>
      </c>
      <c r="I18" s="18">
        <f t="shared" si="2"/>
        <v>0.39745190783103362</v>
      </c>
      <c r="J18" s="17">
        <f t="shared" si="5"/>
        <v>54.729127708333323</v>
      </c>
      <c r="K18" s="17">
        <f t="shared" si="3"/>
        <v>9.1215212847222205</v>
      </c>
      <c r="L18" s="16">
        <v>9</v>
      </c>
      <c r="M18" s="19">
        <f t="shared" si="6"/>
        <v>0.66666666666666663</v>
      </c>
      <c r="N18" s="16">
        <v>56</v>
      </c>
      <c r="O18" s="20">
        <f t="shared" ref="O18:P18" si="26">D18/7</f>
        <v>0.8571428571428571</v>
      </c>
      <c r="P18" s="20">
        <f t="shared" si="26"/>
        <v>0</v>
      </c>
      <c r="Q18" s="16">
        <f t="shared" si="8"/>
        <v>65</v>
      </c>
      <c r="R18" s="16"/>
      <c r="S18" s="21">
        <v>2.0507042253521099</v>
      </c>
      <c r="T18" s="14">
        <v>500</v>
      </c>
      <c r="U18" s="22">
        <v>0</v>
      </c>
      <c r="V18" s="23" t="s">
        <v>713</v>
      </c>
      <c r="W18" s="14">
        <v>0</v>
      </c>
      <c r="X18" s="24">
        <f t="shared" si="9"/>
        <v>0</v>
      </c>
      <c r="Y18" s="25">
        <f t="shared" si="10"/>
        <v>0</v>
      </c>
      <c r="Z18" s="14">
        <v>0</v>
      </c>
      <c r="AA18" s="14" t="s">
        <v>35</v>
      </c>
      <c r="AB18" s="27">
        <f t="shared" si="11"/>
        <v>-0.69</v>
      </c>
      <c r="AC18" s="28">
        <v>9.8535300925925939E-2</v>
      </c>
      <c r="AD18" s="25">
        <f t="shared" si="12"/>
        <v>-0.81587229166666664</v>
      </c>
      <c r="AE18" s="25">
        <v>-4.9000000000000004</v>
      </c>
      <c r="AF18" s="25">
        <v>-5.35</v>
      </c>
      <c r="AG18" s="25">
        <v>0</v>
      </c>
    </row>
    <row r="19" spans="1:33" ht="15.75" customHeight="1">
      <c r="A19" s="14" t="s">
        <v>44</v>
      </c>
      <c r="B19" s="14" t="s">
        <v>714</v>
      </c>
      <c r="C19" s="15">
        <f t="shared" si="4"/>
        <v>22.45</v>
      </c>
      <c r="D19" s="16">
        <v>2</v>
      </c>
      <c r="E19" s="16">
        <v>0</v>
      </c>
      <c r="F19" s="17">
        <v>44.9</v>
      </c>
      <c r="G19" s="29">
        <v>0</v>
      </c>
      <c r="H19" s="18">
        <f t="shared" si="1"/>
        <v>0</v>
      </c>
      <c r="I19" s="18">
        <f t="shared" si="2"/>
        <v>0.37612566969809452</v>
      </c>
      <c r="J19" s="17">
        <f t="shared" si="5"/>
        <v>16.888042569444444</v>
      </c>
      <c r="K19" s="17">
        <f t="shared" si="3"/>
        <v>8.444021284722222</v>
      </c>
      <c r="L19" s="16">
        <v>9</v>
      </c>
      <c r="M19" s="19">
        <f t="shared" si="6"/>
        <v>0.22222222222222221</v>
      </c>
      <c r="N19" s="16">
        <v>52</v>
      </c>
      <c r="O19" s="20">
        <f t="shared" ref="O19:P19" si="27">D19/7</f>
        <v>0.2857142857142857</v>
      </c>
      <c r="P19" s="20">
        <f t="shared" si="27"/>
        <v>0</v>
      </c>
      <c r="Q19" s="16">
        <f t="shared" si="8"/>
        <v>182</v>
      </c>
      <c r="R19" s="16"/>
      <c r="S19" s="21">
        <v>2.3946488294314299</v>
      </c>
      <c r="T19" s="14">
        <v>500</v>
      </c>
      <c r="U19" s="22">
        <v>300</v>
      </c>
      <c r="V19" s="23" t="s">
        <v>713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14" t="s">
        <v>35</v>
      </c>
      <c r="AB19" s="27">
        <f t="shared" si="11"/>
        <v>-0.69</v>
      </c>
      <c r="AC19" s="28">
        <v>9.8535300925925939E-2</v>
      </c>
      <c r="AD19" s="25">
        <f t="shared" si="12"/>
        <v>-0.27195743055555555</v>
      </c>
      <c r="AE19" s="25">
        <v>-4.9000000000000004</v>
      </c>
      <c r="AF19" s="25">
        <v>-5.6025</v>
      </c>
      <c r="AG19" s="25">
        <v>0</v>
      </c>
    </row>
    <row r="20" spans="1:33" ht="15.75" customHeight="1">
      <c r="A20" s="14" t="s">
        <v>46</v>
      </c>
      <c r="B20" s="14" t="s">
        <v>68</v>
      </c>
      <c r="C20" s="15">
        <f t="shared" si="4"/>
        <v>20.908333333333335</v>
      </c>
      <c r="D20" s="16">
        <v>6</v>
      </c>
      <c r="E20" s="16">
        <v>0</v>
      </c>
      <c r="F20" s="17">
        <v>125.45</v>
      </c>
      <c r="G20" s="29">
        <v>0</v>
      </c>
      <c r="H20" s="18">
        <f t="shared" si="1"/>
        <v>0</v>
      </c>
      <c r="I20" s="18">
        <f t="shared" si="2"/>
        <v>0.34118475654311131</v>
      </c>
      <c r="J20" s="17">
        <f t="shared" si="5"/>
        <v>42.801627708333314</v>
      </c>
      <c r="K20" s="17">
        <f t="shared" si="3"/>
        <v>7.1336046180555526</v>
      </c>
      <c r="L20" s="16">
        <v>14</v>
      </c>
      <c r="M20" s="19">
        <f t="shared" si="6"/>
        <v>0.42857142857142855</v>
      </c>
      <c r="N20" s="16">
        <v>48</v>
      </c>
      <c r="O20" s="20">
        <f t="shared" ref="O20:P20" si="28">D20/7</f>
        <v>0.8571428571428571</v>
      </c>
      <c r="P20" s="20">
        <f t="shared" si="28"/>
        <v>0</v>
      </c>
      <c r="Q20" s="16">
        <f t="shared" si="8"/>
        <v>56</v>
      </c>
      <c r="R20" s="16"/>
      <c r="S20" s="21">
        <v>1.98176291793313</v>
      </c>
      <c r="T20" s="14">
        <v>500</v>
      </c>
      <c r="U20" s="22">
        <v>300</v>
      </c>
      <c r="V20" s="23" t="s">
        <v>715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14" t="s">
        <v>35</v>
      </c>
      <c r="AB20" s="27">
        <f t="shared" si="11"/>
        <v>-0.69</v>
      </c>
      <c r="AC20" s="28">
        <v>9.8535300925925939E-2</v>
      </c>
      <c r="AD20" s="25">
        <f t="shared" si="12"/>
        <v>-0.81587229166666664</v>
      </c>
      <c r="AE20" s="25">
        <v>-4.9000000000000004</v>
      </c>
      <c r="AF20" s="25">
        <v>-5.6025</v>
      </c>
      <c r="AG20" s="25">
        <v>0</v>
      </c>
    </row>
    <row r="21" spans="1:33" ht="15.75" customHeight="1">
      <c r="A21" s="14" t="s">
        <v>47</v>
      </c>
      <c r="B21" s="14" t="s">
        <v>716</v>
      </c>
      <c r="C21" s="15">
        <f t="shared" si="4"/>
        <v>19.95</v>
      </c>
      <c r="D21" s="16">
        <v>5</v>
      </c>
      <c r="E21" s="16">
        <v>0</v>
      </c>
      <c r="F21" s="17">
        <v>99.75</v>
      </c>
      <c r="G21" s="29">
        <v>0</v>
      </c>
      <c r="H21" s="18">
        <f t="shared" si="1"/>
        <v>0</v>
      </c>
      <c r="I21" s="18">
        <f t="shared" si="2"/>
        <v>0.31674292153996092</v>
      </c>
      <c r="J21" s="17">
        <f t="shared" si="5"/>
        <v>31.595106423611103</v>
      </c>
      <c r="K21" s="17">
        <f t="shared" si="3"/>
        <v>6.3190212847222202</v>
      </c>
      <c r="L21" s="16">
        <v>7</v>
      </c>
      <c r="M21" s="19">
        <f t="shared" si="6"/>
        <v>0.7142857142857143</v>
      </c>
      <c r="N21" s="16">
        <v>42</v>
      </c>
      <c r="O21" s="20">
        <f t="shared" ref="O21:P21" si="29">D21/7</f>
        <v>0.7142857142857143</v>
      </c>
      <c r="P21" s="20">
        <f t="shared" si="29"/>
        <v>0</v>
      </c>
      <c r="Q21" s="16">
        <f t="shared" si="8"/>
        <v>58</v>
      </c>
      <c r="R21" s="16"/>
      <c r="S21" s="21">
        <v>1.56608478802992</v>
      </c>
      <c r="T21" s="14">
        <v>500</v>
      </c>
      <c r="U21" s="22">
        <v>300</v>
      </c>
      <c r="V21" s="23" t="s">
        <v>717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14" t="s">
        <v>35</v>
      </c>
      <c r="AB21" s="27">
        <f t="shared" si="11"/>
        <v>-0.69</v>
      </c>
      <c r="AC21" s="28">
        <v>9.8535300925925939E-2</v>
      </c>
      <c r="AD21" s="25">
        <f t="shared" si="12"/>
        <v>-0.67989357638888892</v>
      </c>
      <c r="AE21" s="25">
        <v>-4.9000000000000004</v>
      </c>
      <c r="AF21" s="25">
        <v>-5.6025</v>
      </c>
      <c r="AG21" s="25">
        <v>0</v>
      </c>
    </row>
    <row r="22" spans="1:33" ht="15.75" customHeight="1">
      <c r="A22" s="14" t="s">
        <v>48</v>
      </c>
      <c r="B22" s="14" t="s">
        <v>68</v>
      </c>
      <c r="C22" s="15">
        <f t="shared" si="4"/>
        <v>19.197499999999998</v>
      </c>
      <c r="D22" s="16">
        <v>8</v>
      </c>
      <c r="E22" s="16">
        <v>0</v>
      </c>
      <c r="F22" s="29">
        <v>153.57999999999998</v>
      </c>
      <c r="G22" s="29">
        <v>0</v>
      </c>
      <c r="H22" s="18">
        <f t="shared" si="1"/>
        <v>0</v>
      </c>
      <c r="I22" s="18">
        <f t="shared" si="2"/>
        <v>0.29584041071609429</v>
      </c>
      <c r="J22" s="17">
        <f t="shared" si="5"/>
        <v>45.435170277777758</v>
      </c>
      <c r="K22" s="17">
        <f t="shared" si="3"/>
        <v>5.6793962847222197</v>
      </c>
      <c r="L22" s="16">
        <v>8</v>
      </c>
      <c r="M22" s="19">
        <f t="shared" si="6"/>
        <v>1</v>
      </c>
      <c r="N22" s="16">
        <v>33</v>
      </c>
      <c r="O22" s="20">
        <f t="shared" ref="O22:P22" si="30">D22/7</f>
        <v>1.1428571428571428</v>
      </c>
      <c r="P22" s="20">
        <f t="shared" si="30"/>
        <v>0</v>
      </c>
      <c r="Q22" s="16">
        <f t="shared" si="8"/>
        <v>28</v>
      </c>
      <c r="R22" s="16"/>
      <c r="S22" s="21">
        <v>1.60451977401129</v>
      </c>
      <c r="T22" s="14">
        <v>500</v>
      </c>
      <c r="U22" s="22">
        <v>300</v>
      </c>
      <c r="V22" s="23" t="s">
        <v>717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35</v>
      </c>
      <c r="AB22" s="27">
        <f t="shared" si="11"/>
        <v>-0.69</v>
      </c>
      <c r="AC22" s="28">
        <v>9.8535300925925939E-2</v>
      </c>
      <c r="AD22" s="25">
        <f t="shared" si="12"/>
        <v>-1.0878297222222222</v>
      </c>
      <c r="AE22" s="25">
        <v>-4.9000000000000004</v>
      </c>
      <c r="AF22" s="25">
        <v>-5.6025</v>
      </c>
      <c r="AG22" s="25">
        <v>0</v>
      </c>
    </row>
    <row r="23" spans="1:33" ht="15.75" customHeight="1">
      <c r="A23" s="14" t="s">
        <v>49</v>
      </c>
      <c r="B23" s="14" t="s">
        <v>718</v>
      </c>
      <c r="C23" s="15">
        <f t="shared" si="4"/>
        <v>19.110000000000003</v>
      </c>
      <c r="D23" s="16">
        <v>5</v>
      </c>
      <c r="E23" s="16">
        <v>0</v>
      </c>
      <c r="F23" s="17">
        <v>95.550000000000011</v>
      </c>
      <c r="G23" s="29">
        <v>-0.08</v>
      </c>
      <c r="H23" s="18">
        <f t="shared" si="1"/>
        <v>8.3725798011512285E-4</v>
      </c>
      <c r="I23" s="18">
        <f t="shared" si="2"/>
        <v>0.29246579197918482</v>
      </c>
      <c r="J23" s="17">
        <f t="shared" si="5"/>
        <v>27.945106423611112</v>
      </c>
      <c r="K23" s="17">
        <f t="shared" si="3"/>
        <v>5.5890212847222225</v>
      </c>
      <c r="L23" s="16">
        <v>12</v>
      </c>
      <c r="M23" s="19">
        <f t="shared" si="6"/>
        <v>0.41666666666666669</v>
      </c>
      <c r="N23" s="16">
        <v>30</v>
      </c>
      <c r="O23" s="20">
        <f t="shared" ref="O23:P23" si="31">D23/7</f>
        <v>0.7142857142857143</v>
      </c>
      <c r="P23" s="20">
        <f t="shared" si="31"/>
        <v>0</v>
      </c>
      <c r="Q23" s="16">
        <f t="shared" si="8"/>
        <v>42</v>
      </c>
      <c r="R23" s="16"/>
      <c r="S23" s="21">
        <v>1.65916398713826</v>
      </c>
      <c r="T23" s="14">
        <v>500</v>
      </c>
      <c r="U23" s="22">
        <v>300</v>
      </c>
      <c r="V23" s="23" t="s">
        <v>719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35</v>
      </c>
      <c r="AB23" s="27">
        <f t="shared" si="11"/>
        <v>-0.69</v>
      </c>
      <c r="AC23" s="28">
        <v>9.8535300925925939E-2</v>
      </c>
      <c r="AD23" s="25">
        <f t="shared" si="12"/>
        <v>-0.67989357638888892</v>
      </c>
      <c r="AE23" s="25">
        <v>-4.9000000000000004</v>
      </c>
      <c r="AF23" s="25">
        <v>-5.6025</v>
      </c>
      <c r="AG23" s="25">
        <v>0</v>
      </c>
    </row>
    <row r="24" spans="1:33" ht="15.75" customHeight="1">
      <c r="A24" s="14" t="s">
        <v>50</v>
      </c>
      <c r="B24" s="14" t="s">
        <v>720</v>
      </c>
      <c r="C24" s="15">
        <f t="shared" si="4"/>
        <v>17.454999999999998</v>
      </c>
      <c r="D24" s="16">
        <v>2</v>
      </c>
      <c r="E24" s="16">
        <v>2</v>
      </c>
      <c r="F24" s="17">
        <v>34.909999999999997</v>
      </c>
      <c r="G24" s="17">
        <v>0</v>
      </c>
      <c r="H24" s="18">
        <f t="shared" si="1"/>
        <v>0</v>
      </c>
      <c r="I24" s="18">
        <f t="shared" si="2"/>
        <v>0.24051969548680729</v>
      </c>
      <c r="J24" s="17">
        <f t="shared" si="5"/>
        <v>8.396542569444442</v>
      </c>
      <c r="K24" s="17">
        <f t="shared" si="3"/>
        <v>4.198271284722221</v>
      </c>
      <c r="L24" s="16">
        <v>9</v>
      </c>
      <c r="M24" s="19">
        <f t="shared" si="6"/>
        <v>0.22222222222222221</v>
      </c>
      <c r="N24" s="16">
        <v>25</v>
      </c>
      <c r="O24" s="20">
        <f t="shared" ref="O24:P24" si="32">D24/7</f>
        <v>0.2857142857142857</v>
      </c>
      <c r="P24" s="20">
        <f t="shared" si="32"/>
        <v>0.2857142857142857</v>
      </c>
      <c r="Q24" s="16">
        <f t="shared" si="8"/>
        <v>43</v>
      </c>
      <c r="R24" s="16"/>
      <c r="S24" s="21">
        <v>1.51515151515151</v>
      </c>
      <c r="T24" s="14">
        <v>500</v>
      </c>
      <c r="U24" s="22">
        <v>300</v>
      </c>
      <c r="V24" s="23" t="s">
        <v>719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14" t="s">
        <v>35</v>
      </c>
      <c r="AB24" s="27">
        <f t="shared" si="11"/>
        <v>-0.69</v>
      </c>
      <c r="AC24" s="28">
        <v>9.8535300925925939E-2</v>
      </c>
      <c r="AD24" s="25">
        <f t="shared" si="12"/>
        <v>-0.27195743055555555</v>
      </c>
      <c r="AE24" s="25">
        <v>-4.9000000000000004</v>
      </c>
      <c r="AF24" s="25">
        <v>-5.6025</v>
      </c>
      <c r="AG24" s="25">
        <v>0</v>
      </c>
    </row>
    <row r="25" spans="1:33" ht="15.75" customHeight="1">
      <c r="A25" s="14" t="s">
        <v>51</v>
      </c>
      <c r="B25" s="14"/>
      <c r="C25" s="15">
        <f t="shared" si="4"/>
        <v>12.961764705882352</v>
      </c>
      <c r="D25" s="16">
        <v>17</v>
      </c>
      <c r="E25" s="16">
        <v>0</v>
      </c>
      <c r="F25" s="17">
        <v>220.35</v>
      </c>
      <c r="G25" s="17">
        <v>0</v>
      </c>
      <c r="H25" s="18">
        <f t="shared" si="1"/>
        <v>0</v>
      </c>
      <c r="I25" s="18">
        <f t="shared" si="2"/>
        <v>2.9434362787736618E-2</v>
      </c>
      <c r="J25" s="17">
        <f t="shared" si="5"/>
        <v>6.4858618402777637</v>
      </c>
      <c r="K25" s="17">
        <f t="shared" si="3"/>
        <v>0.38152128472222141</v>
      </c>
      <c r="L25" s="16">
        <v>25</v>
      </c>
      <c r="M25" s="19">
        <f t="shared" si="6"/>
        <v>0.68</v>
      </c>
      <c r="N25" s="16">
        <v>8</v>
      </c>
      <c r="O25" s="20">
        <f t="shared" ref="O25:P25" si="33">D25/7</f>
        <v>2.4285714285714284</v>
      </c>
      <c r="P25" s="20">
        <f t="shared" si="33"/>
        <v>0</v>
      </c>
      <c r="Q25" s="16">
        <f t="shared" si="8"/>
        <v>3</v>
      </c>
      <c r="R25" s="16"/>
      <c r="S25" s="21">
        <v>1.648068669527897</v>
      </c>
      <c r="T25" s="14">
        <v>500</v>
      </c>
      <c r="U25" s="22">
        <v>300</v>
      </c>
      <c r="V25" s="23" t="s">
        <v>721</v>
      </c>
      <c r="W25" s="30">
        <v>0</v>
      </c>
      <c r="X25" s="24">
        <f t="shared" si="9"/>
        <v>0</v>
      </c>
      <c r="Y25" s="25">
        <f t="shared" si="10"/>
        <v>0</v>
      </c>
      <c r="Z25" s="30">
        <v>0</v>
      </c>
      <c r="AA25" s="14" t="s">
        <v>35</v>
      </c>
      <c r="AB25" s="27">
        <f t="shared" si="11"/>
        <v>-0.69</v>
      </c>
      <c r="AC25" s="28">
        <v>9.8535300925925939E-2</v>
      </c>
      <c r="AD25" s="25">
        <f t="shared" si="12"/>
        <v>-2.311638159722222</v>
      </c>
      <c r="AE25" s="25">
        <v>-4.9000000000000004</v>
      </c>
      <c r="AF25" s="25">
        <v>-5.6</v>
      </c>
      <c r="AG25" s="25">
        <v>0</v>
      </c>
    </row>
    <row r="26" spans="1:33" ht="15.75" customHeight="1">
      <c r="A26" s="14" t="s">
        <v>52</v>
      </c>
      <c r="B26" s="14" t="s">
        <v>45</v>
      </c>
      <c r="C26" s="15">
        <f t="shared" si="4"/>
        <v>12.95</v>
      </c>
      <c r="D26" s="16">
        <v>7</v>
      </c>
      <c r="E26" s="16">
        <v>0</v>
      </c>
      <c r="F26" s="17">
        <v>90.649999999999991</v>
      </c>
      <c r="G26" s="17">
        <v>0</v>
      </c>
      <c r="H26" s="18">
        <f t="shared" si="1"/>
        <v>0</v>
      </c>
      <c r="I26" s="18">
        <f t="shared" si="2"/>
        <v>2.8495852102101989E-2</v>
      </c>
      <c r="J26" s="17">
        <f t="shared" si="5"/>
        <v>2.5831489930555449</v>
      </c>
      <c r="K26" s="17">
        <f t="shared" si="3"/>
        <v>0.36902128472222068</v>
      </c>
      <c r="L26" s="16">
        <v>5</v>
      </c>
      <c r="M26" s="19">
        <f t="shared" si="6"/>
        <v>1.4</v>
      </c>
      <c r="N26" s="16">
        <v>0</v>
      </c>
      <c r="O26" s="20">
        <f t="shared" ref="O26:P26" si="34">D26/7</f>
        <v>1</v>
      </c>
      <c r="P26" s="20">
        <f t="shared" si="34"/>
        <v>0</v>
      </c>
      <c r="Q26" s="16">
        <f t="shared" si="8"/>
        <v>0</v>
      </c>
      <c r="R26" s="16"/>
      <c r="S26" s="21">
        <v>2.0192307692307692</v>
      </c>
      <c r="T26" s="14">
        <v>500</v>
      </c>
      <c r="U26" s="22">
        <v>300</v>
      </c>
      <c r="V26" s="23" t="s">
        <v>721</v>
      </c>
      <c r="W26" s="30">
        <v>0</v>
      </c>
      <c r="X26" s="24">
        <f t="shared" si="9"/>
        <v>0</v>
      </c>
      <c r="Y26" s="25">
        <f t="shared" si="10"/>
        <v>0</v>
      </c>
      <c r="Z26" s="30">
        <v>0</v>
      </c>
      <c r="AA26" s="14" t="s">
        <v>35</v>
      </c>
      <c r="AB26" s="27">
        <f t="shared" si="11"/>
        <v>-0.69</v>
      </c>
      <c r="AC26" s="28">
        <v>9.8535300925925939E-2</v>
      </c>
      <c r="AD26" s="25">
        <f t="shared" si="12"/>
        <v>-0.95185100694444436</v>
      </c>
      <c r="AE26" s="25">
        <v>-4.9000000000000004</v>
      </c>
      <c r="AF26" s="25">
        <v>-5.6025</v>
      </c>
      <c r="AG26" s="25">
        <v>0</v>
      </c>
    </row>
    <row r="27" spans="1:33" ht="15.75" customHeight="1">
      <c r="A27" s="14" t="s">
        <v>53</v>
      </c>
      <c r="B27" s="14" t="s">
        <v>64</v>
      </c>
      <c r="C27" s="15">
        <f t="shared" si="4"/>
        <v>13.061428571428573</v>
      </c>
      <c r="D27" s="16">
        <v>7</v>
      </c>
      <c r="E27" s="16">
        <v>0</v>
      </c>
      <c r="F27" s="17">
        <v>91.43</v>
      </c>
      <c r="G27" s="17">
        <v>0</v>
      </c>
      <c r="H27" s="18">
        <f t="shared" si="1"/>
        <v>0</v>
      </c>
      <c r="I27" s="18">
        <f t="shared" si="2"/>
        <v>1.1961598961561331E-2</v>
      </c>
      <c r="J27" s="17">
        <f t="shared" si="5"/>
        <v>1.0936489930555526</v>
      </c>
      <c r="K27" s="17">
        <f t="shared" si="3"/>
        <v>0.15623557043650751</v>
      </c>
      <c r="L27" s="16">
        <v>5</v>
      </c>
      <c r="M27" s="19">
        <f t="shared" si="6"/>
        <v>1.4</v>
      </c>
      <c r="N27" s="16">
        <v>298</v>
      </c>
      <c r="O27" s="20">
        <f t="shared" ref="O27:P27" si="35">D27/7</f>
        <v>1</v>
      </c>
      <c r="P27" s="20">
        <f t="shared" si="35"/>
        <v>0</v>
      </c>
      <c r="Q27" s="16">
        <f t="shared" si="8"/>
        <v>298</v>
      </c>
      <c r="R27" s="16"/>
      <c r="S27" s="21">
        <v>0.71035940803382669</v>
      </c>
      <c r="T27" s="14">
        <v>200</v>
      </c>
      <c r="U27" s="22" t="s">
        <v>34</v>
      </c>
      <c r="V27" s="23" t="s">
        <v>34</v>
      </c>
      <c r="W27" s="30">
        <v>0</v>
      </c>
      <c r="X27" s="24">
        <f t="shared" si="9"/>
        <v>0</v>
      </c>
      <c r="Y27" s="25">
        <f t="shared" si="10"/>
        <v>0</v>
      </c>
      <c r="Z27" s="30">
        <v>0</v>
      </c>
      <c r="AA27" s="14" t="s">
        <v>35</v>
      </c>
      <c r="AB27" s="27">
        <f t="shared" si="11"/>
        <v>-0.69</v>
      </c>
      <c r="AC27" s="28">
        <v>9.8535300925925939E-2</v>
      </c>
      <c r="AD27" s="25">
        <f t="shared" si="12"/>
        <v>-0.95185100694444436</v>
      </c>
      <c r="AE27" s="25">
        <v>-4.9000000000000004</v>
      </c>
      <c r="AF27" s="25">
        <v>-5.91</v>
      </c>
      <c r="AG27" s="25">
        <v>0</v>
      </c>
    </row>
    <row r="28" spans="1:33" ht="15.75" customHeight="1">
      <c r="A28" s="14" t="s">
        <v>54</v>
      </c>
      <c r="B28" s="14" t="s">
        <v>722</v>
      </c>
      <c r="C28" s="15">
        <f t="shared" si="4"/>
        <v>13.512105263157894</v>
      </c>
      <c r="D28" s="16">
        <v>57</v>
      </c>
      <c r="E28" s="16">
        <v>0</v>
      </c>
      <c r="F28" s="17">
        <v>770.18999999999994</v>
      </c>
      <c r="G28" s="17">
        <v>-20.18</v>
      </c>
      <c r="H28" s="18">
        <f t="shared" si="1"/>
        <v>2.6201326945299214E-2</v>
      </c>
      <c r="I28" s="18">
        <f t="shared" si="2"/>
        <v>1.0011442928584651E-2</v>
      </c>
      <c r="J28" s="17">
        <f t="shared" si="5"/>
        <v>7.7107132291666112</v>
      </c>
      <c r="K28" s="17">
        <f t="shared" si="3"/>
        <v>0.13527567068713353</v>
      </c>
      <c r="L28" s="16">
        <v>66</v>
      </c>
      <c r="M28" s="19">
        <f t="shared" si="6"/>
        <v>0.86363636363636365</v>
      </c>
      <c r="N28" s="16">
        <v>253</v>
      </c>
      <c r="O28" s="20">
        <f t="shared" ref="O28:P28" si="36">D28/7</f>
        <v>8.1428571428571423</v>
      </c>
      <c r="P28" s="20">
        <f t="shared" si="36"/>
        <v>0</v>
      </c>
      <c r="Q28" s="16">
        <f t="shared" si="8"/>
        <v>31</v>
      </c>
      <c r="R28" s="16"/>
      <c r="S28" s="21">
        <v>1.0710900473933651</v>
      </c>
      <c r="T28" s="14">
        <v>200</v>
      </c>
      <c r="U28" s="22" t="s">
        <v>34</v>
      </c>
      <c r="V28" s="23" t="s">
        <v>34</v>
      </c>
      <c r="W28" s="30">
        <v>3</v>
      </c>
      <c r="X28" s="24">
        <f t="shared" si="9"/>
        <v>5.2631578947368418E-2</v>
      </c>
      <c r="Y28" s="25">
        <f t="shared" si="10"/>
        <v>4.0359999999999996</v>
      </c>
      <c r="Z28" s="30">
        <v>2</v>
      </c>
      <c r="AA28" s="14" t="s">
        <v>35</v>
      </c>
      <c r="AB28" s="27">
        <f t="shared" si="11"/>
        <v>-0.69</v>
      </c>
      <c r="AC28" s="28">
        <v>9.8535300925925939E-2</v>
      </c>
      <c r="AD28" s="25">
        <f t="shared" si="12"/>
        <v>-7.7507867708333329</v>
      </c>
      <c r="AE28" s="25">
        <v>-4.95</v>
      </c>
      <c r="AF28" s="25">
        <v>-5.91</v>
      </c>
      <c r="AG28" s="25">
        <v>0</v>
      </c>
    </row>
    <row r="29" spans="1:33" ht="15.75" customHeight="1">
      <c r="A29" s="14" t="s">
        <v>55</v>
      </c>
      <c r="B29" s="14" t="s">
        <v>723</v>
      </c>
      <c r="C29" s="15">
        <f t="shared" si="4"/>
        <v>15.047966101694916</v>
      </c>
      <c r="D29" s="16">
        <v>59</v>
      </c>
      <c r="E29" s="16">
        <v>0</v>
      </c>
      <c r="F29" s="17">
        <v>887.83</v>
      </c>
      <c r="G29" s="17">
        <v>-0.9</v>
      </c>
      <c r="H29" s="18">
        <f t="shared" si="1"/>
        <v>1.0137075791536668E-3</v>
      </c>
      <c r="I29" s="18">
        <f t="shared" si="2"/>
        <v>0.11825772478809128</v>
      </c>
      <c r="J29" s="17">
        <f t="shared" si="5"/>
        <v>104.99275579861109</v>
      </c>
      <c r="K29" s="17">
        <f t="shared" si="3"/>
        <v>1.7795382338747641</v>
      </c>
      <c r="L29" s="16">
        <v>58</v>
      </c>
      <c r="M29" s="19">
        <f t="shared" si="6"/>
        <v>1.0172413793103448</v>
      </c>
      <c r="N29" s="16">
        <v>119</v>
      </c>
      <c r="O29" s="20">
        <f t="shared" ref="O29:P29" si="37">D29/7</f>
        <v>8.4285714285714288</v>
      </c>
      <c r="P29" s="20">
        <f t="shared" si="37"/>
        <v>0</v>
      </c>
      <c r="Q29" s="16">
        <f t="shared" si="8"/>
        <v>14</v>
      </c>
      <c r="R29" s="16"/>
      <c r="S29" s="21">
        <v>2.5373134328358211</v>
      </c>
      <c r="T29" s="14">
        <v>200</v>
      </c>
      <c r="U29" s="22" t="s">
        <v>34</v>
      </c>
      <c r="V29" s="23" t="s">
        <v>34</v>
      </c>
      <c r="W29" s="30">
        <v>0</v>
      </c>
      <c r="X29" s="24">
        <f t="shared" si="9"/>
        <v>0</v>
      </c>
      <c r="Y29" s="25">
        <f t="shared" si="10"/>
        <v>0</v>
      </c>
      <c r="Z29" s="30">
        <v>0</v>
      </c>
      <c r="AA29" s="14" t="s">
        <v>35</v>
      </c>
      <c r="AB29" s="27">
        <f t="shared" si="11"/>
        <v>-0.69</v>
      </c>
      <c r="AC29" s="28">
        <v>9.8535300925925939E-2</v>
      </c>
      <c r="AD29" s="25">
        <f t="shared" si="12"/>
        <v>-8.022744201388889</v>
      </c>
      <c r="AE29" s="25">
        <v>-4.95</v>
      </c>
      <c r="AF29" s="25">
        <v>-5.91</v>
      </c>
      <c r="AG29" s="25">
        <v>0</v>
      </c>
    </row>
    <row r="30" spans="1:33" ht="15.75" customHeight="1">
      <c r="A30" s="14" t="s">
        <v>57</v>
      </c>
      <c r="B30" s="14" t="s">
        <v>724</v>
      </c>
      <c r="C30" s="15">
        <f t="shared" si="4"/>
        <v>16.770952380952377</v>
      </c>
      <c r="D30" s="16">
        <v>42</v>
      </c>
      <c r="E30" s="16">
        <v>0</v>
      </c>
      <c r="F30" s="17">
        <v>704.37999999999988</v>
      </c>
      <c r="G30" s="17">
        <v>0</v>
      </c>
      <c r="H30" s="18">
        <f t="shared" si="1"/>
        <v>0</v>
      </c>
      <c r="I30" s="18">
        <f t="shared" si="2"/>
        <v>0.1983030893528113</v>
      </c>
      <c r="J30" s="17">
        <f t="shared" si="5"/>
        <v>139.6807300783332</v>
      </c>
      <c r="K30" s="17">
        <f t="shared" si="3"/>
        <v>3.3257316685317426</v>
      </c>
      <c r="L30" s="16">
        <v>59</v>
      </c>
      <c r="M30" s="19">
        <f t="shared" si="6"/>
        <v>0.71186440677966101</v>
      </c>
      <c r="N30" s="16">
        <v>137</v>
      </c>
      <c r="O30" s="20">
        <f t="shared" ref="O30:P30" si="38">D30/7</f>
        <v>6</v>
      </c>
      <c r="P30" s="20">
        <f t="shared" si="38"/>
        <v>0</v>
      </c>
      <c r="Q30" s="16">
        <f t="shared" si="8"/>
        <v>22</v>
      </c>
      <c r="R30" s="16"/>
      <c r="S30" s="21">
        <v>3.175572519083969</v>
      </c>
      <c r="T30" s="14">
        <v>200</v>
      </c>
      <c r="U30" s="22" t="s">
        <v>34</v>
      </c>
      <c r="V30" s="23" t="s">
        <v>34</v>
      </c>
      <c r="W30" s="30">
        <v>0</v>
      </c>
      <c r="X30" s="24">
        <f t="shared" si="9"/>
        <v>0</v>
      </c>
      <c r="Y30" s="25">
        <f t="shared" si="10"/>
        <v>0</v>
      </c>
      <c r="Z30" s="30">
        <v>0</v>
      </c>
      <c r="AA30" s="14" t="s">
        <v>35</v>
      </c>
      <c r="AB30" s="27">
        <f t="shared" si="11"/>
        <v>-0.69</v>
      </c>
      <c r="AC30" s="28">
        <v>9.8535300925925939E-2</v>
      </c>
      <c r="AD30" s="25">
        <f t="shared" si="12"/>
        <v>-5.7111060416666666</v>
      </c>
      <c r="AE30" s="25">
        <v>-4.95</v>
      </c>
      <c r="AF30" s="25">
        <v>-5.8435991400000002</v>
      </c>
      <c r="AG30" s="25">
        <v>0</v>
      </c>
    </row>
    <row r="31" spans="1:33" ht="15.75" customHeight="1">
      <c r="A31" s="14" t="s">
        <v>58</v>
      </c>
      <c r="B31" s="14" t="s">
        <v>725</v>
      </c>
      <c r="C31" s="15">
        <f t="shared" si="4"/>
        <v>18.556060606060605</v>
      </c>
      <c r="D31" s="16">
        <v>33</v>
      </c>
      <c r="E31" s="16">
        <v>2</v>
      </c>
      <c r="F31" s="17">
        <v>612.34999999999991</v>
      </c>
      <c r="G31" s="17">
        <v>-1.22</v>
      </c>
      <c r="H31" s="18">
        <f t="shared" si="1"/>
        <v>1.9923246509349229E-3</v>
      </c>
      <c r="I31" s="18">
        <f t="shared" si="2"/>
        <v>0.25900454115429622</v>
      </c>
      <c r="J31" s="17">
        <f t="shared" si="5"/>
        <v>158.60143077583328</v>
      </c>
      <c r="K31" s="17">
        <f t="shared" si="3"/>
        <v>4.8061039629040385</v>
      </c>
      <c r="L31" s="16">
        <v>44</v>
      </c>
      <c r="M31" s="19">
        <f t="shared" si="6"/>
        <v>0.75</v>
      </c>
      <c r="N31" s="16">
        <v>104</v>
      </c>
      <c r="O31" s="20">
        <f t="shared" ref="O31:P31" si="39">D31/7</f>
        <v>4.7142857142857144</v>
      </c>
      <c r="P31" s="20">
        <f t="shared" si="39"/>
        <v>0.2857142857142857</v>
      </c>
      <c r="Q31" s="16">
        <f t="shared" si="8"/>
        <v>20</v>
      </c>
      <c r="R31" s="16"/>
      <c r="S31" s="21">
        <v>4.5046728971962597</v>
      </c>
      <c r="T31" s="14">
        <v>400</v>
      </c>
      <c r="U31" s="22" t="s">
        <v>34</v>
      </c>
      <c r="V31" s="23" t="s">
        <v>240</v>
      </c>
      <c r="W31" s="30">
        <v>0</v>
      </c>
      <c r="X31" s="24">
        <f t="shared" si="9"/>
        <v>0</v>
      </c>
      <c r="Y31" s="25">
        <f t="shared" si="10"/>
        <v>0</v>
      </c>
      <c r="Z31" s="30">
        <v>0</v>
      </c>
      <c r="AA31" s="14" t="s">
        <v>35</v>
      </c>
      <c r="AB31" s="27">
        <f t="shared" si="11"/>
        <v>-0.69</v>
      </c>
      <c r="AC31" s="28">
        <v>9.8535300925925939E-2</v>
      </c>
      <c r="AD31" s="25">
        <f t="shared" si="12"/>
        <v>-4.4872976041666668</v>
      </c>
      <c r="AE31" s="25">
        <v>-4.95</v>
      </c>
      <c r="AF31" s="25">
        <v>-5.8435991400000002</v>
      </c>
      <c r="AG31" s="25">
        <v>0</v>
      </c>
    </row>
    <row r="32" spans="1:33" ht="15.75" customHeight="1">
      <c r="A32" s="14" t="s">
        <v>60</v>
      </c>
      <c r="B32" s="14"/>
      <c r="C32" s="15">
        <f t="shared" si="4"/>
        <v>21.457333333333334</v>
      </c>
      <c r="D32" s="16">
        <v>30</v>
      </c>
      <c r="E32" s="16">
        <v>0</v>
      </c>
      <c r="F32" s="17">
        <v>643.72</v>
      </c>
      <c r="G32" s="17">
        <v>0</v>
      </c>
      <c r="H32" s="18">
        <f t="shared" si="1"/>
        <v>0</v>
      </c>
      <c r="I32" s="18">
        <f t="shared" si="2"/>
        <v>0.34063671214451424</v>
      </c>
      <c r="J32" s="17">
        <f t="shared" si="5"/>
        <v>219.27466434166672</v>
      </c>
      <c r="K32" s="17">
        <f t="shared" si="3"/>
        <v>7.3091554780555574</v>
      </c>
      <c r="L32" s="16">
        <v>46</v>
      </c>
      <c r="M32" s="19">
        <f t="shared" si="6"/>
        <v>0.65217391304347827</v>
      </c>
      <c r="N32" s="16">
        <v>75</v>
      </c>
      <c r="O32" s="20">
        <f t="shared" ref="O32:P32" si="40">D32/7</f>
        <v>4.2857142857142856</v>
      </c>
      <c r="P32" s="20">
        <f t="shared" si="40"/>
        <v>0</v>
      </c>
      <c r="Q32" s="16">
        <f t="shared" si="8"/>
        <v>17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2.5860465116279072</v>
      </c>
      <c r="T32" s="14">
        <f ca="1">IFERROR(__xludf.DUMMYFUNCTION("IFERROR(VLOOKUP($B$2,IMPORTRANGE(""https://docs.google.com/spreadsheets/d/1KiWZV1ko8G7lnRucBRBd29jj3Be6ltMfljMDqzOkQmI/edit#gid=1381463014"",""Lookup!A:D""),4,FALSE),"""")"),400)</f>
        <v>400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23" t="str">
        <f ca="1">IFERROR(__xludf.DUMMYFUNCTION("IFERROR(VLOOKUP($B$2,IMPORTRANGE(""https://docs.google.com/spreadsheets/d/1KiWZV1ko8G7lnRucBRBd29jj3Be6ltMfljMDqzOkQmI/edit#gid=1381463014"",""Lookup!A:D""),2,FALSE),"""")"),"No Transit, But 400 At Factory 50-75 days from Earliest Arrival")</f>
        <v>No Transit, But 400 At Factory 50-75 days from Earliest Arrival</v>
      </c>
      <c r="W32" s="30">
        <v>0</v>
      </c>
      <c r="X32" s="24">
        <f t="shared" si="9"/>
        <v>0</v>
      </c>
      <c r="Y32" s="25">
        <f t="shared" si="10"/>
        <v>0</v>
      </c>
      <c r="Z32" s="30">
        <v>0</v>
      </c>
      <c r="AA32" s="14" t="s">
        <v>35</v>
      </c>
      <c r="AB32" s="27">
        <f t="shared" si="11"/>
        <v>-0.69</v>
      </c>
      <c r="AC32" s="28">
        <v>9.8535300925925939E-2</v>
      </c>
      <c r="AD32" s="25">
        <f t="shared" si="12"/>
        <v>-4.0793614583333335</v>
      </c>
      <c r="AE32" s="25">
        <v>-4.95</v>
      </c>
      <c r="AF32" s="25">
        <v>-5.8435991400000002</v>
      </c>
      <c r="AG32" s="25">
        <v>0</v>
      </c>
    </row>
    <row r="33" spans="1:33" ht="15.75" customHeight="1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16"/>
      <c r="S33" s="21"/>
      <c r="T33" s="31"/>
      <c r="U33" s="36"/>
      <c r="V33" s="1"/>
      <c r="W33" s="31"/>
      <c r="X33" s="31"/>
      <c r="Y33" s="31"/>
      <c r="Z33" s="31"/>
      <c r="AA33" s="2"/>
      <c r="AB33" s="31"/>
      <c r="AC33" s="31"/>
      <c r="AD33" s="31"/>
      <c r="AE33" s="37"/>
      <c r="AF33" s="37"/>
      <c r="AG33" s="37"/>
    </row>
    <row r="34" spans="1:33" ht="15.75" customHeight="1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6"/>
      <c r="V34" s="1"/>
      <c r="W34" s="31"/>
      <c r="X34" s="31"/>
      <c r="Y34" s="31"/>
      <c r="Z34" s="31"/>
      <c r="AA34" s="2"/>
      <c r="AB34" s="31"/>
      <c r="AC34" s="31"/>
      <c r="AD34" s="31"/>
      <c r="AE34" s="37"/>
      <c r="AF34" s="37"/>
      <c r="AG34" s="37"/>
    </row>
    <row r="35" spans="1:33" ht="15.75" customHeight="1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6"/>
      <c r="V35" s="1"/>
      <c r="W35" s="31"/>
      <c r="X35" s="31"/>
      <c r="Y35" s="31"/>
      <c r="Z35" s="31"/>
      <c r="AA35" s="2"/>
      <c r="AB35" s="31"/>
      <c r="AC35" s="31"/>
      <c r="AD35" s="31"/>
      <c r="AE35" s="37"/>
      <c r="AF35" s="37"/>
      <c r="AG35" s="37"/>
    </row>
    <row r="36" spans="1:33" ht="15.75" customHeight="1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6"/>
      <c r="V36" s="1"/>
      <c r="W36" s="31"/>
      <c r="X36" s="31"/>
      <c r="Y36" s="31"/>
      <c r="Z36" s="31"/>
      <c r="AA36" s="2"/>
      <c r="AB36" s="31"/>
      <c r="AC36" s="31"/>
      <c r="AD36" s="31"/>
      <c r="AE36" s="37"/>
      <c r="AF36" s="37"/>
      <c r="AG36" s="37"/>
    </row>
    <row r="37" spans="1:33" ht="15.75" customHeight="1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6"/>
      <c r="V37" s="1"/>
      <c r="W37" s="31"/>
      <c r="X37" s="31"/>
      <c r="Y37" s="31"/>
      <c r="Z37" s="31"/>
      <c r="AA37" s="2"/>
      <c r="AB37" s="31"/>
      <c r="AC37" s="31"/>
      <c r="AD37" s="31"/>
      <c r="AE37" s="37"/>
      <c r="AF37" s="37"/>
      <c r="AG37" s="37"/>
    </row>
    <row r="38" spans="1:33" ht="15.75" customHeight="1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6"/>
      <c r="V38" s="1"/>
      <c r="W38" s="31"/>
      <c r="X38" s="31"/>
      <c r="Y38" s="31"/>
      <c r="Z38" s="31"/>
      <c r="AA38" s="2"/>
      <c r="AB38" s="31"/>
      <c r="AC38" s="31"/>
      <c r="AD38" s="31"/>
      <c r="AE38" s="37"/>
      <c r="AF38" s="37"/>
      <c r="AG38" s="37"/>
    </row>
    <row r="39" spans="1:33" ht="15.75" customHeight="1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6"/>
      <c r="V39" s="1"/>
      <c r="W39" s="31"/>
      <c r="X39" s="31"/>
      <c r="Y39" s="31"/>
      <c r="Z39" s="31"/>
      <c r="AA39" s="2"/>
      <c r="AB39" s="31"/>
      <c r="AC39" s="31"/>
      <c r="AD39" s="31"/>
      <c r="AE39" s="37"/>
      <c r="AF39" s="37"/>
      <c r="AG39" s="37"/>
    </row>
    <row r="40" spans="1:33" ht="15.75" customHeight="1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6"/>
      <c r="V40" s="1"/>
      <c r="W40" s="31"/>
      <c r="X40" s="31"/>
      <c r="Y40" s="31"/>
      <c r="Z40" s="31"/>
      <c r="AA40" s="2"/>
      <c r="AB40" s="31"/>
      <c r="AC40" s="31"/>
      <c r="AD40" s="31"/>
      <c r="AE40" s="37"/>
      <c r="AF40" s="37"/>
      <c r="AG40" s="37"/>
    </row>
    <row r="41" spans="1:33" ht="15.75" customHeight="1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6"/>
      <c r="V41" s="1"/>
      <c r="W41" s="31"/>
      <c r="X41" s="31"/>
      <c r="Y41" s="31"/>
      <c r="Z41" s="31"/>
      <c r="AA41" s="2"/>
      <c r="AB41" s="31"/>
      <c r="AC41" s="31"/>
      <c r="AD41" s="31"/>
      <c r="AE41" s="37"/>
      <c r="AF41" s="37"/>
      <c r="AG41" s="37"/>
    </row>
    <row r="42" spans="1:33" ht="15.75" customHeight="1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6"/>
      <c r="V42" s="1"/>
      <c r="W42" s="31"/>
      <c r="X42" s="31"/>
      <c r="Y42" s="31"/>
      <c r="Z42" s="31"/>
      <c r="AA42" s="2"/>
      <c r="AB42" s="31"/>
      <c r="AC42" s="31"/>
      <c r="AD42" s="31"/>
      <c r="AE42" s="37"/>
      <c r="AF42" s="37"/>
      <c r="AG42" s="37"/>
    </row>
    <row r="43" spans="1:33" ht="15.75" customHeight="1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6"/>
      <c r="V43" s="1"/>
      <c r="W43" s="31"/>
      <c r="X43" s="31"/>
      <c r="Y43" s="31"/>
      <c r="Z43" s="31"/>
      <c r="AA43" s="2"/>
      <c r="AB43" s="31"/>
      <c r="AC43" s="31"/>
      <c r="AD43" s="31"/>
      <c r="AE43" s="37"/>
      <c r="AF43" s="37"/>
      <c r="AG43" s="37"/>
    </row>
    <row r="44" spans="1:33" ht="15.75" customHeight="1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6"/>
      <c r="V44" s="1"/>
      <c r="W44" s="31"/>
      <c r="X44" s="31"/>
      <c r="Y44" s="31"/>
      <c r="Z44" s="31"/>
      <c r="AA44" s="2"/>
      <c r="AB44" s="31"/>
      <c r="AC44" s="31"/>
      <c r="AD44" s="31"/>
      <c r="AE44" s="37"/>
      <c r="AF44" s="37"/>
      <c r="AG44" s="37"/>
    </row>
    <row r="45" spans="1:33" ht="15.75" customHeight="1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6"/>
      <c r="V45" s="1"/>
      <c r="W45" s="31"/>
      <c r="X45" s="31"/>
      <c r="Y45" s="31"/>
      <c r="Z45" s="31"/>
      <c r="AA45" s="2"/>
      <c r="AB45" s="31"/>
      <c r="AC45" s="31"/>
      <c r="AD45" s="31"/>
      <c r="AE45" s="37"/>
      <c r="AF45" s="37"/>
      <c r="AG45" s="37"/>
    </row>
    <row r="46" spans="1:33" ht="15.75" customHeight="1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6"/>
      <c r="V46" s="1"/>
      <c r="W46" s="31"/>
      <c r="X46" s="31"/>
      <c r="Y46" s="31"/>
      <c r="Z46" s="31"/>
      <c r="AA46" s="2"/>
      <c r="AB46" s="31"/>
      <c r="AC46" s="31"/>
      <c r="AD46" s="31"/>
      <c r="AE46" s="37"/>
      <c r="AF46" s="37"/>
      <c r="AG46" s="37"/>
    </row>
    <row r="47" spans="1:33" ht="15.75" customHeight="1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6"/>
      <c r="V47" s="1"/>
      <c r="W47" s="31"/>
      <c r="X47" s="31"/>
      <c r="Y47" s="31"/>
      <c r="Z47" s="31"/>
      <c r="AA47" s="2"/>
      <c r="AB47" s="31"/>
      <c r="AC47" s="31"/>
      <c r="AD47" s="31"/>
      <c r="AE47" s="37"/>
      <c r="AF47" s="37"/>
      <c r="AG47" s="37"/>
    </row>
    <row r="48" spans="1:33" ht="15.75" customHeight="1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6"/>
      <c r="V48" s="1"/>
      <c r="W48" s="31"/>
      <c r="X48" s="31"/>
      <c r="Y48" s="31"/>
      <c r="Z48" s="31"/>
      <c r="AA48" s="2"/>
      <c r="AB48" s="31"/>
      <c r="AC48" s="31"/>
      <c r="AD48" s="31"/>
      <c r="AE48" s="37"/>
      <c r="AF48" s="37"/>
      <c r="AG48" s="37"/>
    </row>
    <row r="49" spans="1:33" ht="15.75" customHeight="1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6"/>
      <c r="V49" s="1"/>
      <c r="W49" s="31"/>
      <c r="X49" s="31"/>
      <c r="Y49" s="31"/>
      <c r="Z49" s="31"/>
      <c r="AA49" s="2"/>
      <c r="AB49" s="31"/>
      <c r="AC49" s="31"/>
      <c r="AD49" s="31"/>
      <c r="AE49" s="37"/>
      <c r="AF49" s="37"/>
      <c r="AG49" s="37"/>
    </row>
    <row r="50" spans="1:33" ht="15.75" customHeight="1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6"/>
      <c r="V50" s="1"/>
      <c r="W50" s="31"/>
      <c r="X50" s="31"/>
      <c r="Y50" s="31"/>
      <c r="Z50" s="31"/>
      <c r="AA50" s="2"/>
      <c r="AB50" s="31"/>
      <c r="AC50" s="31"/>
      <c r="AD50" s="31"/>
      <c r="AE50" s="37"/>
      <c r="AF50" s="37"/>
      <c r="AG50" s="37"/>
    </row>
    <row r="51" spans="1:33" ht="15.75" customHeight="1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6"/>
      <c r="V51" s="1"/>
      <c r="W51" s="31"/>
      <c r="X51" s="31"/>
      <c r="Y51" s="31"/>
      <c r="Z51" s="31"/>
      <c r="AA51" s="2"/>
      <c r="AB51" s="31"/>
      <c r="AC51" s="31"/>
      <c r="AD51" s="31"/>
      <c r="AE51" s="37"/>
      <c r="AF51" s="37"/>
      <c r="AG51" s="37"/>
    </row>
    <row r="52" spans="1:33" ht="15.75" customHeight="1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6"/>
      <c r="V52" s="1"/>
      <c r="W52" s="31"/>
      <c r="X52" s="31"/>
      <c r="Y52" s="31"/>
      <c r="Z52" s="31"/>
      <c r="AA52" s="2"/>
      <c r="AB52" s="31"/>
      <c r="AC52" s="31"/>
      <c r="AD52" s="31"/>
      <c r="AE52" s="37"/>
      <c r="AF52" s="37"/>
      <c r="AG52" s="37"/>
    </row>
    <row r="53" spans="1:33" ht="15.75" customHeight="1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6"/>
      <c r="V53" s="1"/>
      <c r="W53" s="31"/>
      <c r="X53" s="31"/>
      <c r="Y53" s="31"/>
      <c r="Z53" s="31"/>
      <c r="AA53" s="2"/>
      <c r="AB53" s="31"/>
      <c r="AC53" s="31"/>
      <c r="AD53" s="31"/>
      <c r="AE53" s="37"/>
      <c r="AF53" s="37"/>
      <c r="AG53" s="37"/>
    </row>
    <row r="54" spans="1:33" ht="15.75" customHeight="1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6"/>
      <c r="V54" s="1"/>
      <c r="W54" s="31"/>
      <c r="X54" s="31"/>
      <c r="Y54" s="31"/>
      <c r="Z54" s="31"/>
      <c r="AA54" s="2"/>
      <c r="AB54" s="31"/>
      <c r="AC54" s="31"/>
      <c r="AD54" s="31"/>
      <c r="AE54" s="37"/>
      <c r="AF54" s="37"/>
      <c r="AG54" s="37"/>
    </row>
    <row r="55" spans="1:33" ht="15.75" customHeight="1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6"/>
      <c r="V55" s="1"/>
      <c r="W55" s="31"/>
      <c r="X55" s="31"/>
      <c r="Y55" s="31"/>
      <c r="Z55" s="31"/>
      <c r="AA55" s="2"/>
      <c r="AB55" s="31"/>
      <c r="AC55" s="31"/>
      <c r="AD55" s="31"/>
      <c r="AE55" s="37"/>
      <c r="AF55" s="37"/>
      <c r="AG55" s="37"/>
    </row>
    <row r="56" spans="1:33" ht="15.75" customHeight="1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6"/>
      <c r="V56" s="1"/>
      <c r="W56" s="31"/>
      <c r="X56" s="31"/>
      <c r="Y56" s="31"/>
      <c r="Z56" s="31"/>
      <c r="AA56" s="2"/>
      <c r="AB56" s="31"/>
      <c r="AC56" s="31"/>
      <c r="AD56" s="31"/>
      <c r="AE56" s="37"/>
      <c r="AF56" s="37"/>
      <c r="AG56" s="37"/>
    </row>
    <row r="57" spans="1:33" ht="15.75" customHeight="1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6"/>
      <c r="V57" s="1"/>
      <c r="W57" s="31"/>
      <c r="X57" s="31"/>
      <c r="Y57" s="31"/>
      <c r="Z57" s="31"/>
      <c r="AA57" s="2"/>
      <c r="AB57" s="31"/>
      <c r="AC57" s="31"/>
      <c r="AD57" s="31"/>
      <c r="AE57" s="37"/>
      <c r="AF57" s="37"/>
      <c r="AG57" s="37"/>
    </row>
    <row r="58" spans="1:33" ht="15.75" customHeight="1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6"/>
      <c r="V58" s="1"/>
      <c r="W58" s="31"/>
      <c r="X58" s="31"/>
      <c r="Y58" s="31"/>
      <c r="Z58" s="31"/>
      <c r="AA58" s="2"/>
      <c r="AB58" s="31"/>
      <c r="AC58" s="31"/>
      <c r="AD58" s="31"/>
      <c r="AE58" s="37"/>
      <c r="AF58" s="37"/>
      <c r="AG58" s="37"/>
    </row>
    <row r="59" spans="1:33" ht="15.75" customHeight="1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6"/>
      <c r="V59" s="1"/>
      <c r="W59" s="31"/>
      <c r="X59" s="31"/>
      <c r="Y59" s="31"/>
      <c r="Z59" s="31"/>
      <c r="AA59" s="2"/>
      <c r="AB59" s="31"/>
      <c r="AC59" s="31"/>
      <c r="AD59" s="31"/>
      <c r="AE59" s="37"/>
      <c r="AF59" s="37"/>
      <c r="AG59" s="37"/>
    </row>
    <row r="60" spans="1:33" ht="15.75" customHeight="1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6"/>
      <c r="V60" s="1"/>
      <c r="W60" s="31"/>
      <c r="X60" s="31"/>
      <c r="Y60" s="31"/>
      <c r="Z60" s="31"/>
      <c r="AA60" s="2"/>
      <c r="AB60" s="31"/>
      <c r="AC60" s="31"/>
      <c r="AD60" s="31"/>
      <c r="AE60" s="37"/>
      <c r="AF60" s="37"/>
      <c r="AG60" s="37"/>
    </row>
    <row r="61" spans="1:33" ht="15.75" customHeight="1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6"/>
      <c r="V61" s="1"/>
      <c r="W61" s="31"/>
      <c r="X61" s="31"/>
      <c r="Y61" s="31"/>
      <c r="Z61" s="31"/>
      <c r="AA61" s="2"/>
      <c r="AB61" s="31"/>
      <c r="AC61" s="31"/>
      <c r="AD61" s="31"/>
      <c r="AE61" s="37"/>
      <c r="AF61" s="37"/>
      <c r="AG61" s="37"/>
    </row>
    <row r="62" spans="1:33" ht="15.75" customHeight="1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6"/>
      <c r="V62" s="1"/>
      <c r="W62" s="31"/>
      <c r="X62" s="31"/>
      <c r="Y62" s="31"/>
      <c r="Z62" s="31"/>
      <c r="AA62" s="2"/>
      <c r="AB62" s="31"/>
      <c r="AC62" s="31"/>
      <c r="AD62" s="31"/>
      <c r="AE62" s="37"/>
      <c r="AF62" s="37"/>
      <c r="AG62" s="37"/>
    </row>
    <row r="63" spans="1:33" ht="15.75" customHeight="1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6"/>
      <c r="V63" s="1"/>
      <c r="W63" s="31"/>
      <c r="X63" s="31"/>
      <c r="Y63" s="31"/>
      <c r="Z63" s="31"/>
      <c r="AA63" s="2"/>
      <c r="AB63" s="31"/>
      <c r="AC63" s="31"/>
      <c r="AD63" s="31"/>
      <c r="AE63" s="37"/>
      <c r="AF63" s="37"/>
      <c r="AG63" s="37"/>
    </row>
    <row r="64" spans="1:33" ht="15.75" customHeight="1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6"/>
      <c r="V64" s="1"/>
      <c r="W64" s="31"/>
      <c r="X64" s="31"/>
      <c r="Y64" s="31"/>
      <c r="Z64" s="31"/>
      <c r="AA64" s="2"/>
      <c r="AB64" s="31"/>
      <c r="AC64" s="31"/>
      <c r="AD64" s="31"/>
      <c r="AE64" s="37"/>
      <c r="AF64" s="37"/>
      <c r="AG64" s="37"/>
    </row>
    <row r="65" spans="1:33" ht="15.75" customHeight="1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6"/>
      <c r="V65" s="1"/>
      <c r="W65" s="31"/>
      <c r="X65" s="31"/>
      <c r="Y65" s="31"/>
      <c r="Z65" s="31"/>
      <c r="AA65" s="2"/>
      <c r="AB65" s="31"/>
      <c r="AC65" s="31"/>
      <c r="AD65" s="31"/>
      <c r="AE65" s="37"/>
      <c r="AF65" s="37"/>
      <c r="AG65" s="37"/>
    </row>
    <row r="66" spans="1:33" ht="15.75" customHeight="1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6"/>
      <c r="V66" s="1"/>
      <c r="W66" s="31"/>
      <c r="X66" s="31"/>
      <c r="Y66" s="31"/>
      <c r="Z66" s="31"/>
      <c r="AA66" s="2"/>
      <c r="AB66" s="31"/>
      <c r="AC66" s="31"/>
      <c r="AD66" s="31"/>
      <c r="AE66" s="37"/>
      <c r="AF66" s="37"/>
      <c r="AG66" s="37"/>
    </row>
    <row r="67" spans="1:33" ht="15.75" customHeight="1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6"/>
      <c r="V67" s="1"/>
      <c r="W67" s="31"/>
      <c r="X67" s="31"/>
      <c r="Y67" s="31"/>
      <c r="Z67" s="31"/>
      <c r="AA67" s="2"/>
      <c r="AB67" s="31"/>
      <c r="AC67" s="31"/>
      <c r="AD67" s="31"/>
      <c r="AE67" s="37"/>
      <c r="AF67" s="37"/>
      <c r="AG67" s="37"/>
    </row>
    <row r="68" spans="1:33" ht="15.75" customHeight="1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6"/>
      <c r="V68" s="1"/>
      <c r="W68" s="31"/>
      <c r="X68" s="31"/>
      <c r="Y68" s="31"/>
      <c r="Z68" s="31"/>
      <c r="AA68" s="2"/>
      <c r="AB68" s="31"/>
      <c r="AC68" s="31"/>
      <c r="AD68" s="31"/>
      <c r="AE68" s="37"/>
      <c r="AF68" s="37"/>
      <c r="AG68" s="37"/>
    </row>
    <row r="69" spans="1:33" ht="15.75" customHeight="1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6"/>
      <c r="V69" s="1"/>
      <c r="W69" s="31"/>
      <c r="X69" s="31"/>
      <c r="Y69" s="31"/>
      <c r="Z69" s="31"/>
      <c r="AA69" s="2"/>
      <c r="AB69" s="31"/>
      <c r="AC69" s="31"/>
      <c r="AD69" s="31"/>
      <c r="AE69" s="37"/>
      <c r="AF69" s="37"/>
      <c r="AG69" s="37"/>
    </row>
    <row r="70" spans="1:33" ht="15.75" customHeight="1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6"/>
      <c r="V70" s="1"/>
      <c r="W70" s="31"/>
      <c r="X70" s="31"/>
      <c r="Y70" s="31"/>
      <c r="Z70" s="31"/>
      <c r="AA70" s="2"/>
      <c r="AB70" s="31"/>
      <c r="AC70" s="31"/>
      <c r="AD70" s="31"/>
      <c r="AE70" s="37"/>
      <c r="AF70" s="37"/>
      <c r="AG70" s="37"/>
    </row>
    <row r="71" spans="1:33" ht="15.75" customHeight="1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6"/>
      <c r="V71" s="1"/>
      <c r="W71" s="31"/>
      <c r="X71" s="31"/>
      <c r="Y71" s="31"/>
      <c r="Z71" s="31"/>
      <c r="AA71" s="2"/>
      <c r="AB71" s="31"/>
      <c r="AC71" s="31"/>
      <c r="AD71" s="31"/>
      <c r="AE71" s="37"/>
      <c r="AF71" s="37"/>
      <c r="AG71" s="37"/>
    </row>
    <row r="72" spans="1:33" ht="15.75" customHeight="1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6"/>
      <c r="V72" s="1"/>
      <c r="W72" s="31"/>
      <c r="X72" s="31"/>
      <c r="Y72" s="31"/>
      <c r="Z72" s="31"/>
      <c r="AA72" s="2"/>
      <c r="AB72" s="31"/>
      <c r="AC72" s="31"/>
      <c r="AD72" s="31"/>
      <c r="AE72" s="37"/>
      <c r="AF72" s="37"/>
      <c r="AG72" s="37"/>
    </row>
    <row r="73" spans="1:33" ht="15.75" customHeight="1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6"/>
      <c r="V73" s="1"/>
      <c r="W73" s="31"/>
      <c r="X73" s="31"/>
      <c r="Y73" s="31"/>
      <c r="Z73" s="31"/>
      <c r="AA73" s="2"/>
      <c r="AB73" s="31"/>
      <c r="AC73" s="31"/>
      <c r="AD73" s="31"/>
      <c r="AE73" s="37"/>
      <c r="AF73" s="37"/>
      <c r="AG73" s="37"/>
    </row>
    <row r="74" spans="1:33" ht="15.75" customHeight="1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6"/>
      <c r="V74" s="1"/>
      <c r="W74" s="31"/>
      <c r="X74" s="31"/>
      <c r="Y74" s="31"/>
      <c r="Z74" s="31"/>
      <c r="AA74" s="2"/>
      <c r="AB74" s="31"/>
      <c r="AC74" s="31"/>
      <c r="AD74" s="31"/>
      <c r="AE74" s="37"/>
      <c r="AF74" s="37"/>
      <c r="AG74" s="37"/>
    </row>
    <row r="75" spans="1:33" ht="15.75" customHeight="1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6"/>
      <c r="V75" s="1"/>
      <c r="W75" s="31"/>
      <c r="X75" s="31"/>
      <c r="Y75" s="31"/>
      <c r="Z75" s="31"/>
      <c r="AA75" s="2"/>
      <c r="AB75" s="31"/>
      <c r="AC75" s="31"/>
      <c r="AD75" s="31"/>
      <c r="AE75" s="37"/>
      <c r="AF75" s="37"/>
      <c r="AG75" s="37"/>
    </row>
    <row r="76" spans="1:33" ht="15.75" customHeight="1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6"/>
      <c r="V76" s="1"/>
      <c r="W76" s="31"/>
      <c r="X76" s="31"/>
      <c r="Y76" s="31"/>
      <c r="Z76" s="31"/>
      <c r="AA76" s="2"/>
      <c r="AB76" s="31"/>
      <c r="AC76" s="31"/>
      <c r="AD76" s="31"/>
      <c r="AE76" s="37"/>
      <c r="AF76" s="37"/>
      <c r="AG76" s="37"/>
    </row>
    <row r="77" spans="1:33" ht="15.75" customHeight="1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6"/>
      <c r="V77" s="1"/>
      <c r="W77" s="31"/>
      <c r="X77" s="31"/>
      <c r="Y77" s="31"/>
      <c r="Z77" s="31"/>
      <c r="AA77" s="2"/>
      <c r="AB77" s="31"/>
      <c r="AC77" s="31"/>
      <c r="AD77" s="31"/>
      <c r="AE77" s="37"/>
      <c r="AF77" s="37"/>
      <c r="AG77" s="37"/>
    </row>
    <row r="78" spans="1:33" ht="15.75" customHeight="1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6"/>
      <c r="V78" s="1"/>
      <c r="W78" s="31"/>
      <c r="X78" s="31"/>
      <c r="Y78" s="31"/>
      <c r="Z78" s="31"/>
      <c r="AA78" s="2"/>
      <c r="AB78" s="31"/>
      <c r="AC78" s="31"/>
      <c r="AD78" s="31"/>
      <c r="AE78" s="37"/>
      <c r="AF78" s="37"/>
      <c r="AG78" s="37"/>
    </row>
    <row r="79" spans="1:33" ht="15.75" customHeight="1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6"/>
      <c r="V79" s="1"/>
      <c r="W79" s="31"/>
      <c r="X79" s="31"/>
      <c r="Y79" s="31"/>
      <c r="Z79" s="31"/>
      <c r="AA79" s="2"/>
      <c r="AB79" s="31"/>
      <c r="AC79" s="31"/>
      <c r="AD79" s="31"/>
      <c r="AE79" s="37"/>
      <c r="AF79" s="37"/>
      <c r="AG79" s="37"/>
    </row>
    <row r="80" spans="1:33" ht="15.75" customHeight="1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6"/>
      <c r="V80" s="1"/>
      <c r="W80" s="31"/>
      <c r="X80" s="31"/>
      <c r="Y80" s="31"/>
      <c r="Z80" s="31"/>
      <c r="AA80" s="2"/>
      <c r="AB80" s="31"/>
      <c r="AC80" s="31"/>
      <c r="AD80" s="31"/>
      <c r="AE80" s="37"/>
      <c r="AF80" s="37"/>
      <c r="AG80" s="37"/>
    </row>
    <row r="81" spans="1:33" ht="15.75" customHeight="1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6"/>
      <c r="V81" s="1"/>
      <c r="W81" s="31"/>
      <c r="X81" s="31"/>
      <c r="Y81" s="31"/>
      <c r="Z81" s="31"/>
      <c r="AA81" s="2"/>
      <c r="AB81" s="31"/>
      <c r="AC81" s="31"/>
      <c r="AD81" s="31"/>
      <c r="AE81" s="37"/>
      <c r="AF81" s="37"/>
      <c r="AG81" s="37"/>
    </row>
    <row r="82" spans="1:33" ht="15.75" customHeight="1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6"/>
      <c r="V82" s="1"/>
      <c r="W82" s="31"/>
      <c r="X82" s="31"/>
      <c r="Y82" s="31"/>
      <c r="Z82" s="31"/>
      <c r="AA82" s="2"/>
      <c r="AB82" s="31"/>
      <c r="AC82" s="31"/>
      <c r="AD82" s="31"/>
      <c r="AE82" s="37"/>
      <c r="AF82" s="37"/>
      <c r="AG82" s="37"/>
    </row>
    <row r="83" spans="1:33" ht="15.75" customHeight="1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6"/>
      <c r="V83" s="1"/>
      <c r="W83" s="31"/>
      <c r="X83" s="31"/>
      <c r="Y83" s="31"/>
      <c r="Z83" s="31"/>
      <c r="AA83" s="2"/>
      <c r="AB83" s="31"/>
      <c r="AC83" s="31"/>
      <c r="AD83" s="31"/>
      <c r="AE83" s="37"/>
      <c r="AF83" s="37"/>
      <c r="AG83" s="37"/>
    </row>
    <row r="84" spans="1:33" ht="15.75" customHeight="1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6"/>
      <c r="V84" s="1"/>
      <c r="W84" s="31"/>
      <c r="X84" s="31"/>
      <c r="Y84" s="31"/>
      <c r="Z84" s="31"/>
      <c r="AA84" s="2"/>
      <c r="AB84" s="31"/>
      <c r="AC84" s="31"/>
      <c r="AD84" s="31"/>
      <c r="AE84" s="37"/>
      <c r="AF84" s="37"/>
      <c r="AG84" s="37"/>
    </row>
    <row r="85" spans="1:33" ht="15.75" customHeight="1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6"/>
      <c r="V85" s="1"/>
      <c r="W85" s="31"/>
      <c r="X85" s="31"/>
      <c r="Y85" s="31"/>
      <c r="Z85" s="31"/>
      <c r="AA85" s="2"/>
      <c r="AB85" s="31"/>
      <c r="AC85" s="31"/>
      <c r="AD85" s="31"/>
      <c r="AE85" s="37"/>
      <c r="AF85" s="37"/>
      <c r="AG85" s="37"/>
    </row>
    <row r="86" spans="1:33" ht="15.75" customHeight="1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6"/>
      <c r="V86" s="1"/>
      <c r="W86" s="31"/>
      <c r="X86" s="31"/>
      <c r="Y86" s="31"/>
      <c r="Z86" s="31"/>
      <c r="AA86" s="2"/>
      <c r="AB86" s="31"/>
      <c r="AC86" s="31"/>
      <c r="AD86" s="31"/>
      <c r="AE86" s="37"/>
      <c r="AF86" s="37"/>
      <c r="AG86" s="37"/>
    </row>
    <row r="87" spans="1:33" ht="15.75" customHeight="1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6"/>
      <c r="V87" s="1"/>
      <c r="W87" s="31"/>
      <c r="X87" s="31"/>
      <c r="Y87" s="31"/>
      <c r="Z87" s="31"/>
      <c r="AA87" s="2"/>
      <c r="AB87" s="31"/>
      <c r="AC87" s="31"/>
      <c r="AD87" s="31"/>
      <c r="AE87" s="37"/>
      <c r="AF87" s="37"/>
      <c r="AG87" s="37"/>
    </row>
    <row r="88" spans="1:33" ht="15.75" customHeight="1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6"/>
      <c r="V88" s="1"/>
      <c r="W88" s="31"/>
      <c r="X88" s="31"/>
      <c r="Y88" s="31"/>
      <c r="Z88" s="31"/>
      <c r="AA88" s="2"/>
      <c r="AB88" s="31"/>
      <c r="AC88" s="31"/>
      <c r="AD88" s="31"/>
      <c r="AE88" s="37"/>
      <c r="AF88" s="37"/>
      <c r="AG88" s="37"/>
    </row>
    <row r="89" spans="1:33" ht="15.75" customHeight="1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6"/>
      <c r="V89" s="1"/>
      <c r="W89" s="31"/>
      <c r="X89" s="31"/>
      <c r="Y89" s="31"/>
      <c r="Z89" s="31"/>
      <c r="AA89" s="2"/>
      <c r="AB89" s="31"/>
      <c r="AC89" s="31"/>
      <c r="AD89" s="31"/>
      <c r="AE89" s="37"/>
      <c r="AF89" s="37"/>
      <c r="AG89" s="37"/>
    </row>
    <row r="90" spans="1:33" ht="15.75" customHeight="1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6"/>
      <c r="V90" s="1"/>
      <c r="W90" s="31"/>
      <c r="X90" s="31"/>
      <c r="Y90" s="31"/>
      <c r="Z90" s="31"/>
      <c r="AA90" s="2"/>
      <c r="AB90" s="31"/>
      <c r="AC90" s="31"/>
      <c r="AD90" s="31"/>
      <c r="AE90" s="37"/>
      <c r="AF90" s="37"/>
      <c r="AG90" s="37"/>
    </row>
    <row r="91" spans="1:33" ht="15.75" customHeight="1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6"/>
      <c r="V91" s="1"/>
      <c r="W91" s="31"/>
      <c r="X91" s="31"/>
      <c r="Y91" s="31"/>
      <c r="Z91" s="31"/>
      <c r="AA91" s="2"/>
      <c r="AB91" s="31"/>
      <c r="AC91" s="31"/>
      <c r="AD91" s="31"/>
      <c r="AE91" s="37"/>
      <c r="AF91" s="37"/>
      <c r="AG91" s="37"/>
    </row>
    <row r="92" spans="1:33" ht="15.75" customHeight="1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6"/>
      <c r="V92" s="1"/>
      <c r="W92" s="31"/>
      <c r="X92" s="31"/>
      <c r="Y92" s="31"/>
      <c r="Z92" s="31"/>
      <c r="AA92" s="2"/>
      <c r="AB92" s="31"/>
      <c r="AC92" s="31"/>
      <c r="AD92" s="31"/>
      <c r="AE92" s="37"/>
      <c r="AF92" s="37"/>
      <c r="AG92" s="37"/>
    </row>
    <row r="93" spans="1:33" ht="15.75" customHeight="1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6"/>
      <c r="V93" s="1"/>
      <c r="W93" s="31"/>
      <c r="X93" s="31"/>
      <c r="Y93" s="31"/>
      <c r="Z93" s="31"/>
      <c r="AA93" s="2"/>
      <c r="AB93" s="31"/>
      <c r="AC93" s="31"/>
      <c r="AD93" s="31"/>
      <c r="AE93" s="37"/>
      <c r="AF93" s="37"/>
      <c r="AG93" s="37"/>
    </row>
    <row r="94" spans="1:33" ht="15.75" customHeight="1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6"/>
      <c r="V94" s="1"/>
      <c r="W94" s="31"/>
      <c r="X94" s="31"/>
      <c r="Y94" s="31"/>
      <c r="Z94" s="31"/>
      <c r="AA94" s="2"/>
      <c r="AB94" s="31"/>
      <c r="AC94" s="31"/>
      <c r="AD94" s="31"/>
      <c r="AE94" s="37"/>
      <c r="AF94" s="37"/>
      <c r="AG94" s="37"/>
    </row>
    <row r="95" spans="1:33" ht="15.75" customHeight="1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6"/>
      <c r="V95" s="1"/>
      <c r="W95" s="31"/>
      <c r="X95" s="31"/>
      <c r="Y95" s="31"/>
      <c r="Z95" s="31"/>
      <c r="AA95" s="2"/>
      <c r="AB95" s="31"/>
      <c r="AC95" s="31"/>
      <c r="AD95" s="31"/>
      <c r="AE95" s="37"/>
      <c r="AF95" s="37"/>
      <c r="AG95" s="37"/>
    </row>
    <row r="96" spans="1:33" ht="15.75" customHeight="1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6"/>
      <c r="V96" s="1"/>
      <c r="W96" s="31"/>
      <c r="X96" s="31"/>
      <c r="Y96" s="31"/>
      <c r="Z96" s="31"/>
      <c r="AA96" s="2"/>
      <c r="AB96" s="31"/>
      <c r="AC96" s="31"/>
      <c r="AD96" s="31"/>
      <c r="AE96" s="37"/>
      <c r="AF96" s="37"/>
      <c r="AG96" s="37"/>
    </row>
    <row r="97" spans="1:33" ht="15.75" customHeight="1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8"/>
      <c r="R97" s="38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8"/>
      <c r="R98" s="38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8"/>
      <c r="R99" s="38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8"/>
      <c r="R100" s="38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8"/>
      <c r="R101" s="38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8"/>
      <c r="R102" s="38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8"/>
      <c r="R103" s="38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8"/>
      <c r="R104" s="38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8"/>
      <c r="R105" s="38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8"/>
      <c r="R106" s="38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8"/>
      <c r="R107" s="38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8"/>
      <c r="R108" s="38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8"/>
      <c r="R109" s="38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8"/>
      <c r="R110" s="38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8"/>
      <c r="R111" s="38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8"/>
      <c r="R112" s="38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8"/>
      <c r="R113" s="38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8"/>
      <c r="R114" s="38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>
      <c r="A115" s="31"/>
      <c r="B115" s="31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>
      <c r="A116" s="31"/>
      <c r="B116" s="31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>
      <c r="A117" s="31"/>
      <c r="B117" s="31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>
      <c r="A118" s="31"/>
      <c r="B118" s="31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>
      <c r="A119" s="31"/>
      <c r="B119" s="31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>
      <c r="A120" s="31"/>
      <c r="B120" s="31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>
      <c r="A121" s="31"/>
      <c r="B121" s="31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>
      <c r="A122" s="31"/>
      <c r="B122" s="31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>
      <c r="A123" s="31"/>
      <c r="B123" s="31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>
      <c r="A124" s="31"/>
      <c r="B124" s="31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>
      <c r="A125" s="31"/>
      <c r="B125" s="31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>
      <c r="A126" s="31"/>
      <c r="B126" s="31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>
      <c r="A127" s="31"/>
      <c r="B127" s="31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>
      <c r="A128" s="31"/>
      <c r="B128" s="31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>
      <c r="A129" s="31"/>
      <c r="B129" s="31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>
      <c r="A130" s="31"/>
      <c r="B130" s="31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>
      <c r="A131" s="31"/>
      <c r="B131" s="31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>
      <c r="A132" s="31"/>
      <c r="B132" s="31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>
      <c r="A133" s="31"/>
      <c r="B133" s="31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>
      <c r="A134" s="31"/>
      <c r="B134" s="31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>
      <c r="A135" s="31"/>
      <c r="B135" s="31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>
      <c r="A136" s="31"/>
      <c r="B136" s="31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>
      <c r="A137" s="31"/>
      <c r="B137" s="31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>
      <c r="A138" s="31"/>
      <c r="B138" s="31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>
      <c r="A139" s="31"/>
      <c r="B139" s="31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>
      <c r="A140" s="31"/>
      <c r="B140" s="31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>
      <c r="A141" s="31"/>
      <c r="B141" s="31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2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>
      <c r="A142" s="31"/>
      <c r="B142" s="31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2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>
      <c r="A143" s="31"/>
      <c r="B143" s="31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2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>
      <c r="A144" s="31"/>
      <c r="B144" s="31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2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>
      <c r="A145" s="31"/>
      <c r="B145" s="31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2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>
      <c r="A146" s="31"/>
      <c r="B146" s="31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2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>
      <c r="A147" s="31"/>
      <c r="B147" s="31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2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>
      <c r="A148" s="31"/>
      <c r="B148" s="31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2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</row>
    <row r="149" spans="1:33" ht="15.75" customHeight="1">
      <c r="A149" s="14"/>
      <c r="B149" s="14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>
      <c r="A150" s="14"/>
      <c r="B150" s="14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>
      <c r="A151" s="14"/>
      <c r="B151" s="14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>
      <c r="A152" s="14"/>
      <c r="B152" s="14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>
      <c r="A153" s="14"/>
      <c r="B153" s="14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>
      <c r="A154" s="14"/>
      <c r="B154" s="14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>
      <c r="A155" s="14"/>
      <c r="B155" s="14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>
      <c r="A156" s="14"/>
      <c r="B156" s="14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>
      <c r="A157" s="14"/>
      <c r="B157" s="14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>
      <c r="A158" s="14"/>
      <c r="B158" s="14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>
      <c r="A159" s="14"/>
      <c r="B159" s="14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>
      <c r="A160" s="14"/>
      <c r="B160" s="14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>
      <c r="A161" s="14"/>
      <c r="B161" s="14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>
      <c r="A162" s="14"/>
      <c r="B162" s="14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>
      <c r="A163" s="14"/>
      <c r="B163" s="14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>
      <c r="A164" s="14"/>
      <c r="B164" s="14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>
      <c r="A165" s="14"/>
      <c r="B165" s="14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>
      <c r="A166" s="14"/>
      <c r="B166" s="14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>
      <c r="A167" s="14"/>
      <c r="B167" s="14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>
      <c r="A168" s="14"/>
      <c r="B168" s="14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>
      <c r="A169" s="14"/>
      <c r="B169" s="14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>
      <c r="A170" s="14"/>
      <c r="B170" s="14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>
      <c r="A171" s="14"/>
      <c r="B171" s="14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>
      <c r="A172" s="14"/>
      <c r="B172" s="14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>
      <c r="A173" s="14"/>
      <c r="B173" s="14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>
      <c r="A174" s="14"/>
      <c r="B174" s="14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>
      <c r="A175" s="14"/>
      <c r="B175" s="14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>
      <c r="A176" s="14"/>
      <c r="B176" s="14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>
      <c r="A177" s="14"/>
      <c r="B177" s="14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>
      <c r="A178" s="14"/>
      <c r="B178" s="14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>
      <c r="A179" s="14"/>
      <c r="B179" s="14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>
      <c r="A180" s="14"/>
      <c r="B180" s="14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>
      <c r="A181" s="14"/>
      <c r="B181" s="14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>
      <c r="A182" s="14"/>
      <c r="B182" s="14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>
      <c r="A183" s="14"/>
      <c r="B183" s="14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>
      <c r="A184" s="14"/>
      <c r="B184" s="14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>
      <c r="A185" s="14"/>
      <c r="B185" s="14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>
      <c r="A186" s="14"/>
      <c r="B186" s="14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>
      <c r="A187" s="14"/>
      <c r="B187" s="14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>
      <c r="A188" s="14"/>
      <c r="B188" s="14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>
      <c r="A189" s="14"/>
      <c r="B189" s="14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>
      <c r="A190" s="14"/>
      <c r="B190" s="14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>
      <c r="A191" s="14"/>
      <c r="B191" s="14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>
      <c r="A192" s="14"/>
      <c r="B192" s="14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>
      <c r="A193" s="14"/>
      <c r="B193" s="14"/>
      <c r="C193" s="39"/>
      <c r="D193" s="39"/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>
      <c r="A194" s="14"/>
      <c r="B194" s="14"/>
      <c r="C194" s="39"/>
      <c r="D194" s="39"/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>
      <c r="A195" s="14"/>
      <c r="B195" s="14"/>
      <c r="C195" s="39"/>
      <c r="D195" s="39"/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>
      <c r="A196" s="14"/>
      <c r="B196" s="14"/>
      <c r="C196" s="39"/>
      <c r="D196" s="39"/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>
      <c r="A197" s="14"/>
      <c r="B197" s="14"/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>
      <c r="A198" s="14"/>
      <c r="B198" s="14"/>
      <c r="C198" s="39"/>
      <c r="D198" s="39"/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>
      <c r="A199" s="14"/>
      <c r="B199" s="14"/>
      <c r="C199" s="39"/>
      <c r="D199" s="39"/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>
      <c r="A200" s="14"/>
      <c r="B200" s="14"/>
      <c r="C200" s="39"/>
      <c r="D200" s="39"/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>
      <c r="A201" s="14"/>
      <c r="B201" s="14"/>
      <c r="C201" s="39"/>
      <c r="D201" s="39"/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>
      <c r="A202" s="14"/>
      <c r="B202" s="14"/>
      <c r="C202" s="39"/>
      <c r="D202" s="39"/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>
      <c r="A203" s="14"/>
      <c r="B203" s="14"/>
      <c r="C203" s="39"/>
      <c r="D203" s="39"/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>
      <c r="A204" s="14"/>
      <c r="B204" s="14"/>
      <c r="C204" s="39"/>
      <c r="D204" s="39"/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>
      <c r="A205" s="14"/>
      <c r="B205" s="14"/>
      <c r="C205" s="39"/>
      <c r="D205" s="39"/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>
      <c r="A206" s="14"/>
      <c r="B206" s="14"/>
      <c r="C206" s="39"/>
      <c r="D206" s="39"/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>
      <c r="A207" s="14"/>
      <c r="B207" s="14"/>
      <c r="C207" s="39"/>
      <c r="D207" s="39"/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>
      <c r="A208" s="14"/>
      <c r="B208" s="14"/>
      <c r="C208" s="39"/>
      <c r="D208" s="39"/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>
      <c r="A209" s="14"/>
      <c r="B209" s="14"/>
      <c r="C209" s="39"/>
      <c r="D209" s="39"/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>
      <c r="A210" s="14"/>
      <c r="B210" s="14"/>
      <c r="C210" s="39"/>
      <c r="D210" s="39"/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>
      <c r="A211" s="14"/>
      <c r="B211" s="14"/>
      <c r="C211" s="39"/>
      <c r="D211" s="39"/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>
      <c r="A212" s="14"/>
      <c r="B212" s="14"/>
      <c r="C212" s="39"/>
      <c r="D212" s="39"/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>
      <c r="A213" s="14"/>
      <c r="B213" s="14"/>
      <c r="C213" s="39"/>
      <c r="D213" s="39"/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>
      <c r="A214" s="14"/>
      <c r="B214" s="14"/>
      <c r="C214" s="39"/>
      <c r="D214" s="39"/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>
      <c r="A215" s="14"/>
      <c r="B215" s="14"/>
      <c r="C215" s="39"/>
      <c r="D215" s="39"/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>
      <c r="A216" s="14"/>
      <c r="B216" s="14"/>
      <c r="C216" s="39"/>
      <c r="D216" s="39"/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>
      <c r="A217" s="14"/>
      <c r="B217" s="14"/>
      <c r="C217" s="39"/>
      <c r="D217" s="39"/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>
      <c r="A218" s="14"/>
      <c r="B218" s="14"/>
      <c r="C218" s="39"/>
      <c r="D218" s="39"/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>
      <c r="A219" s="14"/>
      <c r="B219" s="14"/>
      <c r="C219" s="39"/>
      <c r="D219" s="39"/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>
      <c r="A220" s="14"/>
      <c r="B220" s="14"/>
      <c r="C220" s="39"/>
      <c r="D220" s="39"/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>
      <c r="R221" s="30"/>
      <c r="S221" s="40"/>
    </row>
    <row r="222" spans="1:33" ht="15.75" customHeight="1">
      <c r="R222" s="30"/>
      <c r="S222" s="40"/>
    </row>
    <row r="223" spans="1:33" ht="15.75" customHeight="1">
      <c r="R223" s="30"/>
      <c r="S223" s="40"/>
    </row>
    <row r="224" spans="1:33" ht="15.75" customHeight="1">
      <c r="R224" s="30"/>
      <c r="S224" s="40"/>
    </row>
    <row r="225" spans="18:18" ht="15.75" customHeight="1">
      <c r="R225" s="30"/>
    </row>
    <row r="226" spans="18:18" ht="15.75" customHeight="1">
      <c r="R226" s="30"/>
    </row>
    <row r="227" spans="18:18" ht="15.75" customHeight="1">
      <c r="R227" s="30"/>
    </row>
    <row r="228" spans="18:18" ht="15.75" customHeight="1">
      <c r="R228" s="30"/>
    </row>
    <row r="229" spans="18:18" ht="15.75" customHeight="1">
      <c r="R229" s="30"/>
    </row>
    <row r="230" spans="18:18" ht="15.75" customHeight="1">
      <c r="R230" s="30"/>
    </row>
    <row r="231" spans="18:18" ht="15.75" customHeight="1">
      <c r="R231" s="30"/>
    </row>
    <row r="232" spans="18:18" ht="15.75" customHeight="1">
      <c r="R232" s="30"/>
    </row>
    <row r="233" spans="18:18" ht="15.75" customHeight="1">
      <c r="R233" s="30"/>
    </row>
    <row r="234" spans="18:18" ht="15.75" customHeight="1">
      <c r="R234" s="30"/>
    </row>
    <row r="235" spans="18:18" ht="15.75" customHeight="1">
      <c r="R235" s="30"/>
    </row>
    <row r="236" spans="18:18" ht="15.75" customHeight="1">
      <c r="R236" s="30"/>
    </row>
    <row r="237" spans="18:18" ht="15.75" customHeight="1">
      <c r="R237" s="30"/>
    </row>
    <row r="238" spans="18:18" ht="15.75" customHeight="1">
      <c r="R238" s="30"/>
    </row>
    <row r="239" spans="18:18" ht="15.75" customHeight="1">
      <c r="R239" s="30"/>
    </row>
    <row r="240" spans="18:18" ht="15.75" customHeight="1">
      <c r="R240" s="30"/>
    </row>
    <row r="241" spans="18:18" ht="15.75" customHeight="1">
      <c r="R241" s="30"/>
    </row>
    <row r="242" spans="18:18" ht="15.75" customHeight="1">
      <c r="R242" s="30"/>
    </row>
    <row r="243" spans="18:18" ht="15.75" customHeight="1">
      <c r="R243" s="30"/>
    </row>
    <row r="244" spans="18:18" ht="15.75" customHeight="1">
      <c r="R244" s="30"/>
    </row>
    <row r="245" spans="18:18" ht="15.75" customHeight="1">
      <c r="R245" s="30"/>
    </row>
    <row r="246" spans="18:18" ht="15.75" customHeight="1">
      <c r="R246" s="30"/>
    </row>
    <row r="247" spans="18:18" ht="15.75" customHeight="1">
      <c r="R247" s="30"/>
    </row>
    <row r="248" spans="18:18" ht="15.75" customHeight="1">
      <c r="R248" s="30"/>
    </row>
    <row r="249" spans="18:18" ht="15.75" customHeight="1">
      <c r="R249" s="30"/>
    </row>
    <row r="250" spans="18:18" ht="15.75" customHeight="1">
      <c r="R250" s="30"/>
    </row>
    <row r="251" spans="18:18" ht="15.75" customHeight="1">
      <c r="R251" s="30"/>
    </row>
    <row r="252" spans="18:18" ht="15.75" customHeight="1">
      <c r="R252" s="30"/>
    </row>
    <row r="253" spans="18:18" ht="15.75" customHeight="1">
      <c r="R253" s="30"/>
    </row>
    <row r="254" spans="18:18" ht="15.75" customHeight="1">
      <c r="R254" s="30"/>
    </row>
    <row r="255" spans="18:18" ht="15.75" customHeight="1">
      <c r="R255" s="30"/>
    </row>
    <row r="256" spans="18:18" ht="15.75" customHeight="1">
      <c r="R256" s="30"/>
    </row>
    <row r="257" spans="18:18" ht="15.75" customHeight="1">
      <c r="R257" s="30"/>
    </row>
    <row r="258" spans="18:18" ht="15.75" customHeight="1">
      <c r="R258" s="30"/>
    </row>
    <row r="259" spans="18:18" ht="15.75" customHeight="1">
      <c r="R259" s="30"/>
    </row>
    <row r="260" spans="18:18" ht="15.75" customHeight="1">
      <c r="R260" s="30"/>
    </row>
    <row r="261" spans="18:18" ht="15.75" customHeight="1">
      <c r="R261" s="30"/>
    </row>
    <row r="262" spans="18:18" ht="15.75" customHeight="1">
      <c r="R262" s="30"/>
    </row>
    <row r="263" spans="18:18" ht="15.75" customHeight="1">
      <c r="R263" s="30"/>
    </row>
    <row r="264" spans="18:18" ht="15.75" customHeight="1">
      <c r="R264" s="30"/>
    </row>
    <row r="265" spans="18:18" ht="15.75" customHeight="1">
      <c r="R265" s="30"/>
    </row>
    <row r="266" spans="18:18" ht="15.75" customHeight="1">
      <c r="R266" s="30"/>
    </row>
    <row r="267" spans="18:18" ht="15.75" customHeight="1">
      <c r="R267" s="30"/>
    </row>
    <row r="268" spans="18:18" ht="15.75" customHeight="1">
      <c r="R268" s="30"/>
    </row>
    <row r="269" spans="18:18" ht="15.75" customHeight="1">
      <c r="R269" s="30"/>
    </row>
    <row r="270" spans="18:18" ht="15.75" customHeight="1">
      <c r="R270" s="30"/>
    </row>
    <row r="271" spans="18:18" ht="15.75" customHeight="1">
      <c r="R271" s="30"/>
    </row>
    <row r="272" spans="18:18" ht="15.75" customHeight="1">
      <c r="R272" s="30"/>
    </row>
    <row r="273" spans="18:18" ht="15.75" customHeight="1">
      <c r="R273" s="30"/>
    </row>
    <row r="274" spans="18:18" ht="15.75" customHeight="1">
      <c r="R274" s="30"/>
    </row>
    <row r="275" spans="18:18" ht="15.75" customHeight="1">
      <c r="R275" s="30"/>
    </row>
    <row r="276" spans="18:18" ht="15.75" customHeight="1">
      <c r="R276" s="30"/>
    </row>
    <row r="277" spans="18:18" ht="15.75" customHeight="1">
      <c r="R277" s="30"/>
    </row>
    <row r="278" spans="18:18" ht="15.75" customHeight="1">
      <c r="R278" s="30"/>
    </row>
    <row r="279" spans="18:18" ht="15.75" customHeight="1">
      <c r="R279" s="30"/>
    </row>
    <row r="280" spans="18:18" ht="15.75" customHeight="1">
      <c r="R280" s="30"/>
    </row>
    <row r="281" spans="18:18" ht="15.75" customHeight="1">
      <c r="R281" s="30"/>
    </row>
    <row r="282" spans="18:18" ht="15.75" customHeight="1">
      <c r="R282" s="30"/>
    </row>
    <row r="283" spans="18:18" ht="15.75" customHeight="1">
      <c r="R283" s="30"/>
    </row>
    <row r="284" spans="18:18" ht="15.75" customHeight="1">
      <c r="R284" s="30"/>
    </row>
    <row r="285" spans="18:18" ht="15.75" customHeight="1">
      <c r="R285" s="30"/>
    </row>
    <row r="286" spans="18:18" ht="15.75" customHeight="1">
      <c r="R286" s="30"/>
    </row>
    <row r="287" spans="18:18" ht="15.75" customHeight="1">
      <c r="R287" s="30"/>
    </row>
    <row r="288" spans="18:18" ht="15.75" customHeight="1">
      <c r="R288" s="30"/>
    </row>
    <row r="289" spans="18:18" ht="15.75" customHeight="1">
      <c r="R289" s="30"/>
    </row>
    <row r="290" spans="18:18" ht="15.75" customHeight="1">
      <c r="R290" s="30"/>
    </row>
    <row r="291" spans="18:18" ht="15.75" customHeight="1">
      <c r="R291" s="30"/>
    </row>
    <row r="292" spans="18:18" ht="15.75" customHeight="1">
      <c r="R292" s="30"/>
    </row>
    <row r="293" spans="18:18" ht="15.75" customHeight="1">
      <c r="R293" s="30"/>
    </row>
    <row r="294" spans="18:18" ht="15.75" customHeight="1">
      <c r="R294" s="30"/>
    </row>
    <row r="295" spans="18:18" ht="15.75" customHeight="1">
      <c r="R295" s="30"/>
    </row>
    <row r="296" spans="18:18" ht="15.75" customHeight="1">
      <c r="R296" s="30"/>
    </row>
    <row r="297" spans="18:18" ht="15.75" customHeight="1">
      <c r="R297" s="30"/>
    </row>
    <row r="298" spans="18:18" ht="15.75" customHeight="1">
      <c r="R298" s="30"/>
    </row>
    <row r="299" spans="18:18" ht="15.75" customHeight="1">
      <c r="R299" s="30"/>
    </row>
    <row r="300" spans="18:18" ht="15.75" customHeight="1">
      <c r="R300" s="30"/>
    </row>
    <row r="301" spans="18:18" ht="15.75" customHeight="1">
      <c r="R301" s="30"/>
    </row>
    <row r="302" spans="18:18" ht="15.75" customHeight="1">
      <c r="R302" s="30"/>
    </row>
    <row r="303" spans="18:18" ht="15.75" customHeight="1">
      <c r="R303" s="30"/>
    </row>
    <row r="304" spans="18:18" ht="15.75" customHeight="1">
      <c r="R304" s="30"/>
    </row>
    <row r="305" spans="18:18" ht="15.75" customHeight="1">
      <c r="R305" s="30"/>
    </row>
    <row r="306" spans="18:18" ht="15.75" customHeight="1">
      <c r="R306" s="30"/>
    </row>
    <row r="307" spans="18:18" ht="15.75" customHeight="1">
      <c r="R307" s="30"/>
    </row>
    <row r="308" spans="18:18" ht="15.75" customHeight="1">
      <c r="R308" s="30"/>
    </row>
    <row r="309" spans="18:18" ht="15.75" customHeight="1">
      <c r="R309" s="30"/>
    </row>
    <row r="310" spans="18:18" ht="15.75" customHeight="1">
      <c r="R310" s="30"/>
    </row>
    <row r="311" spans="18:18" ht="15.75" customHeight="1">
      <c r="R311" s="30"/>
    </row>
    <row r="312" spans="18:18" ht="15.75" customHeight="1">
      <c r="R312" s="30"/>
    </row>
    <row r="313" spans="18:18" ht="15.75" customHeight="1">
      <c r="R313" s="30"/>
    </row>
    <row r="314" spans="18:18" ht="15.75" customHeight="1">
      <c r="R314" s="30"/>
    </row>
    <row r="315" spans="18:18" ht="15.75" customHeight="1">
      <c r="R315" s="30"/>
    </row>
    <row r="316" spans="18:18" ht="15.75" customHeight="1">
      <c r="R316" s="30"/>
    </row>
    <row r="317" spans="18:18" ht="15.75" customHeight="1">
      <c r="R317" s="30"/>
    </row>
    <row r="318" spans="18:18" ht="15.75" customHeight="1">
      <c r="R318" s="30"/>
    </row>
    <row r="319" spans="18:18" ht="15.75" customHeight="1">
      <c r="R319" s="30"/>
    </row>
    <row r="320" spans="18:18" ht="15.75" customHeight="1">
      <c r="R320" s="30"/>
    </row>
    <row r="321" spans="18:18" ht="15.75" customHeight="1">
      <c r="R321" s="30"/>
    </row>
    <row r="322" spans="18:18" ht="15.75" customHeight="1">
      <c r="R322" s="30"/>
    </row>
    <row r="323" spans="18:18" ht="15.75" customHeight="1">
      <c r="R323" s="30"/>
    </row>
    <row r="324" spans="18:18" ht="15.75" customHeight="1">
      <c r="R324" s="30"/>
    </row>
    <row r="325" spans="18:18" ht="15.75" customHeight="1">
      <c r="R325" s="30"/>
    </row>
    <row r="326" spans="18:18" ht="15.75" customHeight="1">
      <c r="R326" s="30"/>
    </row>
    <row r="327" spans="18:18" ht="15.75" customHeight="1">
      <c r="R327" s="30"/>
    </row>
    <row r="328" spans="18:18" ht="15.75" customHeight="1">
      <c r="R328" s="30"/>
    </row>
    <row r="329" spans="18:18" ht="15.75" customHeight="1">
      <c r="R329" s="30"/>
    </row>
    <row r="330" spans="18:18" ht="15.75" customHeight="1">
      <c r="R330" s="30"/>
    </row>
    <row r="331" spans="18:18" ht="15.75" customHeight="1">
      <c r="R331" s="30"/>
    </row>
    <row r="332" spans="18:18" ht="15.75" customHeight="1">
      <c r="R332" s="30"/>
    </row>
    <row r="333" spans="18:18" ht="15.75" customHeight="1">
      <c r="R333" s="30"/>
    </row>
    <row r="334" spans="18:18" ht="15.75" customHeight="1">
      <c r="R334" s="30"/>
    </row>
    <row r="335" spans="18:18" ht="15.75" customHeight="1">
      <c r="R335" s="30"/>
    </row>
    <row r="336" spans="18:18" ht="15.75" customHeight="1">
      <c r="R336" s="30"/>
    </row>
    <row r="337" spans="18:18" ht="15.75" customHeight="1">
      <c r="R337" s="30"/>
    </row>
    <row r="338" spans="18:18" ht="15.75" customHeight="1">
      <c r="R338" s="30"/>
    </row>
    <row r="339" spans="18:18" ht="15.75" customHeight="1">
      <c r="R339" s="30"/>
    </row>
    <row r="340" spans="18:18" ht="15.75" customHeight="1">
      <c r="R340" s="30"/>
    </row>
    <row r="341" spans="18:18" ht="15.75" customHeight="1">
      <c r="R341" s="30"/>
    </row>
    <row r="342" spans="18:18" ht="15.75" customHeight="1">
      <c r="R342" s="30"/>
    </row>
    <row r="343" spans="18:18" ht="15.75" customHeight="1">
      <c r="R343" s="30"/>
    </row>
    <row r="344" spans="18:18" ht="15.75" customHeight="1">
      <c r="R344" s="30"/>
    </row>
    <row r="345" spans="18:18" ht="15.75" customHeight="1">
      <c r="R345" s="30"/>
    </row>
    <row r="346" spans="18:18" ht="15.75" customHeight="1">
      <c r="R346" s="30"/>
    </row>
    <row r="347" spans="18:18" ht="15.75" customHeight="1">
      <c r="R347" s="30"/>
    </row>
    <row r="348" spans="18:18" ht="15.75" customHeight="1">
      <c r="R348" s="30"/>
    </row>
    <row r="349" spans="18:18" ht="15.75" customHeight="1">
      <c r="R349" s="30"/>
    </row>
    <row r="350" spans="18:18" ht="15.75" customHeight="1">
      <c r="R350" s="30"/>
    </row>
    <row r="351" spans="18:18" ht="15.75" customHeight="1">
      <c r="R351" s="30"/>
    </row>
    <row r="352" spans="18:18" ht="15.75" customHeight="1">
      <c r="R352" s="30"/>
    </row>
    <row r="353" spans="18:18" ht="15.75" customHeight="1">
      <c r="R353" s="30"/>
    </row>
    <row r="354" spans="18:18" ht="15.75" customHeight="1">
      <c r="R354" s="30"/>
    </row>
    <row r="355" spans="18:18" ht="15.75" customHeight="1">
      <c r="R355" s="30"/>
    </row>
    <row r="356" spans="18:18" ht="15.75" customHeight="1">
      <c r="R356" s="30"/>
    </row>
    <row r="357" spans="18:18" ht="15.75" customHeight="1">
      <c r="R357" s="30"/>
    </row>
    <row r="358" spans="18:18" ht="15.75" customHeight="1">
      <c r="R358" s="30"/>
    </row>
    <row r="359" spans="18:18" ht="15.75" customHeight="1">
      <c r="R359" s="30"/>
    </row>
    <row r="360" spans="18:18" ht="15.75" customHeight="1">
      <c r="R360" s="30"/>
    </row>
    <row r="361" spans="18:18" ht="15.75" customHeight="1">
      <c r="R361" s="30"/>
    </row>
    <row r="362" spans="18:18" ht="15.75" customHeight="1">
      <c r="R362" s="30"/>
    </row>
    <row r="363" spans="18:18" ht="15.75" customHeight="1">
      <c r="R363" s="30"/>
    </row>
    <row r="364" spans="18:18" ht="15.75" customHeight="1">
      <c r="R364" s="30"/>
    </row>
    <row r="365" spans="18:18" ht="15.75" customHeight="1">
      <c r="R365" s="30"/>
    </row>
    <row r="366" spans="18:18" ht="15.75" customHeight="1">
      <c r="R366" s="30"/>
    </row>
    <row r="367" spans="18:18" ht="15.75" customHeight="1">
      <c r="R367" s="30"/>
    </row>
    <row r="368" spans="18:18" ht="15.75" customHeight="1">
      <c r="R368" s="30"/>
    </row>
    <row r="369" spans="18:18" ht="15.75" customHeight="1">
      <c r="R369" s="30"/>
    </row>
    <row r="370" spans="18:18" ht="15.75" customHeight="1">
      <c r="R370" s="30"/>
    </row>
    <row r="371" spans="18:18" ht="15.75" customHeight="1">
      <c r="R371" s="30"/>
    </row>
    <row r="372" spans="18:18" ht="15.75" customHeight="1">
      <c r="R372" s="30"/>
    </row>
    <row r="373" spans="18:18" ht="15.75" customHeight="1">
      <c r="R373" s="30"/>
    </row>
    <row r="374" spans="18:18" ht="15.75" customHeight="1">
      <c r="R374" s="30"/>
    </row>
    <row r="375" spans="18:18" ht="15.75" customHeight="1">
      <c r="R375" s="30"/>
    </row>
    <row r="376" spans="18:18" ht="15.75" customHeight="1">
      <c r="R376" s="30"/>
    </row>
    <row r="377" spans="18:18" ht="15.75" customHeight="1">
      <c r="R377" s="30"/>
    </row>
    <row r="378" spans="18:18" ht="15.75" customHeight="1">
      <c r="R378" s="30"/>
    </row>
    <row r="379" spans="18:18" ht="15.75" customHeight="1">
      <c r="R379" s="30"/>
    </row>
    <row r="380" spans="18:18" ht="15.75" customHeight="1">
      <c r="R380" s="30"/>
    </row>
    <row r="381" spans="18:18" ht="15.75" customHeight="1">
      <c r="R381" s="30"/>
    </row>
    <row r="382" spans="18:18" ht="15.75" customHeight="1">
      <c r="R382" s="30"/>
    </row>
    <row r="383" spans="18:18" ht="15.75" customHeight="1">
      <c r="R383" s="30"/>
    </row>
    <row r="384" spans="18:18" ht="15.75" customHeight="1">
      <c r="R384" s="30"/>
    </row>
    <row r="385" spans="18:18" ht="15.75" customHeight="1">
      <c r="R385" s="30"/>
    </row>
    <row r="386" spans="18:18" ht="15.75" customHeight="1">
      <c r="R386" s="30"/>
    </row>
    <row r="387" spans="18:18" ht="15.75" customHeight="1">
      <c r="R387" s="30"/>
    </row>
    <row r="388" spans="18:18" ht="15.75" customHeight="1">
      <c r="R388" s="30"/>
    </row>
    <row r="389" spans="18:18" ht="15.75" customHeight="1">
      <c r="R389" s="30"/>
    </row>
    <row r="390" spans="18:18" ht="15.75" customHeight="1">
      <c r="R390" s="30"/>
    </row>
    <row r="391" spans="18:18" ht="15.75" customHeight="1">
      <c r="R391" s="30"/>
    </row>
    <row r="392" spans="18:18" ht="15.75" customHeight="1">
      <c r="R392" s="30"/>
    </row>
    <row r="393" spans="18:18" ht="15.75" customHeight="1">
      <c r="R393" s="30"/>
    </row>
    <row r="394" spans="18:18" ht="15.75" customHeight="1">
      <c r="R394" s="30"/>
    </row>
    <row r="395" spans="18:18" ht="15.75" customHeight="1">
      <c r="R395" s="30"/>
    </row>
    <row r="396" spans="18:18" ht="15.75" customHeight="1">
      <c r="R396" s="30"/>
    </row>
    <row r="397" spans="18:18" ht="15.75" customHeight="1">
      <c r="R397" s="30"/>
    </row>
    <row r="398" spans="18:18" ht="15.75" customHeight="1">
      <c r="R398" s="30"/>
    </row>
    <row r="399" spans="18:18" ht="15.75" customHeight="1">
      <c r="R399" s="30"/>
    </row>
    <row r="400" spans="18:18" ht="15.75" customHeight="1">
      <c r="R400" s="30"/>
    </row>
    <row r="401" spans="18:18" ht="15.75" customHeight="1">
      <c r="R401" s="30"/>
    </row>
    <row r="402" spans="18:18" ht="15.75" customHeight="1">
      <c r="R402" s="30"/>
    </row>
    <row r="403" spans="18:18" ht="15.75" customHeight="1">
      <c r="R403" s="30"/>
    </row>
    <row r="404" spans="18:18" ht="15.75" customHeight="1">
      <c r="R404" s="30"/>
    </row>
    <row r="405" spans="18:18" ht="15.75" customHeight="1">
      <c r="R405" s="30"/>
    </row>
    <row r="406" spans="18:18" ht="15.75" customHeight="1">
      <c r="R406" s="30"/>
    </row>
    <row r="407" spans="18:18" ht="15.75" customHeight="1">
      <c r="R407" s="30"/>
    </row>
    <row r="408" spans="18:18" ht="15.75" customHeight="1">
      <c r="R408" s="30"/>
    </row>
    <row r="409" spans="18:18" ht="15.75" customHeight="1">
      <c r="R409" s="30"/>
    </row>
    <row r="410" spans="18:18" ht="15.75" customHeight="1">
      <c r="R410" s="30"/>
    </row>
    <row r="411" spans="18:18" ht="15.75" customHeight="1">
      <c r="R411" s="30"/>
    </row>
    <row r="412" spans="18:18" ht="15.75" customHeight="1">
      <c r="R412" s="30"/>
    </row>
    <row r="413" spans="18:18" ht="15.75" customHeight="1">
      <c r="R413" s="30"/>
    </row>
    <row r="414" spans="18:18" ht="15.75" customHeight="1">
      <c r="R414" s="30"/>
    </row>
    <row r="415" spans="18:18" ht="15.75" customHeight="1">
      <c r="R415" s="30"/>
    </row>
    <row r="416" spans="18:18" ht="15.75" customHeight="1">
      <c r="R416" s="30"/>
    </row>
    <row r="417" spans="18:18" ht="15.75" customHeight="1">
      <c r="R417" s="30"/>
    </row>
    <row r="418" spans="18:18" ht="15.75" customHeight="1">
      <c r="R418" s="30"/>
    </row>
    <row r="419" spans="18:18" ht="15.75" customHeight="1">
      <c r="R419" s="30"/>
    </row>
    <row r="420" spans="18:18" ht="15.75" customHeight="1">
      <c r="R420" s="30"/>
    </row>
    <row r="421" spans="18:18" ht="15.75" customHeight="1">
      <c r="R421" s="30"/>
    </row>
    <row r="422" spans="18:18" ht="15.75" customHeight="1">
      <c r="R422" s="30"/>
    </row>
    <row r="423" spans="18:18" ht="15.75" customHeight="1">
      <c r="R423" s="30"/>
    </row>
    <row r="424" spans="18:18" ht="15.75" customHeight="1">
      <c r="R424" s="30"/>
    </row>
    <row r="425" spans="18:18" ht="15.75" customHeight="1">
      <c r="R425" s="30"/>
    </row>
    <row r="426" spans="18:18" ht="15.75" customHeight="1">
      <c r="R426" s="30"/>
    </row>
    <row r="427" spans="18:18" ht="15.75" customHeight="1">
      <c r="R427" s="30"/>
    </row>
    <row r="428" spans="18:18" ht="15.75" customHeight="1">
      <c r="R428" s="30"/>
    </row>
    <row r="429" spans="18:18" ht="15.75" customHeight="1">
      <c r="R429" s="30"/>
    </row>
    <row r="430" spans="18:18" ht="15.75" customHeight="1">
      <c r="R430" s="30"/>
    </row>
    <row r="431" spans="18:18" ht="15.75" customHeight="1">
      <c r="R431" s="30"/>
    </row>
    <row r="432" spans="18:18" ht="15.75" customHeight="1">
      <c r="R432" s="30"/>
    </row>
    <row r="433" spans="18:18" ht="15.75" customHeight="1">
      <c r="R433" s="30"/>
    </row>
    <row r="434" spans="18:18" ht="15.75" customHeight="1">
      <c r="R434" s="30"/>
    </row>
    <row r="435" spans="18:18" ht="15.75" customHeight="1">
      <c r="R435" s="30"/>
    </row>
    <row r="436" spans="18:18" ht="15.75" customHeight="1">
      <c r="R436" s="30"/>
    </row>
    <row r="437" spans="18:18" ht="15.75" customHeight="1">
      <c r="R437" s="30"/>
    </row>
    <row r="438" spans="18:18" ht="15.75" customHeight="1">
      <c r="R438" s="30"/>
    </row>
    <row r="439" spans="18:18" ht="15.75" customHeight="1">
      <c r="R439" s="30"/>
    </row>
    <row r="440" spans="18:18" ht="15.75" customHeight="1">
      <c r="R440" s="30"/>
    </row>
    <row r="441" spans="18:18" ht="15.75" customHeight="1">
      <c r="R441" s="30"/>
    </row>
    <row r="442" spans="18:18" ht="15.75" customHeight="1">
      <c r="R442" s="30"/>
    </row>
    <row r="443" spans="18:18" ht="15.75" customHeight="1">
      <c r="R443" s="30"/>
    </row>
    <row r="444" spans="18:18" ht="15.75" customHeight="1">
      <c r="R444" s="30"/>
    </row>
    <row r="445" spans="18:18" ht="15.75" customHeight="1">
      <c r="R445" s="30"/>
    </row>
    <row r="446" spans="18:18" ht="15.75" customHeight="1">
      <c r="R446" s="30"/>
    </row>
    <row r="447" spans="18:18" ht="15.75" customHeight="1">
      <c r="R447" s="30"/>
    </row>
    <row r="448" spans="18:18" ht="15.75" customHeight="1">
      <c r="R448" s="30"/>
    </row>
    <row r="449" spans="18:18" ht="15.75" customHeight="1">
      <c r="R449" s="30"/>
    </row>
    <row r="450" spans="18:18" ht="15.75" customHeight="1">
      <c r="R450" s="30"/>
    </row>
    <row r="451" spans="18:18" ht="15.75" customHeight="1">
      <c r="R451" s="30"/>
    </row>
    <row r="452" spans="18:18" ht="15.75" customHeight="1">
      <c r="R452" s="30"/>
    </row>
    <row r="453" spans="18:18" ht="15.75" customHeight="1">
      <c r="R453" s="30"/>
    </row>
    <row r="454" spans="18:18" ht="15.75" customHeight="1">
      <c r="R454" s="30"/>
    </row>
    <row r="455" spans="18:18" ht="15.75" customHeight="1">
      <c r="R455" s="30"/>
    </row>
    <row r="456" spans="18:18" ht="15.75" customHeight="1">
      <c r="R456" s="30"/>
    </row>
    <row r="457" spans="18:18" ht="15.75" customHeight="1">
      <c r="R457" s="30"/>
    </row>
    <row r="458" spans="18:18" ht="15.75" customHeight="1">
      <c r="R458" s="30"/>
    </row>
    <row r="459" spans="18:18" ht="15.75" customHeight="1">
      <c r="R459" s="30"/>
    </row>
    <row r="460" spans="18:18" ht="15.75" customHeight="1">
      <c r="R460" s="30"/>
    </row>
    <row r="461" spans="18:18" ht="15.75" customHeight="1">
      <c r="R461" s="30"/>
    </row>
    <row r="462" spans="18:18" ht="15.75" customHeight="1">
      <c r="R462" s="30"/>
    </row>
    <row r="463" spans="18:18" ht="15.75" customHeight="1">
      <c r="R463" s="30"/>
    </row>
    <row r="464" spans="18:18" ht="15.75" customHeight="1">
      <c r="R464" s="30"/>
    </row>
    <row r="465" spans="18:18" ht="15.75" customHeight="1">
      <c r="R465" s="30"/>
    </row>
    <row r="466" spans="18:18" ht="15.75" customHeight="1">
      <c r="R466" s="30"/>
    </row>
    <row r="467" spans="18:18" ht="15.75" customHeight="1">
      <c r="R467" s="30"/>
    </row>
    <row r="468" spans="18:18" ht="15.75" customHeight="1">
      <c r="R468" s="30"/>
    </row>
    <row r="469" spans="18:18" ht="15.75" customHeight="1">
      <c r="R469" s="30"/>
    </row>
    <row r="470" spans="18:18" ht="15.75" customHeight="1">
      <c r="R470" s="30"/>
    </row>
    <row r="471" spans="18:18" ht="15.75" customHeight="1">
      <c r="R471" s="30"/>
    </row>
    <row r="472" spans="18:18" ht="15.75" customHeight="1">
      <c r="R472" s="30"/>
    </row>
    <row r="473" spans="18:18" ht="15.75" customHeight="1">
      <c r="R473" s="30"/>
    </row>
    <row r="474" spans="18:18" ht="15.75" customHeight="1">
      <c r="R474" s="30"/>
    </row>
    <row r="475" spans="18:18" ht="15.75" customHeight="1">
      <c r="R475" s="30"/>
    </row>
    <row r="476" spans="18:18" ht="15.75" customHeight="1">
      <c r="R476" s="30"/>
    </row>
    <row r="477" spans="18:18" ht="15.75" customHeight="1">
      <c r="R477" s="30"/>
    </row>
    <row r="478" spans="18:18" ht="15.75" customHeight="1">
      <c r="R478" s="30"/>
    </row>
    <row r="479" spans="18:18" ht="15.75" customHeight="1">
      <c r="R479" s="30"/>
    </row>
    <row r="480" spans="18:18" ht="15.75" customHeight="1">
      <c r="R480" s="30"/>
    </row>
    <row r="481" spans="18:18" ht="15.75" customHeight="1">
      <c r="R481" s="30"/>
    </row>
    <row r="482" spans="18:18" ht="15.75" customHeight="1">
      <c r="R482" s="30"/>
    </row>
    <row r="483" spans="18:18" ht="15.75" customHeight="1">
      <c r="R483" s="30"/>
    </row>
    <row r="484" spans="18:18" ht="15.75" customHeight="1">
      <c r="R484" s="30"/>
    </row>
    <row r="485" spans="18:18" ht="15.75" customHeight="1">
      <c r="R485" s="30"/>
    </row>
    <row r="486" spans="18:18" ht="15.75" customHeight="1">
      <c r="R486" s="30"/>
    </row>
    <row r="487" spans="18:18" ht="15.75" customHeight="1">
      <c r="R487" s="30"/>
    </row>
    <row r="488" spans="18:18" ht="15.75" customHeight="1">
      <c r="R488" s="30"/>
    </row>
    <row r="489" spans="18:18" ht="15.75" customHeight="1">
      <c r="R489" s="30"/>
    </row>
    <row r="490" spans="18:18" ht="15.75" customHeight="1">
      <c r="R490" s="30"/>
    </row>
    <row r="491" spans="18:18" ht="15.75" customHeight="1">
      <c r="R491" s="30"/>
    </row>
    <row r="492" spans="18:18" ht="15.75" customHeight="1">
      <c r="R492" s="30"/>
    </row>
    <row r="493" spans="18:18" ht="15.75" customHeight="1">
      <c r="R493" s="30"/>
    </row>
    <row r="494" spans="18:18" ht="15.75" customHeight="1">
      <c r="R494" s="30"/>
    </row>
    <row r="495" spans="18:18" ht="15.75" customHeight="1">
      <c r="R495" s="30"/>
    </row>
    <row r="496" spans="18:18" ht="15.75" customHeight="1">
      <c r="R496" s="30"/>
    </row>
    <row r="497" spans="18:18" ht="15.75" customHeight="1">
      <c r="R497" s="30"/>
    </row>
    <row r="498" spans="18:18" ht="15.75" customHeight="1">
      <c r="R498" s="30"/>
    </row>
    <row r="499" spans="18:18" ht="15.75" customHeight="1">
      <c r="R499" s="30"/>
    </row>
    <row r="500" spans="18:18" ht="15.75" customHeight="1">
      <c r="R500" s="30"/>
    </row>
    <row r="501" spans="18:18" ht="15.75" customHeight="1">
      <c r="R501" s="30"/>
    </row>
    <row r="502" spans="18:18" ht="15.75" customHeight="1">
      <c r="R502" s="30"/>
    </row>
    <row r="503" spans="18:18" ht="15.75" customHeight="1">
      <c r="R503" s="30"/>
    </row>
    <row r="504" spans="18:18" ht="15.75" customHeight="1">
      <c r="R504" s="30"/>
    </row>
    <row r="505" spans="18:18" ht="15.75" customHeight="1">
      <c r="R505" s="30"/>
    </row>
    <row r="506" spans="18:18" ht="15.75" customHeight="1">
      <c r="R506" s="30"/>
    </row>
    <row r="507" spans="18:18" ht="15.75" customHeight="1">
      <c r="R507" s="30"/>
    </row>
    <row r="508" spans="18:18" ht="15.75" customHeight="1">
      <c r="R508" s="30"/>
    </row>
    <row r="509" spans="18:18" ht="15.75" customHeight="1">
      <c r="R509" s="30"/>
    </row>
    <row r="510" spans="18:18" ht="15.75" customHeight="1">
      <c r="R510" s="30"/>
    </row>
    <row r="511" spans="18:18" ht="15.75" customHeight="1">
      <c r="R511" s="30"/>
    </row>
    <row r="512" spans="18:18" ht="15.75" customHeight="1">
      <c r="R512" s="30"/>
    </row>
    <row r="513" spans="18:18" ht="15.75" customHeight="1">
      <c r="R513" s="30"/>
    </row>
    <row r="514" spans="18:18" ht="15.75" customHeight="1">
      <c r="R514" s="30"/>
    </row>
    <row r="515" spans="18:18" ht="15.75" customHeight="1">
      <c r="R515" s="30"/>
    </row>
    <row r="516" spans="18:18" ht="15.75" customHeight="1">
      <c r="R516" s="30"/>
    </row>
    <row r="517" spans="18:18" ht="15.75" customHeight="1">
      <c r="R517" s="30"/>
    </row>
    <row r="518" spans="18:18" ht="15.75" customHeight="1">
      <c r="R518" s="30"/>
    </row>
    <row r="519" spans="18:18" ht="15.75" customHeight="1">
      <c r="R519" s="30"/>
    </row>
    <row r="520" spans="18:18" ht="15.75" customHeight="1">
      <c r="R520" s="30"/>
    </row>
    <row r="521" spans="18:18" ht="15.75" customHeight="1">
      <c r="R521" s="30"/>
    </row>
    <row r="522" spans="18:18" ht="15.75" customHeight="1">
      <c r="R522" s="30"/>
    </row>
    <row r="523" spans="18:18" ht="15.75" customHeight="1">
      <c r="R523" s="30"/>
    </row>
    <row r="524" spans="18:18" ht="15.75" customHeight="1">
      <c r="R524" s="30"/>
    </row>
    <row r="525" spans="18:18" ht="15.75" customHeight="1">
      <c r="R525" s="30"/>
    </row>
    <row r="526" spans="18:18" ht="15.75" customHeight="1">
      <c r="R526" s="30"/>
    </row>
    <row r="527" spans="18:18" ht="15.75" customHeight="1">
      <c r="R527" s="30"/>
    </row>
    <row r="528" spans="18:18" ht="15.75" customHeight="1">
      <c r="R528" s="30"/>
    </row>
    <row r="529" spans="18:18" ht="15.75" customHeight="1">
      <c r="R529" s="30"/>
    </row>
    <row r="530" spans="18:18" ht="15.75" customHeight="1">
      <c r="R530" s="30"/>
    </row>
    <row r="531" spans="18:18" ht="15.75" customHeight="1">
      <c r="R531" s="30"/>
    </row>
    <row r="532" spans="18:18" ht="15.75" customHeight="1">
      <c r="R532" s="30"/>
    </row>
    <row r="533" spans="18:18" ht="15.75" customHeight="1">
      <c r="R533" s="30"/>
    </row>
    <row r="534" spans="18:18" ht="15.75" customHeight="1">
      <c r="R534" s="30"/>
    </row>
    <row r="535" spans="18:18" ht="15.75" customHeight="1">
      <c r="R535" s="30"/>
    </row>
    <row r="536" spans="18:18" ht="15.75" customHeight="1">
      <c r="R536" s="30"/>
    </row>
    <row r="537" spans="18:18" ht="15.75" customHeight="1">
      <c r="R537" s="30"/>
    </row>
    <row r="538" spans="18:18" ht="15.75" customHeight="1">
      <c r="R538" s="30"/>
    </row>
    <row r="539" spans="18:18" ht="15.75" customHeight="1">
      <c r="R539" s="30"/>
    </row>
    <row r="540" spans="18:18" ht="15.75" customHeight="1">
      <c r="R540" s="30"/>
    </row>
    <row r="541" spans="18:18" ht="15.75" customHeight="1">
      <c r="R541" s="30"/>
    </row>
    <row r="542" spans="18:18" ht="15.75" customHeight="1">
      <c r="R542" s="30"/>
    </row>
    <row r="543" spans="18:18" ht="15.75" customHeight="1">
      <c r="R543" s="30"/>
    </row>
    <row r="544" spans="18:18" ht="15.75" customHeight="1">
      <c r="R544" s="30"/>
    </row>
    <row r="545" spans="18:18" ht="15.75" customHeight="1">
      <c r="R545" s="30"/>
    </row>
    <row r="546" spans="18:18" ht="15.75" customHeight="1">
      <c r="R546" s="30"/>
    </row>
    <row r="547" spans="18:18" ht="15.75" customHeight="1">
      <c r="R547" s="30"/>
    </row>
    <row r="548" spans="18:18" ht="15.75" customHeight="1">
      <c r="R548" s="30"/>
    </row>
    <row r="549" spans="18:18" ht="15.75" customHeight="1">
      <c r="R549" s="30"/>
    </row>
    <row r="550" spans="18:18" ht="15.75" customHeight="1">
      <c r="R550" s="30"/>
    </row>
    <row r="551" spans="18:18" ht="15.75" customHeight="1">
      <c r="R551" s="30"/>
    </row>
    <row r="552" spans="18:18" ht="15.75" customHeight="1">
      <c r="R552" s="30"/>
    </row>
    <row r="553" spans="18:18" ht="15.75" customHeight="1">
      <c r="R553" s="30"/>
    </row>
    <row r="554" spans="18:18" ht="15.75" customHeight="1">
      <c r="R554" s="30"/>
    </row>
    <row r="555" spans="18:18" ht="15.75" customHeight="1">
      <c r="R555" s="30"/>
    </row>
    <row r="556" spans="18:18" ht="15.75" customHeight="1">
      <c r="R556" s="30"/>
    </row>
    <row r="557" spans="18:18" ht="15.75" customHeight="1">
      <c r="R557" s="30"/>
    </row>
    <row r="558" spans="18:18" ht="15.75" customHeight="1">
      <c r="R558" s="30"/>
    </row>
    <row r="559" spans="18:18" ht="15.75" customHeight="1">
      <c r="R559" s="30"/>
    </row>
    <row r="560" spans="18:18" ht="15.75" customHeight="1">
      <c r="R560" s="30"/>
    </row>
    <row r="561" spans="18:18" ht="15.75" customHeight="1">
      <c r="R561" s="30"/>
    </row>
    <row r="562" spans="18:18" ht="15.75" customHeight="1">
      <c r="R562" s="30"/>
    </row>
    <row r="563" spans="18:18" ht="15.75" customHeight="1">
      <c r="R563" s="30"/>
    </row>
    <row r="564" spans="18:18" ht="15.75" customHeight="1">
      <c r="R564" s="30"/>
    </row>
    <row r="565" spans="18:18" ht="15.75" customHeight="1">
      <c r="R565" s="30"/>
    </row>
    <row r="566" spans="18:18" ht="15.75" customHeight="1">
      <c r="R566" s="30"/>
    </row>
    <row r="567" spans="18:18" ht="15.75" customHeight="1">
      <c r="R567" s="30"/>
    </row>
    <row r="568" spans="18:18" ht="15.75" customHeight="1">
      <c r="R568" s="30"/>
    </row>
    <row r="569" spans="18:18" ht="15.75" customHeight="1">
      <c r="R569" s="30"/>
    </row>
    <row r="570" spans="18:18" ht="15.75" customHeight="1">
      <c r="R570" s="30"/>
    </row>
    <row r="571" spans="18:18" ht="15.75" customHeight="1">
      <c r="R571" s="30"/>
    </row>
    <row r="572" spans="18:18" ht="15.75" customHeight="1">
      <c r="R572" s="30"/>
    </row>
    <row r="573" spans="18:18" ht="15.75" customHeight="1">
      <c r="R573" s="30"/>
    </row>
    <row r="574" spans="18:18" ht="15.75" customHeight="1">
      <c r="R574" s="30"/>
    </row>
    <row r="575" spans="18:18" ht="15.75" customHeight="1">
      <c r="R575" s="30"/>
    </row>
    <row r="576" spans="18:18" ht="15.75" customHeight="1">
      <c r="R576" s="30"/>
    </row>
    <row r="577" spans="18:18" ht="15.75" customHeight="1">
      <c r="R577" s="30"/>
    </row>
    <row r="578" spans="18:18" ht="15.75" customHeight="1">
      <c r="R578" s="30"/>
    </row>
    <row r="579" spans="18:18" ht="15.75" customHeight="1">
      <c r="R579" s="30"/>
    </row>
    <row r="580" spans="18:18" ht="15.75" customHeight="1">
      <c r="R580" s="30"/>
    </row>
    <row r="581" spans="18:18" ht="15.75" customHeight="1">
      <c r="R581" s="30"/>
    </row>
    <row r="582" spans="18:18" ht="15.75" customHeight="1">
      <c r="R582" s="30"/>
    </row>
    <row r="583" spans="18:18" ht="15.75" customHeight="1">
      <c r="R583" s="30"/>
    </row>
    <row r="584" spans="18:18" ht="15.75" customHeight="1">
      <c r="R584" s="30"/>
    </row>
    <row r="585" spans="18:18" ht="15.75" customHeight="1">
      <c r="R585" s="30"/>
    </row>
    <row r="586" spans="18:18" ht="15.75" customHeight="1">
      <c r="R586" s="30"/>
    </row>
    <row r="587" spans="18:18" ht="15.75" customHeight="1">
      <c r="R587" s="30"/>
    </row>
    <row r="588" spans="18:18" ht="15.75" customHeight="1">
      <c r="R588" s="30"/>
    </row>
    <row r="589" spans="18:18" ht="15.75" customHeight="1">
      <c r="R589" s="30"/>
    </row>
    <row r="590" spans="18:18" ht="15.75" customHeight="1">
      <c r="R590" s="30"/>
    </row>
    <row r="591" spans="18:18" ht="15.75" customHeight="1">
      <c r="R591" s="30"/>
    </row>
    <row r="592" spans="18:18" ht="15.75" customHeight="1">
      <c r="R592" s="30"/>
    </row>
    <row r="593" spans="18:18" ht="15.75" customHeight="1">
      <c r="R593" s="30"/>
    </row>
    <row r="594" spans="18:18" ht="15.75" customHeight="1">
      <c r="R594" s="30"/>
    </row>
    <row r="595" spans="18:18" ht="15.75" customHeight="1">
      <c r="R595" s="30"/>
    </row>
    <row r="596" spans="18:18" ht="15.75" customHeight="1">
      <c r="R596" s="30"/>
    </row>
    <row r="597" spans="18:18" ht="15.75" customHeight="1">
      <c r="R597" s="30"/>
    </row>
    <row r="598" spans="18:18" ht="15.75" customHeight="1">
      <c r="R598" s="30"/>
    </row>
    <row r="599" spans="18:18" ht="15.75" customHeight="1">
      <c r="R599" s="30"/>
    </row>
    <row r="600" spans="18:18" ht="15.75" customHeight="1">
      <c r="R600" s="30"/>
    </row>
    <row r="601" spans="18:18" ht="15.75" customHeight="1">
      <c r="R601" s="30"/>
    </row>
    <row r="602" spans="18:18" ht="15.75" customHeight="1">
      <c r="R602" s="30"/>
    </row>
    <row r="603" spans="18:18" ht="15.75" customHeight="1">
      <c r="R603" s="30"/>
    </row>
    <row r="604" spans="18:18" ht="15.75" customHeight="1">
      <c r="R604" s="30"/>
    </row>
    <row r="605" spans="18:18" ht="15.75" customHeight="1">
      <c r="R605" s="30"/>
    </row>
    <row r="606" spans="18:18" ht="15.75" customHeight="1">
      <c r="R606" s="30"/>
    </row>
    <row r="607" spans="18:18" ht="15.75" customHeight="1">
      <c r="R607" s="30"/>
    </row>
    <row r="608" spans="18:18" ht="15.75" customHeight="1">
      <c r="R608" s="30"/>
    </row>
    <row r="609" spans="18:18" ht="15.75" customHeight="1">
      <c r="R609" s="30"/>
    </row>
    <row r="610" spans="18:18" ht="15.75" customHeight="1">
      <c r="R610" s="30"/>
    </row>
    <row r="611" spans="18:18" ht="15.75" customHeight="1">
      <c r="R611" s="30"/>
    </row>
    <row r="612" spans="18:18" ht="15.75" customHeight="1">
      <c r="R612" s="30"/>
    </row>
    <row r="613" spans="18:18" ht="15.75" customHeight="1">
      <c r="R613" s="30"/>
    </row>
    <row r="614" spans="18:18" ht="15.75" customHeight="1">
      <c r="R614" s="30"/>
    </row>
    <row r="615" spans="18:18" ht="15.75" customHeight="1">
      <c r="R615" s="30"/>
    </row>
    <row r="616" spans="18:18" ht="15.75" customHeight="1">
      <c r="R616" s="30"/>
    </row>
    <row r="617" spans="18:18" ht="15.75" customHeight="1">
      <c r="R617" s="30"/>
    </row>
    <row r="618" spans="18:18" ht="15.75" customHeight="1">
      <c r="R618" s="30"/>
    </row>
    <row r="619" spans="18:18" ht="15.75" customHeight="1">
      <c r="R619" s="30"/>
    </row>
    <row r="620" spans="18:18" ht="15.75" customHeight="1">
      <c r="R620" s="30"/>
    </row>
    <row r="621" spans="18:18" ht="15.75" customHeight="1">
      <c r="R621" s="30"/>
    </row>
    <row r="622" spans="18:18" ht="15.75" customHeight="1">
      <c r="R622" s="30"/>
    </row>
    <row r="623" spans="18:18" ht="15.75" customHeight="1">
      <c r="R623" s="30"/>
    </row>
    <row r="624" spans="18:18" ht="15.75" customHeight="1">
      <c r="R624" s="30"/>
    </row>
    <row r="625" spans="18:18" ht="15.75" customHeight="1">
      <c r="R625" s="30"/>
    </row>
    <row r="626" spans="18:18" ht="15.75" customHeight="1">
      <c r="R626" s="30"/>
    </row>
    <row r="627" spans="18:18" ht="15.75" customHeight="1">
      <c r="R627" s="30"/>
    </row>
    <row r="628" spans="18:18" ht="15.75" customHeight="1">
      <c r="R628" s="30"/>
    </row>
    <row r="629" spans="18:18" ht="15.75" customHeight="1">
      <c r="R629" s="30"/>
    </row>
    <row r="630" spans="18:18" ht="15.75" customHeight="1">
      <c r="R630" s="30"/>
    </row>
    <row r="631" spans="18:18" ht="15.75" customHeight="1">
      <c r="R631" s="30"/>
    </row>
    <row r="632" spans="18:18" ht="15.75" customHeight="1">
      <c r="R632" s="30"/>
    </row>
    <row r="633" spans="18:18" ht="15.75" customHeight="1">
      <c r="R633" s="30"/>
    </row>
    <row r="634" spans="18:18" ht="15.75" customHeight="1">
      <c r="R634" s="30"/>
    </row>
    <row r="635" spans="18:18" ht="15.75" customHeight="1">
      <c r="R635" s="30"/>
    </row>
    <row r="636" spans="18:18" ht="15.75" customHeight="1">
      <c r="R636" s="30"/>
    </row>
    <row r="637" spans="18:18" ht="15.75" customHeight="1">
      <c r="R637" s="30"/>
    </row>
    <row r="638" spans="18:18" ht="15.75" customHeight="1">
      <c r="R638" s="30"/>
    </row>
    <row r="639" spans="18:18" ht="15.75" customHeight="1">
      <c r="R639" s="30"/>
    </row>
    <row r="640" spans="18:18" ht="15.75" customHeight="1">
      <c r="R640" s="30"/>
    </row>
    <row r="641" spans="18:18" ht="15.75" customHeight="1">
      <c r="R641" s="30"/>
    </row>
    <row r="642" spans="18:18" ht="15.75" customHeight="1">
      <c r="R642" s="30"/>
    </row>
    <row r="643" spans="18:18" ht="15.75" customHeight="1">
      <c r="R643" s="30"/>
    </row>
    <row r="644" spans="18:18" ht="15.75" customHeight="1">
      <c r="R644" s="30"/>
    </row>
    <row r="645" spans="18:18" ht="15.75" customHeight="1">
      <c r="R645" s="30"/>
    </row>
    <row r="646" spans="18:18" ht="15.75" customHeight="1">
      <c r="R646" s="30"/>
    </row>
    <row r="647" spans="18:18" ht="15.75" customHeight="1">
      <c r="R647" s="30"/>
    </row>
    <row r="648" spans="18:18" ht="15.75" customHeight="1">
      <c r="R648" s="30"/>
    </row>
    <row r="649" spans="18:18" ht="15.75" customHeight="1">
      <c r="R649" s="30"/>
    </row>
    <row r="650" spans="18:18" ht="15.75" customHeight="1">
      <c r="R650" s="30"/>
    </row>
    <row r="651" spans="18:18" ht="15.75" customHeight="1">
      <c r="R651" s="30"/>
    </row>
    <row r="652" spans="18:18" ht="15.75" customHeight="1">
      <c r="R652" s="30"/>
    </row>
    <row r="653" spans="18:18" ht="15.75" customHeight="1">
      <c r="R653" s="30"/>
    </row>
    <row r="654" spans="18:18" ht="15.75" customHeight="1">
      <c r="R654" s="30"/>
    </row>
    <row r="655" spans="18:18" ht="15.75" customHeight="1">
      <c r="R655" s="30"/>
    </row>
    <row r="656" spans="18:18" ht="15.75" customHeight="1">
      <c r="R656" s="30"/>
    </row>
    <row r="657" spans="18:18" ht="15.75" customHeight="1">
      <c r="R657" s="30"/>
    </row>
    <row r="658" spans="18:18" ht="15.75" customHeight="1">
      <c r="R658" s="30"/>
    </row>
    <row r="659" spans="18:18" ht="15.75" customHeight="1">
      <c r="R659" s="30"/>
    </row>
    <row r="660" spans="18:18" ht="15.75" customHeight="1">
      <c r="R660" s="30"/>
    </row>
    <row r="661" spans="18:18" ht="15.75" customHeight="1">
      <c r="R661" s="30"/>
    </row>
    <row r="662" spans="18:18" ht="15.75" customHeight="1">
      <c r="R662" s="30"/>
    </row>
    <row r="663" spans="18:18" ht="15.75" customHeight="1">
      <c r="R663" s="30"/>
    </row>
    <row r="664" spans="18:18" ht="15.75" customHeight="1">
      <c r="R664" s="30"/>
    </row>
    <row r="665" spans="18:18" ht="15.75" customHeight="1">
      <c r="R665" s="30"/>
    </row>
    <row r="666" spans="18:18" ht="15.75" customHeight="1">
      <c r="R666" s="30"/>
    </row>
    <row r="667" spans="18:18" ht="15.75" customHeight="1">
      <c r="R667" s="30"/>
    </row>
    <row r="668" spans="18:18" ht="15.75" customHeight="1">
      <c r="R668" s="30"/>
    </row>
    <row r="669" spans="18:18" ht="15.75" customHeight="1">
      <c r="R669" s="30"/>
    </row>
    <row r="670" spans="18:18" ht="15.75" customHeight="1">
      <c r="R670" s="30"/>
    </row>
    <row r="671" spans="18:18" ht="15.75" customHeight="1">
      <c r="R671" s="30"/>
    </row>
    <row r="672" spans="18:18" ht="15.75" customHeight="1">
      <c r="R672" s="30"/>
    </row>
    <row r="673" spans="18:18" ht="15.75" customHeight="1">
      <c r="R673" s="30"/>
    </row>
    <row r="674" spans="18:18" ht="15.75" customHeight="1">
      <c r="R674" s="30"/>
    </row>
    <row r="675" spans="18:18" ht="15.75" customHeight="1">
      <c r="R675" s="30"/>
    </row>
    <row r="676" spans="18:18" ht="15.75" customHeight="1">
      <c r="R676" s="30"/>
    </row>
    <row r="677" spans="18:18" ht="15.75" customHeight="1">
      <c r="R677" s="30"/>
    </row>
    <row r="678" spans="18:18" ht="15.75" customHeight="1">
      <c r="R678" s="30"/>
    </row>
    <row r="679" spans="18:18" ht="15.75" customHeight="1">
      <c r="R679" s="30"/>
    </row>
    <row r="680" spans="18:18" ht="15.75" customHeight="1">
      <c r="R680" s="30"/>
    </row>
    <row r="681" spans="18:18" ht="15.75" customHeight="1">
      <c r="R681" s="30"/>
    </row>
    <row r="682" spans="18:18" ht="15.75" customHeight="1">
      <c r="R682" s="30"/>
    </row>
    <row r="683" spans="18:18" ht="15.75" customHeight="1">
      <c r="R683" s="30"/>
    </row>
    <row r="684" spans="18:18" ht="15.75" customHeight="1">
      <c r="R684" s="30"/>
    </row>
    <row r="685" spans="18:18" ht="15.75" customHeight="1">
      <c r="R685" s="30"/>
    </row>
    <row r="686" spans="18:18" ht="15.75" customHeight="1">
      <c r="R686" s="30"/>
    </row>
    <row r="687" spans="18:18" ht="15.75" customHeight="1">
      <c r="R687" s="30"/>
    </row>
    <row r="688" spans="18:18" ht="15.75" customHeight="1">
      <c r="R688" s="30"/>
    </row>
    <row r="689" spans="18:18" ht="15.75" customHeight="1">
      <c r="R689" s="30"/>
    </row>
    <row r="690" spans="18:18" ht="15.75" customHeight="1">
      <c r="R690" s="30"/>
    </row>
    <row r="691" spans="18:18" ht="15.75" customHeight="1">
      <c r="R691" s="30"/>
    </row>
    <row r="692" spans="18:18" ht="15.75" customHeight="1">
      <c r="R692" s="30"/>
    </row>
    <row r="693" spans="18:18" ht="15.75" customHeight="1">
      <c r="R693" s="30"/>
    </row>
    <row r="694" spans="18:18" ht="15.75" customHeight="1">
      <c r="R694" s="30"/>
    </row>
    <row r="695" spans="18:18" ht="15.75" customHeight="1">
      <c r="R695" s="30"/>
    </row>
    <row r="696" spans="18:18" ht="15.75" customHeight="1">
      <c r="R696" s="30"/>
    </row>
    <row r="697" spans="18:18" ht="15.75" customHeight="1">
      <c r="R697" s="30"/>
    </row>
    <row r="698" spans="18:18" ht="15.75" customHeight="1">
      <c r="R698" s="30"/>
    </row>
    <row r="699" spans="18:18" ht="15.75" customHeight="1">
      <c r="R699" s="30"/>
    </row>
    <row r="700" spans="18:18" ht="15.75" customHeight="1">
      <c r="R700" s="30"/>
    </row>
    <row r="701" spans="18:18" ht="15.75" customHeight="1">
      <c r="R701" s="30"/>
    </row>
    <row r="702" spans="18:18" ht="15.75" customHeight="1">
      <c r="R702" s="30"/>
    </row>
    <row r="703" spans="18:18" ht="15.75" customHeight="1">
      <c r="R703" s="30"/>
    </row>
    <row r="704" spans="18:18" ht="15.75" customHeight="1">
      <c r="R704" s="30"/>
    </row>
    <row r="705" spans="18:18" ht="15.75" customHeight="1">
      <c r="R705" s="30"/>
    </row>
    <row r="706" spans="18:18" ht="15.75" customHeight="1">
      <c r="R706" s="30"/>
    </row>
    <row r="707" spans="18:18" ht="15.75" customHeight="1">
      <c r="R707" s="30"/>
    </row>
    <row r="708" spans="18:18" ht="15.75" customHeight="1">
      <c r="R708" s="30"/>
    </row>
    <row r="709" spans="18:18" ht="15.75" customHeight="1">
      <c r="R709" s="30"/>
    </row>
    <row r="710" spans="18:18" ht="15.75" customHeight="1">
      <c r="R710" s="30"/>
    </row>
    <row r="711" spans="18:18" ht="15.75" customHeight="1">
      <c r="R711" s="30"/>
    </row>
    <row r="712" spans="18:18" ht="15.75" customHeight="1">
      <c r="R712" s="30"/>
    </row>
    <row r="713" spans="18:18" ht="15.75" customHeight="1">
      <c r="R713" s="30"/>
    </row>
    <row r="714" spans="18:18" ht="15.75" customHeight="1">
      <c r="R714" s="30"/>
    </row>
    <row r="715" spans="18:18" ht="15.75" customHeight="1">
      <c r="R715" s="30"/>
    </row>
    <row r="716" spans="18:18" ht="15.75" customHeight="1">
      <c r="R716" s="30"/>
    </row>
    <row r="717" spans="18:18" ht="15.75" customHeight="1">
      <c r="R717" s="30"/>
    </row>
    <row r="718" spans="18:18" ht="15.75" customHeight="1">
      <c r="R718" s="30"/>
    </row>
    <row r="719" spans="18:18" ht="15.75" customHeight="1">
      <c r="R719" s="30"/>
    </row>
    <row r="720" spans="18:18" ht="15.75" customHeight="1">
      <c r="R720" s="30"/>
    </row>
    <row r="721" spans="18:18" ht="15.75" customHeight="1">
      <c r="R721" s="30"/>
    </row>
    <row r="722" spans="18:18" ht="15.75" customHeight="1">
      <c r="R722" s="30"/>
    </row>
    <row r="723" spans="18:18" ht="15.75" customHeight="1">
      <c r="R723" s="30"/>
    </row>
    <row r="724" spans="18:18" ht="15.75" customHeight="1">
      <c r="R724" s="30"/>
    </row>
    <row r="725" spans="18:18" ht="15.75" customHeight="1">
      <c r="R725" s="30"/>
    </row>
    <row r="726" spans="18:18" ht="15.75" customHeight="1">
      <c r="R726" s="30"/>
    </row>
    <row r="727" spans="18:18" ht="15.75" customHeight="1">
      <c r="R727" s="30"/>
    </row>
    <row r="728" spans="18:18" ht="15.75" customHeight="1">
      <c r="R728" s="30"/>
    </row>
    <row r="729" spans="18:18" ht="15.75" customHeight="1">
      <c r="R729" s="30"/>
    </row>
    <row r="730" spans="18:18" ht="15.75" customHeight="1">
      <c r="R730" s="30"/>
    </row>
    <row r="731" spans="18:18" ht="15.75" customHeight="1">
      <c r="R731" s="30"/>
    </row>
    <row r="732" spans="18:18" ht="15.75" customHeight="1">
      <c r="R732" s="30"/>
    </row>
    <row r="733" spans="18:18" ht="15.75" customHeight="1">
      <c r="R733" s="30"/>
    </row>
    <row r="734" spans="18:18" ht="15.75" customHeight="1">
      <c r="R734" s="30"/>
    </row>
    <row r="735" spans="18:18" ht="15.75" customHeight="1">
      <c r="R735" s="30"/>
    </row>
    <row r="736" spans="18:18" ht="15.75" customHeight="1">
      <c r="R736" s="30"/>
    </row>
    <row r="737" spans="18:18" ht="15.75" customHeight="1">
      <c r="R737" s="30"/>
    </row>
    <row r="738" spans="18:18" ht="15.75" customHeight="1">
      <c r="R738" s="30"/>
    </row>
    <row r="739" spans="18:18" ht="15.75" customHeight="1">
      <c r="R739" s="30"/>
    </row>
    <row r="740" spans="18:18" ht="15.75" customHeight="1">
      <c r="R740" s="30"/>
    </row>
    <row r="741" spans="18:18" ht="15.75" customHeight="1">
      <c r="R741" s="30"/>
    </row>
    <row r="742" spans="18:18" ht="15.75" customHeight="1">
      <c r="R742" s="30"/>
    </row>
    <row r="743" spans="18:18" ht="15.75" customHeight="1">
      <c r="R743" s="30"/>
    </row>
    <row r="744" spans="18:18" ht="15.75" customHeight="1">
      <c r="R744" s="30"/>
    </row>
    <row r="745" spans="18:18" ht="15.75" customHeight="1">
      <c r="R745" s="30"/>
    </row>
    <row r="746" spans="18:18" ht="15.75" customHeight="1">
      <c r="R746" s="30"/>
    </row>
    <row r="747" spans="18:18" ht="15.75" customHeight="1">
      <c r="R747" s="30"/>
    </row>
    <row r="748" spans="18:18" ht="15.75" customHeight="1">
      <c r="R748" s="30"/>
    </row>
    <row r="749" spans="18:18" ht="15.75" customHeight="1">
      <c r="R749" s="30"/>
    </row>
    <row r="750" spans="18:18" ht="15.75" customHeight="1">
      <c r="R750" s="30"/>
    </row>
    <row r="751" spans="18:18" ht="15.75" customHeight="1">
      <c r="R751" s="30"/>
    </row>
    <row r="752" spans="18:18" ht="15.75" customHeight="1">
      <c r="R752" s="30"/>
    </row>
    <row r="753" spans="18:18" ht="15.75" customHeight="1">
      <c r="R753" s="30"/>
    </row>
    <row r="754" spans="18:18" ht="15.75" customHeight="1">
      <c r="R754" s="30"/>
    </row>
    <row r="755" spans="18:18" ht="15.75" customHeight="1">
      <c r="R755" s="30"/>
    </row>
    <row r="756" spans="18:18" ht="15.75" customHeight="1">
      <c r="R756" s="30"/>
    </row>
    <row r="757" spans="18:18" ht="15.75" customHeight="1">
      <c r="R757" s="30"/>
    </row>
    <row r="758" spans="18:18" ht="15.75" customHeight="1">
      <c r="R758" s="30"/>
    </row>
    <row r="759" spans="18:18" ht="15.75" customHeight="1">
      <c r="R759" s="30"/>
    </row>
    <row r="760" spans="18:18" ht="15.75" customHeight="1">
      <c r="R760" s="30"/>
    </row>
    <row r="761" spans="18:18" ht="15.75" customHeight="1">
      <c r="R761" s="30"/>
    </row>
    <row r="762" spans="18:18" ht="15.75" customHeight="1">
      <c r="R762" s="30"/>
    </row>
    <row r="763" spans="18:18" ht="15.75" customHeight="1">
      <c r="R763" s="30"/>
    </row>
    <row r="764" spans="18:18" ht="15.75" customHeight="1">
      <c r="R764" s="30"/>
    </row>
    <row r="765" spans="18:18" ht="15.75" customHeight="1">
      <c r="R765" s="30"/>
    </row>
    <row r="766" spans="18:18" ht="15.75" customHeight="1">
      <c r="R766" s="30"/>
    </row>
    <row r="767" spans="18:18" ht="15.75" customHeight="1">
      <c r="R767" s="30"/>
    </row>
    <row r="768" spans="18:18" ht="15.75" customHeight="1">
      <c r="R768" s="30"/>
    </row>
    <row r="769" spans="18:18" ht="15.75" customHeight="1">
      <c r="R769" s="30"/>
    </row>
    <row r="770" spans="18:18" ht="15.75" customHeight="1">
      <c r="R770" s="30"/>
    </row>
    <row r="771" spans="18:18" ht="15.75" customHeight="1">
      <c r="R771" s="30"/>
    </row>
    <row r="772" spans="18:18" ht="15.75" customHeight="1">
      <c r="R772" s="30"/>
    </row>
    <row r="773" spans="18:18" ht="15.75" customHeight="1">
      <c r="R773" s="30"/>
    </row>
    <row r="774" spans="18:18" ht="15.75" customHeight="1">
      <c r="R774" s="30"/>
    </row>
    <row r="775" spans="18:18" ht="15.75" customHeight="1">
      <c r="R775" s="30"/>
    </row>
    <row r="776" spans="18:18" ht="15.75" customHeight="1">
      <c r="R776" s="30"/>
    </row>
    <row r="777" spans="18:18" ht="15.75" customHeight="1">
      <c r="R777" s="30"/>
    </row>
    <row r="778" spans="18:18" ht="15.75" customHeight="1">
      <c r="R778" s="30"/>
    </row>
    <row r="779" spans="18:18" ht="15.75" customHeight="1">
      <c r="R779" s="30"/>
    </row>
    <row r="780" spans="18:18" ht="15.75" customHeight="1">
      <c r="R780" s="30"/>
    </row>
    <row r="781" spans="18:18" ht="15.75" customHeight="1">
      <c r="R781" s="30"/>
    </row>
    <row r="782" spans="18:18" ht="15.75" customHeight="1">
      <c r="R782" s="30"/>
    </row>
    <row r="783" spans="18:18" ht="15.75" customHeight="1">
      <c r="R783" s="30"/>
    </row>
    <row r="784" spans="18:18" ht="15.75" customHeight="1">
      <c r="R784" s="30"/>
    </row>
    <row r="785" spans="18:18" ht="15.75" customHeight="1">
      <c r="R785" s="30"/>
    </row>
    <row r="786" spans="18:18" ht="15.75" customHeight="1">
      <c r="R786" s="30"/>
    </row>
    <row r="787" spans="18:18" ht="15.75" customHeight="1">
      <c r="R787" s="30"/>
    </row>
    <row r="788" spans="18:18" ht="15.75" customHeight="1">
      <c r="R788" s="30"/>
    </row>
    <row r="789" spans="18:18" ht="15.75" customHeight="1">
      <c r="R789" s="30"/>
    </row>
    <row r="790" spans="18:18" ht="15.75" customHeight="1">
      <c r="R790" s="30"/>
    </row>
    <row r="791" spans="18:18" ht="15.75" customHeight="1">
      <c r="R791" s="30"/>
    </row>
    <row r="792" spans="18:18" ht="15.75" customHeight="1">
      <c r="R792" s="30"/>
    </row>
    <row r="793" spans="18:18" ht="15.75" customHeight="1">
      <c r="R793" s="30"/>
    </row>
    <row r="794" spans="18:18" ht="15.75" customHeight="1">
      <c r="R794" s="30"/>
    </row>
    <row r="795" spans="18:18" ht="15.75" customHeight="1">
      <c r="R795" s="30"/>
    </row>
    <row r="796" spans="18:18" ht="15.75" customHeight="1">
      <c r="R796" s="30"/>
    </row>
    <row r="797" spans="18:18" ht="15.75" customHeight="1">
      <c r="R797" s="30"/>
    </row>
    <row r="798" spans="18:18" ht="15.75" customHeight="1">
      <c r="R798" s="30"/>
    </row>
    <row r="799" spans="18:18" ht="15.75" customHeight="1">
      <c r="R799" s="30"/>
    </row>
    <row r="800" spans="18:18" ht="15.75" customHeight="1">
      <c r="R800" s="30"/>
    </row>
    <row r="801" spans="18:18" ht="15.75" customHeight="1">
      <c r="R801" s="30"/>
    </row>
    <row r="802" spans="18:18" ht="15.75" customHeight="1">
      <c r="R802" s="30"/>
    </row>
    <row r="803" spans="18:18" ht="15.75" customHeight="1">
      <c r="R803" s="30"/>
    </row>
    <row r="804" spans="18:18" ht="15.75" customHeight="1">
      <c r="R804" s="30"/>
    </row>
    <row r="805" spans="18:18" ht="15.75" customHeight="1">
      <c r="R805" s="30"/>
    </row>
    <row r="806" spans="18:18" ht="15.75" customHeight="1">
      <c r="R806" s="30"/>
    </row>
    <row r="807" spans="18:18" ht="15.75" customHeight="1">
      <c r="R807" s="30"/>
    </row>
    <row r="808" spans="18:18" ht="15.75" customHeight="1">
      <c r="R808" s="30"/>
    </row>
    <row r="809" spans="18:18" ht="15.75" customHeight="1">
      <c r="R809" s="30"/>
    </row>
    <row r="810" spans="18:18" ht="15.75" customHeight="1">
      <c r="R810" s="30"/>
    </row>
    <row r="811" spans="18:18" ht="15.75" customHeight="1">
      <c r="R811" s="30"/>
    </row>
    <row r="812" spans="18:18" ht="15.75" customHeight="1">
      <c r="R812" s="30"/>
    </row>
    <row r="813" spans="18:18" ht="15.75" customHeight="1">
      <c r="R813" s="30"/>
    </row>
    <row r="814" spans="18:18" ht="15.75" customHeight="1">
      <c r="R814" s="30"/>
    </row>
    <row r="815" spans="18:18" ht="15.75" customHeight="1">
      <c r="R815" s="30"/>
    </row>
    <row r="816" spans="18:18" ht="15.75" customHeight="1">
      <c r="R816" s="30"/>
    </row>
    <row r="817" spans="18:18" ht="15.75" customHeight="1">
      <c r="R817" s="30"/>
    </row>
    <row r="818" spans="18:18" ht="15.75" customHeight="1">
      <c r="R818" s="30"/>
    </row>
    <row r="819" spans="18:18" ht="15.75" customHeight="1">
      <c r="R819" s="30"/>
    </row>
    <row r="820" spans="18:18" ht="15.75" customHeight="1">
      <c r="R820" s="30"/>
    </row>
    <row r="821" spans="18:18" ht="15.75" customHeight="1">
      <c r="R821" s="30"/>
    </row>
    <row r="822" spans="18:18" ht="15.75" customHeight="1">
      <c r="R822" s="30"/>
    </row>
    <row r="823" spans="18:18" ht="15.75" customHeight="1">
      <c r="R823" s="30"/>
    </row>
    <row r="824" spans="18:18" ht="15.75" customHeight="1">
      <c r="R824" s="30"/>
    </row>
    <row r="825" spans="18:18" ht="15.75" customHeight="1">
      <c r="R825" s="30"/>
    </row>
    <row r="826" spans="18:18" ht="15.75" customHeight="1">
      <c r="R826" s="30"/>
    </row>
    <row r="827" spans="18:18" ht="15.75" customHeight="1">
      <c r="R827" s="30"/>
    </row>
    <row r="828" spans="18:18" ht="15.75" customHeight="1">
      <c r="R828" s="30"/>
    </row>
    <row r="829" spans="18:18" ht="15.75" customHeight="1">
      <c r="R829" s="30"/>
    </row>
    <row r="830" spans="18:18" ht="15.75" customHeight="1">
      <c r="R830" s="30"/>
    </row>
    <row r="831" spans="18:18" ht="15.75" customHeight="1">
      <c r="R831" s="30"/>
    </row>
    <row r="832" spans="18:18" ht="15.75" customHeight="1">
      <c r="R832" s="30"/>
    </row>
    <row r="833" spans="18:18" ht="15.75" customHeight="1">
      <c r="R833" s="30"/>
    </row>
    <row r="834" spans="18:18" ht="15.75" customHeight="1">
      <c r="R834" s="30"/>
    </row>
    <row r="835" spans="18:18" ht="15.75" customHeight="1">
      <c r="R835" s="30"/>
    </row>
    <row r="836" spans="18:18" ht="15.75" customHeight="1">
      <c r="R836" s="30"/>
    </row>
    <row r="837" spans="18:18" ht="15.75" customHeight="1">
      <c r="R837" s="30"/>
    </row>
    <row r="838" spans="18:18" ht="15.75" customHeight="1">
      <c r="R838" s="30"/>
    </row>
    <row r="839" spans="18:18" ht="15.75" customHeight="1">
      <c r="R839" s="30"/>
    </row>
    <row r="840" spans="18:18" ht="15.75" customHeight="1">
      <c r="R840" s="30"/>
    </row>
    <row r="841" spans="18:18" ht="15.75" customHeight="1">
      <c r="R841" s="30"/>
    </row>
    <row r="842" spans="18:18" ht="15.75" customHeight="1">
      <c r="R842" s="30"/>
    </row>
    <row r="843" spans="18:18" ht="15.75" customHeight="1">
      <c r="R843" s="30"/>
    </row>
    <row r="844" spans="18:18" ht="15.75" customHeight="1">
      <c r="R844" s="30"/>
    </row>
    <row r="845" spans="18:18" ht="15.75" customHeight="1">
      <c r="R845" s="30"/>
    </row>
    <row r="846" spans="18:18" ht="15.75" customHeight="1">
      <c r="R846" s="30"/>
    </row>
    <row r="847" spans="18:18" ht="15.75" customHeight="1">
      <c r="R847" s="30"/>
    </row>
    <row r="848" spans="18:18" ht="15.75" customHeight="1">
      <c r="R848" s="30"/>
    </row>
    <row r="849" spans="18:18" ht="15.75" customHeight="1">
      <c r="R849" s="30"/>
    </row>
    <row r="850" spans="18:18" ht="15.75" customHeight="1">
      <c r="R850" s="30"/>
    </row>
    <row r="851" spans="18:18" ht="15.75" customHeight="1">
      <c r="R851" s="30"/>
    </row>
    <row r="852" spans="18:18" ht="15.75" customHeight="1">
      <c r="R852" s="30"/>
    </row>
    <row r="853" spans="18:18" ht="15.75" customHeight="1">
      <c r="R853" s="30"/>
    </row>
    <row r="854" spans="18:18" ht="15.75" customHeight="1">
      <c r="R854" s="30"/>
    </row>
    <row r="855" spans="18:18" ht="15.75" customHeight="1">
      <c r="R855" s="30"/>
    </row>
    <row r="856" spans="18:18" ht="15.75" customHeight="1">
      <c r="R856" s="30"/>
    </row>
    <row r="857" spans="18:18" ht="15.75" customHeight="1">
      <c r="R857" s="30"/>
    </row>
    <row r="858" spans="18:18" ht="15.75" customHeight="1">
      <c r="R858" s="30"/>
    </row>
    <row r="859" spans="18:18" ht="15.75" customHeight="1">
      <c r="R859" s="30"/>
    </row>
    <row r="860" spans="18:18" ht="15.75" customHeight="1">
      <c r="R860" s="30"/>
    </row>
    <row r="861" spans="18:18" ht="15.75" customHeight="1">
      <c r="R861" s="30"/>
    </row>
    <row r="862" spans="18:18" ht="15.75" customHeight="1">
      <c r="R862" s="30"/>
    </row>
    <row r="863" spans="18:18" ht="15.75" customHeight="1">
      <c r="R863" s="30"/>
    </row>
    <row r="864" spans="18:18" ht="15.75" customHeight="1">
      <c r="R864" s="30"/>
    </row>
    <row r="865" spans="18:18" ht="15.75" customHeight="1">
      <c r="R865" s="30"/>
    </row>
    <row r="866" spans="18:18" ht="15.75" customHeight="1">
      <c r="R866" s="30"/>
    </row>
    <row r="867" spans="18:18" ht="15.75" customHeight="1">
      <c r="R867" s="30"/>
    </row>
    <row r="868" spans="18:18" ht="15.75" customHeight="1">
      <c r="R868" s="30"/>
    </row>
    <row r="869" spans="18:18" ht="15.75" customHeight="1">
      <c r="R869" s="30"/>
    </row>
    <row r="870" spans="18:18" ht="15.75" customHeight="1">
      <c r="R870" s="30"/>
    </row>
    <row r="871" spans="18:18" ht="15.75" customHeight="1">
      <c r="R871" s="30"/>
    </row>
    <row r="872" spans="18:18" ht="15.75" customHeight="1">
      <c r="R872" s="30"/>
    </row>
    <row r="873" spans="18:18" ht="15.75" customHeight="1">
      <c r="R873" s="30"/>
    </row>
    <row r="874" spans="18:18" ht="15.75" customHeight="1">
      <c r="R874" s="30"/>
    </row>
    <row r="875" spans="18:18" ht="15.75" customHeight="1">
      <c r="R875" s="30"/>
    </row>
    <row r="876" spans="18:18" ht="15.75" customHeight="1">
      <c r="R876" s="30"/>
    </row>
    <row r="877" spans="18:18" ht="15.75" customHeight="1">
      <c r="R877" s="30"/>
    </row>
    <row r="878" spans="18:18" ht="15.75" customHeight="1">
      <c r="R878" s="30"/>
    </row>
    <row r="879" spans="18:18" ht="15.75" customHeight="1">
      <c r="R879" s="30"/>
    </row>
    <row r="880" spans="18:18" ht="15.75" customHeight="1">
      <c r="R880" s="30"/>
    </row>
    <row r="881" spans="18:18" ht="15.75" customHeight="1">
      <c r="R881" s="30"/>
    </row>
    <row r="882" spans="18:18" ht="15.75" customHeight="1">
      <c r="R882" s="30"/>
    </row>
    <row r="883" spans="18:18" ht="15.75" customHeight="1">
      <c r="R883" s="30"/>
    </row>
    <row r="884" spans="18:18" ht="15.75" customHeight="1">
      <c r="R884" s="30"/>
    </row>
    <row r="885" spans="18:18" ht="15.75" customHeight="1">
      <c r="R885" s="30"/>
    </row>
    <row r="886" spans="18:18" ht="15.75" customHeight="1">
      <c r="R886" s="30"/>
    </row>
    <row r="887" spans="18:18" ht="15.75" customHeight="1">
      <c r="R887" s="30"/>
    </row>
    <row r="888" spans="18:18" ht="15.75" customHeight="1">
      <c r="R888" s="30"/>
    </row>
    <row r="889" spans="18:18" ht="15.75" customHeight="1">
      <c r="R889" s="30"/>
    </row>
    <row r="890" spans="18:18" ht="15.75" customHeight="1">
      <c r="R890" s="30"/>
    </row>
    <row r="891" spans="18:18" ht="15.75" customHeight="1">
      <c r="R891" s="30"/>
    </row>
    <row r="892" spans="18:18" ht="15.75" customHeight="1">
      <c r="R892" s="30"/>
    </row>
    <row r="893" spans="18:18" ht="15.75" customHeight="1">
      <c r="R893" s="30"/>
    </row>
    <row r="894" spans="18:18" ht="15.75" customHeight="1">
      <c r="R894" s="30"/>
    </row>
    <row r="895" spans="18:18" ht="15.75" customHeight="1">
      <c r="R895" s="30"/>
    </row>
    <row r="896" spans="18:18" ht="15.75" customHeight="1">
      <c r="R896" s="30"/>
    </row>
    <row r="897" spans="18:18" ht="15.75" customHeight="1">
      <c r="R897" s="30"/>
    </row>
    <row r="898" spans="18:18" ht="15.75" customHeight="1">
      <c r="R898" s="30"/>
    </row>
    <row r="899" spans="18:18" ht="15.75" customHeight="1">
      <c r="R899" s="30"/>
    </row>
    <row r="900" spans="18:18" ht="15.75" customHeight="1">
      <c r="R900" s="30"/>
    </row>
    <row r="901" spans="18:18" ht="15.75" customHeight="1">
      <c r="R901" s="30"/>
    </row>
    <row r="902" spans="18:18" ht="15.75" customHeight="1">
      <c r="R902" s="30"/>
    </row>
    <row r="903" spans="18:18" ht="15.75" customHeight="1">
      <c r="R903" s="30"/>
    </row>
    <row r="904" spans="18:18" ht="15.75" customHeight="1">
      <c r="R904" s="30"/>
    </row>
    <row r="905" spans="18:18" ht="15.75" customHeight="1">
      <c r="R905" s="30"/>
    </row>
    <row r="906" spans="18:18" ht="15.75" customHeight="1">
      <c r="R906" s="30"/>
    </row>
    <row r="907" spans="18:18" ht="15.75" customHeight="1">
      <c r="R907" s="30"/>
    </row>
    <row r="908" spans="18:18" ht="15.75" customHeight="1">
      <c r="R908" s="30"/>
    </row>
    <row r="909" spans="18:18" ht="15.75" customHeight="1">
      <c r="R909" s="30"/>
    </row>
    <row r="910" spans="18:18" ht="15.75" customHeight="1">
      <c r="R910" s="30"/>
    </row>
    <row r="911" spans="18:18" ht="15.75" customHeight="1">
      <c r="R911" s="30"/>
    </row>
    <row r="912" spans="18:18" ht="15.75" customHeight="1">
      <c r="R912" s="30"/>
    </row>
    <row r="913" spans="18:18" ht="15.75" customHeight="1">
      <c r="R913" s="30"/>
    </row>
    <row r="914" spans="18:18" ht="15.75" customHeight="1">
      <c r="R914" s="30"/>
    </row>
    <row r="915" spans="18:18" ht="15.75" customHeight="1">
      <c r="R915" s="30"/>
    </row>
    <row r="916" spans="18:18" ht="15.75" customHeight="1">
      <c r="R916" s="30"/>
    </row>
    <row r="917" spans="18:18" ht="15.75" customHeight="1">
      <c r="R917" s="30"/>
    </row>
    <row r="918" spans="18:18" ht="15.75" customHeight="1">
      <c r="R918" s="30"/>
    </row>
    <row r="919" spans="18:18" ht="15.75" customHeight="1">
      <c r="R919" s="30"/>
    </row>
    <row r="920" spans="18:18" ht="15.75" customHeight="1">
      <c r="R920" s="30"/>
    </row>
    <row r="921" spans="18:18" ht="15.75" customHeight="1">
      <c r="R921" s="30"/>
    </row>
    <row r="922" spans="18:18" ht="15.75" customHeight="1">
      <c r="R922" s="30"/>
    </row>
    <row r="923" spans="18:18" ht="15.75" customHeight="1">
      <c r="R923" s="30"/>
    </row>
    <row r="924" spans="18:18" ht="15.75" customHeight="1">
      <c r="R924" s="30"/>
    </row>
    <row r="925" spans="18:18" ht="15.75" customHeight="1">
      <c r="R925" s="30"/>
    </row>
    <row r="926" spans="18:18" ht="15.75" customHeight="1">
      <c r="R926" s="30"/>
    </row>
    <row r="927" spans="18:18" ht="15.75" customHeight="1">
      <c r="R927" s="30"/>
    </row>
    <row r="928" spans="18:18" ht="15.75" customHeight="1">
      <c r="R928" s="30"/>
    </row>
    <row r="929" spans="18:18" ht="15.75" customHeight="1">
      <c r="R929" s="30"/>
    </row>
    <row r="930" spans="18:18" ht="15.75" customHeight="1">
      <c r="R930" s="30"/>
    </row>
    <row r="931" spans="18:18" ht="15.75" customHeight="1">
      <c r="R931" s="30"/>
    </row>
    <row r="932" spans="18:18" ht="15.75" customHeight="1">
      <c r="R932" s="30"/>
    </row>
    <row r="933" spans="18:18" ht="15.75" customHeight="1">
      <c r="R933" s="30"/>
    </row>
    <row r="934" spans="18:18" ht="15.75" customHeight="1">
      <c r="R934" s="30"/>
    </row>
    <row r="935" spans="18:18" ht="15.75" customHeight="1">
      <c r="R935" s="30"/>
    </row>
    <row r="936" spans="18:18" ht="15.75" customHeight="1">
      <c r="R936" s="30"/>
    </row>
    <row r="937" spans="18:18" ht="15.75" customHeight="1">
      <c r="R937" s="30"/>
    </row>
    <row r="938" spans="18:18" ht="15.75" customHeight="1">
      <c r="R938" s="30"/>
    </row>
    <row r="939" spans="18:18" ht="15.75" customHeight="1">
      <c r="R939" s="30"/>
    </row>
    <row r="940" spans="18:18" ht="15.75" customHeight="1">
      <c r="R940" s="30"/>
    </row>
    <row r="941" spans="18:18" ht="15.75" customHeight="1">
      <c r="R941" s="30"/>
    </row>
    <row r="942" spans="18:18" ht="15.75" customHeight="1">
      <c r="R942" s="30"/>
    </row>
    <row r="943" spans="18:18" ht="15.75" customHeight="1">
      <c r="R943" s="30"/>
    </row>
    <row r="944" spans="18:18" ht="15.75" customHeight="1">
      <c r="R944" s="30"/>
    </row>
    <row r="945" spans="18:18" ht="15.75" customHeight="1">
      <c r="R945" s="30"/>
    </row>
    <row r="946" spans="18:18" ht="15.75" customHeight="1">
      <c r="R946" s="30"/>
    </row>
    <row r="947" spans="18:18" ht="15.75" customHeight="1">
      <c r="R947" s="30"/>
    </row>
    <row r="948" spans="18:18" ht="15.75" customHeight="1">
      <c r="R948" s="30"/>
    </row>
    <row r="949" spans="18:18" ht="15.75" customHeight="1">
      <c r="R949" s="30"/>
    </row>
    <row r="950" spans="18:18" ht="15.75" customHeight="1">
      <c r="R950" s="30"/>
    </row>
    <row r="951" spans="18:18" ht="15.75" customHeight="1">
      <c r="R951" s="30"/>
    </row>
    <row r="952" spans="18:18" ht="15.75" customHeight="1">
      <c r="R952" s="30"/>
    </row>
    <row r="953" spans="18:18" ht="15.75" customHeight="1">
      <c r="R953" s="30"/>
    </row>
    <row r="954" spans="18:18" ht="15.75" customHeight="1">
      <c r="R954" s="30"/>
    </row>
    <row r="955" spans="18:18" ht="15.75" customHeight="1">
      <c r="R955" s="30"/>
    </row>
    <row r="956" spans="18:18" ht="15.75" customHeight="1">
      <c r="R956" s="30"/>
    </row>
    <row r="957" spans="18:18" ht="15.75" customHeight="1">
      <c r="R957" s="30"/>
    </row>
    <row r="958" spans="18:18" ht="15.75" customHeight="1">
      <c r="R958" s="30"/>
    </row>
    <row r="959" spans="18:18" ht="15.75" customHeight="1">
      <c r="R959" s="30"/>
    </row>
    <row r="960" spans="18:18" ht="15.75" customHeight="1">
      <c r="R960" s="30"/>
    </row>
    <row r="961" spans="18:18" ht="15.75" customHeight="1">
      <c r="R961" s="30"/>
    </row>
    <row r="962" spans="18:18" ht="15.75" customHeight="1">
      <c r="R962" s="30"/>
    </row>
    <row r="963" spans="18:18" ht="15.75" customHeight="1">
      <c r="R963" s="30"/>
    </row>
    <row r="964" spans="18:18" ht="15.75" customHeight="1">
      <c r="R964" s="30"/>
    </row>
    <row r="965" spans="18:18" ht="15.75" customHeight="1">
      <c r="R965" s="30"/>
    </row>
    <row r="966" spans="18:18" ht="15.75" customHeight="1">
      <c r="R966" s="30"/>
    </row>
    <row r="967" spans="18:18" ht="15.75" customHeight="1">
      <c r="R967" s="30"/>
    </row>
    <row r="968" spans="18:18" ht="15.75" customHeight="1">
      <c r="R968" s="30"/>
    </row>
    <row r="969" spans="18:18" ht="15.75" customHeight="1">
      <c r="R969" s="30"/>
    </row>
    <row r="970" spans="18:18" ht="15.75" customHeight="1">
      <c r="R970" s="30"/>
    </row>
    <row r="971" spans="18:18" ht="15.75" customHeight="1">
      <c r="R971" s="30"/>
    </row>
    <row r="972" spans="18:18" ht="15.75" customHeight="1">
      <c r="R972" s="30"/>
    </row>
    <row r="973" spans="18:18" ht="15.75" customHeight="1">
      <c r="R973" s="30"/>
    </row>
    <row r="974" spans="18:18" ht="15.75" customHeight="1">
      <c r="R974" s="30"/>
    </row>
    <row r="975" spans="18:18" ht="15.75" customHeight="1">
      <c r="R975" s="30"/>
    </row>
    <row r="976" spans="18:18" ht="15.75" customHeight="1">
      <c r="R976" s="30"/>
    </row>
    <row r="977" spans="18:18" ht="15.75" customHeight="1">
      <c r="R977" s="30"/>
    </row>
    <row r="978" spans="18:18" ht="15.75" customHeight="1">
      <c r="R978" s="30"/>
    </row>
    <row r="979" spans="18:18" ht="15.75" customHeight="1">
      <c r="R979" s="30"/>
    </row>
    <row r="980" spans="18:18" ht="15.75" customHeight="1">
      <c r="R980" s="30"/>
    </row>
    <row r="981" spans="18:18" ht="15.75" customHeight="1">
      <c r="R981" s="30"/>
    </row>
    <row r="982" spans="18:18" ht="15.75" customHeight="1">
      <c r="R982" s="30"/>
    </row>
    <row r="983" spans="18:18" ht="15.75" customHeight="1">
      <c r="R983" s="30"/>
    </row>
    <row r="984" spans="18:18" ht="15.75" customHeight="1">
      <c r="R984" s="30"/>
    </row>
    <row r="985" spans="18:18" ht="15.75" customHeight="1">
      <c r="R985" s="30"/>
    </row>
    <row r="986" spans="18:18" ht="15.75" customHeight="1">
      <c r="R986" s="30"/>
    </row>
    <row r="987" spans="18:18" ht="15.75" customHeight="1">
      <c r="R987" s="30"/>
    </row>
    <row r="988" spans="18:18" ht="15.75" customHeight="1">
      <c r="R988" s="30"/>
    </row>
    <row r="989" spans="18:18" ht="15.75" customHeight="1">
      <c r="R989" s="30"/>
    </row>
    <row r="990" spans="18:18" ht="15.75" customHeight="1">
      <c r="R990" s="30"/>
    </row>
    <row r="991" spans="18:18" ht="15.75" customHeight="1">
      <c r="R991" s="30"/>
    </row>
    <row r="992" spans="18:18" ht="15.75" customHeight="1">
      <c r="R992" s="30"/>
    </row>
    <row r="993" spans="18:18" ht="15.75" customHeight="1">
      <c r="R993" s="30"/>
    </row>
    <row r="994" spans="18:18" ht="15.75" customHeight="1">
      <c r="R994" s="30"/>
    </row>
    <row r="995" spans="18:18" ht="15.75" customHeight="1">
      <c r="R995" s="30"/>
    </row>
    <row r="996" spans="18:18" ht="15.75" customHeight="1">
      <c r="R996" s="30"/>
    </row>
    <row r="997" spans="18:18" ht="15.75" customHeight="1">
      <c r="R997" s="30"/>
    </row>
    <row r="998" spans="18:18" ht="15.75" customHeight="1">
      <c r="R998" s="30"/>
    </row>
    <row r="999" spans="18:18" ht="15.75" customHeight="1">
      <c r="R999" s="30"/>
    </row>
    <row r="1000" spans="18:18" ht="15.75" customHeight="1">
      <c r="R1000" s="3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2.6640625" defaultRowHeight="15" customHeight="1"/>
  <cols>
    <col min="1" max="1" width="13.33203125" customWidth="1"/>
    <col min="2" max="2" width="25.1640625" customWidth="1"/>
    <col min="3" max="3" width="8" customWidth="1"/>
    <col min="4" max="4" width="5.6640625" customWidth="1"/>
    <col min="5" max="5" width="8.6640625" customWidth="1"/>
    <col min="6" max="6" width="9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16.33203125" customWidth="1"/>
    <col min="16" max="16" width="10" customWidth="1"/>
    <col min="17" max="18" width="7.33203125" customWidth="1"/>
    <col min="19" max="19" width="7.1640625" customWidth="1"/>
    <col min="20" max="20" width="11.1640625" customWidth="1"/>
    <col min="21" max="21" width="25.1640625" customWidth="1"/>
    <col min="22" max="22" width="68.164062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6640625" customWidth="1"/>
    <col min="32" max="32" width="10.1640625" customWidth="1"/>
    <col min="33" max="33" width="8.83203125" customWidth="1"/>
  </cols>
  <sheetData>
    <row r="1" spans="1:33" ht="18.75" customHeight="1">
      <c r="A1" s="46" t="str">
        <f ca="1">IFERROR(__xludf.DUMMYFUNCTION("IFERROR(VLOOKUP(B2,IMPORTRANGE(""https://docs.google.com/spreadsheets/d/1x0DhHglkXKoEBOD2MBsuK_EyIr1ouxD2ftIpqOYFa-k/edit?usp=sharing"",""Ubiquitty-SKU-Specific Info!B1:BJ5000""),3,FALSE),"""")"),"25 Ft Black Oil Resistant Extension Cord for Farms and Ranches - 12/3 SJTOW Heavy Duty Outdoor Cable with 3 Prong Grounded Plug for Safety")</f>
        <v>25 Ft Black Oil Resistant Extension Cord for Farms and Ranches - 12/3 SJTOW Heavy Duty Outdoor Cable with 3 Prong Grounded Plug for Safety</v>
      </c>
      <c r="B1" s="47"/>
      <c r="C1" s="48" t="s">
        <v>0</v>
      </c>
      <c r="D1" s="50" t="s">
        <v>1</v>
      </c>
      <c r="E1" s="50" t="s">
        <v>2</v>
      </c>
      <c r="F1" s="52" t="s">
        <v>3</v>
      </c>
      <c r="G1" s="52" t="s">
        <v>4</v>
      </c>
      <c r="H1" s="53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58" t="s">
        <v>10</v>
      </c>
      <c r="N1" s="59" t="s">
        <v>11</v>
      </c>
      <c r="O1" s="50" t="s">
        <v>12</v>
      </c>
      <c r="P1" s="50" t="s">
        <v>13</v>
      </c>
      <c r="Q1" s="57" t="s">
        <v>14</v>
      </c>
      <c r="R1" s="57" t="s">
        <v>15</v>
      </c>
      <c r="S1" s="60" t="s">
        <v>16</v>
      </c>
      <c r="T1" s="62" t="s">
        <v>2006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Info!B1:BJ5000""),2,FALSE),"""")"),"B081HBPK3M")</f>
        <v>B081HBPK3M</v>
      </c>
      <c r="B2" s="3" t="s">
        <v>726</v>
      </c>
      <c r="C2" s="49"/>
      <c r="D2" s="49"/>
      <c r="E2" s="51"/>
      <c r="F2" s="49"/>
      <c r="G2" s="49"/>
      <c r="H2" s="54"/>
      <c r="I2" s="49"/>
      <c r="J2" s="49"/>
      <c r="K2" s="54"/>
      <c r="L2" s="54"/>
      <c r="M2" s="54"/>
      <c r="N2" s="49"/>
      <c r="O2" s="49"/>
      <c r="P2" s="51"/>
      <c r="Q2" s="49"/>
      <c r="R2" s="49"/>
      <c r="S2" s="61"/>
      <c r="T2" s="47"/>
      <c r="U2" s="63"/>
      <c r="V2" s="63"/>
      <c r="W2" s="47"/>
      <c r="X2" s="47"/>
      <c r="Y2" s="47"/>
      <c r="Z2" s="47"/>
      <c r="AA2" s="63"/>
      <c r="AB2" s="63"/>
      <c r="AC2" s="63"/>
      <c r="AD2" s="63"/>
      <c r="AE2" s="47"/>
      <c r="AF2" s="47"/>
      <c r="AG2" s="47"/>
    </row>
    <row r="3" spans="1:33" ht="164.25" customHeight="1">
      <c r="A3" s="55" t="s">
        <v>31</v>
      </c>
      <c r="B3" s="56"/>
      <c r="C3" s="4">
        <f>((AE32+AF32)/0.85)*-1</f>
        <v>21.094215752941178</v>
      </c>
      <c r="D3" s="5">
        <f>SUM(D4:D99765)</f>
        <v>703</v>
      </c>
      <c r="E3" s="5"/>
      <c r="F3" s="6">
        <f t="shared" ref="F3:G3" si="0">SUM(F4:F99765)</f>
        <v>23701.329999999998</v>
      </c>
      <c r="G3" s="6">
        <f t="shared" si="0"/>
        <v>-0.21999999999999997</v>
      </c>
      <c r="H3" s="7">
        <f t="shared" ref="H3:H32" si="1">G3/F3*-1</f>
        <v>9.2821795232588213E-6</v>
      </c>
      <c r="I3" s="8">
        <f t="shared" ref="I3:I32" si="2">J3/F3</f>
        <v>0.37391170913932292</v>
      </c>
      <c r="J3" s="6">
        <f>SUM(J4:J99765)</f>
        <v>8862.2048091751076</v>
      </c>
      <c r="K3" s="6">
        <f t="shared" ref="K3:K32" si="3">J3/D3</f>
        <v>12.60626573140129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Sheet!a1:g5000""),2,FALSE),"""")"),"5.5 - March
6 - April
6 - May
6 - June
6 - July
6 - Aug
6 - Sept
6 - Oct
6 - Nov
6 - Dec
2 - Jan
4.5 - Feb")</f>
        <v>5.5 - March
6 - April
6 - May
6 - June
6 - July
6 - Aug
6 - Sept
6 - Oct
6 - Nov
6 - Dec
2 - Jan
4.5 -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QTY-0")</f>
        <v>US QTY-0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0</v>
      </c>
      <c r="X3" s="7">
        <f>W3/D3</f>
        <v>0</v>
      </c>
      <c r="Y3" s="6"/>
      <c r="Z3" s="5"/>
      <c r="AA3" s="5"/>
      <c r="AB3" s="5"/>
      <c r="AC3" s="5"/>
      <c r="AD3" s="6">
        <f>SUM(AD4:AD99765)</f>
        <v>-93.618621622328433</v>
      </c>
      <c r="AE3" s="6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Info!B2:BZ3000""),37,FALSE)),"""")*-1"),-11.95008339)</f>
        <v>-11.95008339</v>
      </c>
      <c r="AG3" s="6">
        <f>SUM(AG4:AG99765)</f>
        <v>0</v>
      </c>
    </row>
    <row r="4" spans="1:33" ht="15.75" customHeight="1">
      <c r="A4" s="14" t="s">
        <v>181</v>
      </c>
      <c r="B4" s="14" t="s">
        <v>727</v>
      </c>
      <c r="C4" s="15">
        <f t="shared" ref="C4:C32" si="4">IFERROR(F4/D4," - ")</f>
        <v>58.99</v>
      </c>
      <c r="D4" s="16">
        <v>1</v>
      </c>
      <c r="E4" s="16">
        <v>0</v>
      </c>
      <c r="F4" s="17">
        <v>58.99</v>
      </c>
      <c r="G4" s="17">
        <v>0</v>
      </c>
      <c r="H4" s="18">
        <f t="shared" si="1"/>
        <v>0</v>
      </c>
      <c r="I4" s="18">
        <f t="shared" si="2"/>
        <v>0.60493880563198454</v>
      </c>
      <c r="J4" s="17">
        <f t="shared" ref="J4:J32" si="5">F4*0.85+G4+AF4*D4+D4*AE4+AG4+AD4</f>
        <v>35.685340144230771</v>
      </c>
      <c r="K4" s="17">
        <f t="shared" si="3"/>
        <v>35.685340144230771</v>
      </c>
      <c r="L4" s="16">
        <v>15</v>
      </c>
      <c r="M4" s="19">
        <f t="shared" ref="M4:M32" si="6">IFERROR(D4/L4,"-")</f>
        <v>6.6666666666666666E-2</v>
      </c>
      <c r="N4" s="16">
        <v>191</v>
      </c>
      <c r="O4" s="20">
        <f t="shared" ref="O4:P4" si="7">D4/7</f>
        <v>0.14285714285714285</v>
      </c>
      <c r="P4" s="20">
        <f t="shared" si="7"/>
        <v>0</v>
      </c>
      <c r="Q4" s="16">
        <f t="shared" ref="Q4:Q32" si="8">ROUNDDOWN(N4/(O4+P4),0)</f>
        <v>1337</v>
      </c>
      <c r="R4" s="16"/>
      <c r="S4" s="21">
        <v>0.77821011673151697</v>
      </c>
      <c r="T4" s="14">
        <v>102</v>
      </c>
      <c r="U4" s="22" t="s">
        <v>34</v>
      </c>
      <c r="V4" s="23" t="s">
        <v>34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26" t="s">
        <v>35</v>
      </c>
      <c r="AB4" s="27">
        <f t="shared" ref="AB4:AB32" si="11">IF(OR(AA4="UsLargeStandardSize",AA4="UsSmallStandardSize"),-0.69,-0.48)</f>
        <v>-0.69</v>
      </c>
      <c r="AC4" s="28">
        <v>9.6498842592592587E-2</v>
      </c>
      <c r="AD4" s="25">
        <f t="shared" ref="AD4:AD32" si="12">IFERROR(AB4*AC4*D4*2,0)</f>
        <v>-0.13316840277777775</v>
      </c>
      <c r="AE4" s="25">
        <v>-5.8</v>
      </c>
      <c r="AF4" s="25">
        <v>-8.5229914529914534</v>
      </c>
      <c r="AG4" s="25">
        <v>0</v>
      </c>
    </row>
    <row r="5" spans="1:33" ht="15.75" customHeight="1">
      <c r="A5" s="14" t="s">
        <v>183</v>
      </c>
      <c r="B5" s="14" t="s">
        <v>68</v>
      </c>
      <c r="C5" s="15">
        <f t="shared" si="4"/>
        <v>36.456249999999997</v>
      </c>
      <c r="D5" s="16">
        <v>8</v>
      </c>
      <c r="E5" s="16">
        <v>0</v>
      </c>
      <c r="F5" s="29">
        <v>291.64999999999998</v>
      </c>
      <c r="G5" s="29">
        <v>0</v>
      </c>
      <c r="H5" s="18">
        <f t="shared" si="1"/>
        <v>0</v>
      </c>
      <c r="I5" s="18">
        <f t="shared" si="2"/>
        <v>0.45346129499158394</v>
      </c>
      <c r="J5" s="17">
        <f t="shared" si="5"/>
        <v>132.25198668429545</v>
      </c>
      <c r="K5" s="17">
        <f t="shared" si="3"/>
        <v>16.531498335536931</v>
      </c>
      <c r="L5" s="16">
        <v>24</v>
      </c>
      <c r="M5" s="19">
        <f t="shared" si="6"/>
        <v>0.33333333333333331</v>
      </c>
      <c r="N5" s="16">
        <v>155</v>
      </c>
      <c r="O5" s="20">
        <f t="shared" ref="O5:P5" si="13">D5/7</f>
        <v>1.1428571428571428</v>
      </c>
      <c r="P5" s="20">
        <f t="shared" si="13"/>
        <v>0</v>
      </c>
      <c r="Q5" s="16">
        <f t="shared" si="8"/>
        <v>135</v>
      </c>
      <c r="R5" s="16"/>
      <c r="S5" s="21">
        <v>0.76923076923076905</v>
      </c>
      <c r="T5" s="14">
        <v>102</v>
      </c>
      <c r="U5" s="22" t="s">
        <v>34</v>
      </c>
      <c r="V5" s="23" t="s">
        <v>34</v>
      </c>
      <c r="W5" s="14">
        <v>0</v>
      </c>
      <c r="X5" s="24">
        <f t="shared" si="9"/>
        <v>0</v>
      </c>
      <c r="Y5" s="25">
        <f t="shared" si="10"/>
        <v>0</v>
      </c>
      <c r="Z5" s="14">
        <v>0</v>
      </c>
      <c r="AA5" s="14" t="s">
        <v>35</v>
      </c>
      <c r="AB5" s="27">
        <f t="shared" si="11"/>
        <v>-0.69</v>
      </c>
      <c r="AC5" s="28">
        <v>9.6610660486674396E-2</v>
      </c>
      <c r="AD5" s="25">
        <f t="shared" si="12"/>
        <v>-1.0665816917728852</v>
      </c>
      <c r="AE5" s="25">
        <v>-5.8</v>
      </c>
      <c r="AF5" s="25">
        <v>-8.5229914529914534</v>
      </c>
      <c r="AG5" s="25">
        <v>0</v>
      </c>
    </row>
    <row r="6" spans="1:33" ht="15.75" customHeight="1">
      <c r="A6" s="14" t="s">
        <v>185</v>
      </c>
      <c r="B6" s="14" t="s">
        <v>728</v>
      </c>
      <c r="C6" s="15">
        <f t="shared" si="4"/>
        <v>31.951666666666668</v>
      </c>
      <c r="D6" s="16">
        <v>24</v>
      </c>
      <c r="E6" s="16">
        <v>0</v>
      </c>
      <c r="F6" s="29">
        <v>766.84</v>
      </c>
      <c r="G6" s="29">
        <v>0</v>
      </c>
      <c r="H6" s="18">
        <f t="shared" si="1"/>
        <v>0</v>
      </c>
      <c r="I6" s="18">
        <f t="shared" si="2"/>
        <v>0.3975616340586543</v>
      </c>
      <c r="J6" s="17">
        <f t="shared" si="5"/>
        <v>304.86616346153846</v>
      </c>
      <c r="K6" s="17">
        <f t="shared" si="3"/>
        <v>12.702756810897435</v>
      </c>
      <c r="L6" s="16">
        <v>38</v>
      </c>
      <c r="M6" s="19">
        <f t="shared" si="6"/>
        <v>0.63157894736842102</v>
      </c>
      <c r="N6" s="16">
        <v>158</v>
      </c>
      <c r="O6" s="20">
        <f t="shared" ref="O6:P6" si="14">D6/7</f>
        <v>3.4285714285714284</v>
      </c>
      <c r="P6" s="20">
        <f t="shared" si="14"/>
        <v>0</v>
      </c>
      <c r="Q6" s="16">
        <f t="shared" si="8"/>
        <v>46</v>
      </c>
      <c r="R6" s="16"/>
      <c r="S6" s="21">
        <v>0.69189189189189104</v>
      </c>
      <c r="T6" s="14">
        <v>144</v>
      </c>
      <c r="U6" s="22">
        <v>42</v>
      </c>
      <c r="V6" s="23" t="s">
        <v>729</v>
      </c>
      <c r="W6" s="14">
        <v>0</v>
      </c>
      <c r="X6" s="24">
        <f t="shared" si="9"/>
        <v>0</v>
      </c>
      <c r="Y6" s="25">
        <f t="shared" si="10"/>
        <v>0</v>
      </c>
      <c r="Z6" s="14">
        <v>0</v>
      </c>
      <c r="AA6" s="14" t="s">
        <v>35</v>
      </c>
      <c r="AB6" s="27">
        <f t="shared" si="11"/>
        <v>-0.69</v>
      </c>
      <c r="AC6" s="28">
        <v>9.6498842592592587E-2</v>
      </c>
      <c r="AD6" s="25">
        <f t="shared" si="12"/>
        <v>-3.196041666666666</v>
      </c>
      <c r="AE6" s="25">
        <v>-5.8</v>
      </c>
      <c r="AF6" s="25">
        <v>-8.5229914529914534</v>
      </c>
      <c r="AG6" s="25">
        <v>0</v>
      </c>
    </row>
    <row r="7" spans="1:33" ht="15.75" customHeight="1">
      <c r="A7" s="14" t="s">
        <v>187</v>
      </c>
      <c r="B7" s="14" t="s">
        <v>68</v>
      </c>
      <c r="C7" s="15">
        <f t="shared" si="4"/>
        <v>32.326086956521728</v>
      </c>
      <c r="D7" s="16">
        <v>46</v>
      </c>
      <c r="E7" s="16">
        <v>0</v>
      </c>
      <c r="F7" s="29">
        <v>1486.9999999999995</v>
      </c>
      <c r="G7" s="29">
        <v>0</v>
      </c>
      <c r="H7" s="18">
        <f t="shared" si="1"/>
        <v>0</v>
      </c>
      <c r="I7" s="18">
        <f t="shared" si="2"/>
        <v>0.4028020488464123</v>
      </c>
      <c r="J7" s="17">
        <f t="shared" si="5"/>
        <v>598.9666466346149</v>
      </c>
      <c r="K7" s="17">
        <f t="shared" si="3"/>
        <v>13.021014057274238</v>
      </c>
      <c r="L7" s="16">
        <v>52</v>
      </c>
      <c r="M7" s="19">
        <f t="shared" si="6"/>
        <v>0.88461538461538458</v>
      </c>
      <c r="N7" s="16">
        <v>119</v>
      </c>
      <c r="O7" s="20">
        <f t="shared" ref="O7:P7" si="15">D7/7</f>
        <v>6.5714285714285712</v>
      </c>
      <c r="P7" s="20">
        <f t="shared" si="15"/>
        <v>0</v>
      </c>
      <c r="Q7" s="16">
        <f t="shared" si="8"/>
        <v>18</v>
      </c>
      <c r="R7" s="16"/>
      <c r="S7" s="21">
        <v>0.90909090909090895</v>
      </c>
      <c r="T7" s="14">
        <v>144</v>
      </c>
      <c r="U7" s="22">
        <v>42</v>
      </c>
      <c r="V7" s="23" t="s">
        <v>730</v>
      </c>
      <c r="W7" s="14">
        <v>0</v>
      </c>
      <c r="X7" s="24">
        <f t="shared" si="9"/>
        <v>0</v>
      </c>
      <c r="Y7" s="25">
        <f t="shared" si="10"/>
        <v>0</v>
      </c>
      <c r="Z7" s="14">
        <v>0</v>
      </c>
      <c r="AA7" s="14" t="s">
        <v>35</v>
      </c>
      <c r="AB7" s="27">
        <f t="shared" si="11"/>
        <v>-0.69</v>
      </c>
      <c r="AC7" s="28">
        <v>9.6498842592592587E-2</v>
      </c>
      <c r="AD7" s="25">
        <f t="shared" si="12"/>
        <v>-6.1257465277777765</v>
      </c>
      <c r="AE7" s="25">
        <v>-5.8</v>
      </c>
      <c r="AF7" s="25">
        <v>-8.5229914529914534</v>
      </c>
      <c r="AG7" s="25">
        <v>0</v>
      </c>
    </row>
    <row r="8" spans="1:33" ht="15.75" customHeight="1">
      <c r="A8" s="14" t="s">
        <v>189</v>
      </c>
      <c r="B8" s="14" t="s">
        <v>68</v>
      </c>
      <c r="C8" s="15">
        <f t="shared" si="4"/>
        <v>33.054347826086953</v>
      </c>
      <c r="D8" s="16">
        <v>23</v>
      </c>
      <c r="E8" s="16">
        <v>0</v>
      </c>
      <c r="F8" s="29">
        <v>760.25</v>
      </c>
      <c r="G8" s="29">
        <v>0</v>
      </c>
      <c r="H8" s="18">
        <f t="shared" si="1"/>
        <v>0</v>
      </c>
      <c r="I8" s="18">
        <f t="shared" si="2"/>
        <v>0.41274531632503925</v>
      </c>
      <c r="J8" s="17">
        <f t="shared" si="5"/>
        <v>313.78962673611107</v>
      </c>
      <c r="K8" s="17">
        <f t="shared" si="3"/>
        <v>13.643027249396134</v>
      </c>
      <c r="L8" s="16">
        <v>32</v>
      </c>
      <c r="M8" s="19">
        <f t="shared" si="6"/>
        <v>0.71875</v>
      </c>
      <c r="N8" s="16">
        <v>95</v>
      </c>
      <c r="O8" s="20">
        <f t="shared" ref="O8:P8" si="16">D8/7</f>
        <v>3.2857142857142856</v>
      </c>
      <c r="P8" s="20">
        <f t="shared" si="16"/>
        <v>0</v>
      </c>
      <c r="Q8" s="16">
        <f t="shared" si="8"/>
        <v>28</v>
      </c>
      <c r="R8" s="16"/>
      <c r="S8" s="21">
        <v>1.33770491803278</v>
      </c>
      <c r="T8" s="14">
        <v>204</v>
      </c>
      <c r="U8" s="22">
        <v>42</v>
      </c>
      <c r="V8" s="23" t="s">
        <v>731</v>
      </c>
      <c r="W8" s="14">
        <v>0</v>
      </c>
      <c r="X8" s="24">
        <f t="shared" si="9"/>
        <v>0</v>
      </c>
      <c r="Y8" s="25">
        <f t="shared" si="10"/>
        <v>0</v>
      </c>
      <c r="Z8" s="14">
        <v>0</v>
      </c>
      <c r="AA8" s="14" t="s">
        <v>35</v>
      </c>
      <c r="AB8" s="27">
        <f t="shared" si="11"/>
        <v>-0.69</v>
      </c>
      <c r="AC8" s="28">
        <v>9.6498842592592587E-2</v>
      </c>
      <c r="AD8" s="25">
        <f t="shared" si="12"/>
        <v>-3.0628732638888883</v>
      </c>
      <c r="AE8" s="25">
        <v>-5.8</v>
      </c>
      <c r="AF8" s="25">
        <v>-8.52</v>
      </c>
      <c r="AG8" s="25">
        <v>0</v>
      </c>
    </row>
    <row r="9" spans="1:33" ht="15.75" customHeight="1">
      <c r="A9" s="14" t="s">
        <v>191</v>
      </c>
      <c r="B9" s="14" t="s">
        <v>68</v>
      </c>
      <c r="C9" s="15">
        <f t="shared" si="4"/>
        <v>32.743750000000006</v>
      </c>
      <c r="D9" s="16">
        <v>24</v>
      </c>
      <c r="E9" s="16">
        <v>0</v>
      </c>
      <c r="F9" s="29">
        <v>785.85000000000014</v>
      </c>
      <c r="G9" s="29">
        <v>0</v>
      </c>
      <c r="H9" s="18">
        <f t="shared" si="1"/>
        <v>0</v>
      </c>
      <c r="I9" s="18">
        <f t="shared" si="2"/>
        <v>0.40349717274941582</v>
      </c>
      <c r="J9" s="17">
        <f t="shared" si="5"/>
        <v>317.08825320512847</v>
      </c>
      <c r="K9" s="17">
        <f t="shared" si="3"/>
        <v>13.212010550213686</v>
      </c>
      <c r="L9" s="16">
        <v>53</v>
      </c>
      <c r="M9" s="19">
        <f t="shared" si="6"/>
        <v>0.45283018867924529</v>
      </c>
      <c r="N9" s="16">
        <v>72</v>
      </c>
      <c r="O9" s="20">
        <f t="shared" ref="O9:P9" si="17">D9/7</f>
        <v>3.4285714285714284</v>
      </c>
      <c r="P9" s="20">
        <f t="shared" si="17"/>
        <v>0</v>
      </c>
      <c r="Q9" s="16">
        <f t="shared" si="8"/>
        <v>21</v>
      </c>
      <c r="R9" s="16"/>
      <c r="S9" s="21">
        <v>1.7122302158273299</v>
      </c>
      <c r="T9" s="14">
        <v>204</v>
      </c>
      <c r="U9" s="22">
        <v>42</v>
      </c>
      <c r="V9" s="23" t="s">
        <v>732</v>
      </c>
      <c r="W9" s="14">
        <v>0</v>
      </c>
      <c r="X9" s="24">
        <f t="shared" si="9"/>
        <v>0</v>
      </c>
      <c r="Y9" s="25">
        <f t="shared" si="10"/>
        <v>0</v>
      </c>
      <c r="Z9" s="14">
        <v>0</v>
      </c>
      <c r="AA9" s="14" t="s">
        <v>35</v>
      </c>
      <c r="AB9" s="27">
        <f t="shared" si="11"/>
        <v>-0.69</v>
      </c>
      <c r="AC9" s="28">
        <v>9.6498842592592587E-2</v>
      </c>
      <c r="AD9" s="25">
        <f t="shared" si="12"/>
        <v>-3.196041666666666</v>
      </c>
      <c r="AE9" s="25">
        <v>-5.8</v>
      </c>
      <c r="AF9" s="25">
        <v>-8.6870085470085403</v>
      </c>
      <c r="AG9" s="25">
        <v>0</v>
      </c>
    </row>
    <row r="10" spans="1:33" ht="15.75" customHeight="1">
      <c r="A10" s="14" t="s">
        <v>192</v>
      </c>
      <c r="B10" s="14" t="s">
        <v>733</v>
      </c>
      <c r="C10" s="15">
        <f t="shared" si="4"/>
        <v>35.026857142857139</v>
      </c>
      <c r="D10" s="16">
        <v>35</v>
      </c>
      <c r="E10" s="16">
        <v>0</v>
      </c>
      <c r="F10" s="29">
        <v>1225.9399999999998</v>
      </c>
      <c r="G10" s="29">
        <v>0</v>
      </c>
      <c r="H10" s="18">
        <f t="shared" si="1"/>
        <v>0</v>
      </c>
      <c r="I10" s="18">
        <f t="shared" si="2"/>
        <v>0.43260094846197911</v>
      </c>
      <c r="J10" s="17">
        <f t="shared" si="5"/>
        <v>530.34280675747857</v>
      </c>
      <c r="K10" s="17">
        <f t="shared" si="3"/>
        <v>15.152651621642244</v>
      </c>
      <c r="L10" s="16">
        <v>41</v>
      </c>
      <c r="M10" s="19">
        <f t="shared" si="6"/>
        <v>0.85365853658536583</v>
      </c>
      <c r="N10" s="16">
        <v>38</v>
      </c>
      <c r="O10" s="20">
        <f t="shared" ref="O10:P10" si="18">D10/7</f>
        <v>5</v>
      </c>
      <c r="P10" s="20">
        <f t="shared" si="18"/>
        <v>0</v>
      </c>
      <c r="Q10" s="16">
        <f t="shared" si="8"/>
        <v>7</v>
      </c>
      <c r="R10" s="16"/>
      <c r="S10" s="21">
        <v>3</v>
      </c>
      <c r="T10" s="14">
        <v>102</v>
      </c>
      <c r="U10" s="22">
        <v>60</v>
      </c>
      <c r="V10" s="23" t="s">
        <v>734</v>
      </c>
      <c r="W10" s="14">
        <v>0</v>
      </c>
      <c r="X10" s="24">
        <f t="shared" si="9"/>
        <v>0</v>
      </c>
      <c r="Y10" s="25">
        <f t="shared" si="10"/>
        <v>0</v>
      </c>
      <c r="Z10" s="14">
        <v>0</v>
      </c>
      <c r="AA10" s="14" t="s">
        <v>35</v>
      </c>
      <c r="AB10" s="27">
        <f t="shared" si="11"/>
        <v>-0.69</v>
      </c>
      <c r="AC10" s="28">
        <v>9.6498842592592587E-2</v>
      </c>
      <c r="AD10" s="25">
        <f t="shared" si="12"/>
        <v>-4.6608940972222213</v>
      </c>
      <c r="AE10" s="25">
        <v>-5.8</v>
      </c>
      <c r="AF10" s="25">
        <v>-8.6870085470085403</v>
      </c>
      <c r="AG10" s="25">
        <v>0</v>
      </c>
    </row>
    <row r="11" spans="1:33" ht="15.75" customHeight="1">
      <c r="A11" s="14" t="s">
        <v>193</v>
      </c>
      <c r="B11" s="14" t="s">
        <v>735</v>
      </c>
      <c r="C11" s="15">
        <f t="shared" si="4"/>
        <v>36.9</v>
      </c>
      <c r="D11" s="16">
        <v>19</v>
      </c>
      <c r="E11" s="16">
        <v>0</v>
      </c>
      <c r="F11" s="29">
        <v>701.1</v>
      </c>
      <c r="G11" s="29">
        <v>0</v>
      </c>
      <c r="H11" s="18">
        <f t="shared" si="1"/>
        <v>0</v>
      </c>
      <c r="I11" s="18">
        <f t="shared" si="2"/>
        <v>0.45378924255321645</v>
      </c>
      <c r="J11" s="17">
        <f t="shared" si="5"/>
        <v>318.15163795406005</v>
      </c>
      <c r="K11" s="17">
        <f t="shared" si="3"/>
        <v>16.744823050213686</v>
      </c>
      <c r="L11" s="16">
        <v>34</v>
      </c>
      <c r="M11" s="19">
        <f t="shared" si="6"/>
        <v>0.55882352941176472</v>
      </c>
      <c r="N11" s="16">
        <v>142</v>
      </c>
      <c r="O11" s="20">
        <f t="shared" ref="O11:P11" si="19">D11/7</f>
        <v>2.7142857142857144</v>
      </c>
      <c r="P11" s="20">
        <f t="shared" si="19"/>
        <v>0</v>
      </c>
      <c r="Q11" s="16">
        <f t="shared" si="8"/>
        <v>52</v>
      </c>
      <c r="R11" s="16"/>
      <c r="S11" s="21">
        <v>2.4636678200692002</v>
      </c>
      <c r="T11" s="14">
        <v>306</v>
      </c>
      <c r="U11" s="22">
        <v>60</v>
      </c>
      <c r="V11" s="23" t="s">
        <v>736</v>
      </c>
      <c r="W11" s="14">
        <v>0</v>
      </c>
      <c r="X11" s="24">
        <f t="shared" si="9"/>
        <v>0</v>
      </c>
      <c r="Y11" s="25">
        <f t="shared" si="10"/>
        <v>0</v>
      </c>
      <c r="Z11" s="14">
        <v>0</v>
      </c>
      <c r="AA11" s="14" t="s">
        <v>35</v>
      </c>
      <c r="AB11" s="27">
        <f t="shared" si="11"/>
        <v>-0.69</v>
      </c>
      <c r="AC11" s="28">
        <v>9.6498842592592587E-2</v>
      </c>
      <c r="AD11" s="25">
        <f t="shared" si="12"/>
        <v>-2.5301996527777773</v>
      </c>
      <c r="AE11" s="25">
        <v>-5.8</v>
      </c>
      <c r="AF11" s="25">
        <v>-8.6870085470085403</v>
      </c>
      <c r="AG11" s="25">
        <v>0</v>
      </c>
    </row>
    <row r="12" spans="1:33" ht="15.75" customHeight="1">
      <c r="A12" s="14" t="s">
        <v>195</v>
      </c>
      <c r="B12" s="14" t="s">
        <v>737</v>
      </c>
      <c r="C12" s="15">
        <f t="shared" si="4"/>
        <v>36.382857142857155</v>
      </c>
      <c r="D12" s="16">
        <v>28</v>
      </c>
      <c r="E12" s="16">
        <v>0</v>
      </c>
      <c r="F12" s="29">
        <v>1018.7200000000003</v>
      </c>
      <c r="G12" s="29">
        <v>0</v>
      </c>
      <c r="H12" s="18">
        <f t="shared" si="1"/>
        <v>0</v>
      </c>
      <c r="I12" s="18">
        <f t="shared" si="2"/>
        <v>0.44815753632596117</v>
      </c>
      <c r="J12" s="17">
        <f t="shared" si="5"/>
        <v>456.54704540598328</v>
      </c>
      <c r="K12" s="17">
        <f t="shared" si="3"/>
        <v>16.30525162164226</v>
      </c>
      <c r="L12" s="16">
        <v>37</v>
      </c>
      <c r="M12" s="19">
        <f t="shared" si="6"/>
        <v>0.7567567567567568</v>
      </c>
      <c r="N12" s="16">
        <v>198</v>
      </c>
      <c r="O12" s="20">
        <f t="shared" ref="O12:P12" si="20">D12/7</f>
        <v>4</v>
      </c>
      <c r="P12" s="20">
        <f t="shared" si="20"/>
        <v>0</v>
      </c>
      <c r="Q12" s="16">
        <f t="shared" si="8"/>
        <v>49</v>
      </c>
      <c r="R12" s="16"/>
      <c r="S12" s="21">
        <v>1.6156862745098</v>
      </c>
      <c r="T12" s="14">
        <v>306</v>
      </c>
      <c r="U12" s="22">
        <v>60</v>
      </c>
      <c r="V12" s="23" t="s">
        <v>738</v>
      </c>
      <c r="W12" s="14">
        <v>0</v>
      </c>
      <c r="X12" s="24">
        <f t="shared" si="9"/>
        <v>0</v>
      </c>
      <c r="Y12" s="25">
        <f t="shared" si="10"/>
        <v>0</v>
      </c>
      <c r="Z12" s="14">
        <v>0</v>
      </c>
      <c r="AA12" s="14" t="s">
        <v>35</v>
      </c>
      <c r="AB12" s="27">
        <f t="shared" si="11"/>
        <v>-0.69</v>
      </c>
      <c r="AC12" s="28">
        <v>9.6498842592592587E-2</v>
      </c>
      <c r="AD12" s="25">
        <f t="shared" si="12"/>
        <v>-3.728715277777777</v>
      </c>
      <c r="AE12" s="25">
        <v>-5.8</v>
      </c>
      <c r="AF12" s="25">
        <v>-8.6870085470085403</v>
      </c>
      <c r="AG12" s="25">
        <v>0</v>
      </c>
    </row>
    <row r="13" spans="1:33" ht="15.75" customHeight="1">
      <c r="A13" s="14" t="s">
        <v>197</v>
      </c>
      <c r="B13" s="14" t="s">
        <v>120</v>
      </c>
      <c r="C13" s="15">
        <f t="shared" si="4"/>
        <v>35.647058823529413</v>
      </c>
      <c r="D13" s="16">
        <v>17</v>
      </c>
      <c r="E13" s="16">
        <v>0</v>
      </c>
      <c r="F13" s="17">
        <v>606</v>
      </c>
      <c r="G13" s="29">
        <v>-0.08</v>
      </c>
      <c r="H13" s="18">
        <f t="shared" si="1"/>
        <v>1.32013201320132E-4</v>
      </c>
      <c r="I13" s="18">
        <f t="shared" si="2"/>
        <v>0.43730935723780706</v>
      </c>
      <c r="J13" s="17">
        <f t="shared" si="5"/>
        <v>265.00947048611107</v>
      </c>
      <c r="K13" s="17">
        <f t="shared" si="3"/>
        <v>15.588792381535946</v>
      </c>
      <c r="L13" s="16">
        <v>24</v>
      </c>
      <c r="M13" s="19">
        <f t="shared" si="6"/>
        <v>0.70833333333333337</v>
      </c>
      <c r="N13" s="16">
        <v>179</v>
      </c>
      <c r="O13" s="20">
        <f t="shared" ref="O13:P13" si="21">D13/7</f>
        <v>2.4285714285714284</v>
      </c>
      <c r="P13" s="20">
        <f t="shared" si="21"/>
        <v>0</v>
      </c>
      <c r="Q13" s="16">
        <f t="shared" si="8"/>
        <v>73</v>
      </c>
      <c r="R13" s="16"/>
      <c r="S13" s="21">
        <v>1.7073170731707299</v>
      </c>
      <c r="T13" s="14">
        <v>306</v>
      </c>
      <c r="U13" s="22">
        <v>60</v>
      </c>
      <c r="V13" s="23" t="s">
        <v>738</v>
      </c>
      <c r="W13" s="14">
        <v>0</v>
      </c>
      <c r="X13" s="24">
        <f t="shared" si="9"/>
        <v>0</v>
      </c>
      <c r="Y13" s="25">
        <f t="shared" si="10"/>
        <v>0</v>
      </c>
      <c r="Z13" s="14">
        <v>0</v>
      </c>
      <c r="AA13" s="14" t="s">
        <v>35</v>
      </c>
      <c r="AB13" s="27">
        <f t="shared" si="11"/>
        <v>-0.69</v>
      </c>
      <c r="AC13" s="28">
        <v>9.6498842592592587E-2</v>
      </c>
      <c r="AD13" s="25">
        <f t="shared" si="12"/>
        <v>-2.2638628472222218</v>
      </c>
      <c r="AE13" s="25">
        <v>-5.8</v>
      </c>
      <c r="AF13" s="25">
        <v>-8.7733333333333299</v>
      </c>
      <c r="AG13" s="25">
        <v>0</v>
      </c>
    </row>
    <row r="14" spans="1:33" ht="15.75" customHeight="1">
      <c r="A14" s="14" t="s">
        <v>32</v>
      </c>
      <c r="B14" s="14" t="s">
        <v>739</v>
      </c>
      <c r="C14" s="15">
        <f t="shared" si="4"/>
        <v>31.838214285714276</v>
      </c>
      <c r="D14" s="16">
        <v>56</v>
      </c>
      <c r="E14" s="16">
        <v>0</v>
      </c>
      <c r="F14" s="17">
        <v>1782.9399999999994</v>
      </c>
      <c r="G14" s="29">
        <v>0</v>
      </c>
      <c r="H14" s="18">
        <f t="shared" si="1"/>
        <v>0</v>
      </c>
      <c r="I14" s="18">
        <f t="shared" si="2"/>
        <v>0.38808647670576557</v>
      </c>
      <c r="J14" s="17">
        <f t="shared" si="5"/>
        <v>691.93490277777744</v>
      </c>
      <c r="K14" s="17">
        <f t="shared" si="3"/>
        <v>12.355980406746026</v>
      </c>
      <c r="L14" s="16">
        <v>71</v>
      </c>
      <c r="M14" s="19">
        <f t="shared" si="6"/>
        <v>0.78873239436619713</v>
      </c>
      <c r="N14" s="16">
        <v>134</v>
      </c>
      <c r="O14" s="20">
        <f t="shared" ref="O14:P14" si="22">D14/7</f>
        <v>8</v>
      </c>
      <c r="P14" s="20">
        <f t="shared" si="22"/>
        <v>0</v>
      </c>
      <c r="Q14" s="16">
        <f t="shared" si="8"/>
        <v>16</v>
      </c>
      <c r="R14" s="16"/>
      <c r="S14" s="21">
        <v>3</v>
      </c>
      <c r="T14" s="14">
        <v>306</v>
      </c>
      <c r="U14" s="22">
        <v>60</v>
      </c>
      <c r="V14" s="23" t="s">
        <v>738</v>
      </c>
      <c r="W14" s="14">
        <v>0</v>
      </c>
      <c r="X14" s="24">
        <f t="shared" si="9"/>
        <v>0</v>
      </c>
      <c r="Y14" s="25">
        <f t="shared" si="10"/>
        <v>0</v>
      </c>
      <c r="Z14" s="14">
        <v>0</v>
      </c>
      <c r="AA14" s="14" t="s">
        <v>35</v>
      </c>
      <c r="AB14" s="27">
        <f t="shared" si="11"/>
        <v>-0.69</v>
      </c>
      <c r="AC14" s="28">
        <v>9.6498842592592587E-2</v>
      </c>
      <c r="AD14" s="25">
        <f t="shared" si="12"/>
        <v>-7.457430555555554</v>
      </c>
      <c r="AE14" s="25">
        <v>-5.8</v>
      </c>
      <c r="AF14" s="25">
        <v>-8.7733333333333299</v>
      </c>
      <c r="AG14" s="25">
        <v>0</v>
      </c>
    </row>
    <row r="15" spans="1:33" ht="15.75" customHeight="1">
      <c r="A15" s="14" t="s">
        <v>36</v>
      </c>
      <c r="B15" s="14" t="s">
        <v>740</v>
      </c>
      <c r="C15" s="15">
        <f t="shared" si="4"/>
        <v>33.375510204081621</v>
      </c>
      <c r="D15" s="16">
        <v>49</v>
      </c>
      <c r="E15" s="16">
        <v>0</v>
      </c>
      <c r="F15" s="17">
        <v>1635.3999999999994</v>
      </c>
      <c r="G15" s="29">
        <v>0</v>
      </c>
      <c r="H15" s="18">
        <f t="shared" si="1"/>
        <v>0</v>
      </c>
      <c r="I15" s="18">
        <f t="shared" si="2"/>
        <v>0.37820191691974764</v>
      </c>
      <c r="J15" s="17">
        <f t="shared" si="5"/>
        <v>618.51141493055502</v>
      </c>
      <c r="K15" s="17">
        <f t="shared" si="3"/>
        <v>12.622681937358266</v>
      </c>
      <c r="L15" s="16">
        <v>92</v>
      </c>
      <c r="M15" s="19">
        <f t="shared" si="6"/>
        <v>0.53260869565217395</v>
      </c>
      <c r="N15" s="16">
        <v>79</v>
      </c>
      <c r="O15" s="20">
        <f t="shared" ref="O15:P15" si="23">D15/7</f>
        <v>7</v>
      </c>
      <c r="P15" s="20">
        <f t="shared" si="23"/>
        <v>0</v>
      </c>
      <c r="Q15" s="16">
        <f t="shared" si="8"/>
        <v>11</v>
      </c>
      <c r="R15" s="16"/>
      <c r="S15" s="21">
        <v>4.7669172932330799</v>
      </c>
      <c r="T15" s="14">
        <v>306</v>
      </c>
      <c r="U15" s="22">
        <v>60</v>
      </c>
      <c r="V15" s="23" t="s">
        <v>738</v>
      </c>
      <c r="W15" s="14">
        <v>0</v>
      </c>
      <c r="X15" s="24">
        <f t="shared" si="9"/>
        <v>0</v>
      </c>
      <c r="Y15" s="25">
        <f t="shared" si="10"/>
        <v>0</v>
      </c>
      <c r="Z15" s="14">
        <v>0</v>
      </c>
      <c r="AA15" s="14" t="s">
        <v>35</v>
      </c>
      <c r="AB15" s="27">
        <f t="shared" si="11"/>
        <v>-0.69</v>
      </c>
      <c r="AC15" s="28">
        <v>9.6498842592592587E-2</v>
      </c>
      <c r="AD15" s="25">
        <f t="shared" si="12"/>
        <v>-6.5252517361111098</v>
      </c>
      <c r="AE15" s="25">
        <v>-5.8</v>
      </c>
      <c r="AF15" s="25">
        <v>-9.8133333333333308</v>
      </c>
      <c r="AG15" s="25">
        <v>0</v>
      </c>
    </row>
    <row r="16" spans="1:33" ht="15.75" customHeight="1">
      <c r="A16" s="14" t="s">
        <v>38</v>
      </c>
      <c r="B16" s="14" t="s">
        <v>741</v>
      </c>
      <c r="C16" s="15">
        <f t="shared" si="4"/>
        <v>38.300800000000002</v>
      </c>
      <c r="D16" s="16">
        <v>25</v>
      </c>
      <c r="E16" s="16">
        <v>0</v>
      </c>
      <c r="F16" s="17">
        <v>957.52</v>
      </c>
      <c r="G16" s="29">
        <v>0</v>
      </c>
      <c r="H16" s="18">
        <f t="shared" si="1"/>
        <v>0</v>
      </c>
      <c r="I16" s="18">
        <f t="shared" si="2"/>
        <v>0.43887277194964308</v>
      </c>
      <c r="J16" s="17">
        <f t="shared" si="5"/>
        <v>420.22945659722222</v>
      </c>
      <c r="K16" s="17">
        <f t="shared" si="3"/>
        <v>16.809178263888889</v>
      </c>
      <c r="L16" s="16">
        <v>57</v>
      </c>
      <c r="M16" s="19">
        <f t="shared" si="6"/>
        <v>0.43859649122807015</v>
      </c>
      <c r="N16" s="16">
        <v>50</v>
      </c>
      <c r="O16" s="20">
        <f t="shared" ref="O16:P16" si="24">D16/7</f>
        <v>3.5714285714285716</v>
      </c>
      <c r="P16" s="20">
        <f t="shared" si="24"/>
        <v>0</v>
      </c>
      <c r="Q16" s="16">
        <f t="shared" si="8"/>
        <v>14</v>
      </c>
      <c r="R16" s="16"/>
      <c r="S16" s="21">
        <v>2.8302658486707499</v>
      </c>
      <c r="T16" s="14">
        <v>306</v>
      </c>
      <c r="U16" s="22">
        <v>60</v>
      </c>
      <c r="V16" s="23" t="s">
        <v>742</v>
      </c>
      <c r="W16" s="14">
        <v>0</v>
      </c>
      <c r="X16" s="24">
        <f t="shared" si="9"/>
        <v>0</v>
      </c>
      <c r="Y16" s="25">
        <f t="shared" si="10"/>
        <v>0</v>
      </c>
      <c r="Z16" s="14">
        <v>0</v>
      </c>
      <c r="AA16" s="14" t="s">
        <v>35</v>
      </c>
      <c r="AB16" s="27">
        <f t="shared" si="11"/>
        <v>-0.69</v>
      </c>
      <c r="AC16" s="28">
        <v>9.6498842592592587E-2</v>
      </c>
      <c r="AD16" s="25">
        <f t="shared" si="12"/>
        <v>-3.3292100694444438</v>
      </c>
      <c r="AE16" s="25">
        <v>-5.8</v>
      </c>
      <c r="AF16" s="25">
        <v>-9.8133333333333308</v>
      </c>
      <c r="AG16" s="25">
        <v>0</v>
      </c>
    </row>
    <row r="17" spans="1:33" ht="15.75" customHeight="1">
      <c r="A17" s="14" t="s">
        <v>40</v>
      </c>
      <c r="B17" s="14" t="s">
        <v>735</v>
      </c>
      <c r="C17" s="15">
        <f t="shared" si="4"/>
        <v>38.075714285714284</v>
      </c>
      <c r="D17" s="16">
        <v>14</v>
      </c>
      <c r="E17" s="16">
        <v>0</v>
      </c>
      <c r="F17" s="17">
        <v>533.05999999999995</v>
      </c>
      <c r="G17" s="29">
        <v>-0.04</v>
      </c>
      <c r="H17" s="18">
        <f t="shared" si="1"/>
        <v>7.5038457209319784E-5</v>
      </c>
      <c r="I17" s="18">
        <f t="shared" si="2"/>
        <v>0.43636734269021199</v>
      </c>
      <c r="J17" s="17">
        <f t="shared" si="5"/>
        <v>232.60997569444439</v>
      </c>
      <c r="K17" s="17">
        <f t="shared" si="3"/>
        <v>16.614998263888886</v>
      </c>
      <c r="L17" s="16">
        <v>42</v>
      </c>
      <c r="M17" s="19">
        <f t="shared" si="6"/>
        <v>0.33333333333333331</v>
      </c>
      <c r="N17" s="16">
        <v>35</v>
      </c>
      <c r="O17" s="20">
        <f t="shared" ref="O17:P17" si="25">D17/7</f>
        <v>2</v>
      </c>
      <c r="P17" s="20">
        <f t="shared" si="25"/>
        <v>0</v>
      </c>
      <c r="Q17" s="16">
        <f t="shared" si="8"/>
        <v>17</v>
      </c>
      <c r="R17" s="16"/>
      <c r="S17" s="21">
        <v>2.7320754716981099</v>
      </c>
      <c r="T17" s="14">
        <v>264</v>
      </c>
      <c r="U17" s="22">
        <v>60</v>
      </c>
      <c r="V17" s="23" t="s">
        <v>743</v>
      </c>
      <c r="W17" s="14">
        <v>0</v>
      </c>
      <c r="X17" s="24">
        <f t="shared" si="9"/>
        <v>0</v>
      </c>
      <c r="Y17" s="25">
        <f t="shared" si="10"/>
        <v>0</v>
      </c>
      <c r="Z17" s="14">
        <v>0</v>
      </c>
      <c r="AA17" s="14" t="s">
        <v>35</v>
      </c>
      <c r="AB17" s="27">
        <f t="shared" si="11"/>
        <v>-0.69</v>
      </c>
      <c r="AC17" s="28">
        <v>9.6498842592592587E-2</v>
      </c>
      <c r="AD17" s="25">
        <f t="shared" si="12"/>
        <v>-1.8643576388888885</v>
      </c>
      <c r="AE17" s="25">
        <v>-5.8</v>
      </c>
      <c r="AF17" s="25">
        <v>-9.8133333333333308</v>
      </c>
      <c r="AG17" s="25">
        <v>0</v>
      </c>
    </row>
    <row r="18" spans="1:33" ht="15.75" customHeight="1">
      <c r="A18" s="14" t="s">
        <v>42</v>
      </c>
      <c r="B18" s="14" t="s">
        <v>744</v>
      </c>
      <c r="C18" s="15">
        <f t="shared" si="4"/>
        <v>36.762173913043483</v>
      </c>
      <c r="D18" s="16">
        <v>23</v>
      </c>
      <c r="E18" s="16">
        <v>0</v>
      </c>
      <c r="F18" s="17">
        <v>845.53000000000009</v>
      </c>
      <c r="G18" s="29">
        <v>-0.02</v>
      </c>
      <c r="H18" s="18">
        <f t="shared" si="1"/>
        <v>2.3653802940167702E-5</v>
      </c>
      <c r="I18" s="18">
        <f t="shared" si="2"/>
        <v>0.42164199977463196</v>
      </c>
      <c r="J18" s="17">
        <f t="shared" si="5"/>
        <v>356.51096006944459</v>
      </c>
      <c r="K18" s="17">
        <f t="shared" si="3"/>
        <v>15.50047652475846</v>
      </c>
      <c r="L18" s="16">
        <v>56</v>
      </c>
      <c r="M18" s="19">
        <f t="shared" si="6"/>
        <v>0.4107142857142857</v>
      </c>
      <c r="N18" s="16">
        <v>58</v>
      </c>
      <c r="O18" s="20">
        <f t="shared" ref="O18:P18" si="26">D18/7</f>
        <v>3.2857142857142856</v>
      </c>
      <c r="P18" s="20">
        <f t="shared" si="26"/>
        <v>0</v>
      </c>
      <c r="Q18" s="16">
        <f t="shared" si="8"/>
        <v>17</v>
      </c>
      <c r="R18" s="16"/>
      <c r="S18" s="21">
        <v>3.5607476635514002</v>
      </c>
      <c r="T18" s="14">
        <v>204</v>
      </c>
      <c r="U18" s="22">
        <v>0</v>
      </c>
      <c r="V18" s="23" t="s">
        <v>745</v>
      </c>
      <c r="W18" s="14">
        <v>0</v>
      </c>
      <c r="X18" s="24">
        <f t="shared" si="9"/>
        <v>0</v>
      </c>
      <c r="Y18" s="25">
        <f t="shared" si="10"/>
        <v>0</v>
      </c>
      <c r="Z18" s="14">
        <v>0</v>
      </c>
      <c r="AA18" s="14" t="s">
        <v>35</v>
      </c>
      <c r="AB18" s="27">
        <f t="shared" si="11"/>
        <v>-0.69</v>
      </c>
      <c r="AC18" s="28">
        <v>9.6498842592592587E-2</v>
      </c>
      <c r="AD18" s="25">
        <f t="shared" si="12"/>
        <v>-3.0628732638888883</v>
      </c>
      <c r="AE18" s="25">
        <v>-5.8</v>
      </c>
      <c r="AF18" s="25">
        <v>-9.8133333333333308</v>
      </c>
      <c r="AG18" s="25">
        <v>0</v>
      </c>
    </row>
    <row r="19" spans="1:33" ht="15.75" customHeight="1">
      <c r="A19" s="14" t="s">
        <v>44</v>
      </c>
      <c r="B19" s="14" t="s">
        <v>746</v>
      </c>
      <c r="C19" s="15">
        <f t="shared" si="4"/>
        <v>38.036666666666662</v>
      </c>
      <c r="D19" s="16">
        <v>18</v>
      </c>
      <c r="E19" s="16">
        <v>0</v>
      </c>
      <c r="F19" s="17">
        <v>684.66</v>
      </c>
      <c r="G19" s="29">
        <v>-0.08</v>
      </c>
      <c r="H19" s="18">
        <f t="shared" si="1"/>
        <v>1.168463178804078E-4</v>
      </c>
      <c r="I19" s="18">
        <f t="shared" si="2"/>
        <v>0.4238862628896094</v>
      </c>
      <c r="J19" s="17">
        <f t="shared" si="5"/>
        <v>290.21796874999995</v>
      </c>
      <c r="K19" s="17">
        <f t="shared" si="3"/>
        <v>16.123220486111109</v>
      </c>
      <c r="L19" s="16">
        <v>41</v>
      </c>
      <c r="M19" s="19">
        <f t="shared" si="6"/>
        <v>0.43902439024390244</v>
      </c>
      <c r="N19" s="16">
        <v>102</v>
      </c>
      <c r="O19" s="20">
        <f t="shared" ref="O19:P19" si="27">D19/7</f>
        <v>2.5714285714285716</v>
      </c>
      <c r="P19" s="20">
        <f t="shared" si="27"/>
        <v>0</v>
      </c>
      <c r="Q19" s="16">
        <f t="shared" si="8"/>
        <v>39</v>
      </c>
      <c r="R19" s="16"/>
      <c r="S19" s="21">
        <v>3.58782201405152</v>
      </c>
      <c r="T19" s="14">
        <v>204</v>
      </c>
      <c r="U19" s="22">
        <v>204</v>
      </c>
      <c r="V19" s="23" t="s">
        <v>745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14" t="s">
        <v>35</v>
      </c>
      <c r="AB19" s="27">
        <f t="shared" si="11"/>
        <v>-0.69</v>
      </c>
      <c r="AC19" s="28">
        <v>9.6498842592592587E-2</v>
      </c>
      <c r="AD19" s="25">
        <f t="shared" si="12"/>
        <v>-2.3970312499999995</v>
      </c>
      <c r="AE19" s="25">
        <v>-5.8</v>
      </c>
      <c r="AF19" s="25">
        <v>-10.270333333333335</v>
      </c>
      <c r="AG19" s="25">
        <v>0</v>
      </c>
    </row>
    <row r="20" spans="1:33" ht="15.75" customHeight="1">
      <c r="A20" s="14" t="s">
        <v>46</v>
      </c>
      <c r="B20" s="14" t="s">
        <v>747</v>
      </c>
      <c r="C20" s="15">
        <f t="shared" si="4"/>
        <v>40.777368421052628</v>
      </c>
      <c r="D20" s="16">
        <v>19</v>
      </c>
      <c r="E20" s="16">
        <v>0</v>
      </c>
      <c r="F20" s="17">
        <v>774.77</v>
      </c>
      <c r="G20" s="29">
        <v>0</v>
      </c>
      <c r="H20" s="18">
        <f t="shared" si="1"/>
        <v>0</v>
      </c>
      <c r="I20" s="18">
        <f t="shared" si="2"/>
        <v>0.45263493296576901</v>
      </c>
      <c r="J20" s="17">
        <f t="shared" si="5"/>
        <v>350.68796701388885</v>
      </c>
      <c r="K20" s="17">
        <f t="shared" si="3"/>
        <v>18.457261421783624</v>
      </c>
      <c r="L20" s="16">
        <v>36</v>
      </c>
      <c r="M20" s="19">
        <f t="shared" si="6"/>
        <v>0.52777777777777779</v>
      </c>
      <c r="N20" s="16">
        <v>75</v>
      </c>
      <c r="O20" s="20">
        <f t="shared" ref="O20:P20" si="28">D20/7</f>
        <v>2.7142857142857144</v>
      </c>
      <c r="P20" s="20">
        <f t="shared" si="28"/>
        <v>0</v>
      </c>
      <c r="Q20" s="16">
        <f t="shared" si="8"/>
        <v>27</v>
      </c>
      <c r="R20" s="16"/>
      <c r="S20" s="21">
        <v>3.3205741626794198</v>
      </c>
      <c r="T20" s="14">
        <v>204</v>
      </c>
      <c r="U20" s="22">
        <v>204</v>
      </c>
      <c r="V20" s="23" t="s">
        <v>748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14" t="s">
        <v>35</v>
      </c>
      <c r="AB20" s="27">
        <f t="shared" si="11"/>
        <v>-0.69</v>
      </c>
      <c r="AC20" s="28">
        <v>9.6498842592592587E-2</v>
      </c>
      <c r="AD20" s="25">
        <f t="shared" si="12"/>
        <v>-2.5301996527777773</v>
      </c>
      <c r="AE20" s="25">
        <v>-5.8</v>
      </c>
      <c r="AF20" s="25">
        <v>-10.270333333333335</v>
      </c>
      <c r="AG20" s="25">
        <v>0</v>
      </c>
    </row>
    <row r="21" spans="1:33" ht="15.75" customHeight="1">
      <c r="A21" s="14" t="s">
        <v>47</v>
      </c>
      <c r="B21" s="14" t="s">
        <v>749</v>
      </c>
      <c r="C21" s="15">
        <f t="shared" si="4"/>
        <v>42.827333333333328</v>
      </c>
      <c r="D21" s="16">
        <v>15</v>
      </c>
      <c r="E21" s="16">
        <v>0</v>
      </c>
      <c r="F21" s="17">
        <v>642.41</v>
      </c>
      <c r="G21" s="29">
        <v>0</v>
      </c>
      <c r="H21" s="18">
        <f t="shared" si="1"/>
        <v>0</v>
      </c>
      <c r="I21" s="18">
        <f t="shared" si="2"/>
        <v>0.47165513294988132</v>
      </c>
      <c r="J21" s="17">
        <f t="shared" si="5"/>
        <v>302.99597395833325</v>
      </c>
      <c r="K21" s="17">
        <f t="shared" si="3"/>
        <v>20.199731597222218</v>
      </c>
      <c r="L21" s="16">
        <v>26</v>
      </c>
      <c r="M21" s="19">
        <f t="shared" si="6"/>
        <v>0.57692307692307687</v>
      </c>
      <c r="N21" s="16">
        <v>63</v>
      </c>
      <c r="O21" s="20">
        <f t="shared" ref="O21:P21" si="29">D21/7</f>
        <v>2.1428571428571428</v>
      </c>
      <c r="P21" s="20">
        <f t="shared" si="29"/>
        <v>0</v>
      </c>
      <c r="Q21" s="16">
        <f t="shared" si="8"/>
        <v>29</v>
      </c>
      <c r="R21" s="16"/>
      <c r="S21" s="21">
        <v>3.3710073710073698</v>
      </c>
      <c r="T21" s="14">
        <v>204</v>
      </c>
      <c r="U21" s="22">
        <v>204</v>
      </c>
      <c r="V21" s="23" t="s">
        <v>750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14" t="s">
        <v>35</v>
      </c>
      <c r="AB21" s="27">
        <f t="shared" si="11"/>
        <v>-0.69</v>
      </c>
      <c r="AC21" s="28">
        <v>9.6498842592592587E-2</v>
      </c>
      <c r="AD21" s="25">
        <f t="shared" si="12"/>
        <v>-1.9975260416666663</v>
      </c>
      <c r="AE21" s="25">
        <v>-5.8</v>
      </c>
      <c r="AF21" s="25">
        <v>-10.270333333333335</v>
      </c>
      <c r="AG21" s="25">
        <v>0</v>
      </c>
    </row>
    <row r="22" spans="1:33" ht="15.75" customHeight="1">
      <c r="A22" s="14" t="s">
        <v>48</v>
      </c>
      <c r="B22" s="14" t="s">
        <v>751</v>
      </c>
      <c r="C22" s="15">
        <f t="shared" si="4"/>
        <v>43.765714285714296</v>
      </c>
      <c r="D22" s="16">
        <v>21</v>
      </c>
      <c r="E22" s="16">
        <v>3</v>
      </c>
      <c r="F22" s="29">
        <v>919.08000000000015</v>
      </c>
      <c r="G22" s="29">
        <v>0</v>
      </c>
      <c r="H22" s="18">
        <f t="shared" si="1"/>
        <v>0</v>
      </c>
      <c r="I22" s="18">
        <f t="shared" si="2"/>
        <v>0.47976722759897578</v>
      </c>
      <c r="J22" s="17">
        <f t="shared" si="5"/>
        <v>440.94446354166672</v>
      </c>
      <c r="K22" s="17">
        <f t="shared" si="3"/>
        <v>20.997355406746035</v>
      </c>
      <c r="L22" s="16">
        <v>45</v>
      </c>
      <c r="M22" s="19">
        <f t="shared" si="6"/>
        <v>0.46666666666666667</v>
      </c>
      <c r="N22" s="16">
        <v>38</v>
      </c>
      <c r="O22" s="20">
        <f t="shared" ref="O22:P22" si="30">D22/7</f>
        <v>3</v>
      </c>
      <c r="P22" s="20">
        <f t="shared" si="30"/>
        <v>0.42857142857142855</v>
      </c>
      <c r="Q22" s="16">
        <f t="shared" si="8"/>
        <v>11</v>
      </c>
      <c r="R22" s="16"/>
      <c r="S22" s="21">
        <v>3.6923076923076898</v>
      </c>
      <c r="T22" s="14">
        <v>402</v>
      </c>
      <c r="U22" s="22">
        <v>204</v>
      </c>
      <c r="V22" s="23" t="s">
        <v>752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35</v>
      </c>
      <c r="AB22" s="27">
        <f t="shared" si="11"/>
        <v>-0.69</v>
      </c>
      <c r="AC22" s="28">
        <v>9.6498842592592587E-2</v>
      </c>
      <c r="AD22" s="25">
        <f t="shared" si="12"/>
        <v>-2.7965364583333328</v>
      </c>
      <c r="AE22" s="25">
        <v>-5.8</v>
      </c>
      <c r="AF22" s="25">
        <v>-10.270333333333335</v>
      </c>
      <c r="AG22" s="25">
        <v>0</v>
      </c>
    </row>
    <row r="23" spans="1:33" ht="15.75" customHeight="1">
      <c r="A23" s="14" t="s">
        <v>49</v>
      </c>
      <c r="B23" s="14" t="s">
        <v>68</v>
      </c>
      <c r="C23" s="15">
        <f t="shared" si="4"/>
        <v>47.62</v>
      </c>
      <c r="D23" s="16">
        <v>15</v>
      </c>
      <c r="E23" s="16">
        <v>0</v>
      </c>
      <c r="F23" s="17">
        <v>714.3</v>
      </c>
      <c r="G23" s="29">
        <v>0</v>
      </c>
      <c r="H23" s="18">
        <f t="shared" si="1"/>
        <v>0</v>
      </c>
      <c r="I23" s="18">
        <f t="shared" si="2"/>
        <v>0.509733268876289</v>
      </c>
      <c r="J23" s="17">
        <f t="shared" si="5"/>
        <v>364.10247395833323</v>
      </c>
      <c r="K23" s="17">
        <f t="shared" si="3"/>
        <v>24.273498263888882</v>
      </c>
      <c r="L23" s="16">
        <v>42</v>
      </c>
      <c r="M23" s="19">
        <f t="shared" si="6"/>
        <v>0.35714285714285715</v>
      </c>
      <c r="N23" s="16">
        <v>24</v>
      </c>
      <c r="O23" s="20">
        <f t="shared" ref="O23:P23" si="31">D23/7</f>
        <v>2.1428571428571428</v>
      </c>
      <c r="P23" s="20">
        <f t="shared" si="31"/>
        <v>0</v>
      </c>
      <c r="Q23" s="16">
        <f t="shared" si="8"/>
        <v>11</v>
      </c>
      <c r="R23" s="16"/>
      <c r="S23" s="21">
        <v>3.7201166180757999</v>
      </c>
      <c r="T23" s="14">
        <v>402</v>
      </c>
      <c r="U23" s="22">
        <v>204</v>
      </c>
      <c r="V23" s="23" t="s">
        <v>753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35</v>
      </c>
      <c r="AB23" s="27">
        <f t="shared" si="11"/>
        <v>-0.69</v>
      </c>
      <c r="AC23" s="28">
        <v>9.6498842592592587E-2</v>
      </c>
      <c r="AD23" s="25">
        <f t="shared" si="12"/>
        <v>-1.9975260416666663</v>
      </c>
      <c r="AE23" s="25">
        <v>-5.8</v>
      </c>
      <c r="AF23" s="25">
        <v>-10.270333333333335</v>
      </c>
      <c r="AG23" s="25">
        <v>0</v>
      </c>
    </row>
    <row r="24" spans="1:33" ht="15.75" customHeight="1">
      <c r="A24" s="14" t="s">
        <v>50</v>
      </c>
      <c r="B24" s="14" t="s">
        <v>45</v>
      </c>
      <c r="C24" s="15">
        <f t="shared" si="4"/>
        <v>47.314347826086959</v>
      </c>
      <c r="D24" s="16">
        <v>23</v>
      </c>
      <c r="E24" s="16">
        <v>0</v>
      </c>
      <c r="F24" s="17">
        <v>1088.23</v>
      </c>
      <c r="G24" s="17">
        <v>0</v>
      </c>
      <c r="H24" s="18">
        <f t="shared" si="1"/>
        <v>0</v>
      </c>
      <c r="I24" s="18">
        <f t="shared" si="2"/>
        <v>0.50753513509960624</v>
      </c>
      <c r="J24" s="17">
        <f t="shared" si="5"/>
        <v>552.31496006944451</v>
      </c>
      <c r="K24" s="17">
        <f t="shared" si="3"/>
        <v>24.013693916062806</v>
      </c>
      <c r="L24" s="16">
        <v>45</v>
      </c>
      <c r="M24" s="19">
        <f t="shared" si="6"/>
        <v>0.51111111111111107</v>
      </c>
      <c r="N24" s="16">
        <v>7</v>
      </c>
      <c r="O24" s="20">
        <f t="shared" ref="O24:P24" si="32">D24/7</f>
        <v>3.2857142857142856</v>
      </c>
      <c r="P24" s="20">
        <f t="shared" si="32"/>
        <v>0</v>
      </c>
      <c r="Q24" s="16">
        <f t="shared" si="8"/>
        <v>2</v>
      </c>
      <c r="R24" s="16"/>
      <c r="S24" s="21">
        <v>3.58426966292134</v>
      </c>
      <c r="T24" s="14">
        <v>606</v>
      </c>
      <c r="U24" s="22">
        <v>204</v>
      </c>
      <c r="V24" s="23" t="s">
        <v>754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14" t="s">
        <v>35</v>
      </c>
      <c r="AB24" s="27">
        <f t="shared" si="11"/>
        <v>-0.69</v>
      </c>
      <c r="AC24" s="28">
        <v>9.6498842592592587E-2</v>
      </c>
      <c r="AD24" s="25">
        <f t="shared" si="12"/>
        <v>-3.0628732638888883</v>
      </c>
      <c r="AE24" s="25">
        <v>-5.8</v>
      </c>
      <c r="AF24" s="25">
        <v>-10.270333333333335</v>
      </c>
      <c r="AG24" s="25">
        <v>0</v>
      </c>
    </row>
    <row r="25" spans="1:33" ht="15.75" customHeight="1">
      <c r="A25" s="14" t="s">
        <v>51</v>
      </c>
      <c r="B25" s="14"/>
      <c r="C25" s="15" t="str">
        <f t="shared" si="4"/>
        <v xml:space="preserve"> - </v>
      </c>
      <c r="D25" s="16">
        <v>0</v>
      </c>
      <c r="E25" s="16">
        <v>0</v>
      </c>
      <c r="F25" s="17">
        <v>0</v>
      </c>
      <c r="G25" s="17">
        <v>0</v>
      </c>
      <c r="H25" s="18" t="e">
        <f t="shared" si="1"/>
        <v>#DIV/0!</v>
      </c>
      <c r="I25" s="18" t="e">
        <f t="shared" si="2"/>
        <v>#DIV/0!</v>
      </c>
      <c r="J25" s="17">
        <f t="shared" si="5"/>
        <v>0</v>
      </c>
      <c r="K25" s="17" t="e">
        <f t="shared" si="3"/>
        <v>#DIV/0!</v>
      </c>
      <c r="L25" s="16">
        <v>0</v>
      </c>
      <c r="M25" s="19" t="str">
        <f t="shared" si="6"/>
        <v>-</v>
      </c>
      <c r="N25" s="16">
        <v>0</v>
      </c>
      <c r="O25" s="20">
        <f t="shared" ref="O25:P25" si="33">D25/7</f>
        <v>0</v>
      </c>
      <c r="P25" s="20">
        <f t="shared" si="33"/>
        <v>0</v>
      </c>
      <c r="Q25" s="16" t="e">
        <f t="shared" si="8"/>
        <v>#DIV/0!</v>
      </c>
      <c r="R25" s="16"/>
      <c r="S25" s="21">
        <v>3.7258566978193151</v>
      </c>
      <c r="T25" s="14">
        <v>606</v>
      </c>
      <c r="U25" s="22">
        <v>204</v>
      </c>
      <c r="V25" s="23" t="s">
        <v>755</v>
      </c>
      <c r="W25" s="30">
        <v>0</v>
      </c>
      <c r="X25" s="24">
        <f t="shared" si="9"/>
        <v>0</v>
      </c>
      <c r="Y25" s="25">
        <f t="shared" si="10"/>
        <v>0</v>
      </c>
      <c r="Z25" s="30">
        <v>0</v>
      </c>
      <c r="AA25" s="14" t="s">
        <v>35</v>
      </c>
      <c r="AB25" s="27">
        <f t="shared" si="11"/>
        <v>-0.69</v>
      </c>
      <c r="AC25" s="28">
        <v>9.6498842592592587E-2</v>
      </c>
      <c r="AD25" s="25">
        <f t="shared" si="12"/>
        <v>0</v>
      </c>
      <c r="AE25" s="25">
        <v>-5.8</v>
      </c>
      <c r="AF25" s="25">
        <v>-10.27</v>
      </c>
      <c r="AG25" s="25">
        <v>0</v>
      </c>
    </row>
    <row r="26" spans="1:33" ht="15.75" customHeight="1">
      <c r="A26" s="14" t="s">
        <v>52</v>
      </c>
      <c r="B26" s="14"/>
      <c r="C26" s="15" t="str">
        <f t="shared" si="4"/>
        <v xml:space="preserve"> - </v>
      </c>
      <c r="D26" s="16">
        <v>0</v>
      </c>
      <c r="E26" s="16">
        <v>0</v>
      </c>
      <c r="F26" s="17">
        <v>0</v>
      </c>
      <c r="G26" s="17">
        <v>0</v>
      </c>
      <c r="H26" s="18" t="e">
        <f t="shared" si="1"/>
        <v>#DIV/0!</v>
      </c>
      <c r="I26" s="18" t="e">
        <f t="shared" si="2"/>
        <v>#DIV/0!</v>
      </c>
      <c r="J26" s="17">
        <f t="shared" si="5"/>
        <v>0</v>
      </c>
      <c r="K26" s="17" t="e">
        <f t="shared" si="3"/>
        <v>#DIV/0!</v>
      </c>
      <c r="L26" s="16">
        <v>0</v>
      </c>
      <c r="M26" s="19" t="str">
        <f t="shared" si="6"/>
        <v>-</v>
      </c>
      <c r="N26" s="16">
        <v>0</v>
      </c>
      <c r="O26" s="20">
        <f t="shared" ref="O26:P26" si="34">D26/7</f>
        <v>0</v>
      </c>
      <c r="P26" s="20">
        <f t="shared" si="34"/>
        <v>0</v>
      </c>
      <c r="Q26" s="16" t="e">
        <f t="shared" si="8"/>
        <v>#DIV/0!</v>
      </c>
      <c r="R26" s="16"/>
      <c r="S26" s="21">
        <v>3.4065281899109792</v>
      </c>
      <c r="T26" s="14">
        <v>606</v>
      </c>
      <c r="U26" s="22">
        <v>204</v>
      </c>
      <c r="V26" s="23" t="s">
        <v>756</v>
      </c>
      <c r="W26" s="30">
        <v>0</v>
      </c>
      <c r="X26" s="24">
        <f t="shared" si="9"/>
        <v>0</v>
      </c>
      <c r="Y26" s="25">
        <f t="shared" si="10"/>
        <v>0</v>
      </c>
      <c r="Z26" s="30">
        <v>0</v>
      </c>
      <c r="AA26" s="14" t="s">
        <v>35</v>
      </c>
      <c r="AB26" s="27">
        <f t="shared" si="11"/>
        <v>-0.69</v>
      </c>
      <c r="AC26" s="28">
        <v>9.6498842592592587E-2</v>
      </c>
      <c r="AD26" s="25">
        <f t="shared" si="12"/>
        <v>0</v>
      </c>
      <c r="AE26" s="25">
        <v>-5.8</v>
      </c>
      <c r="AF26" s="25">
        <v>-10.2703333333333</v>
      </c>
      <c r="AG26" s="25">
        <v>0</v>
      </c>
    </row>
    <row r="27" spans="1:33" ht="15.75" customHeight="1">
      <c r="A27" s="14" t="s">
        <v>53</v>
      </c>
      <c r="B27" s="14" t="s">
        <v>757</v>
      </c>
      <c r="C27" s="15" t="str">
        <f t="shared" si="4"/>
        <v xml:space="preserve"> - </v>
      </c>
      <c r="D27" s="16">
        <v>0</v>
      </c>
      <c r="E27" s="16">
        <v>0</v>
      </c>
      <c r="F27" s="17">
        <v>0</v>
      </c>
      <c r="G27" s="17">
        <v>0</v>
      </c>
      <c r="H27" s="18" t="e">
        <f t="shared" si="1"/>
        <v>#DIV/0!</v>
      </c>
      <c r="I27" s="18" t="e">
        <f t="shared" si="2"/>
        <v>#DIV/0!</v>
      </c>
      <c r="J27" s="17">
        <f t="shared" si="5"/>
        <v>0</v>
      </c>
      <c r="K27" s="17" t="e">
        <f t="shared" si="3"/>
        <v>#DIV/0!</v>
      </c>
      <c r="L27" s="16">
        <v>0</v>
      </c>
      <c r="M27" s="19" t="str">
        <f t="shared" si="6"/>
        <v>-</v>
      </c>
      <c r="N27" s="16">
        <v>204</v>
      </c>
      <c r="O27" s="20">
        <f t="shared" ref="O27:P27" si="35">D27/7</f>
        <v>0</v>
      </c>
      <c r="P27" s="20">
        <f t="shared" si="35"/>
        <v>0</v>
      </c>
      <c r="Q27" s="16" t="e">
        <f t="shared" si="8"/>
        <v>#DIV/0!</v>
      </c>
      <c r="R27" s="16"/>
      <c r="S27" s="21">
        <v>1.8901960784313721</v>
      </c>
      <c r="T27" s="14">
        <v>402</v>
      </c>
      <c r="U27" s="22">
        <v>96</v>
      </c>
      <c r="V27" s="23" t="s">
        <v>758</v>
      </c>
      <c r="W27" s="30">
        <v>0</v>
      </c>
      <c r="X27" s="24">
        <f t="shared" si="9"/>
        <v>0</v>
      </c>
      <c r="Y27" s="25">
        <f t="shared" si="10"/>
        <v>0</v>
      </c>
      <c r="Z27" s="30">
        <v>0</v>
      </c>
      <c r="AA27" s="14" t="s">
        <v>35</v>
      </c>
      <c r="AB27" s="27">
        <f t="shared" si="11"/>
        <v>-0.69</v>
      </c>
      <c r="AC27" s="28">
        <v>9.6498842592592587E-2</v>
      </c>
      <c r="AD27" s="25">
        <f t="shared" si="12"/>
        <v>0</v>
      </c>
      <c r="AE27" s="25">
        <v>-5.8</v>
      </c>
      <c r="AF27" s="25">
        <v>-12.194000000000001</v>
      </c>
      <c r="AG27" s="25">
        <v>0</v>
      </c>
    </row>
    <row r="28" spans="1:33" ht="15.75" customHeight="1">
      <c r="A28" s="14" t="s">
        <v>54</v>
      </c>
      <c r="B28" s="14" t="s">
        <v>68</v>
      </c>
      <c r="C28" s="15">
        <f t="shared" si="4"/>
        <v>27.984146341463411</v>
      </c>
      <c r="D28" s="16">
        <v>41</v>
      </c>
      <c r="E28" s="16">
        <v>0</v>
      </c>
      <c r="F28" s="17">
        <v>1147.3499999999999</v>
      </c>
      <c r="G28" s="17">
        <v>0</v>
      </c>
      <c r="H28" s="18">
        <f t="shared" si="1"/>
        <v>0</v>
      </c>
      <c r="I28" s="18">
        <f t="shared" si="2"/>
        <v>0.19580214885267011</v>
      </c>
      <c r="J28" s="17">
        <f t="shared" si="5"/>
        <v>224.65359548611104</v>
      </c>
      <c r="K28" s="17">
        <f t="shared" si="3"/>
        <v>5.4793559874661231</v>
      </c>
      <c r="L28" s="16">
        <v>39</v>
      </c>
      <c r="M28" s="19">
        <f t="shared" si="6"/>
        <v>1.0512820512820513</v>
      </c>
      <c r="N28" s="16">
        <v>173</v>
      </c>
      <c r="O28" s="20">
        <f t="shared" ref="O28:P28" si="36">D28/7</f>
        <v>5.8571428571428568</v>
      </c>
      <c r="P28" s="20">
        <f t="shared" si="36"/>
        <v>0</v>
      </c>
      <c r="Q28" s="16">
        <f t="shared" si="8"/>
        <v>29</v>
      </c>
      <c r="R28" s="16"/>
      <c r="S28" s="21">
        <v>1.961352657004831</v>
      </c>
      <c r="T28" s="14">
        <v>906</v>
      </c>
      <c r="U28" s="22">
        <v>44395</v>
      </c>
      <c r="V28" s="23" t="s">
        <v>759</v>
      </c>
      <c r="W28" s="30">
        <v>0</v>
      </c>
      <c r="X28" s="24">
        <f t="shared" si="9"/>
        <v>0</v>
      </c>
      <c r="Y28" s="25">
        <f t="shared" si="10"/>
        <v>0</v>
      </c>
      <c r="Z28" s="30">
        <v>0</v>
      </c>
      <c r="AA28" s="14" t="s">
        <v>35</v>
      </c>
      <c r="AB28" s="27">
        <f t="shared" si="11"/>
        <v>-0.69</v>
      </c>
      <c r="AC28" s="28">
        <v>9.6498842592592587E-2</v>
      </c>
      <c r="AD28" s="25">
        <f t="shared" si="12"/>
        <v>-5.4599045138888878</v>
      </c>
      <c r="AE28" s="25">
        <v>-5.98</v>
      </c>
      <c r="AF28" s="25">
        <v>-12.194000000000001</v>
      </c>
      <c r="AG28" s="25">
        <v>0</v>
      </c>
    </row>
    <row r="29" spans="1:33" ht="15.75" customHeight="1">
      <c r="A29" s="14" t="s">
        <v>55</v>
      </c>
      <c r="B29" s="14" t="s">
        <v>760</v>
      </c>
      <c r="C29" s="15">
        <f t="shared" si="4"/>
        <v>26.732318840579708</v>
      </c>
      <c r="D29" s="16">
        <v>69</v>
      </c>
      <c r="E29" s="16">
        <v>1</v>
      </c>
      <c r="F29" s="17">
        <v>1844.53</v>
      </c>
      <c r="G29" s="17">
        <v>0</v>
      </c>
      <c r="H29" s="18">
        <f t="shared" si="1"/>
        <v>0</v>
      </c>
      <c r="I29" s="18">
        <f t="shared" si="2"/>
        <v>0.16516721344100299</v>
      </c>
      <c r="J29" s="17">
        <f t="shared" si="5"/>
        <v>304.65588020833326</v>
      </c>
      <c r="K29" s="17">
        <f t="shared" si="3"/>
        <v>4.4153026117149752</v>
      </c>
      <c r="L29" s="16">
        <v>60</v>
      </c>
      <c r="M29" s="19">
        <f t="shared" si="6"/>
        <v>1.1499999999999999</v>
      </c>
      <c r="N29" s="16">
        <v>34</v>
      </c>
      <c r="O29" s="20">
        <f t="shared" ref="O29:P29" si="37">D29/7</f>
        <v>9.8571428571428577</v>
      </c>
      <c r="P29" s="20">
        <f t="shared" si="37"/>
        <v>0.14285714285714285</v>
      </c>
      <c r="Q29" s="16">
        <f t="shared" si="8"/>
        <v>3</v>
      </c>
      <c r="R29" s="16"/>
      <c r="S29" s="21">
        <v>4.9484536082474229</v>
      </c>
      <c r="T29" s="14">
        <v>1170</v>
      </c>
      <c r="U29" s="22">
        <v>44395</v>
      </c>
      <c r="V29" s="23" t="s">
        <v>761</v>
      </c>
      <c r="W29" s="30">
        <v>0</v>
      </c>
      <c r="X29" s="24">
        <f t="shared" si="9"/>
        <v>0</v>
      </c>
      <c r="Y29" s="25">
        <f t="shared" si="10"/>
        <v>0</v>
      </c>
      <c r="Z29" s="30">
        <v>0</v>
      </c>
      <c r="AA29" s="14" t="s">
        <v>35</v>
      </c>
      <c r="AB29" s="27">
        <f t="shared" si="11"/>
        <v>-0.69</v>
      </c>
      <c r="AC29" s="28">
        <v>9.6498842592592587E-2</v>
      </c>
      <c r="AD29" s="25">
        <f t="shared" si="12"/>
        <v>-9.1886197916666639</v>
      </c>
      <c r="AE29" s="25">
        <v>-5.98</v>
      </c>
      <c r="AF29" s="25">
        <v>-12.194000000000001</v>
      </c>
      <c r="AG29" s="25">
        <v>0</v>
      </c>
    </row>
    <row r="30" spans="1:33" ht="15.75" customHeight="1">
      <c r="A30" s="14" t="s">
        <v>57</v>
      </c>
      <c r="B30" s="14" t="s">
        <v>45</v>
      </c>
      <c r="C30" s="15">
        <f t="shared" si="4"/>
        <v>26.680161290322598</v>
      </c>
      <c r="D30" s="16">
        <v>62</v>
      </c>
      <c r="E30" s="16">
        <v>1</v>
      </c>
      <c r="F30" s="17">
        <v>1654.170000000001</v>
      </c>
      <c r="G30" s="17">
        <v>0</v>
      </c>
      <c r="H30" s="18">
        <f t="shared" si="1"/>
        <v>0</v>
      </c>
      <c r="I30" s="18">
        <f t="shared" si="2"/>
        <v>0.17297066737262701</v>
      </c>
      <c r="J30" s="17">
        <f t="shared" si="5"/>
        <v>286.1228888477786</v>
      </c>
      <c r="K30" s="17">
        <f t="shared" si="3"/>
        <v>4.614885303996429</v>
      </c>
      <c r="L30" s="16">
        <v>71</v>
      </c>
      <c r="M30" s="19">
        <f t="shared" si="6"/>
        <v>0.87323943661971826</v>
      </c>
      <c r="N30" s="16">
        <v>21</v>
      </c>
      <c r="O30" s="20">
        <f t="shared" ref="O30:P30" si="38">D30/7</f>
        <v>8.8571428571428577</v>
      </c>
      <c r="P30" s="20">
        <f t="shared" si="38"/>
        <v>0.14285714285714285</v>
      </c>
      <c r="Q30" s="16">
        <f t="shared" si="8"/>
        <v>2</v>
      </c>
      <c r="R30" s="16"/>
      <c r="S30" s="21">
        <v>6.24</v>
      </c>
      <c r="T30" s="14">
        <v>402</v>
      </c>
      <c r="U30" s="22">
        <v>96</v>
      </c>
      <c r="V30" s="23" t="s">
        <v>762</v>
      </c>
      <c r="W30" s="30">
        <v>0</v>
      </c>
      <c r="X30" s="24">
        <f t="shared" si="9"/>
        <v>0</v>
      </c>
      <c r="Y30" s="25">
        <f t="shared" si="10"/>
        <v>0</v>
      </c>
      <c r="Z30" s="30">
        <v>0</v>
      </c>
      <c r="AA30" s="14" t="s">
        <v>35</v>
      </c>
      <c r="AB30" s="27">
        <f t="shared" si="11"/>
        <v>-0.69</v>
      </c>
      <c r="AC30" s="28">
        <v>9.6498842592592587E-2</v>
      </c>
      <c r="AD30" s="25">
        <f t="shared" si="12"/>
        <v>-8.2564409722222205</v>
      </c>
      <c r="AE30" s="25">
        <v>-5.98</v>
      </c>
      <c r="AF30" s="25">
        <v>-11.95008339</v>
      </c>
      <c r="AG30" s="25">
        <v>0</v>
      </c>
    </row>
    <row r="31" spans="1:33" ht="15.75" customHeight="1">
      <c r="A31" s="14" t="s">
        <v>58</v>
      </c>
      <c r="B31" s="14" t="s">
        <v>45</v>
      </c>
      <c r="C31" s="15">
        <f t="shared" si="4"/>
        <v>27.707037037037029</v>
      </c>
      <c r="D31" s="16">
        <v>27</v>
      </c>
      <c r="E31" s="16">
        <v>0</v>
      </c>
      <c r="F31" s="17">
        <v>748.0899999999998</v>
      </c>
      <c r="G31" s="17">
        <v>0</v>
      </c>
      <c r="H31" s="18">
        <f t="shared" si="1"/>
        <v>0</v>
      </c>
      <c r="I31" s="18">
        <f t="shared" si="2"/>
        <v>0.19806266838883008</v>
      </c>
      <c r="J31" s="17">
        <f t="shared" si="5"/>
        <v>148.16870159499985</v>
      </c>
      <c r="K31" s="17">
        <f t="shared" si="3"/>
        <v>5.4877296887036984</v>
      </c>
      <c r="L31" s="16">
        <v>47</v>
      </c>
      <c r="M31" s="19">
        <f t="shared" si="6"/>
        <v>0.57446808510638303</v>
      </c>
      <c r="N31" s="16">
        <v>0</v>
      </c>
      <c r="O31" s="20">
        <f t="shared" ref="O31:P31" si="39">D31/7</f>
        <v>3.8571428571428572</v>
      </c>
      <c r="P31" s="20">
        <f t="shared" si="39"/>
        <v>0</v>
      </c>
      <c r="Q31" s="16">
        <f t="shared" si="8"/>
        <v>0</v>
      </c>
      <c r="R31" s="16"/>
      <c r="S31" s="21">
        <v>9.3834586466165408</v>
      </c>
      <c r="T31" s="14">
        <v>42</v>
      </c>
      <c r="U31" s="22" t="s">
        <v>34</v>
      </c>
      <c r="V31" s="23" t="s">
        <v>763</v>
      </c>
      <c r="W31" s="30">
        <v>0</v>
      </c>
      <c r="X31" s="24">
        <f t="shared" si="9"/>
        <v>0</v>
      </c>
      <c r="Y31" s="25">
        <f t="shared" si="10"/>
        <v>0</v>
      </c>
      <c r="Z31" s="30">
        <v>0</v>
      </c>
      <c r="AA31" s="14" t="s">
        <v>35</v>
      </c>
      <c r="AB31" s="27">
        <f t="shared" si="11"/>
        <v>-0.69</v>
      </c>
      <c r="AC31" s="28">
        <v>9.6498842592592587E-2</v>
      </c>
      <c r="AD31" s="25">
        <f t="shared" si="12"/>
        <v>-3.5955468749999993</v>
      </c>
      <c r="AE31" s="25">
        <v>-5.98</v>
      </c>
      <c r="AF31" s="25">
        <v>-11.95008339</v>
      </c>
      <c r="AG31" s="25">
        <v>0</v>
      </c>
    </row>
    <row r="32" spans="1:33" ht="15.75" customHeight="1">
      <c r="A32" s="14" t="s">
        <v>60</v>
      </c>
      <c r="B32" s="14"/>
      <c r="C32" s="15">
        <f t="shared" si="4"/>
        <v>26.95</v>
      </c>
      <c r="D32" s="16">
        <v>1</v>
      </c>
      <c r="E32" s="16">
        <v>0</v>
      </c>
      <c r="F32" s="17">
        <v>26.95</v>
      </c>
      <c r="G32" s="17">
        <v>0</v>
      </c>
      <c r="H32" s="18">
        <f t="shared" si="1"/>
        <v>0</v>
      </c>
      <c r="I32" s="18">
        <f t="shared" si="2"/>
        <v>0.17974946965574104</v>
      </c>
      <c r="J32" s="17">
        <f t="shared" si="5"/>
        <v>4.844248207222221</v>
      </c>
      <c r="K32" s="17">
        <f t="shared" si="3"/>
        <v>4.844248207222221</v>
      </c>
      <c r="L32" s="16">
        <v>12</v>
      </c>
      <c r="M32" s="19">
        <f t="shared" si="6"/>
        <v>8.3333333333333329E-2</v>
      </c>
      <c r="N32" s="16">
        <v>0</v>
      </c>
      <c r="O32" s="20">
        <f t="shared" ref="O32:P32" si="40">D32/7</f>
        <v>0.14285714285714285</v>
      </c>
      <c r="P32" s="20">
        <f t="shared" si="40"/>
        <v>0</v>
      </c>
      <c r="Q32" s="16">
        <f t="shared" si="8"/>
        <v>0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3.5130434782608702</v>
      </c>
      <c r="T32" s="14">
        <f ca="1">IFERROR(__xludf.DUMMYFUNCTION("IFERROR(VLOOKUP($B$2,IMPORTRANGE(""https://docs.google.com/spreadsheets/d/1KiWZV1ko8G7lnRucBRBd29jj3Be6ltMfljMDqzOkQmI/edit#gid=1381463014"",""Lookup!A:D""),4,FALSE),"""")"),42)</f>
        <v>42</v>
      </c>
      <c r="U32" s="22">
        <f ca="1">IFERROR(__xludf.DUMMYFUNCTION("IFERROR(VLOOKUP($B$2,IMPORTRANGE(""https://docs.google.com/spreadsheets/d/1KiWZV1ko8G7lnRucBRBd29jj3Be6ltMfljMDqzOkQmI/edit#gid=1381463014"",""Lookup!A:D""),3,FALSE),"""")"),360)</f>
        <v>360</v>
      </c>
      <c r="V32" s="23" t="str">
        <f ca="1">IFERROR(__xludf.DUMMYFUNCTION("IFERROR(VLOOKUP($B$2,IMPORTRANGE(""https://docs.google.com/spreadsheets/d/1KiWZV1ko8G7lnRucBRBd29jj3Be6ltMfljMDqzOkQmI/edit#gid=1381463014"",""Lookup!A:D""),2,FALSE),"""")"),"| 413  - 96 units 07/26| 417  - 180 units 08/14| 415  - 84 units 08/21")</f>
        <v>| 413  - 96 units 07/26| 417  - 180 units 08/14| 415  - 84 units 08/21</v>
      </c>
      <c r="W32" s="30">
        <v>0</v>
      </c>
      <c r="X32" s="24">
        <f t="shared" si="9"/>
        <v>0</v>
      </c>
      <c r="Y32" s="25">
        <f t="shared" si="10"/>
        <v>0</v>
      </c>
      <c r="Z32" s="30">
        <v>0</v>
      </c>
      <c r="AA32" s="14" t="s">
        <v>35</v>
      </c>
      <c r="AB32" s="27">
        <f t="shared" si="11"/>
        <v>-0.69</v>
      </c>
      <c r="AC32" s="28">
        <v>9.6498842592592587E-2</v>
      </c>
      <c r="AD32" s="25">
        <f t="shared" si="12"/>
        <v>-0.13316840277777775</v>
      </c>
      <c r="AE32" s="25">
        <v>-5.98</v>
      </c>
      <c r="AF32" s="25">
        <v>-11.95008339</v>
      </c>
      <c r="AG32" s="25">
        <v>0</v>
      </c>
    </row>
    <row r="33" spans="1:33" ht="15.75" customHeight="1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16"/>
      <c r="S33" s="21"/>
      <c r="T33" s="31"/>
      <c r="U33" s="36"/>
      <c r="V33" s="1"/>
      <c r="W33" s="31"/>
      <c r="X33" s="31"/>
      <c r="Y33" s="31"/>
      <c r="Z33" s="31"/>
      <c r="AA33" s="2"/>
      <c r="AB33" s="31"/>
      <c r="AC33" s="31"/>
      <c r="AD33" s="31"/>
      <c r="AE33" s="37"/>
      <c r="AF33" s="37"/>
      <c r="AG33" s="37"/>
    </row>
    <row r="34" spans="1:33" ht="15.75" customHeight="1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6"/>
      <c r="V34" s="1"/>
      <c r="W34" s="31"/>
      <c r="X34" s="31"/>
      <c r="Y34" s="31"/>
      <c r="Z34" s="31"/>
      <c r="AA34" s="2"/>
      <c r="AB34" s="31"/>
      <c r="AC34" s="31"/>
      <c r="AD34" s="31"/>
      <c r="AE34" s="37"/>
      <c r="AF34" s="37"/>
      <c r="AG34" s="37"/>
    </row>
    <row r="35" spans="1:33" ht="15.75" customHeight="1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6"/>
      <c r="V35" s="1"/>
      <c r="W35" s="31"/>
      <c r="X35" s="31"/>
      <c r="Y35" s="31"/>
      <c r="Z35" s="31"/>
      <c r="AA35" s="2"/>
      <c r="AB35" s="31"/>
      <c r="AC35" s="31"/>
      <c r="AD35" s="31"/>
      <c r="AE35" s="37"/>
      <c r="AF35" s="37"/>
      <c r="AG35" s="37"/>
    </row>
    <row r="36" spans="1:33" ht="15.75" customHeight="1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6"/>
      <c r="V36" s="1"/>
      <c r="W36" s="31"/>
      <c r="X36" s="31"/>
      <c r="Y36" s="31"/>
      <c r="Z36" s="31"/>
      <c r="AA36" s="2"/>
      <c r="AB36" s="31"/>
      <c r="AC36" s="31"/>
      <c r="AD36" s="31"/>
      <c r="AE36" s="37"/>
      <c r="AF36" s="37"/>
      <c r="AG36" s="37"/>
    </row>
    <row r="37" spans="1:33" ht="15.75" customHeight="1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6"/>
      <c r="V37" s="1"/>
      <c r="W37" s="31"/>
      <c r="X37" s="31"/>
      <c r="Y37" s="31"/>
      <c r="Z37" s="31"/>
      <c r="AA37" s="2"/>
      <c r="AB37" s="31"/>
      <c r="AC37" s="31"/>
      <c r="AD37" s="31"/>
      <c r="AE37" s="37"/>
      <c r="AF37" s="37"/>
      <c r="AG37" s="37"/>
    </row>
    <row r="38" spans="1:33" ht="15.75" customHeight="1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6"/>
      <c r="V38" s="1"/>
      <c r="W38" s="31"/>
      <c r="X38" s="31"/>
      <c r="Y38" s="31"/>
      <c r="Z38" s="31"/>
      <c r="AA38" s="2"/>
      <c r="AB38" s="31"/>
      <c r="AC38" s="31"/>
      <c r="AD38" s="31"/>
      <c r="AE38" s="37"/>
      <c r="AF38" s="37"/>
      <c r="AG38" s="37"/>
    </row>
    <row r="39" spans="1:33" ht="15.75" customHeight="1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6"/>
      <c r="V39" s="1"/>
      <c r="W39" s="31"/>
      <c r="X39" s="31"/>
      <c r="Y39" s="31"/>
      <c r="Z39" s="31"/>
      <c r="AA39" s="2"/>
      <c r="AB39" s="31"/>
      <c r="AC39" s="31"/>
      <c r="AD39" s="31"/>
      <c r="AE39" s="37"/>
      <c r="AF39" s="37"/>
      <c r="AG39" s="37"/>
    </row>
    <row r="40" spans="1:33" ht="15.75" customHeight="1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6"/>
      <c r="V40" s="1"/>
      <c r="W40" s="31"/>
      <c r="X40" s="31"/>
      <c r="Y40" s="31"/>
      <c r="Z40" s="31"/>
      <c r="AA40" s="2"/>
      <c r="AB40" s="31"/>
      <c r="AC40" s="31"/>
      <c r="AD40" s="31"/>
      <c r="AE40" s="37"/>
      <c r="AF40" s="37"/>
      <c r="AG40" s="37"/>
    </row>
    <row r="41" spans="1:33" ht="15.75" customHeight="1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6"/>
      <c r="V41" s="1"/>
      <c r="W41" s="31"/>
      <c r="X41" s="31"/>
      <c r="Y41" s="31"/>
      <c r="Z41" s="31"/>
      <c r="AA41" s="2"/>
      <c r="AB41" s="31"/>
      <c r="AC41" s="31"/>
      <c r="AD41" s="31"/>
      <c r="AE41" s="37"/>
      <c r="AF41" s="37"/>
      <c r="AG41" s="37"/>
    </row>
    <row r="42" spans="1:33" ht="15.75" customHeight="1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6"/>
      <c r="V42" s="1"/>
      <c r="W42" s="31"/>
      <c r="X42" s="31"/>
      <c r="Y42" s="31"/>
      <c r="Z42" s="31"/>
      <c r="AA42" s="2"/>
      <c r="AB42" s="31"/>
      <c r="AC42" s="31"/>
      <c r="AD42" s="31"/>
      <c r="AE42" s="37"/>
      <c r="AF42" s="37"/>
      <c r="AG42" s="37"/>
    </row>
    <row r="43" spans="1:33" ht="15.75" customHeight="1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6"/>
      <c r="V43" s="1"/>
      <c r="W43" s="31"/>
      <c r="X43" s="31"/>
      <c r="Y43" s="31"/>
      <c r="Z43" s="31"/>
      <c r="AA43" s="2"/>
      <c r="AB43" s="31"/>
      <c r="AC43" s="31"/>
      <c r="AD43" s="31"/>
      <c r="AE43" s="37"/>
      <c r="AF43" s="37"/>
      <c r="AG43" s="37"/>
    </row>
    <row r="44" spans="1:33" ht="15.75" customHeight="1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6"/>
      <c r="V44" s="1"/>
      <c r="W44" s="31"/>
      <c r="X44" s="31"/>
      <c r="Y44" s="31"/>
      <c r="Z44" s="31"/>
      <c r="AA44" s="2"/>
      <c r="AB44" s="31"/>
      <c r="AC44" s="31"/>
      <c r="AD44" s="31"/>
      <c r="AE44" s="37"/>
      <c r="AF44" s="37"/>
      <c r="AG44" s="37"/>
    </row>
    <row r="45" spans="1:33" ht="15.75" customHeight="1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6"/>
      <c r="V45" s="1"/>
      <c r="W45" s="31"/>
      <c r="X45" s="31"/>
      <c r="Y45" s="31"/>
      <c r="Z45" s="31"/>
      <c r="AA45" s="2"/>
      <c r="AB45" s="31"/>
      <c r="AC45" s="31"/>
      <c r="AD45" s="31"/>
      <c r="AE45" s="37"/>
      <c r="AF45" s="37"/>
      <c r="AG45" s="37"/>
    </row>
    <row r="46" spans="1:33" ht="15.75" customHeight="1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6"/>
      <c r="V46" s="1"/>
      <c r="W46" s="31"/>
      <c r="X46" s="31"/>
      <c r="Y46" s="31"/>
      <c r="Z46" s="31"/>
      <c r="AA46" s="2"/>
      <c r="AB46" s="31"/>
      <c r="AC46" s="31"/>
      <c r="AD46" s="31"/>
      <c r="AE46" s="37"/>
      <c r="AF46" s="37"/>
      <c r="AG46" s="37"/>
    </row>
    <row r="47" spans="1:33" ht="15.75" customHeight="1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6"/>
      <c r="V47" s="1"/>
      <c r="W47" s="31"/>
      <c r="X47" s="31"/>
      <c r="Y47" s="31"/>
      <c r="Z47" s="31"/>
      <c r="AA47" s="2"/>
      <c r="AB47" s="31"/>
      <c r="AC47" s="31"/>
      <c r="AD47" s="31"/>
      <c r="AE47" s="37"/>
      <c r="AF47" s="37"/>
      <c r="AG47" s="37"/>
    </row>
    <row r="48" spans="1:33" ht="15.75" customHeight="1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6"/>
      <c r="V48" s="1"/>
      <c r="W48" s="31"/>
      <c r="X48" s="31"/>
      <c r="Y48" s="31"/>
      <c r="Z48" s="31"/>
      <c r="AA48" s="2"/>
      <c r="AB48" s="31"/>
      <c r="AC48" s="31"/>
      <c r="AD48" s="31"/>
      <c r="AE48" s="37"/>
      <c r="AF48" s="37"/>
      <c r="AG48" s="37"/>
    </row>
    <row r="49" spans="1:33" ht="15.75" customHeight="1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6"/>
      <c r="V49" s="1"/>
      <c r="W49" s="31"/>
      <c r="X49" s="31"/>
      <c r="Y49" s="31"/>
      <c r="Z49" s="31"/>
      <c r="AA49" s="2"/>
      <c r="AB49" s="31"/>
      <c r="AC49" s="31"/>
      <c r="AD49" s="31"/>
      <c r="AE49" s="37"/>
      <c r="AF49" s="37"/>
      <c r="AG49" s="37"/>
    </row>
    <row r="50" spans="1:33" ht="15.75" customHeight="1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6"/>
      <c r="V50" s="1"/>
      <c r="W50" s="31"/>
      <c r="X50" s="31"/>
      <c r="Y50" s="31"/>
      <c r="Z50" s="31"/>
      <c r="AA50" s="2"/>
      <c r="AB50" s="31"/>
      <c r="AC50" s="31"/>
      <c r="AD50" s="31"/>
      <c r="AE50" s="37"/>
      <c r="AF50" s="37"/>
      <c r="AG50" s="37"/>
    </row>
    <row r="51" spans="1:33" ht="15.75" customHeight="1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6"/>
      <c r="V51" s="1"/>
      <c r="W51" s="31"/>
      <c r="X51" s="31"/>
      <c r="Y51" s="31"/>
      <c r="Z51" s="31"/>
      <c r="AA51" s="2"/>
      <c r="AB51" s="31"/>
      <c r="AC51" s="31"/>
      <c r="AD51" s="31"/>
      <c r="AE51" s="37"/>
      <c r="AF51" s="37"/>
      <c r="AG51" s="37"/>
    </row>
    <row r="52" spans="1:33" ht="15.75" customHeight="1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6"/>
      <c r="V52" s="1"/>
      <c r="W52" s="31"/>
      <c r="X52" s="31"/>
      <c r="Y52" s="31"/>
      <c r="Z52" s="31"/>
      <c r="AA52" s="2"/>
      <c r="AB52" s="31"/>
      <c r="AC52" s="31"/>
      <c r="AD52" s="31"/>
      <c r="AE52" s="37"/>
      <c r="AF52" s="37"/>
      <c r="AG52" s="37"/>
    </row>
    <row r="53" spans="1:33" ht="15.75" customHeight="1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6"/>
      <c r="V53" s="1"/>
      <c r="W53" s="31"/>
      <c r="X53" s="31"/>
      <c r="Y53" s="31"/>
      <c r="Z53" s="31"/>
      <c r="AA53" s="2"/>
      <c r="AB53" s="31"/>
      <c r="AC53" s="31"/>
      <c r="AD53" s="31"/>
      <c r="AE53" s="37"/>
      <c r="AF53" s="37"/>
      <c r="AG53" s="37"/>
    </row>
    <row r="54" spans="1:33" ht="15.75" customHeight="1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6"/>
      <c r="V54" s="1"/>
      <c r="W54" s="31"/>
      <c r="X54" s="31"/>
      <c r="Y54" s="31"/>
      <c r="Z54" s="31"/>
      <c r="AA54" s="2"/>
      <c r="AB54" s="31"/>
      <c r="AC54" s="31"/>
      <c r="AD54" s="31"/>
      <c r="AE54" s="37"/>
      <c r="AF54" s="37"/>
      <c r="AG54" s="37"/>
    </row>
    <row r="55" spans="1:33" ht="15.75" customHeight="1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6"/>
      <c r="V55" s="1"/>
      <c r="W55" s="31"/>
      <c r="X55" s="31"/>
      <c r="Y55" s="31"/>
      <c r="Z55" s="31"/>
      <c r="AA55" s="2"/>
      <c r="AB55" s="31"/>
      <c r="AC55" s="31"/>
      <c r="AD55" s="31"/>
      <c r="AE55" s="37"/>
      <c r="AF55" s="37"/>
      <c r="AG55" s="37"/>
    </row>
    <row r="56" spans="1:33" ht="15.75" customHeight="1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6"/>
      <c r="V56" s="1"/>
      <c r="W56" s="31"/>
      <c r="X56" s="31"/>
      <c r="Y56" s="31"/>
      <c r="Z56" s="31"/>
      <c r="AA56" s="2"/>
      <c r="AB56" s="31"/>
      <c r="AC56" s="31"/>
      <c r="AD56" s="31"/>
      <c r="AE56" s="37"/>
      <c r="AF56" s="37"/>
      <c r="AG56" s="37"/>
    </row>
    <row r="57" spans="1:33" ht="15.75" customHeight="1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6"/>
      <c r="V57" s="1"/>
      <c r="W57" s="31"/>
      <c r="X57" s="31"/>
      <c r="Y57" s="31"/>
      <c r="Z57" s="31"/>
      <c r="AA57" s="2"/>
      <c r="AB57" s="31"/>
      <c r="AC57" s="31"/>
      <c r="AD57" s="31"/>
      <c r="AE57" s="37"/>
      <c r="AF57" s="37"/>
      <c r="AG57" s="37"/>
    </row>
    <row r="58" spans="1:33" ht="15.75" customHeight="1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6"/>
      <c r="V58" s="1"/>
      <c r="W58" s="31"/>
      <c r="X58" s="31"/>
      <c r="Y58" s="31"/>
      <c r="Z58" s="31"/>
      <c r="AA58" s="2"/>
      <c r="AB58" s="31"/>
      <c r="AC58" s="31"/>
      <c r="AD58" s="31"/>
      <c r="AE58" s="37"/>
      <c r="AF58" s="37"/>
      <c r="AG58" s="37"/>
    </row>
    <row r="59" spans="1:33" ht="15.75" customHeight="1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6"/>
      <c r="V59" s="1"/>
      <c r="W59" s="31"/>
      <c r="X59" s="31"/>
      <c r="Y59" s="31"/>
      <c r="Z59" s="31"/>
      <c r="AA59" s="2"/>
      <c r="AB59" s="31"/>
      <c r="AC59" s="31"/>
      <c r="AD59" s="31"/>
      <c r="AE59" s="37"/>
      <c r="AF59" s="37"/>
      <c r="AG59" s="37"/>
    </row>
    <row r="60" spans="1:33" ht="15.75" customHeight="1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6"/>
      <c r="V60" s="1"/>
      <c r="W60" s="31"/>
      <c r="X60" s="31"/>
      <c r="Y60" s="31"/>
      <c r="Z60" s="31"/>
      <c r="AA60" s="2"/>
      <c r="AB60" s="31"/>
      <c r="AC60" s="31"/>
      <c r="AD60" s="31"/>
      <c r="AE60" s="37"/>
      <c r="AF60" s="37"/>
      <c r="AG60" s="37"/>
    </row>
    <row r="61" spans="1:33" ht="15.75" customHeight="1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6"/>
      <c r="V61" s="1"/>
      <c r="W61" s="31"/>
      <c r="X61" s="31"/>
      <c r="Y61" s="31"/>
      <c r="Z61" s="31"/>
      <c r="AA61" s="2"/>
      <c r="AB61" s="31"/>
      <c r="AC61" s="31"/>
      <c r="AD61" s="31"/>
      <c r="AE61" s="37"/>
      <c r="AF61" s="37"/>
      <c r="AG61" s="37"/>
    </row>
    <row r="62" spans="1:33" ht="15.75" customHeight="1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6"/>
      <c r="V62" s="1"/>
      <c r="W62" s="31"/>
      <c r="X62" s="31"/>
      <c r="Y62" s="31"/>
      <c r="Z62" s="31"/>
      <c r="AA62" s="2"/>
      <c r="AB62" s="31"/>
      <c r="AC62" s="31"/>
      <c r="AD62" s="31"/>
      <c r="AE62" s="37"/>
      <c r="AF62" s="37"/>
      <c r="AG62" s="37"/>
    </row>
    <row r="63" spans="1:33" ht="15.75" customHeight="1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6"/>
      <c r="V63" s="1"/>
      <c r="W63" s="31"/>
      <c r="X63" s="31"/>
      <c r="Y63" s="31"/>
      <c r="Z63" s="31"/>
      <c r="AA63" s="2"/>
      <c r="AB63" s="31"/>
      <c r="AC63" s="31"/>
      <c r="AD63" s="31"/>
      <c r="AE63" s="37"/>
      <c r="AF63" s="37"/>
      <c r="AG63" s="37"/>
    </row>
    <row r="64" spans="1:33" ht="15.75" customHeight="1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6"/>
      <c r="V64" s="1"/>
      <c r="W64" s="31"/>
      <c r="X64" s="31"/>
      <c r="Y64" s="31"/>
      <c r="Z64" s="31"/>
      <c r="AA64" s="2"/>
      <c r="AB64" s="31"/>
      <c r="AC64" s="31"/>
      <c r="AD64" s="31"/>
      <c r="AE64" s="37"/>
      <c r="AF64" s="37"/>
      <c r="AG64" s="37"/>
    </row>
    <row r="65" spans="1:33" ht="15.75" customHeight="1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6"/>
      <c r="V65" s="1"/>
      <c r="W65" s="31"/>
      <c r="X65" s="31"/>
      <c r="Y65" s="31"/>
      <c r="Z65" s="31"/>
      <c r="AA65" s="2"/>
      <c r="AB65" s="31"/>
      <c r="AC65" s="31"/>
      <c r="AD65" s="31"/>
      <c r="AE65" s="37"/>
      <c r="AF65" s="37"/>
      <c r="AG65" s="37"/>
    </row>
    <row r="66" spans="1:33" ht="15.75" customHeight="1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6"/>
      <c r="V66" s="1"/>
      <c r="W66" s="31"/>
      <c r="X66" s="31"/>
      <c r="Y66" s="31"/>
      <c r="Z66" s="31"/>
      <c r="AA66" s="2"/>
      <c r="AB66" s="31"/>
      <c r="AC66" s="31"/>
      <c r="AD66" s="31"/>
      <c r="AE66" s="37"/>
      <c r="AF66" s="37"/>
      <c r="AG66" s="37"/>
    </row>
    <row r="67" spans="1:33" ht="15.75" customHeight="1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6"/>
      <c r="V67" s="1"/>
      <c r="W67" s="31"/>
      <c r="X67" s="31"/>
      <c r="Y67" s="31"/>
      <c r="Z67" s="31"/>
      <c r="AA67" s="2"/>
      <c r="AB67" s="31"/>
      <c r="AC67" s="31"/>
      <c r="AD67" s="31"/>
      <c r="AE67" s="37"/>
      <c r="AF67" s="37"/>
      <c r="AG67" s="37"/>
    </row>
    <row r="68" spans="1:33" ht="15.75" customHeight="1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6"/>
      <c r="V68" s="1"/>
      <c r="W68" s="31"/>
      <c r="X68" s="31"/>
      <c r="Y68" s="31"/>
      <c r="Z68" s="31"/>
      <c r="AA68" s="2"/>
      <c r="AB68" s="31"/>
      <c r="AC68" s="31"/>
      <c r="AD68" s="31"/>
      <c r="AE68" s="37"/>
      <c r="AF68" s="37"/>
      <c r="AG68" s="37"/>
    </row>
    <row r="69" spans="1:33" ht="15.75" customHeight="1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6"/>
      <c r="V69" s="1"/>
      <c r="W69" s="31"/>
      <c r="X69" s="31"/>
      <c r="Y69" s="31"/>
      <c r="Z69" s="31"/>
      <c r="AA69" s="2"/>
      <c r="AB69" s="31"/>
      <c r="AC69" s="31"/>
      <c r="AD69" s="31"/>
      <c r="AE69" s="37"/>
      <c r="AF69" s="37"/>
      <c r="AG69" s="37"/>
    </row>
    <row r="70" spans="1:33" ht="15.75" customHeight="1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6"/>
      <c r="V70" s="1"/>
      <c r="W70" s="31"/>
      <c r="X70" s="31"/>
      <c r="Y70" s="31"/>
      <c r="Z70" s="31"/>
      <c r="AA70" s="2"/>
      <c r="AB70" s="31"/>
      <c r="AC70" s="31"/>
      <c r="AD70" s="31"/>
      <c r="AE70" s="37"/>
      <c r="AF70" s="37"/>
      <c r="AG70" s="37"/>
    </row>
    <row r="71" spans="1:33" ht="15.75" customHeight="1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6"/>
      <c r="V71" s="1"/>
      <c r="W71" s="31"/>
      <c r="X71" s="31"/>
      <c r="Y71" s="31"/>
      <c r="Z71" s="31"/>
      <c r="AA71" s="2"/>
      <c r="AB71" s="31"/>
      <c r="AC71" s="31"/>
      <c r="AD71" s="31"/>
      <c r="AE71" s="37"/>
      <c r="AF71" s="37"/>
      <c r="AG71" s="37"/>
    </row>
    <row r="72" spans="1:33" ht="15.75" customHeight="1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6"/>
      <c r="V72" s="1"/>
      <c r="W72" s="31"/>
      <c r="X72" s="31"/>
      <c r="Y72" s="31"/>
      <c r="Z72" s="31"/>
      <c r="AA72" s="2"/>
      <c r="AB72" s="31"/>
      <c r="AC72" s="31"/>
      <c r="AD72" s="31"/>
      <c r="AE72" s="37"/>
      <c r="AF72" s="37"/>
      <c r="AG72" s="37"/>
    </row>
    <row r="73" spans="1:33" ht="15.75" customHeight="1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6"/>
      <c r="V73" s="1"/>
      <c r="W73" s="31"/>
      <c r="X73" s="31"/>
      <c r="Y73" s="31"/>
      <c r="Z73" s="31"/>
      <c r="AA73" s="2"/>
      <c r="AB73" s="31"/>
      <c r="AC73" s="31"/>
      <c r="AD73" s="31"/>
      <c r="AE73" s="37"/>
      <c r="AF73" s="37"/>
      <c r="AG73" s="37"/>
    </row>
    <row r="74" spans="1:33" ht="15.75" customHeight="1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6"/>
      <c r="V74" s="1"/>
      <c r="W74" s="31"/>
      <c r="X74" s="31"/>
      <c r="Y74" s="31"/>
      <c r="Z74" s="31"/>
      <c r="AA74" s="2"/>
      <c r="AB74" s="31"/>
      <c r="AC74" s="31"/>
      <c r="AD74" s="31"/>
      <c r="AE74" s="37"/>
      <c r="AF74" s="37"/>
      <c r="AG74" s="37"/>
    </row>
    <row r="75" spans="1:33" ht="15.75" customHeight="1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6"/>
      <c r="V75" s="1"/>
      <c r="W75" s="31"/>
      <c r="X75" s="31"/>
      <c r="Y75" s="31"/>
      <c r="Z75" s="31"/>
      <c r="AA75" s="2"/>
      <c r="AB75" s="31"/>
      <c r="AC75" s="31"/>
      <c r="AD75" s="31"/>
      <c r="AE75" s="37"/>
      <c r="AF75" s="37"/>
      <c r="AG75" s="37"/>
    </row>
    <row r="76" spans="1:33" ht="15.75" customHeight="1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6"/>
      <c r="V76" s="1"/>
      <c r="W76" s="31"/>
      <c r="X76" s="31"/>
      <c r="Y76" s="31"/>
      <c r="Z76" s="31"/>
      <c r="AA76" s="2"/>
      <c r="AB76" s="31"/>
      <c r="AC76" s="31"/>
      <c r="AD76" s="31"/>
      <c r="AE76" s="37"/>
      <c r="AF76" s="37"/>
      <c r="AG76" s="37"/>
    </row>
    <row r="77" spans="1:33" ht="15.75" customHeight="1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6"/>
      <c r="V77" s="1"/>
      <c r="W77" s="31"/>
      <c r="X77" s="31"/>
      <c r="Y77" s="31"/>
      <c r="Z77" s="31"/>
      <c r="AA77" s="2"/>
      <c r="AB77" s="31"/>
      <c r="AC77" s="31"/>
      <c r="AD77" s="31"/>
      <c r="AE77" s="37"/>
      <c r="AF77" s="37"/>
      <c r="AG77" s="37"/>
    </row>
    <row r="78" spans="1:33" ht="15.75" customHeight="1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6"/>
      <c r="V78" s="1"/>
      <c r="W78" s="31"/>
      <c r="X78" s="31"/>
      <c r="Y78" s="31"/>
      <c r="Z78" s="31"/>
      <c r="AA78" s="2"/>
      <c r="AB78" s="31"/>
      <c r="AC78" s="31"/>
      <c r="AD78" s="31"/>
      <c r="AE78" s="37"/>
      <c r="AF78" s="37"/>
      <c r="AG78" s="37"/>
    </row>
    <row r="79" spans="1:33" ht="15.75" customHeight="1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6"/>
      <c r="V79" s="1"/>
      <c r="W79" s="31"/>
      <c r="X79" s="31"/>
      <c r="Y79" s="31"/>
      <c r="Z79" s="31"/>
      <c r="AA79" s="2"/>
      <c r="AB79" s="31"/>
      <c r="AC79" s="31"/>
      <c r="AD79" s="31"/>
      <c r="AE79" s="37"/>
      <c r="AF79" s="37"/>
      <c r="AG79" s="37"/>
    </row>
    <row r="80" spans="1:33" ht="15.75" customHeight="1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6"/>
      <c r="V80" s="1"/>
      <c r="W80" s="31"/>
      <c r="X80" s="31"/>
      <c r="Y80" s="31"/>
      <c r="Z80" s="31"/>
      <c r="AA80" s="2"/>
      <c r="AB80" s="31"/>
      <c r="AC80" s="31"/>
      <c r="AD80" s="31"/>
      <c r="AE80" s="37"/>
      <c r="AF80" s="37"/>
      <c r="AG80" s="37"/>
    </row>
    <row r="81" spans="1:33" ht="15.75" customHeight="1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6"/>
      <c r="V81" s="1"/>
      <c r="W81" s="31"/>
      <c r="X81" s="31"/>
      <c r="Y81" s="31"/>
      <c r="Z81" s="31"/>
      <c r="AA81" s="2"/>
      <c r="AB81" s="31"/>
      <c r="AC81" s="31"/>
      <c r="AD81" s="31"/>
      <c r="AE81" s="37"/>
      <c r="AF81" s="37"/>
      <c r="AG81" s="37"/>
    </row>
    <row r="82" spans="1:33" ht="15.75" customHeight="1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6"/>
      <c r="V82" s="1"/>
      <c r="W82" s="31"/>
      <c r="X82" s="31"/>
      <c r="Y82" s="31"/>
      <c r="Z82" s="31"/>
      <c r="AA82" s="2"/>
      <c r="AB82" s="31"/>
      <c r="AC82" s="31"/>
      <c r="AD82" s="31"/>
      <c r="AE82" s="37"/>
      <c r="AF82" s="37"/>
      <c r="AG82" s="37"/>
    </row>
    <row r="83" spans="1:33" ht="15.75" customHeight="1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6"/>
      <c r="V83" s="1"/>
      <c r="W83" s="31"/>
      <c r="X83" s="31"/>
      <c r="Y83" s="31"/>
      <c r="Z83" s="31"/>
      <c r="AA83" s="2"/>
      <c r="AB83" s="31"/>
      <c r="AC83" s="31"/>
      <c r="AD83" s="31"/>
      <c r="AE83" s="37"/>
      <c r="AF83" s="37"/>
      <c r="AG83" s="37"/>
    </row>
    <row r="84" spans="1:33" ht="15.75" customHeight="1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6"/>
      <c r="V84" s="1"/>
      <c r="W84" s="31"/>
      <c r="X84" s="31"/>
      <c r="Y84" s="31"/>
      <c r="Z84" s="31"/>
      <c r="AA84" s="2"/>
      <c r="AB84" s="31"/>
      <c r="AC84" s="31"/>
      <c r="AD84" s="31"/>
      <c r="AE84" s="37"/>
      <c r="AF84" s="37"/>
      <c r="AG84" s="37"/>
    </row>
    <row r="85" spans="1:33" ht="15.75" customHeight="1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6"/>
      <c r="V85" s="1"/>
      <c r="W85" s="31"/>
      <c r="X85" s="31"/>
      <c r="Y85" s="31"/>
      <c r="Z85" s="31"/>
      <c r="AA85" s="2"/>
      <c r="AB85" s="31"/>
      <c r="AC85" s="31"/>
      <c r="AD85" s="31"/>
      <c r="AE85" s="37"/>
      <c r="AF85" s="37"/>
      <c r="AG85" s="37"/>
    </row>
    <row r="86" spans="1:33" ht="15.75" customHeight="1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6"/>
      <c r="V86" s="1"/>
      <c r="W86" s="31"/>
      <c r="X86" s="31"/>
      <c r="Y86" s="31"/>
      <c r="Z86" s="31"/>
      <c r="AA86" s="2"/>
      <c r="AB86" s="31"/>
      <c r="AC86" s="31"/>
      <c r="AD86" s="31"/>
      <c r="AE86" s="37"/>
      <c r="AF86" s="37"/>
      <c r="AG86" s="37"/>
    </row>
    <row r="87" spans="1:33" ht="15.75" customHeight="1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6"/>
      <c r="V87" s="1"/>
      <c r="W87" s="31"/>
      <c r="X87" s="31"/>
      <c r="Y87" s="31"/>
      <c r="Z87" s="31"/>
      <c r="AA87" s="2"/>
      <c r="AB87" s="31"/>
      <c r="AC87" s="31"/>
      <c r="AD87" s="31"/>
      <c r="AE87" s="37"/>
      <c r="AF87" s="37"/>
      <c r="AG87" s="37"/>
    </row>
    <row r="88" spans="1:33" ht="15.75" customHeight="1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6"/>
      <c r="V88" s="1"/>
      <c r="W88" s="31"/>
      <c r="X88" s="31"/>
      <c r="Y88" s="31"/>
      <c r="Z88" s="31"/>
      <c r="AA88" s="2"/>
      <c r="AB88" s="31"/>
      <c r="AC88" s="31"/>
      <c r="AD88" s="31"/>
      <c r="AE88" s="37"/>
      <c r="AF88" s="37"/>
      <c r="AG88" s="37"/>
    </row>
    <row r="89" spans="1:33" ht="15.75" customHeight="1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6"/>
      <c r="V89" s="1"/>
      <c r="W89" s="31"/>
      <c r="X89" s="31"/>
      <c r="Y89" s="31"/>
      <c r="Z89" s="31"/>
      <c r="AA89" s="2"/>
      <c r="AB89" s="31"/>
      <c r="AC89" s="31"/>
      <c r="AD89" s="31"/>
      <c r="AE89" s="37"/>
      <c r="AF89" s="37"/>
      <c r="AG89" s="37"/>
    </row>
    <row r="90" spans="1:33" ht="15.75" customHeight="1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6"/>
      <c r="V90" s="1"/>
      <c r="W90" s="31"/>
      <c r="X90" s="31"/>
      <c r="Y90" s="31"/>
      <c r="Z90" s="31"/>
      <c r="AA90" s="2"/>
      <c r="AB90" s="31"/>
      <c r="AC90" s="31"/>
      <c r="AD90" s="31"/>
      <c r="AE90" s="37"/>
      <c r="AF90" s="37"/>
      <c r="AG90" s="37"/>
    </row>
    <row r="91" spans="1:33" ht="15.75" customHeight="1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6"/>
      <c r="V91" s="1"/>
      <c r="W91" s="31"/>
      <c r="X91" s="31"/>
      <c r="Y91" s="31"/>
      <c r="Z91" s="31"/>
      <c r="AA91" s="2"/>
      <c r="AB91" s="31"/>
      <c r="AC91" s="31"/>
      <c r="AD91" s="31"/>
      <c r="AE91" s="37"/>
      <c r="AF91" s="37"/>
      <c r="AG91" s="37"/>
    </row>
    <row r="92" spans="1:33" ht="15.75" customHeight="1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6"/>
      <c r="V92" s="1"/>
      <c r="W92" s="31"/>
      <c r="X92" s="31"/>
      <c r="Y92" s="31"/>
      <c r="Z92" s="31"/>
      <c r="AA92" s="2"/>
      <c r="AB92" s="31"/>
      <c r="AC92" s="31"/>
      <c r="AD92" s="31"/>
      <c r="AE92" s="37"/>
      <c r="AF92" s="37"/>
      <c r="AG92" s="37"/>
    </row>
    <row r="93" spans="1:33" ht="15.75" customHeight="1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6"/>
      <c r="V93" s="1"/>
      <c r="W93" s="31"/>
      <c r="X93" s="31"/>
      <c r="Y93" s="31"/>
      <c r="Z93" s="31"/>
      <c r="AA93" s="2"/>
      <c r="AB93" s="31"/>
      <c r="AC93" s="31"/>
      <c r="AD93" s="31"/>
      <c r="AE93" s="37"/>
      <c r="AF93" s="37"/>
      <c r="AG93" s="37"/>
    </row>
    <row r="94" spans="1:33" ht="15.75" customHeight="1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6"/>
      <c r="V94" s="1"/>
      <c r="W94" s="31"/>
      <c r="X94" s="31"/>
      <c r="Y94" s="31"/>
      <c r="Z94" s="31"/>
      <c r="AA94" s="2"/>
      <c r="AB94" s="31"/>
      <c r="AC94" s="31"/>
      <c r="AD94" s="31"/>
      <c r="AE94" s="37"/>
      <c r="AF94" s="37"/>
      <c r="AG94" s="37"/>
    </row>
    <row r="95" spans="1:33" ht="15.75" customHeight="1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6"/>
      <c r="V95" s="1"/>
      <c r="W95" s="31"/>
      <c r="X95" s="31"/>
      <c r="Y95" s="31"/>
      <c r="Z95" s="31"/>
      <c r="AA95" s="2"/>
      <c r="AB95" s="31"/>
      <c r="AC95" s="31"/>
      <c r="AD95" s="31"/>
      <c r="AE95" s="37"/>
      <c r="AF95" s="37"/>
      <c r="AG95" s="37"/>
    </row>
    <row r="96" spans="1:33" ht="15.75" customHeight="1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6"/>
      <c r="V96" s="1"/>
      <c r="W96" s="31"/>
      <c r="X96" s="31"/>
      <c r="Y96" s="31"/>
      <c r="Z96" s="31"/>
      <c r="AA96" s="2"/>
      <c r="AB96" s="31"/>
      <c r="AC96" s="31"/>
      <c r="AD96" s="31"/>
      <c r="AE96" s="37"/>
      <c r="AF96" s="37"/>
      <c r="AG96" s="37"/>
    </row>
    <row r="97" spans="1:33" ht="15.75" customHeight="1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8"/>
      <c r="R97" s="38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8"/>
      <c r="R98" s="38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8"/>
      <c r="R99" s="38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8"/>
      <c r="R100" s="38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8"/>
      <c r="R101" s="38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8"/>
      <c r="R102" s="38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8"/>
      <c r="R103" s="38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8"/>
      <c r="R104" s="38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8"/>
      <c r="R105" s="38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8"/>
      <c r="R106" s="38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8"/>
      <c r="R107" s="38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8"/>
      <c r="R108" s="38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8"/>
      <c r="R109" s="38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8"/>
      <c r="R110" s="38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8"/>
      <c r="R111" s="38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8"/>
      <c r="R112" s="38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8"/>
      <c r="R113" s="38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8"/>
      <c r="R114" s="38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>
      <c r="A115" s="31"/>
      <c r="B115" s="31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>
      <c r="A116" s="31"/>
      <c r="B116" s="31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>
      <c r="A117" s="31"/>
      <c r="B117" s="31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>
      <c r="A118" s="31"/>
      <c r="B118" s="31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>
      <c r="A119" s="31"/>
      <c r="B119" s="31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>
      <c r="A120" s="31"/>
      <c r="B120" s="31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>
      <c r="A121" s="31"/>
      <c r="B121" s="31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>
      <c r="A122" s="31"/>
      <c r="B122" s="31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>
      <c r="A123" s="31"/>
      <c r="B123" s="31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>
      <c r="A124" s="31"/>
      <c r="B124" s="31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>
      <c r="A125" s="31"/>
      <c r="B125" s="31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>
      <c r="A126" s="31"/>
      <c r="B126" s="31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>
      <c r="A127" s="31"/>
      <c r="B127" s="31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>
      <c r="A128" s="31"/>
      <c r="B128" s="31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>
      <c r="A129" s="31"/>
      <c r="B129" s="31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>
      <c r="A130" s="31"/>
      <c r="B130" s="31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>
      <c r="A131" s="31"/>
      <c r="B131" s="31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>
      <c r="A132" s="31"/>
      <c r="B132" s="31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>
      <c r="A133" s="31"/>
      <c r="B133" s="31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>
      <c r="A134" s="31"/>
      <c r="B134" s="31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>
      <c r="A135" s="31"/>
      <c r="B135" s="31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>
      <c r="A136" s="31"/>
      <c r="B136" s="31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>
      <c r="A137" s="31"/>
      <c r="B137" s="31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>
      <c r="A138" s="31"/>
      <c r="B138" s="31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>
      <c r="A139" s="31"/>
      <c r="B139" s="31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>
      <c r="A140" s="31"/>
      <c r="B140" s="31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>
      <c r="A141" s="31"/>
      <c r="B141" s="31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2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>
      <c r="A142" s="31"/>
      <c r="B142" s="31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2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>
      <c r="A143" s="31"/>
      <c r="B143" s="31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2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>
      <c r="A144" s="31"/>
      <c r="B144" s="31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2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>
      <c r="A145" s="31"/>
      <c r="B145" s="31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2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>
      <c r="A146" s="31"/>
      <c r="B146" s="31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2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>
      <c r="A147" s="31"/>
      <c r="B147" s="31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2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>
      <c r="A148" s="31"/>
      <c r="B148" s="31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2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</row>
    <row r="149" spans="1:33" ht="15.75" customHeight="1">
      <c r="A149" s="14"/>
      <c r="B149" s="14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>
      <c r="A150" s="14"/>
      <c r="B150" s="14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>
      <c r="A151" s="14"/>
      <c r="B151" s="14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>
      <c r="A152" s="14"/>
      <c r="B152" s="14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>
      <c r="A153" s="14"/>
      <c r="B153" s="14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>
      <c r="A154" s="14"/>
      <c r="B154" s="14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>
      <c r="A155" s="14"/>
      <c r="B155" s="14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>
      <c r="A156" s="14"/>
      <c r="B156" s="14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>
      <c r="A157" s="14"/>
      <c r="B157" s="14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>
      <c r="A158" s="14"/>
      <c r="B158" s="14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>
      <c r="A159" s="14"/>
      <c r="B159" s="14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>
      <c r="A160" s="14"/>
      <c r="B160" s="14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>
      <c r="A161" s="14"/>
      <c r="B161" s="14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>
      <c r="A162" s="14"/>
      <c r="B162" s="14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>
      <c r="A163" s="14"/>
      <c r="B163" s="14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>
      <c r="A164" s="14"/>
      <c r="B164" s="14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>
      <c r="A165" s="14"/>
      <c r="B165" s="14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>
      <c r="A166" s="14"/>
      <c r="B166" s="14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>
      <c r="A167" s="14"/>
      <c r="B167" s="14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>
      <c r="A168" s="14"/>
      <c r="B168" s="14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>
      <c r="A169" s="14"/>
      <c r="B169" s="14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>
      <c r="A170" s="14"/>
      <c r="B170" s="14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>
      <c r="A171" s="14"/>
      <c r="B171" s="14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>
      <c r="A172" s="14"/>
      <c r="B172" s="14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>
      <c r="A173" s="14"/>
      <c r="B173" s="14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>
      <c r="A174" s="14"/>
      <c r="B174" s="14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>
      <c r="A175" s="14"/>
      <c r="B175" s="14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>
      <c r="A176" s="14"/>
      <c r="B176" s="14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>
      <c r="A177" s="14"/>
      <c r="B177" s="14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>
      <c r="A178" s="14"/>
      <c r="B178" s="14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>
      <c r="A179" s="14"/>
      <c r="B179" s="14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>
      <c r="A180" s="14"/>
      <c r="B180" s="14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>
      <c r="A181" s="14"/>
      <c r="B181" s="14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>
      <c r="A182" s="14"/>
      <c r="B182" s="14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>
      <c r="A183" s="14"/>
      <c r="B183" s="14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>
      <c r="A184" s="14"/>
      <c r="B184" s="14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>
      <c r="A185" s="14"/>
      <c r="B185" s="14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>
      <c r="A186" s="14"/>
      <c r="B186" s="14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>
      <c r="A187" s="14"/>
      <c r="B187" s="14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>
      <c r="A188" s="14"/>
      <c r="B188" s="14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>
      <c r="A189" s="14"/>
      <c r="B189" s="14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>
      <c r="A190" s="14"/>
      <c r="B190" s="14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>
      <c r="A191" s="14"/>
      <c r="B191" s="14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>
      <c r="A192" s="14"/>
      <c r="B192" s="14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>
      <c r="A193" s="14"/>
      <c r="B193" s="14"/>
      <c r="C193" s="39"/>
      <c r="D193" s="39"/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>
      <c r="A194" s="14"/>
      <c r="B194" s="14"/>
      <c r="C194" s="39"/>
      <c r="D194" s="39"/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>
      <c r="A195" s="14"/>
      <c r="B195" s="14"/>
      <c r="C195" s="39"/>
      <c r="D195" s="39"/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>
      <c r="A196" s="14"/>
      <c r="B196" s="14"/>
      <c r="C196" s="39"/>
      <c r="D196" s="39"/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>
      <c r="A197" s="14"/>
      <c r="B197" s="14"/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>
      <c r="A198" s="14"/>
      <c r="B198" s="14"/>
      <c r="C198" s="39"/>
      <c r="D198" s="39"/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>
      <c r="A199" s="14"/>
      <c r="B199" s="14"/>
      <c r="C199" s="39"/>
      <c r="D199" s="39"/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>
      <c r="A200" s="14"/>
      <c r="B200" s="14"/>
      <c r="C200" s="39"/>
      <c r="D200" s="39"/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>
      <c r="A201" s="14"/>
      <c r="B201" s="14"/>
      <c r="C201" s="39"/>
      <c r="D201" s="39"/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>
      <c r="A202" s="14"/>
      <c r="B202" s="14"/>
      <c r="C202" s="39"/>
      <c r="D202" s="39"/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>
      <c r="A203" s="14"/>
      <c r="B203" s="14"/>
      <c r="C203" s="39"/>
      <c r="D203" s="39"/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>
      <c r="A204" s="14"/>
      <c r="B204" s="14"/>
      <c r="C204" s="39"/>
      <c r="D204" s="39"/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>
      <c r="A205" s="14"/>
      <c r="B205" s="14"/>
      <c r="C205" s="39"/>
      <c r="D205" s="39"/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>
      <c r="A206" s="14"/>
      <c r="B206" s="14"/>
      <c r="C206" s="39"/>
      <c r="D206" s="39"/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>
      <c r="A207" s="14"/>
      <c r="B207" s="14"/>
      <c r="C207" s="39"/>
      <c r="D207" s="39"/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>
      <c r="A208" s="14"/>
      <c r="B208" s="14"/>
      <c r="C208" s="39"/>
      <c r="D208" s="39"/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>
      <c r="A209" s="14"/>
      <c r="B209" s="14"/>
      <c r="C209" s="39"/>
      <c r="D209" s="39"/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>
      <c r="A210" s="14"/>
      <c r="B210" s="14"/>
      <c r="C210" s="39"/>
      <c r="D210" s="39"/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>
      <c r="A211" s="14"/>
      <c r="B211" s="14"/>
      <c r="C211" s="39"/>
      <c r="D211" s="39"/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>
      <c r="A212" s="14"/>
      <c r="B212" s="14"/>
      <c r="C212" s="39"/>
      <c r="D212" s="39"/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>
      <c r="A213" s="14"/>
      <c r="B213" s="14"/>
      <c r="C213" s="39"/>
      <c r="D213" s="39"/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>
      <c r="A214" s="14"/>
      <c r="B214" s="14"/>
      <c r="C214" s="39"/>
      <c r="D214" s="39"/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>
      <c r="A215" s="14"/>
      <c r="B215" s="14"/>
      <c r="C215" s="39"/>
      <c r="D215" s="39"/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>
      <c r="A216" s="14"/>
      <c r="B216" s="14"/>
      <c r="C216" s="39"/>
      <c r="D216" s="39"/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>
      <c r="A217" s="14"/>
      <c r="B217" s="14"/>
      <c r="C217" s="39"/>
      <c r="D217" s="39"/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>
      <c r="A218" s="14"/>
      <c r="B218" s="14"/>
      <c r="C218" s="39"/>
      <c r="D218" s="39"/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>
      <c r="A219" s="14"/>
      <c r="B219" s="14"/>
      <c r="C219" s="39"/>
      <c r="D219" s="39"/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>
      <c r="A220" s="14"/>
      <c r="B220" s="14"/>
      <c r="C220" s="39"/>
      <c r="D220" s="39"/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>
      <c r="R221" s="30"/>
      <c r="S221" s="40"/>
    </row>
    <row r="222" spans="1:33" ht="15.75" customHeight="1">
      <c r="R222" s="30"/>
      <c r="S222" s="40"/>
    </row>
    <row r="223" spans="1:33" ht="15.75" customHeight="1">
      <c r="R223" s="30"/>
      <c r="S223" s="40"/>
    </row>
    <row r="224" spans="1:33" ht="15.75" customHeight="1">
      <c r="R224" s="30"/>
      <c r="S224" s="40"/>
    </row>
    <row r="225" spans="18:18" ht="15.75" customHeight="1">
      <c r="R225" s="30"/>
    </row>
    <row r="226" spans="18:18" ht="15.75" customHeight="1">
      <c r="R226" s="30"/>
    </row>
    <row r="227" spans="18:18" ht="15.75" customHeight="1">
      <c r="R227" s="30"/>
    </row>
    <row r="228" spans="18:18" ht="15.75" customHeight="1">
      <c r="R228" s="30"/>
    </row>
    <row r="229" spans="18:18" ht="15.75" customHeight="1">
      <c r="R229" s="30"/>
    </row>
    <row r="230" spans="18:18" ht="15.75" customHeight="1">
      <c r="R230" s="30"/>
    </row>
    <row r="231" spans="18:18" ht="15.75" customHeight="1">
      <c r="R231" s="30"/>
    </row>
    <row r="232" spans="18:18" ht="15.75" customHeight="1">
      <c r="R232" s="30"/>
    </row>
    <row r="233" spans="18:18" ht="15.75" customHeight="1">
      <c r="R233" s="30"/>
    </row>
    <row r="234" spans="18:18" ht="15.75" customHeight="1">
      <c r="R234" s="30"/>
    </row>
    <row r="235" spans="18:18" ht="15.75" customHeight="1">
      <c r="R235" s="30"/>
    </row>
    <row r="236" spans="18:18" ht="15.75" customHeight="1">
      <c r="R236" s="30"/>
    </row>
    <row r="237" spans="18:18" ht="15.75" customHeight="1">
      <c r="R237" s="30"/>
    </row>
    <row r="238" spans="18:18" ht="15.75" customHeight="1">
      <c r="R238" s="30"/>
    </row>
    <row r="239" spans="18:18" ht="15.75" customHeight="1">
      <c r="R239" s="30"/>
    </row>
    <row r="240" spans="18:18" ht="15.75" customHeight="1">
      <c r="R240" s="30"/>
    </row>
    <row r="241" spans="18:18" ht="15.75" customHeight="1">
      <c r="R241" s="30"/>
    </row>
    <row r="242" spans="18:18" ht="15.75" customHeight="1">
      <c r="R242" s="30"/>
    </row>
    <row r="243" spans="18:18" ht="15.75" customHeight="1">
      <c r="R243" s="30"/>
    </row>
    <row r="244" spans="18:18" ht="15.75" customHeight="1">
      <c r="R244" s="30"/>
    </row>
    <row r="245" spans="18:18" ht="15.75" customHeight="1">
      <c r="R245" s="30"/>
    </row>
    <row r="246" spans="18:18" ht="15.75" customHeight="1">
      <c r="R246" s="30"/>
    </row>
    <row r="247" spans="18:18" ht="15.75" customHeight="1">
      <c r="R247" s="30"/>
    </row>
    <row r="248" spans="18:18" ht="15.75" customHeight="1">
      <c r="R248" s="30"/>
    </row>
    <row r="249" spans="18:18" ht="15.75" customHeight="1">
      <c r="R249" s="30"/>
    </row>
    <row r="250" spans="18:18" ht="15.75" customHeight="1">
      <c r="R250" s="30"/>
    </row>
    <row r="251" spans="18:18" ht="15.75" customHeight="1">
      <c r="R251" s="30"/>
    </row>
    <row r="252" spans="18:18" ht="15.75" customHeight="1">
      <c r="R252" s="30"/>
    </row>
    <row r="253" spans="18:18" ht="15.75" customHeight="1">
      <c r="R253" s="30"/>
    </row>
    <row r="254" spans="18:18" ht="15.75" customHeight="1">
      <c r="R254" s="30"/>
    </row>
    <row r="255" spans="18:18" ht="15.75" customHeight="1">
      <c r="R255" s="30"/>
    </row>
    <row r="256" spans="18:18" ht="15.75" customHeight="1">
      <c r="R256" s="30"/>
    </row>
    <row r="257" spans="18:18" ht="15.75" customHeight="1">
      <c r="R257" s="30"/>
    </row>
    <row r="258" spans="18:18" ht="15.75" customHeight="1">
      <c r="R258" s="30"/>
    </row>
    <row r="259" spans="18:18" ht="15.75" customHeight="1">
      <c r="R259" s="30"/>
    </row>
    <row r="260" spans="18:18" ht="15.75" customHeight="1">
      <c r="R260" s="30"/>
    </row>
    <row r="261" spans="18:18" ht="15.75" customHeight="1">
      <c r="R261" s="30"/>
    </row>
    <row r="262" spans="18:18" ht="15.75" customHeight="1">
      <c r="R262" s="30"/>
    </row>
    <row r="263" spans="18:18" ht="15.75" customHeight="1">
      <c r="R263" s="30"/>
    </row>
    <row r="264" spans="18:18" ht="15.75" customHeight="1">
      <c r="R264" s="30"/>
    </row>
    <row r="265" spans="18:18" ht="15.75" customHeight="1">
      <c r="R265" s="30"/>
    </row>
    <row r="266" spans="18:18" ht="15.75" customHeight="1">
      <c r="R266" s="30"/>
    </row>
    <row r="267" spans="18:18" ht="15.75" customHeight="1">
      <c r="R267" s="30"/>
    </row>
    <row r="268" spans="18:18" ht="15.75" customHeight="1">
      <c r="R268" s="30"/>
    </row>
    <row r="269" spans="18:18" ht="15.75" customHeight="1">
      <c r="R269" s="30"/>
    </row>
    <row r="270" spans="18:18" ht="15.75" customHeight="1">
      <c r="R270" s="30"/>
    </row>
    <row r="271" spans="18:18" ht="15.75" customHeight="1">
      <c r="R271" s="30"/>
    </row>
    <row r="272" spans="18:18" ht="15.75" customHeight="1">
      <c r="R272" s="30"/>
    </row>
    <row r="273" spans="18:18" ht="15.75" customHeight="1">
      <c r="R273" s="30"/>
    </row>
    <row r="274" spans="18:18" ht="15.75" customHeight="1">
      <c r="R274" s="30"/>
    </row>
    <row r="275" spans="18:18" ht="15.75" customHeight="1">
      <c r="R275" s="30"/>
    </row>
    <row r="276" spans="18:18" ht="15.75" customHeight="1">
      <c r="R276" s="30"/>
    </row>
    <row r="277" spans="18:18" ht="15.75" customHeight="1">
      <c r="R277" s="30"/>
    </row>
    <row r="278" spans="18:18" ht="15.75" customHeight="1">
      <c r="R278" s="30"/>
    </row>
    <row r="279" spans="18:18" ht="15.75" customHeight="1">
      <c r="R279" s="30"/>
    </row>
    <row r="280" spans="18:18" ht="15.75" customHeight="1">
      <c r="R280" s="30"/>
    </row>
    <row r="281" spans="18:18" ht="15.75" customHeight="1">
      <c r="R281" s="30"/>
    </row>
    <row r="282" spans="18:18" ht="15.75" customHeight="1">
      <c r="R282" s="30"/>
    </row>
    <row r="283" spans="18:18" ht="15.75" customHeight="1">
      <c r="R283" s="30"/>
    </row>
    <row r="284" spans="18:18" ht="15.75" customHeight="1">
      <c r="R284" s="30"/>
    </row>
    <row r="285" spans="18:18" ht="15.75" customHeight="1">
      <c r="R285" s="30"/>
    </row>
    <row r="286" spans="18:18" ht="15.75" customHeight="1">
      <c r="R286" s="30"/>
    </row>
    <row r="287" spans="18:18" ht="15.75" customHeight="1">
      <c r="R287" s="30"/>
    </row>
    <row r="288" spans="18:18" ht="15.75" customHeight="1">
      <c r="R288" s="30"/>
    </row>
    <row r="289" spans="18:18" ht="15.75" customHeight="1">
      <c r="R289" s="30"/>
    </row>
    <row r="290" spans="18:18" ht="15.75" customHeight="1">
      <c r="R290" s="30"/>
    </row>
    <row r="291" spans="18:18" ht="15.75" customHeight="1">
      <c r="R291" s="30"/>
    </row>
    <row r="292" spans="18:18" ht="15.75" customHeight="1">
      <c r="R292" s="30"/>
    </row>
    <row r="293" spans="18:18" ht="15.75" customHeight="1">
      <c r="R293" s="30"/>
    </row>
    <row r="294" spans="18:18" ht="15.75" customHeight="1">
      <c r="R294" s="30"/>
    </row>
    <row r="295" spans="18:18" ht="15.75" customHeight="1">
      <c r="R295" s="30"/>
    </row>
    <row r="296" spans="18:18" ht="15.75" customHeight="1">
      <c r="R296" s="30"/>
    </row>
    <row r="297" spans="18:18" ht="15.75" customHeight="1">
      <c r="R297" s="30"/>
    </row>
    <row r="298" spans="18:18" ht="15.75" customHeight="1">
      <c r="R298" s="30"/>
    </row>
    <row r="299" spans="18:18" ht="15.75" customHeight="1">
      <c r="R299" s="30"/>
    </row>
    <row r="300" spans="18:18" ht="15.75" customHeight="1">
      <c r="R300" s="30"/>
    </row>
    <row r="301" spans="18:18" ht="15.75" customHeight="1">
      <c r="R301" s="30"/>
    </row>
    <row r="302" spans="18:18" ht="15.75" customHeight="1">
      <c r="R302" s="30"/>
    </row>
    <row r="303" spans="18:18" ht="15.75" customHeight="1">
      <c r="R303" s="30"/>
    </row>
    <row r="304" spans="18:18" ht="15.75" customHeight="1">
      <c r="R304" s="30"/>
    </row>
    <row r="305" spans="18:18" ht="15.75" customHeight="1">
      <c r="R305" s="30"/>
    </row>
    <row r="306" spans="18:18" ht="15.75" customHeight="1">
      <c r="R306" s="30"/>
    </row>
    <row r="307" spans="18:18" ht="15.75" customHeight="1">
      <c r="R307" s="30"/>
    </row>
    <row r="308" spans="18:18" ht="15.75" customHeight="1">
      <c r="R308" s="30"/>
    </row>
    <row r="309" spans="18:18" ht="15.75" customHeight="1">
      <c r="R309" s="30"/>
    </row>
    <row r="310" spans="18:18" ht="15.75" customHeight="1">
      <c r="R310" s="30"/>
    </row>
    <row r="311" spans="18:18" ht="15.75" customHeight="1">
      <c r="R311" s="30"/>
    </row>
    <row r="312" spans="18:18" ht="15.75" customHeight="1">
      <c r="R312" s="30"/>
    </row>
    <row r="313" spans="18:18" ht="15.75" customHeight="1">
      <c r="R313" s="30"/>
    </row>
    <row r="314" spans="18:18" ht="15.75" customHeight="1">
      <c r="R314" s="30"/>
    </row>
    <row r="315" spans="18:18" ht="15.75" customHeight="1">
      <c r="R315" s="30"/>
    </row>
    <row r="316" spans="18:18" ht="15.75" customHeight="1">
      <c r="R316" s="30"/>
    </row>
    <row r="317" spans="18:18" ht="15.75" customHeight="1">
      <c r="R317" s="30"/>
    </row>
    <row r="318" spans="18:18" ht="15.75" customHeight="1">
      <c r="R318" s="30"/>
    </row>
    <row r="319" spans="18:18" ht="15.75" customHeight="1">
      <c r="R319" s="30"/>
    </row>
    <row r="320" spans="18:18" ht="15.75" customHeight="1">
      <c r="R320" s="30"/>
    </row>
    <row r="321" spans="18:18" ht="15.75" customHeight="1">
      <c r="R321" s="30"/>
    </row>
    <row r="322" spans="18:18" ht="15.75" customHeight="1">
      <c r="R322" s="30"/>
    </row>
    <row r="323" spans="18:18" ht="15.75" customHeight="1">
      <c r="R323" s="30"/>
    </row>
    <row r="324" spans="18:18" ht="15.75" customHeight="1">
      <c r="R324" s="30"/>
    </row>
    <row r="325" spans="18:18" ht="15.75" customHeight="1">
      <c r="R325" s="30"/>
    </row>
    <row r="326" spans="18:18" ht="15.75" customHeight="1">
      <c r="R326" s="30"/>
    </row>
    <row r="327" spans="18:18" ht="15.75" customHeight="1">
      <c r="R327" s="30"/>
    </row>
    <row r="328" spans="18:18" ht="15.75" customHeight="1">
      <c r="R328" s="30"/>
    </row>
    <row r="329" spans="18:18" ht="15.75" customHeight="1">
      <c r="R329" s="30"/>
    </row>
    <row r="330" spans="18:18" ht="15.75" customHeight="1">
      <c r="R330" s="30"/>
    </row>
    <row r="331" spans="18:18" ht="15.75" customHeight="1">
      <c r="R331" s="30"/>
    </row>
    <row r="332" spans="18:18" ht="15.75" customHeight="1">
      <c r="R332" s="30"/>
    </row>
    <row r="333" spans="18:18" ht="15.75" customHeight="1">
      <c r="R333" s="30"/>
    </row>
    <row r="334" spans="18:18" ht="15.75" customHeight="1">
      <c r="R334" s="30"/>
    </row>
    <row r="335" spans="18:18" ht="15.75" customHeight="1">
      <c r="R335" s="30"/>
    </row>
    <row r="336" spans="18:18" ht="15.75" customHeight="1">
      <c r="R336" s="30"/>
    </row>
    <row r="337" spans="18:18" ht="15.75" customHeight="1">
      <c r="R337" s="30"/>
    </row>
    <row r="338" spans="18:18" ht="15.75" customHeight="1">
      <c r="R338" s="30"/>
    </row>
    <row r="339" spans="18:18" ht="15.75" customHeight="1">
      <c r="R339" s="30"/>
    </row>
    <row r="340" spans="18:18" ht="15.75" customHeight="1">
      <c r="R340" s="30"/>
    </row>
    <row r="341" spans="18:18" ht="15.75" customHeight="1">
      <c r="R341" s="30"/>
    </row>
    <row r="342" spans="18:18" ht="15.75" customHeight="1">
      <c r="R342" s="30"/>
    </row>
    <row r="343" spans="18:18" ht="15.75" customHeight="1">
      <c r="R343" s="30"/>
    </row>
    <row r="344" spans="18:18" ht="15.75" customHeight="1">
      <c r="R344" s="30"/>
    </row>
    <row r="345" spans="18:18" ht="15.75" customHeight="1">
      <c r="R345" s="30"/>
    </row>
    <row r="346" spans="18:18" ht="15.75" customHeight="1">
      <c r="R346" s="30"/>
    </row>
    <row r="347" spans="18:18" ht="15.75" customHeight="1">
      <c r="R347" s="30"/>
    </row>
    <row r="348" spans="18:18" ht="15.75" customHeight="1">
      <c r="R348" s="30"/>
    </row>
    <row r="349" spans="18:18" ht="15.75" customHeight="1">
      <c r="R349" s="30"/>
    </row>
    <row r="350" spans="18:18" ht="15.75" customHeight="1">
      <c r="R350" s="30"/>
    </row>
    <row r="351" spans="18:18" ht="15.75" customHeight="1">
      <c r="R351" s="30"/>
    </row>
    <row r="352" spans="18:18" ht="15.75" customHeight="1">
      <c r="R352" s="30"/>
    </row>
    <row r="353" spans="18:18" ht="15.75" customHeight="1">
      <c r="R353" s="30"/>
    </row>
    <row r="354" spans="18:18" ht="15.75" customHeight="1">
      <c r="R354" s="30"/>
    </row>
    <row r="355" spans="18:18" ht="15.75" customHeight="1">
      <c r="R355" s="30"/>
    </row>
    <row r="356" spans="18:18" ht="15.75" customHeight="1">
      <c r="R356" s="30"/>
    </row>
    <row r="357" spans="18:18" ht="15.75" customHeight="1">
      <c r="R357" s="30"/>
    </row>
    <row r="358" spans="18:18" ht="15.75" customHeight="1">
      <c r="R358" s="30"/>
    </row>
    <row r="359" spans="18:18" ht="15.75" customHeight="1">
      <c r="R359" s="30"/>
    </row>
    <row r="360" spans="18:18" ht="15.75" customHeight="1">
      <c r="R360" s="30"/>
    </row>
    <row r="361" spans="18:18" ht="15.75" customHeight="1">
      <c r="R361" s="30"/>
    </row>
    <row r="362" spans="18:18" ht="15.75" customHeight="1">
      <c r="R362" s="30"/>
    </row>
    <row r="363" spans="18:18" ht="15.75" customHeight="1">
      <c r="R363" s="30"/>
    </row>
    <row r="364" spans="18:18" ht="15.75" customHeight="1">
      <c r="R364" s="30"/>
    </row>
    <row r="365" spans="18:18" ht="15.75" customHeight="1">
      <c r="R365" s="30"/>
    </row>
    <row r="366" spans="18:18" ht="15.75" customHeight="1">
      <c r="R366" s="30"/>
    </row>
    <row r="367" spans="18:18" ht="15.75" customHeight="1">
      <c r="R367" s="30"/>
    </row>
    <row r="368" spans="18:18" ht="15.75" customHeight="1">
      <c r="R368" s="30"/>
    </row>
    <row r="369" spans="18:18" ht="15.75" customHeight="1">
      <c r="R369" s="30"/>
    </row>
    <row r="370" spans="18:18" ht="15.75" customHeight="1">
      <c r="R370" s="30"/>
    </row>
    <row r="371" spans="18:18" ht="15.75" customHeight="1">
      <c r="R371" s="30"/>
    </row>
    <row r="372" spans="18:18" ht="15.75" customHeight="1">
      <c r="R372" s="30"/>
    </row>
    <row r="373" spans="18:18" ht="15.75" customHeight="1">
      <c r="R373" s="30"/>
    </row>
    <row r="374" spans="18:18" ht="15.75" customHeight="1">
      <c r="R374" s="30"/>
    </row>
    <row r="375" spans="18:18" ht="15.75" customHeight="1">
      <c r="R375" s="30"/>
    </row>
    <row r="376" spans="18:18" ht="15.75" customHeight="1">
      <c r="R376" s="30"/>
    </row>
    <row r="377" spans="18:18" ht="15.75" customHeight="1">
      <c r="R377" s="30"/>
    </row>
    <row r="378" spans="18:18" ht="15.75" customHeight="1">
      <c r="R378" s="30"/>
    </row>
    <row r="379" spans="18:18" ht="15.75" customHeight="1">
      <c r="R379" s="30"/>
    </row>
    <row r="380" spans="18:18" ht="15.75" customHeight="1">
      <c r="R380" s="30"/>
    </row>
    <row r="381" spans="18:18" ht="15.75" customHeight="1">
      <c r="R381" s="30"/>
    </row>
    <row r="382" spans="18:18" ht="15.75" customHeight="1">
      <c r="R382" s="30"/>
    </row>
    <row r="383" spans="18:18" ht="15.75" customHeight="1">
      <c r="R383" s="30"/>
    </row>
    <row r="384" spans="18:18" ht="15.75" customHeight="1">
      <c r="R384" s="30"/>
    </row>
    <row r="385" spans="18:18" ht="15.75" customHeight="1">
      <c r="R385" s="30"/>
    </row>
    <row r="386" spans="18:18" ht="15.75" customHeight="1">
      <c r="R386" s="30"/>
    </row>
    <row r="387" spans="18:18" ht="15.75" customHeight="1">
      <c r="R387" s="30"/>
    </row>
    <row r="388" spans="18:18" ht="15.75" customHeight="1">
      <c r="R388" s="30"/>
    </row>
    <row r="389" spans="18:18" ht="15.75" customHeight="1">
      <c r="R389" s="30"/>
    </row>
    <row r="390" spans="18:18" ht="15.75" customHeight="1">
      <c r="R390" s="30"/>
    </row>
    <row r="391" spans="18:18" ht="15.75" customHeight="1">
      <c r="R391" s="30"/>
    </row>
    <row r="392" spans="18:18" ht="15.75" customHeight="1">
      <c r="R392" s="30"/>
    </row>
    <row r="393" spans="18:18" ht="15.75" customHeight="1">
      <c r="R393" s="30"/>
    </row>
    <row r="394" spans="18:18" ht="15.75" customHeight="1">
      <c r="R394" s="30"/>
    </row>
    <row r="395" spans="18:18" ht="15.75" customHeight="1">
      <c r="R395" s="30"/>
    </row>
    <row r="396" spans="18:18" ht="15.75" customHeight="1">
      <c r="R396" s="30"/>
    </row>
    <row r="397" spans="18:18" ht="15.75" customHeight="1">
      <c r="R397" s="30"/>
    </row>
    <row r="398" spans="18:18" ht="15.75" customHeight="1">
      <c r="R398" s="30"/>
    </row>
    <row r="399" spans="18:18" ht="15.75" customHeight="1">
      <c r="R399" s="30"/>
    </row>
    <row r="400" spans="18:18" ht="15.75" customHeight="1">
      <c r="R400" s="30"/>
    </row>
    <row r="401" spans="18:18" ht="15.75" customHeight="1">
      <c r="R401" s="30"/>
    </row>
    <row r="402" spans="18:18" ht="15.75" customHeight="1">
      <c r="R402" s="30"/>
    </row>
    <row r="403" spans="18:18" ht="15.75" customHeight="1">
      <c r="R403" s="30"/>
    </row>
    <row r="404" spans="18:18" ht="15.75" customHeight="1">
      <c r="R404" s="30"/>
    </row>
    <row r="405" spans="18:18" ht="15.75" customHeight="1">
      <c r="R405" s="30"/>
    </row>
    <row r="406" spans="18:18" ht="15.75" customHeight="1">
      <c r="R406" s="30"/>
    </row>
    <row r="407" spans="18:18" ht="15.75" customHeight="1">
      <c r="R407" s="30"/>
    </row>
    <row r="408" spans="18:18" ht="15.75" customHeight="1">
      <c r="R408" s="30"/>
    </row>
    <row r="409" spans="18:18" ht="15.75" customHeight="1">
      <c r="R409" s="30"/>
    </row>
    <row r="410" spans="18:18" ht="15.75" customHeight="1">
      <c r="R410" s="30"/>
    </row>
    <row r="411" spans="18:18" ht="15.75" customHeight="1">
      <c r="R411" s="30"/>
    </row>
    <row r="412" spans="18:18" ht="15.75" customHeight="1">
      <c r="R412" s="30"/>
    </row>
    <row r="413" spans="18:18" ht="15.75" customHeight="1">
      <c r="R413" s="30"/>
    </row>
    <row r="414" spans="18:18" ht="15.75" customHeight="1">
      <c r="R414" s="30"/>
    </row>
    <row r="415" spans="18:18" ht="15.75" customHeight="1">
      <c r="R415" s="30"/>
    </row>
    <row r="416" spans="18:18" ht="15.75" customHeight="1">
      <c r="R416" s="30"/>
    </row>
    <row r="417" spans="18:18" ht="15.75" customHeight="1">
      <c r="R417" s="30"/>
    </row>
    <row r="418" spans="18:18" ht="15.75" customHeight="1">
      <c r="R418" s="30"/>
    </row>
    <row r="419" spans="18:18" ht="15.75" customHeight="1">
      <c r="R419" s="30"/>
    </row>
    <row r="420" spans="18:18" ht="15.75" customHeight="1">
      <c r="R420" s="30"/>
    </row>
    <row r="421" spans="18:18" ht="15.75" customHeight="1">
      <c r="R421" s="30"/>
    </row>
    <row r="422" spans="18:18" ht="15.75" customHeight="1">
      <c r="R422" s="30"/>
    </row>
    <row r="423" spans="18:18" ht="15.75" customHeight="1">
      <c r="R423" s="30"/>
    </row>
    <row r="424" spans="18:18" ht="15.75" customHeight="1">
      <c r="R424" s="30"/>
    </row>
    <row r="425" spans="18:18" ht="15.75" customHeight="1">
      <c r="R425" s="30"/>
    </row>
    <row r="426" spans="18:18" ht="15.75" customHeight="1">
      <c r="R426" s="30"/>
    </row>
    <row r="427" spans="18:18" ht="15.75" customHeight="1">
      <c r="R427" s="30"/>
    </row>
    <row r="428" spans="18:18" ht="15.75" customHeight="1">
      <c r="R428" s="30"/>
    </row>
    <row r="429" spans="18:18" ht="15.75" customHeight="1">
      <c r="R429" s="30"/>
    </row>
    <row r="430" spans="18:18" ht="15.75" customHeight="1">
      <c r="R430" s="30"/>
    </row>
    <row r="431" spans="18:18" ht="15.75" customHeight="1">
      <c r="R431" s="30"/>
    </row>
    <row r="432" spans="18:18" ht="15.75" customHeight="1">
      <c r="R432" s="30"/>
    </row>
    <row r="433" spans="18:18" ht="15.75" customHeight="1">
      <c r="R433" s="30"/>
    </row>
    <row r="434" spans="18:18" ht="15.75" customHeight="1">
      <c r="R434" s="30"/>
    </row>
    <row r="435" spans="18:18" ht="15.75" customHeight="1">
      <c r="R435" s="30"/>
    </row>
    <row r="436" spans="18:18" ht="15.75" customHeight="1">
      <c r="R436" s="30"/>
    </row>
    <row r="437" spans="18:18" ht="15.75" customHeight="1">
      <c r="R437" s="30"/>
    </row>
    <row r="438" spans="18:18" ht="15.75" customHeight="1">
      <c r="R438" s="30"/>
    </row>
    <row r="439" spans="18:18" ht="15.75" customHeight="1">
      <c r="R439" s="30"/>
    </row>
    <row r="440" spans="18:18" ht="15.75" customHeight="1">
      <c r="R440" s="30"/>
    </row>
    <row r="441" spans="18:18" ht="15.75" customHeight="1">
      <c r="R441" s="30"/>
    </row>
    <row r="442" spans="18:18" ht="15.75" customHeight="1">
      <c r="R442" s="30"/>
    </row>
    <row r="443" spans="18:18" ht="15.75" customHeight="1">
      <c r="R443" s="30"/>
    </row>
    <row r="444" spans="18:18" ht="15.75" customHeight="1">
      <c r="R444" s="30"/>
    </row>
    <row r="445" spans="18:18" ht="15.75" customHeight="1">
      <c r="R445" s="30"/>
    </row>
    <row r="446" spans="18:18" ht="15.75" customHeight="1">
      <c r="R446" s="30"/>
    </row>
    <row r="447" spans="18:18" ht="15.75" customHeight="1">
      <c r="R447" s="30"/>
    </row>
    <row r="448" spans="18:18" ht="15.75" customHeight="1">
      <c r="R448" s="30"/>
    </row>
    <row r="449" spans="18:18" ht="15.75" customHeight="1">
      <c r="R449" s="30"/>
    </row>
    <row r="450" spans="18:18" ht="15.75" customHeight="1">
      <c r="R450" s="30"/>
    </row>
    <row r="451" spans="18:18" ht="15.75" customHeight="1">
      <c r="R451" s="30"/>
    </row>
    <row r="452" spans="18:18" ht="15.75" customHeight="1">
      <c r="R452" s="30"/>
    </row>
    <row r="453" spans="18:18" ht="15.75" customHeight="1">
      <c r="R453" s="30"/>
    </row>
    <row r="454" spans="18:18" ht="15.75" customHeight="1">
      <c r="R454" s="30"/>
    </row>
    <row r="455" spans="18:18" ht="15.75" customHeight="1">
      <c r="R455" s="30"/>
    </row>
    <row r="456" spans="18:18" ht="15.75" customHeight="1">
      <c r="R456" s="30"/>
    </row>
    <row r="457" spans="18:18" ht="15.75" customHeight="1">
      <c r="R457" s="30"/>
    </row>
    <row r="458" spans="18:18" ht="15.75" customHeight="1">
      <c r="R458" s="30"/>
    </row>
    <row r="459" spans="18:18" ht="15.75" customHeight="1">
      <c r="R459" s="30"/>
    </row>
    <row r="460" spans="18:18" ht="15.75" customHeight="1">
      <c r="R460" s="30"/>
    </row>
    <row r="461" spans="18:18" ht="15.75" customHeight="1">
      <c r="R461" s="30"/>
    </row>
    <row r="462" spans="18:18" ht="15.75" customHeight="1">
      <c r="R462" s="30"/>
    </row>
    <row r="463" spans="18:18" ht="15.75" customHeight="1">
      <c r="R463" s="30"/>
    </row>
    <row r="464" spans="18:18" ht="15.75" customHeight="1">
      <c r="R464" s="30"/>
    </row>
    <row r="465" spans="18:18" ht="15.75" customHeight="1">
      <c r="R465" s="30"/>
    </row>
    <row r="466" spans="18:18" ht="15.75" customHeight="1">
      <c r="R466" s="30"/>
    </row>
    <row r="467" spans="18:18" ht="15.75" customHeight="1">
      <c r="R467" s="30"/>
    </row>
    <row r="468" spans="18:18" ht="15.75" customHeight="1">
      <c r="R468" s="30"/>
    </row>
    <row r="469" spans="18:18" ht="15.75" customHeight="1">
      <c r="R469" s="30"/>
    </row>
    <row r="470" spans="18:18" ht="15.75" customHeight="1">
      <c r="R470" s="30"/>
    </row>
    <row r="471" spans="18:18" ht="15.75" customHeight="1">
      <c r="R471" s="30"/>
    </row>
    <row r="472" spans="18:18" ht="15.75" customHeight="1">
      <c r="R472" s="30"/>
    </row>
    <row r="473" spans="18:18" ht="15.75" customHeight="1">
      <c r="R473" s="30"/>
    </row>
    <row r="474" spans="18:18" ht="15.75" customHeight="1">
      <c r="R474" s="30"/>
    </row>
    <row r="475" spans="18:18" ht="15.75" customHeight="1">
      <c r="R475" s="30"/>
    </row>
    <row r="476" spans="18:18" ht="15.75" customHeight="1">
      <c r="R476" s="30"/>
    </row>
    <row r="477" spans="18:18" ht="15.75" customHeight="1">
      <c r="R477" s="30"/>
    </row>
    <row r="478" spans="18:18" ht="15.75" customHeight="1">
      <c r="R478" s="30"/>
    </row>
    <row r="479" spans="18:18" ht="15.75" customHeight="1">
      <c r="R479" s="30"/>
    </row>
    <row r="480" spans="18:18" ht="15.75" customHeight="1">
      <c r="R480" s="30"/>
    </row>
    <row r="481" spans="18:18" ht="15.75" customHeight="1">
      <c r="R481" s="30"/>
    </row>
    <row r="482" spans="18:18" ht="15.75" customHeight="1">
      <c r="R482" s="30"/>
    </row>
    <row r="483" spans="18:18" ht="15.75" customHeight="1">
      <c r="R483" s="30"/>
    </row>
    <row r="484" spans="18:18" ht="15.75" customHeight="1">
      <c r="R484" s="30"/>
    </row>
    <row r="485" spans="18:18" ht="15.75" customHeight="1">
      <c r="R485" s="30"/>
    </row>
    <row r="486" spans="18:18" ht="15.75" customHeight="1">
      <c r="R486" s="30"/>
    </row>
    <row r="487" spans="18:18" ht="15.75" customHeight="1">
      <c r="R487" s="30"/>
    </row>
    <row r="488" spans="18:18" ht="15.75" customHeight="1">
      <c r="R488" s="30"/>
    </row>
    <row r="489" spans="18:18" ht="15.75" customHeight="1">
      <c r="R489" s="30"/>
    </row>
    <row r="490" spans="18:18" ht="15.75" customHeight="1">
      <c r="R490" s="30"/>
    </row>
    <row r="491" spans="18:18" ht="15.75" customHeight="1">
      <c r="R491" s="30"/>
    </row>
    <row r="492" spans="18:18" ht="15.75" customHeight="1">
      <c r="R492" s="30"/>
    </row>
    <row r="493" spans="18:18" ht="15.75" customHeight="1">
      <c r="R493" s="30"/>
    </row>
    <row r="494" spans="18:18" ht="15.75" customHeight="1">
      <c r="R494" s="30"/>
    </row>
    <row r="495" spans="18:18" ht="15.75" customHeight="1">
      <c r="R495" s="30"/>
    </row>
    <row r="496" spans="18:18" ht="15.75" customHeight="1">
      <c r="R496" s="30"/>
    </row>
    <row r="497" spans="18:18" ht="15.75" customHeight="1">
      <c r="R497" s="30"/>
    </row>
    <row r="498" spans="18:18" ht="15.75" customHeight="1">
      <c r="R498" s="30"/>
    </row>
    <row r="499" spans="18:18" ht="15.75" customHeight="1">
      <c r="R499" s="30"/>
    </row>
    <row r="500" spans="18:18" ht="15.75" customHeight="1">
      <c r="R500" s="30"/>
    </row>
    <row r="501" spans="18:18" ht="15.75" customHeight="1">
      <c r="R501" s="30"/>
    </row>
    <row r="502" spans="18:18" ht="15.75" customHeight="1">
      <c r="R502" s="30"/>
    </row>
    <row r="503" spans="18:18" ht="15.75" customHeight="1">
      <c r="R503" s="30"/>
    </row>
    <row r="504" spans="18:18" ht="15.75" customHeight="1">
      <c r="R504" s="30"/>
    </row>
    <row r="505" spans="18:18" ht="15.75" customHeight="1">
      <c r="R505" s="30"/>
    </row>
    <row r="506" spans="18:18" ht="15.75" customHeight="1">
      <c r="R506" s="30"/>
    </row>
    <row r="507" spans="18:18" ht="15.75" customHeight="1">
      <c r="R507" s="30"/>
    </row>
    <row r="508" spans="18:18" ht="15.75" customHeight="1">
      <c r="R508" s="30"/>
    </row>
    <row r="509" spans="18:18" ht="15.75" customHeight="1">
      <c r="R509" s="30"/>
    </row>
    <row r="510" spans="18:18" ht="15.75" customHeight="1">
      <c r="R510" s="30"/>
    </row>
    <row r="511" spans="18:18" ht="15.75" customHeight="1">
      <c r="R511" s="30"/>
    </row>
    <row r="512" spans="18:18" ht="15.75" customHeight="1">
      <c r="R512" s="30"/>
    </row>
    <row r="513" spans="18:18" ht="15.75" customHeight="1">
      <c r="R513" s="30"/>
    </row>
    <row r="514" spans="18:18" ht="15.75" customHeight="1">
      <c r="R514" s="30"/>
    </row>
    <row r="515" spans="18:18" ht="15.75" customHeight="1">
      <c r="R515" s="30"/>
    </row>
    <row r="516" spans="18:18" ht="15.75" customHeight="1">
      <c r="R516" s="30"/>
    </row>
    <row r="517" spans="18:18" ht="15.75" customHeight="1">
      <c r="R517" s="30"/>
    </row>
    <row r="518" spans="18:18" ht="15.75" customHeight="1">
      <c r="R518" s="30"/>
    </row>
    <row r="519" spans="18:18" ht="15.75" customHeight="1">
      <c r="R519" s="30"/>
    </row>
    <row r="520" spans="18:18" ht="15.75" customHeight="1">
      <c r="R520" s="30"/>
    </row>
    <row r="521" spans="18:18" ht="15.75" customHeight="1">
      <c r="R521" s="30"/>
    </row>
    <row r="522" spans="18:18" ht="15.75" customHeight="1">
      <c r="R522" s="30"/>
    </row>
    <row r="523" spans="18:18" ht="15.75" customHeight="1">
      <c r="R523" s="30"/>
    </row>
    <row r="524" spans="18:18" ht="15.75" customHeight="1">
      <c r="R524" s="30"/>
    </row>
    <row r="525" spans="18:18" ht="15.75" customHeight="1">
      <c r="R525" s="30"/>
    </row>
    <row r="526" spans="18:18" ht="15.75" customHeight="1">
      <c r="R526" s="30"/>
    </row>
    <row r="527" spans="18:18" ht="15.75" customHeight="1">
      <c r="R527" s="30"/>
    </row>
    <row r="528" spans="18:18" ht="15.75" customHeight="1">
      <c r="R528" s="30"/>
    </row>
    <row r="529" spans="18:18" ht="15.75" customHeight="1">
      <c r="R529" s="30"/>
    </row>
    <row r="530" spans="18:18" ht="15.75" customHeight="1">
      <c r="R530" s="30"/>
    </row>
    <row r="531" spans="18:18" ht="15.75" customHeight="1">
      <c r="R531" s="30"/>
    </row>
    <row r="532" spans="18:18" ht="15.75" customHeight="1">
      <c r="R532" s="30"/>
    </row>
    <row r="533" spans="18:18" ht="15.75" customHeight="1">
      <c r="R533" s="30"/>
    </row>
    <row r="534" spans="18:18" ht="15.75" customHeight="1">
      <c r="R534" s="30"/>
    </row>
    <row r="535" spans="18:18" ht="15.75" customHeight="1">
      <c r="R535" s="30"/>
    </row>
    <row r="536" spans="18:18" ht="15.75" customHeight="1">
      <c r="R536" s="30"/>
    </row>
    <row r="537" spans="18:18" ht="15.75" customHeight="1">
      <c r="R537" s="30"/>
    </row>
    <row r="538" spans="18:18" ht="15.75" customHeight="1">
      <c r="R538" s="30"/>
    </row>
    <row r="539" spans="18:18" ht="15.75" customHeight="1">
      <c r="R539" s="30"/>
    </row>
    <row r="540" spans="18:18" ht="15.75" customHeight="1">
      <c r="R540" s="30"/>
    </row>
    <row r="541" spans="18:18" ht="15.75" customHeight="1">
      <c r="R541" s="30"/>
    </row>
    <row r="542" spans="18:18" ht="15.75" customHeight="1">
      <c r="R542" s="30"/>
    </row>
    <row r="543" spans="18:18" ht="15.75" customHeight="1">
      <c r="R543" s="30"/>
    </row>
    <row r="544" spans="18:18" ht="15.75" customHeight="1">
      <c r="R544" s="30"/>
    </row>
    <row r="545" spans="18:18" ht="15.75" customHeight="1">
      <c r="R545" s="30"/>
    </row>
    <row r="546" spans="18:18" ht="15.75" customHeight="1">
      <c r="R546" s="30"/>
    </row>
    <row r="547" spans="18:18" ht="15.75" customHeight="1">
      <c r="R547" s="30"/>
    </row>
    <row r="548" spans="18:18" ht="15.75" customHeight="1">
      <c r="R548" s="30"/>
    </row>
    <row r="549" spans="18:18" ht="15.75" customHeight="1">
      <c r="R549" s="30"/>
    </row>
    <row r="550" spans="18:18" ht="15.75" customHeight="1">
      <c r="R550" s="30"/>
    </row>
    <row r="551" spans="18:18" ht="15.75" customHeight="1">
      <c r="R551" s="30"/>
    </row>
    <row r="552" spans="18:18" ht="15.75" customHeight="1">
      <c r="R552" s="30"/>
    </row>
    <row r="553" spans="18:18" ht="15.75" customHeight="1">
      <c r="R553" s="30"/>
    </row>
    <row r="554" spans="18:18" ht="15.75" customHeight="1">
      <c r="R554" s="30"/>
    </row>
    <row r="555" spans="18:18" ht="15.75" customHeight="1">
      <c r="R555" s="30"/>
    </row>
    <row r="556" spans="18:18" ht="15.75" customHeight="1">
      <c r="R556" s="30"/>
    </row>
    <row r="557" spans="18:18" ht="15.75" customHeight="1">
      <c r="R557" s="30"/>
    </row>
    <row r="558" spans="18:18" ht="15.75" customHeight="1">
      <c r="R558" s="30"/>
    </row>
    <row r="559" spans="18:18" ht="15.75" customHeight="1">
      <c r="R559" s="30"/>
    </row>
    <row r="560" spans="18:18" ht="15.75" customHeight="1">
      <c r="R560" s="30"/>
    </row>
    <row r="561" spans="18:18" ht="15.75" customHeight="1">
      <c r="R561" s="30"/>
    </row>
    <row r="562" spans="18:18" ht="15.75" customHeight="1">
      <c r="R562" s="30"/>
    </row>
    <row r="563" spans="18:18" ht="15.75" customHeight="1">
      <c r="R563" s="30"/>
    </row>
    <row r="564" spans="18:18" ht="15.75" customHeight="1">
      <c r="R564" s="30"/>
    </row>
    <row r="565" spans="18:18" ht="15.75" customHeight="1">
      <c r="R565" s="30"/>
    </row>
    <row r="566" spans="18:18" ht="15.75" customHeight="1">
      <c r="R566" s="30"/>
    </row>
    <row r="567" spans="18:18" ht="15.75" customHeight="1">
      <c r="R567" s="30"/>
    </row>
    <row r="568" spans="18:18" ht="15.75" customHeight="1">
      <c r="R568" s="30"/>
    </row>
    <row r="569" spans="18:18" ht="15.75" customHeight="1">
      <c r="R569" s="30"/>
    </row>
    <row r="570" spans="18:18" ht="15.75" customHeight="1">
      <c r="R570" s="30"/>
    </row>
    <row r="571" spans="18:18" ht="15.75" customHeight="1">
      <c r="R571" s="30"/>
    </row>
    <row r="572" spans="18:18" ht="15.75" customHeight="1">
      <c r="R572" s="30"/>
    </row>
    <row r="573" spans="18:18" ht="15.75" customHeight="1">
      <c r="R573" s="30"/>
    </row>
    <row r="574" spans="18:18" ht="15.75" customHeight="1">
      <c r="R574" s="30"/>
    </row>
    <row r="575" spans="18:18" ht="15.75" customHeight="1">
      <c r="R575" s="30"/>
    </row>
    <row r="576" spans="18:18" ht="15.75" customHeight="1">
      <c r="R576" s="30"/>
    </row>
    <row r="577" spans="18:18" ht="15.75" customHeight="1">
      <c r="R577" s="30"/>
    </row>
    <row r="578" spans="18:18" ht="15.75" customHeight="1">
      <c r="R578" s="30"/>
    </row>
    <row r="579" spans="18:18" ht="15.75" customHeight="1">
      <c r="R579" s="30"/>
    </row>
    <row r="580" spans="18:18" ht="15.75" customHeight="1">
      <c r="R580" s="30"/>
    </row>
    <row r="581" spans="18:18" ht="15.75" customHeight="1">
      <c r="R581" s="30"/>
    </row>
    <row r="582" spans="18:18" ht="15.75" customHeight="1">
      <c r="R582" s="30"/>
    </row>
    <row r="583" spans="18:18" ht="15.75" customHeight="1">
      <c r="R583" s="30"/>
    </row>
    <row r="584" spans="18:18" ht="15.75" customHeight="1">
      <c r="R584" s="30"/>
    </row>
    <row r="585" spans="18:18" ht="15.75" customHeight="1">
      <c r="R585" s="30"/>
    </row>
    <row r="586" spans="18:18" ht="15.75" customHeight="1">
      <c r="R586" s="30"/>
    </row>
    <row r="587" spans="18:18" ht="15.75" customHeight="1">
      <c r="R587" s="30"/>
    </row>
    <row r="588" spans="18:18" ht="15.75" customHeight="1">
      <c r="R588" s="30"/>
    </row>
    <row r="589" spans="18:18" ht="15.75" customHeight="1">
      <c r="R589" s="30"/>
    </row>
    <row r="590" spans="18:18" ht="15.75" customHeight="1">
      <c r="R590" s="30"/>
    </row>
    <row r="591" spans="18:18" ht="15.75" customHeight="1">
      <c r="R591" s="30"/>
    </row>
    <row r="592" spans="18:18" ht="15.75" customHeight="1">
      <c r="R592" s="30"/>
    </row>
    <row r="593" spans="18:18" ht="15.75" customHeight="1">
      <c r="R593" s="30"/>
    </row>
    <row r="594" spans="18:18" ht="15.75" customHeight="1">
      <c r="R594" s="30"/>
    </row>
    <row r="595" spans="18:18" ht="15.75" customHeight="1">
      <c r="R595" s="30"/>
    </row>
    <row r="596" spans="18:18" ht="15.75" customHeight="1">
      <c r="R596" s="30"/>
    </row>
    <row r="597" spans="18:18" ht="15.75" customHeight="1">
      <c r="R597" s="30"/>
    </row>
    <row r="598" spans="18:18" ht="15.75" customHeight="1">
      <c r="R598" s="30"/>
    </row>
    <row r="599" spans="18:18" ht="15.75" customHeight="1">
      <c r="R599" s="30"/>
    </row>
    <row r="600" spans="18:18" ht="15.75" customHeight="1">
      <c r="R600" s="30"/>
    </row>
    <row r="601" spans="18:18" ht="15.75" customHeight="1">
      <c r="R601" s="30"/>
    </row>
    <row r="602" spans="18:18" ht="15.75" customHeight="1">
      <c r="R602" s="30"/>
    </row>
    <row r="603" spans="18:18" ht="15.75" customHeight="1">
      <c r="R603" s="30"/>
    </row>
    <row r="604" spans="18:18" ht="15.75" customHeight="1">
      <c r="R604" s="30"/>
    </row>
    <row r="605" spans="18:18" ht="15.75" customHeight="1">
      <c r="R605" s="30"/>
    </row>
    <row r="606" spans="18:18" ht="15.75" customHeight="1">
      <c r="R606" s="30"/>
    </row>
    <row r="607" spans="18:18" ht="15.75" customHeight="1">
      <c r="R607" s="30"/>
    </row>
    <row r="608" spans="18:18" ht="15.75" customHeight="1">
      <c r="R608" s="30"/>
    </row>
    <row r="609" spans="18:18" ht="15.75" customHeight="1">
      <c r="R609" s="30"/>
    </row>
    <row r="610" spans="18:18" ht="15.75" customHeight="1">
      <c r="R610" s="30"/>
    </row>
    <row r="611" spans="18:18" ht="15.75" customHeight="1">
      <c r="R611" s="30"/>
    </row>
    <row r="612" spans="18:18" ht="15.75" customHeight="1">
      <c r="R612" s="30"/>
    </row>
    <row r="613" spans="18:18" ht="15.75" customHeight="1">
      <c r="R613" s="30"/>
    </row>
    <row r="614" spans="18:18" ht="15.75" customHeight="1">
      <c r="R614" s="30"/>
    </row>
    <row r="615" spans="18:18" ht="15.75" customHeight="1">
      <c r="R615" s="30"/>
    </row>
    <row r="616" spans="18:18" ht="15.75" customHeight="1">
      <c r="R616" s="30"/>
    </row>
    <row r="617" spans="18:18" ht="15.75" customHeight="1">
      <c r="R617" s="30"/>
    </row>
    <row r="618" spans="18:18" ht="15.75" customHeight="1">
      <c r="R618" s="30"/>
    </row>
    <row r="619" spans="18:18" ht="15.75" customHeight="1">
      <c r="R619" s="30"/>
    </row>
    <row r="620" spans="18:18" ht="15.75" customHeight="1">
      <c r="R620" s="30"/>
    </row>
    <row r="621" spans="18:18" ht="15.75" customHeight="1">
      <c r="R621" s="30"/>
    </row>
    <row r="622" spans="18:18" ht="15.75" customHeight="1">
      <c r="R622" s="30"/>
    </row>
    <row r="623" spans="18:18" ht="15.75" customHeight="1">
      <c r="R623" s="30"/>
    </row>
    <row r="624" spans="18:18" ht="15.75" customHeight="1">
      <c r="R624" s="30"/>
    </row>
    <row r="625" spans="18:18" ht="15.75" customHeight="1">
      <c r="R625" s="30"/>
    </row>
    <row r="626" spans="18:18" ht="15.75" customHeight="1">
      <c r="R626" s="30"/>
    </row>
    <row r="627" spans="18:18" ht="15.75" customHeight="1">
      <c r="R627" s="30"/>
    </row>
    <row r="628" spans="18:18" ht="15.75" customHeight="1">
      <c r="R628" s="30"/>
    </row>
    <row r="629" spans="18:18" ht="15.75" customHeight="1">
      <c r="R629" s="30"/>
    </row>
    <row r="630" spans="18:18" ht="15.75" customHeight="1">
      <c r="R630" s="30"/>
    </row>
    <row r="631" spans="18:18" ht="15.75" customHeight="1">
      <c r="R631" s="30"/>
    </row>
    <row r="632" spans="18:18" ht="15.75" customHeight="1">
      <c r="R632" s="30"/>
    </row>
    <row r="633" spans="18:18" ht="15.75" customHeight="1">
      <c r="R633" s="30"/>
    </row>
    <row r="634" spans="18:18" ht="15.75" customHeight="1">
      <c r="R634" s="30"/>
    </row>
    <row r="635" spans="18:18" ht="15.75" customHeight="1">
      <c r="R635" s="30"/>
    </row>
    <row r="636" spans="18:18" ht="15.75" customHeight="1">
      <c r="R636" s="30"/>
    </row>
    <row r="637" spans="18:18" ht="15.75" customHeight="1">
      <c r="R637" s="30"/>
    </row>
    <row r="638" spans="18:18" ht="15.75" customHeight="1">
      <c r="R638" s="30"/>
    </row>
    <row r="639" spans="18:18" ht="15.75" customHeight="1">
      <c r="R639" s="30"/>
    </row>
    <row r="640" spans="18:18" ht="15.75" customHeight="1">
      <c r="R640" s="30"/>
    </row>
    <row r="641" spans="18:18" ht="15.75" customHeight="1">
      <c r="R641" s="30"/>
    </row>
    <row r="642" spans="18:18" ht="15.75" customHeight="1">
      <c r="R642" s="30"/>
    </row>
    <row r="643" spans="18:18" ht="15.75" customHeight="1">
      <c r="R643" s="30"/>
    </row>
    <row r="644" spans="18:18" ht="15.75" customHeight="1">
      <c r="R644" s="30"/>
    </row>
    <row r="645" spans="18:18" ht="15.75" customHeight="1">
      <c r="R645" s="30"/>
    </row>
    <row r="646" spans="18:18" ht="15.75" customHeight="1">
      <c r="R646" s="30"/>
    </row>
    <row r="647" spans="18:18" ht="15.75" customHeight="1">
      <c r="R647" s="30"/>
    </row>
    <row r="648" spans="18:18" ht="15.75" customHeight="1">
      <c r="R648" s="30"/>
    </row>
    <row r="649" spans="18:18" ht="15.75" customHeight="1">
      <c r="R649" s="30"/>
    </row>
    <row r="650" spans="18:18" ht="15.75" customHeight="1">
      <c r="R650" s="30"/>
    </row>
    <row r="651" spans="18:18" ht="15.75" customHeight="1">
      <c r="R651" s="30"/>
    </row>
    <row r="652" spans="18:18" ht="15.75" customHeight="1">
      <c r="R652" s="30"/>
    </row>
    <row r="653" spans="18:18" ht="15.75" customHeight="1">
      <c r="R653" s="30"/>
    </row>
    <row r="654" spans="18:18" ht="15.75" customHeight="1">
      <c r="R654" s="30"/>
    </row>
    <row r="655" spans="18:18" ht="15.75" customHeight="1">
      <c r="R655" s="30"/>
    </row>
    <row r="656" spans="18:18" ht="15.75" customHeight="1">
      <c r="R656" s="30"/>
    </row>
    <row r="657" spans="18:18" ht="15.75" customHeight="1">
      <c r="R657" s="30"/>
    </row>
    <row r="658" spans="18:18" ht="15.75" customHeight="1">
      <c r="R658" s="30"/>
    </row>
    <row r="659" spans="18:18" ht="15.75" customHeight="1">
      <c r="R659" s="30"/>
    </row>
    <row r="660" spans="18:18" ht="15.75" customHeight="1">
      <c r="R660" s="30"/>
    </row>
    <row r="661" spans="18:18" ht="15.75" customHeight="1">
      <c r="R661" s="30"/>
    </row>
    <row r="662" spans="18:18" ht="15.75" customHeight="1">
      <c r="R662" s="30"/>
    </row>
    <row r="663" spans="18:18" ht="15.75" customHeight="1">
      <c r="R663" s="30"/>
    </row>
    <row r="664" spans="18:18" ht="15.75" customHeight="1">
      <c r="R664" s="30"/>
    </row>
    <row r="665" spans="18:18" ht="15.75" customHeight="1">
      <c r="R665" s="30"/>
    </row>
    <row r="666" spans="18:18" ht="15.75" customHeight="1">
      <c r="R666" s="30"/>
    </row>
    <row r="667" spans="18:18" ht="15.75" customHeight="1">
      <c r="R667" s="30"/>
    </row>
    <row r="668" spans="18:18" ht="15.75" customHeight="1">
      <c r="R668" s="30"/>
    </row>
    <row r="669" spans="18:18" ht="15.75" customHeight="1">
      <c r="R669" s="30"/>
    </row>
    <row r="670" spans="18:18" ht="15.75" customHeight="1">
      <c r="R670" s="30"/>
    </row>
    <row r="671" spans="18:18" ht="15.75" customHeight="1">
      <c r="R671" s="30"/>
    </row>
    <row r="672" spans="18:18" ht="15.75" customHeight="1">
      <c r="R672" s="30"/>
    </row>
    <row r="673" spans="18:18" ht="15.75" customHeight="1">
      <c r="R673" s="30"/>
    </row>
    <row r="674" spans="18:18" ht="15.75" customHeight="1">
      <c r="R674" s="30"/>
    </row>
    <row r="675" spans="18:18" ht="15.75" customHeight="1">
      <c r="R675" s="30"/>
    </row>
    <row r="676" spans="18:18" ht="15.75" customHeight="1">
      <c r="R676" s="30"/>
    </row>
    <row r="677" spans="18:18" ht="15.75" customHeight="1">
      <c r="R677" s="30"/>
    </row>
    <row r="678" spans="18:18" ht="15.75" customHeight="1">
      <c r="R678" s="30"/>
    </row>
    <row r="679" spans="18:18" ht="15.75" customHeight="1">
      <c r="R679" s="30"/>
    </row>
    <row r="680" spans="18:18" ht="15.75" customHeight="1">
      <c r="R680" s="30"/>
    </row>
    <row r="681" spans="18:18" ht="15.75" customHeight="1">
      <c r="R681" s="30"/>
    </row>
    <row r="682" spans="18:18" ht="15.75" customHeight="1">
      <c r="R682" s="30"/>
    </row>
    <row r="683" spans="18:18" ht="15.75" customHeight="1">
      <c r="R683" s="30"/>
    </row>
    <row r="684" spans="18:18" ht="15.75" customHeight="1">
      <c r="R684" s="30"/>
    </row>
    <row r="685" spans="18:18" ht="15.75" customHeight="1">
      <c r="R685" s="30"/>
    </row>
    <row r="686" spans="18:18" ht="15.75" customHeight="1">
      <c r="R686" s="30"/>
    </row>
    <row r="687" spans="18:18" ht="15.75" customHeight="1">
      <c r="R687" s="30"/>
    </row>
    <row r="688" spans="18:18" ht="15.75" customHeight="1">
      <c r="R688" s="30"/>
    </row>
    <row r="689" spans="18:18" ht="15.75" customHeight="1">
      <c r="R689" s="30"/>
    </row>
    <row r="690" spans="18:18" ht="15.75" customHeight="1">
      <c r="R690" s="30"/>
    </row>
    <row r="691" spans="18:18" ht="15.75" customHeight="1">
      <c r="R691" s="30"/>
    </row>
    <row r="692" spans="18:18" ht="15.75" customHeight="1">
      <c r="R692" s="30"/>
    </row>
    <row r="693" spans="18:18" ht="15.75" customHeight="1">
      <c r="R693" s="30"/>
    </row>
    <row r="694" spans="18:18" ht="15.75" customHeight="1">
      <c r="R694" s="30"/>
    </row>
    <row r="695" spans="18:18" ht="15.75" customHeight="1">
      <c r="R695" s="30"/>
    </row>
    <row r="696" spans="18:18" ht="15.75" customHeight="1">
      <c r="R696" s="30"/>
    </row>
    <row r="697" spans="18:18" ht="15.75" customHeight="1">
      <c r="R697" s="30"/>
    </row>
    <row r="698" spans="18:18" ht="15.75" customHeight="1">
      <c r="R698" s="30"/>
    </row>
    <row r="699" spans="18:18" ht="15.75" customHeight="1">
      <c r="R699" s="30"/>
    </row>
    <row r="700" spans="18:18" ht="15.75" customHeight="1">
      <c r="R700" s="30"/>
    </row>
    <row r="701" spans="18:18" ht="15.75" customHeight="1">
      <c r="R701" s="30"/>
    </row>
    <row r="702" spans="18:18" ht="15.75" customHeight="1">
      <c r="R702" s="30"/>
    </row>
    <row r="703" spans="18:18" ht="15.75" customHeight="1">
      <c r="R703" s="30"/>
    </row>
    <row r="704" spans="18:18" ht="15.75" customHeight="1">
      <c r="R704" s="30"/>
    </row>
    <row r="705" spans="18:18" ht="15.75" customHeight="1">
      <c r="R705" s="30"/>
    </row>
    <row r="706" spans="18:18" ht="15.75" customHeight="1">
      <c r="R706" s="30"/>
    </row>
    <row r="707" spans="18:18" ht="15.75" customHeight="1">
      <c r="R707" s="30"/>
    </row>
    <row r="708" spans="18:18" ht="15.75" customHeight="1">
      <c r="R708" s="30"/>
    </row>
    <row r="709" spans="18:18" ht="15.75" customHeight="1">
      <c r="R709" s="30"/>
    </row>
    <row r="710" spans="18:18" ht="15.75" customHeight="1">
      <c r="R710" s="30"/>
    </row>
    <row r="711" spans="18:18" ht="15.75" customHeight="1">
      <c r="R711" s="30"/>
    </row>
    <row r="712" spans="18:18" ht="15.75" customHeight="1">
      <c r="R712" s="30"/>
    </row>
    <row r="713" spans="18:18" ht="15.75" customHeight="1">
      <c r="R713" s="30"/>
    </row>
    <row r="714" spans="18:18" ht="15.75" customHeight="1">
      <c r="R714" s="30"/>
    </row>
    <row r="715" spans="18:18" ht="15.75" customHeight="1">
      <c r="R715" s="30"/>
    </row>
    <row r="716" spans="18:18" ht="15.75" customHeight="1">
      <c r="R716" s="30"/>
    </row>
    <row r="717" spans="18:18" ht="15.75" customHeight="1">
      <c r="R717" s="30"/>
    </row>
    <row r="718" spans="18:18" ht="15.75" customHeight="1">
      <c r="R718" s="30"/>
    </row>
    <row r="719" spans="18:18" ht="15.75" customHeight="1">
      <c r="R719" s="30"/>
    </row>
    <row r="720" spans="18:18" ht="15.75" customHeight="1">
      <c r="R720" s="30"/>
    </row>
    <row r="721" spans="18:18" ht="15.75" customHeight="1">
      <c r="R721" s="30"/>
    </row>
    <row r="722" spans="18:18" ht="15.75" customHeight="1">
      <c r="R722" s="30"/>
    </row>
    <row r="723" spans="18:18" ht="15.75" customHeight="1">
      <c r="R723" s="30"/>
    </row>
    <row r="724" spans="18:18" ht="15.75" customHeight="1">
      <c r="R724" s="30"/>
    </row>
    <row r="725" spans="18:18" ht="15.75" customHeight="1">
      <c r="R725" s="30"/>
    </row>
    <row r="726" spans="18:18" ht="15.75" customHeight="1">
      <c r="R726" s="30"/>
    </row>
    <row r="727" spans="18:18" ht="15.75" customHeight="1">
      <c r="R727" s="30"/>
    </row>
    <row r="728" spans="18:18" ht="15.75" customHeight="1">
      <c r="R728" s="30"/>
    </row>
    <row r="729" spans="18:18" ht="15.75" customHeight="1">
      <c r="R729" s="30"/>
    </row>
    <row r="730" spans="18:18" ht="15.75" customHeight="1">
      <c r="R730" s="30"/>
    </row>
    <row r="731" spans="18:18" ht="15.75" customHeight="1">
      <c r="R731" s="30"/>
    </row>
    <row r="732" spans="18:18" ht="15.75" customHeight="1">
      <c r="R732" s="30"/>
    </row>
    <row r="733" spans="18:18" ht="15.75" customHeight="1">
      <c r="R733" s="30"/>
    </row>
    <row r="734" spans="18:18" ht="15.75" customHeight="1">
      <c r="R734" s="30"/>
    </row>
    <row r="735" spans="18:18" ht="15.75" customHeight="1">
      <c r="R735" s="30"/>
    </row>
    <row r="736" spans="18:18" ht="15.75" customHeight="1">
      <c r="R736" s="30"/>
    </row>
    <row r="737" spans="18:18" ht="15.75" customHeight="1">
      <c r="R737" s="30"/>
    </row>
    <row r="738" spans="18:18" ht="15.75" customHeight="1">
      <c r="R738" s="30"/>
    </row>
    <row r="739" spans="18:18" ht="15.75" customHeight="1">
      <c r="R739" s="30"/>
    </row>
    <row r="740" spans="18:18" ht="15.75" customHeight="1">
      <c r="R740" s="30"/>
    </row>
    <row r="741" spans="18:18" ht="15.75" customHeight="1">
      <c r="R741" s="30"/>
    </row>
    <row r="742" spans="18:18" ht="15.75" customHeight="1">
      <c r="R742" s="30"/>
    </row>
    <row r="743" spans="18:18" ht="15.75" customHeight="1">
      <c r="R743" s="30"/>
    </row>
    <row r="744" spans="18:18" ht="15.75" customHeight="1">
      <c r="R744" s="30"/>
    </row>
    <row r="745" spans="18:18" ht="15.75" customHeight="1">
      <c r="R745" s="30"/>
    </row>
    <row r="746" spans="18:18" ht="15.75" customHeight="1">
      <c r="R746" s="30"/>
    </row>
    <row r="747" spans="18:18" ht="15.75" customHeight="1">
      <c r="R747" s="30"/>
    </row>
    <row r="748" spans="18:18" ht="15.75" customHeight="1">
      <c r="R748" s="30"/>
    </row>
    <row r="749" spans="18:18" ht="15.75" customHeight="1">
      <c r="R749" s="30"/>
    </row>
    <row r="750" spans="18:18" ht="15.75" customHeight="1">
      <c r="R750" s="30"/>
    </row>
    <row r="751" spans="18:18" ht="15.75" customHeight="1">
      <c r="R751" s="30"/>
    </row>
    <row r="752" spans="18:18" ht="15.75" customHeight="1">
      <c r="R752" s="30"/>
    </row>
    <row r="753" spans="18:18" ht="15.75" customHeight="1">
      <c r="R753" s="30"/>
    </row>
    <row r="754" spans="18:18" ht="15.75" customHeight="1">
      <c r="R754" s="30"/>
    </row>
    <row r="755" spans="18:18" ht="15.75" customHeight="1">
      <c r="R755" s="30"/>
    </row>
    <row r="756" spans="18:18" ht="15.75" customHeight="1">
      <c r="R756" s="30"/>
    </row>
    <row r="757" spans="18:18" ht="15.75" customHeight="1">
      <c r="R757" s="30"/>
    </row>
    <row r="758" spans="18:18" ht="15.75" customHeight="1">
      <c r="R758" s="30"/>
    </row>
    <row r="759" spans="18:18" ht="15.75" customHeight="1">
      <c r="R759" s="30"/>
    </row>
    <row r="760" spans="18:18" ht="15.75" customHeight="1">
      <c r="R760" s="30"/>
    </row>
    <row r="761" spans="18:18" ht="15.75" customHeight="1">
      <c r="R761" s="30"/>
    </row>
    <row r="762" spans="18:18" ht="15.75" customHeight="1">
      <c r="R762" s="30"/>
    </row>
    <row r="763" spans="18:18" ht="15.75" customHeight="1">
      <c r="R763" s="30"/>
    </row>
    <row r="764" spans="18:18" ht="15.75" customHeight="1">
      <c r="R764" s="30"/>
    </row>
    <row r="765" spans="18:18" ht="15.75" customHeight="1">
      <c r="R765" s="30"/>
    </row>
    <row r="766" spans="18:18" ht="15.75" customHeight="1">
      <c r="R766" s="30"/>
    </row>
    <row r="767" spans="18:18" ht="15.75" customHeight="1">
      <c r="R767" s="30"/>
    </row>
    <row r="768" spans="18:18" ht="15.75" customHeight="1">
      <c r="R768" s="30"/>
    </row>
    <row r="769" spans="18:18" ht="15.75" customHeight="1">
      <c r="R769" s="30"/>
    </row>
    <row r="770" spans="18:18" ht="15.75" customHeight="1">
      <c r="R770" s="30"/>
    </row>
    <row r="771" spans="18:18" ht="15.75" customHeight="1">
      <c r="R771" s="30"/>
    </row>
    <row r="772" spans="18:18" ht="15.75" customHeight="1">
      <c r="R772" s="30"/>
    </row>
    <row r="773" spans="18:18" ht="15.75" customHeight="1">
      <c r="R773" s="30"/>
    </row>
    <row r="774" spans="18:18" ht="15.75" customHeight="1">
      <c r="R774" s="30"/>
    </row>
    <row r="775" spans="18:18" ht="15.75" customHeight="1">
      <c r="R775" s="30"/>
    </row>
    <row r="776" spans="18:18" ht="15.75" customHeight="1">
      <c r="R776" s="30"/>
    </row>
    <row r="777" spans="18:18" ht="15.75" customHeight="1">
      <c r="R777" s="30"/>
    </row>
    <row r="778" spans="18:18" ht="15.75" customHeight="1">
      <c r="R778" s="30"/>
    </row>
    <row r="779" spans="18:18" ht="15.75" customHeight="1">
      <c r="R779" s="30"/>
    </row>
    <row r="780" spans="18:18" ht="15.75" customHeight="1">
      <c r="R780" s="30"/>
    </row>
    <row r="781" spans="18:18" ht="15.75" customHeight="1">
      <c r="R781" s="30"/>
    </row>
    <row r="782" spans="18:18" ht="15.75" customHeight="1">
      <c r="R782" s="30"/>
    </row>
    <row r="783" spans="18:18" ht="15.75" customHeight="1">
      <c r="R783" s="30"/>
    </row>
    <row r="784" spans="18:18" ht="15.75" customHeight="1">
      <c r="R784" s="30"/>
    </row>
    <row r="785" spans="18:18" ht="15.75" customHeight="1">
      <c r="R785" s="30"/>
    </row>
    <row r="786" spans="18:18" ht="15.75" customHeight="1">
      <c r="R786" s="30"/>
    </row>
    <row r="787" spans="18:18" ht="15.75" customHeight="1">
      <c r="R787" s="30"/>
    </row>
    <row r="788" spans="18:18" ht="15.75" customHeight="1">
      <c r="R788" s="30"/>
    </row>
    <row r="789" spans="18:18" ht="15.75" customHeight="1">
      <c r="R789" s="30"/>
    </row>
    <row r="790" spans="18:18" ht="15.75" customHeight="1">
      <c r="R790" s="30"/>
    </row>
    <row r="791" spans="18:18" ht="15.75" customHeight="1">
      <c r="R791" s="30"/>
    </row>
    <row r="792" spans="18:18" ht="15.75" customHeight="1">
      <c r="R792" s="30"/>
    </row>
    <row r="793" spans="18:18" ht="15.75" customHeight="1">
      <c r="R793" s="30"/>
    </row>
    <row r="794" spans="18:18" ht="15.75" customHeight="1">
      <c r="R794" s="30"/>
    </row>
    <row r="795" spans="18:18" ht="15.75" customHeight="1">
      <c r="R795" s="30"/>
    </row>
    <row r="796" spans="18:18" ht="15.75" customHeight="1">
      <c r="R796" s="30"/>
    </row>
    <row r="797" spans="18:18" ht="15.75" customHeight="1">
      <c r="R797" s="30"/>
    </row>
    <row r="798" spans="18:18" ht="15.75" customHeight="1">
      <c r="R798" s="30"/>
    </row>
    <row r="799" spans="18:18" ht="15.75" customHeight="1">
      <c r="R799" s="30"/>
    </row>
    <row r="800" spans="18:18" ht="15.75" customHeight="1">
      <c r="R800" s="30"/>
    </row>
    <row r="801" spans="18:18" ht="15.75" customHeight="1">
      <c r="R801" s="30"/>
    </row>
    <row r="802" spans="18:18" ht="15.75" customHeight="1">
      <c r="R802" s="30"/>
    </row>
    <row r="803" spans="18:18" ht="15.75" customHeight="1">
      <c r="R803" s="30"/>
    </row>
    <row r="804" spans="18:18" ht="15.75" customHeight="1">
      <c r="R804" s="30"/>
    </row>
    <row r="805" spans="18:18" ht="15.75" customHeight="1">
      <c r="R805" s="30"/>
    </row>
    <row r="806" spans="18:18" ht="15.75" customHeight="1">
      <c r="R806" s="30"/>
    </row>
    <row r="807" spans="18:18" ht="15.75" customHeight="1">
      <c r="R807" s="30"/>
    </row>
    <row r="808" spans="18:18" ht="15.75" customHeight="1">
      <c r="R808" s="30"/>
    </row>
    <row r="809" spans="18:18" ht="15.75" customHeight="1">
      <c r="R809" s="30"/>
    </row>
    <row r="810" spans="18:18" ht="15.75" customHeight="1">
      <c r="R810" s="30"/>
    </row>
    <row r="811" spans="18:18" ht="15.75" customHeight="1">
      <c r="R811" s="30"/>
    </row>
    <row r="812" spans="18:18" ht="15.75" customHeight="1">
      <c r="R812" s="30"/>
    </row>
    <row r="813" spans="18:18" ht="15.75" customHeight="1">
      <c r="R813" s="30"/>
    </row>
    <row r="814" spans="18:18" ht="15.75" customHeight="1">
      <c r="R814" s="30"/>
    </row>
    <row r="815" spans="18:18" ht="15.75" customHeight="1">
      <c r="R815" s="30"/>
    </row>
    <row r="816" spans="18:18" ht="15.75" customHeight="1">
      <c r="R816" s="30"/>
    </row>
    <row r="817" spans="18:18" ht="15.75" customHeight="1">
      <c r="R817" s="30"/>
    </row>
    <row r="818" spans="18:18" ht="15.75" customHeight="1">
      <c r="R818" s="30"/>
    </row>
    <row r="819" spans="18:18" ht="15.75" customHeight="1">
      <c r="R819" s="30"/>
    </row>
    <row r="820" spans="18:18" ht="15.75" customHeight="1">
      <c r="R820" s="30"/>
    </row>
    <row r="821" spans="18:18" ht="15.75" customHeight="1">
      <c r="R821" s="30"/>
    </row>
    <row r="822" spans="18:18" ht="15.75" customHeight="1">
      <c r="R822" s="30"/>
    </row>
    <row r="823" spans="18:18" ht="15.75" customHeight="1">
      <c r="R823" s="30"/>
    </row>
    <row r="824" spans="18:18" ht="15.75" customHeight="1">
      <c r="R824" s="30"/>
    </row>
    <row r="825" spans="18:18" ht="15.75" customHeight="1">
      <c r="R825" s="30"/>
    </row>
    <row r="826" spans="18:18" ht="15.75" customHeight="1">
      <c r="R826" s="30"/>
    </row>
    <row r="827" spans="18:18" ht="15.75" customHeight="1">
      <c r="R827" s="30"/>
    </row>
    <row r="828" spans="18:18" ht="15.75" customHeight="1">
      <c r="R828" s="30"/>
    </row>
    <row r="829" spans="18:18" ht="15.75" customHeight="1">
      <c r="R829" s="30"/>
    </row>
    <row r="830" spans="18:18" ht="15.75" customHeight="1">
      <c r="R830" s="30"/>
    </row>
    <row r="831" spans="18:18" ht="15.75" customHeight="1">
      <c r="R831" s="30"/>
    </row>
    <row r="832" spans="18:18" ht="15.75" customHeight="1">
      <c r="R832" s="30"/>
    </row>
    <row r="833" spans="18:18" ht="15.75" customHeight="1">
      <c r="R833" s="30"/>
    </row>
    <row r="834" spans="18:18" ht="15.75" customHeight="1">
      <c r="R834" s="30"/>
    </row>
    <row r="835" spans="18:18" ht="15.75" customHeight="1">
      <c r="R835" s="30"/>
    </row>
    <row r="836" spans="18:18" ht="15.75" customHeight="1">
      <c r="R836" s="30"/>
    </row>
    <row r="837" spans="18:18" ht="15.75" customHeight="1">
      <c r="R837" s="30"/>
    </row>
    <row r="838" spans="18:18" ht="15.75" customHeight="1">
      <c r="R838" s="30"/>
    </row>
    <row r="839" spans="18:18" ht="15.75" customHeight="1">
      <c r="R839" s="30"/>
    </row>
    <row r="840" spans="18:18" ht="15.75" customHeight="1">
      <c r="R840" s="30"/>
    </row>
    <row r="841" spans="18:18" ht="15.75" customHeight="1">
      <c r="R841" s="30"/>
    </row>
    <row r="842" spans="18:18" ht="15.75" customHeight="1">
      <c r="R842" s="30"/>
    </row>
    <row r="843" spans="18:18" ht="15.75" customHeight="1">
      <c r="R843" s="30"/>
    </row>
    <row r="844" spans="18:18" ht="15.75" customHeight="1">
      <c r="R844" s="30"/>
    </row>
    <row r="845" spans="18:18" ht="15.75" customHeight="1">
      <c r="R845" s="30"/>
    </row>
    <row r="846" spans="18:18" ht="15.75" customHeight="1">
      <c r="R846" s="30"/>
    </row>
    <row r="847" spans="18:18" ht="15.75" customHeight="1">
      <c r="R847" s="30"/>
    </row>
    <row r="848" spans="18:18" ht="15.75" customHeight="1">
      <c r="R848" s="30"/>
    </row>
    <row r="849" spans="18:18" ht="15.75" customHeight="1">
      <c r="R849" s="30"/>
    </row>
    <row r="850" spans="18:18" ht="15.75" customHeight="1">
      <c r="R850" s="30"/>
    </row>
    <row r="851" spans="18:18" ht="15.75" customHeight="1">
      <c r="R851" s="30"/>
    </row>
    <row r="852" spans="18:18" ht="15.75" customHeight="1">
      <c r="R852" s="30"/>
    </row>
    <row r="853" spans="18:18" ht="15.75" customHeight="1">
      <c r="R853" s="30"/>
    </row>
    <row r="854" spans="18:18" ht="15.75" customHeight="1">
      <c r="R854" s="30"/>
    </row>
    <row r="855" spans="18:18" ht="15.75" customHeight="1">
      <c r="R855" s="30"/>
    </row>
    <row r="856" spans="18:18" ht="15.75" customHeight="1">
      <c r="R856" s="30"/>
    </row>
    <row r="857" spans="18:18" ht="15.75" customHeight="1">
      <c r="R857" s="30"/>
    </row>
    <row r="858" spans="18:18" ht="15.75" customHeight="1">
      <c r="R858" s="30"/>
    </row>
    <row r="859" spans="18:18" ht="15.75" customHeight="1">
      <c r="R859" s="30"/>
    </row>
    <row r="860" spans="18:18" ht="15.75" customHeight="1">
      <c r="R860" s="30"/>
    </row>
    <row r="861" spans="18:18" ht="15.75" customHeight="1">
      <c r="R861" s="30"/>
    </row>
    <row r="862" spans="18:18" ht="15.75" customHeight="1">
      <c r="R862" s="30"/>
    </row>
    <row r="863" spans="18:18" ht="15.75" customHeight="1">
      <c r="R863" s="30"/>
    </row>
    <row r="864" spans="18:18" ht="15.75" customHeight="1">
      <c r="R864" s="30"/>
    </row>
    <row r="865" spans="18:18" ht="15.75" customHeight="1">
      <c r="R865" s="30"/>
    </row>
    <row r="866" spans="18:18" ht="15.75" customHeight="1">
      <c r="R866" s="30"/>
    </row>
    <row r="867" spans="18:18" ht="15.75" customHeight="1">
      <c r="R867" s="30"/>
    </row>
    <row r="868" spans="18:18" ht="15.75" customHeight="1">
      <c r="R868" s="30"/>
    </row>
    <row r="869" spans="18:18" ht="15.75" customHeight="1">
      <c r="R869" s="30"/>
    </row>
    <row r="870" spans="18:18" ht="15.75" customHeight="1">
      <c r="R870" s="30"/>
    </row>
    <row r="871" spans="18:18" ht="15.75" customHeight="1">
      <c r="R871" s="30"/>
    </row>
    <row r="872" spans="18:18" ht="15.75" customHeight="1">
      <c r="R872" s="30"/>
    </row>
    <row r="873" spans="18:18" ht="15.75" customHeight="1">
      <c r="R873" s="30"/>
    </row>
    <row r="874" spans="18:18" ht="15.75" customHeight="1">
      <c r="R874" s="30"/>
    </row>
    <row r="875" spans="18:18" ht="15.75" customHeight="1">
      <c r="R875" s="30"/>
    </row>
    <row r="876" spans="18:18" ht="15.75" customHeight="1">
      <c r="R876" s="30"/>
    </row>
    <row r="877" spans="18:18" ht="15.75" customHeight="1">
      <c r="R877" s="30"/>
    </row>
    <row r="878" spans="18:18" ht="15.75" customHeight="1">
      <c r="R878" s="30"/>
    </row>
    <row r="879" spans="18:18" ht="15.75" customHeight="1">
      <c r="R879" s="30"/>
    </row>
    <row r="880" spans="18:18" ht="15.75" customHeight="1">
      <c r="R880" s="30"/>
    </row>
    <row r="881" spans="18:18" ht="15.75" customHeight="1">
      <c r="R881" s="30"/>
    </row>
    <row r="882" spans="18:18" ht="15.75" customHeight="1">
      <c r="R882" s="30"/>
    </row>
    <row r="883" spans="18:18" ht="15.75" customHeight="1">
      <c r="R883" s="30"/>
    </row>
    <row r="884" spans="18:18" ht="15.75" customHeight="1">
      <c r="R884" s="30"/>
    </row>
    <row r="885" spans="18:18" ht="15.75" customHeight="1">
      <c r="R885" s="30"/>
    </row>
    <row r="886" spans="18:18" ht="15.75" customHeight="1">
      <c r="R886" s="30"/>
    </row>
    <row r="887" spans="18:18" ht="15.75" customHeight="1">
      <c r="R887" s="30"/>
    </row>
    <row r="888" spans="18:18" ht="15.75" customHeight="1">
      <c r="R888" s="30"/>
    </row>
    <row r="889" spans="18:18" ht="15.75" customHeight="1">
      <c r="R889" s="30"/>
    </row>
    <row r="890" spans="18:18" ht="15.75" customHeight="1">
      <c r="R890" s="30"/>
    </row>
    <row r="891" spans="18:18" ht="15.75" customHeight="1">
      <c r="R891" s="30"/>
    </row>
    <row r="892" spans="18:18" ht="15.75" customHeight="1">
      <c r="R892" s="30"/>
    </row>
    <row r="893" spans="18:18" ht="15.75" customHeight="1">
      <c r="R893" s="30"/>
    </row>
    <row r="894" spans="18:18" ht="15.75" customHeight="1">
      <c r="R894" s="30"/>
    </row>
    <row r="895" spans="18:18" ht="15.75" customHeight="1">
      <c r="R895" s="30"/>
    </row>
    <row r="896" spans="18:18" ht="15.75" customHeight="1">
      <c r="R896" s="30"/>
    </row>
    <row r="897" spans="18:18" ht="15.75" customHeight="1">
      <c r="R897" s="30"/>
    </row>
    <row r="898" spans="18:18" ht="15.75" customHeight="1">
      <c r="R898" s="30"/>
    </row>
    <row r="899" spans="18:18" ht="15.75" customHeight="1">
      <c r="R899" s="30"/>
    </row>
    <row r="900" spans="18:18" ht="15.75" customHeight="1">
      <c r="R900" s="30"/>
    </row>
    <row r="901" spans="18:18" ht="15.75" customHeight="1">
      <c r="R901" s="30"/>
    </row>
    <row r="902" spans="18:18" ht="15.75" customHeight="1">
      <c r="R902" s="30"/>
    </row>
    <row r="903" spans="18:18" ht="15.75" customHeight="1">
      <c r="R903" s="30"/>
    </row>
    <row r="904" spans="18:18" ht="15.75" customHeight="1">
      <c r="R904" s="30"/>
    </row>
    <row r="905" spans="18:18" ht="15.75" customHeight="1">
      <c r="R905" s="30"/>
    </row>
    <row r="906" spans="18:18" ht="15.75" customHeight="1">
      <c r="R906" s="30"/>
    </row>
    <row r="907" spans="18:18" ht="15.75" customHeight="1">
      <c r="R907" s="30"/>
    </row>
    <row r="908" spans="18:18" ht="15.75" customHeight="1">
      <c r="R908" s="30"/>
    </row>
    <row r="909" spans="18:18" ht="15.75" customHeight="1">
      <c r="R909" s="30"/>
    </row>
    <row r="910" spans="18:18" ht="15.75" customHeight="1">
      <c r="R910" s="30"/>
    </row>
    <row r="911" spans="18:18" ht="15.75" customHeight="1">
      <c r="R911" s="30"/>
    </row>
    <row r="912" spans="18:18" ht="15.75" customHeight="1">
      <c r="R912" s="30"/>
    </row>
    <row r="913" spans="18:18" ht="15.75" customHeight="1">
      <c r="R913" s="30"/>
    </row>
    <row r="914" spans="18:18" ht="15.75" customHeight="1">
      <c r="R914" s="30"/>
    </row>
    <row r="915" spans="18:18" ht="15.75" customHeight="1">
      <c r="R915" s="30"/>
    </row>
    <row r="916" spans="18:18" ht="15.75" customHeight="1">
      <c r="R916" s="30"/>
    </row>
    <row r="917" spans="18:18" ht="15.75" customHeight="1">
      <c r="R917" s="30"/>
    </row>
    <row r="918" spans="18:18" ht="15.75" customHeight="1">
      <c r="R918" s="30"/>
    </row>
    <row r="919" spans="18:18" ht="15.75" customHeight="1">
      <c r="R919" s="30"/>
    </row>
    <row r="920" spans="18:18" ht="15.75" customHeight="1">
      <c r="R920" s="30"/>
    </row>
    <row r="921" spans="18:18" ht="15.75" customHeight="1">
      <c r="R921" s="30"/>
    </row>
    <row r="922" spans="18:18" ht="15.75" customHeight="1">
      <c r="R922" s="30"/>
    </row>
    <row r="923" spans="18:18" ht="15.75" customHeight="1">
      <c r="R923" s="30"/>
    </row>
    <row r="924" spans="18:18" ht="15.75" customHeight="1">
      <c r="R924" s="30"/>
    </row>
    <row r="925" spans="18:18" ht="15.75" customHeight="1">
      <c r="R925" s="30"/>
    </row>
    <row r="926" spans="18:18" ht="15.75" customHeight="1">
      <c r="R926" s="30"/>
    </row>
    <row r="927" spans="18:18" ht="15.75" customHeight="1">
      <c r="R927" s="30"/>
    </row>
    <row r="928" spans="18:18" ht="15.75" customHeight="1">
      <c r="R928" s="30"/>
    </row>
    <row r="929" spans="18:18" ht="15.75" customHeight="1">
      <c r="R929" s="30"/>
    </row>
    <row r="930" spans="18:18" ht="15.75" customHeight="1">
      <c r="R930" s="30"/>
    </row>
    <row r="931" spans="18:18" ht="15.75" customHeight="1">
      <c r="R931" s="30"/>
    </row>
    <row r="932" spans="18:18" ht="15.75" customHeight="1">
      <c r="R932" s="30"/>
    </row>
    <row r="933" spans="18:18" ht="15.75" customHeight="1">
      <c r="R933" s="30"/>
    </row>
    <row r="934" spans="18:18" ht="15.75" customHeight="1">
      <c r="R934" s="30"/>
    </row>
    <row r="935" spans="18:18" ht="15.75" customHeight="1">
      <c r="R935" s="30"/>
    </row>
    <row r="936" spans="18:18" ht="15.75" customHeight="1">
      <c r="R936" s="30"/>
    </row>
    <row r="937" spans="18:18" ht="15.75" customHeight="1">
      <c r="R937" s="30"/>
    </row>
    <row r="938" spans="18:18" ht="15.75" customHeight="1">
      <c r="R938" s="30"/>
    </row>
    <row r="939" spans="18:18" ht="15.75" customHeight="1">
      <c r="R939" s="30"/>
    </row>
    <row r="940" spans="18:18" ht="15.75" customHeight="1">
      <c r="R940" s="30"/>
    </row>
    <row r="941" spans="18:18" ht="15.75" customHeight="1">
      <c r="R941" s="30"/>
    </row>
    <row r="942" spans="18:18" ht="15.75" customHeight="1">
      <c r="R942" s="30"/>
    </row>
    <row r="943" spans="18:18" ht="15.75" customHeight="1">
      <c r="R943" s="30"/>
    </row>
    <row r="944" spans="18:18" ht="15.75" customHeight="1">
      <c r="R944" s="30"/>
    </row>
    <row r="945" spans="18:18" ht="15.75" customHeight="1">
      <c r="R945" s="30"/>
    </row>
    <row r="946" spans="18:18" ht="15.75" customHeight="1">
      <c r="R946" s="30"/>
    </row>
    <row r="947" spans="18:18" ht="15.75" customHeight="1">
      <c r="R947" s="30"/>
    </row>
    <row r="948" spans="18:18" ht="15.75" customHeight="1">
      <c r="R948" s="30"/>
    </row>
    <row r="949" spans="18:18" ht="15.75" customHeight="1">
      <c r="R949" s="30"/>
    </row>
    <row r="950" spans="18:18" ht="15.75" customHeight="1">
      <c r="R950" s="30"/>
    </row>
    <row r="951" spans="18:18" ht="15.75" customHeight="1">
      <c r="R951" s="30"/>
    </row>
    <row r="952" spans="18:18" ht="15.75" customHeight="1">
      <c r="R952" s="30"/>
    </row>
    <row r="953" spans="18:18" ht="15.75" customHeight="1">
      <c r="R953" s="30"/>
    </row>
    <row r="954" spans="18:18" ht="15.75" customHeight="1">
      <c r="R954" s="30"/>
    </row>
    <row r="955" spans="18:18" ht="15.75" customHeight="1">
      <c r="R955" s="30"/>
    </row>
    <row r="956" spans="18:18" ht="15.75" customHeight="1">
      <c r="R956" s="30"/>
    </row>
    <row r="957" spans="18:18" ht="15.75" customHeight="1">
      <c r="R957" s="30"/>
    </row>
    <row r="958" spans="18:18" ht="15.75" customHeight="1">
      <c r="R958" s="30"/>
    </row>
    <row r="959" spans="18:18" ht="15.75" customHeight="1">
      <c r="R959" s="30"/>
    </row>
    <row r="960" spans="18:18" ht="15.75" customHeight="1">
      <c r="R960" s="30"/>
    </row>
    <row r="961" spans="18:18" ht="15.75" customHeight="1">
      <c r="R961" s="30"/>
    </row>
    <row r="962" spans="18:18" ht="15.75" customHeight="1">
      <c r="R962" s="30"/>
    </row>
    <row r="963" spans="18:18" ht="15.75" customHeight="1">
      <c r="R963" s="30"/>
    </row>
    <row r="964" spans="18:18" ht="15.75" customHeight="1">
      <c r="R964" s="30"/>
    </row>
    <row r="965" spans="18:18" ht="15.75" customHeight="1">
      <c r="R965" s="30"/>
    </row>
    <row r="966" spans="18:18" ht="15.75" customHeight="1">
      <c r="R966" s="30"/>
    </row>
    <row r="967" spans="18:18" ht="15.75" customHeight="1">
      <c r="R967" s="30"/>
    </row>
    <row r="968" spans="18:18" ht="15.75" customHeight="1">
      <c r="R968" s="30"/>
    </row>
    <row r="969" spans="18:18" ht="15.75" customHeight="1">
      <c r="R969" s="30"/>
    </row>
    <row r="970" spans="18:18" ht="15.75" customHeight="1">
      <c r="R970" s="30"/>
    </row>
    <row r="971" spans="18:18" ht="15.75" customHeight="1">
      <c r="R971" s="30"/>
    </row>
    <row r="972" spans="18:18" ht="15.75" customHeight="1">
      <c r="R972" s="30"/>
    </row>
    <row r="973" spans="18:18" ht="15.75" customHeight="1">
      <c r="R973" s="30"/>
    </row>
    <row r="974" spans="18:18" ht="15.75" customHeight="1">
      <c r="R974" s="30"/>
    </row>
    <row r="975" spans="18:18" ht="15.75" customHeight="1">
      <c r="R975" s="30"/>
    </row>
    <row r="976" spans="18:18" ht="15.75" customHeight="1">
      <c r="R976" s="30"/>
    </row>
    <row r="977" spans="18:18" ht="15.75" customHeight="1">
      <c r="R977" s="30"/>
    </row>
    <row r="978" spans="18:18" ht="15.75" customHeight="1">
      <c r="R978" s="30"/>
    </row>
    <row r="979" spans="18:18" ht="15.75" customHeight="1">
      <c r="R979" s="30"/>
    </row>
    <row r="980" spans="18:18" ht="15.75" customHeight="1">
      <c r="R980" s="30"/>
    </row>
    <row r="981" spans="18:18" ht="15.75" customHeight="1">
      <c r="R981" s="30"/>
    </row>
    <row r="982" spans="18:18" ht="15.75" customHeight="1">
      <c r="R982" s="30"/>
    </row>
    <row r="983" spans="18:18" ht="15.75" customHeight="1">
      <c r="R983" s="30"/>
    </row>
    <row r="984" spans="18:18" ht="15.75" customHeight="1">
      <c r="R984" s="30"/>
    </row>
    <row r="985" spans="18:18" ht="15.75" customHeight="1">
      <c r="R985" s="30"/>
    </row>
    <row r="986" spans="18:18" ht="15.75" customHeight="1">
      <c r="R986" s="30"/>
    </row>
    <row r="987" spans="18:18" ht="15.75" customHeight="1">
      <c r="R987" s="30"/>
    </row>
    <row r="988" spans="18:18" ht="15.75" customHeight="1">
      <c r="R988" s="30"/>
    </row>
    <row r="989" spans="18:18" ht="15.75" customHeight="1">
      <c r="R989" s="30"/>
    </row>
    <row r="990" spans="18:18" ht="15.75" customHeight="1">
      <c r="R990" s="30"/>
    </row>
    <row r="991" spans="18:18" ht="15.75" customHeight="1">
      <c r="R991" s="30"/>
    </row>
    <row r="992" spans="18:18" ht="15.75" customHeight="1">
      <c r="R992" s="30"/>
    </row>
    <row r="993" spans="18:18" ht="15.75" customHeight="1">
      <c r="R993" s="30"/>
    </row>
    <row r="994" spans="18:18" ht="15.75" customHeight="1">
      <c r="R994" s="30"/>
    </row>
    <row r="995" spans="18:18" ht="15.75" customHeight="1">
      <c r="R995" s="30"/>
    </row>
    <row r="996" spans="18:18" ht="15.75" customHeight="1">
      <c r="R996" s="30"/>
    </row>
    <row r="997" spans="18:18" ht="15.75" customHeight="1">
      <c r="R997" s="30"/>
    </row>
    <row r="998" spans="18:18" ht="15.75" customHeight="1">
      <c r="R998" s="30"/>
    </row>
    <row r="999" spans="18:18" ht="15.75" customHeight="1">
      <c r="R999" s="30"/>
    </row>
    <row r="1000" spans="18:18" ht="15.75" customHeight="1">
      <c r="R1000" s="3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2.6640625" defaultRowHeight="15" customHeight="1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8.6640625" customWidth="1"/>
    <col min="6" max="6" width="9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16.33203125" customWidth="1"/>
    <col min="16" max="16" width="10" customWidth="1"/>
    <col min="17" max="18" width="7.33203125" customWidth="1"/>
    <col min="19" max="19" width="7.1640625" customWidth="1"/>
    <col min="20" max="20" width="11.1640625" customWidth="1"/>
    <col min="21" max="21" width="20.1640625" customWidth="1"/>
    <col min="22" max="22" width="70.664062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6640625" customWidth="1"/>
    <col min="32" max="32" width="10.1640625" customWidth="1"/>
    <col min="33" max="33" width="8.83203125" customWidth="1"/>
  </cols>
  <sheetData>
    <row r="1" spans="1:33" ht="18.75" customHeight="1">
      <c r="A1" s="46" t="str">
        <f ca="1">IFERROR(__xludf.DUMMYFUNCTION("IFERROR(VLOOKUP(B2,IMPORTRANGE(""https://docs.google.com/spreadsheets/d/1x0DhHglkXKoEBOD2MBsuK_EyIr1ouxD2ftIpqOYFa-k/edit?usp=sharing"",""Ubiquitty-SKU-Specific Info!B1:BJ5000""),3,FALSE),"""")"),"50 Ft Black Oil Resistant Extension Cord for Farms and Ranches - 12/3 SJTOW Heavy Duty Outdoor Cable with 3 Prong Grounded Plug for Safety")</f>
        <v>50 Ft Black Oil Resistant Extension Cord for Farms and Ranches - 12/3 SJTOW Heavy Duty Outdoor Cable with 3 Prong Grounded Plug for Safety</v>
      </c>
      <c r="B1" s="47"/>
      <c r="C1" s="48" t="s">
        <v>0</v>
      </c>
      <c r="D1" s="50" t="s">
        <v>1</v>
      </c>
      <c r="E1" s="50" t="s">
        <v>2</v>
      </c>
      <c r="F1" s="52" t="s">
        <v>3</v>
      </c>
      <c r="G1" s="52" t="s">
        <v>4</v>
      </c>
      <c r="H1" s="53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58" t="s">
        <v>10</v>
      </c>
      <c r="N1" s="59" t="s">
        <v>11</v>
      </c>
      <c r="O1" s="50" t="s">
        <v>12</v>
      </c>
      <c r="P1" s="50" t="s">
        <v>13</v>
      </c>
      <c r="Q1" s="57" t="s">
        <v>14</v>
      </c>
      <c r="R1" s="57" t="s">
        <v>15</v>
      </c>
      <c r="S1" s="60" t="s">
        <v>16</v>
      </c>
      <c r="T1" s="62" t="s">
        <v>2006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Info!B1:BJ5000""),2,FALSE),"""")"),"B081HCJGXM")</f>
        <v>B081HCJGXM</v>
      </c>
      <c r="B2" s="3" t="s">
        <v>764</v>
      </c>
      <c r="C2" s="49"/>
      <c r="D2" s="49"/>
      <c r="E2" s="51"/>
      <c r="F2" s="49"/>
      <c r="G2" s="49"/>
      <c r="H2" s="54"/>
      <c r="I2" s="49"/>
      <c r="J2" s="49"/>
      <c r="K2" s="54"/>
      <c r="L2" s="54"/>
      <c r="M2" s="54"/>
      <c r="N2" s="49"/>
      <c r="O2" s="49"/>
      <c r="P2" s="51"/>
      <c r="Q2" s="49"/>
      <c r="R2" s="49"/>
      <c r="S2" s="61"/>
      <c r="T2" s="47"/>
      <c r="U2" s="63"/>
      <c r="V2" s="63"/>
      <c r="W2" s="47"/>
      <c r="X2" s="47"/>
      <c r="Y2" s="47"/>
      <c r="Z2" s="47"/>
      <c r="AA2" s="63"/>
      <c r="AB2" s="63"/>
      <c r="AC2" s="63"/>
      <c r="AD2" s="63"/>
      <c r="AE2" s="47"/>
      <c r="AF2" s="47"/>
      <c r="AG2" s="47"/>
    </row>
    <row r="3" spans="1:33" ht="134.25" customHeight="1">
      <c r="A3" s="55" t="s">
        <v>31</v>
      </c>
      <c r="B3" s="56"/>
      <c r="C3" s="4">
        <f>((AE32+AF32)/0.85)*-1</f>
        <v>34.653642814117646</v>
      </c>
      <c r="D3" s="5">
        <f>SUM(D4:D99765)</f>
        <v>1066</v>
      </c>
      <c r="E3" s="5"/>
      <c r="F3" s="6">
        <f t="shared" ref="F3:G3" si="0">SUM(F4:F99765)</f>
        <v>44511.28</v>
      </c>
      <c r="G3" s="6">
        <f t="shared" si="0"/>
        <v>-3.72</v>
      </c>
      <c r="H3" s="7">
        <f t="shared" ref="H3:H32" si="1">G3/F3*-1</f>
        <v>8.3574320936176191E-5</v>
      </c>
      <c r="I3" s="8">
        <f t="shared" ref="I3:I32" si="2">J3/F3</f>
        <v>0.2320300250117667</v>
      </c>
      <c r="J3" s="6">
        <f>SUM(J4:J99765)</f>
        <v>10327.95341170575</v>
      </c>
      <c r="K3" s="6">
        <f t="shared" ref="K3:K32" si="3">J3/D3</f>
        <v>9.6885116432511733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Sheet!a1:g5000""),2,FALSE),"""")"),"10.5 - March
10.5 - April
10.5 - May
10.5 - June
8.5 - July
8.5 - Aug
8.5 - Sept
6.5 - Oct
7 - Nov
6 - Dec
8 - Jan
10.5 - Feb")</f>
        <v>10.5 - March
10.5 - April
10.5 - May
10.5 - June
8.5 - July
8.5 - Aug
8.5 - Sept
6.5 - Oct
7 - Nov
6 - Dec
8 - Jan
10.5 -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QTY-0")</f>
        <v>Del QTY-0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QTY-0")</f>
        <v>US QTY-0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0</v>
      </c>
      <c r="X3" s="7">
        <f>W3/D3</f>
        <v>0</v>
      </c>
      <c r="Y3" s="6"/>
      <c r="Z3" s="5"/>
      <c r="AA3" s="5"/>
      <c r="AB3" s="5"/>
      <c r="AC3" s="5"/>
      <c r="AD3" s="6">
        <f>SUM(AD4:AD99765)</f>
        <v>-258.72985460748833</v>
      </c>
      <c r="AE3" s="6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Info!B2:BZ3000""),37,FALSE)),"""")*-1"),-22.275596392)</f>
        <v>-22.275596392000001</v>
      </c>
      <c r="AG3" s="6">
        <f>SUM(AG4:AG99765)</f>
        <v>0</v>
      </c>
    </row>
    <row r="4" spans="1:33" ht="15.75" customHeight="1">
      <c r="A4" s="14" t="s">
        <v>181</v>
      </c>
      <c r="B4" s="14" t="s">
        <v>765</v>
      </c>
      <c r="C4" s="15">
        <f t="shared" ref="C4:C32" si="4">IFERROR(F4/D4," - ")</f>
        <v>39.24034482758622</v>
      </c>
      <c r="D4" s="16">
        <v>58</v>
      </c>
      <c r="E4" s="16">
        <v>0</v>
      </c>
      <c r="F4" s="17">
        <v>2275.940000000001</v>
      </c>
      <c r="G4" s="17">
        <v>0</v>
      </c>
      <c r="H4" s="18">
        <f t="shared" si="1"/>
        <v>0</v>
      </c>
      <c r="I4" s="18">
        <f t="shared" si="2"/>
        <v>0.23088610317309319</v>
      </c>
      <c r="J4" s="17">
        <f t="shared" ref="J4:J32" si="5">F4*0.85+G4+AF4*D4+D4*AE4+AG4+AD4</f>
        <v>525.48291765576994</v>
      </c>
      <c r="K4" s="17">
        <f t="shared" si="3"/>
        <v>9.0600503044098257</v>
      </c>
      <c r="L4" s="16">
        <v>97</v>
      </c>
      <c r="M4" s="19">
        <f t="shared" ref="M4:M32" si="6">IFERROR(D4/L4,"-")</f>
        <v>0.59793814432989689</v>
      </c>
      <c r="N4" s="16">
        <v>286</v>
      </c>
      <c r="O4" s="20">
        <f t="shared" ref="O4:P4" si="7">D4/7</f>
        <v>8.2857142857142865</v>
      </c>
      <c r="P4" s="20">
        <f t="shared" si="7"/>
        <v>0</v>
      </c>
      <c r="Q4" s="16">
        <f t="shared" ref="Q4:Q32" si="8">ROUNDDOWN(N4/(O4+P4),0)</f>
        <v>34</v>
      </c>
      <c r="R4" s="16"/>
      <c r="S4" s="21">
        <v>2.2961832061068699</v>
      </c>
      <c r="T4" s="14">
        <v>518</v>
      </c>
      <c r="U4" s="22">
        <v>100</v>
      </c>
      <c r="V4" s="23" t="s">
        <v>766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26" t="s">
        <v>35</v>
      </c>
      <c r="AB4" s="27">
        <f t="shared" ref="AB4:AB32" si="11">IF(OR(AA4="UsLargeStandardSize",AA4="UsSmallStandardSize"),-0.69,-0.48)</f>
        <v>-0.69</v>
      </c>
      <c r="AC4" s="28">
        <v>0.17587270833333335</v>
      </c>
      <c r="AD4" s="25">
        <f t="shared" ref="AD4:AD32" si="12">IFERROR(AB4*AC4*D4*2,0)</f>
        <v>-14.076851575000001</v>
      </c>
      <c r="AE4" s="25">
        <v>-7.32</v>
      </c>
      <c r="AF4" s="25">
        <v>-16.731538461538459</v>
      </c>
      <c r="AG4" s="25">
        <v>0</v>
      </c>
    </row>
    <row r="5" spans="1:33" ht="15.75" customHeight="1">
      <c r="A5" s="14" t="s">
        <v>183</v>
      </c>
      <c r="B5" s="14" t="s">
        <v>767</v>
      </c>
      <c r="C5" s="15">
        <f t="shared" si="4"/>
        <v>43.319199999999995</v>
      </c>
      <c r="D5" s="16">
        <v>25</v>
      </c>
      <c r="E5" s="16">
        <v>0</v>
      </c>
      <c r="F5" s="29">
        <v>1082.9799999999998</v>
      </c>
      <c r="G5" s="29">
        <v>0</v>
      </c>
      <c r="H5" s="18">
        <f t="shared" si="1"/>
        <v>0</v>
      </c>
      <c r="I5" s="18">
        <f t="shared" si="2"/>
        <v>0.28917422223083522</v>
      </c>
      <c r="J5" s="17">
        <f t="shared" si="5"/>
        <v>313.16989919154986</v>
      </c>
      <c r="K5" s="17">
        <f t="shared" si="3"/>
        <v>12.526795967661995</v>
      </c>
      <c r="L5" s="16">
        <v>93</v>
      </c>
      <c r="M5" s="19">
        <f t="shared" si="6"/>
        <v>0.26881720430107525</v>
      </c>
      <c r="N5" s="16">
        <v>263</v>
      </c>
      <c r="O5" s="20">
        <f t="shared" ref="O5:P5" si="13">D5/7</f>
        <v>3.5714285714285716</v>
      </c>
      <c r="P5" s="20">
        <f t="shared" si="13"/>
        <v>0</v>
      </c>
      <c r="Q5" s="16">
        <f t="shared" si="8"/>
        <v>73</v>
      </c>
      <c r="R5" s="16"/>
      <c r="S5" s="21">
        <v>2.9785714285714202</v>
      </c>
      <c r="T5" s="14">
        <v>518</v>
      </c>
      <c r="U5" s="22">
        <v>100</v>
      </c>
      <c r="V5" s="23" t="s">
        <v>768</v>
      </c>
      <c r="W5" s="14">
        <v>0</v>
      </c>
      <c r="X5" s="24">
        <f t="shared" si="9"/>
        <v>0</v>
      </c>
      <c r="Y5" s="25">
        <f t="shared" si="10"/>
        <v>0</v>
      </c>
      <c r="Z5" s="14">
        <v>0</v>
      </c>
      <c r="AA5" s="14" t="s">
        <v>35</v>
      </c>
      <c r="AB5" s="27">
        <f t="shared" si="11"/>
        <v>-0.69</v>
      </c>
      <c r="AC5" s="28">
        <v>0.1760765005793743</v>
      </c>
      <c r="AD5" s="25">
        <f t="shared" si="12"/>
        <v>-6.0746392699884124</v>
      </c>
      <c r="AE5" s="25">
        <v>-7.32</v>
      </c>
      <c r="AF5" s="25">
        <v>-16.731538461538459</v>
      </c>
      <c r="AG5" s="25">
        <v>0</v>
      </c>
    </row>
    <row r="6" spans="1:33" ht="15.75" customHeight="1">
      <c r="A6" s="14" t="s">
        <v>185</v>
      </c>
      <c r="B6" s="14" t="s">
        <v>769</v>
      </c>
      <c r="C6" s="15">
        <f t="shared" si="4"/>
        <v>41.922424242424242</v>
      </c>
      <c r="D6" s="16">
        <v>33</v>
      </c>
      <c r="E6" s="16">
        <v>0</v>
      </c>
      <c r="F6" s="29">
        <v>1383.44</v>
      </c>
      <c r="G6" s="29">
        <v>-0.03</v>
      </c>
      <c r="H6" s="18">
        <f t="shared" si="1"/>
        <v>2.1685074885791937E-5</v>
      </c>
      <c r="I6" s="18">
        <f t="shared" si="2"/>
        <v>0.27047359309527763</v>
      </c>
      <c r="J6" s="17">
        <f t="shared" si="5"/>
        <v>374.18398763173087</v>
      </c>
      <c r="K6" s="17">
        <f t="shared" si="3"/>
        <v>11.338908716113057</v>
      </c>
      <c r="L6" s="16">
        <v>73</v>
      </c>
      <c r="M6" s="19">
        <f t="shared" si="6"/>
        <v>0.45205479452054792</v>
      </c>
      <c r="N6" s="16">
        <v>233</v>
      </c>
      <c r="O6" s="20">
        <f t="shared" ref="O6:P6" si="14">D6/7</f>
        <v>4.7142857142857144</v>
      </c>
      <c r="P6" s="20">
        <f t="shared" si="14"/>
        <v>0</v>
      </c>
      <c r="Q6" s="16">
        <f t="shared" si="8"/>
        <v>49</v>
      </c>
      <c r="R6" s="16"/>
      <c r="S6" s="21">
        <v>2.12544378698224</v>
      </c>
      <c r="T6" s="14">
        <v>520</v>
      </c>
      <c r="U6" s="22">
        <v>100</v>
      </c>
      <c r="V6" s="23" t="s">
        <v>770</v>
      </c>
      <c r="W6" s="14">
        <v>0</v>
      </c>
      <c r="X6" s="24">
        <f t="shared" si="9"/>
        <v>0</v>
      </c>
      <c r="Y6" s="25">
        <f t="shared" si="10"/>
        <v>0</v>
      </c>
      <c r="Z6" s="14">
        <v>0</v>
      </c>
      <c r="AA6" s="14" t="s">
        <v>35</v>
      </c>
      <c r="AB6" s="27">
        <f t="shared" si="11"/>
        <v>-0.69</v>
      </c>
      <c r="AC6" s="28">
        <v>0.17587270833333335</v>
      </c>
      <c r="AD6" s="25">
        <f t="shared" si="12"/>
        <v>-8.0092431375000004</v>
      </c>
      <c r="AE6" s="25">
        <v>-7.32</v>
      </c>
      <c r="AF6" s="25">
        <v>-16.731538461538459</v>
      </c>
      <c r="AG6" s="25">
        <v>0</v>
      </c>
    </row>
    <row r="7" spans="1:33" ht="15.75" customHeight="1">
      <c r="A7" s="14" t="s">
        <v>187</v>
      </c>
      <c r="B7" s="14" t="s">
        <v>68</v>
      </c>
      <c r="C7" s="15">
        <f t="shared" si="4"/>
        <v>42.396333333333331</v>
      </c>
      <c r="D7" s="16">
        <v>90</v>
      </c>
      <c r="E7" s="16">
        <v>0</v>
      </c>
      <c r="F7" s="29">
        <v>3815.67</v>
      </c>
      <c r="G7" s="29">
        <v>0</v>
      </c>
      <c r="H7" s="18">
        <f t="shared" si="1"/>
        <v>0</v>
      </c>
      <c r="I7" s="18">
        <f t="shared" si="2"/>
        <v>0.27697302127451767</v>
      </c>
      <c r="J7" s="17">
        <f t="shared" si="5"/>
        <v>1056.8376480865388</v>
      </c>
      <c r="K7" s="17">
        <f t="shared" si="3"/>
        <v>11.742640534294877</v>
      </c>
      <c r="L7" s="16">
        <v>89</v>
      </c>
      <c r="M7" s="19">
        <f t="shared" si="6"/>
        <v>1.0112359550561798</v>
      </c>
      <c r="N7" s="16">
        <v>141</v>
      </c>
      <c r="O7" s="20">
        <f t="shared" ref="O7:P7" si="15">D7/7</f>
        <v>12.857142857142858</v>
      </c>
      <c r="P7" s="20">
        <f t="shared" si="15"/>
        <v>0</v>
      </c>
      <c r="Q7" s="16">
        <f t="shared" si="8"/>
        <v>10</v>
      </c>
      <c r="R7" s="16"/>
      <c r="S7" s="21">
        <v>3.31013615733736</v>
      </c>
      <c r="T7" s="14">
        <v>418</v>
      </c>
      <c r="U7" s="22">
        <v>100</v>
      </c>
      <c r="V7" s="23" t="s">
        <v>770</v>
      </c>
      <c r="W7" s="14">
        <v>0</v>
      </c>
      <c r="X7" s="24">
        <f t="shared" si="9"/>
        <v>0</v>
      </c>
      <c r="Y7" s="25">
        <f t="shared" si="10"/>
        <v>0</v>
      </c>
      <c r="Z7" s="14">
        <v>0</v>
      </c>
      <c r="AA7" s="14" t="s">
        <v>35</v>
      </c>
      <c r="AB7" s="27">
        <f t="shared" si="11"/>
        <v>-0.69</v>
      </c>
      <c r="AC7" s="28">
        <v>0.17587270833333335</v>
      </c>
      <c r="AD7" s="25">
        <f t="shared" si="12"/>
        <v>-21.843390375000002</v>
      </c>
      <c r="AE7" s="25">
        <v>-7.32</v>
      </c>
      <c r="AF7" s="25">
        <v>-16.731538461538459</v>
      </c>
      <c r="AG7" s="25">
        <v>0</v>
      </c>
    </row>
    <row r="8" spans="1:33" ht="15.75" customHeight="1">
      <c r="A8" s="14" t="s">
        <v>189</v>
      </c>
      <c r="B8" s="14" t="s">
        <v>771</v>
      </c>
      <c r="C8" s="15">
        <f t="shared" si="4"/>
        <v>42.179333333333332</v>
      </c>
      <c r="D8" s="16">
        <v>30</v>
      </c>
      <c r="E8" s="16">
        <v>0</v>
      </c>
      <c r="F8" s="29">
        <v>1265.3799999999999</v>
      </c>
      <c r="G8" s="29">
        <v>0</v>
      </c>
      <c r="H8" s="18">
        <f t="shared" si="1"/>
        <v>0</v>
      </c>
      <c r="I8" s="18">
        <f t="shared" si="2"/>
        <v>0.27406144389432407</v>
      </c>
      <c r="J8" s="17">
        <f t="shared" si="5"/>
        <v>346.79186987499975</v>
      </c>
      <c r="K8" s="17">
        <f t="shared" si="3"/>
        <v>11.559728995833325</v>
      </c>
      <c r="L8" s="16">
        <v>59</v>
      </c>
      <c r="M8" s="19">
        <f t="shared" si="6"/>
        <v>0.50847457627118642</v>
      </c>
      <c r="N8" s="16">
        <v>315</v>
      </c>
      <c r="O8" s="20">
        <f t="shared" ref="O8:P8" si="16">D8/7</f>
        <v>4.2857142857142856</v>
      </c>
      <c r="P8" s="20">
        <f t="shared" si="16"/>
        <v>0</v>
      </c>
      <c r="Q8" s="16">
        <f t="shared" si="8"/>
        <v>73</v>
      </c>
      <c r="R8" s="16"/>
      <c r="S8" s="21">
        <v>2.3655030800821302</v>
      </c>
      <c r="T8" s="14">
        <v>318</v>
      </c>
      <c r="U8" s="22">
        <v>102</v>
      </c>
      <c r="V8" s="23" t="s">
        <v>772</v>
      </c>
      <c r="W8" s="14">
        <v>0</v>
      </c>
      <c r="X8" s="24">
        <f t="shared" si="9"/>
        <v>0</v>
      </c>
      <c r="Y8" s="25">
        <f t="shared" si="10"/>
        <v>0</v>
      </c>
      <c r="Z8" s="14">
        <v>0</v>
      </c>
      <c r="AA8" s="14" t="s">
        <v>35</v>
      </c>
      <c r="AB8" s="27">
        <f t="shared" si="11"/>
        <v>-0.69</v>
      </c>
      <c r="AC8" s="28">
        <v>0.17587270833333335</v>
      </c>
      <c r="AD8" s="25">
        <f t="shared" si="12"/>
        <v>-7.2811301249999998</v>
      </c>
      <c r="AE8" s="25">
        <v>-7.32</v>
      </c>
      <c r="AF8" s="25">
        <v>-16.73</v>
      </c>
      <c r="AG8" s="25">
        <v>0</v>
      </c>
    </row>
    <row r="9" spans="1:33" ht="15.75" customHeight="1">
      <c r="A9" s="14" t="s">
        <v>191</v>
      </c>
      <c r="B9" s="14" t="s">
        <v>68</v>
      </c>
      <c r="C9" s="15">
        <f t="shared" si="4"/>
        <v>40.958906249999977</v>
      </c>
      <c r="D9" s="16">
        <v>64</v>
      </c>
      <c r="E9" s="16">
        <v>0</v>
      </c>
      <c r="F9" s="29">
        <v>2621.3699999999985</v>
      </c>
      <c r="G9" s="29">
        <v>0</v>
      </c>
      <c r="H9" s="18">
        <f t="shared" si="1"/>
        <v>0</v>
      </c>
      <c r="I9" s="18">
        <f t="shared" si="2"/>
        <v>0.24936956016833289</v>
      </c>
      <c r="J9" s="17">
        <f t="shared" si="5"/>
        <v>653.68988393846246</v>
      </c>
      <c r="K9" s="17">
        <f t="shared" si="3"/>
        <v>10.213904436538476</v>
      </c>
      <c r="L9" s="16">
        <v>107</v>
      </c>
      <c r="M9" s="19">
        <f t="shared" si="6"/>
        <v>0.59813084112149528</v>
      </c>
      <c r="N9" s="16">
        <v>257</v>
      </c>
      <c r="O9" s="20">
        <f t="shared" ref="O9:P9" si="17">D9/7</f>
        <v>9.1428571428571423</v>
      </c>
      <c r="P9" s="20">
        <f t="shared" si="17"/>
        <v>0</v>
      </c>
      <c r="Q9" s="16">
        <f t="shared" si="8"/>
        <v>28</v>
      </c>
      <c r="R9" s="16"/>
      <c r="S9" s="21">
        <v>2.9473684210526301</v>
      </c>
      <c r="T9" s="14">
        <v>318</v>
      </c>
      <c r="U9" s="22">
        <v>102</v>
      </c>
      <c r="V9" s="23" t="s">
        <v>773</v>
      </c>
      <c r="W9" s="14">
        <v>0</v>
      </c>
      <c r="X9" s="24">
        <f t="shared" si="9"/>
        <v>0</v>
      </c>
      <c r="Y9" s="25">
        <f t="shared" si="10"/>
        <v>0</v>
      </c>
      <c r="Z9" s="14">
        <v>0</v>
      </c>
      <c r="AA9" s="14" t="s">
        <v>35</v>
      </c>
      <c r="AB9" s="27">
        <f t="shared" si="11"/>
        <v>-0.69</v>
      </c>
      <c r="AC9" s="28">
        <v>0.17587270833333335</v>
      </c>
      <c r="AD9" s="25">
        <f t="shared" si="12"/>
        <v>-15.5330776</v>
      </c>
      <c r="AE9" s="25">
        <v>-7.32</v>
      </c>
      <c r="AF9" s="25">
        <v>-17.038461538461501</v>
      </c>
      <c r="AG9" s="25">
        <v>0</v>
      </c>
    </row>
    <row r="10" spans="1:33" ht="15.75" customHeight="1">
      <c r="A10" s="14" t="s">
        <v>192</v>
      </c>
      <c r="B10" s="14" t="s">
        <v>774</v>
      </c>
      <c r="C10" s="15">
        <f t="shared" si="4"/>
        <v>40.433035714285737</v>
      </c>
      <c r="D10" s="16">
        <v>112</v>
      </c>
      <c r="E10" s="16">
        <v>1</v>
      </c>
      <c r="F10" s="29">
        <v>4528.5000000000027</v>
      </c>
      <c r="G10" s="29">
        <v>-0.08</v>
      </c>
      <c r="H10" s="18">
        <f t="shared" si="1"/>
        <v>1.7665893783813614E-5</v>
      </c>
      <c r="I10" s="18">
        <f t="shared" si="2"/>
        <v>0.24154011745441398</v>
      </c>
      <c r="J10" s="17">
        <f t="shared" si="5"/>
        <v>1093.8144218923144</v>
      </c>
      <c r="K10" s="17">
        <f t="shared" si="3"/>
        <v>9.7662001954670927</v>
      </c>
      <c r="L10" s="16">
        <v>113</v>
      </c>
      <c r="M10" s="19">
        <f t="shared" si="6"/>
        <v>0.99115044247787609</v>
      </c>
      <c r="N10" s="16">
        <v>141</v>
      </c>
      <c r="O10" s="20">
        <f t="shared" ref="O10:P10" si="18">D10/7</f>
        <v>16</v>
      </c>
      <c r="P10" s="20">
        <f t="shared" si="18"/>
        <v>0.14285714285714285</v>
      </c>
      <c r="Q10" s="16">
        <f t="shared" si="8"/>
        <v>8</v>
      </c>
      <c r="R10" s="16"/>
      <c r="S10" s="21">
        <v>2.7445544554455399</v>
      </c>
      <c r="T10" s="14">
        <v>718</v>
      </c>
      <c r="U10" s="22">
        <v>102</v>
      </c>
      <c r="V10" s="23" t="s">
        <v>775</v>
      </c>
      <c r="W10" s="14">
        <v>0</v>
      </c>
      <c r="X10" s="24">
        <f t="shared" si="9"/>
        <v>0</v>
      </c>
      <c r="Y10" s="25">
        <f t="shared" si="10"/>
        <v>0</v>
      </c>
      <c r="Z10" s="14">
        <v>0</v>
      </c>
      <c r="AA10" s="14" t="s">
        <v>35</v>
      </c>
      <c r="AB10" s="27">
        <f t="shared" si="11"/>
        <v>-0.69</v>
      </c>
      <c r="AC10" s="28">
        <v>0.17587270833333335</v>
      </c>
      <c r="AD10" s="25">
        <f t="shared" si="12"/>
        <v>-27.182885800000001</v>
      </c>
      <c r="AE10" s="25">
        <v>-7.32</v>
      </c>
      <c r="AF10" s="25">
        <v>-17.038461538461501</v>
      </c>
      <c r="AG10" s="25">
        <v>0</v>
      </c>
    </row>
    <row r="11" spans="1:33" ht="15.75" customHeight="1">
      <c r="A11" s="14" t="s">
        <v>193</v>
      </c>
      <c r="B11" s="14" t="s">
        <v>68</v>
      </c>
      <c r="C11" s="15">
        <f t="shared" si="4"/>
        <v>43.575789473684203</v>
      </c>
      <c r="D11" s="16">
        <v>57</v>
      </c>
      <c r="E11" s="16">
        <v>0</v>
      </c>
      <c r="F11" s="29">
        <v>2483.8199999999997</v>
      </c>
      <c r="G11" s="29">
        <v>0</v>
      </c>
      <c r="H11" s="18">
        <f t="shared" si="1"/>
        <v>0</v>
      </c>
      <c r="I11" s="18">
        <f t="shared" si="2"/>
        <v>0.28543958300931399</v>
      </c>
      <c r="J11" s="17">
        <f t="shared" si="5"/>
        <v>708.98054507019424</v>
      </c>
      <c r="K11" s="17">
        <f t="shared" si="3"/>
        <v>12.438255176670074</v>
      </c>
      <c r="L11" s="16">
        <v>111</v>
      </c>
      <c r="M11" s="19">
        <f t="shared" si="6"/>
        <v>0.51351351351351349</v>
      </c>
      <c r="N11" s="16">
        <v>75</v>
      </c>
      <c r="O11" s="20">
        <f t="shared" ref="O11:P11" si="19">D11/7</f>
        <v>8.1428571428571423</v>
      </c>
      <c r="P11" s="20">
        <f t="shared" si="19"/>
        <v>0</v>
      </c>
      <c r="Q11" s="16">
        <f t="shared" si="8"/>
        <v>9</v>
      </c>
      <c r="R11" s="16"/>
      <c r="S11" s="21">
        <v>3.4105793450881601</v>
      </c>
      <c r="T11" s="14">
        <v>2144</v>
      </c>
      <c r="U11" s="22">
        <v>102</v>
      </c>
      <c r="V11" s="23" t="s">
        <v>776</v>
      </c>
      <c r="W11" s="14">
        <v>0</v>
      </c>
      <c r="X11" s="24">
        <f t="shared" si="9"/>
        <v>0</v>
      </c>
      <c r="Y11" s="25">
        <f t="shared" si="10"/>
        <v>0</v>
      </c>
      <c r="Z11" s="14">
        <v>0</v>
      </c>
      <c r="AA11" s="14" t="s">
        <v>35</v>
      </c>
      <c r="AB11" s="27">
        <f t="shared" si="11"/>
        <v>-0.69</v>
      </c>
      <c r="AC11" s="28">
        <v>0.17587270833333335</v>
      </c>
      <c r="AD11" s="25">
        <f t="shared" si="12"/>
        <v>-13.8341472375</v>
      </c>
      <c r="AE11" s="25">
        <v>-7.32</v>
      </c>
      <c r="AF11" s="25">
        <v>-17.038461538461501</v>
      </c>
      <c r="AG11" s="25">
        <v>0</v>
      </c>
    </row>
    <row r="12" spans="1:33" ht="15.75" customHeight="1">
      <c r="A12" s="14" t="s">
        <v>195</v>
      </c>
      <c r="B12" s="14" t="s">
        <v>777</v>
      </c>
      <c r="C12" s="15">
        <f t="shared" si="4"/>
        <v>43.519999999999989</v>
      </c>
      <c r="D12" s="16">
        <v>31</v>
      </c>
      <c r="E12" s="16">
        <v>1</v>
      </c>
      <c r="F12" s="29">
        <v>1349.1199999999997</v>
      </c>
      <c r="G12" s="29">
        <v>-0.05</v>
      </c>
      <c r="H12" s="18">
        <f t="shared" si="1"/>
        <v>3.7061195445920315E-5</v>
      </c>
      <c r="I12" s="18">
        <f t="shared" si="2"/>
        <v>0.28467879643411509</v>
      </c>
      <c r="J12" s="17">
        <f t="shared" si="5"/>
        <v>384.06585784519325</v>
      </c>
      <c r="K12" s="17">
        <f t="shared" si="3"/>
        <v>12.389221220812685</v>
      </c>
      <c r="L12" s="16">
        <v>69</v>
      </c>
      <c r="M12" s="19">
        <f t="shared" si="6"/>
        <v>0.44927536231884058</v>
      </c>
      <c r="N12" s="16">
        <v>46</v>
      </c>
      <c r="O12" s="20">
        <f t="shared" ref="O12:P12" si="20">D12/7</f>
        <v>4.4285714285714288</v>
      </c>
      <c r="P12" s="20">
        <f t="shared" si="20"/>
        <v>0.14285714285714285</v>
      </c>
      <c r="Q12" s="16">
        <f t="shared" si="8"/>
        <v>10</v>
      </c>
      <c r="R12" s="16"/>
      <c r="S12" s="21">
        <v>4.4014084507042197</v>
      </c>
      <c r="T12" s="14">
        <v>1072</v>
      </c>
      <c r="U12" s="22">
        <v>102</v>
      </c>
      <c r="V12" s="23" t="s">
        <v>778</v>
      </c>
      <c r="W12" s="14">
        <v>0</v>
      </c>
      <c r="X12" s="24">
        <f t="shared" si="9"/>
        <v>0</v>
      </c>
      <c r="Y12" s="25">
        <f t="shared" si="10"/>
        <v>0</v>
      </c>
      <c r="Z12" s="14">
        <v>0</v>
      </c>
      <c r="AA12" s="14" t="s">
        <v>35</v>
      </c>
      <c r="AB12" s="27">
        <f t="shared" si="11"/>
        <v>-0.69</v>
      </c>
      <c r="AC12" s="28">
        <v>0.17587270833333335</v>
      </c>
      <c r="AD12" s="25">
        <f t="shared" si="12"/>
        <v>-7.5238344625</v>
      </c>
      <c r="AE12" s="25">
        <v>-7.32</v>
      </c>
      <c r="AF12" s="25">
        <v>-17.038461538461501</v>
      </c>
      <c r="AG12" s="25">
        <v>0</v>
      </c>
    </row>
    <row r="13" spans="1:33" ht="15.75" customHeight="1">
      <c r="A13" s="14" t="s">
        <v>197</v>
      </c>
      <c r="B13" s="14" t="s">
        <v>142</v>
      </c>
      <c r="C13" s="15">
        <f t="shared" si="4"/>
        <v>40.658205128205132</v>
      </c>
      <c r="D13" s="16">
        <v>39</v>
      </c>
      <c r="E13" s="16">
        <v>0</v>
      </c>
      <c r="F13" s="17">
        <v>1585.6700000000003</v>
      </c>
      <c r="G13" s="29">
        <v>0</v>
      </c>
      <c r="H13" s="18">
        <f t="shared" si="1"/>
        <v>0</v>
      </c>
      <c r="I13" s="18">
        <f t="shared" si="2"/>
        <v>0.2409543163694213</v>
      </c>
      <c r="J13" s="17">
        <f t="shared" si="5"/>
        <v>382.07403083750035</v>
      </c>
      <c r="K13" s="17">
        <f t="shared" si="3"/>
        <v>9.7967700214743676</v>
      </c>
      <c r="L13" s="16">
        <v>46</v>
      </c>
      <c r="M13" s="19">
        <f t="shared" si="6"/>
        <v>0.84782608695652173</v>
      </c>
      <c r="N13" s="16">
        <v>8</v>
      </c>
      <c r="O13" s="20">
        <f t="shared" ref="O13:P13" si="21">D13/7</f>
        <v>5.5714285714285712</v>
      </c>
      <c r="P13" s="20">
        <f t="shared" si="21"/>
        <v>0</v>
      </c>
      <c r="Q13" s="16">
        <f t="shared" si="8"/>
        <v>1</v>
      </c>
      <c r="R13" s="16"/>
      <c r="S13" s="21">
        <v>3.4453781512605</v>
      </c>
      <c r="T13" s="14">
        <v>970</v>
      </c>
      <c r="U13" s="22">
        <v>180</v>
      </c>
      <c r="V13" s="23" t="s">
        <v>779</v>
      </c>
      <c r="W13" s="14">
        <v>0</v>
      </c>
      <c r="X13" s="24">
        <f t="shared" si="9"/>
        <v>0</v>
      </c>
      <c r="Y13" s="25">
        <f t="shared" si="10"/>
        <v>0</v>
      </c>
      <c r="Z13" s="14">
        <v>0</v>
      </c>
      <c r="AA13" s="14" t="s">
        <v>35</v>
      </c>
      <c r="AB13" s="27">
        <f t="shared" si="11"/>
        <v>-0.69</v>
      </c>
      <c r="AC13" s="28">
        <v>0.17587270833333335</v>
      </c>
      <c r="AD13" s="25">
        <f t="shared" si="12"/>
        <v>-9.4654691624999998</v>
      </c>
      <c r="AE13" s="25">
        <v>-7.32</v>
      </c>
      <c r="AF13" s="25">
        <v>-17.2</v>
      </c>
      <c r="AG13" s="25">
        <v>0</v>
      </c>
    </row>
    <row r="14" spans="1:33" ht="15.75" customHeight="1">
      <c r="A14" s="14" t="s">
        <v>32</v>
      </c>
      <c r="B14" s="14" t="s">
        <v>45</v>
      </c>
      <c r="C14" s="15">
        <f t="shared" si="4"/>
        <v>40.549999999999997</v>
      </c>
      <c r="D14" s="16">
        <v>5</v>
      </c>
      <c r="E14" s="16">
        <v>0</v>
      </c>
      <c r="F14" s="17">
        <v>202.75</v>
      </c>
      <c r="G14" s="29">
        <v>0</v>
      </c>
      <c r="H14" s="18">
        <f t="shared" si="1"/>
        <v>0</v>
      </c>
      <c r="I14" s="18">
        <f t="shared" si="2"/>
        <v>0.23932911621454997</v>
      </c>
      <c r="J14" s="17">
        <f t="shared" si="5"/>
        <v>48.523978312500006</v>
      </c>
      <c r="K14" s="17">
        <f t="shared" si="3"/>
        <v>9.7047956625000005</v>
      </c>
      <c r="L14" s="16">
        <v>58</v>
      </c>
      <c r="M14" s="19">
        <f t="shared" si="6"/>
        <v>8.6206896551724144E-2</v>
      </c>
      <c r="N14" s="16">
        <v>0</v>
      </c>
      <c r="O14" s="20">
        <f t="shared" ref="O14:P14" si="22">D14/7</f>
        <v>0.7142857142857143</v>
      </c>
      <c r="P14" s="20">
        <f t="shared" si="22"/>
        <v>0</v>
      </c>
      <c r="Q14" s="16">
        <f t="shared" si="8"/>
        <v>0</v>
      </c>
      <c r="R14" s="16"/>
      <c r="S14" s="21">
        <v>3.0396039603960299</v>
      </c>
      <c r="T14" s="14">
        <v>570</v>
      </c>
      <c r="U14" s="22">
        <v>180</v>
      </c>
      <c r="V14" s="23" t="s">
        <v>779</v>
      </c>
      <c r="W14" s="14">
        <v>0</v>
      </c>
      <c r="X14" s="24">
        <f t="shared" si="9"/>
        <v>0</v>
      </c>
      <c r="Y14" s="25">
        <f t="shared" si="10"/>
        <v>0</v>
      </c>
      <c r="Z14" s="14">
        <v>0</v>
      </c>
      <c r="AA14" s="14" t="s">
        <v>35</v>
      </c>
      <c r="AB14" s="27">
        <f t="shared" si="11"/>
        <v>-0.69</v>
      </c>
      <c r="AC14" s="28">
        <v>0.17587270833333335</v>
      </c>
      <c r="AD14" s="25">
        <f t="shared" si="12"/>
        <v>-1.2135216875000001</v>
      </c>
      <c r="AE14" s="25">
        <v>-7.32</v>
      </c>
      <c r="AF14" s="25">
        <v>-17.2</v>
      </c>
      <c r="AG14" s="25">
        <v>0</v>
      </c>
    </row>
    <row r="15" spans="1:33" ht="15.75" customHeight="1">
      <c r="A15" s="14" t="s">
        <v>36</v>
      </c>
      <c r="B15" s="14" t="s">
        <v>68</v>
      </c>
      <c r="C15" s="15">
        <f t="shared" si="4"/>
        <v>39.95000000000001</v>
      </c>
      <c r="D15" s="16">
        <v>26</v>
      </c>
      <c r="E15" s="16">
        <v>0</v>
      </c>
      <c r="F15" s="17">
        <v>1038.7000000000003</v>
      </c>
      <c r="G15" s="29">
        <v>-0.02</v>
      </c>
      <c r="H15" s="18">
        <f t="shared" si="1"/>
        <v>1.9254837777991717E-5</v>
      </c>
      <c r="I15" s="18">
        <f t="shared" si="2"/>
        <v>0.22463145010590171</v>
      </c>
      <c r="J15" s="17">
        <f t="shared" si="5"/>
        <v>233.32468722500016</v>
      </c>
      <c r="K15" s="17">
        <f t="shared" si="3"/>
        <v>8.9740264317307759</v>
      </c>
      <c r="L15" s="16">
        <v>62</v>
      </c>
      <c r="M15" s="19">
        <f t="shared" si="6"/>
        <v>0.41935483870967744</v>
      </c>
      <c r="N15" s="16">
        <v>87</v>
      </c>
      <c r="O15" s="20">
        <f t="shared" ref="O15:P15" si="23">D15/7</f>
        <v>3.7142857142857144</v>
      </c>
      <c r="P15" s="20">
        <f t="shared" si="23"/>
        <v>0</v>
      </c>
      <c r="Q15" s="16">
        <f t="shared" si="8"/>
        <v>23</v>
      </c>
      <c r="R15" s="16"/>
      <c r="S15" s="21">
        <v>3.1264367816091898</v>
      </c>
      <c r="T15" s="14">
        <v>570</v>
      </c>
      <c r="U15" s="22">
        <v>180</v>
      </c>
      <c r="V15" s="23" t="s">
        <v>780</v>
      </c>
      <c r="W15" s="14">
        <v>0</v>
      </c>
      <c r="X15" s="24">
        <f t="shared" si="9"/>
        <v>0</v>
      </c>
      <c r="Y15" s="25">
        <f t="shared" si="10"/>
        <v>0</v>
      </c>
      <c r="Z15" s="14">
        <v>0</v>
      </c>
      <c r="AA15" s="14" t="s">
        <v>35</v>
      </c>
      <c r="AB15" s="27">
        <f t="shared" si="11"/>
        <v>-0.69</v>
      </c>
      <c r="AC15" s="28">
        <v>0.17587270833333335</v>
      </c>
      <c r="AD15" s="25">
        <f t="shared" si="12"/>
        <v>-6.3103127749999999</v>
      </c>
      <c r="AE15" s="25">
        <v>-7.32</v>
      </c>
      <c r="AF15" s="25">
        <v>-17.420000000000002</v>
      </c>
      <c r="AG15" s="25">
        <v>0</v>
      </c>
    </row>
    <row r="16" spans="1:33" ht="15.75" customHeight="1">
      <c r="A16" s="14" t="s">
        <v>38</v>
      </c>
      <c r="B16" s="14" t="s">
        <v>45</v>
      </c>
      <c r="C16" s="15">
        <f t="shared" si="4"/>
        <v>39.949999999999996</v>
      </c>
      <c r="D16" s="16">
        <v>58</v>
      </c>
      <c r="E16" s="16">
        <v>0</v>
      </c>
      <c r="F16" s="17">
        <v>2317.1</v>
      </c>
      <c r="G16" s="29">
        <v>0</v>
      </c>
      <c r="H16" s="18">
        <f t="shared" si="1"/>
        <v>0</v>
      </c>
      <c r="I16" s="18">
        <f t="shared" si="2"/>
        <v>0.22465070494367953</v>
      </c>
      <c r="J16" s="17">
        <f t="shared" si="5"/>
        <v>520.5381484249998</v>
      </c>
      <c r="K16" s="17">
        <f t="shared" si="3"/>
        <v>8.9747956624999965</v>
      </c>
      <c r="L16" s="16">
        <v>98</v>
      </c>
      <c r="M16" s="19">
        <f t="shared" si="6"/>
        <v>0.59183673469387754</v>
      </c>
      <c r="N16" s="16">
        <v>33</v>
      </c>
      <c r="O16" s="20">
        <f t="shared" ref="O16:P16" si="24">D16/7</f>
        <v>8.2857142857142865</v>
      </c>
      <c r="P16" s="20">
        <f t="shared" si="24"/>
        <v>0</v>
      </c>
      <c r="Q16" s="16">
        <f t="shared" si="8"/>
        <v>3</v>
      </c>
      <c r="R16" s="16"/>
      <c r="S16" s="21">
        <v>3.97381342062193</v>
      </c>
      <c r="T16" s="14">
        <v>570</v>
      </c>
      <c r="U16" s="22">
        <v>180</v>
      </c>
      <c r="V16" s="23" t="s">
        <v>780</v>
      </c>
      <c r="W16" s="14">
        <v>0</v>
      </c>
      <c r="X16" s="24">
        <f t="shared" si="9"/>
        <v>0</v>
      </c>
      <c r="Y16" s="25">
        <f t="shared" si="10"/>
        <v>0</v>
      </c>
      <c r="Z16" s="14">
        <v>0</v>
      </c>
      <c r="AA16" s="14" t="s">
        <v>35</v>
      </c>
      <c r="AB16" s="27">
        <f t="shared" si="11"/>
        <v>-0.69</v>
      </c>
      <c r="AC16" s="28">
        <v>0.17587270833333335</v>
      </c>
      <c r="AD16" s="25">
        <f t="shared" si="12"/>
        <v>-14.076851575000001</v>
      </c>
      <c r="AE16" s="25">
        <v>-7.32</v>
      </c>
      <c r="AF16" s="25">
        <v>-17.420000000000002</v>
      </c>
      <c r="AG16" s="25">
        <v>0</v>
      </c>
    </row>
    <row r="17" spans="1:33" ht="15.75" customHeight="1">
      <c r="A17" s="14" t="s">
        <v>40</v>
      </c>
      <c r="B17" s="14" t="s">
        <v>45</v>
      </c>
      <c r="C17" s="15">
        <f t="shared" si="4"/>
        <v>40.317</v>
      </c>
      <c r="D17" s="16">
        <v>20</v>
      </c>
      <c r="E17" s="16">
        <v>0</v>
      </c>
      <c r="F17" s="17">
        <v>806.34</v>
      </c>
      <c r="G17" s="29">
        <v>0</v>
      </c>
      <c r="H17" s="18">
        <f t="shared" si="1"/>
        <v>0</v>
      </c>
      <c r="I17" s="18">
        <f t="shared" si="2"/>
        <v>0.23034317192499437</v>
      </c>
      <c r="J17" s="17">
        <f t="shared" si="5"/>
        <v>185.73491324999998</v>
      </c>
      <c r="K17" s="17">
        <f t="shared" si="3"/>
        <v>9.2867456624999996</v>
      </c>
      <c r="L17" s="16">
        <v>85</v>
      </c>
      <c r="M17" s="19">
        <f t="shared" si="6"/>
        <v>0.23529411764705882</v>
      </c>
      <c r="N17" s="16">
        <v>1</v>
      </c>
      <c r="O17" s="20">
        <f t="shared" ref="O17:P17" si="25">D17/7</f>
        <v>2.8571428571428572</v>
      </c>
      <c r="P17" s="20">
        <f t="shared" si="25"/>
        <v>0</v>
      </c>
      <c r="Q17" s="16">
        <f t="shared" si="8"/>
        <v>0</v>
      </c>
      <c r="R17" s="16"/>
      <c r="S17" s="21">
        <v>3.6797583081570902</v>
      </c>
      <c r="T17" s="14">
        <v>534</v>
      </c>
      <c r="U17" s="22">
        <v>180</v>
      </c>
      <c r="V17" s="23" t="s">
        <v>781</v>
      </c>
      <c r="W17" s="14">
        <v>0</v>
      </c>
      <c r="X17" s="24">
        <f t="shared" si="9"/>
        <v>0</v>
      </c>
      <c r="Y17" s="25">
        <f t="shared" si="10"/>
        <v>0</v>
      </c>
      <c r="Z17" s="14">
        <v>0</v>
      </c>
      <c r="AA17" s="14" t="s">
        <v>35</v>
      </c>
      <c r="AB17" s="27">
        <f t="shared" si="11"/>
        <v>-0.69</v>
      </c>
      <c r="AC17" s="28">
        <v>0.17587270833333335</v>
      </c>
      <c r="AD17" s="25">
        <f t="shared" si="12"/>
        <v>-4.8540867500000004</v>
      </c>
      <c r="AE17" s="25">
        <v>-7.32</v>
      </c>
      <c r="AF17" s="25">
        <v>-17.420000000000002</v>
      </c>
      <c r="AG17" s="25">
        <v>0</v>
      </c>
    </row>
    <row r="18" spans="1:33" ht="15.75" customHeight="1">
      <c r="A18" s="14" t="s">
        <v>42</v>
      </c>
      <c r="B18" s="14" t="s">
        <v>45</v>
      </c>
      <c r="C18" s="15">
        <f t="shared" si="4"/>
        <v>39.950000000000017</v>
      </c>
      <c r="D18" s="16">
        <v>19</v>
      </c>
      <c r="E18" s="16">
        <v>0</v>
      </c>
      <c r="F18" s="17">
        <v>759.0500000000003</v>
      </c>
      <c r="G18" s="29">
        <v>-0.05</v>
      </c>
      <c r="H18" s="18">
        <f t="shared" si="1"/>
        <v>6.5871813451024279E-5</v>
      </c>
      <c r="I18" s="18">
        <f t="shared" si="2"/>
        <v>0.22458483313022878</v>
      </c>
      <c r="J18" s="17">
        <f t="shared" si="5"/>
        <v>170.47111758750023</v>
      </c>
      <c r="K18" s="17">
        <f t="shared" si="3"/>
        <v>8.9721640835526433</v>
      </c>
      <c r="L18" s="16">
        <v>79</v>
      </c>
      <c r="M18" s="19">
        <f t="shared" si="6"/>
        <v>0.24050632911392406</v>
      </c>
      <c r="N18" s="16">
        <v>20</v>
      </c>
      <c r="O18" s="20">
        <f t="shared" ref="O18:P18" si="26">D18/7</f>
        <v>2.7142857142857144</v>
      </c>
      <c r="P18" s="20">
        <f t="shared" si="26"/>
        <v>0</v>
      </c>
      <c r="Q18" s="16">
        <f t="shared" si="8"/>
        <v>7</v>
      </c>
      <c r="R18" s="16"/>
      <c r="S18" s="21">
        <v>4.4301886792452798</v>
      </c>
      <c r="T18" s="14">
        <v>754</v>
      </c>
      <c r="U18" s="22">
        <v>0</v>
      </c>
      <c r="V18" s="23" t="s">
        <v>745</v>
      </c>
      <c r="W18" s="14">
        <v>0</v>
      </c>
      <c r="X18" s="24">
        <f t="shared" si="9"/>
        <v>0</v>
      </c>
      <c r="Y18" s="25">
        <f t="shared" si="10"/>
        <v>0</v>
      </c>
      <c r="Z18" s="14">
        <v>0</v>
      </c>
      <c r="AA18" s="14" t="s">
        <v>35</v>
      </c>
      <c r="AB18" s="27">
        <f t="shared" si="11"/>
        <v>-0.69</v>
      </c>
      <c r="AC18" s="28">
        <v>0.17587270833333335</v>
      </c>
      <c r="AD18" s="25">
        <f t="shared" si="12"/>
        <v>-4.6113824125000002</v>
      </c>
      <c r="AE18" s="25">
        <v>-7.32</v>
      </c>
      <c r="AF18" s="25">
        <v>-17.420000000000002</v>
      </c>
      <c r="AG18" s="25">
        <v>0</v>
      </c>
    </row>
    <row r="19" spans="1:33" ht="15.75" customHeight="1">
      <c r="A19" s="14" t="s">
        <v>44</v>
      </c>
      <c r="B19" s="14" t="s">
        <v>782</v>
      </c>
      <c r="C19" s="15">
        <f t="shared" si="4"/>
        <v>39.980769230769248</v>
      </c>
      <c r="D19" s="16">
        <v>39</v>
      </c>
      <c r="E19" s="16">
        <v>0</v>
      </c>
      <c r="F19" s="17">
        <v>1559.2500000000007</v>
      </c>
      <c r="G19" s="29">
        <v>-0.08</v>
      </c>
      <c r="H19" s="18">
        <f t="shared" si="1"/>
        <v>5.1306717973384616E-5</v>
      </c>
      <c r="I19" s="18">
        <f t="shared" si="2"/>
        <v>0.20487095131473498</v>
      </c>
      <c r="J19" s="17">
        <f t="shared" si="5"/>
        <v>319.44503083750067</v>
      </c>
      <c r="K19" s="17">
        <f t="shared" si="3"/>
        <v>8.1908982266025809</v>
      </c>
      <c r="L19" s="16">
        <v>90</v>
      </c>
      <c r="M19" s="19">
        <f t="shared" si="6"/>
        <v>0.43333333333333335</v>
      </c>
      <c r="N19" s="16">
        <v>162</v>
      </c>
      <c r="O19" s="20">
        <f t="shared" ref="O19:P19" si="27">D19/7</f>
        <v>5.5714285714285712</v>
      </c>
      <c r="P19" s="20">
        <f t="shared" si="27"/>
        <v>0</v>
      </c>
      <c r="Q19" s="16">
        <f t="shared" si="8"/>
        <v>29</v>
      </c>
      <c r="R19" s="16"/>
      <c r="S19" s="21">
        <v>3.3333333333333299</v>
      </c>
      <c r="T19" s="14">
        <v>754</v>
      </c>
      <c r="U19" s="22">
        <v>400</v>
      </c>
      <c r="V19" s="23" t="s">
        <v>783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14" t="s">
        <v>35</v>
      </c>
      <c r="AB19" s="27">
        <f t="shared" si="11"/>
        <v>-0.69</v>
      </c>
      <c r="AC19" s="28">
        <v>0.17587270833333335</v>
      </c>
      <c r="AD19" s="25">
        <f t="shared" si="12"/>
        <v>-9.4654691624999998</v>
      </c>
      <c r="AE19" s="25">
        <v>-7.32</v>
      </c>
      <c r="AF19" s="25">
        <v>-18.228000000000002</v>
      </c>
      <c r="AG19" s="25">
        <v>0</v>
      </c>
    </row>
    <row r="20" spans="1:33" ht="15.75" customHeight="1">
      <c r="A20" s="14" t="s">
        <v>46</v>
      </c>
      <c r="B20" s="14" t="s">
        <v>784</v>
      </c>
      <c r="C20" s="15">
        <f t="shared" si="4"/>
        <v>40.965301204819262</v>
      </c>
      <c r="D20" s="16">
        <v>83</v>
      </c>
      <c r="E20" s="16">
        <v>0</v>
      </c>
      <c r="F20" s="17">
        <v>3400.1199999999985</v>
      </c>
      <c r="G20" s="29">
        <v>0</v>
      </c>
      <c r="H20" s="18">
        <f t="shared" si="1"/>
        <v>0</v>
      </c>
      <c r="I20" s="18">
        <f t="shared" si="2"/>
        <v>0.2204256143864036</v>
      </c>
      <c r="J20" s="17">
        <f t="shared" si="5"/>
        <v>749.47353998749827</v>
      </c>
      <c r="K20" s="17">
        <f t="shared" si="3"/>
        <v>9.0298016865963646</v>
      </c>
      <c r="L20" s="16">
        <v>140</v>
      </c>
      <c r="M20" s="19">
        <f t="shared" si="6"/>
        <v>0.59285714285714286</v>
      </c>
      <c r="N20" s="16">
        <v>86</v>
      </c>
      <c r="O20" s="20">
        <f t="shared" ref="O20:P20" si="28">D20/7</f>
        <v>11.857142857142858</v>
      </c>
      <c r="P20" s="20">
        <f t="shared" si="28"/>
        <v>0</v>
      </c>
      <c r="Q20" s="16">
        <f t="shared" si="8"/>
        <v>7</v>
      </c>
      <c r="R20" s="16"/>
      <c r="S20" s="21">
        <v>5.4209245742092396</v>
      </c>
      <c r="T20" s="14">
        <v>604</v>
      </c>
      <c r="U20" s="22">
        <v>204</v>
      </c>
      <c r="V20" s="23" t="s">
        <v>785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14" t="s">
        <v>35</v>
      </c>
      <c r="AB20" s="27">
        <f t="shared" si="11"/>
        <v>-0.69</v>
      </c>
      <c r="AC20" s="28">
        <v>0.17587270833333335</v>
      </c>
      <c r="AD20" s="25">
        <f t="shared" si="12"/>
        <v>-20.144460012500002</v>
      </c>
      <c r="AE20" s="25">
        <v>-7.32</v>
      </c>
      <c r="AF20" s="25">
        <v>-18.228000000000002</v>
      </c>
      <c r="AG20" s="25">
        <v>0</v>
      </c>
    </row>
    <row r="21" spans="1:33" ht="15.75" customHeight="1">
      <c r="A21" s="14" t="s">
        <v>47</v>
      </c>
      <c r="B21" s="14" t="s">
        <v>45</v>
      </c>
      <c r="C21" s="15">
        <f t="shared" si="4"/>
        <v>42.818461538461555</v>
      </c>
      <c r="D21" s="16">
        <v>65</v>
      </c>
      <c r="E21" s="16">
        <v>0</v>
      </c>
      <c r="F21" s="17">
        <v>2783.2000000000012</v>
      </c>
      <c r="G21" s="29">
        <v>0</v>
      </c>
      <c r="H21" s="18">
        <f t="shared" si="1"/>
        <v>0</v>
      </c>
      <c r="I21" s="18">
        <f t="shared" si="2"/>
        <v>0.24767326029839778</v>
      </c>
      <c r="J21" s="17">
        <f t="shared" si="5"/>
        <v>689.32421806250102</v>
      </c>
      <c r="K21" s="17">
        <f t="shared" si="3"/>
        <v>10.604987970192324</v>
      </c>
      <c r="L21" s="16">
        <v>57</v>
      </c>
      <c r="M21" s="19">
        <f t="shared" si="6"/>
        <v>1.1403508771929824</v>
      </c>
      <c r="N21" s="16">
        <v>5</v>
      </c>
      <c r="O21" s="20">
        <f t="shared" ref="O21:P21" si="29">D21/7</f>
        <v>9.2857142857142865</v>
      </c>
      <c r="P21" s="20">
        <f t="shared" si="29"/>
        <v>0</v>
      </c>
      <c r="Q21" s="16">
        <f t="shared" si="8"/>
        <v>0</v>
      </c>
      <c r="R21" s="16"/>
      <c r="S21" s="21">
        <v>6.2474226804123703</v>
      </c>
      <c r="T21" s="14">
        <v>754</v>
      </c>
      <c r="U21" s="22">
        <v>204</v>
      </c>
      <c r="V21" s="23" t="s">
        <v>786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14" t="s">
        <v>35</v>
      </c>
      <c r="AB21" s="27">
        <f t="shared" si="11"/>
        <v>-0.69</v>
      </c>
      <c r="AC21" s="28">
        <v>0.17587270833333335</v>
      </c>
      <c r="AD21" s="25">
        <f t="shared" si="12"/>
        <v>-15.7757819375</v>
      </c>
      <c r="AE21" s="25">
        <v>-7.32</v>
      </c>
      <c r="AF21" s="25">
        <v>-18.228000000000002</v>
      </c>
      <c r="AG21" s="25">
        <v>0</v>
      </c>
    </row>
    <row r="22" spans="1:33" ht="15.75" customHeight="1">
      <c r="A22" s="14" t="s">
        <v>48</v>
      </c>
      <c r="B22" s="14"/>
      <c r="C22" s="15">
        <f t="shared" si="4"/>
        <v>45.05</v>
      </c>
      <c r="D22" s="16">
        <v>15</v>
      </c>
      <c r="E22" s="16">
        <v>0</v>
      </c>
      <c r="F22" s="29">
        <v>675.75</v>
      </c>
      <c r="G22" s="29">
        <v>0</v>
      </c>
      <c r="H22" s="18">
        <f t="shared" si="1"/>
        <v>0</v>
      </c>
      <c r="I22" s="18">
        <f t="shared" si="2"/>
        <v>0.27750933768035502</v>
      </c>
      <c r="J22" s="17">
        <f t="shared" si="5"/>
        <v>187.5269349374999</v>
      </c>
      <c r="K22" s="17">
        <f t="shared" si="3"/>
        <v>12.501795662499994</v>
      </c>
      <c r="L22" s="16">
        <v>97</v>
      </c>
      <c r="M22" s="19">
        <f t="shared" si="6"/>
        <v>0.15463917525773196</v>
      </c>
      <c r="N22" s="16">
        <v>0</v>
      </c>
      <c r="O22" s="20">
        <f t="shared" ref="O22:P22" si="30">D22/7</f>
        <v>2.1428571428571428</v>
      </c>
      <c r="P22" s="20">
        <f t="shared" si="30"/>
        <v>0</v>
      </c>
      <c r="Q22" s="16">
        <f t="shared" si="8"/>
        <v>0</v>
      </c>
      <c r="R22" s="16"/>
      <c r="S22" s="21">
        <v>6.97819314641744</v>
      </c>
      <c r="T22" s="14">
        <v>754</v>
      </c>
      <c r="U22" s="22">
        <v>204</v>
      </c>
      <c r="V22" s="23" t="s">
        <v>786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35</v>
      </c>
      <c r="AB22" s="27">
        <f t="shared" si="11"/>
        <v>-0.69</v>
      </c>
      <c r="AC22" s="28">
        <v>0.17587270833333335</v>
      </c>
      <c r="AD22" s="25">
        <f t="shared" si="12"/>
        <v>-3.6405650624999999</v>
      </c>
      <c r="AE22" s="25">
        <v>-7.32</v>
      </c>
      <c r="AF22" s="25">
        <v>-18.228000000000002</v>
      </c>
      <c r="AG22" s="25">
        <v>0</v>
      </c>
    </row>
    <row r="23" spans="1:33" ht="15.75" customHeight="1">
      <c r="A23" s="14" t="s">
        <v>49</v>
      </c>
      <c r="B23" s="14"/>
      <c r="C23" s="15" t="str">
        <f t="shared" si="4"/>
        <v xml:space="preserve"> - </v>
      </c>
      <c r="D23" s="16">
        <v>0</v>
      </c>
      <c r="E23" s="16">
        <v>0</v>
      </c>
      <c r="F23" s="17">
        <v>0</v>
      </c>
      <c r="G23" s="29">
        <v>0</v>
      </c>
      <c r="H23" s="18" t="e">
        <f t="shared" si="1"/>
        <v>#DIV/0!</v>
      </c>
      <c r="I23" s="18" t="e">
        <f t="shared" si="2"/>
        <v>#DIV/0!</v>
      </c>
      <c r="J23" s="17">
        <f t="shared" si="5"/>
        <v>0</v>
      </c>
      <c r="K23" s="17" t="e">
        <f t="shared" si="3"/>
        <v>#DIV/0!</v>
      </c>
      <c r="L23" s="16">
        <v>0</v>
      </c>
      <c r="M23" s="19" t="str">
        <f t="shared" si="6"/>
        <v>-</v>
      </c>
      <c r="N23" s="16">
        <v>0</v>
      </c>
      <c r="O23" s="20">
        <f t="shared" ref="O23:P23" si="31">D23/7</f>
        <v>0</v>
      </c>
      <c r="P23" s="20">
        <f t="shared" si="31"/>
        <v>0</v>
      </c>
      <c r="Q23" s="16" t="e">
        <f t="shared" si="8"/>
        <v>#DIV/0!</v>
      </c>
      <c r="R23" s="16"/>
      <c r="S23" s="21">
        <v>9.4563106796116507</v>
      </c>
      <c r="T23" s="14">
        <v>1354</v>
      </c>
      <c r="U23" s="22">
        <v>204</v>
      </c>
      <c r="V23" s="23" t="s">
        <v>787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35</v>
      </c>
      <c r="AB23" s="27">
        <f t="shared" si="11"/>
        <v>-0.69</v>
      </c>
      <c r="AC23" s="28">
        <v>0.17587270833333335</v>
      </c>
      <c r="AD23" s="25">
        <f t="shared" si="12"/>
        <v>0</v>
      </c>
      <c r="AE23" s="25">
        <v>-7.32</v>
      </c>
      <c r="AF23" s="25">
        <v>-18.228000000000002</v>
      </c>
      <c r="AG23" s="25">
        <v>0</v>
      </c>
    </row>
    <row r="24" spans="1:33" ht="15.75" customHeight="1">
      <c r="A24" s="14" t="s">
        <v>50</v>
      </c>
      <c r="B24" s="14"/>
      <c r="C24" s="15" t="str">
        <f t="shared" si="4"/>
        <v xml:space="preserve"> - </v>
      </c>
      <c r="D24" s="16">
        <v>0</v>
      </c>
      <c r="E24" s="16">
        <v>0</v>
      </c>
      <c r="F24" s="17">
        <v>0</v>
      </c>
      <c r="G24" s="17">
        <v>0</v>
      </c>
      <c r="H24" s="18" t="e">
        <f t="shared" si="1"/>
        <v>#DIV/0!</v>
      </c>
      <c r="I24" s="18" t="e">
        <f t="shared" si="2"/>
        <v>#DIV/0!</v>
      </c>
      <c r="J24" s="17">
        <f t="shared" si="5"/>
        <v>0</v>
      </c>
      <c r="K24" s="17" t="e">
        <f t="shared" si="3"/>
        <v>#DIV/0!</v>
      </c>
      <c r="L24" s="16">
        <v>0</v>
      </c>
      <c r="M24" s="19" t="str">
        <f t="shared" si="6"/>
        <v>-</v>
      </c>
      <c r="N24" s="16">
        <v>0</v>
      </c>
      <c r="O24" s="20">
        <f t="shared" ref="O24:P24" si="32">D24/7</f>
        <v>0</v>
      </c>
      <c r="P24" s="20">
        <f t="shared" si="32"/>
        <v>0</v>
      </c>
      <c r="Q24" s="16" t="e">
        <f t="shared" si="8"/>
        <v>#DIV/0!</v>
      </c>
      <c r="R24" s="16"/>
      <c r="S24" s="21">
        <v>4.7885714285714203</v>
      </c>
      <c r="T24" s="14">
        <v>1354</v>
      </c>
      <c r="U24" s="22">
        <v>204</v>
      </c>
      <c r="V24" s="23" t="s">
        <v>788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14" t="s">
        <v>35</v>
      </c>
      <c r="AB24" s="27">
        <f t="shared" si="11"/>
        <v>-0.69</v>
      </c>
      <c r="AC24" s="28">
        <v>0.17587270833333299</v>
      </c>
      <c r="AD24" s="25">
        <f t="shared" si="12"/>
        <v>0</v>
      </c>
      <c r="AE24" s="25">
        <v>-7.32</v>
      </c>
      <c r="AF24" s="25">
        <v>-18.228000000000002</v>
      </c>
      <c r="AG24" s="25">
        <v>0</v>
      </c>
    </row>
    <row r="25" spans="1:33" ht="15.75" customHeight="1">
      <c r="A25" s="14" t="s">
        <v>51</v>
      </c>
      <c r="B25" s="14"/>
      <c r="C25" s="15" t="str">
        <f t="shared" si="4"/>
        <v xml:space="preserve"> - </v>
      </c>
      <c r="D25" s="16">
        <v>0</v>
      </c>
      <c r="E25" s="16">
        <v>0</v>
      </c>
      <c r="F25" s="17">
        <v>0</v>
      </c>
      <c r="G25" s="17">
        <v>0</v>
      </c>
      <c r="H25" s="18" t="e">
        <f t="shared" si="1"/>
        <v>#DIV/0!</v>
      </c>
      <c r="I25" s="18" t="e">
        <f t="shared" si="2"/>
        <v>#DIV/0!</v>
      </c>
      <c r="J25" s="17">
        <f t="shared" si="5"/>
        <v>0</v>
      </c>
      <c r="K25" s="17" t="e">
        <f t="shared" si="3"/>
        <v>#DIV/0!</v>
      </c>
      <c r="L25" s="16">
        <v>0</v>
      </c>
      <c r="M25" s="19" t="str">
        <f t="shared" si="6"/>
        <v>-</v>
      </c>
      <c r="N25" s="16">
        <v>0</v>
      </c>
      <c r="O25" s="20">
        <f t="shared" ref="O25:P25" si="33">D25/7</f>
        <v>0</v>
      </c>
      <c r="P25" s="20">
        <f t="shared" si="33"/>
        <v>0</v>
      </c>
      <c r="Q25" s="16" t="e">
        <f t="shared" si="8"/>
        <v>#DIV/0!</v>
      </c>
      <c r="R25" s="16"/>
      <c r="S25" s="21">
        <v>14.05714285714286</v>
      </c>
      <c r="T25" s="14">
        <v>1354</v>
      </c>
      <c r="U25" s="22">
        <v>204</v>
      </c>
      <c r="V25" s="23" t="s">
        <v>789</v>
      </c>
      <c r="W25" s="30">
        <v>0</v>
      </c>
      <c r="X25" s="24">
        <f t="shared" si="9"/>
        <v>0</v>
      </c>
      <c r="Y25" s="25">
        <f t="shared" si="10"/>
        <v>0</v>
      </c>
      <c r="Z25" s="30">
        <v>0</v>
      </c>
      <c r="AA25" s="14" t="s">
        <v>35</v>
      </c>
      <c r="AB25" s="27">
        <f t="shared" si="11"/>
        <v>-0.69</v>
      </c>
      <c r="AC25" s="28">
        <v>0.17587270833333299</v>
      </c>
      <c r="AD25" s="25">
        <f t="shared" si="12"/>
        <v>0</v>
      </c>
      <c r="AE25" s="25">
        <v>-7.32</v>
      </c>
      <c r="AF25" s="25">
        <v>-18.23</v>
      </c>
      <c r="AG25" s="25">
        <v>0</v>
      </c>
    </row>
    <row r="26" spans="1:33" ht="15.75" customHeight="1">
      <c r="A26" s="14" t="s">
        <v>52</v>
      </c>
      <c r="B26" s="14" t="s">
        <v>45</v>
      </c>
      <c r="C26" s="15">
        <f t="shared" si="4"/>
        <v>45.05</v>
      </c>
      <c r="D26" s="16">
        <v>1</v>
      </c>
      <c r="E26" s="16">
        <v>0</v>
      </c>
      <c r="F26" s="17">
        <v>45.05</v>
      </c>
      <c r="G26" s="17">
        <v>0</v>
      </c>
      <c r="H26" s="18">
        <f t="shared" si="1"/>
        <v>0</v>
      </c>
      <c r="I26" s="18">
        <f t="shared" si="2"/>
        <v>0.27750933768035507</v>
      </c>
      <c r="J26" s="17">
        <f t="shared" si="5"/>
        <v>12.501795662499996</v>
      </c>
      <c r="K26" s="17">
        <f t="shared" si="3"/>
        <v>12.501795662499996</v>
      </c>
      <c r="L26" s="16">
        <v>10</v>
      </c>
      <c r="M26" s="19">
        <f t="shared" si="6"/>
        <v>0.1</v>
      </c>
      <c r="N26" s="16">
        <v>0</v>
      </c>
      <c r="O26" s="20">
        <f t="shared" ref="O26:P26" si="34">D26/7</f>
        <v>0.14285714285714285</v>
      </c>
      <c r="P26" s="20">
        <f t="shared" si="34"/>
        <v>0</v>
      </c>
      <c r="Q26" s="16">
        <f t="shared" si="8"/>
        <v>0</v>
      </c>
      <c r="R26" s="16"/>
      <c r="S26" s="21">
        <v>22.733333333333331</v>
      </c>
      <c r="T26" s="14">
        <v>1354</v>
      </c>
      <c r="U26" s="22">
        <v>204</v>
      </c>
      <c r="V26" s="23" t="s">
        <v>790</v>
      </c>
      <c r="W26" s="30">
        <v>0</v>
      </c>
      <c r="X26" s="24">
        <f t="shared" si="9"/>
        <v>0</v>
      </c>
      <c r="Y26" s="25">
        <f t="shared" si="10"/>
        <v>0</v>
      </c>
      <c r="Z26" s="30">
        <v>0</v>
      </c>
      <c r="AA26" s="14" t="s">
        <v>35</v>
      </c>
      <c r="AB26" s="27">
        <f t="shared" si="11"/>
        <v>-0.69</v>
      </c>
      <c r="AC26" s="28">
        <v>0.17587270833333299</v>
      </c>
      <c r="AD26" s="25">
        <f t="shared" si="12"/>
        <v>-0.24270433749999951</v>
      </c>
      <c r="AE26" s="25">
        <v>-7.32</v>
      </c>
      <c r="AF26" s="25">
        <v>-18.228000000000002</v>
      </c>
      <c r="AG26" s="25">
        <v>0</v>
      </c>
    </row>
    <row r="27" spans="1:33" ht="15.75" customHeight="1">
      <c r="A27" s="14" t="s">
        <v>53</v>
      </c>
      <c r="B27" s="14" t="s">
        <v>791</v>
      </c>
      <c r="C27" s="15">
        <f t="shared" si="4"/>
        <v>45.05</v>
      </c>
      <c r="D27" s="16">
        <v>2</v>
      </c>
      <c r="E27" s="16">
        <v>0</v>
      </c>
      <c r="F27" s="17">
        <v>90.1</v>
      </c>
      <c r="G27" s="17">
        <v>0</v>
      </c>
      <c r="H27" s="18">
        <f t="shared" si="1"/>
        <v>0</v>
      </c>
      <c r="I27" s="18">
        <f t="shared" si="2"/>
        <v>0.17565584156492778</v>
      </c>
      <c r="J27" s="17">
        <f t="shared" si="5"/>
        <v>15.826591324999992</v>
      </c>
      <c r="K27" s="17">
        <f t="shared" si="3"/>
        <v>7.9132956624999959</v>
      </c>
      <c r="L27" s="16">
        <v>3</v>
      </c>
      <c r="M27" s="19">
        <f t="shared" si="6"/>
        <v>0.66666666666666663</v>
      </c>
      <c r="N27" s="16">
        <v>204</v>
      </c>
      <c r="O27" s="20">
        <f t="shared" ref="O27:P27" si="35">D27/7</f>
        <v>0.2857142857142857</v>
      </c>
      <c r="P27" s="20">
        <f t="shared" si="35"/>
        <v>0</v>
      </c>
      <c r="Q27" s="16">
        <f t="shared" si="8"/>
        <v>714</v>
      </c>
      <c r="R27" s="16"/>
      <c r="S27" s="21">
        <v>5.2571428571428571</v>
      </c>
      <c r="T27" s="14">
        <v>1150</v>
      </c>
      <c r="U27" s="22">
        <v>150</v>
      </c>
      <c r="V27" s="23" t="s">
        <v>792</v>
      </c>
      <c r="W27" s="30">
        <v>0</v>
      </c>
      <c r="X27" s="24">
        <f t="shared" si="9"/>
        <v>0</v>
      </c>
      <c r="Y27" s="25">
        <f t="shared" si="10"/>
        <v>0</v>
      </c>
      <c r="Z27" s="30">
        <v>0</v>
      </c>
      <c r="AA27" s="14" t="s">
        <v>35</v>
      </c>
      <c r="AB27" s="27">
        <f t="shared" si="11"/>
        <v>-0.69</v>
      </c>
      <c r="AC27" s="28">
        <v>0.17587270833333299</v>
      </c>
      <c r="AD27" s="25">
        <f t="shared" si="12"/>
        <v>-0.48540867499999901</v>
      </c>
      <c r="AE27" s="25">
        <v>-7.32</v>
      </c>
      <c r="AF27" s="25">
        <v>-22.816500000000001</v>
      </c>
      <c r="AG27" s="25">
        <v>0</v>
      </c>
    </row>
    <row r="28" spans="1:33" ht="15.75" customHeight="1">
      <c r="A28" s="14" t="s">
        <v>54</v>
      </c>
      <c r="B28" s="14" t="s">
        <v>793</v>
      </c>
      <c r="C28" s="15">
        <f t="shared" si="4"/>
        <v>39.411454545454546</v>
      </c>
      <c r="D28" s="16">
        <v>55</v>
      </c>
      <c r="E28" s="16">
        <v>2</v>
      </c>
      <c r="F28" s="17">
        <v>2167.63</v>
      </c>
      <c r="G28" s="17">
        <v>-0.13</v>
      </c>
      <c r="H28" s="18">
        <f t="shared" si="1"/>
        <v>5.9973334932622262E-5</v>
      </c>
      <c r="I28" s="18">
        <f t="shared" si="2"/>
        <v>8.2670594814382478E-2</v>
      </c>
      <c r="J28" s="17">
        <f t="shared" si="5"/>
        <v>179.1992614374999</v>
      </c>
      <c r="K28" s="17">
        <f t="shared" si="3"/>
        <v>3.2581683897727256</v>
      </c>
      <c r="L28" s="16">
        <v>73</v>
      </c>
      <c r="M28" s="19">
        <f t="shared" si="6"/>
        <v>0.75342465753424659</v>
      </c>
      <c r="N28" s="16">
        <v>156</v>
      </c>
      <c r="O28" s="20">
        <f t="shared" ref="O28:P28" si="36">D28/7</f>
        <v>7.8571428571428568</v>
      </c>
      <c r="P28" s="20">
        <f t="shared" si="36"/>
        <v>0.2857142857142857</v>
      </c>
      <c r="Q28" s="16">
        <f t="shared" si="8"/>
        <v>19</v>
      </c>
      <c r="R28" s="16"/>
      <c r="S28" s="21">
        <v>2.8473118279569891</v>
      </c>
      <c r="T28" s="14">
        <v>1550</v>
      </c>
      <c r="U28" s="22">
        <v>44384</v>
      </c>
      <c r="V28" s="23" t="s">
        <v>794</v>
      </c>
      <c r="W28" s="30">
        <v>0</v>
      </c>
      <c r="X28" s="24">
        <f t="shared" si="9"/>
        <v>0</v>
      </c>
      <c r="Y28" s="25">
        <f t="shared" si="10"/>
        <v>0</v>
      </c>
      <c r="Z28" s="30">
        <v>0</v>
      </c>
      <c r="AA28" s="14" t="s">
        <v>35</v>
      </c>
      <c r="AB28" s="27">
        <f t="shared" si="11"/>
        <v>-0.69</v>
      </c>
      <c r="AC28" s="28">
        <v>0.17587270833333335</v>
      </c>
      <c r="AD28" s="25">
        <f t="shared" si="12"/>
        <v>-13.348738562499999</v>
      </c>
      <c r="AE28" s="25">
        <v>-7.18</v>
      </c>
      <c r="AF28" s="25">
        <v>-22.816500000000001</v>
      </c>
      <c r="AG28" s="25">
        <v>0</v>
      </c>
    </row>
    <row r="29" spans="1:33" ht="15.75" customHeight="1">
      <c r="A29" s="14" t="s">
        <v>55</v>
      </c>
      <c r="B29" s="14" t="s">
        <v>751</v>
      </c>
      <c r="C29" s="15">
        <f t="shared" si="4"/>
        <v>42.811086956521741</v>
      </c>
      <c r="D29" s="16">
        <v>46</v>
      </c>
      <c r="E29" s="16">
        <v>5</v>
      </c>
      <c r="F29" s="17">
        <v>1969.31</v>
      </c>
      <c r="G29" s="17">
        <v>0</v>
      </c>
      <c r="H29" s="18">
        <f t="shared" si="1"/>
        <v>0</v>
      </c>
      <c r="I29" s="18">
        <f t="shared" si="2"/>
        <v>0.14365950534705046</v>
      </c>
      <c r="J29" s="17">
        <f t="shared" si="5"/>
        <v>282.91010047499992</v>
      </c>
      <c r="K29" s="17">
        <f t="shared" si="3"/>
        <v>6.1502195755434768</v>
      </c>
      <c r="L29" s="16">
        <v>109</v>
      </c>
      <c r="M29" s="19">
        <f t="shared" si="6"/>
        <v>0.42201834862385323</v>
      </c>
      <c r="N29" s="16">
        <v>41</v>
      </c>
      <c r="O29" s="20">
        <f t="shared" ref="O29:P29" si="37">D29/7</f>
        <v>6.5714285714285712</v>
      </c>
      <c r="P29" s="20">
        <f t="shared" si="37"/>
        <v>0.7142857142857143</v>
      </c>
      <c r="Q29" s="16">
        <f t="shared" si="8"/>
        <v>5</v>
      </c>
      <c r="R29" s="16"/>
      <c r="S29" s="21">
        <v>7.9542857142857146</v>
      </c>
      <c r="T29" s="14">
        <v>1750</v>
      </c>
      <c r="U29" s="22">
        <v>44386</v>
      </c>
      <c r="V29" s="23" t="s">
        <v>795</v>
      </c>
      <c r="W29" s="30">
        <v>0</v>
      </c>
      <c r="X29" s="24">
        <f t="shared" si="9"/>
        <v>0</v>
      </c>
      <c r="Y29" s="25">
        <f t="shared" si="10"/>
        <v>0</v>
      </c>
      <c r="Z29" s="30">
        <v>0</v>
      </c>
      <c r="AA29" s="14" t="s">
        <v>35</v>
      </c>
      <c r="AB29" s="27">
        <f t="shared" si="11"/>
        <v>-0.69</v>
      </c>
      <c r="AC29" s="28">
        <v>0.17587270833333335</v>
      </c>
      <c r="AD29" s="25">
        <f t="shared" si="12"/>
        <v>-11.164399525</v>
      </c>
      <c r="AE29" s="25">
        <v>-7.18</v>
      </c>
      <c r="AF29" s="25">
        <v>-22.816500000000001</v>
      </c>
      <c r="AG29" s="25">
        <v>0</v>
      </c>
    </row>
    <row r="30" spans="1:33" ht="15.75" customHeight="1">
      <c r="A30" s="14" t="s">
        <v>57</v>
      </c>
      <c r="B30" s="14" t="s">
        <v>290</v>
      </c>
      <c r="C30" s="15">
        <f t="shared" si="4"/>
        <v>45.293787878787867</v>
      </c>
      <c r="D30" s="16">
        <v>66</v>
      </c>
      <c r="E30" s="16">
        <v>5</v>
      </c>
      <c r="F30" s="17">
        <v>2989.3899999999994</v>
      </c>
      <c r="G30" s="17">
        <v>0</v>
      </c>
      <c r="H30" s="18">
        <f t="shared" si="1"/>
        <v>0</v>
      </c>
      <c r="I30" s="18">
        <f t="shared" si="2"/>
        <v>0.19431845689354668</v>
      </c>
      <c r="J30" s="17">
        <f t="shared" si="5"/>
        <v>580.89365185299937</v>
      </c>
      <c r="K30" s="17">
        <f t="shared" si="3"/>
        <v>8.8014189674696865</v>
      </c>
      <c r="L30" s="16">
        <v>85</v>
      </c>
      <c r="M30" s="19">
        <f t="shared" si="6"/>
        <v>0.77647058823529413</v>
      </c>
      <c r="N30" s="16">
        <v>14</v>
      </c>
      <c r="O30" s="20">
        <f t="shared" ref="O30:P30" si="38">D30/7</f>
        <v>9.4285714285714288</v>
      </c>
      <c r="P30" s="20">
        <f t="shared" si="38"/>
        <v>0.7142857142857143</v>
      </c>
      <c r="Q30" s="16">
        <f t="shared" si="8"/>
        <v>1</v>
      </c>
      <c r="R30" s="16"/>
      <c r="S30" s="21">
        <v>16.465116279069768</v>
      </c>
      <c r="T30" s="14">
        <v>1000</v>
      </c>
      <c r="U30" s="22">
        <v>400</v>
      </c>
      <c r="V30" s="23" t="s">
        <v>796</v>
      </c>
      <c r="W30" s="30">
        <v>0</v>
      </c>
      <c r="X30" s="24">
        <f t="shared" si="9"/>
        <v>0</v>
      </c>
      <c r="Y30" s="25">
        <f t="shared" si="10"/>
        <v>0</v>
      </c>
      <c r="Z30" s="30">
        <v>0</v>
      </c>
      <c r="AA30" s="14" t="s">
        <v>35</v>
      </c>
      <c r="AB30" s="27">
        <f t="shared" si="11"/>
        <v>-0.69</v>
      </c>
      <c r="AC30" s="28">
        <v>0.17587270833333335</v>
      </c>
      <c r="AD30" s="25">
        <f t="shared" si="12"/>
        <v>-16.018486275000001</v>
      </c>
      <c r="AE30" s="25">
        <v>-7.18</v>
      </c>
      <c r="AF30" s="25">
        <v>-22.275596392000001</v>
      </c>
      <c r="AG30" s="25">
        <v>0</v>
      </c>
    </row>
    <row r="31" spans="1:33" ht="15.75" customHeight="1">
      <c r="A31" s="14" t="s">
        <v>58</v>
      </c>
      <c r="B31" s="14" t="s">
        <v>45</v>
      </c>
      <c r="C31" s="15">
        <f t="shared" si="4"/>
        <v>48.008823529411771</v>
      </c>
      <c r="D31" s="16">
        <v>17</v>
      </c>
      <c r="E31" s="16">
        <v>0</v>
      </c>
      <c r="F31" s="17">
        <v>816.15000000000009</v>
      </c>
      <c r="G31" s="17">
        <v>-3.2800000000000002</v>
      </c>
      <c r="H31" s="18">
        <f t="shared" si="1"/>
        <v>4.0188690804386449E-3</v>
      </c>
      <c r="I31" s="18">
        <f t="shared" si="2"/>
        <v>0.22738024578631386</v>
      </c>
      <c r="J31" s="17">
        <f t="shared" si="5"/>
        <v>185.57638759850008</v>
      </c>
      <c r="K31" s="17">
        <f t="shared" si="3"/>
        <v>10.916258094029416</v>
      </c>
      <c r="L31" s="16">
        <v>62</v>
      </c>
      <c r="M31" s="19">
        <f t="shared" si="6"/>
        <v>0.27419354838709675</v>
      </c>
      <c r="N31" s="16">
        <v>1</v>
      </c>
      <c r="O31" s="20">
        <f t="shared" ref="O31:P31" si="39">D31/7</f>
        <v>2.4285714285714284</v>
      </c>
      <c r="P31" s="20">
        <f t="shared" si="39"/>
        <v>0</v>
      </c>
      <c r="Q31" s="16">
        <f t="shared" si="8"/>
        <v>0</v>
      </c>
      <c r="R31" s="16"/>
      <c r="S31" s="21">
        <v>23.104477611940201</v>
      </c>
      <c r="T31" s="14">
        <v>400</v>
      </c>
      <c r="U31" s="22" t="s">
        <v>34</v>
      </c>
      <c r="V31" s="23" t="s">
        <v>240</v>
      </c>
      <c r="W31" s="30">
        <v>0</v>
      </c>
      <c r="X31" s="24">
        <f t="shared" si="9"/>
        <v>0</v>
      </c>
      <c r="Y31" s="25">
        <f t="shared" si="10"/>
        <v>0</v>
      </c>
      <c r="Z31" s="30">
        <v>0</v>
      </c>
      <c r="AA31" s="14" t="s">
        <v>35</v>
      </c>
      <c r="AB31" s="27">
        <f t="shared" si="11"/>
        <v>-0.69</v>
      </c>
      <c r="AC31" s="28">
        <v>0.17587270833333335</v>
      </c>
      <c r="AD31" s="25">
        <f t="shared" si="12"/>
        <v>-4.1259737374999998</v>
      </c>
      <c r="AE31" s="25">
        <v>-7.18</v>
      </c>
      <c r="AF31" s="25">
        <v>-22.275596392000001</v>
      </c>
      <c r="AG31" s="25">
        <v>0</v>
      </c>
    </row>
    <row r="32" spans="1:33" ht="15.75" customHeight="1">
      <c r="A32" s="14" t="s">
        <v>60</v>
      </c>
      <c r="B32" s="14"/>
      <c r="C32" s="15">
        <f t="shared" si="4"/>
        <v>49.95</v>
      </c>
      <c r="D32" s="16">
        <v>10</v>
      </c>
      <c r="E32" s="16">
        <v>0</v>
      </c>
      <c r="F32" s="17">
        <v>499.5</v>
      </c>
      <c r="G32" s="17">
        <v>0</v>
      </c>
      <c r="H32" s="18">
        <f t="shared" si="1"/>
        <v>0</v>
      </c>
      <c r="I32" s="18">
        <f t="shared" si="2"/>
        <v>0.25543942483483478</v>
      </c>
      <c r="J32" s="17">
        <f t="shared" si="5"/>
        <v>127.59199270499998</v>
      </c>
      <c r="K32" s="17">
        <f t="shared" si="3"/>
        <v>12.759199270499998</v>
      </c>
      <c r="L32" s="16">
        <v>36</v>
      </c>
      <c r="M32" s="19">
        <f t="shared" si="6"/>
        <v>0.27777777777777779</v>
      </c>
      <c r="N32" s="16">
        <v>1</v>
      </c>
      <c r="O32" s="20">
        <f t="shared" ref="O32:P32" si="40">D32/7</f>
        <v>1.4285714285714286</v>
      </c>
      <c r="P32" s="20">
        <f t="shared" si="40"/>
        <v>0</v>
      </c>
      <c r="Q32" s="16">
        <f t="shared" si="8"/>
        <v>0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3.822916666666667</v>
      </c>
      <c r="T32" s="14">
        <f ca="1">IFERROR(__xludf.DUMMYFUNCTION("IFERROR(VLOOKUP($B$2,IMPORTRANGE(""https://docs.google.com/spreadsheets/d/1KiWZV1ko8G7lnRucBRBd29jj3Be6ltMfljMDqzOkQmI/edit#gid=1381463014"",""Lookup!A:D""),4,FALSE),"""")"),400)</f>
        <v>400</v>
      </c>
      <c r="U32" s="22">
        <f ca="1">IFERROR(__xludf.DUMMYFUNCTION("IFERROR(VLOOKUP($B$2,IMPORTRANGE(""https://docs.google.com/spreadsheets/d/1KiWZV1ko8G7lnRucBRBd29jj3Be6ltMfljMDqzOkQmI/edit#gid=1381463014"",""Lookup!A:D""),3,FALSE),"""")"),750)</f>
        <v>750</v>
      </c>
      <c r="V32" s="23" t="str">
        <f ca="1">IFERROR(__xludf.DUMMYFUNCTION("IFERROR(VLOOKUP($B$2,IMPORTRANGE(""https://docs.google.com/spreadsheets/d/1KiWZV1ko8G7lnRucBRBd29jj3Be6ltMfljMDqzOkQmI/edit#gid=1381463014"",""Lookup!A:D""),2,FALSE),"""")"),"| 408  - 400 units 07/19| 410  - 150 units 07/20| 418  - 200 units 09/03")</f>
        <v>| 408  - 400 units 07/19| 410  - 150 units 07/20| 418  - 200 units 09/03</v>
      </c>
      <c r="W32" s="30">
        <v>0</v>
      </c>
      <c r="X32" s="24">
        <f t="shared" si="9"/>
        <v>0</v>
      </c>
      <c r="Y32" s="25">
        <f t="shared" si="10"/>
        <v>0</v>
      </c>
      <c r="Z32" s="30">
        <v>0</v>
      </c>
      <c r="AA32" s="14" t="s">
        <v>35</v>
      </c>
      <c r="AB32" s="27">
        <f t="shared" si="11"/>
        <v>-0.69</v>
      </c>
      <c r="AC32" s="28">
        <v>0.17587270833333335</v>
      </c>
      <c r="AD32" s="25">
        <f t="shared" si="12"/>
        <v>-2.4270433750000002</v>
      </c>
      <c r="AE32" s="25">
        <v>-7.18</v>
      </c>
      <c r="AF32" s="25">
        <v>-22.275596392000001</v>
      </c>
      <c r="AG32" s="25">
        <v>0</v>
      </c>
    </row>
    <row r="33" spans="1:33" ht="15.75" customHeight="1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16"/>
      <c r="S33" s="21"/>
      <c r="T33" s="31"/>
      <c r="U33" s="36"/>
      <c r="V33" s="1"/>
      <c r="W33" s="31"/>
      <c r="X33" s="31"/>
      <c r="Y33" s="31"/>
      <c r="Z33" s="31"/>
      <c r="AA33" s="2"/>
      <c r="AB33" s="31"/>
      <c r="AC33" s="31"/>
      <c r="AD33" s="31"/>
      <c r="AE33" s="37"/>
      <c r="AF33" s="37"/>
      <c r="AG33" s="37"/>
    </row>
    <row r="34" spans="1:33" ht="15.75" customHeight="1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6"/>
      <c r="V34" s="1"/>
      <c r="W34" s="31"/>
      <c r="X34" s="31"/>
      <c r="Y34" s="31"/>
      <c r="Z34" s="31"/>
      <c r="AA34" s="2"/>
      <c r="AB34" s="31"/>
      <c r="AC34" s="31"/>
      <c r="AD34" s="31"/>
      <c r="AE34" s="37"/>
      <c r="AF34" s="37"/>
      <c r="AG34" s="37"/>
    </row>
    <row r="35" spans="1:33" ht="15.75" customHeight="1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6"/>
      <c r="V35" s="1"/>
      <c r="W35" s="31"/>
      <c r="X35" s="31"/>
      <c r="Y35" s="31"/>
      <c r="Z35" s="31"/>
      <c r="AA35" s="2"/>
      <c r="AB35" s="31"/>
      <c r="AC35" s="31"/>
      <c r="AD35" s="31"/>
      <c r="AE35" s="37"/>
      <c r="AF35" s="37"/>
      <c r="AG35" s="37"/>
    </row>
    <row r="36" spans="1:33" ht="15.75" customHeight="1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6"/>
      <c r="V36" s="1"/>
      <c r="W36" s="31"/>
      <c r="X36" s="31"/>
      <c r="Y36" s="31"/>
      <c r="Z36" s="31"/>
      <c r="AA36" s="2"/>
      <c r="AB36" s="31"/>
      <c r="AC36" s="31"/>
      <c r="AD36" s="31"/>
      <c r="AE36" s="37"/>
      <c r="AF36" s="37"/>
      <c r="AG36" s="37"/>
    </row>
    <row r="37" spans="1:33" ht="15.75" customHeight="1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6"/>
      <c r="V37" s="1"/>
      <c r="W37" s="31"/>
      <c r="X37" s="31"/>
      <c r="Y37" s="31"/>
      <c r="Z37" s="31"/>
      <c r="AA37" s="2"/>
      <c r="AB37" s="31"/>
      <c r="AC37" s="31"/>
      <c r="AD37" s="31"/>
      <c r="AE37" s="37"/>
      <c r="AF37" s="37"/>
      <c r="AG37" s="37"/>
    </row>
    <row r="38" spans="1:33" ht="15.75" customHeight="1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6"/>
      <c r="V38" s="1"/>
      <c r="W38" s="31"/>
      <c r="X38" s="31"/>
      <c r="Y38" s="31"/>
      <c r="Z38" s="31"/>
      <c r="AA38" s="2"/>
      <c r="AB38" s="31"/>
      <c r="AC38" s="31"/>
      <c r="AD38" s="31"/>
      <c r="AE38" s="37"/>
      <c r="AF38" s="37"/>
      <c r="AG38" s="37"/>
    </row>
    <row r="39" spans="1:33" ht="15.75" customHeight="1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6"/>
      <c r="V39" s="1"/>
      <c r="W39" s="31"/>
      <c r="X39" s="31"/>
      <c r="Y39" s="31"/>
      <c r="Z39" s="31"/>
      <c r="AA39" s="2"/>
      <c r="AB39" s="31"/>
      <c r="AC39" s="31"/>
      <c r="AD39" s="31"/>
      <c r="AE39" s="37"/>
      <c r="AF39" s="37"/>
      <c r="AG39" s="37"/>
    </row>
    <row r="40" spans="1:33" ht="15.75" customHeight="1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6"/>
      <c r="V40" s="1"/>
      <c r="W40" s="31"/>
      <c r="X40" s="31"/>
      <c r="Y40" s="31"/>
      <c r="Z40" s="31"/>
      <c r="AA40" s="2"/>
      <c r="AB40" s="31"/>
      <c r="AC40" s="31"/>
      <c r="AD40" s="31"/>
      <c r="AE40" s="37"/>
      <c r="AF40" s="37"/>
      <c r="AG40" s="37"/>
    </row>
    <row r="41" spans="1:33" ht="15.75" customHeight="1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6"/>
      <c r="V41" s="1"/>
      <c r="W41" s="31"/>
      <c r="X41" s="31"/>
      <c r="Y41" s="31"/>
      <c r="Z41" s="31"/>
      <c r="AA41" s="2"/>
      <c r="AB41" s="31"/>
      <c r="AC41" s="31"/>
      <c r="AD41" s="31"/>
      <c r="AE41" s="37"/>
      <c r="AF41" s="37"/>
      <c r="AG41" s="37"/>
    </row>
    <row r="42" spans="1:33" ht="15.75" customHeight="1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6"/>
      <c r="V42" s="1"/>
      <c r="W42" s="31"/>
      <c r="X42" s="31"/>
      <c r="Y42" s="31"/>
      <c r="Z42" s="31"/>
      <c r="AA42" s="2"/>
      <c r="AB42" s="31"/>
      <c r="AC42" s="31"/>
      <c r="AD42" s="31"/>
      <c r="AE42" s="37"/>
      <c r="AF42" s="37"/>
      <c r="AG42" s="37"/>
    </row>
    <row r="43" spans="1:33" ht="15.75" customHeight="1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6"/>
      <c r="V43" s="1"/>
      <c r="W43" s="31"/>
      <c r="X43" s="31"/>
      <c r="Y43" s="31"/>
      <c r="Z43" s="31"/>
      <c r="AA43" s="2"/>
      <c r="AB43" s="31"/>
      <c r="AC43" s="31"/>
      <c r="AD43" s="31"/>
      <c r="AE43" s="37"/>
      <c r="AF43" s="37"/>
      <c r="AG43" s="37"/>
    </row>
    <row r="44" spans="1:33" ht="15.75" customHeight="1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6"/>
      <c r="V44" s="1"/>
      <c r="W44" s="31"/>
      <c r="X44" s="31"/>
      <c r="Y44" s="31"/>
      <c r="Z44" s="31"/>
      <c r="AA44" s="2"/>
      <c r="AB44" s="31"/>
      <c r="AC44" s="31"/>
      <c r="AD44" s="31"/>
      <c r="AE44" s="37"/>
      <c r="AF44" s="37"/>
      <c r="AG44" s="37"/>
    </row>
    <row r="45" spans="1:33" ht="15.75" customHeight="1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6"/>
      <c r="V45" s="1"/>
      <c r="W45" s="31"/>
      <c r="X45" s="31"/>
      <c r="Y45" s="31"/>
      <c r="Z45" s="31"/>
      <c r="AA45" s="2"/>
      <c r="AB45" s="31"/>
      <c r="AC45" s="31"/>
      <c r="AD45" s="31"/>
      <c r="AE45" s="37"/>
      <c r="AF45" s="37"/>
      <c r="AG45" s="37"/>
    </row>
    <row r="46" spans="1:33" ht="15.75" customHeight="1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6"/>
      <c r="V46" s="1"/>
      <c r="W46" s="31"/>
      <c r="X46" s="31"/>
      <c r="Y46" s="31"/>
      <c r="Z46" s="31"/>
      <c r="AA46" s="2"/>
      <c r="AB46" s="31"/>
      <c r="AC46" s="31"/>
      <c r="AD46" s="31"/>
      <c r="AE46" s="37"/>
      <c r="AF46" s="37"/>
      <c r="AG46" s="37"/>
    </row>
    <row r="47" spans="1:33" ht="15.75" customHeight="1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6"/>
      <c r="V47" s="1"/>
      <c r="W47" s="31"/>
      <c r="X47" s="31"/>
      <c r="Y47" s="31"/>
      <c r="Z47" s="31"/>
      <c r="AA47" s="2"/>
      <c r="AB47" s="31"/>
      <c r="AC47" s="31"/>
      <c r="AD47" s="31"/>
      <c r="AE47" s="37"/>
      <c r="AF47" s="37"/>
      <c r="AG47" s="37"/>
    </row>
    <row r="48" spans="1:33" ht="15.75" customHeight="1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6"/>
      <c r="V48" s="1"/>
      <c r="W48" s="31"/>
      <c r="X48" s="31"/>
      <c r="Y48" s="31"/>
      <c r="Z48" s="31"/>
      <c r="AA48" s="2"/>
      <c r="AB48" s="31"/>
      <c r="AC48" s="31"/>
      <c r="AD48" s="31"/>
      <c r="AE48" s="37"/>
      <c r="AF48" s="37"/>
      <c r="AG48" s="37"/>
    </row>
    <row r="49" spans="1:33" ht="15.75" customHeight="1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6"/>
      <c r="V49" s="1"/>
      <c r="W49" s="31"/>
      <c r="X49" s="31"/>
      <c r="Y49" s="31"/>
      <c r="Z49" s="31"/>
      <c r="AA49" s="2"/>
      <c r="AB49" s="31"/>
      <c r="AC49" s="31"/>
      <c r="AD49" s="31"/>
      <c r="AE49" s="37"/>
      <c r="AF49" s="37"/>
      <c r="AG49" s="37"/>
    </row>
    <row r="50" spans="1:33" ht="15.75" customHeight="1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6"/>
      <c r="V50" s="1"/>
      <c r="W50" s="31"/>
      <c r="X50" s="31"/>
      <c r="Y50" s="31"/>
      <c r="Z50" s="31"/>
      <c r="AA50" s="2"/>
      <c r="AB50" s="31"/>
      <c r="AC50" s="31"/>
      <c r="AD50" s="31"/>
      <c r="AE50" s="37"/>
      <c r="AF50" s="37"/>
      <c r="AG50" s="37"/>
    </row>
    <row r="51" spans="1:33" ht="15.75" customHeight="1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6"/>
      <c r="V51" s="1"/>
      <c r="W51" s="31"/>
      <c r="X51" s="31"/>
      <c r="Y51" s="31"/>
      <c r="Z51" s="31"/>
      <c r="AA51" s="2"/>
      <c r="AB51" s="31"/>
      <c r="AC51" s="31"/>
      <c r="AD51" s="31"/>
      <c r="AE51" s="37"/>
      <c r="AF51" s="37"/>
      <c r="AG51" s="37"/>
    </row>
    <row r="52" spans="1:33" ht="15.75" customHeight="1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6"/>
      <c r="V52" s="1"/>
      <c r="W52" s="31"/>
      <c r="X52" s="31"/>
      <c r="Y52" s="31"/>
      <c r="Z52" s="31"/>
      <c r="AA52" s="2"/>
      <c r="AB52" s="31"/>
      <c r="AC52" s="31"/>
      <c r="AD52" s="31"/>
      <c r="AE52" s="37"/>
      <c r="AF52" s="37"/>
      <c r="AG52" s="37"/>
    </row>
    <row r="53" spans="1:33" ht="15.75" customHeight="1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6"/>
      <c r="V53" s="1"/>
      <c r="W53" s="31"/>
      <c r="X53" s="31"/>
      <c r="Y53" s="31"/>
      <c r="Z53" s="31"/>
      <c r="AA53" s="2"/>
      <c r="AB53" s="31"/>
      <c r="AC53" s="31"/>
      <c r="AD53" s="31"/>
      <c r="AE53" s="37"/>
      <c r="AF53" s="37"/>
      <c r="AG53" s="37"/>
    </row>
    <row r="54" spans="1:33" ht="15.75" customHeight="1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6"/>
      <c r="V54" s="1"/>
      <c r="W54" s="31"/>
      <c r="X54" s="31"/>
      <c r="Y54" s="31"/>
      <c r="Z54" s="31"/>
      <c r="AA54" s="2"/>
      <c r="AB54" s="31"/>
      <c r="AC54" s="31"/>
      <c r="AD54" s="31"/>
      <c r="AE54" s="37"/>
      <c r="AF54" s="37"/>
      <c r="AG54" s="37"/>
    </row>
    <row r="55" spans="1:33" ht="15.75" customHeight="1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6"/>
      <c r="V55" s="1"/>
      <c r="W55" s="31"/>
      <c r="X55" s="31"/>
      <c r="Y55" s="31"/>
      <c r="Z55" s="31"/>
      <c r="AA55" s="2"/>
      <c r="AB55" s="31"/>
      <c r="AC55" s="31"/>
      <c r="AD55" s="31"/>
      <c r="AE55" s="37"/>
      <c r="AF55" s="37"/>
      <c r="AG55" s="37"/>
    </row>
    <row r="56" spans="1:33" ht="15.75" customHeight="1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6"/>
      <c r="V56" s="1"/>
      <c r="W56" s="31"/>
      <c r="X56" s="31"/>
      <c r="Y56" s="31"/>
      <c r="Z56" s="31"/>
      <c r="AA56" s="2"/>
      <c r="AB56" s="31"/>
      <c r="AC56" s="31"/>
      <c r="AD56" s="31"/>
      <c r="AE56" s="37"/>
      <c r="AF56" s="37"/>
      <c r="AG56" s="37"/>
    </row>
    <row r="57" spans="1:33" ht="15.75" customHeight="1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6"/>
      <c r="V57" s="1"/>
      <c r="W57" s="31"/>
      <c r="X57" s="31"/>
      <c r="Y57" s="31"/>
      <c r="Z57" s="31"/>
      <c r="AA57" s="2"/>
      <c r="AB57" s="31"/>
      <c r="AC57" s="31"/>
      <c r="AD57" s="31"/>
      <c r="AE57" s="37"/>
      <c r="AF57" s="37"/>
      <c r="AG57" s="37"/>
    </row>
    <row r="58" spans="1:33" ht="15.75" customHeight="1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6"/>
      <c r="V58" s="1"/>
      <c r="W58" s="31"/>
      <c r="X58" s="31"/>
      <c r="Y58" s="31"/>
      <c r="Z58" s="31"/>
      <c r="AA58" s="2"/>
      <c r="AB58" s="31"/>
      <c r="AC58" s="31"/>
      <c r="AD58" s="31"/>
      <c r="AE58" s="37"/>
      <c r="AF58" s="37"/>
      <c r="AG58" s="37"/>
    </row>
    <row r="59" spans="1:33" ht="15.75" customHeight="1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6"/>
      <c r="V59" s="1"/>
      <c r="W59" s="31"/>
      <c r="X59" s="31"/>
      <c r="Y59" s="31"/>
      <c r="Z59" s="31"/>
      <c r="AA59" s="2"/>
      <c r="AB59" s="31"/>
      <c r="AC59" s="31"/>
      <c r="AD59" s="31"/>
      <c r="AE59" s="37"/>
      <c r="AF59" s="37"/>
      <c r="AG59" s="37"/>
    </row>
    <row r="60" spans="1:33" ht="15.75" customHeight="1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6"/>
      <c r="V60" s="1"/>
      <c r="W60" s="31"/>
      <c r="X60" s="31"/>
      <c r="Y60" s="31"/>
      <c r="Z60" s="31"/>
      <c r="AA60" s="2"/>
      <c r="AB60" s="31"/>
      <c r="AC60" s="31"/>
      <c r="AD60" s="31"/>
      <c r="AE60" s="37"/>
      <c r="AF60" s="37"/>
      <c r="AG60" s="37"/>
    </row>
    <row r="61" spans="1:33" ht="15.75" customHeight="1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6"/>
      <c r="V61" s="1"/>
      <c r="W61" s="31"/>
      <c r="X61" s="31"/>
      <c r="Y61" s="31"/>
      <c r="Z61" s="31"/>
      <c r="AA61" s="2"/>
      <c r="AB61" s="31"/>
      <c r="AC61" s="31"/>
      <c r="AD61" s="31"/>
      <c r="AE61" s="37"/>
      <c r="AF61" s="37"/>
      <c r="AG61" s="37"/>
    </row>
    <row r="62" spans="1:33" ht="15.75" customHeight="1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6"/>
      <c r="V62" s="1"/>
      <c r="W62" s="31"/>
      <c r="X62" s="31"/>
      <c r="Y62" s="31"/>
      <c r="Z62" s="31"/>
      <c r="AA62" s="2"/>
      <c r="AB62" s="31"/>
      <c r="AC62" s="31"/>
      <c r="AD62" s="31"/>
      <c r="AE62" s="37"/>
      <c r="AF62" s="37"/>
      <c r="AG62" s="37"/>
    </row>
    <row r="63" spans="1:33" ht="15.75" customHeight="1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6"/>
      <c r="V63" s="1"/>
      <c r="W63" s="31"/>
      <c r="X63" s="31"/>
      <c r="Y63" s="31"/>
      <c r="Z63" s="31"/>
      <c r="AA63" s="2"/>
      <c r="AB63" s="31"/>
      <c r="AC63" s="31"/>
      <c r="AD63" s="31"/>
      <c r="AE63" s="37"/>
      <c r="AF63" s="37"/>
      <c r="AG63" s="37"/>
    </row>
    <row r="64" spans="1:33" ht="15.75" customHeight="1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6"/>
      <c r="V64" s="1"/>
      <c r="W64" s="31"/>
      <c r="X64" s="31"/>
      <c r="Y64" s="31"/>
      <c r="Z64" s="31"/>
      <c r="AA64" s="2"/>
      <c r="AB64" s="31"/>
      <c r="AC64" s="31"/>
      <c r="AD64" s="31"/>
      <c r="AE64" s="37"/>
      <c r="AF64" s="37"/>
      <c r="AG64" s="37"/>
    </row>
    <row r="65" spans="1:33" ht="15.75" customHeight="1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6"/>
      <c r="V65" s="1"/>
      <c r="W65" s="31"/>
      <c r="X65" s="31"/>
      <c r="Y65" s="31"/>
      <c r="Z65" s="31"/>
      <c r="AA65" s="2"/>
      <c r="AB65" s="31"/>
      <c r="AC65" s="31"/>
      <c r="AD65" s="31"/>
      <c r="AE65" s="37"/>
      <c r="AF65" s="37"/>
      <c r="AG65" s="37"/>
    </row>
    <row r="66" spans="1:33" ht="15.75" customHeight="1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6"/>
      <c r="V66" s="1"/>
      <c r="W66" s="31"/>
      <c r="X66" s="31"/>
      <c r="Y66" s="31"/>
      <c r="Z66" s="31"/>
      <c r="AA66" s="2"/>
      <c r="AB66" s="31"/>
      <c r="AC66" s="31"/>
      <c r="AD66" s="31"/>
      <c r="AE66" s="37"/>
      <c r="AF66" s="37"/>
      <c r="AG66" s="37"/>
    </row>
    <row r="67" spans="1:33" ht="15.75" customHeight="1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6"/>
      <c r="V67" s="1"/>
      <c r="W67" s="31"/>
      <c r="X67" s="31"/>
      <c r="Y67" s="31"/>
      <c r="Z67" s="31"/>
      <c r="AA67" s="2"/>
      <c r="AB67" s="31"/>
      <c r="AC67" s="31"/>
      <c r="AD67" s="31"/>
      <c r="AE67" s="37"/>
      <c r="AF67" s="37"/>
      <c r="AG67" s="37"/>
    </row>
    <row r="68" spans="1:33" ht="15.75" customHeight="1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6"/>
      <c r="V68" s="1"/>
      <c r="W68" s="31"/>
      <c r="X68" s="31"/>
      <c r="Y68" s="31"/>
      <c r="Z68" s="31"/>
      <c r="AA68" s="2"/>
      <c r="AB68" s="31"/>
      <c r="AC68" s="31"/>
      <c r="AD68" s="31"/>
      <c r="AE68" s="37"/>
      <c r="AF68" s="37"/>
      <c r="AG68" s="37"/>
    </row>
    <row r="69" spans="1:33" ht="15.75" customHeight="1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6"/>
      <c r="V69" s="1"/>
      <c r="W69" s="31"/>
      <c r="X69" s="31"/>
      <c r="Y69" s="31"/>
      <c r="Z69" s="31"/>
      <c r="AA69" s="2"/>
      <c r="AB69" s="31"/>
      <c r="AC69" s="31"/>
      <c r="AD69" s="31"/>
      <c r="AE69" s="37"/>
      <c r="AF69" s="37"/>
      <c r="AG69" s="37"/>
    </row>
    <row r="70" spans="1:33" ht="15.75" customHeight="1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6"/>
      <c r="V70" s="1"/>
      <c r="W70" s="31"/>
      <c r="X70" s="31"/>
      <c r="Y70" s="31"/>
      <c r="Z70" s="31"/>
      <c r="AA70" s="2"/>
      <c r="AB70" s="31"/>
      <c r="AC70" s="31"/>
      <c r="AD70" s="31"/>
      <c r="AE70" s="37"/>
      <c r="AF70" s="37"/>
      <c r="AG70" s="37"/>
    </row>
    <row r="71" spans="1:33" ht="15.75" customHeight="1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6"/>
      <c r="V71" s="1"/>
      <c r="W71" s="31"/>
      <c r="X71" s="31"/>
      <c r="Y71" s="31"/>
      <c r="Z71" s="31"/>
      <c r="AA71" s="2"/>
      <c r="AB71" s="31"/>
      <c r="AC71" s="31"/>
      <c r="AD71" s="31"/>
      <c r="AE71" s="37"/>
      <c r="AF71" s="37"/>
      <c r="AG71" s="37"/>
    </row>
    <row r="72" spans="1:33" ht="15.75" customHeight="1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6"/>
      <c r="V72" s="1"/>
      <c r="W72" s="31"/>
      <c r="X72" s="31"/>
      <c r="Y72" s="31"/>
      <c r="Z72" s="31"/>
      <c r="AA72" s="2"/>
      <c r="AB72" s="31"/>
      <c r="AC72" s="31"/>
      <c r="AD72" s="31"/>
      <c r="AE72" s="37"/>
      <c r="AF72" s="37"/>
      <c r="AG72" s="37"/>
    </row>
    <row r="73" spans="1:33" ht="15.75" customHeight="1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6"/>
      <c r="V73" s="1"/>
      <c r="W73" s="31"/>
      <c r="X73" s="31"/>
      <c r="Y73" s="31"/>
      <c r="Z73" s="31"/>
      <c r="AA73" s="2"/>
      <c r="AB73" s="31"/>
      <c r="AC73" s="31"/>
      <c r="AD73" s="31"/>
      <c r="AE73" s="37"/>
      <c r="AF73" s="37"/>
      <c r="AG73" s="37"/>
    </row>
    <row r="74" spans="1:33" ht="15.75" customHeight="1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6"/>
      <c r="V74" s="1"/>
      <c r="W74" s="31"/>
      <c r="X74" s="31"/>
      <c r="Y74" s="31"/>
      <c r="Z74" s="31"/>
      <c r="AA74" s="2"/>
      <c r="AB74" s="31"/>
      <c r="AC74" s="31"/>
      <c r="AD74" s="31"/>
      <c r="AE74" s="37"/>
      <c r="AF74" s="37"/>
      <c r="AG74" s="37"/>
    </row>
    <row r="75" spans="1:33" ht="15.75" customHeight="1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6"/>
      <c r="V75" s="1"/>
      <c r="W75" s="31"/>
      <c r="X75" s="31"/>
      <c r="Y75" s="31"/>
      <c r="Z75" s="31"/>
      <c r="AA75" s="2"/>
      <c r="AB75" s="31"/>
      <c r="AC75" s="31"/>
      <c r="AD75" s="31"/>
      <c r="AE75" s="37"/>
      <c r="AF75" s="37"/>
      <c r="AG75" s="37"/>
    </row>
    <row r="76" spans="1:33" ht="15.75" customHeight="1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6"/>
      <c r="V76" s="1"/>
      <c r="W76" s="31"/>
      <c r="X76" s="31"/>
      <c r="Y76" s="31"/>
      <c r="Z76" s="31"/>
      <c r="AA76" s="2"/>
      <c r="AB76" s="31"/>
      <c r="AC76" s="31"/>
      <c r="AD76" s="31"/>
      <c r="AE76" s="37"/>
      <c r="AF76" s="37"/>
      <c r="AG76" s="37"/>
    </row>
    <row r="77" spans="1:33" ht="15.75" customHeight="1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6"/>
      <c r="V77" s="1"/>
      <c r="W77" s="31"/>
      <c r="X77" s="31"/>
      <c r="Y77" s="31"/>
      <c r="Z77" s="31"/>
      <c r="AA77" s="2"/>
      <c r="AB77" s="31"/>
      <c r="AC77" s="31"/>
      <c r="AD77" s="31"/>
      <c r="AE77" s="37"/>
      <c r="AF77" s="37"/>
      <c r="AG77" s="37"/>
    </row>
    <row r="78" spans="1:33" ht="15.75" customHeight="1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6"/>
      <c r="V78" s="1"/>
      <c r="W78" s="31"/>
      <c r="X78" s="31"/>
      <c r="Y78" s="31"/>
      <c r="Z78" s="31"/>
      <c r="AA78" s="2"/>
      <c r="AB78" s="31"/>
      <c r="AC78" s="31"/>
      <c r="AD78" s="31"/>
      <c r="AE78" s="37"/>
      <c r="AF78" s="37"/>
      <c r="AG78" s="37"/>
    </row>
    <row r="79" spans="1:33" ht="15.75" customHeight="1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6"/>
      <c r="V79" s="1"/>
      <c r="W79" s="31"/>
      <c r="X79" s="31"/>
      <c r="Y79" s="31"/>
      <c r="Z79" s="31"/>
      <c r="AA79" s="2"/>
      <c r="AB79" s="31"/>
      <c r="AC79" s="31"/>
      <c r="AD79" s="31"/>
      <c r="AE79" s="37"/>
      <c r="AF79" s="37"/>
      <c r="AG79" s="37"/>
    </row>
    <row r="80" spans="1:33" ht="15.75" customHeight="1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6"/>
      <c r="V80" s="1"/>
      <c r="W80" s="31"/>
      <c r="X80" s="31"/>
      <c r="Y80" s="31"/>
      <c r="Z80" s="31"/>
      <c r="AA80" s="2"/>
      <c r="AB80" s="31"/>
      <c r="AC80" s="31"/>
      <c r="AD80" s="31"/>
      <c r="AE80" s="37"/>
      <c r="AF80" s="37"/>
      <c r="AG80" s="37"/>
    </row>
    <row r="81" spans="1:33" ht="15.75" customHeight="1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6"/>
      <c r="V81" s="1"/>
      <c r="W81" s="31"/>
      <c r="X81" s="31"/>
      <c r="Y81" s="31"/>
      <c r="Z81" s="31"/>
      <c r="AA81" s="2"/>
      <c r="AB81" s="31"/>
      <c r="AC81" s="31"/>
      <c r="AD81" s="31"/>
      <c r="AE81" s="37"/>
      <c r="AF81" s="37"/>
      <c r="AG81" s="37"/>
    </row>
    <row r="82" spans="1:33" ht="15.75" customHeight="1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6"/>
      <c r="V82" s="1"/>
      <c r="W82" s="31"/>
      <c r="X82" s="31"/>
      <c r="Y82" s="31"/>
      <c r="Z82" s="31"/>
      <c r="AA82" s="2"/>
      <c r="AB82" s="31"/>
      <c r="AC82" s="31"/>
      <c r="AD82" s="31"/>
      <c r="AE82" s="37"/>
      <c r="AF82" s="37"/>
      <c r="AG82" s="37"/>
    </row>
    <row r="83" spans="1:33" ht="15.75" customHeight="1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6"/>
      <c r="V83" s="1"/>
      <c r="W83" s="31"/>
      <c r="X83" s="31"/>
      <c r="Y83" s="31"/>
      <c r="Z83" s="31"/>
      <c r="AA83" s="2"/>
      <c r="AB83" s="31"/>
      <c r="AC83" s="31"/>
      <c r="AD83" s="31"/>
      <c r="AE83" s="37"/>
      <c r="AF83" s="37"/>
      <c r="AG83" s="37"/>
    </row>
    <row r="84" spans="1:33" ht="15.75" customHeight="1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6"/>
      <c r="V84" s="1"/>
      <c r="W84" s="31"/>
      <c r="X84" s="31"/>
      <c r="Y84" s="31"/>
      <c r="Z84" s="31"/>
      <c r="AA84" s="2"/>
      <c r="AB84" s="31"/>
      <c r="AC84" s="31"/>
      <c r="AD84" s="31"/>
      <c r="AE84" s="37"/>
      <c r="AF84" s="37"/>
      <c r="AG84" s="37"/>
    </row>
    <row r="85" spans="1:33" ht="15.75" customHeight="1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6"/>
      <c r="V85" s="1"/>
      <c r="W85" s="31"/>
      <c r="X85" s="31"/>
      <c r="Y85" s="31"/>
      <c r="Z85" s="31"/>
      <c r="AA85" s="2"/>
      <c r="AB85" s="31"/>
      <c r="AC85" s="31"/>
      <c r="AD85" s="31"/>
      <c r="AE85" s="37"/>
      <c r="AF85" s="37"/>
      <c r="AG85" s="37"/>
    </row>
    <row r="86" spans="1:33" ht="15.75" customHeight="1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6"/>
      <c r="V86" s="1"/>
      <c r="W86" s="31"/>
      <c r="X86" s="31"/>
      <c r="Y86" s="31"/>
      <c r="Z86" s="31"/>
      <c r="AA86" s="2"/>
      <c r="AB86" s="31"/>
      <c r="AC86" s="31"/>
      <c r="AD86" s="31"/>
      <c r="AE86" s="37"/>
      <c r="AF86" s="37"/>
      <c r="AG86" s="37"/>
    </row>
    <row r="87" spans="1:33" ht="15.75" customHeight="1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6"/>
      <c r="V87" s="1"/>
      <c r="W87" s="31"/>
      <c r="X87" s="31"/>
      <c r="Y87" s="31"/>
      <c r="Z87" s="31"/>
      <c r="AA87" s="2"/>
      <c r="AB87" s="31"/>
      <c r="AC87" s="31"/>
      <c r="AD87" s="31"/>
      <c r="AE87" s="37"/>
      <c r="AF87" s="37"/>
      <c r="AG87" s="37"/>
    </row>
    <row r="88" spans="1:33" ht="15.75" customHeight="1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6"/>
      <c r="V88" s="1"/>
      <c r="W88" s="31"/>
      <c r="X88" s="31"/>
      <c r="Y88" s="31"/>
      <c r="Z88" s="31"/>
      <c r="AA88" s="2"/>
      <c r="AB88" s="31"/>
      <c r="AC88" s="31"/>
      <c r="AD88" s="31"/>
      <c r="AE88" s="37"/>
      <c r="AF88" s="37"/>
      <c r="AG88" s="37"/>
    </row>
    <row r="89" spans="1:33" ht="15.75" customHeight="1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6"/>
      <c r="V89" s="1"/>
      <c r="W89" s="31"/>
      <c r="X89" s="31"/>
      <c r="Y89" s="31"/>
      <c r="Z89" s="31"/>
      <c r="AA89" s="2"/>
      <c r="AB89" s="31"/>
      <c r="AC89" s="31"/>
      <c r="AD89" s="31"/>
      <c r="AE89" s="37"/>
      <c r="AF89" s="37"/>
      <c r="AG89" s="37"/>
    </row>
    <row r="90" spans="1:33" ht="15.75" customHeight="1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6"/>
      <c r="V90" s="1"/>
      <c r="W90" s="31"/>
      <c r="X90" s="31"/>
      <c r="Y90" s="31"/>
      <c r="Z90" s="31"/>
      <c r="AA90" s="2"/>
      <c r="AB90" s="31"/>
      <c r="AC90" s="31"/>
      <c r="AD90" s="31"/>
      <c r="AE90" s="37"/>
      <c r="AF90" s="37"/>
      <c r="AG90" s="37"/>
    </row>
    <row r="91" spans="1:33" ht="15.75" customHeight="1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6"/>
      <c r="V91" s="1"/>
      <c r="W91" s="31"/>
      <c r="X91" s="31"/>
      <c r="Y91" s="31"/>
      <c r="Z91" s="31"/>
      <c r="AA91" s="2"/>
      <c r="AB91" s="31"/>
      <c r="AC91" s="31"/>
      <c r="AD91" s="31"/>
      <c r="AE91" s="37"/>
      <c r="AF91" s="37"/>
      <c r="AG91" s="37"/>
    </row>
    <row r="92" spans="1:33" ht="15.75" customHeight="1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6"/>
      <c r="V92" s="1"/>
      <c r="W92" s="31"/>
      <c r="X92" s="31"/>
      <c r="Y92" s="31"/>
      <c r="Z92" s="31"/>
      <c r="AA92" s="2"/>
      <c r="AB92" s="31"/>
      <c r="AC92" s="31"/>
      <c r="AD92" s="31"/>
      <c r="AE92" s="37"/>
      <c r="AF92" s="37"/>
      <c r="AG92" s="37"/>
    </row>
    <row r="93" spans="1:33" ht="15.75" customHeight="1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6"/>
      <c r="V93" s="1"/>
      <c r="W93" s="31"/>
      <c r="X93" s="31"/>
      <c r="Y93" s="31"/>
      <c r="Z93" s="31"/>
      <c r="AA93" s="2"/>
      <c r="AB93" s="31"/>
      <c r="AC93" s="31"/>
      <c r="AD93" s="31"/>
      <c r="AE93" s="37"/>
      <c r="AF93" s="37"/>
      <c r="AG93" s="37"/>
    </row>
    <row r="94" spans="1:33" ht="15.75" customHeight="1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6"/>
      <c r="V94" s="1"/>
      <c r="W94" s="31"/>
      <c r="X94" s="31"/>
      <c r="Y94" s="31"/>
      <c r="Z94" s="31"/>
      <c r="AA94" s="2"/>
      <c r="AB94" s="31"/>
      <c r="AC94" s="31"/>
      <c r="AD94" s="31"/>
      <c r="AE94" s="37"/>
      <c r="AF94" s="37"/>
      <c r="AG94" s="37"/>
    </row>
    <row r="95" spans="1:33" ht="15.75" customHeight="1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6"/>
      <c r="V95" s="1"/>
      <c r="W95" s="31"/>
      <c r="X95" s="31"/>
      <c r="Y95" s="31"/>
      <c r="Z95" s="31"/>
      <c r="AA95" s="2"/>
      <c r="AB95" s="31"/>
      <c r="AC95" s="31"/>
      <c r="AD95" s="31"/>
      <c r="AE95" s="37"/>
      <c r="AF95" s="37"/>
      <c r="AG95" s="37"/>
    </row>
    <row r="96" spans="1:33" ht="15.75" customHeight="1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6"/>
      <c r="V96" s="1"/>
      <c r="W96" s="31"/>
      <c r="X96" s="31"/>
      <c r="Y96" s="31"/>
      <c r="Z96" s="31"/>
      <c r="AA96" s="2"/>
      <c r="AB96" s="31"/>
      <c r="AC96" s="31"/>
      <c r="AD96" s="31"/>
      <c r="AE96" s="37"/>
      <c r="AF96" s="37"/>
      <c r="AG96" s="37"/>
    </row>
    <row r="97" spans="1:33" ht="15.75" customHeight="1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8"/>
      <c r="R97" s="38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8"/>
      <c r="R98" s="38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8"/>
      <c r="R99" s="38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8"/>
      <c r="R100" s="38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8"/>
      <c r="R101" s="38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8"/>
      <c r="R102" s="38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8"/>
      <c r="R103" s="38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8"/>
      <c r="R104" s="38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8"/>
      <c r="R105" s="38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8"/>
      <c r="R106" s="38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8"/>
      <c r="R107" s="38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8"/>
      <c r="R108" s="38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8"/>
      <c r="R109" s="38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8"/>
      <c r="R110" s="38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8"/>
      <c r="R111" s="38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8"/>
      <c r="R112" s="38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8"/>
      <c r="R113" s="38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8"/>
      <c r="R114" s="38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>
      <c r="A115" s="31"/>
      <c r="B115" s="31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>
      <c r="A116" s="31"/>
      <c r="B116" s="31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>
      <c r="A117" s="31"/>
      <c r="B117" s="31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>
      <c r="A118" s="31"/>
      <c r="B118" s="31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>
      <c r="A119" s="31"/>
      <c r="B119" s="31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>
      <c r="A120" s="31"/>
      <c r="B120" s="31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>
      <c r="A121" s="31"/>
      <c r="B121" s="31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>
      <c r="A122" s="31"/>
      <c r="B122" s="31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>
      <c r="A123" s="31"/>
      <c r="B123" s="31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>
      <c r="A124" s="31"/>
      <c r="B124" s="31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>
      <c r="A125" s="31"/>
      <c r="B125" s="31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>
      <c r="A126" s="31"/>
      <c r="B126" s="31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>
      <c r="A127" s="31"/>
      <c r="B127" s="31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>
      <c r="A128" s="31"/>
      <c r="B128" s="31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>
      <c r="A129" s="31"/>
      <c r="B129" s="31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>
      <c r="A130" s="31"/>
      <c r="B130" s="31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>
      <c r="A131" s="31"/>
      <c r="B131" s="31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>
      <c r="A132" s="31"/>
      <c r="B132" s="31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>
      <c r="A133" s="31"/>
      <c r="B133" s="31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>
      <c r="A134" s="31"/>
      <c r="B134" s="31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>
      <c r="A135" s="31"/>
      <c r="B135" s="31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>
      <c r="A136" s="31"/>
      <c r="B136" s="31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>
      <c r="A137" s="31"/>
      <c r="B137" s="31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>
      <c r="A138" s="31"/>
      <c r="B138" s="31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>
      <c r="A139" s="31"/>
      <c r="B139" s="31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>
      <c r="A140" s="31"/>
      <c r="B140" s="31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>
      <c r="A141" s="31"/>
      <c r="B141" s="31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2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>
      <c r="A142" s="31"/>
      <c r="B142" s="31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2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>
      <c r="A143" s="31"/>
      <c r="B143" s="31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2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>
      <c r="A144" s="31"/>
      <c r="B144" s="31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2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>
      <c r="A145" s="31"/>
      <c r="B145" s="31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2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>
      <c r="A146" s="31"/>
      <c r="B146" s="31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2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>
      <c r="A147" s="31"/>
      <c r="B147" s="31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2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>
      <c r="A148" s="31"/>
      <c r="B148" s="31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2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</row>
    <row r="149" spans="1:33" ht="15.75" customHeight="1">
      <c r="A149" s="14"/>
      <c r="B149" s="14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>
      <c r="A150" s="14"/>
      <c r="B150" s="14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>
      <c r="A151" s="14"/>
      <c r="B151" s="14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>
      <c r="A152" s="14"/>
      <c r="B152" s="14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>
      <c r="A153" s="14"/>
      <c r="B153" s="14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>
      <c r="A154" s="14"/>
      <c r="B154" s="14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>
      <c r="A155" s="14"/>
      <c r="B155" s="14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>
      <c r="A156" s="14"/>
      <c r="B156" s="14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>
      <c r="A157" s="14"/>
      <c r="B157" s="14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>
      <c r="A158" s="14"/>
      <c r="B158" s="14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>
      <c r="A159" s="14"/>
      <c r="B159" s="14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>
      <c r="A160" s="14"/>
      <c r="B160" s="14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>
      <c r="A161" s="14"/>
      <c r="B161" s="14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>
      <c r="A162" s="14"/>
      <c r="B162" s="14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>
      <c r="A163" s="14"/>
      <c r="B163" s="14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>
      <c r="A164" s="14"/>
      <c r="B164" s="14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>
      <c r="A165" s="14"/>
      <c r="B165" s="14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>
      <c r="A166" s="14"/>
      <c r="B166" s="14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>
      <c r="A167" s="14"/>
      <c r="B167" s="14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>
      <c r="A168" s="14"/>
      <c r="B168" s="14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>
      <c r="A169" s="14"/>
      <c r="B169" s="14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>
      <c r="A170" s="14"/>
      <c r="B170" s="14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>
      <c r="A171" s="14"/>
      <c r="B171" s="14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>
      <c r="A172" s="14"/>
      <c r="B172" s="14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>
      <c r="A173" s="14"/>
      <c r="B173" s="14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>
      <c r="A174" s="14"/>
      <c r="B174" s="14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>
      <c r="A175" s="14"/>
      <c r="B175" s="14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>
      <c r="A176" s="14"/>
      <c r="B176" s="14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>
      <c r="A177" s="14"/>
      <c r="B177" s="14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>
      <c r="A178" s="14"/>
      <c r="B178" s="14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>
      <c r="A179" s="14"/>
      <c r="B179" s="14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>
      <c r="A180" s="14"/>
      <c r="B180" s="14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>
      <c r="A181" s="14"/>
      <c r="B181" s="14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>
      <c r="A182" s="14"/>
      <c r="B182" s="14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>
      <c r="A183" s="14"/>
      <c r="B183" s="14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>
      <c r="A184" s="14"/>
      <c r="B184" s="14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>
      <c r="A185" s="14"/>
      <c r="B185" s="14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>
      <c r="A186" s="14"/>
      <c r="B186" s="14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>
      <c r="A187" s="14"/>
      <c r="B187" s="14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>
      <c r="A188" s="14"/>
      <c r="B188" s="14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>
      <c r="A189" s="14"/>
      <c r="B189" s="14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>
      <c r="A190" s="14"/>
      <c r="B190" s="14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>
      <c r="A191" s="14"/>
      <c r="B191" s="14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>
      <c r="A192" s="14"/>
      <c r="B192" s="14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>
      <c r="A193" s="14"/>
      <c r="B193" s="14"/>
      <c r="C193" s="39"/>
      <c r="D193" s="39"/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>
      <c r="A194" s="14"/>
      <c r="B194" s="14"/>
      <c r="C194" s="39"/>
      <c r="D194" s="39"/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>
      <c r="A195" s="14"/>
      <c r="B195" s="14"/>
      <c r="C195" s="39"/>
      <c r="D195" s="39"/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>
      <c r="A196" s="14"/>
      <c r="B196" s="14"/>
      <c r="C196" s="39"/>
      <c r="D196" s="39"/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>
      <c r="A197" s="14"/>
      <c r="B197" s="14"/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>
      <c r="A198" s="14"/>
      <c r="B198" s="14"/>
      <c r="C198" s="39"/>
      <c r="D198" s="39"/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>
      <c r="A199" s="14"/>
      <c r="B199" s="14"/>
      <c r="C199" s="39"/>
      <c r="D199" s="39"/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>
      <c r="A200" s="14"/>
      <c r="B200" s="14"/>
      <c r="C200" s="39"/>
      <c r="D200" s="39"/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>
      <c r="A201" s="14"/>
      <c r="B201" s="14"/>
      <c r="C201" s="39"/>
      <c r="D201" s="39"/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>
      <c r="A202" s="14"/>
      <c r="B202" s="14"/>
      <c r="C202" s="39"/>
      <c r="D202" s="39"/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>
      <c r="A203" s="14"/>
      <c r="B203" s="14"/>
      <c r="C203" s="39"/>
      <c r="D203" s="39"/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>
      <c r="A204" s="14"/>
      <c r="B204" s="14"/>
      <c r="C204" s="39"/>
      <c r="D204" s="39"/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>
      <c r="A205" s="14"/>
      <c r="B205" s="14"/>
      <c r="C205" s="39"/>
      <c r="D205" s="39"/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>
      <c r="A206" s="14"/>
      <c r="B206" s="14"/>
      <c r="C206" s="39"/>
      <c r="D206" s="39"/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>
      <c r="A207" s="14"/>
      <c r="B207" s="14"/>
      <c r="C207" s="39"/>
      <c r="D207" s="39"/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>
      <c r="A208" s="14"/>
      <c r="B208" s="14"/>
      <c r="C208" s="39"/>
      <c r="D208" s="39"/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>
      <c r="A209" s="14"/>
      <c r="B209" s="14"/>
      <c r="C209" s="39"/>
      <c r="D209" s="39"/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>
      <c r="A210" s="14"/>
      <c r="B210" s="14"/>
      <c r="C210" s="39"/>
      <c r="D210" s="39"/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>
      <c r="A211" s="14"/>
      <c r="B211" s="14"/>
      <c r="C211" s="39"/>
      <c r="D211" s="39"/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>
      <c r="A212" s="14"/>
      <c r="B212" s="14"/>
      <c r="C212" s="39"/>
      <c r="D212" s="39"/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>
      <c r="A213" s="14"/>
      <c r="B213" s="14"/>
      <c r="C213" s="39"/>
      <c r="D213" s="39"/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>
      <c r="A214" s="14"/>
      <c r="B214" s="14"/>
      <c r="C214" s="39"/>
      <c r="D214" s="39"/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>
      <c r="A215" s="14"/>
      <c r="B215" s="14"/>
      <c r="C215" s="39"/>
      <c r="D215" s="39"/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>
      <c r="A216" s="14"/>
      <c r="B216" s="14"/>
      <c r="C216" s="39"/>
      <c r="D216" s="39"/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>
      <c r="A217" s="14"/>
      <c r="B217" s="14"/>
      <c r="C217" s="39"/>
      <c r="D217" s="39"/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>
      <c r="A218" s="14"/>
      <c r="B218" s="14"/>
      <c r="C218" s="39"/>
      <c r="D218" s="39"/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>
      <c r="A219" s="14"/>
      <c r="B219" s="14"/>
      <c r="C219" s="39"/>
      <c r="D219" s="39"/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>
      <c r="A220" s="14"/>
      <c r="B220" s="14"/>
      <c r="C220" s="39"/>
      <c r="D220" s="39"/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>
      <c r="R221" s="30"/>
      <c r="S221" s="40"/>
    </row>
    <row r="222" spans="1:33" ht="15.75" customHeight="1">
      <c r="R222" s="30"/>
      <c r="S222" s="40"/>
    </row>
    <row r="223" spans="1:33" ht="15.75" customHeight="1">
      <c r="R223" s="30"/>
      <c r="S223" s="40"/>
    </row>
    <row r="224" spans="1:33" ht="15.75" customHeight="1">
      <c r="R224" s="30"/>
      <c r="S224" s="40"/>
    </row>
    <row r="225" spans="18:18" ht="15.75" customHeight="1">
      <c r="R225" s="30"/>
    </row>
    <row r="226" spans="18:18" ht="15.75" customHeight="1">
      <c r="R226" s="30"/>
    </row>
    <row r="227" spans="18:18" ht="15.75" customHeight="1">
      <c r="R227" s="30"/>
    </row>
    <row r="228" spans="18:18" ht="15.75" customHeight="1">
      <c r="R228" s="30"/>
    </row>
    <row r="229" spans="18:18" ht="15.75" customHeight="1">
      <c r="R229" s="30"/>
    </row>
    <row r="230" spans="18:18" ht="15.75" customHeight="1">
      <c r="R230" s="30"/>
    </row>
    <row r="231" spans="18:18" ht="15.75" customHeight="1">
      <c r="R231" s="30"/>
    </row>
    <row r="232" spans="18:18" ht="15.75" customHeight="1">
      <c r="R232" s="30"/>
    </row>
    <row r="233" spans="18:18" ht="15.75" customHeight="1">
      <c r="R233" s="30"/>
    </row>
    <row r="234" spans="18:18" ht="15.75" customHeight="1">
      <c r="R234" s="30"/>
    </row>
    <row r="235" spans="18:18" ht="15.75" customHeight="1">
      <c r="R235" s="30"/>
    </row>
    <row r="236" spans="18:18" ht="15.75" customHeight="1">
      <c r="R236" s="30"/>
    </row>
    <row r="237" spans="18:18" ht="15.75" customHeight="1">
      <c r="R237" s="30"/>
    </row>
    <row r="238" spans="18:18" ht="15.75" customHeight="1">
      <c r="R238" s="30"/>
    </row>
    <row r="239" spans="18:18" ht="15.75" customHeight="1">
      <c r="R239" s="30"/>
    </row>
    <row r="240" spans="18:18" ht="15.75" customHeight="1">
      <c r="R240" s="30"/>
    </row>
    <row r="241" spans="18:18" ht="15.75" customHeight="1">
      <c r="R241" s="30"/>
    </row>
    <row r="242" spans="18:18" ht="15.75" customHeight="1">
      <c r="R242" s="30"/>
    </row>
    <row r="243" spans="18:18" ht="15.75" customHeight="1">
      <c r="R243" s="30"/>
    </row>
    <row r="244" spans="18:18" ht="15.75" customHeight="1">
      <c r="R244" s="30"/>
    </row>
    <row r="245" spans="18:18" ht="15.75" customHeight="1">
      <c r="R245" s="30"/>
    </row>
    <row r="246" spans="18:18" ht="15.75" customHeight="1">
      <c r="R246" s="30"/>
    </row>
    <row r="247" spans="18:18" ht="15.75" customHeight="1">
      <c r="R247" s="30"/>
    </row>
    <row r="248" spans="18:18" ht="15.75" customHeight="1">
      <c r="R248" s="30"/>
    </row>
    <row r="249" spans="18:18" ht="15.75" customHeight="1">
      <c r="R249" s="30"/>
    </row>
    <row r="250" spans="18:18" ht="15.75" customHeight="1">
      <c r="R250" s="30"/>
    </row>
    <row r="251" spans="18:18" ht="15.75" customHeight="1">
      <c r="R251" s="30"/>
    </row>
    <row r="252" spans="18:18" ht="15.75" customHeight="1">
      <c r="R252" s="30"/>
    </row>
    <row r="253" spans="18:18" ht="15.75" customHeight="1">
      <c r="R253" s="30"/>
    </row>
    <row r="254" spans="18:18" ht="15.75" customHeight="1">
      <c r="R254" s="30"/>
    </row>
    <row r="255" spans="18:18" ht="15.75" customHeight="1">
      <c r="R255" s="30"/>
    </row>
    <row r="256" spans="18:18" ht="15.75" customHeight="1">
      <c r="R256" s="30"/>
    </row>
    <row r="257" spans="18:18" ht="15.75" customHeight="1">
      <c r="R257" s="30"/>
    </row>
    <row r="258" spans="18:18" ht="15.75" customHeight="1">
      <c r="R258" s="30"/>
    </row>
    <row r="259" spans="18:18" ht="15.75" customHeight="1">
      <c r="R259" s="30"/>
    </row>
    <row r="260" spans="18:18" ht="15.75" customHeight="1">
      <c r="R260" s="30"/>
    </row>
    <row r="261" spans="18:18" ht="15.75" customHeight="1">
      <c r="R261" s="30"/>
    </row>
    <row r="262" spans="18:18" ht="15.75" customHeight="1">
      <c r="R262" s="30"/>
    </row>
    <row r="263" spans="18:18" ht="15.75" customHeight="1">
      <c r="R263" s="30"/>
    </row>
    <row r="264" spans="18:18" ht="15.75" customHeight="1">
      <c r="R264" s="30"/>
    </row>
    <row r="265" spans="18:18" ht="15.75" customHeight="1">
      <c r="R265" s="30"/>
    </row>
    <row r="266" spans="18:18" ht="15.75" customHeight="1">
      <c r="R266" s="30"/>
    </row>
    <row r="267" spans="18:18" ht="15.75" customHeight="1">
      <c r="R267" s="30"/>
    </row>
    <row r="268" spans="18:18" ht="15.75" customHeight="1">
      <c r="R268" s="30"/>
    </row>
    <row r="269" spans="18:18" ht="15.75" customHeight="1">
      <c r="R269" s="30"/>
    </row>
    <row r="270" spans="18:18" ht="15.75" customHeight="1">
      <c r="R270" s="30"/>
    </row>
    <row r="271" spans="18:18" ht="15.75" customHeight="1">
      <c r="R271" s="30"/>
    </row>
    <row r="272" spans="18:18" ht="15.75" customHeight="1">
      <c r="R272" s="30"/>
    </row>
    <row r="273" spans="18:18" ht="15.75" customHeight="1">
      <c r="R273" s="30"/>
    </row>
    <row r="274" spans="18:18" ht="15.75" customHeight="1">
      <c r="R274" s="30"/>
    </row>
    <row r="275" spans="18:18" ht="15.75" customHeight="1">
      <c r="R275" s="30"/>
    </row>
    <row r="276" spans="18:18" ht="15.75" customHeight="1">
      <c r="R276" s="30"/>
    </row>
    <row r="277" spans="18:18" ht="15.75" customHeight="1">
      <c r="R277" s="30"/>
    </row>
    <row r="278" spans="18:18" ht="15.75" customHeight="1">
      <c r="R278" s="30"/>
    </row>
    <row r="279" spans="18:18" ht="15.75" customHeight="1">
      <c r="R279" s="30"/>
    </row>
    <row r="280" spans="18:18" ht="15.75" customHeight="1">
      <c r="R280" s="30"/>
    </row>
    <row r="281" spans="18:18" ht="15.75" customHeight="1">
      <c r="R281" s="30"/>
    </row>
    <row r="282" spans="18:18" ht="15.75" customHeight="1">
      <c r="R282" s="30"/>
    </row>
    <row r="283" spans="18:18" ht="15.75" customHeight="1">
      <c r="R283" s="30"/>
    </row>
    <row r="284" spans="18:18" ht="15.75" customHeight="1">
      <c r="R284" s="30"/>
    </row>
    <row r="285" spans="18:18" ht="15.75" customHeight="1">
      <c r="R285" s="30"/>
    </row>
    <row r="286" spans="18:18" ht="15.75" customHeight="1">
      <c r="R286" s="30"/>
    </row>
    <row r="287" spans="18:18" ht="15.75" customHeight="1">
      <c r="R287" s="30"/>
    </row>
    <row r="288" spans="18:18" ht="15.75" customHeight="1">
      <c r="R288" s="30"/>
    </row>
    <row r="289" spans="18:18" ht="15.75" customHeight="1">
      <c r="R289" s="30"/>
    </row>
    <row r="290" spans="18:18" ht="15.75" customHeight="1">
      <c r="R290" s="30"/>
    </row>
    <row r="291" spans="18:18" ht="15.75" customHeight="1">
      <c r="R291" s="30"/>
    </row>
    <row r="292" spans="18:18" ht="15.75" customHeight="1">
      <c r="R292" s="30"/>
    </row>
    <row r="293" spans="18:18" ht="15.75" customHeight="1">
      <c r="R293" s="30"/>
    </row>
    <row r="294" spans="18:18" ht="15.75" customHeight="1">
      <c r="R294" s="30"/>
    </row>
    <row r="295" spans="18:18" ht="15.75" customHeight="1">
      <c r="R295" s="30"/>
    </row>
    <row r="296" spans="18:18" ht="15.75" customHeight="1">
      <c r="R296" s="30"/>
    </row>
    <row r="297" spans="18:18" ht="15.75" customHeight="1">
      <c r="R297" s="30"/>
    </row>
    <row r="298" spans="18:18" ht="15.75" customHeight="1">
      <c r="R298" s="30"/>
    </row>
    <row r="299" spans="18:18" ht="15.75" customHeight="1">
      <c r="R299" s="30"/>
    </row>
    <row r="300" spans="18:18" ht="15.75" customHeight="1">
      <c r="R300" s="30"/>
    </row>
    <row r="301" spans="18:18" ht="15.75" customHeight="1">
      <c r="R301" s="30"/>
    </row>
    <row r="302" spans="18:18" ht="15.75" customHeight="1">
      <c r="R302" s="30"/>
    </row>
    <row r="303" spans="18:18" ht="15.75" customHeight="1">
      <c r="R303" s="30"/>
    </row>
    <row r="304" spans="18:18" ht="15.75" customHeight="1">
      <c r="R304" s="30"/>
    </row>
    <row r="305" spans="18:18" ht="15.75" customHeight="1">
      <c r="R305" s="30"/>
    </row>
    <row r="306" spans="18:18" ht="15.75" customHeight="1">
      <c r="R306" s="30"/>
    </row>
    <row r="307" spans="18:18" ht="15.75" customHeight="1">
      <c r="R307" s="30"/>
    </row>
    <row r="308" spans="18:18" ht="15.75" customHeight="1">
      <c r="R308" s="30"/>
    </row>
    <row r="309" spans="18:18" ht="15.75" customHeight="1">
      <c r="R309" s="30"/>
    </row>
    <row r="310" spans="18:18" ht="15.75" customHeight="1">
      <c r="R310" s="30"/>
    </row>
    <row r="311" spans="18:18" ht="15.75" customHeight="1">
      <c r="R311" s="30"/>
    </row>
    <row r="312" spans="18:18" ht="15.75" customHeight="1">
      <c r="R312" s="30"/>
    </row>
    <row r="313" spans="18:18" ht="15.75" customHeight="1">
      <c r="R313" s="30"/>
    </row>
    <row r="314" spans="18:18" ht="15.75" customHeight="1">
      <c r="R314" s="30"/>
    </row>
    <row r="315" spans="18:18" ht="15.75" customHeight="1">
      <c r="R315" s="30"/>
    </row>
    <row r="316" spans="18:18" ht="15.75" customHeight="1">
      <c r="R316" s="30"/>
    </row>
    <row r="317" spans="18:18" ht="15.75" customHeight="1">
      <c r="R317" s="30"/>
    </row>
    <row r="318" spans="18:18" ht="15.75" customHeight="1">
      <c r="R318" s="30"/>
    </row>
    <row r="319" spans="18:18" ht="15.75" customHeight="1">
      <c r="R319" s="30"/>
    </row>
    <row r="320" spans="18:18" ht="15.75" customHeight="1">
      <c r="R320" s="30"/>
    </row>
    <row r="321" spans="18:18" ht="15.75" customHeight="1">
      <c r="R321" s="30"/>
    </row>
    <row r="322" spans="18:18" ht="15.75" customHeight="1">
      <c r="R322" s="30"/>
    </row>
    <row r="323" spans="18:18" ht="15.75" customHeight="1">
      <c r="R323" s="30"/>
    </row>
    <row r="324" spans="18:18" ht="15.75" customHeight="1">
      <c r="R324" s="30"/>
    </row>
    <row r="325" spans="18:18" ht="15.75" customHeight="1">
      <c r="R325" s="30"/>
    </row>
    <row r="326" spans="18:18" ht="15.75" customHeight="1">
      <c r="R326" s="30"/>
    </row>
    <row r="327" spans="18:18" ht="15.75" customHeight="1">
      <c r="R327" s="30"/>
    </row>
    <row r="328" spans="18:18" ht="15.75" customHeight="1">
      <c r="R328" s="30"/>
    </row>
    <row r="329" spans="18:18" ht="15.75" customHeight="1">
      <c r="R329" s="30"/>
    </row>
    <row r="330" spans="18:18" ht="15.75" customHeight="1">
      <c r="R330" s="30"/>
    </row>
    <row r="331" spans="18:18" ht="15.75" customHeight="1">
      <c r="R331" s="30"/>
    </row>
    <row r="332" spans="18:18" ht="15.75" customHeight="1">
      <c r="R332" s="30"/>
    </row>
    <row r="333" spans="18:18" ht="15.75" customHeight="1">
      <c r="R333" s="30"/>
    </row>
    <row r="334" spans="18:18" ht="15.75" customHeight="1">
      <c r="R334" s="30"/>
    </row>
    <row r="335" spans="18:18" ht="15.75" customHeight="1">
      <c r="R335" s="30"/>
    </row>
    <row r="336" spans="18:18" ht="15.75" customHeight="1">
      <c r="R336" s="30"/>
    </row>
    <row r="337" spans="18:18" ht="15.75" customHeight="1">
      <c r="R337" s="30"/>
    </row>
    <row r="338" spans="18:18" ht="15.75" customHeight="1">
      <c r="R338" s="30"/>
    </row>
    <row r="339" spans="18:18" ht="15.75" customHeight="1">
      <c r="R339" s="30"/>
    </row>
    <row r="340" spans="18:18" ht="15.75" customHeight="1">
      <c r="R340" s="30"/>
    </row>
    <row r="341" spans="18:18" ht="15.75" customHeight="1">
      <c r="R341" s="30"/>
    </row>
    <row r="342" spans="18:18" ht="15.75" customHeight="1">
      <c r="R342" s="30"/>
    </row>
    <row r="343" spans="18:18" ht="15.75" customHeight="1">
      <c r="R343" s="30"/>
    </row>
    <row r="344" spans="18:18" ht="15.75" customHeight="1">
      <c r="R344" s="30"/>
    </row>
    <row r="345" spans="18:18" ht="15.75" customHeight="1">
      <c r="R345" s="30"/>
    </row>
    <row r="346" spans="18:18" ht="15.75" customHeight="1">
      <c r="R346" s="30"/>
    </row>
    <row r="347" spans="18:18" ht="15.75" customHeight="1">
      <c r="R347" s="30"/>
    </row>
    <row r="348" spans="18:18" ht="15.75" customHeight="1">
      <c r="R348" s="30"/>
    </row>
    <row r="349" spans="18:18" ht="15.75" customHeight="1">
      <c r="R349" s="30"/>
    </row>
    <row r="350" spans="18:18" ht="15.75" customHeight="1">
      <c r="R350" s="30"/>
    </row>
    <row r="351" spans="18:18" ht="15.75" customHeight="1">
      <c r="R351" s="30"/>
    </row>
    <row r="352" spans="18:18" ht="15.75" customHeight="1">
      <c r="R352" s="30"/>
    </row>
    <row r="353" spans="18:18" ht="15.75" customHeight="1">
      <c r="R353" s="30"/>
    </row>
    <row r="354" spans="18:18" ht="15.75" customHeight="1">
      <c r="R354" s="30"/>
    </row>
    <row r="355" spans="18:18" ht="15.75" customHeight="1">
      <c r="R355" s="30"/>
    </row>
    <row r="356" spans="18:18" ht="15.75" customHeight="1">
      <c r="R356" s="30"/>
    </row>
    <row r="357" spans="18:18" ht="15.75" customHeight="1">
      <c r="R357" s="30"/>
    </row>
    <row r="358" spans="18:18" ht="15.75" customHeight="1">
      <c r="R358" s="30"/>
    </row>
    <row r="359" spans="18:18" ht="15.75" customHeight="1">
      <c r="R359" s="30"/>
    </row>
    <row r="360" spans="18:18" ht="15.75" customHeight="1">
      <c r="R360" s="30"/>
    </row>
    <row r="361" spans="18:18" ht="15.75" customHeight="1">
      <c r="R361" s="30"/>
    </row>
    <row r="362" spans="18:18" ht="15.75" customHeight="1">
      <c r="R362" s="30"/>
    </row>
    <row r="363" spans="18:18" ht="15.75" customHeight="1">
      <c r="R363" s="30"/>
    </row>
    <row r="364" spans="18:18" ht="15.75" customHeight="1">
      <c r="R364" s="30"/>
    </row>
    <row r="365" spans="18:18" ht="15.75" customHeight="1">
      <c r="R365" s="30"/>
    </row>
    <row r="366" spans="18:18" ht="15.75" customHeight="1">
      <c r="R366" s="30"/>
    </row>
    <row r="367" spans="18:18" ht="15.75" customHeight="1">
      <c r="R367" s="30"/>
    </row>
    <row r="368" spans="18:18" ht="15.75" customHeight="1">
      <c r="R368" s="30"/>
    </row>
    <row r="369" spans="18:18" ht="15.75" customHeight="1">
      <c r="R369" s="30"/>
    </row>
    <row r="370" spans="18:18" ht="15.75" customHeight="1">
      <c r="R370" s="30"/>
    </row>
    <row r="371" spans="18:18" ht="15.75" customHeight="1">
      <c r="R371" s="30"/>
    </row>
    <row r="372" spans="18:18" ht="15.75" customHeight="1">
      <c r="R372" s="30"/>
    </row>
    <row r="373" spans="18:18" ht="15.75" customHeight="1">
      <c r="R373" s="30"/>
    </row>
    <row r="374" spans="18:18" ht="15.75" customHeight="1">
      <c r="R374" s="30"/>
    </row>
    <row r="375" spans="18:18" ht="15.75" customHeight="1">
      <c r="R375" s="30"/>
    </row>
    <row r="376" spans="18:18" ht="15.75" customHeight="1">
      <c r="R376" s="30"/>
    </row>
    <row r="377" spans="18:18" ht="15.75" customHeight="1">
      <c r="R377" s="30"/>
    </row>
    <row r="378" spans="18:18" ht="15.75" customHeight="1">
      <c r="R378" s="30"/>
    </row>
    <row r="379" spans="18:18" ht="15.75" customHeight="1">
      <c r="R379" s="30"/>
    </row>
    <row r="380" spans="18:18" ht="15.75" customHeight="1">
      <c r="R380" s="30"/>
    </row>
    <row r="381" spans="18:18" ht="15.75" customHeight="1">
      <c r="R381" s="30"/>
    </row>
    <row r="382" spans="18:18" ht="15.75" customHeight="1">
      <c r="R382" s="30"/>
    </row>
    <row r="383" spans="18:18" ht="15.75" customHeight="1">
      <c r="R383" s="30"/>
    </row>
    <row r="384" spans="18:18" ht="15.75" customHeight="1">
      <c r="R384" s="30"/>
    </row>
    <row r="385" spans="18:18" ht="15.75" customHeight="1">
      <c r="R385" s="30"/>
    </row>
    <row r="386" spans="18:18" ht="15.75" customHeight="1">
      <c r="R386" s="30"/>
    </row>
    <row r="387" spans="18:18" ht="15.75" customHeight="1">
      <c r="R387" s="30"/>
    </row>
    <row r="388" spans="18:18" ht="15.75" customHeight="1">
      <c r="R388" s="30"/>
    </row>
    <row r="389" spans="18:18" ht="15.75" customHeight="1">
      <c r="R389" s="30"/>
    </row>
    <row r="390" spans="18:18" ht="15.75" customHeight="1">
      <c r="R390" s="30"/>
    </row>
    <row r="391" spans="18:18" ht="15.75" customHeight="1">
      <c r="R391" s="30"/>
    </row>
    <row r="392" spans="18:18" ht="15.75" customHeight="1">
      <c r="R392" s="30"/>
    </row>
    <row r="393" spans="18:18" ht="15.75" customHeight="1">
      <c r="R393" s="30"/>
    </row>
    <row r="394" spans="18:18" ht="15.75" customHeight="1">
      <c r="R394" s="30"/>
    </row>
    <row r="395" spans="18:18" ht="15.75" customHeight="1">
      <c r="R395" s="30"/>
    </row>
    <row r="396" spans="18:18" ht="15.75" customHeight="1">
      <c r="R396" s="30"/>
    </row>
    <row r="397" spans="18:18" ht="15.75" customHeight="1">
      <c r="R397" s="30"/>
    </row>
    <row r="398" spans="18:18" ht="15.75" customHeight="1">
      <c r="R398" s="30"/>
    </row>
    <row r="399" spans="18:18" ht="15.75" customHeight="1">
      <c r="R399" s="30"/>
    </row>
    <row r="400" spans="18:18" ht="15.75" customHeight="1">
      <c r="R400" s="30"/>
    </row>
    <row r="401" spans="18:18" ht="15.75" customHeight="1">
      <c r="R401" s="30"/>
    </row>
    <row r="402" spans="18:18" ht="15.75" customHeight="1">
      <c r="R402" s="30"/>
    </row>
    <row r="403" spans="18:18" ht="15.75" customHeight="1">
      <c r="R403" s="30"/>
    </row>
    <row r="404" spans="18:18" ht="15.75" customHeight="1">
      <c r="R404" s="30"/>
    </row>
    <row r="405" spans="18:18" ht="15.75" customHeight="1">
      <c r="R405" s="30"/>
    </row>
    <row r="406" spans="18:18" ht="15.75" customHeight="1">
      <c r="R406" s="30"/>
    </row>
    <row r="407" spans="18:18" ht="15.75" customHeight="1">
      <c r="R407" s="30"/>
    </row>
    <row r="408" spans="18:18" ht="15.75" customHeight="1">
      <c r="R408" s="30"/>
    </row>
    <row r="409" spans="18:18" ht="15.75" customHeight="1">
      <c r="R409" s="30"/>
    </row>
    <row r="410" spans="18:18" ht="15.75" customHeight="1">
      <c r="R410" s="30"/>
    </row>
    <row r="411" spans="18:18" ht="15.75" customHeight="1">
      <c r="R411" s="30"/>
    </row>
    <row r="412" spans="18:18" ht="15.75" customHeight="1">
      <c r="R412" s="30"/>
    </row>
    <row r="413" spans="18:18" ht="15.75" customHeight="1">
      <c r="R413" s="30"/>
    </row>
    <row r="414" spans="18:18" ht="15.75" customHeight="1">
      <c r="R414" s="30"/>
    </row>
    <row r="415" spans="18:18" ht="15.75" customHeight="1">
      <c r="R415" s="30"/>
    </row>
    <row r="416" spans="18:18" ht="15.75" customHeight="1">
      <c r="R416" s="30"/>
    </row>
    <row r="417" spans="18:18" ht="15.75" customHeight="1">
      <c r="R417" s="30"/>
    </row>
    <row r="418" spans="18:18" ht="15.75" customHeight="1">
      <c r="R418" s="30"/>
    </row>
    <row r="419" spans="18:18" ht="15.75" customHeight="1">
      <c r="R419" s="30"/>
    </row>
    <row r="420" spans="18:18" ht="15.75" customHeight="1">
      <c r="R420" s="30"/>
    </row>
    <row r="421" spans="18:18" ht="15.75" customHeight="1">
      <c r="R421" s="30"/>
    </row>
    <row r="422" spans="18:18" ht="15.75" customHeight="1">
      <c r="R422" s="30"/>
    </row>
    <row r="423" spans="18:18" ht="15.75" customHeight="1">
      <c r="R423" s="30"/>
    </row>
    <row r="424" spans="18:18" ht="15.75" customHeight="1">
      <c r="R424" s="30"/>
    </row>
    <row r="425" spans="18:18" ht="15.75" customHeight="1">
      <c r="R425" s="30"/>
    </row>
    <row r="426" spans="18:18" ht="15.75" customHeight="1">
      <c r="R426" s="30"/>
    </row>
    <row r="427" spans="18:18" ht="15.75" customHeight="1">
      <c r="R427" s="30"/>
    </row>
    <row r="428" spans="18:18" ht="15.75" customHeight="1">
      <c r="R428" s="30"/>
    </row>
    <row r="429" spans="18:18" ht="15.75" customHeight="1">
      <c r="R429" s="30"/>
    </row>
    <row r="430" spans="18:18" ht="15.75" customHeight="1">
      <c r="R430" s="30"/>
    </row>
    <row r="431" spans="18:18" ht="15.75" customHeight="1">
      <c r="R431" s="30"/>
    </row>
    <row r="432" spans="18:18" ht="15.75" customHeight="1">
      <c r="R432" s="30"/>
    </row>
    <row r="433" spans="18:18" ht="15.75" customHeight="1">
      <c r="R433" s="30"/>
    </row>
    <row r="434" spans="18:18" ht="15.75" customHeight="1">
      <c r="R434" s="30"/>
    </row>
    <row r="435" spans="18:18" ht="15.75" customHeight="1">
      <c r="R435" s="30"/>
    </row>
    <row r="436" spans="18:18" ht="15.75" customHeight="1">
      <c r="R436" s="30"/>
    </row>
    <row r="437" spans="18:18" ht="15.75" customHeight="1">
      <c r="R437" s="30"/>
    </row>
    <row r="438" spans="18:18" ht="15.75" customHeight="1">
      <c r="R438" s="30"/>
    </row>
    <row r="439" spans="18:18" ht="15.75" customHeight="1">
      <c r="R439" s="30"/>
    </row>
    <row r="440" spans="18:18" ht="15.75" customHeight="1">
      <c r="R440" s="30"/>
    </row>
    <row r="441" spans="18:18" ht="15.75" customHeight="1">
      <c r="R441" s="30"/>
    </row>
    <row r="442" spans="18:18" ht="15.75" customHeight="1">
      <c r="R442" s="30"/>
    </row>
    <row r="443" spans="18:18" ht="15.75" customHeight="1">
      <c r="R443" s="30"/>
    </row>
    <row r="444" spans="18:18" ht="15.75" customHeight="1">
      <c r="R444" s="30"/>
    </row>
    <row r="445" spans="18:18" ht="15.75" customHeight="1">
      <c r="R445" s="30"/>
    </row>
    <row r="446" spans="18:18" ht="15.75" customHeight="1">
      <c r="R446" s="30"/>
    </row>
    <row r="447" spans="18:18" ht="15.75" customHeight="1">
      <c r="R447" s="30"/>
    </row>
    <row r="448" spans="18:18" ht="15.75" customHeight="1">
      <c r="R448" s="30"/>
    </row>
    <row r="449" spans="18:18" ht="15.75" customHeight="1">
      <c r="R449" s="30"/>
    </row>
    <row r="450" spans="18:18" ht="15.75" customHeight="1">
      <c r="R450" s="30"/>
    </row>
    <row r="451" spans="18:18" ht="15.75" customHeight="1">
      <c r="R451" s="30"/>
    </row>
    <row r="452" spans="18:18" ht="15.75" customHeight="1">
      <c r="R452" s="30"/>
    </row>
    <row r="453" spans="18:18" ht="15.75" customHeight="1">
      <c r="R453" s="30"/>
    </row>
    <row r="454" spans="18:18" ht="15.75" customHeight="1">
      <c r="R454" s="30"/>
    </row>
    <row r="455" spans="18:18" ht="15.75" customHeight="1">
      <c r="R455" s="30"/>
    </row>
    <row r="456" spans="18:18" ht="15.75" customHeight="1">
      <c r="R456" s="30"/>
    </row>
    <row r="457" spans="18:18" ht="15.75" customHeight="1">
      <c r="R457" s="30"/>
    </row>
    <row r="458" spans="18:18" ht="15.75" customHeight="1">
      <c r="R458" s="30"/>
    </row>
    <row r="459" spans="18:18" ht="15.75" customHeight="1">
      <c r="R459" s="30"/>
    </row>
    <row r="460" spans="18:18" ht="15.75" customHeight="1">
      <c r="R460" s="30"/>
    </row>
    <row r="461" spans="18:18" ht="15.75" customHeight="1">
      <c r="R461" s="30"/>
    </row>
    <row r="462" spans="18:18" ht="15.75" customHeight="1">
      <c r="R462" s="30"/>
    </row>
    <row r="463" spans="18:18" ht="15.75" customHeight="1">
      <c r="R463" s="30"/>
    </row>
    <row r="464" spans="18:18" ht="15.75" customHeight="1">
      <c r="R464" s="30"/>
    </row>
    <row r="465" spans="18:18" ht="15.75" customHeight="1">
      <c r="R465" s="30"/>
    </row>
    <row r="466" spans="18:18" ht="15.75" customHeight="1">
      <c r="R466" s="30"/>
    </row>
    <row r="467" spans="18:18" ht="15.75" customHeight="1">
      <c r="R467" s="30"/>
    </row>
    <row r="468" spans="18:18" ht="15.75" customHeight="1">
      <c r="R468" s="30"/>
    </row>
    <row r="469" spans="18:18" ht="15.75" customHeight="1">
      <c r="R469" s="30"/>
    </row>
    <row r="470" spans="18:18" ht="15.75" customHeight="1">
      <c r="R470" s="30"/>
    </row>
    <row r="471" spans="18:18" ht="15.75" customHeight="1">
      <c r="R471" s="30"/>
    </row>
    <row r="472" spans="18:18" ht="15.75" customHeight="1">
      <c r="R472" s="30"/>
    </row>
    <row r="473" spans="18:18" ht="15.75" customHeight="1">
      <c r="R473" s="30"/>
    </row>
    <row r="474" spans="18:18" ht="15.75" customHeight="1">
      <c r="R474" s="30"/>
    </row>
    <row r="475" spans="18:18" ht="15.75" customHeight="1">
      <c r="R475" s="30"/>
    </row>
    <row r="476" spans="18:18" ht="15.75" customHeight="1">
      <c r="R476" s="30"/>
    </row>
    <row r="477" spans="18:18" ht="15.75" customHeight="1">
      <c r="R477" s="30"/>
    </row>
    <row r="478" spans="18:18" ht="15.75" customHeight="1">
      <c r="R478" s="30"/>
    </row>
    <row r="479" spans="18:18" ht="15.75" customHeight="1">
      <c r="R479" s="30"/>
    </row>
    <row r="480" spans="18:18" ht="15.75" customHeight="1">
      <c r="R480" s="30"/>
    </row>
    <row r="481" spans="18:18" ht="15.75" customHeight="1">
      <c r="R481" s="30"/>
    </row>
    <row r="482" spans="18:18" ht="15.75" customHeight="1">
      <c r="R482" s="30"/>
    </row>
    <row r="483" spans="18:18" ht="15.75" customHeight="1">
      <c r="R483" s="30"/>
    </row>
    <row r="484" spans="18:18" ht="15.75" customHeight="1">
      <c r="R484" s="30"/>
    </row>
    <row r="485" spans="18:18" ht="15.75" customHeight="1">
      <c r="R485" s="30"/>
    </row>
    <row r="486" spans="18:18" ht="15.75" customHeight="1">
      <c r="R486" s="30"/>
    </row>
    <row r="487" spans="18:18" ht="15.75" customHeight="1">
      <c r="R487" s="30"/>
    </row>
    <row r="488" spans="18:18" ht="15.75" customHeight="1">
      <c r="R488" s="30"/>
    </row>
    <row r="489" spans="18:18" ht="15.75" customHeight="1">
      <c r="R489" s="30"/>
    </row>
    <row r="490" spans="18:18" ht="15.75" customHeight="1">
      <c r="R490" s="30"/>
    </row>
    <row r="491" spans="18:18" ht="15.75" customHeight="1">
      <c r="R491" s="30"/>
    </row>
    <row r="492" spans="18:18" ht="15.75" customHeight="1">
      <c r="R492" s="30"/>
    </row>
    <row r="493" spans="18:18" ht="15.75" customHeight="1">
      <c r="R493" s="30"/>
    </row>
    <row r="494" spans="18:18" ht="15.75" customHeight="1">
      <c r="R494" s="30"/>
    </row>
    <row r="495" spans="18:18" ht="15.75" customHeight="1">
      <c r="R495" s="30"/>
    </row>
    <row r="496" spans="18:18" ht="15.75" customHeight="1">
      <c r="R496" s="30"/>
    </row>
    <row r="497" spans="18:18" ht="15.75" customHeight="1">
      <c r="R497" s="30"/>
    </row>
    <row r="498" spans="18:18" ht="15.75" customHeight="1">
      <c r="R498" s="30"/>
    </row>
    <row r="499" spans="18:18" ht="15.75" customHeight="1">
      <c r="R499" s="30"/>
    </row>
    <row r="500" spans="18:18" ht="15.75" customHeight="1">
      <c r="R500" s="30"/>
    </row>
    <row r="501" spans="18:18" ht="15.75" customHeight="1">
      <c r="R501" s="30"/>
    </row>
    <row r="502" spans="18:18" ht="15.75" customHeight="1">
      <c r="R502" s="30"/>
    </row>
    <row r="503" spans="18:18" ht="15.75" customHeight="1">
      <c r="R503" s="30"/>
    </row>
    <row r="504" spans="18:18" ht="15.75" customHeight="1">
      <c r="R504" s="30"/>
    </row>
    <row r="505" spans="18:18" ht="15.75" customHeight="1">
      <c r="R505" s="30"/>
    </row>
    <row r="506" spans="18:18" ht="15.75" customHeight="1">
      <c r="R506" s="30"/>
    </row>
    <row r="507" spans="18:18" ht="15.75" customHeight="1">
      <c r="R507" s="30"/>
    </row>
    <row r="508" spans="18:18" ht="15.75" customHeight="1">
      <c r="R508" s="30"/>
    </row>
    <row r="509" spans="18:18" ht="15.75" customHeight="1">
      <c r="R509" s="30"/>
    </row>
    <row r="510" spans="18:18" ht="15.75" customHeight="1">
      <c r="R510" s="30"/>
    </row>
    <row r="511" spans="18:18" ht="15.75" customHeight="1">
      <c r="R511" s="30"/>
    </row>
    <row r="512" spans="18:18" ht="15.75" customHeight="1">
      <c r="R512" s="30"/>
    </row>
    <row r="513" spans="18:18" ht="15.75" customHeight="1">
      <c r="R513" s="30"/>
    </row>
    <row r="514" spans="18:18" ht="15.75" customHeight="1">
      <c r="R514" s="30"/>
    </row>
    <row r="515" spans="18:18" ht="15.75" customHeight="1">
      <c r="R515" s="30"/>
    </row>
    <row r="516" spans="18:18" ht="15.75" customHeight="1">
      <c r="R516" s="30"/>
    </row>
    <row r="517" spans="18:18" ht="15.75" customHeight="1">
      <c r="R517" s="30"/>
    </row>
    <row r="518" spans="18:18" ht="15.75" customHeight="1">
      <c r="R518" s="30"/>
    </row>
    <row r="519" spans="18:18" ht="15.75" customHeight="1">
      <c r="R519" s="30"/>
    </row>
    <row r="520" spans="18:18" ht="15.75" customHeight="1">
      <c r="R520" s="30"/>
    </row>
    <row r="521" spans="18:18" ht="15.75" customHeight="1">
      <c r="R521" s="30"/>
    </row>
    <row r="522" spans="18:18" ht="15.75" customHeight="1">
      <c r="R522" s="30"/>
    </row>
    <row r="523" spans="18:18" ht="15.75" customHeight="1">
      <c r="R523" s="30"/>
    </row>
    <row r="524" spans="18:18" ht="15.75" customHeight="1">
      <c r="R524" s="30"/>
    </row>
    <row r="525" spans="18:18" ht="15.75" customHeight="1">
      <c r="R525" s="30"/>
    </row>
    <row r="526" spans="18:18" ht="15.75" customHeight="1">
      <c r="R526" s="30"/>
    </row>
    <row r="527" spans="18:18" ht="15.75" customHeight="1">
      <c r="R527" s="30"/>
    </row>
    <row r="528" spans="18:18" ht="15.75" customHeight="1">
      <c r="R528" s="30"/>
    </row>
    <row r="529" spans="18:18" ht="15.75" customHeight="1">
      <c r="R529" s="30"/>
    </row>
    <row r="530" spans="18:18" ht="15.75" customHeight="1">
      <c r="R530" s="30"/>
    </row>
    <row r="531" spans="18:18" ht="15.75" customHeight="1">
      <c r="R531" s="30"/>
    </row>
    <row r="532" spans="18:18" ht="15.75" customHeight="1">
      <c r="R532" s="30"/>
    </row>
    <row r="533" spans="18:18" ht="15.75" customHeight="1">
      <c r="R533" s="30"/>
    </row>
    <row r="534" spans="18:18" ht="15.75" customHeight="1">
      <c r="R534" s="30"/>
    </row>
    <row r="535" spans="18:18" ht="15.75" customHeight="1">
      <c r="R535" s="30"/>
    </row>
    <row r="536" spans="18:18" ht="15.75" customHeight="1">
      <c r="R536" s="30"/>
    </row>
    <row r="537" spans="18:18" ht="15.75" customHeight="1">
      <c r="R537" s="30"/>
    </row>
    <row r="538" spans="18:18" ht="15.75" customHeight="1">
      <c r="R538" s="30"/>
    </row>
    <row r="539" spans="18:18" ht="15.75" customHeight="1">
      <c r="R539" s="30"/>
    </row>
    <row r="540" spans="18:18" ht="15.75" customHeight="1">
      <c r="R540" s="30"/>
    </row>
    <row r="541" spans="18:18" ht="15.75" customHeight="1">
      <c r="R541" s="30"/>
    </row>
    <row r="542" spans="18:18" ht="15.75" customHeight="1">
      <c r="R542" s="30"/>
    </row>
    <row r="543" spans="18:18" ht="15.75" customHeight="1">
      <c r="R543" s="30"/>
    </row>
    <row r="544" spans="18:18" ht="15.75" customHeight="1">
      <c r="R544" s="30"/>
    </row>
    <row r="545" spans="18:18" ht="15.75" customHeight="1">
      <c r="R545" s="30"/>
    </row>
    <row r="546" spans="18:18" ht="15.75" customHeight="1">
      <c r="R546" s="30"/>
    </row>
    <row r="547" spans="18:18" ht="15.75" customHeight="1">
      <c r="R547" s="30"/>
    </row>
    <row r="548" spans="18:18" ht="15.75" customHeight="1">
      <c r="R548" s="30"/>
    </row>
    <row r="549" spans="18:18" ht="15.75" customHeight="1">
      <c r="R549" s="30"/>
    </row>
    <row r="550" spans="18:18" ht="15.75" customHeight="1">
      <c r="R550" s="30"/>
    </row>
    <row r="551" spans="18:18" ht="15.75" customHeight="1">
      <c r="R551" s="30"/>
    </row>
    <row r="552" spans="18:18" ht="15.75" customHeight="1">
      <c r="R552" s="30"/>
    </row>
    <row r="553" spans="18:18" ht="15.75" customHeight="1">
      <c r="R553" s="30"/>
    </row>
    <row r="554" spans="18:18" ht="15.75" customHeight="1">
      <c r="R554" s="30"/>
    </row>
    <row r="555" spans="18:18" ht="15.75" customHeight="1">
      <c r="R555" s="30"/>
    </row>
    <row r="556" spans="18:18" ht="15.75" customHeight="1">
      <c r="R556" s="30"/>
    </row>
    <row r="557" spans="18:18" ht="15.75" customHeight="1">
      <c r="R557" s="30"/>
    </row>
    <row r="558" spans="18:18" ht="15.75" customHeight="1">
      <c r="R558" s="30"/>
    </row>
    <row r="559" spans="18:18" ht="15.75" customHeight="1">
      <c r="R559" s="30"/>
    </row>
    <row r="560" spans="18:18" ht="15.75" customHeight="1">
      <c r="R560" s="30"/>
    </row>
    <row r="561" spans="18:18" ht="15.75" customHeight="1">
      <c r="R561" s="30"/>
    </row>
    <row r="562" spans="18:18" ht="15.75" customHeight="1">
      <c r="R562" s="30"/>
    </row>
    <row r="563" spans="18:18" ht="15.75" customHeight="1">
      <c r="R563" s="30"/>
    </row>
    <row r="564" spans="18:18" ht="15.75" customHeight="1">
      <c r="R564" s="30"/>
    </row>
    <row r="565" spans="18:18" ht="15.75" customHeight="1">
      <c r="R565" s="30"/>
    </row>
    <row r="566" spans="18:18" ht="15.75" customHeight="1">
      <c r="R566" s="30"/>
    </row>
    <row r="567" spans="18:18" ht="15.75" customHeight="1">
      <c r="R567" s="30"/>
    </row>
    <row r="568" spans="18:18" ht="15.75" customHeight="1">
      <c r="R568" s="30"/>
    </row>
    <row r="569" spans="18:18" ht="15.75" customHeight="1">
      <c r="R569" s="30"/>
    </row>
    <row r="570" spans="18:18" ht="15.75" customHeight="1">
      <c r="R570" s="30"/>
    </row>
    <row r="571" spans="18:18" ht="15.75" customHeight="1">
      <c r="R571" s="30"/>
    </row>
    <row r="572" spans="18:18" ht="15.75" customHeight="1">
      <c r="R572" s="30"/>
    </row>
    <row r="573" spans="18:18" ht="15.75" customHeight="1">
      <c r="R573" s="30"/>
    </row>
    <row r="574" spans="18:18" ht="15.75" customHeight="1">
      <c r="R574" s="30"/>
    </row>
    <row r="575" spans="18:18" ht="15.75" customHeight="1">
      <c r="R575" s="30"/>
    </row>
    <row r="576" spans="18:18" ht="15.75" customHeight="1">
      <c r="R576" s="30"/>
    </row>
    <row r="577" spans="18:18" ht="15.75" customHeight="1">
      <c r="R577" s="30"/>
    </row>
    <row r="578" spans="18:18" ht="15.75" customHeight="1">
      <c r="R578" s="30"/>
    </row>
    <row r="579" spans="18:18" ht="15.75" customHeight="1">
      <c r="R579" s="30"/>
    </row>
    <row r="580" spans="18:18" ht="15.75" customHeight="1">
      <c r="R580" s="30"/>
    </row>
    <row r="581" spans="18:18" ht="15.75" customHeight="1">
      <c r="R581" s="30"/>
    </row>
    <row r="582" spans="18:18" ht="15.75" customHeight="1">
      <c r="R582" s="30"/>
    </row>
    <row r="583" spans="18:18" ht="15.75" customHeight="1">
      <c r="R583" s="30"/>
    </row>
    <row r="584" spans="18:18" ht="15.75" customHeight="1">
      <c r="R584" s="30"/>
    </row>
    <row r="585" spans="18:18" ht="15.75" customHeight="1">
      <c r="R585" s="30"/>
    </row>
    <row r="586" spans="18:18" ht="15.75" customHeight="1">
      <c r="R586" s="30"/>
    </row>
    <row r="587" spans="18:18" ht="15.75" customHeight="1">
      <c r="R587" s="30"/>
    </row>
    <row r="588" spans="18:18" ht="15.75" customHeight="1">
      <c r="R588" s="30"/>
    </row>
    <row r="589" spans="18:18" ht="15.75" customHeight="1">
      <c r="R589" s="30"/>
    </row>
    <row r="590" spans="18:18" ht="15.75" customHeight="1">
      <c r="R590" s="30"/>
    </row>
    <row r="591" spans="18:18" ht="15.75" customHeight="1">
      <c r="R591" s="30"/>
    </row>
    <row r="592" spans="18:18" ht="15.75" customHeight="1">
      <c r="R592" s="30"/>
    </row>
    <row r="593" spans="18:18" ht="15.75" customHeight="1">
      <c r="R593" s="30"/>
    </row>
    <row r="594" spans="18:18" ht="15.75" customHeight="1">
      <c r="R594" s="30"/>
    </row>
    <row r="595" spans="18:18" ht="15.75" customHeight="1">
      <c r="R595" s="30"/>
    </row>
    <row r="596" spans="18:18" ht="15.75" customHeight="1">
      <c r="R596" s="30"/>
    </row>
    <row r="597" spans="18:18" ht="15.75" customHeight="1">
      <c r="R597" s="30"/>
    </row>
    <row r="598" spans="18:18" ht="15.75" customHeight="1">
      <c r="R598" s="30"/>
    </row>
    <row r="599" spans="18:18" ht="15.75" customHeight="1">
      <c r="R599" s="30"/>
    </row>
    <row r="600" spans="18:18" ht="15.75" customHeight="1">
      <c r="R600" s="30"/>
    </row>
    <row r="601" spans="18:18" ht="15.75" customHeight="1">
      <c r="R601" s="30"/>
    </row>
    <row r="602" spans="18:18" ht="15.75" customHeight="1">
      <c r="R602" s="30"/>
    </row>
    <row r="603" spans="18:18" ht="15.75" customHeight="1">
      <c r="R603" s="30"/>
    </row>
    <row r="604" spans="18:18" ht="15.75" customHeight="1">
      <c r="R604" s="30"/>
    </row>
    <row r="605" spans="18:18" ht="15.75" customHeight="1">
      <c r="R605" s="30"/>
    </row>
    <row r="606" spans="18:18" ht="15.75" customHeight="1">
      <c r="R606" s="30"/>
    </row>
    <row r="607" spans="18:18" ht="15.75" customHeight="1">
      <c r="R607" s="30"/>
    </row>
    <row r="608" spans="18:18" ht="15.75" customHeight="1">
      <c r="R608" s="30"/>
    </row>
    <row r="609" spans="18:18" ht="15.75" customHeight="1">
      <c r="R609" s="30"/>
    </row>
    <row r="610" spans="18:18" ht="15.75" customHeight="1">
      <c r="R610" s="30"/>
    </row>
    <row r="611" spans="18:18" ht="15.75" customHeight="1">
      <c r="R611" s="30"/>
    </row>
    <row r="612" spans="18:18" ht="15.75" customHeight="1">
      <c r="R612" s="30"/>
    </row>
    <row r="613" spans="18:18" ht="15.75" customHeight="1">
      <c r="R613" s="30"/>
    </row>
    <row r="614" spans="18:18" ht="15.75" customHeight="1">
      <c r="R614" s="30"/>
    </row>
    <row r="615" spans="18:18" ht="15.75" customHeight="1">
      <c r="R615" s="30"/>
    </row>
    <row r="616" spans="18:18" ht="15.75" customHeight="1">
      <c r="R616" s="30"/>
    </row>
    <row r="617" spans="18:18" ht="15.75" customHeight="1">
      <c r="R617" s="30"/>
    </row>
    <row r="618" spans="18:18" ht="15.75" customHeight="1">
      <c r="R618" s="30"/>
    </row>
    <row r="619" spans="18:18" ht="15.75" customHeight="1">
      <c r="R619" s="30"/>
    </row>
    <row r="620" spans="18:18" ht="15.75" customHeight="1">
      <c r="R620" s="30"/>
    </row>
    <row r="621" spans="18:18" ht="15.75" customHeight="1">
      <c r="R621" s="30"/>
    </row>
    <row r="622" spans="18:18" ht="15.75" customHeight="1">
      <c r="R622" s="30"/>
    </row>
    <row r="623" spans="18:18" ht="15.75" customHeight="1">
      <c r="R623" s="30"/>
    </row>
    <row r="624" spans="18:18" ht="15.75" customHeight="1">
      <c r="R624" s="30"/>
    </row>
    <row r="625" spans="18:18" ht="15.75" customHeight="1">
      <c r="R625" s="30"/>
    </row>
    <row r="626" spans="18:18" ht="15.75" customHeight="1">
      <c r="R626" s="30"/>
    </row>
    <row r="627" spans="18:18" ht="15.75" customHeight="1">
      <c r="R627" s="30"/>
    </row>
    <row r="628" spans="18:18" ht="15.75" customHeight="1">
      <c r="R628" s="30"/>
    </row>
    <row r="629" spans="18:18" ht="15.75" customHeight="1">
      <c r="R629" s="30"/>
    </row>
    <row r="630" spans="18:18" ht="15.75" customHeight="1">
      <c r="R630" s="30"/>
    </row>
    <row r="631" spans="18:18" ht="15.75" customHeight="1">
      <c r="R631" s="30"/>
    </row>
    <row r="632" spans="18:18" ht="15.75" customHeight="1">
      <c r="R632" s="30"/>
    </row>
    <row r="633" spans="18:18" ht="15.75" customHeight="1">
      <c r="R633" s="30"/>
    </row>
    <row r="634" spans="18:18" ht="15.75" customHeight="1">
      <c r="R634" s="30"/>
    </row>
    <row r="635" spans="18:18" ht="15.75" customHeight="1">
      <c r="R635" s="30"/>
    </row>
    <row r="636" spans="18:18" ht="15.75" customHeight="1">
      <c r="R636" s="30"/>
    </row>
    <row r="637" spans="18:18" ht="15.75" customHeight="1">
      <c r="R637" s="30"/>
    </row>
    <row r="638" spans="18:18" ht="15.75" customHeight="1">
      <c r="R638" s="30"/>
    </row>
    <row r="639" spans="18:18" ht="15.75" customHeight="1">
      <c r="R639" s="30"/>
    </row>
    <row r="640" spans="18:18" ht="15.75" customHeight="1">
      <c r="R640" s="30"/>
    </row>
    <row r="641" spans="18:18" ht="15.75" customHeight="1">
      <c r="R641" s="30"/>
    </row>
    <row r="642" spans="18:18" ht="15.75" customHeight="1">
      <c r="R642" s="30"/>
    </row>
    <row r="643" spans="18:18" ht="15.75" customHeight="1">
      <c r="R643" s="30"/>
    </row>
    <row r="644" spans="18:18" ht="15.75" customHeight="1">
      <c r="R644" s="30"/>
    </row>
    <row r="645" spans="18:18" ht="15.75" customHeight="1">
      <c r="R645" s="30"/>
    </row>
    <row r="646" spans="18:18" ht="15.75" customHeight="1">
      <c r="R646" s="30"/>
    </row>
    <row r="647" spans="18:18" ht="15.75" customHeight="1">
      <c r="R647" s="30"/>
    </row>
    <row r="648" spans="18:18" ht="15.75" customHeight="1">
      <c r="R648" s="30"/>
    </row>
    <row r="649" spans="18:18" ht="15.75" customHeight="1">
      <c r="R649" s="30"/>
    </row>
    <row r="650" spans="18:18" ht="15.75" customHeight="1">
      <c r="R650" s="30"/>
    </row>
    <row r="651" spans="18:18" ht="15.75" customHeight="1">
      <c r="R651" s="30"/>
    </row>
    <row r="652" spans="18:18" ht="15.75" customHeight="1">
      <c r="R652" s="30"/>
    </row>
    <row r="653" spans="18:18" ht="15.75" customHeight="1">
      <c r="R653" s="30"/>
    </row>
    <row r="654" spans="18:18" ht="15.75" customHeight="1">
      <c r="R654" s="30"/>
    </row>
    <row r="655" spans="18:18" ht="15.75" customHeight="1">
      <c r="R655" s="30"/>
    </row>
    <row r="656" spans="18:18" ht="15.75" customHeight="1">
      <c r="R656" s="30"/>
    </row>
    <row r="657" spans="18:18" ht="15.75" customHeight="1">
      <c r="R657" s="30"/>
    </row>
    <row r="658" spans="18:18" ht="15.75" customHeight="1">
      <c r="R658" s="30"/>
    </row>
    <row r="659" spans="18:18" ht="15.75" customHeight="1">
      <c r="R659" s="30"/>
    </row>
    <row r="660" spans="18:18" ht="15.75" customHeight="1">
      <c r="R660" s="30"/>
    </row>
    <row r="661" spans="18:18" ht="15.75" customHeight="1">
      <c r="R661" s="30"/>
    </row>
    <row r="662" spans="18:18" ht="15.75" customHeight="1">
      <c r="R662" s="30"/>
    </row>
    <row r="663" spans="18:18" ht="15.75" customHeight="1">
      <c r="R663" s="30"/>
    </row>
    <row r="664" spans="18:18" ht="15.75" customHeight="1">
      <c r="R664" s="30"/>
    </row>
    <row r="665" spans="18:18" ht="15.75" customHeight="1">
      <c r="R665" s="30"/>
    </row>
    <row r="666" spans="18:18" ht="15.75" customHeight="1">
      <c r="R666" s="30"/>
    </row>
    <row r="667" spans="18:18" ht="15.75" customHeight="1">
      <c r="R667" s="30"/>
    </row>
    <row r="668" spans="18:18" ht="15.75" customHeight="1">
      <c r="R668" s="30"/>
    </row>
    <row r="669" spans="18:18" ht="15.75" customHeight="1">
      <c r="R669" s="30"/>
    </row>
    <row r="670" spans="18:18" ht="15.75" customHeight="1">
      <c r="R670" s="30"/>
    </row>
    <row r="671" spans="18:18" ht="15.75" customHeight="1">
      <c r="R671" s="30"/>
    </row>
    <row r="672" spans="18:18" ht="15.75" customHeight="1">
      <c r="R672" s="30"/>
    </row>
    <row r="673" spans="18:18" ht="15.75" customHeight="1">
      <c r="R673" s="30"/>
    </row>
    <row r="674" spans="18:18" ht="15.75" customHeight="1">
      <c r="R674" s="30"/>
    </row>
    <row r="675" spans="18:18" ht="15.75" customHeight="1">
      <c r="R675" s="30"/>
    </row>
    <row r="676" spans="18:18" ht="15.75" customHeight="1">
      <c r="R676" s="30"/>
    </row>
    <row r="677" spans="18:18" ht="15.75" customHeight="1">
      <c r="R677" s="30"/>
    </row>
    <row r="678" spans="18:18" ht="15.75" customHeight="1">
      <c r="R678" s="30"/>
    </row>
    <row r="679" spans="18:18" ht="15.75" customHeight="1">
      <c r="R679" s="30"/>
    </row>
    <row r="680" spans="18:18" ht="15.75" customHeight="1">
      <c r="R680" s="30"/>
    </row>
    <row r="681" spans="18:18" ht="15.75" customHeight="1">
      <c r="R681" s="30"/>
    </row>
    <row r="682" spans="18:18" ht="15.75" customHeight="1">
      <c r="R682" s="30"/>
    </row>
    <row r="683" spans="18:18" ht="15.75" customHeight="1">
      <c r="R683" s="30"/>
    </row>
    <row r="684" spans="18:18" ht="15.75" customHeight="1">
      <c r="R684" s="30"/>
    </row>
    <row r="685" spans="18:18" ht="15.75" customHeight="1">
      <c r="R685" s="30"/>
    </row>
    <row r="686" spans="18:18" ht="15.75" customHeight="1">
      <c r="R686" s="30"/>
    </row>
    <row r="687" spans="18:18" ht="15.75" customHeight="1">
      <c r="R687" s="30"/>
    </row>
    <row r="688" spans="18:18" ht="15.75" customHeight="1">
      <c r="R688" s="30"/>
    </row>
    <row r="689" spans="18:18" ht="15.75" customHeight="1">
      <c r="R689" s="30"/>
    </row>
    <row r="690" spans="18:18" ht="15.75" customHeight="1">
      <c r="R690" s="30"/>
    </row>
    <row r="691" spans="18:18" ht="15.75" customHeight="1">
      <c r="R691" s="30"/>
    </row>
    <row r="692" spans="18:18" ht="15.75" customHeight="1">
      <c r="R692" s="30"/>
    </row>
    <row r="693" spans="18:18" ht="15.75" customHeight="1">
      <c r="R693" s="30"/>
    </row>
    <row r="694" spans="18:18" ht="15.75" customHeight="1">
      <c r="R694" s="30"/>
    </row>
    <row r="695" spans="18:18" ht="15.75" customHeight="1">
      <c r="R695" s="30"/>
    </row>
    <row r="696" spans="18:18" ht="15.75" customHeight="1">
      <c r="R696" s="30"/>
    </row>
    <row r="697" spans="18:18" ht="15.75" customHeight="1">
      <c r="R697" s="30"/>
    </row>
    <row r="698" spans="18:18" ht="15.75" customHeight="1">
      <c r="R698" s="30"/>
    </row>
    <row r="699" spans="18:18" ht="15.75" customHeight="1">
      <c r="R699" s="30"/>
    </row>
    <row r="700" spans="18:18" ht="15.75" customHeight="1">
      <c r="R700" s="30"/>
    </row>
    <row r="701" spans="18:18" ht="15.75" customHeight="1">
      <c r="R701" s="30"/>
    </row>
    <row r="702" spans="18:18" ht="15.75" customHeight="1">
      <c r="R702" s="30"/>
    </row>
    <row r="703" spans="18:18" ht="15.75" customHeight="1">
      <c r="R703" s="30"/>
    </row>
    <row r="704" spans="18:18" ht="15.75" customHeight="1">
      <c r="R704" s="30"/>
    </row>
    <row r="705" spans="18:18" ht="15.75" customHeight="1">
      <c r="R705" s="30"/>
    </row>
    <row r="706" spans="18:18" ht="15.75" customHeight="1">
      <c r="R706" s="30"/>
    </row>
    <row r="707" spans="18:18" ht="15.75" customHeight="1">
      <c r="R707" s="30"/>
    </row>
    <row r="708" spans="18:18" ht="15.75" customHeight="1">
      <c r="R708" s="30"/>
    </row>
    <row r="709" spans="18:18" ht="15.75" customHeight="1">
      <c r="R709" s="30"/>
    </row>
    <row r="710" spans="18:18" ht="15.75" customHeight="1">
      <c r="R710" s="30"/>
    </row>
    <row r="711" spans="18:18" ht="15.75" customHeight="1">
      <c r="R711" s="30"/>
    </row>
    <row r="712" spans="18:18" ht="15.75" customHeight="1">
      <c r="R712" s="30"/>
    </row>
    <row r="713" spans="18:18" ht="15.75" customHeight="1">
      <c r="R713" s="30"/>
    </row>
    <row r="714" spans="18:18" ht="15.75" customHeight="1">
      <c r="R714" s="30"/>
    </row>
    <row r="715" spans="18:18" ht="15.75" customHeight="1">
      <c r="R715" s="30"/>
    </row>
    <row r="716" spans="18:18" ht="15.75" customHeight="1">
      <c r="R716" s="30"/>
    </row>
    <row r="717" spans="18:18" ht="15.75" customHeight="1">
      <c r="R717" s="30"/>
    </row>
    <row r="718" spans="18:18" ht="15.75" customHeight="1">
      <c r="R718" s="30"/>
    </row>
    <row r="719" spans="18:18" ht="15.75" customHeight="1">
      <c r="R719" s="30"/>
    </row>
    <row r="720" spans="18:18" ht="15.75" customHeight="1">
      <c r="R720" s="30"/>
    </row>
    <row r="721" spans="18:18" ht="15.75" customHeight="1">
      <c r="R721" s="30"/>
    </row>
    <row r="722" spans="18:18" ht="15.75" customHeight="1">
      <c r="R722" s="30"/>
    </row>
    <row r="723" spans="18:18" ht="15.75" customHeight="1">
      <c r="R723" s="30"/>
    </row>
    <row r="724" spans="18:18" ht="15.75" customHeight="1">
      <c r="R724" s="30"/>
    </row>
    <row r="725" spans="18:18" ht="15.75" customHeight="1">
      <c r="R725" s="30"/>
    </row>
    <row r="726" spans="18:18" ht="15.75" customHeight="1">
      <c r="R726" s="30"/>
    </row>
    <row r="727" spans="18:18" ht="15.75" customHeight="1">
      <c r="R727" s="30"/>
    </row>
    <row r="728" spans="18:18" ht="15.75" customHeight="1">
      <c r="R728" s="30"/>
    </row>
    <row r="729" spans="18:18" ht="15.75" customHeight="1">
      <c r="R729" s="30"/>
    </row>
    <row r="730" spans="18:18" ht="15.75" customHeight="1">
      <c r="R730" s="30"/>
    </row>
    <row r="731" spans="18:18" ht="15.75" customHeight="1">
      <c r="R731" s="30"/>
    </row>
    <row r="732" spans="18:18" ht="15.75" customHeight="1">
      <c r="R732" s="30"/>
    </row>
    <row r="733" spans="18:18" ht="15.75" customHeight="1">
      <c r="R733" s="30"/>
    </row>
    <row r="734" spans="18:18" ht="15.75" customHeight="1">
      <c r="R734" s="30"/>
    </row>
    <row r="735" spans="18:18" ht="15.75" customHeight="1">
      <c r="R735" s="30"/>
    </row>
    <row r="736" spans="18:18" ht="15.75" customHeight="1">
      <c r="R736" s="30"/>
    </row>
    <row r="737" spans="18:18" ht="15.75" customHeight="1">
      <c r="R737" s="30"/>
    </row>
    <row r="738" spans="18:18" ht="15.75" customHeight="1">
      <c r="R738" s="30"/>
    </row>
    <row r="739" spans="18:18" ht="15.75" customHeight="1">
      <c r="R739" s="30"/>
    </row>
    <row r="740" spans="18:18" ht="15.75" customHeight="1">
      <c r="R740" s="30"/>
    </row>
    <row r="741" spans="18:18" ht="15.75" customHeight="1">
      <c r="R741" s="30"/>
    </row>
    <row r="742" spans="18:18" ht="15.75" customHeight="1">
      <c r="R742" s="30"/>
    </row>
    <row r="743" spans="18:18" ht="15.75" customHeight="1">
      <c r="R743" s="30"/>
    </row>
    <row r="744" spans="18:18" ht="15.75" customHeight="1">
      <c r="R744" s="30"/>
    </row>
    <row r="745" spans="18:18" ht="15.75" customHeight="1">
      <c r="R745" s="30"/>
    </row>
    <row r="746" spans="18:18" ht="15.75" customHeight="1">
      <c r="R746" s="30"/>
    </row>
    <row r="747" spans="18:18" ht="15.75" customHeight="1">
      <c r="R747" s="30"/>
    </row>
    <row r="748" spans="18:18" ht="15.75" customHeight="1">
      <c r="R748" s="30"/>
    </row>
    <row r="749" spans="18:18" ht="15.75" customHeight="1">
      <c r="R749" s="30"/>
    </row>
    <row r="750" spans="18:18" ht="15.75" customHeight="1">
      <c r="R750" s="30"/>
    </row>
    <row r="751" spans="18:18" ht="15.75" customHeight="1">
      <c r="R751" s="30"/>
    </row>
    <row r="752" spans="18:18" ht="15.75" customHeight="1">
      <c r="R752" s="30"/>
    </row>
    <row r="753" spans="18:18" ht="15.75" customHeight="1">
      <c r="R753" s="30"/>
    </row>
    <row r="754" spans="18:18" ht="15.75" customHeight="1">
      <c r="R754" s="30"/>
    </row>
    <row r="755" spans="18:18" ht="15.75" customHeight="1">
      <c r="R755" s="30"/>
    </row>
    <row r="756" spans="18:18" ht="15.75" customHeight="1">
      <c r="R756" s="30"/>
    </row>
    <row r="757" spans="18:18" ht="15.75" customHeight="1">
      <c r="R757" s="30"/>
    </row>
    <row r="758" spans="18:18" ht="15.75" customHeight="1">
      <c r="R758" s="30"/>
    </row>
    <row r="759" spans="18:18" ht="15.75" customHeight="1">
      <c r="R759" s="30"/>
    </row>
    <row r="760" spans="18:18" ht="15.75" customHeight="1">
      <c r="R760" s="30"/>
    </row>
    <row r="761" spans="18:18" ht="15.75" customHeight="1">
      <c r="R761" s="30"/>
    </row>
    <row r="762" spans="18:18" ht="15.75" customHeight="1">
      <c r="R762" s="30"/>
    </row>
    <row r="763" spans="18:18" ht="15.75" customHeight="1">
      <c r="R763" s="30"/>
    </row>
    <row r="764" spans="18:18" ht="15.75" customHeight="1">
      <c r="R764" s="30"/>
    </row>
    <row r="765" spans="18:18" ht="15.75" customHeight="1">
      <c r="R765" s="30"/>
    </row>
    <row r="766" spans="18:18" ht="15.75" customHeight="1">
      <c r="R766" s="30"/>
    </row>
    <row r="767" spans="18:18" ht="15.75" customHeight="1">
      <c r="R767" s="30"/>
    </row>
    <row r="768" spans="18:18" ht="15.75" customHeight="1">
      <c r="R768" s="30"/>
    </row>
    <row r="769" spans="18:18" ht="15.75" customHeight="1">
      <c r="R769" s="30"/>
    </row>
    <row r="770" spans="18:18" ht="15.75" customHeight="1">
      <c r="R770" s="30"/>
    </row>
    <row r="771" spans="18:18" ht="15.75" customHeight="1">
      <c r="R771" s="30"/>
    </row>
    <row r="772" spans="18:18" ht="15.75" customHeight="1">
      <c r="R772" s="30"/>
    </row>
    <row r="773" spans="18:18" ht="15.75" customHeight="1">
      <c r="R773" s="30"/>
    </row>
    <row r="774" spans="18:18" ht="15.75" customHeight="1">
      <c r="R774" s="30"/>
    </row>
    <row r="775" spans="18:18" ht="15.75" customHeight="1">
      <c r="R775" s="30"/>
    </row>
    <row r="776" spans="18:18" ht="15.75" customHeight="1">
      <c r="R776" s="30"/>
    </row>
    <row r="777" spans="18:18" ht="15.75" customHeight="1">
      <c r="R777" s="30"/>
    </row>
    <row r="778" spans="18:18" ht="15.75" customHeight="1">
      <c r="R778" s="30"/>
    </row>
    <row r="779" spans="18:18" ht="15.75" customHeight="1">
      <c r="R779" s="30"/>
    </row>
    <row r="780" spans="18:18" ht="15.75" customHeight="1">
      <c r="R780" s="30"/>
    </row>
    <row r="781" spans="18:18" ht="15.75" customHeight="1">
      <c r="R781" s="30"/>
    </row>
    <row r="782" spans="18:18" ht="15.75" customHeight="1">
      <c r="R782" s="30"/>
    </row>
    <row r="783" spans="18:18" ht="15.75" customHeight="1">
      <c r="R783" s="30"/>
    </row>
    <row r="784" spans="18:18" ht="15.75" customHeight="1">
      <c r="R784" s="30"/>
    </row>
    <row r="785" spans="18:18" ht="15.75" customHeight="1">
      <c r="R785" s="30"/>
    </row>
    <row r="786" spans="18:18" ht="15.75" customHeight="1">
      <c r="R786" s="30"/>
    </row>
    <row r="787" spans="18:18" ht="15.75" customHeight="1">
      <c r="R787" s="30"/>
    </row>
    <row r="788" spans="18:18" ht="15.75" customHeight="1">
      <c r="R788" s="30"/>
    </row>
    <row r="789" spans="18:18" ht="15.75" customHeight="1">
      <c r="R789" s="30"/>
    </row>
    <row r="790" spans="18:18" ht="15.75" customHeight="1">
      <c r="R790" s="30"/>
    </row>
    <row r="791" spans="18:18" ht="15.75" customHeight="1">
      <c r="R791" s="30"/>
    </row>
    <row r="792" spans="18:18" ht="15.75" customHeight="1">
      <c r="R792" s="30"/>
    </row>
    <row r="793" spans="18:18" ht="15.75" customHeight="1">
      <c r="R793" s="30"/>
    </row>
    <row r="794" spans="18:18" ht="15.75" customHeight="1">
      <c r="R794" s="30"/>
    </row>
    <row r="795" spans="18:18" ht="15.75" customHeight="1">
      <c r="R795" s="30"/>
    </row>
    <row r="796" spans="18:18" ht="15.75" customHeight="1">
      <c r="R796" s="30"/>
    </row>
    <row r="797" spans="18:18" ht="15.75" customHeight="1">
      <c r="R797" s="30"/>
    </row>
    <row r="798" spans="18:18" ht="15.75" customHeight="1">
      <c r="R798" s="30"/>
    </row>
    <row r="799" spans="18:18" ht="15.75" customHeight="1">
      <c r="R799" s="30"/>
    </row>
    <row r="800" spans="18:18" ht="15.75" customHeight="1">
      <c r="R800" s="30"/>
    </row>
    <row r="801" spans="18:18" ht="15.75" customHeight="1">
      <c r="R801" s="30"/>
    </row>
    <row r="802" spans="18:18" ht="15.75" customHeight="1">
      <c r="R802" s="30"/>
    </row>
    <row r="803" spans="18:18" ht="15.75" customHeight="1">
      <c r="R803" s="30"/>
    </row>
    <row r="804" spans="18:18" ht="15.75" customHeight="1">
      <c r="R804" s="30"/>
    </row>
    <row r="805" spans="18:18" ht="15.75" customHeight="1">
      <c r="R805" s="30"/>
    </row>
    <row r="806" spans="18:18" ht="15.75" customHeight="1">
      <c r="R806" s="30"/>
    </row>
    <row r="807" spans="18:18" ht="15.75" customHeight="1">
      <c r="R807" s="30"/>
    </row>
    <row r="808" spans="18:18" ht="15.75" customHeight="1">
      <c r="R808" s="30"/>
    </row>
    <row r="809" spans="18:18" ht="15.75" customHeight="1">
      <c r="R809" s="30"/>
    </row>
    <row r="810" spans="18:18" ht="15.75" customHeight="1">
      <c r="R810" s="30"/>
    </row>
    <row r="811" spans="18:18" ht="15.75" customHeight="1">
      <c r="R811" s="30"/>
    </row>
    <row r="812" spans="18:18" ht="15.75" customHeight="1">
      <c r="R812" s="30"/>
    </row>
    <row r="813" spans="18:18" ht="15.75" customHeight="1">
      <c r="R813" s="30"/>
    </row>
    <row r="814" spans="18:18" ht="15.75" customHeight="1">
      <c r="R814" s="30"/>
    </row>
    <row r="815" spans="18:18" ht="15.75" customHeight="1">
      <c r="R815" s="30"/>
    </row>
    <row r="816" spans="18:18" ht="15.75" customHeight="1">
      <c r="R816" s="30"/>
    </row>
    <row r="817" spans="18:18" ht="15.75" customHeight="1">
      <c r="R817" s="30"/>
    </row>
    <row r="818" spans="18:18" ht="15.75" customHeight="1">
      <c r="R818" s="30"/>
    </row>
    <row r="819" spans="18:18" ht="15.75" customHeight="1">
      <c r="R819" s="30"/>
    </row>
    <row r="820" spans="18:18" ht="15.75" customHeight="1">
      <c r="R820" s="30"/>
    </row>
    <row r="821" spans="18:18" ht="15.75" customHeight="1">
      <c r="R821" s="30"/>
    </row>
    <row r="822" spans="18:18" ht="15.75" customHeight="1">
      <c r="R822" s="30"/>
    </row>
    <row r="823" spans="18:18" ht="15.75" customHeight="1">
      <c r="R823" s="30"/>
    </row>
    <row r="824" spans="18:18" ht="15.75" customHeight="1">
      <c r="R824" s="30"/>
    </row>
    <row r="825" spans="18:18" ht="15.75" customHeight="1">
      <c r="R825" s="30"/>
    </row>
    <row r="826" spans="18:18" ht="15.75" customHeight="1">
      <c r="R826" s="30"/>
    </row>
    <row r="827" spans="18:18" ht="15.75" customHeight="1">
      <c r="R827" s="30"/>
    </row>
    <row r="828" spans="18:18" ht="15.75" customHeight="1">
      <c r="R828" s="30"/>
    </row>
    <row r="829" spans="18:18" ht="15.75" customHeight="1">
      <c r="R829" s="30"/>
    </row>
    <row r="830" spans="18:18" ht="15.75" customHeight="1">
      <c r="R830" s="30"/>
    </row>
    <row r="831" spans="18:18" ht="15.75" customHeight="1">
      <c r="R831" s="30"/>
    </row>
    <row r="832" spans="18:18" ht="15.75" customHeight="1">
      <c r="R832" s="30"/>
    </row>
    <row r="833" spans="18:18" ht="15.75" customHeight="1">
      <c r="R833" s="30"/>
    </row>
    <row r="834" spans="18:18" ht="15.75" customHeight="1">
      <c r="R834" s="30"/>
    </row>
    <row r="835" spans="18:18" ht="15.75" customHeight="1">
      <c r="R835" s="30"/>
    </row>
    <row r="836" spans="18:18" ht="15.75" customHeight="1">
      <c r="R836" s="30"/>
    </row>
    <row r="837" spans="18:18" ht="15.75" customHeight="1">
      <c r="R837" s="30"/>
    </row>
    <row r="838" spans="18:18" ht="15.75" customHeight="1">
      <c r="R838" s="30"/>
    </row>
    <row r="839" spans="18:18" ht="15.75" customHeight="1">
      <c r="R839" s="30"/>
    </row>
    <row r="840" spans="18:18" ht="15.75" customHeight="1">
      <c r="R840" s="30"/>
    </row>
    <row r="841" spans="18:18" ht="15.75" customHeight="1">
      <c r="R841" s="30"/>
    </row>
    <row r="842" spans="18:18" ht="15.75" customHeight="1">
      <c r="R842" s="30"/>
    </row>
    <row r="843" spans="18:18" ht="15.75" customHeight="1">
      <c r="R843" s="30"/>
    </row>
    <row r="844" spans="18:18" ht="15.75" customHeight="1">
      <c r="R844" s="30"/>
    </row>
    <row r="845" spans="18:18" ht="15.75" customHeight="1">
      <c r="R845" s="30"/>
    </row>
    <row r="846" spans="18:18" ht="15.75" customHeight="1">
      <c r="R846" s="30"/>
    </row>
    <row r="847" spans="18:18" ht="15.75" customHeight="1">
      <c r="R847" s="30"/>
    </row>
    <row r="848" spans="18:18" ht="15.75" customHeight="1">
      <c r="R848" s="30"/>
    </row>
    <row r="849" spans="18:18" ht="15.75" customHeight="1">
      <c r="R849" s="30"/>
    </row>
    <row r="850" spans="18:18" ht="15.75" customHeight="1">
      <c r="R850" s="30"/>
    </row>
    <row r="851" spans="18:18" ht="15.75" customHeight="1">
      <c r="R851" s="30"/>
    </row>
    <row r="852" spans="18:18" ht="15.75" customHeight="1">
      <c r="R852" s="30"/>
    </row>
    <row r="853" spans="18:18" ht="15.75" customHeight="1">
      <c r="R853" s="30"/>
    </row>
    <row r="854" spans="18:18" ht="15.75" customHeight="1">
      <c r="R854" s="30"/>
    </row>
    <row r="855" spans="18:18" ht="15.75" customHeight="1">
      <c r="R855" s="30"/>
    </row>
    <row r="856" spans="18:18" ht="15.75" customHeight="1">
      <c r="R856" s="30"/>
    </row>
    <row r="857" spans="18:18" ht="15.75" customHeight="1">
      <c r="R857" s="30"/>
    </row>
    <row r="858" spans="18:18" ht="15.75" customHeight="1">
      <c r="R858" s="30"/>
    </row>
    <row r="859" spans="18:18" ht="15.75" customHeight="1">
      <c r="R859" s="30"/>
    </row>
    <row r="860" spans="18:18" ht="15.75" customHeight="1">
      <c r="R860" s="30"/>
    </row>
    <row r="861" spans="18:18" ht="15.75" customHeight="1">
      <c r="R861" s="30"/>
    </row>
    <row r="862" spans="18:18" ht="15.75" customHeight="1">
      <c r="R862" s="30"/>
    </row>
    <row r="863" spans="18:18" ht="15.75" customHeight="1">
      <c r="R863" s="30"/>
    </row>
    <row r="864" spans="18:18" ht="15.75" customHeight="1">
      <c r="R864" s="30"/>
    </row>
    <row r="865" spans="18:18" ht="15.75" customHeight="1">
      <c r="R865" s="30"/>
    </row>
    <row r="866" spans="18:18" ht="15.75" customHeight="1">
      <c r="R866" s="30"/>
    </row>
    <row r="867" spans="18:18" ht="15.75" customHeight="1">
      <c r="R867" s="30"/>
    </row>
    <row r="868" spans="18:18" ht="15.75" customHeight="1">
      <c r="R868" s="30"/>
    </row>
    <row r="869" spans="18:18" ht="15.75" customHeight="1">
      <c r="R869" s="30"/>
    </row>
    <row r="870" spans="18:18" ht="15.75" customHeight="1">
      <c r="R870" s="30"/>
    </row>
    <row r="871" spans="18:18" ht="15.75" customHeight="1">
      <c r="R871" s="30"/>
    </row>
    <row r="872" spans="18:18" ht="15.75" customHeight="1">
      <c r="R872" s="30"/>
    </row>
    <row r="873" spans="18:18" ht="15.75" customHeight="1">
      <c r="R873" s="30"/>
    </row>
    <row r="874" spans="18:18" ht="15.75" customHeight="1">
      <c r="R874" s="30"/>
    </row>
    <row r="875" spans="18:18" ht="15.75" customHeight="1">
      <c r="R875" s="30"/>
    </row>
    <row r="876" spans="18:18" ht="15.75" customHeight="1">
      <c r="R876" s="30"/>
    </row>
    <row r="877" spans="18:18" ht="15.75" customHeight="1">
      <c r="R877" s="30"/>
    </row>
    <row r="878" spans="18:18" ht="15.75" customHeight="1">
      <c r="R878" s="30"/>
    </row>
    <row r="879" spans="18:18" ht="15.75" customHeight="1">
      <c r="R879" s="30"/>
    </row>
    <row r="880" spans="18:18" ht="15.75" customHeight="1">
      <c r="R880" s="30"/>
    </row>
    <row r="881" spans="18:18" ht="15.75" customHeight="1">
      <c r="R881" s="30"/>
    </row>
    <row r="882" spans="18:18" ht="15.75" customHeight="1">
      <c r="R882" s="30"/>
    </row>
    <row r="883" spans="18:18" ht="15.75" customHeight="1">
      <c r="R883" s="30"/>
    </row>
    <row r="884" spans="18:18" ht="15.75" customHeight="1">
      <c r="R884" s="30"/>
    </row>
    <row r="885" spans="18:18" ht="15.75" customHeight="1">
      <c r="R885" s="30"/>
    </row>
    <row r="886" spans="18:18" ht="15.75" customHeight="1">
      <c r="R886" s="30"/>
    </row>
    <row r="887" spans="18:18" ht="15.75" customHeight="1">
      <c r="R887" s="30"/>
    </row>
    <row r="888" spans="18:18" ht="15.75" customHeight="1">
      <c r="R888" s="30"/>
    </row>
    <row r="889" spans="18:18" ht="15.75" customHeight="1">
      <c r="R889" s="30"/>
    </row>
    <row r="890" spans="18:18" ht="15.75" customHeight="1">
      <c r="R890" s="30"/>
    </row>
    <row r="891" spans="18:18" ht="15.75" customHeight="1">
      <c r="R891" s="30"/>
    </row>
    <row r="892" spans="18:18" ht="15.75" customHeight="1">
      <c r="R892" s="30"/>
    </row>
    <row r="893" spans="18:18" ht="15.75" customHeight="1">
      <c r="R893" s="30"/>
    </row>
    <row r="894" spans="18:18" ht="15.75" customHeight="1">
      <c r="R894" s="30"/>
    </row>
    <row r="895" spans="18:18" ht="15.75" customHeight="1">
      <c r="R895" s="30"/>
    </row>
    <row r="896" spans="18:18" ht="15.75" customHeight="1">
      <c r="R896" s="30"/>
    </row>
    <row r="897" spans="18:18" ht="15.75" customHeight="1">
      <c r="R897" s="30"/>
    </row>
    <row r="898" spans="18:18" ht="15.75" customHeight="1">
      <c r="R898" s="30"/>
    </row>
    <row r="899" spans="18:18" ht="15.75" customHeight="1">
      <c r="R899" s="30"/>
    </row>
    <row r="900" spans="18:18" ht="15.75" customHeight="1">
      <c r="R900" s="30"/>
    </row>
    <row r="901" spans="18:18" ht="15.75" customHeight="1">
      <c r="R901" s="30"/>
    </row>
    <row r="902" spans="18:18" ht="15.75" customHeight="1">
      <c r="R902" s="30"/>
    </row>
    <row r="903" spans="18:18" ht="15.75" customHeight="1">
      <c r="R903" s="30"/>
    </row>
    <row r="904" spans="18:18" ht="15.75" customHeight="1">
      <c r="R904" s="30"/>
    </row>
    <row r="905" spans="18:18" ht="15.75" customHeight="1">
      <c r="R905" s="30"/>
    </row>
    <row r="906" spans="18:18" ht="15.75" customHeight="1">
      <c r="R906" s="30"/>
    </row>
    <row r="907" spans="18:18" ht="15.75" customHeight="1">
      <c r="R907" s="30"/>
    </row>
    <row r="908" spans="18:18" ht="15.75" customHeight="1">
      <c r="R908" s="30"/>
    </row>
    <row r="909" spans="18:18" ht="15.75" customHeight="1">
      <c r="R909" s="30"/>
    </row>
    <row r="910" spans="18:18" ht="15.75" customHeight="1">
      <c r="R910" s="30"/>
    </row>
    <row r="911" spans="18:18" ht="15.75" customHeight="1">
      <c r="R911" s="30"/>
    </row>
    <row r="912" spans="18:18" ht="15.75" customHeight="1">
      <c r="R912" s="30"/>
    </row>
    <row r="913" spans="18:18" ht="15.75" customHeight="1">
      <c r="R913" s="30"/>
    </row>
    <row r="914" spans="18:18" ht="15.75" customHeight="1">
      <c r="R914" s="30"/>
    </row>
    <row r="915" spans="18:18" ht="15.75" customHeight="1">
      <c r="R915" s="30"/>
    </row>
    <row r="916" spans="18:18" ht="15.75" customHeight="1">
      <c r="R916" s="30"/>
    </row>
    <row r="917" spans="18:18" ht="15.75" customHeight="1">
      <c r="R917" s="30"/>
    </row>
    <row r="918" spans="18:18" ht="15.75" customHeight="1">
      <c r="R918" s="30"/>
    </row>
    <row r="919" spans="18:18" ht="15.75" customHeight="1">
      <c r="R919" s="30"/>
    </row>
    <row r="920" spans="18:18" ht="15.75" customHeight="1">
      <c r="R920" s="30"/>
    </row>
    <row r="921" spans="18:18" ht="15.75" customHeight="1">
      <c r="R921" s="30"/>
    </row>
    <row r="922" spans="18:18" ht="15.75" customHeight="1">
      <c r="R922" s="30"/>
    </row>
    <row r="923" spans="18:18" ht="15.75" customHeight="1">
      <c r="R923" s="30"/>
    </row>
    <row r="924" spans="18:18" ht="15.75" customHeight="1">
      <c r="R924" s="30"/>
    </row>
    <row r="925" spans="18:18" ht="15.75" customHeight="1">
      <c r="R925" s="30"/>
    </row>
    <row r="926" spans="18:18" ht="15.75" customHeight="1">
      <c r="R926" s="30"/>
    </row>
    <row r="927" spans="18:18" ht="15.75" customHeight="1">
      <c r="R927" s="30"/>
    </row>
    <row r="928" spans="18:18" ht="15.75" customHeight="1">
      <c r="R928" s="30"/>
    </row>
    <row r="929" spans="18:18" ht="15.75" customHeight="1">
      <c r="R929" s="30"/>
    </row>
    <row r="930" spans="18:18" ht="15.75" customHeight="1">
      <c r="R930" s="30"/>
    </row>
    <row r="931" spans="18:18" ht="15.75" customHeight="1">
      <c r="R931" s="30"/>
    </row>
    <row r="932" spans="18:18" ht="15.75" customHeight="1">
      <c r="R932" s="30"/>
    </row>
    <row r="933" spans="18:18" ht="15.75" customHeight="1">
      <c r="R933" s="30"/>
    </row>
    <row r="934" spans="18:18" ht="15.75" customHeight="1">
      <c r="R934" s="30"/>
    </row>
    <row r="935" spans="18:18" ht="15.75" customHeight="1">
      <c r="R935" s="30"/>
    </row>
    <row r="936" spans="18:18" ht="15.75" customHeight="1">
      <c r="R936" s="30"/>
    </row>
    <row r="937" spans="18:18" ht="15.75" customHeight="1">
      <c r="R937" s="30"/>
    </row>
    <row r="938" spans="18:18" ht="15.75" customHeight="1">
      <c r="R938" s="30"/>
    </row>
    <row r="939" spans="18:18" ht="15.75" customHeight="1">
      <c r="R939" s="30"/>
    </row>
    <row r="940" spans="18:18" ht="15.75" customHeight="1">
      <c r="R940" s="30"/>
    </row>
    <row r="941" spans="18:18" ht="15.75" customHeight="1">
      <c r="R941" s="30"/>
    </row>
    <row r="942" spans="18:18" ht="15.75" customHeight="1">
      <c r="R942" s="30"/>
    </row>
    <row r="943" spans="18:18" ht="15.75" customHeight="1">
      <c r="R943" s="30"/>
    </row>
    <row r="944" spans="18:18" ht="15.75" customHeight="1">
      <c r="R944" s="30"/>
    </row>
    <row r="945" spans="18:18" ht="15.75" customHeight="1">
      <c r="R945" s="30"/>
    </row>
    <row r="946" spans="18:18" ht="15.75" customHeight="1">
      <c r="R946" s="30"/>
    </row>
    <row r="947" spans="18:18" ht="15.75" customHeight="1">
      <c r="R947" s="30"/>
    </row>
    <row r="948" spans="18:18" ht="15.75" customHeight="1">
      <c r="R948" s="30"/>
    </row>
    <row r="949" spans="18:18" ht="15.75" customHeight="1">
      <c r="R949" s="30"/>
    </row>
    <row r="950" spans="18:18" ht="15.75" customHeight="1">
      <c r="R950" s="30"/>
    </row>
    <row r="951" spans="18:18" ht="15.75" customHeight="1">
      <c r="R951" s="30"/>
    </row>
    <row r="952" spans="18:18" ht="15.75" customHeight="1">
      <c r="R952" s="30"/>
    </row>
    <row r="953" spans="18:18" ht="15.75" customHeight="1">
      <c r="R953" s="30"/>
    </row>
    <row r="954" spans="18:18" ht="15.75" customHeight="1">
      <c r="R954" s="30"/>
    </row>
    <row r="955" spans="18:18" ht="15.75" customHeight="1">
      <c r="R955" s="30"/>
    </row>
    <row r="956" spans="18:18" ht="15.75" customHeight="1">
      <c r="R956" s="30"/>
    </row>
    <row r="957" spans="18:18" ht="15.75" customHeight="1">
      <c r="R957" s="30"/>
    </row>
    <row r="958" spans="18:18" ht="15.75" customHeight="1">
      <c r="R958" s="30"/>
    </row>
    <row r="959" spans="18:18" ht="15.75" customHeight="1">
      <c r="R959" s="30"/>
    </row>
    <row r="960" spans="18:18" ht="15.75" customHeight="1">
      <c r="R960" s="30"/>
    </row>
    <row r="961" spans="18:18" ht="15.75" customHeight="1">
      <c r="R961" s="30"/>
    </row>
    <row r="962" spans="18:18" ht="15.75" customHeight="1">
      <c r="R962" s="30"/>
    </row>
    <row r="963" spans="18:18" ht="15.75" customHeight="1">
      <c r="R963" s="30"/>
    </row>
    <row r="964" spans="18:18" ht="15.75" customHeight="1">
      <c r="R964" s="30"/>
    </row>
    <row r="965" spans="18:18" ht="15.75" customHeight="1">
      <c r="R965" s="30"/>
    </row>
    <row r="966" spans="18:18" ht="15.75" customHeight="1">
      <c r="R966" s="30"/>
    </row>
    <row r="967" spans="18:18" ht="15.75" customHeight="1">
      <c r="R967" s="30"/>
    </row>
    <row r="968" spans="18:18" ht="15.75" customHeight="1">
      <c r="R968" s="30"/>
    </row>
    <row r="969" spans="18:18" ht="15.75" customHeight="1">
      <c r="R969" s="30"/>
    </row>
    <row r="970" spans="18:18" ht="15.75" customHeight="1">
      <c r="R970" s="30"/>
    </row>
    <row r="971" spans="18:18" ht="15.75" customHeight="1">
      <c r="R971" s="30"/>
    </row>
    <row r="972" spans="18:18" ht="15.75" customHeight="1">
      <c r="R972" s="30"/>
    </row>
    <row r="973" spans="18:18" ht="15.75" customHeight="1">
      <c r="R973" s="30"/>
    </row>
    <row r="974" spans="18:18" ht="15.75" customHeight="1">
      <c r="R974" s="30"/>
    </row>
    <row r="975" spans="18:18" ht="15.75" customHeight="1">
      <c r="R975" s="30"/>
    </row>
    <row r="976" spans="18:18" ht="15.75" customHeight="1">
      <c r="R976" s="30"/>
    </row>
    <row r="977" spans="18:18" ht="15.75" customHeight="1">
      <c r="R977" s="30"/>
    </row>
    <row r="978" spans="18:18" ht="15.75" customHeight="1">
      <c r="R978" s="30"/>
    </row>
    <row r="979" spans="18:18" ht="15.75" customHeight="1">
      <c r="R979" s="30"/>
    </row>
    <row r="980" spans="18:18" ht="15.75" customHeight="1">
      <c r="R980" s="30"/>
    </row>
    <row r="981" spans="18:18" ht="15.75" customHeight="1">
      <c r="R981" s="30"/>
    </row>
    <row r="982" spans="18:18" ht="15.75" customHeight="1">
      <c r="R982" s="30"/>
    </row>
    <row r="983" spans="18:18" ht="15.75" customHeight="1">
      <c r="R983" s="30"/>
    </row>
    <row r="984" spans="18:18" ht="15.75" customHeight="1">
      <c r="R984" s="30"/>
    </row>
    <row r="985" spans="18:18" ht="15.75" customHeight="1">
      <c r="R985" s="30"/>
    </row>
    <row r="986" spans="18:18" ht="15.75" customHeight="1">
      <c r="R986" s="30"/>
    </row>
    <row r="987" spans="18:18" ht="15.75" customHeight="1">
      <c r="R987" s="30"/>
    </row>
    <row r="988" spans="18:18" ht="15.75" customHeight="1">
      <c r="R988" s="30"/>
    </row>
    <row r="989" spans="18:18" ht="15.75" customHeight="1">
      <c r="R989" s="30"/>
    </row>
    <row r="990" spans="18:18" ht="15.75" customHeight="1">
      <c r="R990" s="30"/>
    </row>
    <row r="991" spans="18:18" ht="15.75" customHeight="1">
      <c r="R991" s="30"/>
    </row>
    <row r="992" spans="18:18" ht="15.75" customHeight="1">
      <c r="R992" s="30"/>
    </row>
    <row r="993" spans="18:18" ht="15.75" customHeight="1">
      <c r="R993" s="30"/>
    </row>
    <row r="994" spans="18:18" ht="15.75" customHeight="1">
      <c r="R994" s="30"/>
    </row>
    <row r="995" spans="18:18" ht="15.75" customHeight="1">
      <c r="R995" s="30"/>
    </row>
    <row r="996" spans="18:18" ht="15.75" customHeight="1">
      <c r="R996" s="30"/>
    </row>
    <row r="997" spans="18:18" ht="15.75" customHeight="1">
      <c r="R997" s="30"/>
    </row>
    <row r="998" spans="18:18" ht="15.75" customHeight="1">
      <c r="R998" s="30"/>
    </row>
    <row r="999" spans="18:18" ht="15.75" customHeight="1">
      <c r="R999" s="30"/>
    </row>
    <row r="1000" spans="18:18" ht="15.75" customHeight="1">
      <c r="R1000" s="3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2.6640625" defaultRowHeight="15" customHeight="1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8.6640625" customWidth="1"/>
    <col min="6" max="6" width="9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16.33203125" customWidth="1"/>
    <col min="16" max="16" width="10" customWidth="1"/>
    <col min="17" max="18" width="7.33203125" customWidth="1"/>
    <col min="19" max="19" width="7.1640625" customWidth="1"/>
    <col min="20" max="20" width="11.1640625" customWidth="1"/>
    <col min="21" max="21" width="19.33203125" customWidth="1"/>
    <col min="22" max="22" width="64.664062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6640625" customWidth="1"/>
    <col min="32" max="32" width="10.1640625" customWidth="1"/>
    <col min="33" max="33" width="8.83203125" customWidth="1"/>
  </cols>
  <sheetData>
    <row r="1" spans="1:33" ht="18.75" customHeight="1">
      <c r="A1" s="46" t="str">
        <f ca="1">IFERROR(__xludf.DUMMYFUNCTION("IFERROR(VLOOKUP(B2,IMPORTRANGE(""https://docs.google.com/spreadsheets/d/1x0DhHglkXKoEBOD2MBsuK_EyIr1ouxD2ftIpqOYFa-k/edit?usp=sharing"",""Ubiquitty-SKU-Specific Info!B1:BJ5000""),3,FALSE),"""")"),"Pack of 2 50 Ft Black Extension Cord - 12/3 SJTW Heavy Duty Outdoor Cable with 3 Prong Grounded Plug for Safety")</f>
        <v>Pack of 2 50 Ft Black Extension Cord - 12/3 SJTW Heavy Duty Outdoor Cable with 3 Prong Grounded Plug for Safety</v>
      </c>
      <c r="B1" s="47"/>
      <c r="C1" s="48" t="s">
        <v>0</v>
      </c>
      <c r="D1" s="50" t="s">
        <v>1</v>
      </c>
      <c r="E1" s="50" t="s">
        <v>2</v>
      </c>
      <c r="F1" s="52" t="s">
        <v>3</v>
      </c>
      <c r="G1" s="52" t="s">
        <v>4</v>
      </c>
      <c r="H1" s="53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58" t="s">
        <v>10</v>
      </c>
      <c r="N1" s="59" t="s">
        <v>11</v>
      </c>
      <c r="O1" s="50" t="s">
        <v>12</v>
      </c>
      <c r="P1" s="50" t="s">
        <v>13</v>
      </c>
      <c r="Q1" s="57" t="s">
        <v>14</v>
      </c>
      <c r="R1" s="57" t="s">
        <v>15</v>
      </c>
      <c r="S1" s="60" t="s">
        <v>16</v>
      </c>
      <c r="T1" s="62" t="s">
        <v>2006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Info!B1:BJ5000""),2,FALSE),"""")"),"B08FXNQDQ3")</f>
        <v>B08FXNQDQ3</v>
      </c>
      <c r="B2" s="3" t="s">
        <v>797</v>
      </c>
      <c r="C2" s="49"/>
      <c r="D2" s="49"/>
      <c r="E2" s="51"/>
      <c r="F2" s="49"/>
      <c r="G2" s="49"/>
      <c r="H2" s="54"/>
      <c r="I2" s="49"/>
      <c r="J2" s="49"/>
      <c r="K2" s="54"/>
      <c r="L2" s="54"/>
      <c r="M2" s="54"/>
      <c r="N2" s="49"/>
      <c r="O2" s="49"/>
      <c r="P2" s="51"/>
      <c r="Q2" s="49"/>
      <c r="R2" s="49"/>
      <c r="S2" s="61"/>
      <c r="T2" s="47"/>
      <c r="U2" s="63"/>
      <c r="V2" s="63"/>
      <c r="W2" s="47"/>
      <c r="X2" s="47"/>
      <c r="Y2" s="47"/>
      <c r="Z2" s="47"/>
      <c r="AA2" s="63"/>
      <c r="AB2" s="63"/>
      <c r="AC2" s="63"/>
      <c r="AD2" s="63"/>
      <c r="AE2" s="47"/>
      <c r="AF2" s="47"/>
      <c r="AG2" s="47"/>
    </row>
    <row r="3" spans="1:33" ht="134.25" customHeight="1">
      <c r="A3" s="55" t="s">
        <v>31</v>
      </c>
      <c r="B3" s="56"/>
      <c r="C3" s="4">
        <f>((AE32+AF32)/0.85)*-1</f>
        <v>53.453872941176478</v>
      </c>
      <c r="D3" s="5">
        <f>SUM(D4:D99765)</f>
        <v>304</v>
      </c>
      <c r="E3" s="5"/>
      <c r="F3" s="6">
        <f t="shared" ref="F3:G3" si="0">SUM(F4:F99765)</f>
        <v>21179.739999999998</v>
      </c>
      <c r="G3" s="6">
        <f t="shared" si="0"/>
        <v>-0.12000000000000001</v>
      </c>
      <c r="H3" s="7">
        <f t="shared" ref="H3:H32" si="1">G3/F3*-1</f>
        <v>5.6657919313457119E-6</v>
      </c>
      <c r="I3" s="8">
        <f t="shared" ref="I3:I32" si="2">J3/F3</f>
        <v>0.16499750145867217</v>
      </c>
      <c r="J3" s="6">
        <f>SUM(J4:J99765)</f>
        <v>3494.6041815442968</v>
      </c>
      <c r="K3" s="6">
        <f t="shared" ref="K3:K32" si="3">J3/D3</f>
        <v>11.49540849192203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1 - April
1 - May
1 - June
1 - July
1 - Aug
1 - Sept
1 - Oct
1 - Nov
1 - Dec
 - Jan
 - Feb")</f>
        <v xml:space="preserve"> - March
1 - April
1 - May
1 - June
1 - July
1 - Aug
1 - Sept
1 - Oct
1 - Nov
1 -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0</v>
      </c>
      <c r="X3" s="7">
        <f>W3/D3</f>
        <v>0</v>
      </c>
      <c r="Y3" s="6"/>
      <c r="Z3" s="5"/>
      <c r="AA3" s="5"/>
      <c r="AB3" s="5"/>
      <c r="AC3" s="5"/>
      <c r="AD3" s="6">
        <f>SUM(AD4:AD99765)</f>
        <v>-191.49445814800677</v>
      </c>
      <c r="AE3" s="6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Info!B2:BZ3000""),37,FALSE)),"""")*-1"),-36.455792)</f>
        <v>-36.455792000000002</v>
      </c>
      <c r="AG3" s="6">
        <f>SUM(AG4:AG99765)</f>
        <v>0</v>
      </c>
    </row>
    <row r="4" spans="1:33" ht="15.75" customHeight="1">
      <c r="A4" s="14" t="s">
        <v>181</v>
      </c>
      <c r="B4" s="14" t="s">
        <v>83</v>
      </c>
      <c r="C4" s="15">
        <f t="shared" ref="C4:C32" si="4">IFERROR(F4/D4," - ")</f>
        <v>49.99</v>
      </c>
      <c r="D4" s="16">
        <v>3</v>
      </c>
      <c r="E4" s="16">
        <v>0</v>
      </c>
      <c r="F4" s="17">
        <v>149.97</v>
      </c>
      <c r="G4" s="17">
        <v>0</v>
      </c>
      <c r="H4" s="18">
        <f t="shared" si="1"/>
        <v>0</v>
      </c>
      <c r="I4" s="18">
        <f t="shared" si="2"/>
        <v>-9.4292102970380431E-2</v>
      </c>
      <c r="J4" s="17">
        <f t="shared" ref="J4:J32" si="5">F4*0.85+G4+AF4*D4+D4*AE4+AG4+AD4</f>
        <v>-14.140986682467954</v>
      </c>
      <c r="K4" s="17">
        <f t="shared" si="3"/>
        <v>-4.7136622274893183</v>
      </c>
      <c r="L4" s="16">
        <v>14</v>
      </c>
      <c r="M4" s="19">
        <f t="shared" ref="M4:M32" si="6">IFERROR(D4/L4,"-")</f>
        <v>0.21428571428571427</v>
      </c>
      <c r="N4" s="16">
        <v>77</v>
      </c>
      <c r="O4" s="20">
        <f t="shared" ref="O4:P4" si="7">D4/7</f>
        <v>0.42857142857142855</v>
      </c>
      <c r="P4" s="20">
        <f t="shared" si="7"/>
        <v>0</v>
      </c>
      <c r="Q4" s="16">
        <f t="shared" ref="Q4:Q32" si="8">ROUNDDOWN(N4/(O4+P4),0)</f>
        <v>179</v>
      </c>
      <c r="R4" s="16"/>
      <c r="S4" s="21">
        <v>0.66019417475728104</v>
      </c>
      <c r="T4" s="14">
        <v>200</v>
      </c>
      <c r="U4" s="22">
        <v>80</v>
      </c>
      <c r="V4" s="23" t="s">
        <v>798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26" t="s">
        <v>35</v>
      </c>
      <c r="AB4" s="27">
        <f t="shared" ref="AB4:AB32" si="11">IF(OR(AA4="UsLargeStandardSize",AA4="UsSmallStandardSize"),-0.69,-0.48)</f>
        <v>-0.69</v>
      </c>
      <c r="AC4" s="28">
        <v>0.44930001620370369</v>
      </c>
      <c r="AD4" s="25">
        <f t="shared" ref="AD4:AD32" si="12">IFERROR(AB4*AC4*D4*2,0)</f>
        <v>-1.860102067083333</v>
      </c>
      <c r="AE4" s="25">
        <v>-9.6</v>
      </c>
      <c r="AF4" s="25">
        <v>-36.985128205128206</v>
      </c>
      <c r="AG4" s="25">
        <v>0</v>
      </c>
    </row>
    <row r="5" spans="1:33" ht="15.75" customHeight="1">
      <c r="A5" s="14" t="s">
        <v>183</v>
      </c>
      <c r="B5" s="14" t="s">
        <v>799</v>
      </c>
      <c r="C5" s="15">
        <f t="shared" si="4"/>
        <v>49.989999999999974</v>
      </c>
      <c r="D5" s="16">
        <v>54</v>
      </c>
      <c r="E5" s="16">
        <v>0</v>
      </c>
      <c r="F5" s="29">
        <v>2699.4599999999987</v>
      </c>
      <c r="G5" s="29">
        <v>0</v>
      </c>
      <c r="H5" s="18">
        <f t="shared" si="1"/>
        <v>0</v>
      </c>
      <c r="I5" s="18">
        <f t="shared" si="2"/>
        <v>-9.4306475115316549E-2</v>
      </c>
      <c r="J5" s="17">
        <f t="shared" si="5"/>
        <v>-254.5765573147923</v>
      </c>
      <c r="K5" s="17">
        <f t="shared" si="3"/>
        <v>-4.7143806910146724</v>
      </c>
      <c r="L5" s="16">
        <v>84</v>
      </c>
      <c r="M5" s="19">
        <f t="shared" si="6"/>
        <v>0.6428571428571429</v>
      </c>
      <c r="N5" s="16">
        <v>43</v>
      </c>
      <c r="O5" s="20">
        <f t="shared" ref="O5:P5" si="13">D5/7</f>
        <v>7.7142857142857144</v>
      </c>
      <c r="P5" s="20">
        <f t="shared" si="13"/>
        <v>0</v>
      </c>
      <c r="Q5" s="16">
        <f t="shared" si="8"/>
        <v>5</v>
      </c>
      <c r="R5" s="16"/>
      <c r="S5" s="21">
        <v>3.7777777777777701</v>
      </c>
      <c r="T5" s="14">
        <v>200</v>
      </c>
      <c r="U5" s="22">
        <v>80</v>
      </c>
      <c r="V5" s="23" t="s">
        <v>798</v>
      </c>
      <c r="W5" s="14">
        <v>0</v>
      </c>
      <c r="X5" s="24">
        <f t="shared" si="9"/>
        <v>0</v>
      </c>
      <c r="Y5" s="25">
        <f t="shared" si="10"/>
        <v>0</v>
      </c>
      <c r="Z5" s="14">
        <v>0</v>
      </c>
      <c r="AA5" s="14" t="s">
        <v>35</v>
      </c>
      <c r="AB5" s="27">
        <f t="shared" si="11"/>
        <v>-0.69</v>
      </c>
      <c r="AC5" s="28">
        <v>0.44982064194669752</v>
      </c>
      <c r="AD5" s="25">
        <f t="shared" si="12"/>
        <v>-33.520634237867895</v>
      </c>
      <c r="AE5" s="25">
        <v>-9.6</v>
      </c>
      <c r="AF5" s="25">
        <v>-36.985128205128206</v>
      </c>
      <c r="AG5" s="25">
        <v>0</v>
      </c>
    </row>
    <row r="6" spans="1:33" ht="15.75" customHeight="1">
      <c r="A6" s="14" t="s">
        <v>185</v>
      </c>
      <c r="B6" s="14" t="s">
        <v>800</v>
      </c>
      <c r="C6" s="15">
        <f t="shared" si="4"/>
        <v>55.171818181818146</v>
      </c>
      <c r="D6" s="16">
        <v>44</v>
      </c>
      <c r="E6" s="16">
        <v>0</v>
      </c>
      <c r="F6" s="29">
        <v>2427.5599999999986</v>
      </c>
      <c r="G6" s="29">
        <v>0</v>
      </c>
      <c r="H6" s="18">
        <f t="shared" si="1"/>
        <v>0</v>
      </c>
      <c r="I6" s="18">
        <f t="shared" si="2"/>
        <v>-5.602801994402341E-3</v>
      </c>
      <c r="J6" s="17">
        <f t="shared" si="5"/>
        <v>-13.60113800953134</v>
      </c>
      <c r="K6" s="17">
        <f t="shared" si="3"/>
        <v>-0.30911677294389411</v>
      </c>
      <c r="L6" s="16">
        <v>80</v>
      </c>
      <c r="M6" s="19">
        <f t="shared" si="6"/>
        <v>0.55000000000000004</v>
      </c>
      <c r="N6" s="16">
        <v>5</v>
      </c>
      <c r="O6" s="20">
        <f t="shared" ref="O6:P6" si="14">D6/7</f>
        <v>6.2857142857142856</v>
      </c>
      <c r="P6" s="20">
        <f t="shared" si="14"/>
        <v>0</v>
      </c>
      <c r="Q6" s="16">
        <f t="shared" si="8"/>
        <v>0</v>
      </c>
      <c r="R6" s="16"/>
      <c r="S6" s="21">
        <v>26.933333333333302</v>
      </c>
      <c r="T6" s="14">
        <v>120</v>
      </c>
      <c r="U6" s="22" t="s">
        <v>34</v>
      </c>
      <c r="V6" s="23" t="s">
        <v>186</v>
      </c>
      <c r="W6" s="14">
        <v>0</v>
      </c>
      <c r="X6" s="24">
        <f t="shared" si="9"/>
        <v>0</v>
      </c>
      <c r="Y6" s="25">
        <f t="shared" si="10"/>
        <v>0</v>
      </c>
      <c r="Z6" s="14">
        <v>0</v>
      </c>
      <c r="AA6" s="14" t="s">
        <v>35</v>
      </c>
      <c r="AB6" s="27">
        <f t="shared" si="11"/>
        <v>-0.69</v>
      </c>
      <c r="AC6" s="28">
        <v>0.44930001620370369</v>
      </c>
      <c r="AD6" s="25">
        <f t="shared" si="12"/>
        <v>-27.281496983888886</v>
      </c>
      <c r="AE6" s="25">
        <v>-9.6</v>
      </c>
      <c r="AF6" s="25">
        <v>-36.985128205128206</v>
      </c>
      <c r="AG6" s="25">
        <v>0</v>
      </c>
    </row>
    <row r="7" spans="1:33" ht="15.75" customHeight="1">
      <c r="A7" s="14" t="s">
        <v>187</v>
      </c>
      <c r="B7" s="14" t="s">
        <v>801</v>
      </c>
      <c r="C7" s="15">
        <f t="shared" si="4"/>
        <v>59.656666666666666</v>
      </c>
      <c r="D7" s="16">
        <v>12</v>
      </c>
      <c r="E7" s="16">
        <v>0</v>
      </c>
      <c r="F7" s="29">
        <v>715.88</v>
      </c>
      <c r="G7" s="29">
        <v>0</v>
      </c>
      <c r="H7" s="18">
        <f t="shared" si="1"/>
        <v>0</v>
      </c>
      <c r="I7" s="18">
        <f t="shared" si="2"/>
        <v>5.8719412848701108E-2</v>
      </c>
      <c r="J7" s="17">
        <f t="shared" si="5"/>
        <v>42.03605327012815</v>
      </c>
      <c r="K7" s="17">
        <f t="shared" si="3"/>
        <v>3.5030044391773458</v>
      </c>
      <c r="L7" s="16">
        <v>42</v>
      </c>
      <c r="M7" s="19">
        <f t="shared" si="6"/>
        <v>0.2857142857142857</v>
      </c>
      <c r="N7" s="16">
        <v>24</v>
      </c>
      <c r="O7" s="20">
        <f t="shared" ref="O7:P7" si="15">D7/7</f>
        <v>1.7142857142857142</v>
      </c>
      <c r="P7" s="20">
        <f t="shared" si="15"/>
        <v>0</v>
      </c>
      <c r="Q7" s="16">
        <f t="shared" si="8"/>
        <v>14</v>
      </c>
      <c r="R7" s="16"/>
      <c r="S7" s="21">
        <v>3.2925170068027199</v>
      </c>
      <c r="T7" s="14">
        <v>120</v>
      </c>
      <c r="U7" s="22" t="s">
        <v>34</v>
      </c>
      <c r="V7" s="23" t="s">
        <v>186</v>
      </c>
      <c r="W7" s="14">
        <v>0</v>
      </c>
      <c r="X7" s="24">
        <f t="shared" si="9"/>
        <v>0</v>
      </c>
      <c r="Y7" s="25">
        <f t="shared" si="10"/>
        <v>0</v>
      </c>
      <c r="Z7" s="14">
        <v>0</v>
      </c>
      <c r="AA7" s="14" t="s">
        <v>35</v>
      </c>
      <c r="AB7" s="27">
        <f t="shared" si="11"/>
        <v>-0.69</v>
      </c>
      <c r="AC7" s="28">
        <v>0.44930001620370369</v>
      </c>
      <c r="AD7" s="25">
        <f t="shared" si="12"/>
        <v>-7.4404082683333321</v>
      </c>
      <c r="AE7" s="25">
        <v>-9.6</v>
      </c>
      <c r="AF7" s="25">
        <v>-36.985128205128206</v>
      </c>
      <c r="AG7" s="25">
        <v>0</v>
      </c>
    </row>
    <row r="8" spans="1:33" ht="15.75" customHeight="1">
      <c r="A8" s="14" t="s">
        <v>189</v>
      </c>
      <c r="B8" s="14" t="s">
        <v>802</v>
      </c>
      <c r="C8" s="15">
        <f t="shared" si="4"/>
        <v>73.12444444444445</v>
      </c>
      <c r="D8" s="16">
        <v>9</v>
      </c>
      <c r="E8" s="16">
        <v>0</v>
      </c>
      <c r="F8" s="29">
        <v>658.12</v>
      </c>
      <c r="G8" s="29">
        <v>0</v>
      </c>
      <c r="H8" s="18">
        <f t="shared" si="1"/>
        <v>0</v>
      </c>
      <c r="I8" s="18">
        <f t="shared" si="2"/>
        <v>0.20417547978712097</v>
      </c>
      <c r="J8" s="17">
        <f t="shared" si="5"/>
        <v>134.37196675750005</v>
      </c>
      <c r="K8" s="17">
        <f t="shared" si="3"/>
        <v>14.930218528611116</v>
      </c>
      <c r="L8" s="16">
        <v>13</v>
      </c>
      <c r="M8" s="19">
        <f t="shared" si="6"/>
        <v>0.69230769230769229</v>
      </c>
      <c r="N8" s="16">
        <v>14</v>
      </c>
      <c r="O8" s="20">
        <f t="shared" ref="O8:P8" si="16">D8/7</f>
        <v>1.2857142857142858</v>
      </c>
      <c r="P8" s="20">
        <f t="shared" si="16"/>
        <v>0</v>
      </c>
      <c r="Q8" s="16">
        <f t="shared" si="8"/>
        <v>10</v>
      </c>
      <c r="R8" s="16"/>
      <c r="S8" s="21">
        <v>4.5423728813559299</v>
      </c>
      <c r="T8" s="14">
        <v>240</v>
      </c>
      <c r="U8" s="22" t="s">
        <v>34</v>
      </c>
      <c r="V8" s="23" t="s">
        <v>34</v>
      </c>
      <c r="W8" s="14">
        <v>0</v>
      </c>
      <c r="X8" s="24">
        <f t="shared" si="9"/>
        <v>0</v>
      </c>
      <c r="Y8" s="25">
        <f t="shared" si="10"/>
        <v>0</v>
      </c>
      <c r="Z8" s="14">
        <v>0</v>
      </c>
      <c r="AA8" s="14" t="s">
        <v>35</v>
      </c>
      <c r="AB8" s="27">
        <f t="shared" si="11"/>
        <v>-0.69</v>
      </c>
      <c r="AC8" s="28">
        <v>0.46055018055555552</v>
      </c>
      <c r="AD8" s="25">
        <f t="shared" si="12"/>
        <v>-5.7200332424999996</v>
      </c>
      <c r="AE8" s="25">
        <v>-9.6</v>
      </c>
      <c r="AF8" s="25">
        <v>-36.99</v>
      </c>
      <c r="AG8" s="25">
        <v>0</v>
      </c>
    </row>
    <row r="9" spans="1:33" ht="15.75" customHeight="1">
      <c r="A9" s="14" t="s">
        <v>191</v>
      </c>
      <c r="B9" s="14" t="s">
        <v>803</v>
      </c>
      <c r="C9" s="15">
        <f t="shared" si="4"/>
        <v>80.933750000000003</v>
      </c>
      <c r="D9" s="16">
        <v>8</v>
      </c>
      <c r="E9" s="16">
        <v>0</v>
      </c>
      <c r="F9" s="29">
        <v>647.47</v>
      </c>
      <c r="G9" s="29">
        <v>0</v>
      </c>
      <c r="H9" s="18">
        <f t="shared" si="1"/>
        <v>0</v>
      </c>
      <c r="I9" s="18">
        <f t="shared" si="2"/>
        <v>0.25938815952506261</v>
      </c>
      <c r="J9" s="17">
        <f t="shared" si="5"/>
        <v>167.94605164769229</v>
      </c>
      <c r="K9" s="17">
        <f t="shared" si="3"/>
        <v>20.993256455961536</v>
      </c>
      <c r="L9" s="16">
        <v>20</v>
      </c>
      <c r="M9" s="19">
        <f t="shared" si="6"/>
        <v>0.4</v>
      </c>
      <c r="N9" s="16">
        <v>6</v>
      </c>
      <c r="O9" s="20">
        <f t="shared" ref="O9:P9" si="17">D9/7</f>
        <v>1.1428571428571428</v>
      </c>
      <c r="P9" s="20">
        <f t="shared" si="17"/>
        <v>0</v>
      </c>
      <c r="Q9" s="16">
        <f t="shared" si="8"/>
        <v>5</v>
      </c>
      <c r="R9" s="16"/>
      <c r="S9" s="21">
        <v>8.4117647058823497</v>
      </c>
      <c r="T9" s="14">
        <v>240</v>
      </c>
      <c r="U9" s="22" t="s">
        <v>34</v>
      </c>
      <c r="V9" s="23" t="s">
        <v>34</v>
      </c>
      <c r="W9" s="14">
        <v>0</v>
      </c>
      <c r="X9" s="24">
        <f t="shared" si="9"/>
        <v>0</v>
      </c>
      <c r="Y9" s="25">
        <f t="shared" si="10"/>
        <v>0</v>
      </c>
      <c r="Z9" s="14">
        <v>0</v>
      </c>
      <c r="AA9" s="14" t="s">
        <v>35</v>
      </c>
      <c r="AB9" s="27">
        <f t="shared" si="11"/>
        <v>-0.69</v>
      </c>
      <c r="AC9" s="28">
        <v>0.46055018055555552</v>
      </c>
      <c r="AD9" s="25">
        <f t="shared" si="12"/>
        <v>-5.0844739933333329</v>
      </c>
      <c r="AE9" s="25">
        <v>-9.6</v>
      </c>
      <c r="AF9" s="25">
        <v>-37.564871794871799</v>
      </c>
      <c r="AG9" s="25">
        <v>0</v>
      </c>
    </row>
    <row r="10" spans="1:33" ht="15.75" customHeight="1">
      <c r="A10" s="14" t="s">
        <v>192</v>
      </c>
      <c r="B10" s="14" t="s">
        <v>68</v>
      </c>
      <c r="C10" s="15">
        <f t="shared" si="4"/>
        <v>81.484999999999999</v>
      </c>
      <c r="D10" s="16">
        <v>4</v>
      </c>
      <c r="E10" s="16">
        <v>0</v>
      </c>
      <c r="F10" s="29">
        <v>325.94</v>
      </c>
      <c r="G10" s="29">
        <v>0</v>
      </c>
      <c r="H10" s="18">
        <f t="shared" si="1"/>
        <v>0</v>
      </c>
      <c r="I10" s="18">
        <f t="shared" si="2"/>
        <v>0.26338367743709301</v>
      </c>
      <c r="J10" s="17">
        <f t="shared" si="5"/>
        <v>85.847275823846104</v>
      </c>
      <c r="K10" s="17">
        <f t="shared" si="3"/>
        <v>21.461818955961526</v>
      </c>
      <c r="L10" s="16">
        <v>17</v>
      </c>
      <c r="M10" s="19">
        <f t="shared" si="6"/>
        <v>0.23529411764705882</v>
      </c>
      <c r="N10" s="16">
        <v>50</v>
      </c>
      <c r="O10" s="20">
        <f t="shared" ref="O10:P10" si="18">D10/7</f>
        <v>0.5714285714285714</v>
      </c>
      <c r="P10" s="20">
        <f t="shared" si="18"/>
        <v>0</v>
      </c>
      <c r="Q10" s="16">
        <f t="shared" si="8"/>
        <v>87</v>
      </c>
      <c r="R10" s="16"/>
      <c r="S10" s="21">
        <v>8.6956521739130395</v>
      </c>
      <c r="T10" s="14">
        <v>120</v>
      </c>
      <c r="U10" s="22">
        <v>120</v>
      </c>
      <c r="V10" s="23" t="s">
        <v>804</v>
      </c>
      <c r="W10" s="14">
        <v>0</v>
      </c>
      <c r="X10" s="24">
        <f t="shared" si="9"/>
        <v>0</v>
      </c>
      <c r="Y10" s="25">
        <f t="shared" si="10"/>
        <v>0</v>
      </c>
      <c r="Z10" s="14">
        <v>0</v>
      </c>
      <c r="AA10" s="14" t="s">
        <v>35</v>
      </c>
      <c r="AB10" s="27">
        <f t="shared" si="11"/>
        <v>-0.69</v>
      </c>
      <c r="AC10" s="28">
        <v>0.46055018055555552</v>
      </c>
      <c r="AD10" s="25">
        <f t="shared" si="12"/>
        <v>-2.5422369966666665</v>
      </c>
      <c r="AE10" s="25">
        <v>-9.6</v>
      </c>
      <c r="AF10" s="25">
        <v>-37.564871794871799</v>
      </c>
      <c r="AG10" s="25">
        <v>0</v>
      </c>
    </row>
    <row r="11" spans="1:33" ht="15.75" customHeight="1">
      <c r="A11" s="14" t="s">
        <v>193</v>
      </c>
      <c r="B11" s="14" t="s">
        <v>805</v>
      </c>
      <c r="C11" s="15">
        <f t="shared" si="4"/>
        <v>94.06</v>
      </c>
      <c r="D11" s="16">
        <v>1</v>
      </c>
      <c r="E11" s="16">
        <v>0</v>
      </c>
      <c r="F11" s="29">
        <v>94.06</v>
      </c>
      <c r="G11" s="29">
        <v>0</v>
      </c>
      <c r="H11" s="18">
        <f t="shared" si="1"/>
        <v>0</v>
      </c>
      <c r="I11" s="18">
        <f t="shared" si="2"/>
        <v>0.34180915326346506</v>
      </c>
      <c r="J11" s="17">
        <f t="shared" si="5"/>
        <v>32.150568955961525</v>
      </c>
      <c r="K11" s="17">
        <f t="shared" si="3"/>
        <v>32.150568955961525</v>
      </c>
      <c r="L11" s="16">
        <v>13</v>
      </c>
      <c r="M11" s="19">
        <f t="shared" si="6"/>
        <v>7.6923076923076927E-2</v>
      </c>
      <c r="N11" s="16">
        <v>50</v>
      </c>
      <c r="O11" s="20">
        <f t="shared" ref="O11:P11" si="19">D11/7</f>
        <v>0.14285714285714285</v>
      </c>
      <c r="P11" s="20">
        <f t="shared" si="19"/>
        <v>0</v>
      </c>
      <c r="Q11" s="16">
        <f t="shared" si="8"/>
        <v>350</v>
      </c>
      <c r="R11" s="16"/>
      <c r="S11" s="21">
        <v>2.98507462686567</v>
      </c>
      <c r="T11" s="14">
        <v>180</v>
      </c>
      <c r="U11" s="22">
        <v>120</v>
      </c>
      <c r="V11" s="23" t="s">
        <v>804</v>
      </c>
      <c r="W11" s="14">
        <v>0</v>
      </c>
      <c r="X11" s="24">
        <f t="shared" si="9"/>
        <v>0</v>
      </c>
      <c r="Y11" s="25">
        <f t="shared" si="10"/>
        <v>0</v>
      </c>
      <c r="Z11" s="14">
        <v>0</v>
      </c>
      <c r="AA11" s="14" t="s">
        <v>35</v>
      </c>
      <c r="AB11" s="27">
        <f t="shared" si="11"/>
        <v>-0.69</v>
      </c>
      <c r="AC11" s="28">
        <v>0.46055018055555552</v>
      </c>
      <c r="AD11" s="25">
        <f t="shared" si="12"/>
        <v>-0.63555924916666662</v>
      </c>
      <c r="AE11" s="25">
        <v>-9.6</v>
      </c>
      <c r="AF11" s="25">
        <v>-37.564871794871799</v>
      </c>
      <c r="AG11" s="25">
        <v>0</v>
      </c>
    </row>
    <row r="12" spans="1:33" ht="15.75" customHeight="1">
      <c r="A12" s="14" t="s">
        <v>195</v>
      </c>
      <c r="B12" s="14" t="s">
        <v>806</v>
      </c>
      <c r="C12" s="15">
        <f t="shared" si="4"/>
        <v>79.88</v>
      </c>
      <c r="D12" s="16">
        <v>1</v>
      </c>
      <c r="E12" s="16">
        <v>0</v>
      </c>
      <c r="F12" s="29">
        <v>79.88</v>
      </c>
      <c r="G12" s="29">
        <v>-0.05</v>
      </c>
      <c r="H12" s="18">
        <f t="shared" si="1"/>
        <v>6.2593890836254386E-4</v>
      </c>
      <c r="I12" s="18">
        <f t="shared" si="2"/>
        <v>0.25097106855234769</v>
      </c>
      <c r="J12" s="17">
        <f t="shared" si="5"/>
        <v>20.04756895596153</v>
      </c>
      <c r="K12" s="17">
        <f t="shared" si="3"/>
        <v>20.04756895596153</v>
      </c>
      <c r="L12" s="16">
        <v>8</v>
      </c>
      <c r="M12" s="19">
        <f t="shared" si="6"/>
        <v>0.125</v>
      </c>
      <c r="N12" s="16">
        <v>48</v>
      </c>
      <c r="O12" s="20">
        <f t="shared" ref="O12:P12" si="20">D12/7</f>
        <v>0.14285714285714285</v>
      </c>
      <c r="P12" s="20">
        <f t="shared" si="20"/>
        <v>0</v>
      </c>
      <c r="Q12" s="16">
        <f t="shared" si="8"/>
        <v>336</v>
      </c>
      <c r="R12" s="16"/>
      <c r="S12" s="21">
        <v>3.5321637426900501</v>
      </c>
      <c r="T12" s="14">
        <v>180</v>
      </c>
      <c r="U12" s="22">
        <v>120</v>
      </c>
      <c r="V12" s="23" t="s">
        <v>807</v>
      </c>
      <c r="W12" s="14">
        <v>0</v>
      </c>
      <c r="X12" s="24">
        <f t="shared" si="9"/>
        <v>0</v>
      </c>
      <c r="Y12" s="25">
        <f t="shared" si="10"/>
        <v>0</v>
      </c>
      <c r="Z12" s="14">
        <v>0</v>
      </c>
      <c r="AA12" s="14" t="s">
        <v>35</v>
      </c>
      <c r="AB12" s="27">
        <f t="shared" si="11"/>
        <v>-0.69</v>
      </c>
      <c r="AC12" s="28">
        <v>0.46055018055555552</v>
      </c>
      <c r="AD12" s="25">
        <f t="shared" si="12"/>
        <v>-0.63555924916666662</v>
      </c>
      <c r="AE12" s="25">
        <v>-9.6</v>
      </c>
      <c r="AF12" s="25">
        <v>-37.564871794871799</v>
      </c>
      <c r="AG12" s="25">
        <v>0</v>
      </c>
    </row>
    <row r="13" spans="1:33" ht="15.75" customHeight="1">
      <c r="A13" s="14" t="s">
        <v>197</v>
      </c>
      <c r="B13" s="14" t="s">
        <v>68</v>
      </c>
      <c r="C13" s="15">
        <f t="shared" si="4"/>
        <v>71.572000000000003</v>
      </c>
      <c r="D13" s="16">
        <v>5</v>
      </c>
      <c r="E13" s="16">
        <v>0</v>
      </c>
      <c r="F13" s="17">
        <v>357.86</v>
      </c>
      <c r="G13" s="29">
        <v>0</v>
      </c>
      <c r="H13" s="18">
        <f t="shared" si="1"/>
        <v>0</v>
      </c>
      <c r="I13" s="18">
        <f t="shared" si="2"/>
        <v>0.17787180392937643</v>
      </c>
      <c r="J13" s="17">
        <f t="shared" si="5"/>
        <v>63.653203754166654</v>
      </c>
      <c r="K13" s="17">
        <f t="shared" si="3"/>
        <v>12.730640750833331</v>
      </c>
      <c r="L13" s="16">
        <v>6</v>
      </c>
      <c r="M13" s="19">
        <f t="shared" si="6"/>
        <v>0.83333333333333337</v>
      </c>
      <c r="N13" s="16">
        <v>43</v>
      </c>
      <c r="O13" s="20">
        <f t="shared" ref="O13:P13" si="21">D13/7</f>
        <v>0.7142857142857143</v>
      </c>
      <c r="P13" s="20">
        <f t="shared" si="21"/>
        <v>0</v>
      </c>
      <c r="Q13" s="16">
        <f t="shared" si="8"/>
        <v>60</v>
      </c>
      <c r="R13" s="16"/>
      <c r="S13" s="21">
        <v>3.73006134969325</v>
      </c>
      <c r="T13" s="14">
        <v>180</v>
      </c>
      <c r="U13" s="22">
        <v>120</v>
      </c>
      <c r="V13" s="23" t="s">
        <v>807</v>
      </c>
      <c r="W13" s="14">
        <v>0</v>
      </c>
      <c r="X13" s="24">
        <f t="shared" si="9"/>
        <v>0</v>
      </c>
      <c r="Y13" s="25">
        <f t="shared" si="10"/>
        <v>0</v>
      </c>
      <c r="Z13" s="14">
        <v>0</v>
      </c>
      <c r="AA13" s="14" t="s">
        <v>35</v>
      </c>
      <c r="AB13" s="27">
        <f t="shared" si="11"/>
        <v>-0.69</v>
      </c>
      <c r="AC13" s="28">
        <v>0.46055018055555552</v>
      </c>
      <c r="AD13" s="25">
        <f t="shared" si="12"/>
        <v>-3.1777962458333331</v>
      </c>
      <c r="AE13" s="25">
        <v>-9.6</v>
      </c>
      <c r="AF13" s="25">
        <v>-37.869999999999997</v>
      </c>
      <c r="AG13" s="25">
        <v>0</v>
      </c>
    </row>
    <row r="14" spans="1:33" ht="15.75" customHeight="1">
      <c r="A14" s="14" t="s">
        <v>32</v>
      </c>
      <c r="B14" s="14" t="s">
        <v>434</v>
      </c>
      <c r="C14" s="15">
        <f t="shared" si="4"/>
        <v>70.703333333333333</v>
      </c>
      <c r="D14" s="16">
        <v>15</v>
      </c>
      <c r="E14" s="16">
        <v>0</v>
      </c>
      <c r="F14" s="17">
        <v>1060.55</v>
      </c>
      <c r="G14" s="29">
        <v>0</v>
      </c>
      <c r="H14" s="18">
        <f t="shared" si="1"/>
        <v>0</v>
      </c>
      <c r="I14" s="18">
        <f t="shared" si="2"/>
        <v>0.16961398450096651</v>
      </c>
      <c r="J14" s="17">
        <f t="shared" si="5"/>
        <v>179.88411126250003</v>
      </c>
      <c r="K14" s="17">
        <f t="shared" si="3"/>
        <v>11.992274084166668</v>
      </c>
      <c r="L14" s="16">
        <v>25</v>
      </c>
      <c r="M14" s="19">
        <f t="shared" si="6"/>
        <v>0.6</v>
      </c>
      <c r="N14" s="16">
        <v>28</v>
      </c>
      <c r="O14" s="20">
        <f t="shared" ref="O14:P14" si="22">D14/7</f>
        <v>2.1428571428571428</v>
      </c>
      <c r="P14" s="20">
        <f t="shared" si="22"/>
        <v>0</v>
      </c>
      <c r="Q14" s="16">
        <f t="shared" si="8"/>
        <v>13</v>
      </c>
      <c r="R14" s="16"/>
      <c r="S14" s="21">
        <v>6.32380952380952</v>
      </c>
      <c r="T14" s="14">
        <v>180</v>
      </c>
      <c r="U14" s="22">
        <v>120</v>
      </c>
      <c r="V14" s="23" t="s">
        <v>807</v>
      </c>
      <c r="W14" s="14">
        <v>0</v>
      </c>
      <c r="X14" s="24">
        <f t="shared" si="9"/>
        <v>0</v>
      </c>
      <c r="Y14" s="25">
        <f t="shared" si="10"/>
        <v>0</v>
      </c>
      <c r="Z14" s="14">
        <v>0</v>
      </c>
      <c r="AA14" s="14" t="s">
        <v>35</v>
      </c>
      <c r="AB14" s="27">
        <f t="shared" si="11"/>
        <v>-0.69</v>
      </c>
      <c r="AC14" s="28">
        <v>0.46055018055555552</v>
      </c>
      <c r="AD14" s="25">
        <f t="shared" si="12"/>
        <v>-9.5333887374999993</v>
      </c>
      <c r="AE14" s="25">
        <v>-9.6</v>
      </c>
      <c r="AF14" s="25">
        <v>-37.869999999999997</v>
      </c>
      <c r="AG14" s="25">
        <v>0</v>
      </c>
    </row>
    <row r="15" spans="1:33" ht="15.75" customHeight="1">
      <c r="A15" s="14" t="s">
        <v>36</v>
      </c>
      <c r="B15" s="14" t="s">
        <v>672</v>
      </c>
      <c r="C15" s="15">
        <f t="shared" si="4"/>
        <v>74.983636363636364</v>
      </c>
      <c r="D15" s="16">
        <v>11</v>
      </c>
      <c r="E15" s="16">
        <v>0</v>
      </c>
      <c r="F15" s="17">
        <v>824.82</v>
      </c>
      <c r="G15" s="29">
        <v>0</v>
      </c>
      <c r="H15" s="18">
        <f t="shared" si="1"/>
        <v>0</v>
      </c>
      <c r="I15" s="18">
        <f t="shared" si="2"/>
        <v>0.22258898700221455</v>
      </c>
      <c r="J15" s="17">
        <f t="shared" si="5"/>
        <v>183.59584825916662</v>
      </c>
      <c r="K15" s="17">
        <f t="shared" si="3"/>
        <v>16.690531659924236</v>
      </c>
      <c r="L15" s="16">
        <v>28</v>
      </c>
      <c r="M15" s="19">
        <f t="shared" si="6"/>
        <v>0.39285714285714285</v>
      </c>
      <c r="N15" s="16">
        <v>18</v>
      </c>
      <c r="O15" s="20">
        <f t="shared" ref="O15:P15" si="23">D15/7</f>
        <v>1.5714285714285714</v>
      </c>
      <c r="P15" s="20">
        <f t="shared" si="23"/>
        <v>0</v>
      </c>
      <c r="Q15" s="16">
        <f t="shared" si="8"/>
        <v>11</v>
      </c>
      <c r="R15" s="16"/>
      <c r="S15" s="21">
        <v>3.63636363636363</v>
      </c>
      <c r="T15" s="14">
        <v>180</v>
      </c>
      <c r="U15" s="22">
        <v>120</v>
      </c>
      <c r="V15" s="23" t="s">
        <v>560</v>
      </c>
      <c r="W15" s="14">
        <v>0</v>
      </c>
      <c r="X15" s="24">
        <f t="shared" si="9"/>
        <v>0</v>
      </c>
      <c r="Y15" s="25">
        <f t="shared" si="10"/>
        <v>0</v>
      </c>
      <c r="Z15" s="14">
        <v>0</v>
      </c>
      <c r="AA15" s="14" t="s">
        <v>35</v>
      </c>
      <c r="AB15" s="27">
        <f t="shared" si="11"/>
        <v>-0.69</v>
      </c>
      <c r="AC15" s="28">
        <v>0.46055018055555552</v>
      </c>
      <c r="AD15" s="25">
        <f t="shared" si="12"/>
        <v>-6.9911517408333328</v>
      </c>
      <c r="AE15" s="25">
        <v>-9.6</v>
      </c>
      <c r="AF15" s="25">
        <v>-36.81</v>
      </c>
      <c r="AG15" s="25">
        <v>0</v>
      </c>
    </row>
    <row r="16" spans="1:33" ht="15.75" customHeight="1">
      <c r="A16" s="14" t="s">
        <v>38</v>
      </c>
      <c r="B16" s="14" t="s">
        <v>808</v>
      </c>
      <c r="C16" s="15">
        <f t="shared" si="4"/>
        <v>76.656666666666652</v>
      </c>
      <c r="D16" s="16">
        <v>3</v>
      </c>
      <c r="E16" s="16">
        <v>0</v>
      </c>
      <c r="F16" s="17">
        <v>229.96999999999997</v>
      </c>
      <c r="G16" s="29">
        <v>0</v>
      </c>
      <c r="H16" s="18">
        <f t="shared" si="1"/>
        <v>0</v>
      </c>
      <c r="I16" s="18">
        <f t="shared" si="2"/>
        <v>0.23628222051789358</v>
      </c>
      <c r="J16" s="17">
        <f t="shared" si="5"/>
        <v>54.337822252499976</v>
      </c>
      <c r="K16" s="17">
        <f t="shared" si="3"/>
        <v>18.112607417499991</v>
      </c>
      <c r="L16" s="16">
        <v>15</v>
      </c>
      <c r="M16" s="19">
        <f t="shared" si="6"/>
        <v>0.2</v>
      </c>
      <c r="N16" s="16">
        <v>15</v>
      </c>
      <c r="O16" s="20">
        <f t="shared" ref="O16:P16" si="24">D16/7</f>
        <v>0.42857142857142855</v>
      </c>
      <c r="P16" s="20">
        <f t="shared" si="24"/>
        <v>0</v>
      </c>
      <c r="Q16" s="16">
        <f t="shared" si="8"/>
        <v>35</v>
      </c>
      <c r="R16" s="16"/>
      <c r="S16" s="21">
        <v>3.58</v>
      </c>
      <c r="T16" s="14">
        <v>180</v>
      </c>
      <c r="U16" s="22">
        <v>120</v>
      </c>
      <c r="V16" s="23" t="s">
        <v>560</v>
      </c>
      <c r="W16" s="14">
        <v>0</v>
      </c>
      <c r="X16" s="24">
        <f t="shared" si="9"/>
        <v>0</v>
      </c>
      <c r="Y16" s="25">
        <f t="shared" si="10"/>
        <v>0</v>
      </c>
      <c r="Z16" s="14">
        <v>0</v>
      </c>
      <c r="AA16" s="14" t="s">
        <v>35</v>
      </c>
      <c r="AB16" s="27">
        <f t="shared" si="11"/>
        <v>-0.69</v>
      </c>
      <c r="AC16" s="28">
        <v>0.46055018055555552</v>
      </c>
      <c r="AD16" s="25">
        <f t="shared" si="12"/>
        <v>-1.9066777474999999</v>
      </c>
      <c r="AE16" s="25">
        <v>-9.6</v>
      </c>
      <c r="AF16" s="25">
        <v>-36.81</v>
      </c>
      <c r="AG16" s="25">
        <v>0</v>
      </c>
    </row>
    <row r="17" spans="1:33" ht="15.75" customHeight="1">
      <c r="A17" s="14" t="s">
        <v>40</v>
      </c>
      <c r="B17" s="14" t="s">
        <v>45</v>
      </c>
      <c r="C17" s="15">
        <f t="shared" si="4"/>
        <v>80.024000000000015</v>
      </c>
      <c r="D17" s="16">
        <v>15</v>
      </c>
      <c r="E17" s="16">
        <v>0</v>
      </c>
      <c r="F17" s="17">
        <v>1200.3600000000001</v>
      </c>
      <c r="G17" s="29">
        <v>0</v>
      </c>
      <c r="H17" s="18">
        <f t="shared" si="1"/>
        <v>0</v>
      </c>
      <c r="I17" s="18">
        <f t="shared" si="2"/>
        <v>0.26210687732221993</v>
      </c>
      <c r="J17" s="17">
        <f t="shared" si="5"/>
        <v>314.62261126249996</v>
      </c>
      <c r="K17" s="17">
        <f t="shared" si="3"/>
        <v>20.97484075083333</v>
      </c>
      <c r="L17" s="16">
        <v>18</v>
      </c>
      <c r="M17" s="19">
        <f t="shared" si="6"/>
        <v>0.83333333333333337</v>
      </c>
      <c r="N17" s="16">
        <v>0</v>
      </c>
      <c r="O17" s="20">
        <f t="shared" ref="O17:P17" si="25">D17/7</f>
        <v>2.1428571428571428</v>
      </c>
      <c r="P17" s="20">
        <f t="shared" si="25"/>
        <v>0</v>
      </c>
      <c r="Q17" s="16">
        <f t="shared" si="8"/>
        <v>0</v>
      </c>
      <c r="R17" s="16"/>
      <c r="S17" s="21">
        <v>4.1176470588235201</v>
      </c>
      <c r="T17" s="14">
        <v>180</v>
      </c>
      <c r="U17" s="22">
        <v>120</v>
      </c>
      <c r="V17" s="23" t="s">
        <v>560</v>
      </c>
      <c r="W17" s="14">
        <v>0</v>
      </c>
      <c r="X17" s="24">
        <f t="shared" si="9"/>
        <v>0</v>
      </c>
      <c r="Y17" s="25">
        <f t="shared" si="10"/>
        <v>0</v>
      </c>
      <c r="Z17" s="14">
        <v>0</v>
      </c>
      <c r="AA17" s="14" t="s">
        <v>35</v>
      </c>
      <c r="AB17" s="27">
        <f t="shared" si="11"/>
        <v>-0.69</v>
      </c>
      <c r="AC17" s="28">
        <v>0.46055018055555552</v>
      </c>
      <c r="AD17" s="25">
        <f t="shared" si="12"/>
        <v>-9.5333887374999993</v>
      </c>
      <c r="AE17" s="25">
        <v>-9.6</v>
      </c>
      <c r="AF17" s="25">
        <v>-36.81</v>
      </c>
      <c r="AG17" s="25">
        <v>0</v>
      </c>
    </row>
    <row r="18" spans="1:33" ht="15.75" customHeight="1">
      <c r="A18" s="14" t="s">
        <v>42</v>
      </c>
      <c r="B18" s="14"/>
      <c r="C18" s="15" t="str">
        <f t="shared" si="4"/>
        <v xml:space="preserve"> - </v>
      </c>
      <c r="D18" s="16">
        <v>0</v>
      </c>
      <c r="E18" s="16">
        <v>0</v>
      </c>
      <c r="F18" s="17">
        <v>0</v>
      </c>
      <c r="G18" s="29">
        <v>0</v>
      </c>
      <c r="H18" s="18" t="e">
        <f t="shared" si="1"/>
        <v>#DIV/0!</v>
      </c>
      <c r="I18" s="18" t="e">
        <f t="shared" si="2"/>
        <v>#DIV/0!</v>
      </c>
      <c r="J18" s="17">
        <f t="shared" si="5"/>
        <v>0</v>
      </c>
      <c r="K18" s="17" t="e">
        <f t="shared" si="3"/>
        <v>#DIV/0!</v>
      </c>
      <c r="L18" s="16">
        <v>0</v>
      </c>
      <c r="M18" s="19" t="str">
        <f t="shared" si="6"/>
        <v>-</v>
      </c>
      <c r="N18" s="16">
        <v>0</v>
      </c>
      <c r="O18" s="20">
        <f t="shared" ref="O18:P18" si="26">D18/7</f>
        <v>0</v>
      </c>
      <c r="P18" s="20">
        <f t="shared" si="26"/>
        <v>0</v>
      </c>
      <c r="Q18" s="16" t="e">
        <f t="shared" si="8"/>
        <v>#DIV/0!</v>
      </c>
      <c r="R18" s="16"/>
      <c r="S18" s="21" t="e">
        <v>#N/A</v>
      </c>
      <c r="T18" s="14">
        <v>180</v>
      </c>
      <c r="U18" s="22">
        <v>0</v>
      </c>
      <c r="V18" s="23" t="s">
        <v>561</v>
      </c>
      <c r="W18" s="14">
        <v>0</v>
      </c>
      <c r="X18" s="24">
        <f t="shared" si="9"/>
        <v>0</v>
      </c>
      <c r="Y18" s="25">
        <f t="shared" si="10"/>
        <v>0</v>
      </c>
      <c r="Z18" s="14">
        <v>0</v>
      </c>
      <c r="AA18" s="14" t="e">
        <v>#N/A</v>
      </c>
      <c r="AB18" s="27" t="e">
        <f t="shared" si="11"/>
        <v>#N/A</v>
      </c>
      <c r="AC18" s="28" t="e">
        <v>#N/A</v>
      </c>
      <c r="AD18" s="25">
        <f t="shared" si="12"/>
        <v>0</v>
      </c>
      <c r="AE18" s="25">
        <v>0</v>
      </c>
      <c r="AF18" s="25">
        <v>-36.81</v>
      </c>
      <c r="AG18" s="25">
        <v>0</v>
      </c>
    </row>
    <row r="19" spans="1:33" ht="15.75" customHeight="1">
      <c r="A19" s="14" t="s">
        <v>44</v>
      </c>
      <c r="B19" s="14" t="s">
        <v>809</v>
      </c>
      <c r="C19" s="15" t="str">
        <f t="shared" si="4"/>
        <v xml:space="preserve"> - </v>
      </c>
      <c r="D19" s="16">
        <v>0</v>
      </c>
      <c r="E19" s="16">
        <v>0</v>
      </c>
      <c r="F19" s="17">
        <v>0</v>
      </c>
      <c r="G19" s="29">
        <v>0</v>
      </c>
      <c r="H19" s="18" t="e">
        <f t="shared" si="1"/>
        <v>#DIV/0!</v>
      </c>
      <c r="I19" s="18" t="e">
        <f t="shared" si="2"/>
        <v>#DIV/0!</v>
      </c>
      <c r="J19" s="17">
        <f t="shared" si="5"/>
        <v>0</v>
      </c>
      <c r="K19" s="17" t="e">
        <f t="shared" si="3"/>
        <v>#DIV/0!</v>
      </c>
      <c r="L19" s="16">
        <v>0</v>
      </c>
      <c r="M19" s="19" t="str">
        <f t="shared" si="6"/>
        <v>-</v>
      </c>
      <c r="N19" s="16">
        <v>120</v>
      </c>
      <c r="O19" s="20">
        <f t="shared" ref="O19:P19" si="27">D19/7</f>
        <v>0</v>
      </c>
      <c r="P19" s="20">
        <f t="shared" si="27"/>
        <v>0</v>
      </c>
      <c r="Q19" s="16" t="e">
        <f t="shared" si="8"/>
        <v>#DIV/0!</v>
      </c>
      <c r="R19" s="16"/>
      <c r="S19" s="21">
        <v>1.88679245283018</v>
      </c>
      <c r="T19" s="14">
        <v>60</v>
      </c>
      <c r="U19" s="22" t="s">
        <v>34</v>
      </c>
      <c r="V19" s="23" t="s">
        <v>34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14" t="s">
        <v>35</v>
      </c>
      <c r="AB19" s="27">
        <f t="shared" si="11"/>
        <v>-0.69</v>
      </c>
      <c r="AC19" s="28">
        <v>0.46055018055555552</v>
      </c>
      <c r="AD19" s="25">
        <f t="shared" si="12"/>
        <v>0</v>
      </c>
      <c r="AE19" s="25">
        <v>-9.6</v>
      </c>
      <c r="AF19" s="25">
        <v>-38.531500000000001</v>
      </c>
      <c r="AG19" s="25">
        <v>0</v>
      </c>
    </row>
    <row r="20" spans="1:33" ht="15.75" customHeight="1">
      <c r="A20" s="14" t="s">
        <v>46</v>
      </c>
      <c r="B20" s="14" t="s">
        <v>68</v>
      </c>
      <c r="C20" s="15">
        <f t="shared" si="4"/>
        <v>73.989999999999995</v>
      </c>
      <c r="D20" s="16">
        <v>4</v>
      </c>
      <c r="E20" s="16">
        <v>0</v>
      </c>
      <c r="F20" s="17">
        <v>295.95999999999998</v>
      </c>
      <c r="G20" s="29">
        <v>0</v>
      </c>
      <c r="H20" s="18">
        <f t="shared" si="1"/>
        <v>0</v>
      </c>
      <c r="I20" s="18">
        <f t="shared" si="2"/>
        <v>0.19089661779745001</v>
      </c>
      <c r="J20" s="17">
        <f t="shared" si="5"/>
        <v>56.497763003333304</v>
      </c>
      <c r="K20" s="17">
        <f t="shared" si="3"/>
        <v>14.124440750833326</v>
      </c>
      <c r="L20" s="16">
        <v>10</v>
      </c>
      <c r="M20" s="19">
        <f t="shared" si="6"/>
        <v>0.4</v>
      </c>
      <c r="N20" s="16">
        <v>116</v>
      </c>
      <c r="O20" s="20">
        <f t="shared" ref="O20:P20" si="28">D20/7</f>
        <v>0.5714285714285714</v>
      </c>
      <c r="P20" s="20">
        <f t="shared" si="28"/>
        <v>0</v>
      </c>
      <c r="Q20" s="16">
        <f t="shared" si="8"/>
        <v>203</v>
      </c>
      <c r="R20" s="16"/>
      <c r="S20" s="21">
        <v>1.47169811320754</v>
      </c>
      <c r="T20" s="14">
        <v>60</v>
      </c>
      <c r="U20" s="22" t="s">
        <v>34</v>
      </c>
      <c r="V20" s="23" t="s">
        <v>34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14" t="s">
        <v>35</v>
      </c>
      <c r="AB20" s="27">
        <f t="shared" si="11"/>
        <v>-0.69</v>
      </c>
      <c r="AC20" s="28">
        <v>0.46055018055555552</v>
      </c>
      <c r="AD20" s="25">
        <f t="shared" si="12"/>
        <v>-2.5422369966666665</v>
      </c>
      <c r="AE20" s="25">
        <v>-9.6</v>
      </c>
      <c r="AF20" s="25">
        <v>-38.531500000000001</v>
      </c>
      <c r="AG20" s="25">
        <v>0</v>
      </c>
    </row>
    <row r="21" spans="1:33" ht="15.75" customHeight="1">
      <c r="A21" s="14" t="s">
        <v>47</v>
      </c>
      <c r="B21" s="14" t="s">
        <v>68</v>
      </c>
      <c r="C21" s="15">
        <f t="shared" si="4"/>
        <v>74.747500000000002</v>
      </c>
      <c r="D21" s="16">
        <v>12</v>
      </c>
      <c r="E21" s="16">
        <v>0</v>
      </c>
      <c r="F21" s="17">
        <v>896.97</v>
      </c>
      <c r="G21" s="29">
        <v>0</v>
      </c>
      <c r="H21" s="18">
        <f t="shared" si="1"/>
        <v>0</v>
      </c>
      <c r="I21" s="18">
        <f t="shared" si="2"/>
        <v>0.1975760493773481</v>
      </c>
      <c r="J21" s="17">
        <f t="shared" si="5"/>
        <v>177.21978900999994</v>
      </c>
      <c r="K21" s="17">
        <f t="shared" si="3"/>
        <v>14.768315750833329</v>
      </c>
      <c r="L21" s="16">
        <v>6</v>
      </c>
      <c r="M21" s="19">
        <f t="shared" si="6"/>
        <v>2</v>
      </c>
      <c r="N21" s="16">
        <v>102</v>
      </c>
      <c r="O21" s="20">
        <f t="shared" ref="O21:P21" si="29">D21/7</f>
        <v>1.7142857142857142</v>
      </c>
      <c r="P21" s="20">
        <f t="shared" si="29"/>
        <v>0</v>
      </c>
      <c r="Q21" s="16">
        <f t="shared" si="8"/>
        <v>59</v>
      </c>
      <c r="R21" s="16"/>
      <c r="S21" s="21">
        <v>1.8698224852070999</v>
      </c>
      <c r="T21" s="14">
        <v>60</v>
      </c>
      <c r="U21" s="22" t="s">
        <v>34</v>
      </c>
      <c r="V21" s="23" t="s">
        <v>34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14" t="s">
        <v>35</v>
      </c>
      <c r="AB21" s="27">
        <f t="shared" si="11"/>
        <v>-0.69</v>
      </c>
      <c r="AC21" s="28">
        <v>0.46055018055555552</v>
      </c>
      <c r="AD21" s="25">
        <f t="shared" si="12"/>
        <v>-7.6267109899999994</v>
      </c>
      <c r="AE21" s="25">
        <v>-9.6</v>
      </c>
      <c r="AF21" s="25">
        <v>-38.531500000000001</v>
      </c>
      <c r="AG21" s="25">
        <v>0</v>
      </c>
    </row>
    <row r="22" spans="1:33" ht="15.75" customHeight="1">
      <c r="A22" s="14" t="s">
        <v>48</v>
      </c>
      <c r="B22" s="14" t="s">
        <v>810</v>
      </c>
      <c r="C22" s="15">
        <f t="shared" si="4"/>
        <v>74.394848484848481</v>
      </c>
      <c r="D22" s="16">
        <v>33</v>
      </c>
      <c r="E22" s="16">
        <v>1</v>
      </c>
      <c r="F22" s="29">
        <v>2455.0299999999997</v>
      </c>
      <c r="G22" s="29">
        <v>0</v>
      </c>
      <c r="H22" s="18">
        <f t="shared" si="1"/>
        <v>0</v>
      </c>
      <c r="I22" s="18">
        <f t="shared" si="2"/>
        <v>0.19448338504111953</v>
      </c>
      <c r="J22" s="17">
        <f t="shared" si="5"/>
        <v>477.46254477749966</v>
      </c>
      <c r="K22" s="17">
        <f t="shared" si="3"/>
        <v>14.468561962954535</v>
      </c>
      <c r="L22" s="16">
        <v>29</v>
      </c>
      <c r="M22" s="19">
        <f t="shared" si="6"/>
        <v>1.1379310344827587</v>
      </c>
      <c r="N22" s="16">
        <v>73</v>
      </c>
      <c r="O22" s="20">
        <f t="shared" ref="O22:P22" si="30">D22/7</f>
        <v>4.7142857142857144</v>
      </c>
      <c r="P22" s="20">
        <f t="shared" si="30"/>
        <v>0.14285714285714285</v>
      </c>
      <c r="Q22" s="16">
        <f t="shared" si="8"/>
        <v>15</v>
      </c>
      <c r="R22" s="16"/>
      <c r="S22" s="21">
        <v>3.4871794871794801</v>
      </c>
      <c r="T22" s="14">
        <v>60</v>
      </c>
      <c r="U22" s="22" t="s">
        <v>34</v>
      </c>
      <c r="V22" s="23" t="s">
        <v>34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35</v>
      </c>
      <c r="AB22" s="27">
        <f t="shared" si="11"/>
        <v>-0.69</v>
      </c>
      <c r="AC22" s="28">
        <v>0.46055018055555552</v>
      </c>
      <c r="AD22" s="25">
        <f t="shared" si="12"/>
        <v>-20.9734552225</v>
      </c>
      <c r="AE22" s="25">
        <v>-9.6</v>
      </c>
      <c r="AF22" s="25">
        <v>-38.531500000000001</v>
      </c>
      <c r="AG22" s="25">
        <v>0</v>
      </c>
    </row>
    <row r="23" spans="1:33" ht="15.75" customHeight="1">
      <c r="A23" s="14" t="s">
        <v>49</v>
      </c>
      <c r="B23" s="14" t="s">
        <v>68</v>
      </c>
      <c r="C23" s="15">
        <f t="shared" si="4"/>
        <v>81.264444444444436</v>
      </c>
      <c r="D23" s="16">
        <v>27</v>
      </c>
      <c r="E23" s="16">
        <v>1</v>
      </c>
      <c r="F23" s="17">
        <v>2194.14</v>
      </c>
      <c r="G23" s="29">
        <v>0</v>
      </c>
      <c r="H23" s="18">
        <f t="shared" si="1"/>
        <v>0</v>
      </c>
      <c r="I23" s="18">
        <f t="shared" si="2"/>
        <v>0.2498967250369164</v>
      </c>
      <c r="J23" s="17">
        <f t="shared" si="5"/>
        <v>548.30840027249974</v>
      </c>
      <c r="K23" s="17">
        <f t="shared" si="3"/>
        <v>20.307718528611101</v>
      </c>
      <c r="L23" s="16">
        <v>43</v>
      </c>
      <c r="M23" s="19">
        <f t="shared" si="6"/>
        <v>0.62790697674418605</v>
      </c>
      <c r="N23" s="16">
        <v>44</v>
      </c>
      <c r="O23" s="20">
        <f t="shared" ref="O23:P23" si="31">D23/7</f>
        <v>3.8571428571428572</v>
      </c>
      <c r="P23" s="20">
        <f t="shared" si="31"/>
        <v>0.14285714285714285</v>
      </c>
      <c r="Q23" s="16">
        <f t="shared" si="8"/>
        <v>11</v>
      </c>
      <c r="R23" s="16"/>
      <c r="S23" s="21">
        <v>3.4074074074073999</v>
      </c>
      <c r="T23" s="14">
        <v>60</v>
      </c>
      <c r="U23" s="22" t="s">
        <v>34</v>
      </c>
      <c r="V23" s="23" t="s">
        <v>34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35</v>
      </c>
      <c r="AB23" s="27">
        <f t="shared" si="11"/>
        <v>-0.69</v>
      </c>
      <c r="AC23" s="28">
        <v>0.46055018055555552</v>
      </c>
      <c r="AD23" s="25">
        <f t="shared" si="12"/>
        <v>-17.160099727499997</v>
      </c>
      <c r="AE23" s="25">
        <v>-9.6</v>
      </c>
      <c r="AF23" s="25">
        <v>-38.531500000000001</v>
      </c>
      <c r="AG23" s="25">
        <v>0</v>
      </c>
    </row>
    <row r="24" spans="1:33" ht="15.75" customHeight="1">
      <c r="A24" s="14" t="s">
        <v>50</v>
      </c>
      <c r="B24" s="14" t="s">
        <v>811</v>
      </c>
      <c r="C24" s="15">
        <f t="shared" si="4"/>
        <v>86.353571428571414</v>
      </c>
      <c r="D24" s="16">
        <v>14</v>
      </c>
      <c r="E24" s="16">
        <v>0</v>
      </c>
      <c r="F24" s="17">
        <v>1208.9499999999998</v>
      </c>
      <c r="G24" s="17">
        <v>0</v>
      </c>
      <c r="H24" s="18">
        <f t="shared" si="1"/>
        <v>0</v>
      </c>
      <c r="I24" s="18">
        <f t="shared" si="2"/>
        <v>0.2852629724237285</v>
      </c>
      <c r="J24" s="17">
        <f t="shared" si="5"/>
        <v>344.86867051166649</v>
      </c>
      <c r="K24" s="17">
        <f t="shared" si="3"/>
        <v>24.633476465119035</v>
      </c>
      <c r="L24" s="16">
        <v>27</v>
      </c>
      <c r="M24" s="19">
        <f t="shared" si="6"/>
        <v>0.51851851851851849</v>
      </c>
      <c r="N24" s="16">
        <v>31</v>
      </c>
      <c r="O24" s="20">
        <f t="shared" ref="O24:P24" si="32">D24/7</f>
        <v>2</v>
      </c>
      <c r="P24" s="20">
        <f t="shared" si="32"/>
        <v>0</v>
      </c>
      <c r="Q24" s="16">
        <f t="shared" si="8"/>
        <v>15</v>
      </c>
      <c r="R24" s="16"/>
      <c r="S24" s="21">
        <v>2.3056768558951899</v>
      </c>
      <c r="T24" s="14">
        <v>60</v>
      </c>
      <c r="U24" s="22" t="s">
        <v>34</v>
      </c>
      <c r="V24" s="23" t="s">
        <v>34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14" t="s">
        <v>35</v>
      </c>
      <c r="AB24" s="27">
        <f t="shared" si="11"/>
        <v>-0.69</v>
      </c>
      <c r="AC24" s="28">
        <v>0.46055018055555552</v>
      </c>
      <c r="AD24" s="25">
        <f t="shared" si="12"/>
        <v>-8.8978294883333326</v>
      </c>
      <c r="AE24" s="25">
        <v>-9.6</v>
      </c>
      <c r="AF24" s="25">
        <v>-38.531500000000001</v>
      </c>
      <c r="AG24" s="25">
        <v>0</v>
      </c>
    </row>
    <row r="25" spans="1:33" ht="15.75" customHeight="1">
      <c r="A25" s="14" t="s">
        <v>51</v>
      </c>
      <c r="B25" s="14"/>
      <c r="C25" s="15">
        <f t="shared" si="4"/>
        <v>90.46833333333332</v>
      </c>
      <c r="D25" s="16">
        <v>6</v>
      </c>
      <c r="E25" s="16">
        <v>0</v>
      </c>
      <c r="F25" s="17">
        <v>542.80999999999995</v>
      </c>
      <c r="G25" s="17">
        <v>0</v>
      </c>
      <c r="H25" s="18">
        <f t="shared" si="1"/>
        <v>0</v>
      </c>
      <c r="I25" s="18">
        <f t="shared" si="2"/>
        <v>0.31096542898067459</v>
      </c>
      <c r="J25" s="17">
        <f t="shared" si="5"/>
        <v>168.79514450499997</v>
      </c>
      <c r="K25" s="17">
        <f t="shared" si="3"/>
        <v>28.132524084166661</v>
      </c>
      <c r="L25" s="16">
        <v>25</v>
      </c>
      <c r="M25" s="19">
        <f t="shared" si="6"/>
        <v>0.24</v>
      </c>
      <c r="N25" s="16">
        <v>23</v>
      </c>
      <c r="O25" s="20">
        <f t="shared" ref="O25:P25" si="33">D25/7</f>
        <v>0.8571428571428571</v>
      </c>
      <c r="P25" s="20">
        <f t="shared" si="33"/>
        <v>0</v>
      </c>
      <c r="Q25" s="16">
        <f t="shared" si="8"/>
        <v>26</v>
      </c>
      <c r="R25" s="16"/>
      <c r="S25" s="21">
        <v>3.1739130434782612</v>
      </c>
      <c r="T25" s="14">
        <v>60</v>
      </c>
      <c r="U25" s="22" t="s">
        <v>34</v>
      </c>
      <c r="V25" s="23" t="s">
        <v>34</v>
      </c>
      <c r="W25" s="30">
        <v>0</v>
      </c>
      <c r="X25" s="24">
        <f t="shared" si="9"/>
        <v>0</v>
      </c>
      <c r="Y25" s="25">
        <f t="shared" si="10"/>
        <v>0</v>
      </c>
      <c r="Z25" s="30">
        <v>0</v>
      </c>
      <c r="AA25" s="14" t="s">
        <v>35</v>
      </c>
      <c r="AB25" s="27">
        <f t="shared" si="11"/>
        <v>-0.69</v>
      </c>
      <c r="AC25" s="28">
        <v>0.46055018055555552</v>
      </c>
      <c r="AD25" s="25">
        <f t="shared" si="12"/>
        <v>-3.8133554949999997</v>
      </c>
      <c r="AE25" s="25">
        <v>-9.6</v>
      </c>
      <c r="AF25" s="25">
        <v>-38.53</v>
      </c>
      <c r="AG25" s="25">
        <v>0</v>
      </c>
    </row>
    <row r="26" spans="1:33" ht="15.75" customHeight="1">
      <c r="A26" s="14" t="s">
        <v>52</v>
      </c>
      <c r="B26" s="14" t="s">
        <v>812</v>
      </c>
      <c r="C26" s="15">
        <f t="shared" si="4"/>
        <v>93.12</v>
      </c>
      <c r="D26" s="16">
        <v>3</v>
      </c>
      <c r="E26" s="16">
        <v>0</v>
      </c>
      <c r="F26" s="17">
        <v>279.36</v>
      </c>
      <c r="G26" s="17">
        <v>-7.0000000000000007E-2</v>
      </c>
      <c r="H26" s="18">
        <f t="shared" si="1"/>
        <v>2.5057273768613978E-4</v>
      </c>
      <c r="I26" s="18">
        <f t="shared" si="2"/>
        <v>0.33270626522229385</v>
      </c>
      <c r="J26" s="17">
        <f t="shared" si="5"/>
        <v>92.944822252500018</v>
      </c>
      <c r="K26" s="17">
        <f t="shared" si="3"/>
        <v>30.981607417500005</v>
      </c>
      <c r="L26" s="16">
        <v>17</v>
      </c>
      <c r="M26" s="19">
        <f t="shared" si="6"/>
        <v>0.17647058823529413</v>
      </c>
      <c r="N26" s="16">
        <v>20</v>
      </c>
      <c r="O26" s="20">
        <f t="shared" ref="O26:P26" si="34">D26/7</f>
        <v>0.42857142857142855</v>
      </c>
      <c r="P26" s="20">
        <f t="shared" si="34"/>
        <v>0</v>
      </c>
      <c r="Q26" s="16">
        <f t="shared" si="8"/>
        <v>46</v>
      </c>
      <c r="R26" s="16"/>
      <c r="S26" s="21">
        <v>3.7161290322580651</v>
      </c>
      <c r="T26" s="14">
        <v>60</v>
      </c>
      <c r="U26" s="22" t="s">
        <v>34</v>
      </c>
      <c r="V26" s="23" t="s">
        <v>34</v>
      </c>
      <c r="W26" s="30">
        <v>0</v>
      </c>
      <c r="X26" s="24">
        <f t="shared" si="9"/>
        <v>0</v>
      </c>
      <c r="Y26" s="25">
        <f t="shared" si="10"/>
        <v>0</v>
      </c>
      <c r="Z26" s="30">
        <v>0</v>
      </c>
      <c r="AA26" s="14" t="s">
        <v>35</v>
      </c>
      <c r="AB26" s="27">
        <f t="shared" si="11"/>
        <v>-0.69</v>
      </c>
      <c r="AC26" s="28">
        <v>0.46055018055555552</v>
      </c>
      <c r="AD26" s="25">
        <f t="shared" si="12"/>
        <v>-1.9066777474999999</v>
      </c>
      <c r="AE26" s="25">
        <v>-8.98</v>
      </c>
      <c r="AF26" s="25">
        <v>-38.531500000000001</v>
      </c>
      <c r="AG26" s="25">
        <v>0</v>
      </c>
    </row>
    <row r="27" spans="1:33" ht="15.75" customHeight="1">
      <c r="A27" s="14" t="s">
        <v>53</v>
      </c>
      <c r="B27" s="14" t="s">
        <v>813</v>
      </c>
      <c r="C27" s="15">
        <f t="shared" si="4"/>
        <v>90.182857142857145</v>
      </c>
      <c r="D27" s="16">
        <v>14</v>
      </c>
      <c r="E27" s="16">
        <v>0</v>
      </c>
      <c r="F27" s="17">
        <v>1262.56</v>
      </c>
      <c r="G27" s="17">
        <v>0</v>
      </c>
      <c r="H27" s="18">
        <f t="shared" si="1"/>
        <v>0</v>
      </c>
      <c r="I27" s="18">
        <f t="shared" si="2"/>
        <v>0.33520638267620273</v>
      </c>
      <c r="J27" s="17">
        <f t="shared" si="5"/>
        <v>423.21817051166653</v>
      </c>
      <c r="K27" s="17">
        <f t="shared" si="3"/>
        <v>30.229869322261894</v>
      </c>
      <c r="L27" s="16">
        <v>25</v>
      </c>
      <c r="M27" s="19">
        <f t="shared" si="6"/>
        <v>0.56000000000000005</v>
      </c>
      <c r="N27" s="16">
        <v>9</v>
      </c>
      <c r="O27" s="20">
        <f t="shared" ref="O27:P27" si="35">D27/7</f>
        <v>2</v>
      </c>
      <c r="P27" s="20">
        <f t="shared" si="35"/>
        <v>0</v>
      </c>
      <c r="Q27" s="16">
        <f t="shared" si="8"/>
        <v>4</v>
      </c>
      <c r="R27" s="16"/>
      <c r="S27" s="21">
        <v>5.3465346534653468</v>
      </c>
      <c r="T27" s="14">
        <v>60</v>
      </c>
      <c r="U27" s="22" t="s">
        <v>34</v>
      </c>
      <c r="V27" s="23" t="s">
        <v>34</v>
      </c>
      <c r="W27" s="30">
        <v>0</v>
      </c>
      <c r="X27" s="24">
        <f t="shared" si="9"/>
        <v>0</v>
      </c>
      <c r="Y27" s="25">
        <f t="shared" si="10"/>
        <v>0</v>
      </c>
      <c r="Z27" s="30">
        <v>0</v>
      </c>
      <c r="AA27" s="14" t="s">
        <v>35</v>
      </c>
      <c r="AB27" s="27">
        <f t="shared" si="11"/>
        <v>-0.69</v>
      </c>
      <c r="AC27" s="28">
        <v>0.46055018055555552</v>
      </c>
      <c r="AD27" s="25">
        <f t="shared" si="12"/>
        <v>-8.8978294883333326</v>
      </c>
      <c r="AE27" s="25">
        <v>-8.98</v>
      </c>
      <c r="AF27" s="25">
        <v>-36.81</v>
      </c>
      <c r="AG27" s="25">
        <v>0</v>
      </c>
    </row>
    <row r="28" spans="1:33" ht="15.75" customHeight="1">
      <c r="A28" s="14" t="s">
        <v>54</v>
      </c>
      <c r="B28" s="14" t="s">
        <v>814</v>
      </c>
      <c r="C28" s="15">
        <f t="shared" si="4"/>
        <v>90.95</v>
      </c>
      <c r="D28" s="16">
        <v>2</v>
      </c>
      <c r="E28" s="16">
        <v>0</v>
      </c>
      <c r="F28" s="17">
        <v>181.9</v>
      </c>
      <c r="G28" s="17">
        <v>0</v>
      </c>
      <c r="H28" s="18">
        <f t="shared" si="1"/>
        <v>0</v>
      </c>
      <c r="I28" s="18">
        <f t="shared" si="2"/>
        <v>0.33954855141103174</v>
      </c>
      <c r="J28" s="17">
        <f t="shared" si="5"/>
        <v>61.763881501666674</v>
      </c>
      <c r="K28" s="17">
        <f t="shared" si="3"/>
        <v>30.881940750833337</v>
      </c>
      <c r="L28" s="16">
        <v>9</v>
      </c>
      <c r="M28" s="19">
        <f t="shared" si="6"/>
        <v>0.22222222222222221</v>
      </c>
      <c r="N28" s="16">
        <v>4</v>
      </c>
      <c r="O28" s="20">
        <f t="shared" ref="O28:P28" si="36">D28/7</f>
        <v>0.2857142857142857</v>
      </c>
      <c r="P28" s="20">
        <f t="shared" si="36"/>
        <v>0</v>
      </c>
      <c r="Q28" s="16">
        <f t="shared" si="8"/>
        <v>14</v>
      </c>
      <c r="R28" s="16"/>
      <c r="S28" s="21">
        <v>2.9405405405405411</v>
      </c>
      <c r="T28" s="14">
        <v>0</v>
      </c>
      <c r="U28" s="22" t="s">
        <v>34</v>
      </c>
      <c r="V28" s="23" t="s">
        <v>34</v>
      </c>
      <c r="W28" s="30">
        <v>0</v>
      </c>
      <c r="X28" s="24">
        <f t="shared" si="9"/>
        <v>0</v>
      </c>
      <c r="Y28" s="25">
        <f t="shared" si="10"/>
        <v>0</v>
      </c>
      <c r="Z28" s="30">
        <v>0</v>
      </c>
      <c r="AA28" s="14" t="s">
        <v>35</v>
      </c>
      <c r="AB28" s="27">
        <f t="shared" si="11"/>
        <v>-0.69</v>
      </c>
      <c r="AC28" s="28">
        <v>0.46055018055555552</v>
      </c>
      <c r="AD28" s="25">
        <f t="shared" si="12"/>
        <v>-1.2711184983333332</v>
      </c>
      <c r="AE28" s="25">
        <v>-8.98</v>
      </c>
      <c r="AF28" s="25">
        <v>-36.81</v>
      </c>
      <c r="AG28" s="25">
        <v>0</v>
      </c>
    </row>
    <row r="29" spans="1:33" ht="15.75" customHeight="1">
      <c r="A29" s="14" t="s">
        <v>55</v>
      </c>
      <c r="B29" s="14" t="s">
        <v>815</v>
      </c>
      <c r="C29" s="15" t="str">
        <f t="shared" si="4"/>
        <v xml:space="preserve"> - </v>
      </c>
      <c r="D29" s="16">
        <v>0</v>
      </c>
      <c r="E29" s="16">
        <v>0</v>
      </c>
      <c r="F29" s="17">
        <v>0</v>
      </c>
      <c r="G29" s="17">
        <v>0</v>
      </c>
      <c r="H29" s="18" t="e">
        <f t="shared" si="1"/>
        <v>#DIV/0!</v>
      </c>
      <c r="I29" s="18" t="e">
        <f t="shared" si="2"/>
        <v>#DIV/0!</v>
      </c>
      <c r="J29" s="17">
        <f t="shared" si="5"/>
        <v>0</v>
      </c>
      <c r="K29" s="17" t="e">
        <f t="shared" si="3"/>
        <v>#DIV/0!</v>
      </c>
      <c r="L29" s="16">
        <v>0</v>
      </c>
      <c r="M29" s="19" t="str">
        <f t="shared" si="6"/>
        <v>-</v>
      </c>
      <c r="N29" s="16">
        <v>4</v>
      </c>
      <c r="O29" s="20">
        <f t="shared" ref="O29:P29" si="37">D29/7</f>
        <v>0</v>
      </c>
      <c r="P29" s="20">
        <f t="shared" si="37"/>
        <v>0</v>
      </c>
      <c r="Q29" s="16" t="e">
        <f t="shared" si="8"/>
        <v>#DIV/0!</v>
      </c>
      <c r="R29" s="16"/>
      <c r="S29" s="21">
        <v>3.316455696202532</v>
      </c>
      <c r="T29" s="14">
        <v>0</v>
      </c>
      <c r="U29" s="22" t="s">
        <v>34</v>
      </c>
      <c r="V29" s="23" t="s">
        <v>34</v>
      </c>
      <c r="W29" s="30">
        <v>0</v>
      </c>
      <c r="X29" s="24">
        <f t="shared" si="9"/>
        <v>0</v>
      </c>
      <c r="Y29" s="25">
        <f t="shared" si="10"/>
        <v>0</v>
      </c>
      <c r="Z29" s="30">
        <v>0</v>
      </c>
      <c r="AA29" s="14" t="s">
        <v>35</v>
      </c>
      <c r="AB29" s="27">
        <f t="shared" si="11"/>
        <v>-0.69</v>
      </c>
      <c r="AC29" s="28">
        <v>0.46055018055555552</v>
      </c>
      <c r="AD29" s="25">
        <f t="shared" si="12"/>
        <v>0</v>
      </c>
      <c r="AE29" s="25">
        <v>-8.98</v>
      </c>
      <c r="AF29" s="25">
        <v>-36.81</v>
      </c>
      <c r="AG29" s="25">
        <v>0</v>
      </c>
    </row>
    <row r="30" spans="1:33" ht="15.75" customHeight="1">
      <c r="A30" s="14" t="s">
        <v>57</v>
      </c>
      <c r="B30" s="14" t="s">
        <v>45</v>
      </c>
      <c r="C30" s="15">
        <f t="shared" si="4"/>
        <v>96.95</v>
      </c>
      <c r="D30" s="16">
        <v>2</v>
      </c>
      <c r="E30" s="16">
        <v>0</v>
      </c>
      <c r="F30" s="17">
        <v>193.9</v>
      </c>
      <c r="G30" s="17">
        <v>0</v>
      </c>
      <c r="H30" s="18">
        <f t="shared" si="1"/>
        <v>0</v>
      </c>
      <c r="I30" s="18">
        <f t="shared" si="2"/>
        <v>0.37479266375279341</v>
      </c>
      <c r="J30" s="17">
        <f t="shared" si="5"/>
        <v>72.672297501666648</v>
      </c>
      <c r="K30" s="17">
        <f t="shared" si="3"/>
        <v>36.336148750833324</v>
      </c>
      <c r="L30" s="16">
        <v>12</v>
      </c>
      <c r="M30" s="19">
        <f t="shared" si="6"/>
        <v>0.16666666666666666</v>
      </c>
      <c r="N30" s="16">
        <v>2</v>
      </c>
      <c r="O30" s="20">
        <f t="shared" ref="O30:P30" si="38">D30/7</f>
        <v>0.2857142857142857</v>
      </c>
      <c r="P30" s="20">
        <f t="shared" si="38"/>
        <v>0</v>
      </c>
      <c r="Q30" s="16">
        <f t="shared" si="8"/>
        <v>7</v>
      </c>
      <c r="R30" s="16"/>
      <c r="S30" s="21">
        <v>3.62043795620438</v>
      </c>
      <c r="T30" s="14">
        <v>60</v>
      </c>
      <c r="U30" s="22" t="s">
        <v>34</v>
      </c>
      <c r="V30" s="23" t="s">
        <v>34</v>
      </c>
      <c r="W30" s="30">
        <v>0</v>
      </c>
      <c r="X30" s="24">
        <f t="shared" si="9"/>
        <v>0</v>
      </c>
      <c r="Y30" s="25">
        <f t="shared" si="10"/>
        <v>0</v>
      </c>
      <c r="Z30" s="30">
        <v>0</v>
      </c>
      <c r="AA30" s="14" t="s">
        <v>35</v>
      </c>
      <c r="AB30" s="27">
        <f t="shared" si="11"/>
        <v>-0.69</v>
      </c>
      <c r="AC30" s="28">
        <v>0.46055018055555552</v>
      </c>
      <c r="AD30" s="25">
        <f t="shared" si="12"/>
        <v>-1.2711184983333332</v>
      </c>
      <c r="AE30" s="25">
        <v>-8.98</v>
      </c>
      <c r="AF30" s="25">
        <v>-36.455792000000002</v>
      </c>
      <c r="AG30" s="25">
        <v>0</v>
      </c>
    </row>
    <row r="31" spans="1:33" ht="15.75" customHeight="1">
      <c r="A31" s="14" t="s">
        <v>58</v>
      </c>
      <c r="B31" s="14" t="s">
        <v>45</v>
      </c>
      <c r="C31" s="15">
        <f t="shared" si="4"/>
        <v>98.13</v>
      </c>
      <c r="D31" s="16">
        <v>2</v>
      </c>
      <c r="E31" s="16">
        <v>0</v>
      </c>
      <c r="F31" s="17">
        <v>196.26</v>
      </c>
      <c r="G31" s="17">
        <v>0</v>
      </c>
      <c r="H31" s="18">
        <f t="shared" si="1"/>
        <v>0</v>
      </c>
      <c r="I31" s="18">
        <f t="shared" si="2"/>
        <v>0.38050696780631127</v>
      </c>
      <c r="J31" s="17">
        <f t="shared" si="5"/>
        <v>74.678297501666648</v>
      </c>
      <c r="K31" s="17">
        <f t="shared" si="3"/>
        <v>37.339148750833324</v>
      </c>
      <c r="L31" s="16">
        <v>2</v>
      </c>
      <c r="M31" s="19">
        <f t="shared" si="6"/>
        <v>1</v>
      </c>
      <c r="N31" s="16">
        <v>0</v>
      </c>
      <c r="O31" s="20">
        <f t="shared" ref="O31:P31" si="39">D31/7</f>
        <v>0.2857142857142857</v>
      </c>
      <c r="P31" s="20">
        <f t="shared" si="39"/>
        <v>0</v>
      </c>
      <c r="Q31" s="16">
        <f t="shared" si="8"/>
        <v>0</v>
      </c>
      <c r="R31" s="16"/>
      <c r="S31" s="21">
        <v>4.9166666666666599</v>
      </c>
      <c r="T31" s="14" t="s">
        <v>34</v>
      </c>
      <c r="U31" s="22" t="s">
        <v>34</v>
      </c>
      <c r="V31" s="23" t="s">
        <v>468</v>
      </c>
      <c r="W31" s="30">
        <v>0</v>
      </c>
      <c r="X31" s="24">
        <f t="shared" si="9"/>
        <v>0</v>
      </c>
      <c r="Y31" s="25">
        <f t="shared" si="10"/>
        <v>0</v>
      </c>
      <c r="Z31" s="30">
        <v>0</v>
      </c>
      <c r="AA31" s="14" t="s">
        <v>35</v>
      </c>
      <c r="AB31" s="27">
        <f t="shared" si="11"/>
        <v>-0.69</v>
      </c>
      <c r="AC31" s="28">
        <v>0.46055018055555552</v>
      </c>
      <c r="AD31" s="25">
        <f t="shared" si="12"/>
        <v>-1.2711184983333332</v>
      </c>
      <c r="AE31" s="25">
        <v>-8.98</v>
      </c>
      <c r="AF31" s="25">
        <v>-36.455792000000002</v>
      </c>
      <c r="AG31" s="25">
        <v>0</v>
      </c>
    </row>
    <row r="32" spans="1:33" ht="15.75" customHeight="1">
      <c r="A32" s="14" t="s">
        <v>60</v>
      </c>
      <c r="B32" s="14"/>
      <c r="C32" s="15" t="str">
        <f t="shared" si="4"/>
        <v xml:space="preserve"> - </v>
      </c>
      <c r="D32" s="16">
        <v>0</v>
      </c>
      <c r="E32" s="16">
        <v>0</v>
      </c>
      <c r="F32" s="17">
        <v>0</v>
      </c>
      <c r="G32" s="17">
        <v>0</v>
      </c>
      <c r="H32" s="18" t="e">
        <f t="shared" si="1"/>
        <v>#DIV/0!</v>
      </c>
      <c r="I32" s="18" t="e">
        <f t="shared" si="2"/>
        <v>#DIV/0!</v>
      </c>
      <c r="J32" s="17">
        <f t="shared" si="5"/>
        <v>0</v>
      </c>
      <c r="K32" s="17" t="e">
        <f t="shared" si="3"/>
        <v>#DIV/0!</v>
      </c>
      <c r="L32" s="16">
        <v>0</v>
      </c>
      <c r="M32" s="19" t="str">
        <f t="shared" si="6"/>
        <v>-</v>
      </c>
      <c r="N32" s="16">
        <v>0</v>
      </c>
      <c r="O32" s="20">
        <f t="shared" ref="O32:P32" si="40">D32/7</f>
        <v>0</v>
      </c>
      <c r="P32" s="20">
        <f t="shared" si="40"/>
        <v>0</v>
      </c>
      <c r="Q32" s="16" t="e">
        <f t="shared" si="8"/>
        <v>#DIV/0!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0</v>
      </c>
      <c r="T32" s="14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23" t="str">
        <f ca="1">IFERROR(__xludf.DUMMYFUNCTION("IFERROR(VLOOKUP($B$2,IMPORTRANGE(""https://docs.google.com/spreadsheets/d/1KiWZV1ko8G7lnRucBRBd29jj3Be6ltMfljMDqzOkQmI/edit#gid=1381463014"",""Lookup!A:D""),2,FALSE),"""")"),"No Transit or Factory Storage, 300 In Production 60-100 days from Earliest Arrival")</f>
        <v>No Transit or Factory Storage, 300 In Production 60-100 days from Earliest Arrival</v>
      </c>
      <c r="W32" s="30">
        <v>0</v>
      </c>
      <c r="X32" s="24">
        <f t="shared" si="9"/>
        <v>0</v>
      </c>
      <c r="Y32" s="25">
        <f t="shared" si="10"/>
        <v>0</v>
      </c>
      <c r="Z32" s="30">
        <v>0</v>
      </c>
      <c r="AA32" s="14" t="s">
        <v>35</v>
      </c>
      <c r="AB32" s="27">
        <f t="shared" si="11"/>
        <v>-0.69</v>
      </c>
      <c r="AC32" s="28">
        <v>0.46055018055555552</v>
      </c>
      <c r="AD32" s="25">
        <f t="shared" si="12"/>
        <v>0</v>
      </c>
      <c r="AE32" s="25">
        <v>-8.98</v>
      </c>
      <c r="AF32" s="25">
        <v>-36.455792000000002</v>
      </c>
      <c r="AG32" s="25">
        <v>0</v>
      </c>
    </row>
    <row r="33" spans="1:33" ht="15.75" customHeight="1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16"/>
      <c r="S33" s="21"/>
      <c r="T33" s="31"/>
      <c r="U33" s="36"/>
      <c r="V33" s="1"/>
      <c r="W33" s="31"/>
      <c r="X33" s="31"/>
      <c r="Y33" s="31"/>
      <c r="Z33" s="31"/>
      <c r="AA33" s="2"/>
      <c r="AB33" s="31"/>
      <c r="AC33" s="31"/>
      <c r="AD33" s="31"/>
      <c r="AE33" s="37"/>
      <c r="AF33" s="37"/>
      <c r="AG33" s="37"/>
    </row>
    <row r="34" spans="1:33" ht="15.75" customHeight="1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6"/>
      <c r="V34" s="1"/>
      <c r="W34" s="31"/>
      <c r="X34" s="31"/>
      <c r="Y34" s="31"/>
      <c r="Z34" s="31"/>
      <c r="AA34" s="2"/>
      <c r="AB34" s="31"/>
      <c r="AC34" s="31"/>
      <c r="AD34" s="31"/>
      <c r="AE34" s="37"/>
      <c r="AF34" s="37"/>
      <c r="AG34" s="37"/>
    </row>
    <row r="35" spans="1:33" ht="15.75" customHeight="1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6"/>
      <c r="V35" s="1"/>
      <c r="W35" s="31"/>
      <c r="X35" s="31"/>
      <c r="Y35" s="31"/>
      <c r="Z35" s="31"/>
      <c r="AA35" s="2"/>
      <c r="AB35" s="31"/>
      <c r="AC35" s="31"/>
      <c r="AD35" s="31"/>
      <c r="AE35" s="37"/>
      <c r="AF35" s="37"/>
      <c r="AG35" s="37"/>
    </row>
    <row r="36" spans="1:33" ht="15.75" customHeight="1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6"/>
      <c r="V36" s="1"/>
      <c r="W36" s="31"/>
      <c r="X36" s="31"/>
      <c r="Y36" s="31"/>
      <c r="Z36" s="31"/>
      <c r="AA36" s="2"/>
      <c r="AB36" s="31"/>
      <c r="AC36" s="31"/>
      <c r="AD36" s="31"/>
      <c r="AE36" s="37"/>
      <c r="AF36" s="37"/>
      <c r="AG36" s="37"/>
    </row>
    <row r="37" spans="1:33" ht="15.75" customHeight="1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6"/>
      <c r="V37" s="1"/>
      <c r="W37" s="31"/>
      <c r="X37" s="31"/>
      <c r="Y37" s="31"/>
      <c r="Z37" s="31"/>
      <c r="AA37" s="2"/>
      <c r="AB37" s="31"/>
      <c r="AC37" s="31"/>
      <c r="AD37" s="31"/>
      <c r="AE37" s="37"/>
      <c r="AF37" s="37"/>
      <c r="AG37" s="37"/>
    </row>
    <row r="38" spans="1:33" ht="15.75" customHeight="1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6"/>
      <c r="V38" s="1"/>
      <c r="W38" s="31"/>
      <c r="X38" s="31"/>
      <c r="Y38" s="31"/>
      <c r="Z38" s="31"/>
      <c r="AA38" s="2"/>
      <c r="AB38" s="31"/>
      <c r="AC38" s="31"/>
      <c r="AD38" s="31"/>
      <c r="AE38" s="37"/>
      <c r="AF38" s="37"/>
      <c r="AG38" s="37"/>
    </row>
    <row r="39" spans="1:33" ht="15.75" customHeight="1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6"/>
      <c r="V39" s="1"/>
      <c r="W39" s="31"/>
      <c r="X39" s="31"/>
      <c r="Y39" s="31"/>
      <c r="Z39" s="31"/>
      <c r="AA39" s="2"/>
      <c r="AB39" s="31"/>
      <c r="AC39" s="31"/>
      <c r="AD39" s="31"/>
      <c r="AE39" s="37"/>
      <c r="AF39" s="37"/>
      <c r="AG39" s="37"/>
    </row>
    <row r="40" spans="1:33" ht="15.75" customHeight="1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6"/>
      <c r="V40" s="1"/>
      <c r="W40" s="31"/>
      <c r="X40" s="31"/>
      <c r="Y40" s="31"/>
      <c r="Z40" s="31"/>
      <c r="AA40" s="2"/>
      <c r="AB40" s="31"/>
      <c r="AC40" s="31"/>
      <c r="AD40" s="31"/>
      <c r="AE40" s="37"/>
      <c r="AF40" s="37"/>
      <c r="AG40" s="37"/>
    </row>
    <row r="41" spans="1:33" ht="15.75" customHeight="1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6"/>
      <c r="V41" s="1"/>
      <c r="W41" s="31"/>
      <c r="X41" s="31"/>
      <c r="Y41" s="31"/>
      <c r="Z41" s="31"/>
      <c r="AA41" s="2"/>
      <c r="AB41" s="31"/>
      <c r="AC41" s="31"/>
      <c r="AD41" s="31"/>
      <c r="AE41" s="37"/>
      <c r="AF41" s="37"/>
      <c r="AG41" s="37"/>
    </row>
    <row r="42" spans="1:33" ht="15.75" customHeight="1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6"/>
      <c r="V42" s="1"/>
      <c r="W42" s="31"/>
      <c r="X42" s="31"/>
      <c r="Y42" s="31"/>
      <c r="Z42" s="31"/>
      <c r="AA42" s="2"/>
      <c r="AB42" s="31"/>
      <c r="AC42" s="31"/>
      <c r="AD42" s="31"/>
      <c r="AE42" s="37"/>
      <c r="AF42" s="37"/>
      <c r="AG42" s="37"/>
    </row>
    <row r="43" spans="1:33" ht="15.75" customHeight="1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6"/>
      <c r="V43" s="1"/>
      <c r="W43" s="31"/>
      <c r="X43" s="31"/>
      <c r="Y43" s="31"/>
      <c r="Z43" s="31"/>
      <c r="AA43" s="2"/>
      <c r="AB43" s="31"/>
      <c r="AC43" s="31"/>
      <c r="AD43" s="31"/>
      <c r="AE43" s="37"/>
      <c r="AF43" s="37"/>
      <c r="AG43" s="37"/>
    </row>
    <row r="44" spans="1:33" ht="15.75" customHeight="1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6"/>
      <c r="V44" s="1"/>
      <c r="W44" s="31"/>
      <c r="X44" s="31"/>
      <c r="Y44" s="31"/>
      <c r="Z44" s="31"/>
      <c r="AA44" s="2"/>
      <c r="AB44" s="31"/>
      <c r="AC44" s="31"/>
      <c r="AD44" s="31"/>
      <c r="AE44" s="37"/>
      <c r="AF44" s="37"/>
      <c r="AG44" s="37"/>
    </row>
    <row r="45" spans="1:33" ht="15.75" customHeight="1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6"/>
      <c r="V45" s="1"/>
      <c r="W45" s="31"/>
      <c r="X45" s="31"/>
      <c r="Y45" s="31"/>
      <c r="Z45" s="31"/>
      <c r="AA45" s="2"/>
      <c r="AB45" s="31"/>
      <c r="AC45" s="31"/>
      <c r="AD45" s="31"/>
      <c r="AE45" s="37"/>
      <c r="AF45" s="37"/>
      <c r="AG45" s="37"/>
    </row>
    <row r="46" spans="1:33" ht="15.75" customHeight="1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6"/>
      <c r="V46" s="1"/>
      <c r="W46" s="31"/>
      <c r="X46" s="31"/>
      <c r="Y46" s="31"/>
      <c r="Z46" s="31"/>
      <c r="AA46" s="2"/>
      <c r="AB46" s="31"/>
      <c r="AC46" s="31"/>
      <c r="AD46" s="31"/>
      <c r="AE46" s="37"/>
      <c r="AF46" s="37"/>
      <c r="AG46" s="37"/>
    </row>
    <row r="47" spans="1:33" ht="15.75" customHeight="1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6"/>
      <c r="V47" s="1"/>
      <c r="W47" s="31"/>
      <c r="X47" s="31"/>
      <c r="Y47" s="31"/>
      <c r="Z47" s="31"/>
      <c r="AA47" s="2"/>
      <c r="AB47" s="31"/>
      <c r="AC47" s="31"/>
      <c r="AD47" s="31"/>
      <c r="AE47" s="37"/>
      <c r="AF47" s="37"/>
      <c r="AG47" s="37"/>
    </row>
    <row r="48" spans="1:33" ht="15.75" customHeight="1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6"/>
      <c r="V48" s="1"/>
      <c r="W48" s="31"/>
      <c r="X48" s="31"/>
      <c r="Y48" s="31"/>
      <c r="Z48" s="31"/>
      <c r="AA48" s="2"/>
      <c r="AB48" s="31"/>
      <c r="AC48" s="31"/>
      <c r="AD48" s="31"/>
      <c r="AE48" s="37"/>
      <c r="AF48" s="37"/>
      <c r="AG48" s="37"/>
    </row>
    <row r="49" spans="1:33" ht="15.75" customHeight="1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6"/>
      <c r="V49" s="1"/>
      <c r="W49" s="31"/>
      <c r="X49" s="31"/>
      <c r="Y49" s="31"/>
      <c r="Z49" s="31"/>
      <c r="AA49" s="2"/>
      <c r="AB49" s="31"/>
      <c r="AC49" s="31"/>
      <c r="AD49" s="31"/>
      <c r="AE49" s="37"/>
      <c r="AF49" s="37"/>
      <c r="AG49" s="37"/>
    </row>
    <row r="50" spans="1:33" ht="15.75" customHeight="1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6"/>
      <c r="V50" s="1"/>
      <c r="W50" s="31"/>
      <c r="X50" s="31"/>
      <c r="Y50" s="31"/>
      <c r="Z50" s="31"/>
      <c r="AA50" s="2"/>
      <c r="AB50" s="31"/>
      <c r="AC50" s="31"/>
      <c r="AD50" s="31"/>
      <c r="AE50" s="37"/>
      <c r="AF50" s="37"/>
      <c r="AG50" s="37"/>
    </row>
    <row r="51" spans="1:33" ht="15.75" customHeight="1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6"/>
      <c r="V51" s="1"/>
      <c r="W51" s="31"/>
      <c r="X51" s="31"/>
      <c r="Y51" s="31"/>
      <c r="Z51" s="31"/>
      <c r="AA51" s="2"/>
      <c r="AB51" s="31"/>
      <c r="AC51" s="31"/>
      <c r="AD51" s="31"/>
      <c r="AE51" s="37"/>
      <c r="AF51" s="37"/>
      <c r="AG51" s="37"/>
    </row>
    <row r="52" spans="1:33" ht="15.75" customHeight="1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6"/>
      <c r="V52" s="1"/>
      <c r="W52" s="31"/>
      <c r="X52" s="31"/>
      <c r="Y52" s="31"/>
      <c r="Z52" s="31"/>
      <c r="AA52" s="2"/>
      <c r="AB52" s="31"/>
      <c r="AC52" s="31"/>
      <c r="AD52" s="31"/>
      <c r="AE52" s="37"/>
      <c r="AF52" s="37"/>
      <c r="AG52" s="37"/>
    </row>
    <row r="53" spans="1:33" ht="15.75" customHeight="1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6"/>
      <c r="V53" s="1"/>
      <c r="W53" s="31"/>
      <c r="X53" s="31"/>
      <c r="Y53" s="31"/>
      <c r="Z53" s="31"/>
      <c r="AA53" s="2"/>
      <c r="AB53" s="31"/>
      <c r="AC53" s="31"/>
      <c r="AD53" s="31"/>
      <c r="AE53" s="37"/>
      <c r="AF53" s="37"/>
      <c r="AG53" s="37"/>
    </row>
    <row r="54" spans="1:33" ht="15.75" customHeight="1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6"/>
      <c r="V54" s="1"/>
      <c r="W54" s="31"/>
      <c r="X54" s="31"/>
      <c r="Y54" s="31"/>
      <c r="Z54" s="31"/>
      <c r="AA54" s="2"/>
      <c r="AB54" s="31"/>
      <c r="AC54" s="31"/>
      <c r="AD54" s="31"/>
      <c r="AE54" s="37"/>
      <c r="AF54" s="37"/>
      <c r="AG54" s="37"/>
    </row>
    <row r="55" spans="1:33" ht="15.75" customHeight="1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6"/>
      <c r="V55" s="1"/>
      <c r="W55" s="31"/>
      <c r="X55" s="31"/>
      <c r="Y55" s="31"/>
      <c r="Z55" s="31"/>
      <c r="AA55" s="2"/>
      <c r="AB55" s="31"/>
      <c r="AC55" s="31"/>
      <c r="AD55" s="31"/>
      <c r="AE55" s="37"/>
      <c r="AF55" s="37"/>
      <c r="AG55" s="37"/>
    </row>
    <row r="56" spans="1:33" ht="15.75" customHeight="1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6"/>
      <c r="V56" s="1"/>
      <c r="W56" s="31"/>
      <c r="X56" s="31"/>
      <c r="Y56" s="31"/>
      <c r="Z56" s="31"/>
      <c r="AA56" s="2"/>
      <c r="AB56" s="31"/>
      <c r="AC56" s="31"/>
      <c r="AD56" s="31"/>
      <c r="AE56" s="37"/>
      <c r="AF56" s="37"/>
      <c r="AG56" s="37"/>
    </row>
    <row r="57" spans="1:33" ht="15.75" customHeight="1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6"/>
      <c r="V57" s="1"/>
      <c r="W57" s="31"/>
      <c r="X57" s="31"/>
      <c r="Y57" s="31"/>
      <c r="Z57" s="31"/>
      <c r="AA57" s="2"/>
      <c r="AB57" s="31"/>
      <c r="AC57" s="31"/>
      <c r="AD57" s="31"/>
      <c r="AE57" s="37"/>
      <c r="AF57" s="37"/>
      <c r="AG57" s="37"/>
    </row>
    <row r="58" spans="1:33" ht="15.75" customHeight="1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6"/>
      <c r="V58" s="1"/>
      <c r="W58" s="31"/>
      <c r="X58" s="31"/>
      <c r="Y58" s="31"/>
      <c r="Z58" s="31"/>
      <c r="AA58" s="2"/>
      <c r="AB58" s="31"/>
      <c r="AC58" s="31"/>
      <c r="AD58" s="31"/>
      <c r="AE58" s="37"/>
      <c r="AF58" s="37"/>
      <c r="AG58" s="37"/>
    </row>
    <row r="59" spans="1:33" ht="15.75" customHeight="1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6"/>
      <c r="V59" s="1"/>
      <c r="W59" s="31"/>
      <c r="X59" s="31"/>
      <c r="Y59" s="31"/>
      <c r="Z59" s="31"/>
      <c r="AA59" s="2"/>
      <c r="AB59" s="31"/>
      <c r="AC59" s="31"/>
      <c r="AD59" s="31"/>
      <c r="AE59" s="37"/>
      <c r="AF59" s="37"/>
      <c r="AG59" s="37"/>
    </row>
    <row r="60" spans="1:33" ht="15.75" customHeight="1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6"/>
      <c r="V60" s="1"/>
      <c r="W60" s="31"/>
      <c r="X60" s="31"/>
      <c r="Y60" s="31"/>
      <c r="Z60" s="31"/>
      <c r="AA60" s="2"/>
      <c r="AB60" s="31"/>
      <c r="AC60" s="31"/>
      <c r="AD60" s="31"/>
      <c r="AE60" s="37"/>
      <c r="AF60" s="37"/>
      <c r="AG60" s="37"/>
    </row>
    <row r="61" spans="1:33" ht="15.75" customHeight="1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6"/>
      <c r="V61" s="1"/>
      <c r="W61" s="31"/>
      <c r="X61" s="31"/>
      <c r="Y61" s="31"/>
      <c r="Z61" s="31"/>
      <c r="AA61" s="2"/>
      <c r="AB61" s="31"/>
      <c r="AC61" s="31"/>
      <c r="AD61" s="31"/>
      <c r="AE61" s="37"/>
      <c r="AF61" s="37"/>
      <c r="AG61" s="37"/>
    </row>
    <row r="62" spans="1:33" ht="15.75" customHeight="1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6"/>
      <c r="V62" s="1"/>
      <c r="W62" s="31"/>
      <c r="X62" s="31"/>
      <c r="Y62" s="31"/>
      <c r="Z62" s="31"/>
      <c r="AA62" s="2"/>
      <c r="AB62" s="31"/>
      <c r="AC62" s="31"/>
      <c r="AD62" s="31"/>
      <c r="AE62" s="37"/>
      <c r="AF62" s="37"/>
      <c r="AG62" s="37"/>
    </row>
    <row r="63" spans="1:33" ht="15.75" customHeight="1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6"/>
      <c r="V63" s="1"/>
      <c r="W63" s="31"/>
      <c r="X63" s="31"/>
      <c r="Y63" s="31"/>
      <c r="Z63" s="31"/>
      <c r="AA63" s="2"/>
      <c r="AB63" s="31"/>
      <c r="AC63" s="31"/>
      <c r="AD63" s="31"/>
      <c r="AE63" s="37"/>
      <c r="AF63" s="37"/>
      <c r="AG63" s="37"/>
    </row>
    <row r="64" spans="1:33" ht="15.75" customHeight="1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6"/>
      <c r="V64" s="1"/>
      <c r="W64" s="31"/>
      <c r="X64" s="31"/>
      <c r="Y64" s="31"/>
      <c r="Z64" s="31"/>
      <c r="AA64" s="2"/>
      <c r="AB64" s="31"/>
      <c r="AC64" s="31"/>
      <c r="AD64" s="31"/>
      <c r="AE64" s="37"/>
      <c r="AF64" s="37"/>
      <c r="AG64" s="37"/>
    </row>
    <row r="65" spans="1:33" ht="15.75" customHeight="1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6"/>
      <c r="V65" s="1"/>
      <c r="W65" s="31"/>
      <c r="X65" s="31"/>
      <c r="Y65" s="31"/>
      <c r="Z65" s="31"/>
      <c r="AA65" s="2"/>
      <c r="AB65" s="31"/>
      <c r="AC65" s="31"/>
      <c r="AD65" s="31"/>
      <c r="AE65" s="37"/>
      <c r="AF65" s="37"/>
      <c r="AG65" s="37"/>
    </row>
    <row r="66" spans="1:33" ht="15.75" customHeight="1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6"/>
      <c r="V66" s="1"/>
      <c r="W66" s="31"/>
      <c r="X66" s="31"/>
      <c r="Y66" s="31"/>
      <c r="Z66" s="31"/>
      <c r="AA66" s="2"/>
      <c r="AB66" s="31"/>
      <c r="AC66" s="31"/>
      <c r="AD66" s="31"/>
      <c r="AE66" s="37"/>
      <c r="AF66" s="37"/>
      <c r="AG66" s="37"/>
    </row>
    <row r="67" spans="1:33" ht="15.75" customHeight="1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6"/>
      <c r="V67" s="1"/>
      <c r="W67" s="31"/>
      <c r="X67" s="31"/>
      <c r="Y67" s="31"/>
      <c r="Z67" s="31"/>
      <c r="AA67" s="2"/>
      <c r="AB67" s="31"/>
      <c r="AC67" s="31"/>
      <c r="AD67" s="31"/>
      <c r="AE67" s="37"/>
      <c r="AF67" s="37"/>
      <c r="AG67" s="37"/>
    </row>
    <row r="68" spans="1:33" ht="15.75" customHeight="1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6"/>
      <c r="V68" s="1"/>
      <c r="W68" s="31"/>
      <c r="X68" s="31"/>
      <c r="Y68" s="31"/>
      <c r="Z68" s="31"/>
      <c r="AA68" s="2"/>
      <c r="AB68" s="31"/>
      <c r="AC68" s="31"/>
      <c r="AD68" s="31"/>
      <c r="AE68" s="37"/>
      <c r="AF68" s="37"/>
      <c r="AG68" s="37"/>
    </row>
    <row r="69" spans="1:33" ht="15.75" customHeight="1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6"/>
      <c r="V69" s="1"/>
      <c r="W69" s="31"/>
      <c r="X69" s="31"/>
      <c r="Y69" s="31"/>
      <c r="Z69" s="31"/>
      <c r="AA69" s="2"/>
      <c r="AB69" s="31"/>
      <c r="AC69" s="31"/>
      <c r="AD69" s="31"/>
      <c r="AE69" s="37"/>
      <c r="AF69" s="37"/>
      <c r="AG69" s="37"/>
    </row>
    <row r="70" spans="1:33" ht="15.75" customHeight="1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6"/>
      <c r="V70" s="1"/>
      <c r="W70" s="31"/>
      <c r="X70" s="31"/>
      <c r="Y70" s="31"/>
      <c r="Z70" s="31"/>
      <c r="AA70" s="2"/>
      <c r="AB70" s="31"/>
      <c r="AC70" s="31"/>
      <c r="AD70" s="31"/>
      <c r="AE70" s="37"/>
      <c r="AF70" s="37"/>
      <c r="AG70" s="37"/>
    </row>
    <row r="71" spans="1:33" ht="15.75" customHeight="1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6"/>
      <c r="V71" s="1"/>
      <c r="W71" s="31"/>
      <c r="X71" s="31"/>
      <c r="Y71" s="31"/>
      <c r="Z71" s="31"/>
      <c r="AA71" s="2"/>
      <c r="AB71" s="31"/>
      <c r="AC71" s="31"/>
      <c r="AD71" s="31"/>
      <c r="AE71" s="37"/>
      <c r="AF71" s="37"/>
      <c r="AG71" s="37"/>
    </row>
    <row r="72" spans="1:33" ht="15.75" customHeight="1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6"/>
      <c r="V72" s="1"/>
      <c r="W72" s="31"/>
      <c r="X72" s="31"/>
      <c r="Y72" s="31"/>
      <c r="Z72" s="31"/>
      <c r="AA72" s="2"/>
      <c r="AB72" s="31"/>
      <c r="AC72" s="31"/>
      <c r="AD72" s="31"/>
      <c r="AE72" s="37"/>
      <c r="AF72" s="37"/>
      <c r="AG72" s="37"/>
    </row>
    <row r="73" spans="1:33" ht="15.75" customHeight="1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6"/>
      <c r="V73" s="1"/>
      <c r="W73" s="31"/>
      <c r="X73" s="31"/>
      <c r="Y73" s="31"/>
      <c r="Z73" s="31"/>
      <c r="AA73" s="2"/>
      <c r="AB73" s="31"/>
      <c r="AC73" s="31"/>
      <c r="AD73" s="31"/>
      <c r="AE73" s="37"/>
      <c r="AF73" s="37"/>
      <c r="AG73" s="37"/>
    </row>
    <row r="74" spans="1:33" ht="15.75" customHeight="1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6"/>
      <c r="V74" s="1"/>
      <c r="W74" s="31"/>
      <c r="X74" s="31"/>
      <c r="Y74" s="31"/>
      <c r="Z74" s="31"/>
      <c r="AA74" s="2"/>
      <c r="AB74" s="31"/>
      <c r="AC74" s="31"/>
      <c r="AD74" s="31"/>
      <c r="AE74" s="37"/>
      <c r="AF74" s="37"/>
      <c r="AG74" s="37"/>
    </row>
    <row r="75" spans="1:33" ht="15.75" customHeight="1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6"/>
      <c r="V75" s="1"/>
      <c r="W75" s="31"/>
      <c r="X75" s="31"/>
      <c r="Y75" s="31"/>
      <c r="Z75" s="31"/>
      <c r="AA75" s="2"/>
      <c r="AB75" s="31"/>
      <c r="AC75" s="31"/>
      <c r="AD75" s="31"/>
      <c r="AE75" s="37"/>
      <c r="AF75" s="37"/>
      <c r="AG75" s="37"/>
    </row>
    <row r="76" spans="1:33" ht="15.75" customHeight="1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6"/>
      <c r="V76" s="1"/>
      <c r="W76" s="31"/>
      <c r="X76" s="31"/>
      <c r="Y76" s="31"/>
      <c r="Z76" s="31"/>
      <c r="AA76" s="2"/>
      <c r="AB76" s="31"/>
      <c r="AC76" s="31"/>
      <c r="AD76" s="31"/>
      <c r="AE76" s="37"/>
      <c r="AF76" s="37"/>
      <c r="AG76" s="37"/>
    </row>
    <row r="77" spans="1:33" ht="15.75" customHeight="1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6"/>
      <c r="V77" s="1"/>
      <c r="W77" s="31"/>
      <c r="X77" s="31"/>
      <c r="Y77" s="31"/>
      <c r="Z77" s="31"/>
      <c r="AA77" s="2"/>
      <c r="AB77" s="31"/>
      <c r="AC77" s="31"/>
      <c r="AD77" s="31"/>
      <c r="AE77" s="37"/>
      <c r="AF77" s="37"/>
      <c r="AG77" s="37"/>
    </row>
    <row r="78" spans="1:33" ht="15.75" customHeight="1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6"/>
      <c r="V78" s="1"/>
      <c r="W78" s="31"/>
      <c r="X78" s="31"/>
      <c r="Y78" s="31"/>
      <c r="Z78" s="31"/>
      <c r="AA78" s="2"/>
      <c r="AB78" s="31"/>
      <c r="AC78" s="31"/>
      <c r="AD78" s="31"/>
      <c r="AE78" s="37"/>
      <c r="AF78" s="37"/>
      <c r="AG78" s="37"/>
    </row>
    <row r="79" spans="1:33" ht="15.75" customHeight="1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6"/>
      <c r="V79" s="1"/>
      <c r="W79" s="31"/>
      <c r="X79" s="31"/>
      <c r="Y79" s="31"/>
      <c r="Z79" s="31"/>
      <c r="AA79" s="2"/>
      <c r="AB79" s="31"/>
      <c r="AC79" s="31"/>
      <c r="AD79" s="31"/>
      <c r="AE79" s="37"/>
      <c r="AF79" s="37"/>
      <c r="AG79" s="37"/>
    </row>
    <row r="80" spans="1:33" ht="15.75" customHeight="1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6"/>
      <c r="V80" s="1"/>
      <c r="W80" s="31"/>
      <c r="X80" s="31"/>
      <c r="Y80" s="31"/>
      <c r="Z80" s="31"/>
      <c r="AA80" s="2"/>
      <c r="AB80" s="31"/>
      <c r="AC80" s="31"/>
      <c r="AD80" s="31"/>
      <c r="AE80" s="37"/>
      <c r="AF80" s="37"/>
      <c r="AG80" s="37"/>
    </row>
    <row r="81" spans="1:33" ht="15.75" customHeight="1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6"/>
      <c r="V81" s="1"/>
      <c r="W81" s="31"/>
      <c r="X81" s="31"/>
      <c r="Y81" s="31"/>
      <c r="Z81" s="31"/>
      <c r="AA81" s="2"/>
      <c r="AB81" s="31"/>
      <c r="AC81" s="31"/>
      <c r="AD81" s="31"/>
      <c r="AE81" s="37"/>
      <c r="AF81" s="37"/>
      <c r="AG81" s="37"/>
    </row>
    <row r="82" spans="1:33" ht="15.75" customHeight="1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6"/>
      <c r="V82" s="1"/>
      <c r="W82" s="31"/>
      <c r="X82" s="31"/>
      <c r="Y82" s="31"/>
      <c r="Z82" s="31"/>
      <c r="AA82" s="2"/>
      <c r="AB82" s="31"/>
      <c r="AC82" s="31"/>
      <c r="AD82" s="31"/>
      <c r="AE82" s="37"/>
      <c r="AF82" s="37"/>
      <c r="AG82" s="37"/>
    </row>
    <row r="83" spans="1:33" ht="15.75" customHeight="1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6"/>
      <c r="V83" s="1"/>
      <c r="W83" s="31"/>
      <c r="X83" s="31"/>
      <c r="Y83" s="31"/>
      <c r="Z83" s="31"/>
      <c r="AA83" s="2"/>
      <c r="AB83" s="31"/>
      <c r="AC83" s="31"/>
      <c r="AD83" s="31"/>
      <c r="AE83" s="37"/>
      <c r="AF83" s="37"/>
      <c r="AG83" s="37"/>
    </row>
    <row r="84" spans="1:33" ht="15.75" customHeight="1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6"/>
      <c r="V84" s="1"/>
      <c r="W84" s="31"/>
      <c r="X84" s="31"/>
      <c r="Y84" s="31"/>
      <c r="Z84" s="31"/>
      <c r="AA84" s="2"/>
      <c r="AB84" s="31"/>
      <c r="AC84" s="31"/>
      <c r="AD84" s="31"/>
      <c r="AE84" s="37"/>
      <c r="AF84" s="37"/>
      <c r="AG84" s="37"/>
    </row>
    <row r="85" spans="1:33" ht="15.75" customHeight="1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6"/>
      <c r="V85" s="1"/>
      <c r="W85" s="31"/>
      <c r="X85" s="31"/>
      <c r="Y85" s="31"/>
      <c r="Z85" s="31"/>
      <c r="AA85" s="2"/>
      <c r="AB85" s="31"/>
      <c r="AC85" s="31"/>
      <c r="AD85" s="31"/>
      <c r="AE85" s="37"/>
      <c r="AF85" s="37"/>
      <c r="AG85" s="37"/>
    </row>
    <row r="86" spans="1:33" ht="15.75" customHeight="1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6"/>
      <c r="V86" s="1"/>
      <c r="W86" s="31"/>
      <c r="X86" s="31"/>
      <c r="Y86" s="31"/>
      <c r="Z86" s="31"/>
      <c r="AA86" s="2"/>
      <c r="AB86" s="31"/>
      <c r="AC86" s="31"/>
      <c r="AD86" s="31"/>
      <c r="AE86" s="37"/>
      <c r="AF86" s="37"/>
      <c r="AG86" s="37"/>
    </row>
    <row r="87" spans="1:33" ht="15.75" customHeight="1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6"/>
      <c r="V87" s="1"/>
      <c r="W87" s="31"/>
      <c r="X87" s="31"/>
      <c r="Y87" s="31"/>
      <c r="Z87" s="31"/>
      <c r="AA87" s="2"/>
      <c r="AB87" s="31"/>
      <c r="AC87" s="31"/>
      <c r="AD87" s="31"/>
      <c r="AE87" s="37"/>
      <c r="AF87" s="37"/>
      <c r="AG87" s="37"/>
    </row>
    <row r="88" spans="1:33" ht="15.75" customHeight="1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6"/>
      <c r="V88" s="1"/>
      <c r="W88" s="31"/>
      <c r="X88" s="31"/>
      <c r="Y88" s="31"/>
      <c r="Z88" s="31"/>
      <c r="AA88" s="2"/>
      <c r="AB88" s="31"/>
      <c r="AC88" s="31"/>
      <c r="AD88" s="31"/>
      <c r="AE88" s="37"/>
      <c r="AF88" s="37"/>
      <c r="AG88" s="37"/>
    </row>
    <row r="89" spans="1:33" ht="15.75" customHeight="1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6"/>
      <c r="V89" s="1"/>
      <c r="W89" s="31"/>
      <c r="X89" s="31"/>
      <c r="Y89" s="31"/>
      <c r="Z89" s="31"/>
      <c r="AA89" s="2"/>
      <c r="AB89" s="31"/>
      <c r="AC89" s="31"/>
      <c r="AD89" s="31"/>
      <c r="AE89" s="37"/>
      <c r="AF89" s="37"/>
      <c r="AG89" s="37"/>
    </row>
    <row r="90" spans="1:33" ht="15.75" customHeight="1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6"/>
      <c r="V90" s="1"/>
      <c r="W90" s="31"/>
      <c r="X90" s="31"/>
      <c r="Y90" s="31"/>
      <c r="Z90" s="31"/>
      <c r="AA90" s="2"/>
      <c r="AB90" s="31"/>
      <c r="AC90" s="31"/>
      <c r="AD90" s="31"/>
      <c r="AE90" s="37"/>
      <c r="AF90" s="37"/>
      <c r="AG90" s="37"/>
    </row>
    <row r="91" spans="1:33" ht="15.75" customHeight="1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6"/>
      <c r="V91" s="1"/>
      <c r="W91" s="31"/>
      <c r="X91" s="31"/>
      <c r="Y91" s="31"/>
      <c r="Z91" s="31"/>
      <c r="AA91" s="2"/>
      <c r="AB91" s="31"/>
      <c r="AC91" s="31"/>
      <c r="AD91" s="31"/>
      <c r="AE91" s="37"/>
      <c r="AF91" s="37"/>
      <c r="AG91" s="37"/>
    </row>
    <row r="92" spans="1:33" ht="15.75" customHeight="1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6"/>
      <c r="V92" s="1"/>
      <c r="W92" s="31"/>
      <c r="X92" s="31"/>
      <c r="Y92" s="31"/>
      <c r="Z92" s="31"/>
      <c r="AA92" s="2"/>
      <c r="AB92" s="31"/>
      <c r="AC92" s="31"/>
      <c r="AD92" s="31"/>
      <c r="AE92" s="37"/>
      <c r="AF92" s="37"/>
      <c r="AG92" s="37"/>
    </row>
    <row r="93" spans="1:33" ht="15.75" customHeight="1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6"/>
      <c r="V93" s="1"/>
      <c r="W93" s="31"/>
      <c r="X93" s="31"/>
      <c r="Y93" s="31"/>
      <c r="Z93" s="31"/>
      <c r="AA93" s="2"/>
      <c r="AB93" s="31"/>
      <c r="AC93" s="31"/>
      <c r="AD93" s="31"/>
      <c r="AE93" s="37"/>
      <c r="AF93" s="37"/>
      <c r="AG93" s="37"/>
    </row>
    <row r="94" spans="1:33" ht="15.75" customHeight="1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6"/>
      <c r="V94" s="1"/>
      <c r="W94" s="31"/>
      <c r="X94" s="31"/>
      <c r="Y94" s="31"/>
      <c r="Z94" s="31"/>
      <c r="AA94" s="2"/>
      <c r="AB94" s="31"/>
      <c r="AC94" s="31"/>
      <c r="AD94" s="31"/>
      <c r="AE94" s="37"/>
      <c r="AF94" s="37"/>
      <c r="AG94" s="37"/>
    </row>
    <row r="95" spans="1:33" ht="15.75" customHeight="1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6"/>
      <c r="V95" s="1"/>
      <c r="W95" s="31"/>
      <c r="X95" s="31"/>
      <c r="Y95" s="31"/>
      <c r="Z95" s="31"/>
      <c r="AA95" s="2"/>
      <c r="AB95" s="31"/>
      <c r="AC95" s="31"/>
      <c r="AD95" s="31"/>
      <c r="AE95" s="37"/>
      <c r="AF95" s="37"/>
      <c r="AG95" s="37"/>
    </row>
    <row r="96" spans="1:33" ht="15.75" customHeight="1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6"/>
      <c r="V96" s="1"/>
      <c r="W96" s="31"/>
      <c r="X96" s="31"/>
      <c r="Y96" s="31"/>
      <c r="Z96" s="31"/>
      <c r="AA96" s="2"/>
      <c r="AB96" s="31"/>
      <c r="AC96" s="31"/>
      <c r="AD96" s="31"/>
      <c r="AE96" s="37"/>
      <c r="AF96" s="37"/>
      <c r="AG96" s="37"/>
    </row>
    <row r="97" spans="1:33" ht="15.75" customHeight="1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8"/>
      <c r="R97" s="38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8"/>
      <c r="R98" s="38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8"/>
      <c r="R99" s="38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8"/>
      <c r="R100" s="38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8"/>
      <c r="R101" s="38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8"/>
      <c r="R102" s="38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8"/>
      <c r="R103" s="38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8"/>
      <c r="R104" s="38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8"/>
      <c r="R105" s="38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8"/>
      <c r="R106" s="38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8"/>
      <c r="R107" s="38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8"/>
      <c r="R108" s="38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8"/>
      <c r="R109" s="38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8"/>
      <c r="R110" s="38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8"/>
      <c r="R111" s="38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8"/>
      <c r="R112" s="38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8"/>
      <c r="R113" s="38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8"/>
      <c r="R114" s="38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>
      <c r="A115" s="31"/>
      <c r="B115" s="31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>
      <c r="A116" s="31"/>
      <c r="B116" s="31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>
      <c r="A117" s="31"/>
      <c r="B117" s="31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>
      <c r="A118" s="31"/>
      <c r="B118" s="31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>
      <c r="A119" s="31"/>
      <c r="B119" s="31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>
      <c r="A120" s="31"/>
      <c r="B120" s="31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>
      <c r="A121" s="31"/>
      <c r="B121" s="31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>
      <c r="A122" s="31"/>
      <c r="B122" s="31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>
      <c r="A123" s="31"/>
      <c r="B123" s="31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>
      <c r="A124" s="31"/>
      <c r="B124" s="31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>
      <c r="A125" s="31"/>
      <c r="B125" s="31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>
      <c r="A126" s="31"/>
      <c r="B126" s="31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>
      <c r="A127" s="31"/>
      <c r="B127" s="31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>
      <c r="A128" s="31"/>
      <c r="B128" s="31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>
      <c r="A129" s="31"/>
      <c r="B129" s="31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>
      <c r="A130" s="31"/>
      <c r="B130" s="31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>
      <c r="A131" s="31"/>
      <c r="B131" s="31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>
      <c r="A132" s="31"/>
      <c r="B132" s="31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>
      <c r="A133" s="31"/>
      <c r="B133" s="31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>
      <c r="A134" s="31"/>
      <c r="B134" s="31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>
      <c r="A135" s="31"/>
      <c r="B135" s="31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>
      <c r="A136" s="31"/>
      <c r="B136" s="31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>
      <c r="A137" s="31"/>
      <c r="B137" s="31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>
      <c r="A138" s="31"/>
      <c r="B138" s="31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>
      <c r="A139" s="31"/>
      <c r="B139" s="31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>
      <c r="A140" s="31"/>
      <c r="B140" s="31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>
      <c r="A141" s="31"/>
      <c r="B141" s="31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2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>
      <c r="A142" s="31"/>
      <c r="B142" s="31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2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>
      <c r="A143" s="31"/>
      <c r="B143" s="31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2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>
      <c r="A144" s="31"/>
      <c r="B144" s="31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2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>
      <c r="A145" s="31"/>
      <c r="B145" s="31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2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>
      <c r="A146" s="31"/>
      <c r="B146" s="31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2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>
      <c r="A147" s="31"/>
      <c r="B147" s="31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2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>
      <c r="A148" s="31"/>
      <c r="B148" s="31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2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</row>
    <row r="149" spans="1:33" ht="15.75" customHeight="1">
      <c r="A149" s="14"/>
      <c r="B149" s="14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>
      <c r="A150" s="14"/>
      <c r="B150" s="14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>
      <c r="A151" s="14"/>
      <c r="B151" s="14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>
      <c r="A152" s="14"/>
      <c r="B152" s="14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>
      <c r="A153" s="14"/>
      <c r="B153" s="14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>
      <c r="A154" s="14"/>
      <c r="B154" s="14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>
      <c r="A155" s="14"/>
      <c r="B155" s="14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>
      <c r="A156" s="14"/>
      <c r="B156" s="14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>
      <c r="A157" s="14"/>
      <c r="B157" s="14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>
      <c r="A158" s="14"/>
      <c r="B158" s="14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>
      <c r="A159" s="14"/>
      <c r="B159" s="14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>
      <c r="A160" s="14"/>
      <c r="B160" s="14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>
      <c r="A161" s="14"/>
      <c r="B161" s="14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>
      <c r="A162" s="14"/>
      <c r="B162" s="14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>
      <c r="A163" s="14"/>
      <c r="B163" s="14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>
      <c r="A164" s="14"/>
      <c r="B164" s="14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>
      <c r="A165" s="14"/>
      <c r="B165" s="14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>
      <c r="A166" s="14"/>
      <c r="B166" s="14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>
      <c r="A167" s="14"/>
      <c r="B167" s="14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>
      <c r="A168" s="14"/>
      <c r="B168" s="14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>
      <c r="A169" s="14"/>
      <c r="B169" s="14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>
      <c r="A170" s="14"/>
      <c r="B170" s="14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>
      <c r="A171" s="14"/>
      <c r="B171" s="14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>
      <c r="A172" s="14"/>
      <c r="B172" s="14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>
      <c r="A173" s="14"/>
      <c r="B173" s="14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>
      <c r="A174" s="14"/>
      <c r="B174" s="14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>
      <c r="A175" s="14"/>
      <c r="B175" s="14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>
      <c r="A176" s="14"/>
      <c r="B176" s="14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>
      <c r="A177" s="14"/>
      <c r="B177" s="14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>
      <c r="A178" s="14"/>
      <c r="B178" s="14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>
      <c r="A179" s="14"/>
      <c r="B179" s="14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>
      <c r="A180" s="14"/>
      <c r="B180" s="14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>
      <c r="A181" s="14"/>
      <c r="B181" s="14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>
      <c r="A182" s="14"/>
      <c r="B182" s="14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>
      <c r="A183" s="14"/>
      <c r="B183" s="14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>
      <c r="A184" s="14"/>
      <c r="B184" s="14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>
      <c r="A185" s="14"/>
      <c r="B185" s="14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>
      <c r="A186" s="14"/>
      <c r="B186" s="14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>
      <c r="A187" s="14"/>
      <c r="B187" s="14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>
      <c r="A188" s="14"/>
      <c r="B188" s="14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>
      <c r="A189" s="14"/>
      <c r="B189" s="14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>
      <c r="A190" s="14"/>
      <c r="B190" s="14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>
      <c r="A191" s="14"/>
      <c r="B191" s="14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>
      <c r="A192" s="14"/>
      <c r="B192" s="14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>
      <c r="A193" s="14"/>
      <c r="B193" s="14"/>
      <c r="C193" s="39"/>
      <c r="D193" s="39"/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>
      <c r="A194" s="14"/>
      <c r="B194" s="14"/>
      <c r="C194" s="39"/>
      <c r="D194" s="39"/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>
      <c r="A195" s="14"/>
      <c r="B195" s="14"/>
      <c r="C195" s="39"/>
      <c r="D195" s="39"/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>
      <c r="A196" s="14"/>
      <c r="B196" s="14"/>
      <c r="C196" s="39"/>
      <c r="D196" s="39"/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>
      <c r="A197" s="14"/>
      <c r="B197" s="14"/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>
      <c r="A198" s="14"/>
      <c r="B198" s="14"/>
      <c r="C198" s="39"/>
      <c r="D198" s="39"/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>
      <c r="A199" s="14"/>
      <c r="B199" s="14"/>
      <c r="C199" s="39"/>
      <c r="D199" s="39"/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>
      <c r="A200" s="14"/>
      <c r="B200" s="14"/>
      <c r="C200" s="39"/>
      <c r="D200" s="39"/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>
      <c r="A201" s="14"/>
      <c r="B201" s="14"/>
      <c r="C201" s="39"/>
      <c r="D201" s="39"/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>
      <c r="A202" s="14"/>
      <c r="B202" s="14"/>
      <c r="C202" s="39"/>
      <c r="D202" s="39"/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>
      <c r="A203" s="14"/>
      <c r="B203" s="14"/>
      <c r="C203" s="39"/>
      <c r="D203" s="39"/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>
      <c r="A204" s="14"/>
      <c r="B204" s="14"/>
      <c r="C204" s="39"/>
      <c r="D204" s="39"/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>
      <c r="A205" s="14"/>
      <c r="B205" s="14"/>
      <c r="C205" s="39"/>
      <c r="D205" s="39"/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>
      <c r="A206" s="14"/>
      <c r="B206" s="14"/>
      <c r="C206" s="39"/>
      <c r="D206" s="39"/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>
      <c r="A207" s="14"/>
      <c r="B207" s="14"/>
      <c r="C207" s="39"/>
      <c r="D207" s="39"/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>
      <c r="A208" s="14"/>
      <c r="B208" s="14"/>
      <c r="C208" s="39"/>
      <c r="D208" s="39"/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>
      <c r="A209" s="14"/>
      <c r="B209" s="14"/>
      <c r="C209" s="39"/>
      <c r="D209" s="39"/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>
      <c r="A210" s="14"/>
      <c r="B210" s="14"/>
      <c r="C210" s="39"/>
      <c r="D210" s="39"/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>
      <c r="A211" s="14"/>
      <c r="B211" s="14"/>
      <c r="C211" s="39"/>
      <c r="D211" s="39"/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>
      <c r="A212" s="14"/>
      <c r="B212" s="14"/>
      <c r="C212" s="39"/>
      <c r="D212" s="39"/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>
      <c r="A213" s="14"/>
      <c r="B213" s="14"/>
      <c r="C213" s="39"/>
      <c r="D213" s="39"/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>
      <c r="A214" s="14"/>
      <c r="B214" s="14"/>
      <c r="C214" s="39"/>
      <c r="D214" s="39"/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>
      <c r="A215" s="14"/>
      <c r="B215" s="14"/>
      <c r="C215" s="39"/>
      <c r="D215" s="39"/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>
      <c r="A216" s="14"/>
      <c r="B216" s="14"/>
      <c r="C216" s="39"/>
      <c r="D216" s="39"/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>
      <c r="A217" s="14"/>
      <c r="B217" s="14"/>
      <c r="C217" s="39"/>
      <c r="D217" s="39"/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>
      <c r="A218" s="14"/>
      <c r="B218" s="14"/>
      <c r="C218" s="39"/>
      <c r="D218" s="39"/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>
      <c r="A219" s="14"/>
      <c r="B219" s="14"/>
      <c r="C219" s="39"/>
      <c r="D219" s="39"/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>
      <c r="A220" s="14"/>
      <c r="B220" s="14"/>
      <c r="C220" s="39"/>
      <c r="D220" s="39"/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>
      <c r="R221" s="30"/>
      <c r="S221" s="40"/>
    </row>
    <row r="222" spans="1:33" ht="15.75" customHeight="1">
      <c r="R222" s="30"/>
      <c r="S222" s="40"/>
    </row>
    <row r="223" spans="1:33" ht="15.75" customHeight="1">
      <c r="R223" s="30"/>
      <c r="S223" s="40"/>
    </row>
    <row r="224" spans="1:33" ht="15.75" customHeight="1">
      <c r="R224" s="30"/>
      <c r="S224" s="40"/>
    </row>
    <row r="225" spans="18:18" ht="15.75" customHeight="1">
      <c r="R225" s="30"/>
    </row>
    <row r="226" spans="18:18" ht="15.75" customHeight="1">
      <c r="R226" s="30"/>
    </row>
    <row r="227" spans="18:18" ht="15.75" customHeight="1">
      <c r="R227" s="30"/>
    </row>
    <row r="228" spans="18:18" ht="15.75" customHeight="1">
      <c r="R228" s="30"/>
    </row>
    <row r="229" spans="18:18" ht="15.75" customHeight="1">
      <c r="R229" s="30"/>
    </row>
    <row r="230" spans="18:18" ht="15.75" customHeight="1">
      <c r="R230" s="30"/>
    </row>
    <row r="231" spans="18:18" ht="15.75" customHeight="1">
      <c r="R231" s="30"/>
    </row>
    <row r="232" spans="18:18" ht="15.75" customHeight="1">
      <c r="R232" s="30"/>
    </row>
    <row r="233" spans="18:18" ht="15.75" customHeight="1">
      <c r="R233" s="30"/>
    </row>
    <row r="234" spans="18:18" ht="15.75" customHeight="1">
      <c r="R234" s="30"/>
    </row>
    <row r="235" spans="18:18" ht="15.75" customHeight="1">
      <c r="R235" s="30"/>
    </row>
    <row r="236" spans="18:18" ht="15.75" customHeight="1">
      <c r="R236" s="30"/>
    </row>
    <row r="237" spans="18:18" ht="15.75" customHeight="1">
      <c r="R237" s="30"/>
    </row>
    <row r="238" spans="18:18" ht="15.75" customHeight="1">
      <c r="R238" s="30"/>
    </row>
    <row r="239" spans="18:18" ht="15.75" customHeight="1">
      <c r="R239" s="30"/>
    </row>
    <row r="240" spans="18:18" ht="15.75" customHeight="1">
      <c r="R240" s="30"/>
    </row>
    <row r="241" spans="18:18" ht="15.75" customHeight="1">
      <c r="R241" s="30"/>
    </row>
    <row r="242" spans="18:18" ht="15.75" customHeight="1">
      <c r="R242" s="30"/>
    </row>
    <row r="243" spans="18:18" ht="15.75" customHeight="1">
      <c r="R243" s="30"/>
    </row>
    <row r="244" spans="18:18" ht="15.75" customHeight="1">
      <c r="R244" s="30"/>
    </row>
    <row r="245" spans="18:18" ht="15.75" customHeight="1">
      <c r="R245" s="30"/>
    </row>
    <row r="246" spans="18:18" ht="15.75" customHeight="1">
      <c r="R246" s="30"/>
    </row>
    <row r="247" spans="18:18" ht="15.75" customHeight="1">
      <c r="R247" s="30"/>
    </row>
    <row r="248" spans="18:18" ht="15.75" customHeight="1">
      <c r="R248" s="30"/>
    </row>
    <row r="249" spans="18:18" ht="15.75" customHeight="1">
      <c r="R249" s="30"/>
    </row>
    <row r="250" spans="18:18" ht="15.75" customHeight="1">
      <c r="R250" s="30"/>
    </row>
    <row r="251" spans="18:18" ht="15.75" customHeight="1">
      <c r="R251" s="30"/>
    </row>
    <row r="252" spans="18:18" ht="15.75" customHeight="1">
      <c r="R252" s="30"/>
    </row>
    <row r="253" spans="18:18" ht="15.75" customHeight="1">
      <c r="R253" s="30"/>
    </row>
    <row r="254" spans="18:18" ht="15.75" customHeight="1">
      <c r="R254" s="30"/>
    </row>
    <row r="255" spans="18:18" ht="15.75" customHeight="1">
      <c r="R255" s="30"/>
    </row>
    <row r="256" spans="18:18" ht="15.75" customHeight="1">
      <c r="R256" s="30"/>
    </row>
    <row r="257" spans="18:18" ht="15.75" customHeight="1">
      <c r="R257" s="30"/>
    </row>
    <row r="258" spans="18:18" ht="15.75" customHeight="1">
      <c r="R258" s="30"/>
    </row>
    <row r="259" spans="18:18" ht="15.75" customHeight="1">
      <c r="R259" s="30"/>
    </row>
    <row r="260" spans="18:18" ht="15.75" customHeight="1">
      <c r="R260" s="30"/>
    </row>
    <row r="261" spans="18:18" ht="15.75" customHeight="1">
      <c r="R261" s="30"/>
    </row>
    <row r="262" spans="18:18" ht="15.75" customHeight="1">
      <c r="R262" s="30"/>
    </row>
    <row r="263" spans="18:18" ht="15.75" customHeight="1">
      <c r="R263" s="30"/>
    </row>
    <row r="264" spans="18:18" ht="15.75" customHeight="1">
      <c r="R264" s="30"/>
    </row>
    <row r="265" spans="18:18" ht="15.75" customHeight="1">
      <c r="R265" s="30"/>
    </row>
    <row r="266" spans="18:18" ht="15.75" customHeight="1">
      <c r="R266" s="30"/>
    </row>
    <row r="267" spans="18:18" ht="15.75" customHeight="1">
      <c r="R267" s="30"/>
    </row>
    <row r="268" spans="18:18" ht="15.75" customHeight="1">
      <c r="R268" s="30"/>
    </row>
    <row r="269" spans="18:18" ht="15.75" customHeight="1">
      <c r="R269" s="30"/>
    </row>
    <row r="270" spans="18:18" ht="15.75" customHeight="1">
      <c r="R270" s="30"/>
    </row>
    <row r="271" spans="18:18" ht="15.75" customHeight="1">
      <c r="R271" s="30"/>
    </row>
    <row r="272" spans="18:18" ht="15.75" customHeight="1">
      <c r="R272" s="30"/>
    </row>
    <row r="273" spans="18:18" ht="15.75" customHeight="1">
      <c r="R273" s="30"/>
    </row>
    <row r="274" spans="18:18" ht="15.75" customHeight="1">
      <c r="R274" s="30"/>
    </row>
    <row r="275" spans="18:18" ht="15.75" customHeight="1">
      <c r="R275" s="30"/>
    </row>
    <row r="276" spans="18:18" ht="15.75" customHeight="1">
      <c r="R276" s="30"/>
    </row>
    <row r="277" spans="18:18" ht="15.75" customHeight="1">
      <c r="R277" s="30"/>
    </row>
    <row r="278" spans="18:18" ht="15.75" customHeight="1">
      <c r="R278" s="30"/>
    </row>
    <row r="279" spans="18:18" ht="15.75" customHeight="1">
      <c r="R279" s="30"/>
    </row>
    <row r="280" spans="18:18" ht="15.75" customHeight="1">
      <c r="R280" s="30"/>
    </row>
    <row r="281" spans="18:18" ht="15.75" customHeight="1">
      <c r="R281" s="30"/>
    </row>
    <row r="282" spans="18:18" ht="15.75" customHeight="1">
      <c r="R282" s="30"/>
    </row>
    <row r="283" spans="18:18" ht="15.75" customHeight="1">
      <c r="R283" s="30"/>
    </row>
    <row r="284" spans="18:18" ht="15.75" customHeight="1">
      <c r="R284" s="30"/>
    </row>
    <row r="285" spans="18:18" ht="15.75" customHeight="1">
      <c r="R285" s="30"/>
    </row>
    <row r="286" spans="18:18" ht="15.75" customHeight="1">
      <c r="R286" s="30"/>
    </row>
    <row r="287" spans="18:18" ht="15.75" customHeight="1">
      <c r="R287" s="30"/>
    </row>
    <row r="288" spans="18:18" ht="15.75" customHeight="1">
      <c r="R288" s="30"/>
    </row>
    <row r="289" spans="18:18" ht="15.75" customHeight="1">
      <c r="R289" s="30"/>
    </row>
    <row r="290" spans="18:18" ht="15.75" customHeight="1">
      <c r="R290" s="30"/>
    </row>
    <row r="291" spans="18:18" ht="15.75" customHeight="1">
      <c r="R291" s="30"/>
    </row>
    <row r="292" spans="18:18" ht="15.75" customHeight="1">
      <c r="R292" s="30"/>
    </row>
    <row r="293" spans="18:18" ht="15.75" customHeight="1">
      <c r="R293" s="30"/>
    </row>
    <row r="294" spans="18:18" ht="15.75" customHeight="1">
      <c r="R294" s="30"/>
    </row>
    <row r="295" spans="18:18" ht="15.75" customHeight="1">
      <c r="R295" s="30"/>
    </row>
    <row r="296" spans="18:18" ht="15.75" customHeight="1">
      <c r="R296" s="30"/>
    </row>
    <row r="297" spans="18:18" ht="15.75" customHeight="1">
      <c r="R297" s="30"/>
    </row>
    <row r="298" spans="18:18" ht="15.75" customHeight="1">
      <c r="R298" s="30"/>
    </row>
    <row r="299" spans="18:18" ht="15.75" customHeight="1">
      <c r="R299" s="30"/>
    </row>
    <row r="300" spans="18:18" ht="15.75" customHeight="1">
      <c r="R300" s="30"/>
    </row>
    <row r="301" spans="18:18" ht="15.75" customHeight="1">
      <c r="R301" s="30"/>
    </row>
    <row r="302" spans="18:18" ht="15.75" customHeight="1">
      <c r="R302" s="30"/>
    </row>
    <row r="303" spans="18:18" ht="15.75" customHeight="1">
      <c r="R303" s="30"/>
    </row>
    <row r="304" spans="18:18" ht="15.75" customHeight="1">
      <c r="R304" s="30"/>
    </row>
    <row r="305" spans="18:18" ht="15.75" customHeight="1">
      <c r="R305" s="30"/>
    </row>
    <row r="306" spans="18:18" ht="15.75" customHeight="1">
      <c r="R306" s="30"/>
    </row>
    <row r="307" spans="18:18" ht="15.75" customHeight="1">
      <c r="R307" s="30"/>
    </row>
    <row r="308" spans="18:18" ht="15.75" customHeight="1">
      <c r="R308" s="30"/>
    </row>
    <row r="309" spans="18:18" ht="15.75" customHeight="1">
      <c r="R309" s="30"/>
    </row>
    <row r="310" spans="18:18" ht="15.75" customHeight="1">
      <c r="R310" s="30"/>
    </row>
    <row r="311" spans="18:18" ht="15.75" customHeight="1">
      <c r="R311" s="30"/>
    </row>
    <row r="312" spans="18:18" ht="15.75" customHeight="1">
      <c r="R312" s="30"/>
    </row>
    <row r="313" spans="18:18" ht="15.75" customHeight="1">
      <c r="R313" s="30"/>
    </row>
    <row r="314" spans="18:18" ht="15.75" customHeight="1">
      <c r="R314" s="30"/>
    </row>
    <row r="315" spans="18:18" ht="15.75" customHeight="1">
      <c r="R315" s="30"/>
    </row>
    <row r="316" spans="18:18" ht="15.75" customHeight="1">
      <c r="R316" s="30"/>
    </row>
    <row r="317" spans="18:18" ht="15.75" customHeight="1">
      <c r="R317" s="30"/>
    </row>
    <row r="318" spans="18:18" ht="15.75" customHeight="1">
      <c r="R318" s="30"/>
    </row>
    <row r="319" spans="18:18" ht="15.75" customHeight="1">
      <c r="R319" s="30"/>
    </row>
    <row r="320" spans="18:18" ht="15.75" customHeight="1">
      <c r="R320" s="30"/>
    </row>
    <row r="321" spans="18:18" ht="15.75" customHeight="1">
      <c r="R321" s="30"/>
    </row>
    <row r="322" spans="18:18" ht="15.75" customHeight="1">
      <c r="R322" s="30"/>
    </row>
    <row r="323" spans="18:18" ht="15.75" customHeight="1">
      <c r="R323" s="30"/>
    </row>
    <row r="324" spans="18:18" ht="15.75" customHeight="1">
      <c r="R324" s="30"/>
    </row>
    <row r="325" spans="18:18" ht="15.75" customHeight="1">
      <c r="R325" s="30"/>
    </row>
    <row r="326" spans="18:18" ht="15.75" customHeight="1">
      <c r="R326" s="30"/>
    </row>
    <row r="327" spans="18:18" ht="15.75" customHeight="1">
      <c r="R327" s="30"/>
    </row>
    <row r="328" spans="18:18" ht="15.75" customHeight="1">
      <c r="R328" s="30"/>
    </row>
    <row r="329" spans="18:18" ht="15.75" customHeight="1">
      <c r="R329" s="30"/>
    </row>
    <row r="330" spans="18:18" ht="15.75" customHeight="1">
      <c r="R330" s="30"/>
    </row>
    <row r="331" spans="18:18" ht="15.75" customHeight="1">
      <c r="R331" s="30"/>
    </row>
    <row r="332" spans="18:18" ht="15.75" customHeight="1">
      <c r="R332" s="30"/>
    </row>
    <row r="333" spans="18:18" ht="15.75" customHeight="1">
      <c r="R333" s="30"/>
    </row>
    <row r="334" spans="18:18" ht="15.75" customHeight="1">
      <c r="R334" s="30"/>
    </row>
    <row r="335" spans="18:18" ht="15.75" customHeight="1">
      <c r="R335" s="30"/>
    </row>
    <row r="336" spans="18:18" ht="15.75" customHeight="1">
      <c r="R336" s="30"/>
    </row>
    <row r="337" spans="18:18" ht="15.75" customHeight="1">
      <c r="R337" s="30"/>
    </row>
    <row r="338" spans="18:18" ht="15.75" customHeight="1">
      <c r="R338" s="30"/>
    </row>
    <row r="339" spans="18:18" ht="15.75" customHeight="1">
      <c r="R339" s="30"/>
    </row>
    <row r="340" spans="18:18" ht="15.75" customHeight="1">
      <c r="R340" s="30"/>
    </row>
    <row r="341" spans="18:18" ht="15.75" customHeight="1">
      <c r="R341" s="30"/>
    </row>
    <row r="342" spans="18:18" ht="15.75" customHeight="1">
      <c r="R342" s="30"/>
    </row>
    <row r="343" spans="18:18" ht="15.75" customHeight="1">
      <c r="R343" s="30"/>
    </row>
    <row r="344" spans="18:18" ht="15.75" customHeight="1">
      <c r="R344" s="30"/>
    </row>
    <row r="345" spans="18:18" ht="15.75" customHeight="1">
      <c r="R345" s="30"/>
    </row>
    <row r="346" spans="18:18" ht="15.75" customHeight="1">
      <c r="R346" s="30"/>
    </row>
    <row r="347" spans="18:18" ht="15.75" customHeight="1">
      <c r="R347" s="30"/>
    </row>
    <row r="348" spans="18:18" ht="15.75" customHeight="1">
      <c r="R348" s="30"/>
    </row>
    <row r="349" spans="18:18" ht="15.75" customHeight="1">
      <c r="R349" s="30"/>
    </row>
    <row r="350" spans="18:18" ht="15.75" customHeight="1">
      <c r="R350" s="30"/>
    </row>
    <row r="351" spans="18:18" ht="15.75" customHeight="1">
      <c r="R351" s="30"/>
    </row>
    <row r="352" spans="18:18" ht="15.75" customHeight="1">
      <c r="R352" s="30"/>
    </row>
    <row r="353" spans="18:18" ht="15.75" customHeight="1">
      <c r="R353" s="30"/>
    </row>
    <row r="354" spans="18:18" ht="15.75" customHeight="1">
      <c r="R354" s="30"/>
    </row>
    <row r="355" spans="18:18" ht="15.75" customHeight="1">
      <c r="R355" s="30"/>
    </row>
    <row r="356" spans="18:18" ht="15.75" customHeight="1">
      <c r="R356" s="30"/>
    </row>
    <row r="357" spans="18:18" ht="15.75" customHeight="1">
      <c r="R357" s="30"/>
    </row>
    <row r="358" spans="18:18" ht="15.75" customHeight="1">
      <c r="R358" s="30"/>
    </row>
    <row r="359" spans="18:18" ht="15.75" customHeight="1">
      <c r="R359" s="30"/>
    </row>
    <row r="360" spans="18:18" ht="15.75" customHeight="1">
      <c r="R360" s="30"/>
    </row>
    <row r="361" spans="18:18" ht="15.75" customHeight="1">
      <c r="R361" s="30"/>
    </row>
    <row r="362" spans="18:18" ht="15.75" customHeight="1">
      <c r="R362" s="30"/>
    </row>
    <row r="363" spans="18:18" ht="15.75" customHeight="1">
      <c r="R363" s="30"/>
    </row>
    <row r="364" spans="18:18" ht="15.75" customHeight="1">
      <c r="R364" s="30"/>
    </row>
    <row r="365" spans="18:18" ht="15.75" customHeight="1">
      <c r="R365" s="30"/>
    </row>
    <row r="366" spans="18:18" ht="15.75" customHeight="1">
      <c r="R366" s="30"/>
    </row>
    <row r="367" spans="18:18" ht="15.75" customHeight="1">
      <c r="R367" s="30"/>
    </row>
    <row r="368" spans="18:18" ht="15.75" customHeight="1">
      <c r="R368" s="30"/>
    </row>
    <row r="369" spans="18:18" ht="15.75" customHeight="1">
      <c r="R369" s="30"/>
    </row>
    <row r="370" spans="18:18" ht="15.75" customHeight="1">
      <c r="R370" s="30"/>
    </row>
    <row r="371" spans="18:18" ht="15.75" customHeight="1">
      <c r="R371" s="30"/>
    </row>
    <row r="372" spans="18:18" ht="15.75" customHeight="1">
      <c r="R372" s="30"/>
    </row>
    <row r="373" spans="18:18" ht="15.75" customHeight="1">
      <c r="R373" s="30"/>
    </row>
    <row r="374" spans="18:18" ht="15.75" customHeight="1">
      <c r="R374" s="30"/>
    </row>
    <row r="375" spans="18:18" ht="15.75" customHeight="1">
      <c r="R375" s="30"/>
    </row>
    <row r="376" spans="18:18" ht="15.75" customHeight="1">
      <c r="R376" s="30"/>
    </row>
    <row r="377" spans="18:18" ht="15.75" customHeight="1">
      <c r="R377" s="30"/>
    </row>
    <row r="378" spans="18:18" ht="15.75" customHeight="1">
      <c r="R378" s="30"/>
    </row>
    <row r="379" spans="18:18" ht="15.75" customHeight="1">
      <c r="R379" s="30"/>
    </row>
    <row r="380" spans="18:18" ht="15.75" customHeight="1">
      <c r="R380" s="30"/>
    </row>
    <row r="381" spans="18:18" ht="15.75" customHeight="1">
      <c r="R381" s="30"/>
    </row>
    <row r="382" spans="18:18" ht="15.75" customHeight="1">
      <c r="R382" s="30"/>
    </row>
    <row r="383" spans="18:18" ht="15.75" customHeight="1">
      <c r="R383" s="30"/>
    </row>
    <row r="384" spans="18:18" ht="15.75" customHeight="1">
      <c r="R384" s="30"/>
    </row>
    <row r="385" spans="18:18" ht="15.75" customHeight="1">
      <c r="R385" s="30"/>
    </row>
    <row r="386" spans="18:18" ht="15.75" customHeight="1">
      <c r="R386" s="30"/>
    </row>
    <row r="387" spans="18:18" ht="15.75" customHeight="1">
      <c r="R387" s="30"/>
    </row>
    <row r="388" spans="18:18" ht="15.75" customHeight="1">
      <c r="R388" s="30"/>
    </row>
    <row r="389" spans="18:18" ht="15.75" customHeight="1">
      <c r="R389" s="30"/>
    </row>
    <row r="390" spans="18:18" ht="15.75" customHeight="1">
      <c r="R390" s="30"/>
    </row>
    <row r="391" spans="18:18" ht="15.75" customHeight="1">
      <c r="R391" s="30"/>
    </row>
    <row r="392" spans="18:18" ht="15.75" customHeight="1">
      <c r="R392" s="30"/>
    </row>
    <row r="393" spans="18:18" ht="15.75" customHeight="1">
      <c r="R393" s="30"/>
    </row>
    <row r="394" spans="18:18" ht="15.75" customHeight="1">
      <c r="R394" s="30"/>
    </row>
    <row r="395" spans="18:18" ht="15.75" customHeight="1">
      <c r="R395" s="30"/>
    </row>
    <row r="396" spans="18:18" ht="15.75" customHeight="1">
      <c r="R396" s="30"/>
    </row>
    <row r="397" spans="18:18" ht="15.75" customHeight="1">
      <c r="R397" s="30"/>
    </row>
    <row r="398" spans="18:18" ht="15.75" customHeight="1">
      <c r="R398" s="30"/>
    </row>
    <row r="399" spans="18:18" ht="15.75" customHeight="1">
      <c r="R399" s="30"/>
    </row>
    <row r="400" spans="18:18" ht="15.75" customHeight="1">
      <c r="R400" s="30"/>
    </row>
    <row r="401" spans="18:18" ht="15.75" customHeight="1">
      <c r="R401" s="30"/>
    </row>
    <row r="402" spans="18:18" ht="15.75" customHeight="1">
      <c r="R402" s="30"/>
    </row>
    <row r="403" spans="18:18" ht="15.75" customHeight="1">
      <c r="R403" s="30"/>
    </row>
    <row r="404" spans="18:18" ht="15.75" customHeight="1">
      <c r="R404" s="30"/>
    </row>
    <row r="405" spans="18:18" ht="15.75" customHeight="1">
      <c r="R405" s="30"/>
    </row>
    <row r="406" spans="18:18" ht="15.75" customHeight="1">
      <c r="R406" s="30"/>
    </row>
    <row r="407" spans="18:18" ht="15.75" customHeight="1">
      <c r="R407" s="30"/>
    </row>
    <row r="408" spans="18:18" ht="15.75" customHeight="1">
      <c r="R408" s="30"/>
    </row>
    <row r="409" spans="18:18" ht="15.75" customHeight="1">
      <c r="R409" s="30"/>
    </row>
    <row r="410" spans="18:18" ht="15.75" customHeight="1">
      <c r="R410" s="30"/>
    </row>
    <row r="411" spans="18:18" ht="15.75" customHeight="1">
      <c r="R411" s="30"/>
    </row>
    <row r="412" spans="18:18" ht="15.75" customHeight="1">
      <c r="R412" s="30"/>
    </row>
    <row r="413" spans="18:18" ht="15.75" customHeight="1">
      <c r="R413" s="30"/>
    </row>
    <row r="414" spans="18:18" ht="15.75" customHeight="1">
      <c r="R414" s="30"/>
    </row>
    <row r="415" spans="18:18" ht="15.75" customHeight="1">
      <c r="R415" s="30"/>
    </row>
    <row r="416" spans="18:18" ht="15.75" customHeight="1">
      <c r="R416" s="30"/>
    </row>
    <row r="417" spans="18:18" ht="15.75" customHeight="1">
      <c r="R417" s="30"/>
    </row>
    <row r="418" spans="18:18" ht="15.75" customHeight="1">
      <c r="R418" s="30"/>
    </row>
    <row r="419" spans="18:18" ht="15.75" customHeight="1">
      <c r="R419" s="30"/>
    </row>
    <row r="420" spans="18:18" ht="15.75" customHeight="1">
      <c r="R420" s="30"/>
    </row>
    <row r="421" spans="18:18" ht="15.75" customHeight="1">
      <c r="R421" s="30"/>
    </row>
    <row r="422" spans="18:18" ht="15.75" customHeight="1">
      <c r="R422" s="30"/>
    </row>
    <row r="423" spans="18:18" ht="15.75" customHeight="1">
      <c r="R423" s="30"/>
    </row>
    <row r="424" spans="18:18" ht="15.75" customHeight="1">
      <c r="R424" s="30"/>
    </row>
    <row r="425" spans="18:18" ht="15.75" customHeight="1">
      <c r="R425" s="30"/>
    </row>
    <row r="426" spans="18:18" ht="15.75" customHeight="1">
      <c r="R426" s="30"/>
    </row>
    <row r="427" spans="18:18" ht="15.75" customHeight="1">
      <c r="R427" s="30"/>
    </row>
    <row r="428" spans="18:18" ht="15.75" customHeight="1">
      <c r="R428" s="30"/>
    </row>
    <row r="429" spans="18:18" ht="15.75" customHeight="1">
      <c r="R429" s="30"/>
    </row>
    <row r="430" spans="18:18" ht="15.75" customHeight="1">
      <c r="R430" s="30"/>
    </row>
    <row r="431" spans="18:18" ht="15.75" customHeight="1">
      <c r="R431" s="30"/>
    </row>
    <row r="432" spans="18:18" ht="15.75" customHeight="1">
      <c r="R432" s="30"/>
    </row>
    <row r="433" spans="18:18" ht="15.75" customHeight="1">
      <c r="R433" s="30"/>
    </row>
    <row r="434" spans="18:18" ht="15.75" customHeight="1">
      <c r="R434" s="30"/>
    </row>
    <row r="435" spans="18:18" ht="15.75" customHeight="1">
      <c r="R435" s="30"/>
    </row>
    <row r="436" spans="18:18" ht="15.75" customHeight="1">
      <c r="R436" s="30"/>
    </row>
    <row r="437" spans="18:18" ht="15.75" customHeight="1">
      <c r="R437" s="30"/>
    </row>
    <row r="438" spans="18:18" ht="15.75" customHeight="1">
      <c r="R438" s="30"/>
    </row>
    <row r="439" spans="18:18" ht="15.75" customHeight="1">
      <c r="R439" s="30"/>
    </row>
    <row r="440" spans="18:18" ht="15.75" customHeight="1">
      <c r="R440" s="30"/>
    </row>
    <row r="441" spans="18:18" ht="15.75" customHeight="1">
      <c r="R441" s="30"/>
    </row>
    <row r="442" spans="18:18" ht="15.75" customHeight="1">
      <c r="R442" s="30"/>
    </row>
    <row r="443" spans="18:18" ht="15.75" customHeight="1">
      <c r="R443" s="30"/>
    </row>
    <row r="444" spans="18:18" ht="15.75" customHeight="1">
      <c r="R444" s="30"/>
    </row>
    <row r="445" spans="18:18" ht="15.75" customHeight="1">
      <c r="R445" s="30"/>
    </row>
    <row r="446" spans="18:18" ht="15.75" customHeight="1">
      <c r="R446" s="30"/>
    </row>
    <row r="447" spans="18:18" ht="15.75" customHeight="1">
      <c r="R447" s="30"/>
    </row>
    <row r="448" spans="18:18" ht="15.75" customHeight="1">
      <c r="R448" s="30"/>
    </row>
    <row r="449" spans="18:18" ht="15.75" customHeight="1">
      <c r="R449" s="30"/>
    </row>
    <row r="450" spans="18:18" ht="15.75" customHeight="1">
      <c r="R450" s="30"/>
    </row>
    <row r="451" spans="18:18" ht="15.75" customHeight="1">
      <c r="R451" s="30"/>
    </row>
    <row r="452" spans="18:18" ht="15.75" customHeight="1">
      <c r="R452" s="30"/>
    </row>
    <row r="453" spans="18:18" ht="15.75" customHeight="1">
      <c r="R453" s="30"/>
    </row>
    <row r="454" spans="18:18" ht="15.75" customHeight="1">
      <c r="R454" s="30"/>
    </row>
    <row r="455" spans="18:18" ht="15.75" customHeight="1">
      <c r="R455" s="30"/>
    </row>
    <row r="456" spans="18:18" ht="15.75" customHeight="1">
      <c r="R456" s="30"/>
    </row>
    <row r="457" spans="18:18" ht="15.75" customHeight="1">
      <c r="R457" s="30"/>
    </row>
    <row r="458" spans="18:18" ht="15.75" customHeight="1">
      <c r="R458" s="30"/>
    </row>
    <row r="459" spans="18:18" ht="15.75" customHeight="1">
      <c r="R459" s="30"/>
    </row>
    <row r="460" spans="18:18" ht="15.75" customHeight="1">
      <c r="R460" s="30"/>
    </row>
    <row r="461" spans="18:18" ht="15.75" customHeight="1">
      <c r="R461" s="30"/>
    </row>
    <row r="462" spans="18:18" ht="15.75" customHeight="1">
      <c r="R462" s="30"/>
    </row>
    <row r="463" spans="18:18" ht="15.75" customHeight="1">
      <c r="R463" s="30"/>
    </row>
    <row r="464" spans="18:18" ht="15.75" customHeight="1">
      <c r="R464" s="30"/>
    </row>
    <row r="465" spans="18:18" ht="15.75" customHeight="1">
      <c r="R465" s="30"/>
    </row>
    <row r="466" spans="18:18" ht="15.75" customHeight="1">
      <c r="R466" s="30"/>
    </row>
    <row r="467" spans="18:18" ht="15.75" customHeight="1">
      <c r="R467" s="30"/>
    </row>
    <row r="468" spans="18:18" ht="15.75" customHeight="1">
      <c r="R468" s="30"/>
    </row>
    <row r="469" spans="18:18" ht="15.75" customHeight="1">
      <c r="R469" s="30"/>
    </row>
    <row r="470" spans="18:18" ht="15.75" customHeight="1">
      <c r="R470" s="30"/>
    </row>
    <row r="471" spans="18:18" ht="15.75" customHeight="1">
      <c r="R471" s="30"/>
    </row>
    <row r="472" spans="18:18" ht="15.75" customHeight="1">
      <c r="R472" s="30"/>
    </row>
    <row r="473" spans="18:18" ht="15.75" customHeight="1">
      <c r="R473" s="30"/>
    </row>
    <row r="474" spans="18:18" ht="15.75" customHeight="1">
      <c r="R474" s="30"/>
    </row>
    <row r="475" spans="18:18" ht="15.75" customHeight="1">
      <c r="R475" s="30"/>
    </row>
    <row r="476" spans="18:18" ht="15.75" customHeight="1">
      <c r="R476" s="30"/>
    </row>
    <row r="477" spans="18:18" ht="15.75" customHeight="1">
      <c r="R477" s="30"/>
    </row>
    <row r="478" spans="18:18" ht="15.75" customHeight="1">
      <c r="R478" s="30"/>
    </row>
    <row r="479" spans="18:18" ht="15.75" customHeight="1">
      <c r="R479" s="30"/>
    </row>
    <row r="480" spans="18:18" ht="15.75" customHeight="1">
      <c r="R480" s="30"/>
    </row>
    <row r="481" spans="18:18" ht="15.75" customHeight="1">
      <c r="R481" s="30"/>
    </row>
    <row r="482" spans="18:18" ht="15.75" customHeight="1">
      <c r="R482" s="30"/>
    </row>
    <row r="483" spans="18:18" ht="15.75" customHeight="1">
      <c r="R483" s="30"/>
    </row>
    <row r="484" spans="18:18" ht="15.75" customHeight="1">
      <c r="R484" s="30"/>
    </row>
    <row r="485" spans="18:18" ht="15.75" customHeight="1">
      <c r="R485" s="30"/>
    </row>
    <row r="486" spans="18:18" ht="15.75" customHeight="1">
      <c r="R486" s="30"/>
    </row>
    <row r="487" spans="18:18" ht="15.75" customHeight="1">
      <c r="R487" s="30"/>
    </row>
    <row r="488" spans="18:18" ht="15.75" customHeight="1">
      <c r="R488" s="30"/>
    </row>
    <row r="489" spans="18:18" ht="15.75" customHeight="1">
      <c r="R489" s="30"/>
    </row>
    <row r="490" spans="18:18" ht="15.75" customHeight="1">
      <c r="R490" s="30"/>
    </row>
    <row r="491" spans="18:18" ht="15.75" customHeight="1">
      <c r="R491" s="30"/>
    </row>
    <row r="492" spans="18:18" ht="15.75" customHeight="1">
      <c r="R492" s="30"/>
    </row>
    <row r="493" spans="18:18" ht="15.75" customHeight="1">
      <c r="R493" s="30"/>
    </row>
    <row r="494" spans="18:18" ht="15.75" customHeight="1">
      <c r="R494" s="30"/>
    </row>
    <row r="495" spans="18:18" ht="15.75" customHeight="1">
      <c r="R495" s="30"/>
    </row>
    <row r="496" spans="18:18" ht="15.75" customHeight="1">
      <c r="R496" s="30"/>
    </row>
    <row r="497" spans="18:18" ht="15.75" customHeight="1">
      <c r="R497" s="30"/>
    </row>
    <row r="498" spans="18:18" ht="15.75" customHeight="1">
      <c r="R498" s="30"/>
    </row>
    <row r="499" spans="18:18" ht="15.75" customHeight="1">
      <c r="R499" s="30"/>
    </row>
    <row r="500" spans="18:18" ht="15.75" customHeight="1">
      <c r="R500" s="30"/>
    </row>
    <row r="501" spans="18:18" ht="15.75" customHeight="1">
      <c r="R501" s="30"/>
    </row>
    <row r="502" spans="18:18" ht="15.75" customHeight="1">
      <c r="R502" s="30"/>
    </row>
    <row r="503" spans="18:18" ht="15.75" customHeight="1">
      <c r="R503" s="30"/>
    </row>
    <row r="504" spans="18:18" ht="15.75" customHeight="1">
      <c r="R504" s="30"/>
    </row>
    <row r="505" spans="18:18" ht="15.75" customHeight="1">
      <c r="R505" s="30"/>
    </row>
    <row r="506" spans="18:18" ht="15.75" customHeight="1">
      <c r="R506" s="30"/>
    </row>
    <row r="507" spans="18:18" ht="15.75" customHeight="1">
      <c r="R507" s="30"/>
    </row>
    <row r="508" spans="18:18" ht="15.75" customHeight="1">
      <c r="R508" s="30"/>
    </row>
    <row r="509" spans="18:18" ht="15.75" customHeight="1">
      <c r="R509" s="30"/>
    </row>
    <row r="510" spans="18:18" ht="15.75" customHeight="1">
      <c r="R510" s="30"/>
    </row>
    <row r="511" spans="18:18" ht="15.75" customHeight="1">
      <c r="R511" s="30"/>
    </row>
    <row r="512" spans="18:18" ht="15.75" customHeight="1">
      <c r="R512" s="30"/>
    </row>
    <row r="513" spans="18:18" ht="15.75" customHeight="1">
      <c r="R513" s="30"/>
    </row>
    <row r="514" spans="18:18" ht="15.75" customHeight="1">
      <c r="R514" s="30"/>
    </row>
    <row r="515" spans="18:18" ht="15.75" customHeight="1">
      <c r="R515" s="30"/>
    </row>
    <row r="516" spans="18:18" ht="15.75" customHeight="1">
      <c r="R516" s="30"/>
    </row>
    <row r="517" spans="18:18" ht="15.75" customHeight="1">
      <c r="R517" s="30"/>
    </row>
    <row r="518" spans="18:18" ht="15.75" customHeight="1">
      <c r="R518" s="30"/>
    </row>
    <row r="519" spans="18:18" ht="15.75" customHeight="1">
      <c r="R519" s="30"/>
    </row>
    <row r="520" spans="18:18" ht="15.75" customHeight="1">
      <c r="R520" s="30"/>
    </row>
    <row r="521" spans="18:18" ht="15.75" customHeight="1">
      <c r="R521" s="30"/>
    </row>
    <row r="522" spans="18:18" ht="15.75" customHeight="1">
      <c r="R522" s="30"/>
    </row>
    <row r="523" spans="18:18" ht="15.75" customHeight="1">
      <c r="R523" s="30"/>
    </row>
    <row r="524" spans="18:18" ht="15.75" customHeight="1">
      <c r="R524" s="30"/>
    </row>
    <row r="525" spans="18:18" ht="15.75" customHeight="1">
      <c r="R525" s="30"/>
    </row>
    <row r="526" spans="18:18" ht="15.75" customHeight="1">
      <c r="R526" s="30"/>
    </row>
    <row r="527" spans="18:18" ht="15.75" customHeight="1">
      <c r="R527" s="30"/>
    </row>
    <row r="528" spans="18:18" ht="15.75" customHeight="1">
      <c r="R528" s="30"/>
    </row>
    <row r="529" spans="18:18" ht="15.75" customHeight="1">
      <c r="R529" s="30"/>
    </row>
    <row r="530" spans="18:18" ht="15.75" customHeight="1">
      <c r="R530" s="30"/>
    </row>
    <row r="531" spans="18:18" ht="15.75" customHeight="1">
      <c r="R531" s="30"/>
    </row>
    <row r="532" spans="18:18" ht="15.75" customHeight="1">
      <c r="R532" s="30"/>
    </row>
    <row r="533" spans="18:18" ht="15.75" customHeight="1">
      <c r="R533" s="30"/>
    </row>
    <row r="534" spans="18:18" ht="15.75" customHeight="1">
      <c r="R534" s="30"/>
    </row>
    <row r="535" spans="18:18" ht="15.75" customHeight="1">
      <c r="R535" s="30"/>
    </row>
    <row r="536" spans="18:18" ht="15.75" customHeight="1">
      <c r="R536" s="30"/>
    </row>
    <row r="537" spans="18:18" ht="15.75" customHeight="1">
      <c r="R537" s="30"/>
    </row>
    <row r="538" spans="18:18" ht="15.75" customHeight="1">
      <c r="R538" s="30"/>
    </row>
    <row r="539" spans="18:18" ht="15.75" customHeight="1">
      <c r="R539" s="30"/>
    </row>
    <row r="540" spans="18:18" ht="15.75" customHeight="1">
      <c r="R540" s="30"/>
    </row>
    <row r="541" spans="18:18" ht="15.75" customHeight="1">
      <c r="R541" s="30"/>
    </row>
    <row r="542" spans="18:18" ht="15.75" customHeight="1">
      <c r="R542" s="30"/>
    </row>
    <row r="543" spans="18:18" ht="15.75" customHeight="1">
      <c r="R543" s="30"/>
    </row>
    <row r="544" spans="18:18" ht="15.75" customHeight="1">
      <c r="R544" s="30"/>
    </row>
    <row r="545" spans="18:18" ht="15.75" customHeight="1">
      <c r="R545" s="30"/>
    </row>
    <row r="546" spans="18:18" ht="15.75" customHeight="1">
      <c r="R546" s="30"/>
    </row>
    <row r="547" spans="18:18" ht="15.75" customHeight="1">
      <c r="R547" s="30"/>
    </row>
    <row r="548" spans="18:18" ht="15.75" customHeight="1">
      <c r="R548" s="30"/>
    </row>
    <row r="549" spans="18:18" ht="15.75" customHeight="1">
      <c r="R549" s="30"/>
    </row>
    <row r="550" spans="18:18" ht="15.75" customHeight="1">
      <c r="R550" s="30"/>
    </row>
    <row r="551" spans="18:18" ht="15.75" customHeight="1">
      <c r="R551" s="30"/>
    </row>
    <row r="552" spans="18:18" ht="15.75" customHeight="1">
      <c r="R552" s="30"/>
    </row>
    <row r="553" spans="18:18" ht="15.75" customHeight="1">
      <c r="R553" s="30"/>
    </row>
    <row r="554" spans="18:18" ht="15.75" customHeight="1">
      <c r="R554" s="30"/>
    </row>
    <row r="555" spans="18:18" ht="15.75" customHeight="1">
      <c r="R555" s="30"/>
    </row>
    <row r="556" spans="18:18" ht="15.75" customHeight="1">
      <c r="R556" s="30"/>
    </row>
    <row r="557" spans="18:18" ht="15.75" customHeight="1">
      <c r="R557" s="30"/>
    </row>
    <row r="558" spans="18:18" ht="15.75" customHeight="1">
      <c r="R558" s="30"/>
    </row>
    <row r="559" spans="18:18" ht="15.75" customHeight="1">
      <c r="R559" s="30"/>
    </row>
    <row r="560" spans="18:18" ht="15.75" customHeight="1">
      <c r="R560" s="30"/>
    </row>
    <row r="561" spans="18:18" ht="15.75" customHeight="1">
      <c r="R561" s="30"/>
    </row>
    <row r="562" spans="18:18" ht="15.75" customHeight="1">
      <c r="R562" s="30"/>
    </row>
    <row r="563" spans="18:18" ht="15.75" customHeight="1">
      <c r="R563" s="30"/>
    </row>
    <row r="564" spans="18:18" ht="15.75" customHeight="1">
      <c r="R564" s="30"/>
    </row>
    <row r="565" spans="18:18" ht="15.75" customHeight="1">
      <c r="R565" s="30"/>
    </row>
    <row r="566" spans="18:18" ht="15.75" customHeight="1">
      <c r="R566" s="30"/>
    </row>
    <row r="567" spans="18:18" ht="15.75" customHeight="1">
      <c r="R567" s="30"/>
    </row>
    <row r="568" spans="18:18" ht="15.75" customHeight="1">
      <c r="R568" s="30"/>
    </row>
    <row r="569" spans="18:18" ht="15.75" customHeight="1">
      <c r="R569" s="30"/>
    </row>
    <row r="570" spans="18:18" ht="15.75" customHeight="1">
      <c r="R570" s="30"/>
    </row>
    <row r="571" spans="18:18" ht="15.75" customHeight="1">
      <c r="R571" s="30"/>
    </row>
    <row r="572" spans="18:18" ht="15.75" customHeight="1">
      <c r="R572" s="30"/>
    </row>
    <row r="573" spans="18:18" ht="15.75" customHeight="1">
      <c r="R573" s="30"/>
    </row>
    <row r="574" spans="18:18" ht="15.75" customHeight="1">
      <c r="R574" s="30"/>
    </row>
    <row r="575" spans="18:18" ht="15.75" customHeight="1">
      <c r="R575" s="30"/>
    </row>
    <row r="576" spans="18:18" ht="15.75" customHeight="1">
      <c r="R576" s="30"/>
    </row>
    <row r="577" spans="18:18" ht="15.75" customHeight="1">
      <c r="R577" s="30"/>
    </row>
    <row r="578" spans="18:18" ht="15.75" customHeight="1">
      <c r="R578" s="30"/>
    </row>
    <row r="579" spans="18:18" ht="15.75" customHeight="1">
      <c r="R579" s="30"/>
    </row>
    <row r="580" spans="18:18" ht="15.75" customHeight="1">
      <c r="R580" s="30"/>
    </row>
    <row r="581" spans="18:18" ht="15.75" customHeight="1">
      <c r="R581" s="30"/>
    </row>
    <row r="582" spans="18:18" ht="15.75" customHeight="1">
      <c r="R582" s="30"/>
    </row>
    <row r="583" spans="18:18" ht="15.75" customHeight="1">
      <c r="R583" s="30"/>
    </row>
    <row r="584" spans="18:18" ht="15.75" customHeight="1">
      <c r="R584" s="30"/>
    </row>
    <row r="585" spans="18:18" ht="15.75" customHeight="1">
      <c r="R585" s="30"/>
    </row>
    <row r="586" spans="18:18" ht="15.75" customHeight="1">
      <c r="R586" s="30"/>
    </row>
    <row r="587" spans="18:18" ht="15.75" customHeight="1">
      <c r="R587" s="30"/>
    </row>
    <row r="588" spans="18:18" ht="15.75" customHeight="1">
      <c r="R588" s="30"/>
    </row>
    <row r="589" spans="18:18" ht="15.75" customHeight="1">
      <c r="R589" s="30"/>
    </row>
    <row r="590" spans="18:18" ht="15.75" customHeight="1">
      <c r="R590" s="30"/>
    </row>
    <row r="591" spans="18:18" ht="15.75" customHeight="1">
      <c r="R591" s="30"/>
    </row>
    <row r="592" spans="18:18" ht="15.75" customHeight="1">
      <c r="R592" s="30"/>
    </row>
    <row r="593" spans="18:18" ht="15.75" customHeight="1">
      <c r="R593" s="30"/>
    </row>
    <row r="594" spans="18:18" ht="15.75" customHeight="1">
      <c r="R594" s="30"/>
    </row>
    <row r="595" spans="18:18" ht="15.75" customHeight="1">
      <c r="R595" s="30"/>
    </row>
    <row r="596" spans="18:18" ht="15.75" customHeight="1">
      <c r="R596" s="30"/>
    </row>
    <row r="597" spans="18:18" ht="15.75" customHeight="1">
      <c r="R597" s="30"/>
    </row>
    <row r="598" spans="18:18" ht="15.75" customHeight="1">
      <c r="R598" s="30"/>
    </row>
    <row r="599" spans="18:18" ht="15.75" customHeight="1">
      <c r="R599" s="30"/>
    </row>
    <row r="600" spans="18:18" ht="15.75" customHeight="1">
      <c r="R600" s="30"/>
    </row>
    <row r="601" spans="18:18" ht="15.75" customHeight="1">
      <c r="R601" s="30"/>
    </row>
    <row r="602" spans="18:18" ht="15.75" customHeight="1">
      <c r="R602" s="30"/>
    </row>
    <row r="603" spans="18:18" ht="15.75" customHeight="1">
      <c r="R603" s="30"/>
    </row>
    <row r="604" spans="18:18" ht="15.75" customHeight="1">
      <c r="R604" s="30"/>
    </row>
    <row r="605" spans="18:18" ht="15.75" customHeight="1">
      <c r="R605" s="30"/>
    </row>
    <row r="606" spans="18:18" ht="15.75" customHeight="1">
      <c r="R606" s="30"/>
    </row>
    <row r="607" spans="18:18" ht="15.75" customHeight="1">
      <c r="R607" s="30"/>
    </row>
    <row r="608" spans="18:18" ht="15.75" customHeight="1">
      <c r="R608" s="30"/>
    </row>
    <row r="609" spans="18:18" ht="15.75" customHeight="1">
      <c r="R609" s="30"/>
    </row>
    <row r="610" spans="18:18" ht="15.75" customHeight="1">
      <c r="R610" s="30"/>
    </row>
    <row r="611" spans="18:18" ht="15.75" customHeight="1">
      <c r="R611" s="30"/>
    </row>
    <row r="612" spans="18:18" ht="15.75" customHeight="1">
      <c r="R612" s="30"/>
    </row>
    <row r="613" spans="18:18" ht="15.75" customHeight="1">
      <c r="R613" s="30"/>
    </row>
    <row r="614" spans="18:18" ht="15.75" customHeight="1">
      <c r="R614" s="30"/>
    </row>
    <row r="615" spans="18:18" ht="15.75" customHeight="1">
      <c r="R615" s="30"/>
    </row>
    <row r="616" spans="18:18" ht="15.75" customHeight="1">
      <c r="R616" s="30"/>
    </row>
    <row r="617" spans="18:18" ht="15.75" customHeight="1">
      <c r="R617" s="30"/>
    </row>
    <row r="618" spans="18:18" ht="15.75" customHeight="1">
      <c r="R618" s="30"/>
    </row>
    <row r="619" spans="18:18" ht="15.75" customHeight="1">
      <c r="R619" s="30"/>
    </row>
    <row r="620" spans="18:18" ht="15.75" customHeight="1">
      <c r="R620" s="30"/>
    </row>
    <row r="621" spans="18:18" ht="15.75" customHeight="1">
      <c r="R621" s="30"/>
    </row>
    <row r="622" spans="18:18" ht="15.75" customHeight="1">
      <c r="R622" s="30"/>
    </row>
    <row r="623" spans="18:18" ht="15.75" customHeight="1">
      <c r="R623" s="30"/>
    </row>
    <row r="624" spans="18:18" ht="15.75" customHeight="1">
      <c r="R624" s="30"/>
    </row>
    <row r="625" spans="18:18" ht="15.75" customHeight="1">
      <c r="R625" s="30"/>
    </row>
    <row r="626" spans="18:18" ht="15.75" customHeight="1">
      <c r="R626" s="30"/>
    </row>
    <row r="627" spans="18:18" ht="15.75" customHeight="1">
      <c r="R627" s="30"/>
    </row>
    <row r="628" spans="18:18" ht="15.75" customHeight="1">
      <c r="R628" s="30"/>
    </row>
    <row r="629" spans="18:18" ht="15.75" customHeight="1">
      <c r="R629" s="30"/>
    </row>
    <row r="630" spans="18:18" ht="15.75" customHeight="1">
      <c r="R630" s="30"/>
    </row>
    <row r="631" spans="18:18" ht="15.75" customHeight="1">
      <c r="R631" s="30"/>
    </row>
    <row r="632" spans="18:18" ht="15.75" customHeight="1">
      <c r="R632" s="30"/>
    </row>
    <row r="633" spans="18:18" ht="15.75" customHeight="1">
      <c r="R633" s="30"/>
    </row>
    <row r="634" spans="18:18" ht="15.75" customHeight="1">
      <c r="R634" s="30"/>
    </row>
    <row r="635" spans="18:18" ht="15.75" customHeight="1">
      <c r="R635" s="30"/>
    </row>
    <row r="636" spans="18:18" ht="15.75" customHeight="1">
      <c r="R636" s="30"/>
    </row>
    <row r="637" spans="18:18" ht="15.75" customHeight="1">
      <c r="R637" s="30"/>
    </row>
    <row r="638" spans="18:18" ht="15.75" customHeight="1">
      <c r="R638" s="30"/>
    </row>
    <row r="639" spans="18:18" ht="15.75" customHeight="1">
      <c r="R639" s="30"/>
    </row>
    <row r="640" spans="18:18" ht="15.75" customHeight="1">
      <c r="R640" s="30"/>
    </row>
    <row r="641" spans="18:18" ht="15.75" customHeight="1">
      <c r="R641" s="30"/>
    </row>
    <row r="642" spans="18:18" ht="15.75" customHeight="1">
      <c r="R642" s="30"/>
    </row>
    <row r="643" spans="18:18" ht="15.75" customHeight="1">
      <c r="R643" s="30"/>
    </row>
    <row r="644" spans="18:18" ht="15.75" customHeight="1">
      <c r="R644" s="30"/>
    </row>
    <row r="645" spans="18:18" ht="15.75" customHeight="1">
      <c r="R645" s="30"/>
    </row>
    <row r="646" spans="18:18" ht="15.75" customHeight="1">
      <c r="R646" s="30"/>
    </row>
    <row r="647" spans="18:18" ht="15.75" customHeight="1">
      <c r="R647" s="30"/>
    </row>
    <row r="648" spans="18:18" ht="15.75" customHeight="1">
      <c r="R648" s="30"/>
    </row>
    <row r="649" spans="18:18" ht="15.75" customHeight="1">
      <c r="R649" s="30"/>
    </row>
    <row r="650" spans="18:18" ht="15.75" customHeight="1">
      <c r="R650" s="30"/>
    </row>
    <row r="651" spans="18:18" ht="15.75" customHeight="1">
      <c r="R651" s="30"/>
    </row>
    <row r="652" spans="18:18" ht="15.75" customHeight="1">
      <c r="R652" s="30"/>
    </row>
    <row r="653" spans="18:18" ht="15.75" customHeight="1">
      <c r="R653" s="30"/>
    </row>
    <row r="654" spans="18:18" ht="15.75" customHeight="1">
      <c r="R654" s="30"/>
    </row>
    <row r="655" spans="18:18" ht="15.75" customHeight="1">
      <c r="R655" s="30"/>
    </row>
    <row r="656" spans="18:18" ht="15.75" customHeight="1">
      <c r="R656" s="30"/>
    </row>
    <row r="657" spans="18:18" ht="15.75" customHeight="1">
      <c r="R657" s="30"/>
    </row>
    <row r="658" spans="18:18" ht="15.75" customHeight="1">
      <c r="R658" s="30"/>
    </row>
    <row r="659" spans="18:18" ht="15.75" customHeight="1">
      <c r="R659" s="30"/>
    </row>
    <row r="660" spans="18:18" ht="15.75" customHeight="1">
      <c r="R660" s="30"/>
    </row>
    <row r="661" spans="18:18" ht="15.75" customHeight="1">
      <c r="R661" s="30"/>
    </row>
    <row r="662" spans="18:18" ht="15.75" customHeight="1">
      <c r="R662" s="30"/>
    </row>
    <row r="663" spans="18:18" ht="15.75" customHeight="1">
      <c r="R663" s="30"/>
    </row>
    <row r="664" spans="18:18" ht="15.75" customHeight="1">
      <c r="R664" s="30"/>
    </row>
    <row r="665" spans="18:18" ht="15.75" customHeight="1">
      <c r="R665" s="30"/>
    </row>
    <row r="666" spans="18:18" ht="15.75" customHeight="1">
      <c r="R666" s="30"/>
    </row>
    <row r="667" spans="18:18" ht="15.75" customHeight="1">
      <c r="R667" s="30"/>
    </row>
    <row r="668" spans="18:18" ht="15.75" customHeight="1">
      <c r="R668" s="30"/>
    </row>
    <row r="669" spans="18:18" ht="15.75" customHeight="1">
      <c r="R669" s="30"/>
    </row>
    <row r="670" spans="18:18" ht="15.75" customHeight="1">
      <c r="R670" s="30"/>
    </row>
    <row r="671" spans="18:18" ht="15.75" customHeight="1">
      <c r="R671" s="30"/>
    </row>
    <row r="672" spans="18:18" ht="15.75" customHeight="1">
      <c r="R672" s="30"/>
    </row>
    <row r="673" spans="18:18" ht="15.75" customHeight="1">
      <c r="R673" s="30"/>
    </row>
    <row r="674" spans="18:18" ht="15.75" customHeight="1">
      <c r="R674" s="30"/>
    </row>
    <row r="675" spans="18:18" ht="15.75" customHeight="1">
      <c r="R675" s="30"/>
    </row>
    <row r="676" spans="18:18" ht="15.75" customHeight="1">
      <c r="R676" s="30"/>
    </row>
    <row r="677" spans="18:18" ht="15.75" customHeight="1">
      <c r="R677" s="30"/>
    </row>
    <row r="678" spans="18:18" ht="15.75" customHeight="1">
      <c r="R678" s="30"/>
    </row>
    <row r="679" spans="18:18" ht="15.75" customHeight="1">
      <c r="R679" s="30"/>
    </row>
    <row r="680" spans="18:18" ht="15.75" customHeight="1">
      <c r="R680" s="30"/>
    </row>
    <row r="681" spans="18:18" ht="15.75" customHeight="1">
      <c r="R681" s="30"/>
    </row>
    <row r="682" spans="18:18" ht="15.75" customHeight="1">
      <c r="R682" s="30"/>
    </row>
    <row r="683" spans="18:18" ht="15.75" customHeight="1">
      <c r="R683" s="30"/>
    </row>
    <row r="684" spans="18:18" ht="15.75" customHeight="1">
      <c r="R684" s="30"/>
    </row>
    <row r="685" spans="18:18" ht="15.75" customHeight="1">
      <c r="R685" s="30"/>
    </row>
    <row r="686" spans="18:18" ht="15.75" customHeight="1">
      <c r="R686" s="30"/>
    </row>
    <row r="687" spans="18:18" ht="15.75" customHeight="1">
      <c r="R687" s="30"/>
    </row>
    <row r="688" spans="18:18" ht="15.75" customHeight="1">
      <c r="R688" s="30"/>
    </row>
    <row r="689" spans="18:18" ht="15.75" customHeight="1">
      <c r="R689" s="30"/>
    </row>
    <row r="690" spans="18:18" ht="15.75" customHeight="1">
      <c r="R690" s="30"/>
    </row>
    <row r="691" spans="18:18" ht="15.75" customHeight="1">
      <c r="R691" s="30"/>
    </row>
    <row r="692" spans="18:18" ht="15.75" customHeight="1">
      <c r="R692" s="30"/>
    </row>
    <row r="693" spans="18:18" ht="15.75" customHeight="1">
      <c r="R693" s="30"/>
    </row>
    <row r="694" spans="18:18" ht="15.75" customHeight="1">
      <c r="R694" s="30"/>
    </row>
    <row r="695" spans="18:18" ht="15.75" customHeight="1">
      <c r="R695" s="30"/>
    </row>
    <row r="696" spans="18:18" ht="15.75" customHeight="1">
      <c r="R696" s="30"/>
    </row>
    <row r="697" spans="18:18" ht="15.75" customHeight="1">
      <c r="R697" s="30"/>
    </row>
    <row r="698" spans="18:18" ht="15.75" customHeight="1">
      <c r="R698" s="30"/>
    </row>
    <row r="699" spans="18:18" ht="15.75" customHeight="1">
      <c r="R699" s="30"/>
    </row>
    <row r="700" spans="18:18" ht="15.75" customHeight="1">
      <c r="R700" s="30"/>
    </row>
    <row r="701" spans="18:18" ht="15.75" customHeight="1">
      <c r="R701" s="30"/>
    </row>
    <row r="702" spans="18:18" ht="15.75" customHeight="1">
      <c r="R702" s="30"/>
    </row>
    <row r="703" spans="18:18" ht="15.75" customHeight="1">
      <c r="R703" s="30"/>
    </row>
    <row r="704" spans="18:18" ht="15.75" customHeight="1">
      <c r="R704" s="30"/>
    </row>
    <row r="705" spans="18:18" ht="15.75" customHeight="1">
      <c r="R705" s="30"/>
    </row>
    <row r="706" spans="18:18" ht="15.75" customHeight="1">
      <c r="R706" s="30"/>
    </row>
    <row r="707" spans="18:18" ht="15.75" customHeight="1">
      <c r="R707" s="30"/>
    </row>
    <row r="708" spans="18:18" ht="15.75" customHeight="1">
      <c r="R708" s="30"/>
    </row>
    <row r="709" spans="18:18" ht="15.75" customHeight="1">
      <c r="R709" s="30"/>
    </row>
    <row r="710" spans="18:18" ht="15.75" customHeight="1">
      <c r="R710" s="30"/>
    </row>
    <row r="711" spans="18:18" ht="15.75" customHeight="1">
      <c r="R711" s="30"/>
    </row>
    <row r="712" spans="18:18" ht="15.75" customHeight="1">
      <c r="R712" s="30"/>
    </row>
    <row r="713" spans="18:18" ht="15.75" customHeight="1">
      <c r="R713" s="30"/>
    </row>
    <row r="714" spans="18:18" ht="15.75" customHeight="1">
      <c r="R714" s="30"/>
    </row>
    <row r="715" spans="18:18" ht="15.75" customHeight="1">
      <c r="R715" s="30"/>
    </row>
    <row r="716" spans="18:18" ht="15.75" customHeight="1">
      <c r="R716" s="30"/>
    </row>
    <row r="717" spans="18:18" ht="15.75" customHeight="1">
      <c r="R717" s="30"/>
    </row>
    <row r="718" spans="18:18" ht="15.75" customHeight="1">
      <c r="R718" s="30"/>
    </row>
    <row r="719" spans="18:18" ht="15.75" customHeight="1">
      <c r="R719" s="30"/>
    </row>
    <row r="720" spans="18:18" ht="15.75" customHeight="1">
      <c r="R720" s="30"/>
    </row>
    <row r="721" spans="18:18" ht="15.75" customHeight="1">
      <c r="R721" s="30"/>
    </row>
    <row r="722" spans="18:18" ht="15.75" customHeight="1">
      <c r="R722" s="30"/>
    </row>
    <row r="723" spans="18:18" ht="15.75" customHeight="1">
      <c r="R723" s="30"/>
    </row>
    <row r="724" spans="18:18" ht="15.75" customHeight="1">
      <c r="R724" s="30"/>
    </row>
    <row r="725" spans="18:18" ht="15.75" customHeight="1">
      <c r="R725" s="30"/>
    </row>
    <row r="726" spans="18:18" ht="15.75" customHeight="1">
      <c r="R726" s="30"/>
    </row>
    <row r="727" spans="18:18" ht="15.75" customHeight="1">
      <c r="R727" s="30"/>
    </row>
    <row r="728" spans="18:18" ht="15.75" customHeight="1">
      <c r="R728" s="30"/>
    </row>
    <row r="729" spans="18:18" ht="15.75" customHeight="1">
      <c r="R729" s="30"/>
    </row>
    <row r="730" spans="18:18" ht="15.75" customHeight="1">
      <c r="R730" s="30"/>
    </row>
    <row r="731" spans="18:18" ht="15.75" customHeight="1">
      <c r="R731" s="30"/>
    </row>
    <row r="732" spans="18:18" ht="15.75" customHeight="1">
      <c r="R732" s="30"/>
    </row>
    <row r="733" spans="18:18" ht="15.75" customHeight="1">
      <c r="R733" s="30"/>
    </row>
    <row r="734" spans="18:18" ht="15.75" customHeight="1">
      <c r="R734" s="30"/>
    </row>
    <row r="735" spans="18:18" ht="15.75" customHeight="1">
      <c r="R735" s="30"/>
    </row>
    <row r="736" spans="18:18" ht="15.75" customHeight="1">
      <c r="R736" s="30"/>
    </row>
    <row r="737" spans="18:18" ht="15.75" customHeight="1">
      <c r="R737" s="30"/>
    </row>
    <row r="738" spans="18:18" ht="15.75" customHeight="1">
      <c r="R738" s="30"/>
    </row>
    <row r="739" spans="18:18" ht="15.75" customHeight="1">
      <c r="R739" s="30"/>
    </row>
    <row r="740" spans="18:18" ht="15.75" customHeight="1">
      <c r="R740" s="30"/>
    </row>
    <row r="741" spans="18:18" ht="15.75" customHeight="1">
      <c r="R741" s="30"/>
    </row>
    <row r="742" spans="18:18" ht="15.75" customHeight="1">
      <c r="R742" s="30"/>
    </row>
    <row r="743" spans="18:18" ht="15.75" customHeight="1">
      <c r="R743" s="30"/>
    </row>
    <row r="744" spans="18:18" ht="15.75" customHeight="1">
      <c r="R744" s="30"/>
    </row>
    <row r="745" spans="18:18" ht="15.75" customHeight="1">
      <c r="R745" s="30"/>
    </row>
    <row r="746" spans="18:18" ht="15.75" customHeight="1">
      <c r="R746" s="30"/>
    </row>
    <row r="747" spans="18:18" ht="15.75" customHeight="1">
      <c r="R747" s="30"/>
    </row>
    <row r="748" spans="18:18" ht="15.75" customHeight="1">
      <c r="R748" s="30"/>
    </row>
    <row r="749" spans="18:18" ht="15.75" customHeight="1">
      <c r="R749" s="30"/>
    </row>
    <row r="750" spans="18:18" ht="15.75" customHeight="1">
      <c r="R750" s="30"/>
    </row>
    <row r="751" spans="18:18" ht="15.75" customHeight="1">
      <c r="R751" s="30"/>
    </row>
    <row r="752" spans="18:18" ht="15.75" customHeight="1">
      <c r="R752" s="30"/>
    </row>
    <row r="753" spans="18:18" ht="15.75" customHeight="1">
      <c r="R753" s="30"/>
    </row>
    <row r="754" spans="18:18" ht="15.75" customHeight="1">
      <c r="R754" s="30"/>
    </row>
    <row r="755" spans="18:18" ht="15.75" customHeight="1">
      <c r="R755" s="30"/>
    </row>
    <row r="756" spans="18:18" ht="15.75" customHeight="1">
      <c r="R756" s="30"/>
    </row>
    <row r="757" spans="18:18" ht="15.75" customHeight="1">
      <c r="R757" s="30"/>
    </row>
    <row r="758" spans="18:18" ht="15.75" customHeight="1">
      <c r="R758" s="30"/>
    </row>
    <row r="759" spans="18:18" ht="15.75" customHeight="1">
      <c r="R759" s="30"/>
    </row>
    <row r="760" spans="18:18" ht="15.75" customHeight="1">
      <c r="R760" s="30"/>
    </row>
    <row r="761" spans="18:18" ht="15.75" customHeight="1">
      <c r="R761" s="30"/>
    </row>
    <row r="762" spans="18:18" ht="15.75" customHeight="1">
      <c r="R762" s="30"/>
    </row>
    <row r="763" spans="18:18" ht="15.75" customHeight="1">
      <c r="R763" s="30"/>
    </row>
    <row r="764" spans="18:18" ht="15.75" customHeight="1">
      <c r="R764" s="30"/>
    </row>
    <row r="765" spans="18:18" ht="15.75" customHeight="1">
      <c r="R765" s="30"/>
    </row>
    <row r="766" spans="18:18" ht="15.75" customHeight="1">
      <c r="R766" s="30"/>
    </row>
    <row r="767" spans="18:18" ht="15.75" customHeight="1">
      <c r="R767" s="30"/>
    </row>
    <row r="768" spans="18:18" ht="15.75" customHeight="1">
      <c r="R768" s="30"/>
    </row>
    <row r="769" spans="18:18" ht="15.75" customHeight="1">
      <c r="R769" s="30"/>
    </row>
    <row r="770" spans="18:18" ht="15.75" customHeight="1">
      <c r="R770" s="30"/>
    </row>
    <row r="771" spans="18:18" ht="15.75" customHeight="1">
      <c r="R771" s="30"/>
    </row>
    <row r="772" spans="18:18" ht="15.75" customHeight="1">
      <c r="R772" s="30"/>
    </row>
    <row r="773" spans="18:18" ht="15.75" customHeight="1">
      <c r="R773" s="30"/>
    </row>
    <row r="774" spans="18:18" ht="15.75" customHeight="1">
      <c r="R774" s="30"/>
    </row>
    <row r="775" spans="18:18" ht="15.75" customHeight="1">
      <c r="R775" s="30"/>
    </row>
    <row r="776" spans="18:18" ht="15.75" customHeight="1">
      <c r="R776" s="30"/>
    </row>
    <row r="777" spans="18:18" ht="15.75" customHeight="1">
      <c r="R777" s="30"/>
    </row>
    <row r="778" spans="18:18" ht="15.75" customHeight="1">
      <c r="R778" s="30"/>
    </row>
    <row r="779" spans="18:18" ht="15.75" customHeight="1">
      <c r="R779" s="30"/>
    </row>
    <row r="780" spans="18:18" ht="15.75" customHeight="1">
      <c r="R780" s="30"/>
    </row>
    <row r="781" spans="18:18" ht="15.75" customHeight="1">
      <c r="R781" s="30"/>
    </row>
    <row r="782" spans="18:18" ht="15.75" customHeight="1">
      <c r="R782" s="30"/>
    </row>
    <row r="783" spans="18:18" ht="15.75" customHeight="1">
      <c r="R783" s="30"/>
    </row>
    <row r="784" spans="18:18" ht="15.75" customHeight="1">
      <c r="R784" s="30"/>
    </row>
    <row r="785" spans="18:18" ht="15.75" customHeight="1">
      <c r="R785" s="30"/>
    </row>
    <row r="786" spans="18:18" ht="15.75" customHeight="1">
      <c r="R786" s="30"/>
    </row>
    <row r="787" spans="18:18" ht="15.75" customHeight="1">
      <c r="R787" s="30"/>
    </row>
    <row r="788" spans="18:18" ht="15.75" customHeight="1">
      <c r="R788" s="30"/>
    </row>
    <row r="789" spans="18:18" ht="15.75" customHeight="1">
      <c r="R789" s="30"/>
    </row>
    <row r="790" spans="18:18" ht="15.75" customHeight="1">
      <c r="R790" s="30"/>
    </row>
    <row r="791" spans="18:18" ht="15.75" customHeight="1">
      <c r="R791" s="30"/>
    </row>
    <row r="792" spans="18:18" ht="15.75" customHeight="1">
      <c r="R792" s="30"/>
    </row>
    <row r="793" spans="18:18" ht="15.75" customHeight="1">
      <c r="R793" s="30"/>
    </row>
    <row r="794" spans="18:18" ht="15.75" customHeight="1">
      <c r="R794" s="30"/>
    </row>
    <row r="795" spans="18:18" ht="15.75" customHeight="1">
      <c r="R795" s="30"/>
    </row>
    <row r="796" spans="18:18" ht="15.75" customHeight="1">
      <c r="R796" s="30"/>
    </row>
    <row r="797" spans="18:18" ht="15.75" customHeight="1">
      <c r="R797" s="30"/>
    </row>
    <row r="798" spans="18:18" ht="15.75" customHeight="1">
      <c r="R798" s="30"/>
    </row>
    <row r="799" spans="18:18" ht="15.75" customHeight="1">
      <c r="R799" s="30"/>
    </row>
    <row r="800" spans="18:18" ht="15.75" customHeight="1">
      <c r="R800" s="30"/>
    </row>
    <row r="801" spans="18:18" ht="15.75" customHeight="1">
      <c r="R801" s="30"/>
    </row>
    <row r="802" spans="18:18" ht="15.75" customHeight="1">
      <c r="R802" s="30"/>
    </row>
    <row r="803" spans="18:18" ht="15.75" customHeight="1">
      <c r="R803" s="30"/>
    </row>
    <row r="804" spans="18:18" ht="15.75" customHeight="1">
      <c r="R804" s="30"/>
    </row>
    <row r="805" spans="18:18" ht="15.75" customHeight="1">
      <c r="R805" s="30"/>
    </row>
    <row r="806" spans="18:18" ht="15.75" customHeight="1">
      <c r="R806" s="30"/>
    </row>
    <row r="807" spans="18:18" ht="15.75" customHeight="1">
      <c r="R807" s="30"/>
    </row>
    <row r="808" spans="18:18" ht="15.75" customHeight="1">
      <c r="R808" s="30"/>
    </row>
    <row r="809" spans="18:18" ht="15.75" customHeight="1">
      <c r="R809" s="30"/>
    </row>
    <row r="810" spans="18:18" ht="15.75" customHeight="1">
      <c r="R810" s="30"/>
    </row>
    <row r="811" spans="18:18" ht="15.75" customHeight="1">
      <c r="R811" s="30"/>
    </row>
    <row r="812" spans="18:18" ht="15.75" customHeight="1">
      <c r="R812" s="30"/>
    </row>
    <row r="813" spans="18:18" ht="15.75" customHeight="1">
      <c r="R813" s="30"/>
    </row>
    <row r="814" spans="18:18" ht="15.75" customHeight="1">
      <c r="R814" s="30"/>
    </row>
    <row r="815" spans="18:18" ht="15.75" customHeight="1">
      <c r="R815" s="30"/>
    </row>
    <row r="816" spans="18:18" ht="15.75" customHeight="1">
      <c r="R816" s="30"/>
    </row>
    <row r="817" spans="18:18" ht="15.75" customHeight="1">
      <c r="R817" s="30"/>
    </row>
    <row r="818" spans="18:18" ht="15.75" customHeight="1">
      <c r="R818" s="30"/>
    </row>
    <row r="819" spans="18:18" ht="15.75" customHeight="1">
      <c r="R819" s="30"/>
    </row>
    <row r="820" spans="18:18" ht="15.75" customHeight="1">
      <c r="R820" s="30"/>
    </row>
    <row r="821" spans="18:18" ht="15.75" customHeight="1">
      <c r="R821" s="30"/>
    </row>
    <row r="822" spans="18:18" ht="15.75" customHeight="1">
      <c r="R822" s="30"/>
    </row>
    <row r="823" spans="18:18" ht="15.75" customHeight="1">
      <c r="R823" s="30"/>
    </row>
    <row r="824" spans="18:18" ht="15.75" customHeight="1">
      <c r="R824" s="30"/>
    </row>
    <row r="825" spans="18:18" ht="15.75" customHeight="1">
      <c r="R825" s="30"/>
    </row>
    <row r="826" spans="18:18" ht="15.75" customHeight="1">
      <c r="R826" s="30"/>
    </row>
    <row r="827" spans="18:18" ht="15.75" customHeight="1">
      <c r="R827" s="30"/>
    </row>
    <row r="828" spans="18:18" ht="15.75" customHeight="1">
      <c r="R828" s="30"/>
    </row>
    <row r="829" spans="18:18" ht="15.75" customHeight="1">
      <c r="R829" s="30"/>
    </row>
    <row r="830" spans="18:18" ht="15.75" customHeight="1">
      <c r="R830" s="30"/>
    </row>
    <row r="831" spans="18:18" ht="15.75" customHeight="1">
      <c r="R831" s="30"/>
    </row>
    <row r="832" spans="18:18" ht="15.75" customHeight="1">
      <c r="R832" s="30"/>
    </row>
    <row r="833" spans="18:18" ht="15.75" customHeight="1">
      <c r="R833" s="30"/>
    </row>
    <row r="834" spans="18:18" ht="15.75" customHeight="1">
      <c r="R834" s="30"/>
    </row>
    <row r="835" spans="18:18" ht="15.75" customHeight="1">
      <c r="R835" s="30"/>
    </row>
    <row r="836" spans="18:18" ht="15.75" customHeight="1">
      <c r="R836" s="30"/>
    </row>
    <row r="837" spans="18:18" ht="15.75" customHeight="1">
      <c r="R837" s="30"/>
    </row>
    <row r="838" spans="18:18" ht="15.75" customHeight="1">
      <c r="R838" s="30"/>
    </row>
    <row r="839" spans="18:18" ht="15.75" customHeight="1">
      <c r="R839" s="30"/>
    </row>
    <row r="840" spans="18:18" ht="15.75" customHeight="1">
      <c r="R840" s="30"/>
    </row>
    <row r="841" spans="18:18" ht="15.75" customHeight="1">
      <c r="R841" s="30"/>
    </row>
    <row r="842" spans="18:18" ht="15.75" customHeight="1">
      <c r="R842" s="30"/>
    </row>
    <row r="843" spans="18:18" ht="15.75" customHeight="1">
      <c r="R843" s="30"/>
    </row>
    <row r="844" spans="18:18" ht="15.75" customHeight="1">
      <c r="R844" s="30"/>
    </row>
    <row r="845" spans="18:18" ht="15.75" customHeight="1">
      <c r="R845" s="30"/>
    </row>
    <row r="846" spans="18:18" ht="15.75" customHeight="1">
      <c r="R846" s="30"/>
    </row>
    <row r="847" spans="18:18" ht="15.75" customHeight="1">
      <c r="R847" s="30"/>
    </row>
    <row r="848" spans="18:18" ht="15.75" customHeight="1">
      <c r="R848" s="30"/>
    </row>
    <row r="849" spans="18:18" ht="15.75" customHeight="1">
      <c r="R849" s="30"/>
    </row>
    <row r="850" spans="18:18" ht="15.75" customHeight="1">
      <c r="R850" s="30"/>
    </row>
    <row r="851" spans="18:18" ht="15.75" customHeight="1">
      <c r="R851" s="30"/>
    </row>
    <row r="852" spans="18:18" ht="15.75" customHeight="1">
      <c r="R852" s="30"/>
    </row>
    <row r="853" spans="18:18" ht="15.75" customHeight="1">
      <c r="R853" s="30"/>
    </row>
    <row r="854" spans="18:18" ht="15.75" customHeight="1">
      <c r="R854" s="30"/>
    </row>
    <row r="855" spans="18:18" ht="15.75" customHeight="1">
      <c r="R855" s="30"/>
    </row>
    <row r="856" spans="18:18" ht="15.75" customHeight="1">
      <c r="R856" s="30"/>
    </row>
    <row r="857" spans="18:18" ht="15.75" customHeight="1">
      <c r="R857" s="30"/>
    </row>
    <row r="858" spans="18:18" ht="15.75" customHeight="1">
      <c r="R858" s="30"/>
    </row>
    <row r="859" spans="18:18" ht="15.75" customHeight="1">
      <c r="R859" s="30"/>
    </row>
    <row r="860" spans="18:18" ht="15.75" customHeight="1">
      <c r="R860" s="30"/>
    </row>
    <row r="861" spans="18:18" ht="15.75" customHeight="1">
      <c r="R861" s="30"/>
    </row>
    <row r="862" spans="18:18" ht="15.75" customHeight="1">
      <c r="R862" s="30"/>
    </row>
    <row r="863" spans="18:18" ht="15.75" customHeight="1">
      <c r="R863" s="30"/>
    </row>
    <row r="864" spans="18:18" ht="15.75" customHeight="1">
      <c r="R864" s="30"/>
    </row>
    <row r="865" spans="18:18" ht="15.75" customHeight="1">
      <c r="R865" s="30"/>
    </row>
    <row r="866" spans="18:18" ht="15.75" customHeight="1">
      <c r="R866" s="30"/>
    </row>
    <row r="867" spans="18:18" ht="15.75" customHeight="1">
      <c r="R867" s="30"/>
    </row>
    <row r="868" spans="18:18" ht="15.75" customHeight="1">
      <c r="R868" s="30"/>
    </row>
    <row r="869" spans="18:18" ht="15.75" customHeight="1">
      <c r="R869" s="30"/>
    </row>
    <row r="870" spans="18:18" ht="15.75" customHeight="1">
      <c r="R870" s="30"/>
    </row>
    <row r="871" spans="18:18" ht="15.75" customHeight="1">
      <c r="R871" s="30"/>
    </row>
    <row r="872" spans="18:18" ht="15.75" customHeight="1">
      <c r="R872" s="30"/>
    </row>
    <row r="873" spans="18:18" ht="15.75" customHeight="1">
      <c r="R873" s="30"/>
    </row>
    <row r="874" spans="18:18" ht="15.75" customHeight="1">
      <c r="R874" s="30"/>
    </row>
    <row r="875" spans="18:18" ht="15.75" customHeight="1">
      <c r="R875" s="30"/>
    </row>
    <row r="876" spans="18:18" ht="15.75" customHeight="1">
      <c r="R876" s="30"/>
    </row>
    <row r="877" spans="18:18" ht="15.75" customHeight="1">
      <c r="R877" s="30"/>
    </row>
    <row r="878" spans="18:18" ht="15.75" customHeight="1">
      <c r="R878" s="30"/>
    </row>
    <row r="879" spans="18:18" ht="15.75" customHeight="1">
      <c r="R879" s="30"/>
    </row>
    <row r="880" spans="18:18" ht="15.75" customHeight="1">
      <c r="R880" s="30"/>
    </row>
    <row r="881" spans="18:18" ht="15.75" customHeight="1">
      <c r="R881" s="30"/>
    </row>
    <row r="882" spans="18:18" ht="15.75" customHeight="1">
      <c r="R882" s="30"/>
    </row>
    <row r="883" spans="18:18" ht="15.75" customHeight="1">
      <c r="R883" s="30"/>
    </row>
    <row r="884" spans="18:18" ht="15.75" customHeight="1">
      <c r="R884" s="30"/>
    </row>
    <row r="885" spans="18:18" ht="15.75" customHeight="1">
      <c r="R885" s="30"/>
    </row>
    <row r="886" spans="18:18" ht="15.75" customHeight="1">
      <c r="R886" s="30"/>
    </row>
    <row r="887" spans="18:18" ht="15.75" customHeight="1">
      <c r="R887" s="30"/>
    </row>
    <row r="888" spans="18:18" ht="15.75" customHeight="1">
      <c r="R888" s="30"/>
    </row>
    <row r="889" spans="18:18" ht="15.75" customHeight="1">
      <c r="R889" s="30"/>
    </row>
    <row r="890" spans="18:18" ht="15.75" customHeight="1">
      <c r="R890" s="30"/>
    </row>
    <row r="891" spans="18:18" ht="15.75" customHeight="1">
      <c r="R891" s="30"/>
    </row>
    <row r="892" spans="18:18" ht="15.75" customHeight="1">
      <c r="R892" s="30"/>
    </row>
    <row r="893" spans="18:18" ht="15.75" customHeight="1">
      <c r="R893" s="30"/>
    </row>
    <row r="894" spans="18:18" ht="15.75" customHeight="1">
      <c r="R894" s="30"/>
    </row>
    <row r="895" spans="18:18" ht="15.75" customHeight="1">
      <c r="R895" s="30"/>
    </row>
    <row r="896" spans="18:18" ht="15.75" customHeight="1">
      <c r="R896" s="30"/>
    </row>
    <row r="897" spans="18:18" ht="15.75" customHeight="1">
      <c r="R897" s="30"/>
    </row>
    <row r="898" spans="18:18" ht="15.75" customHeight="1">
      <c r="R898" s="30"/>
    </row>
    <row r="899" spans="18:18" ht="15.75" customHeight="1">
      <c r="R899" s="30"/>
    </row>
    <row r="900" spans="18:18" ht="15.75" customHeight="1">
      <c r="R900" s="30"/>
    </row>
    <row r="901" spans="18:18" ht="15.75" customHeight="1">
      <c r="R901" s="30"/>
    </row>
    <row r="902" spans="18:18" ht="15.75" customHeight="1">
      <c r="R902" s="30"/>
    </row>
    <row r="903" spans="18:18" ht="15.75" customHeight="1">
      <c r="R903" s="30"/>
    </row>
    <row r="904" spans="18:18" ht="15.75" customHeight="1">
      <c r="R904" s="30"/>
    </row>
    <row r="905" spans="18:18" ht="15.75" customHeight="1">
      <c r="R905" s="30"/>
    </row>
    <row r="906" spans="18:18" ht="15.75" customHeight="1">
      <c r="R906" s="30"/>
    </row>
    <row r="907" spans="18:18" ht="15.75" customHeight="1">
      <c r="R907" s="30"/>
    </row>
    <row r="908" spans="18:18" ht="15.75" customHeight="1">
      <c r="R908" s="30"/>
    </row>
    <row r="909" spans="18:18" ht="15.75" customHeight="1">
      <c r="R909" s="30"/>
    </row>
    <row r="910" spans="18:18" ht="15.75" customHeight="1">
      <c r="R910" s="30"/>
    </row>
    <row r="911" spans="18:18" ht="15.75" customHeight="1">
      <c r="R911" s="30"/>
    </row>
    <row r="912" spans="18:18" ht="15.75" customHeight="1">
      <c r="R912" s="30"/>
    </row>
    <row r="913" spans="18:18" ht="15.75" customHeight="1">
      <c r="R913" s="30"/>
    </row>
    <row r="914" spans="18:18" ht="15.75" customHeight="1">
      <c r="R914" s="30"/>
    </row>
    <row r="915" spans="18:18" ht="15.75" customHeight="1">
      <c r="R915" s="30"/>
    </row>
    <row r="916" spans="18:18" ht="15.75" customHeight="1">
      <c r="R916" s="30"/>
    </row>
    <row r="917" spans="18:18" ht="15.75" customHeight="1">
      <c r="R917" s="30"/>
    </row>
    <row r="918" spans="18:18" ht="15.75" customHeight="1">
      <c r="R918" s="30"/>
    </row>
    <row r="919" spans="18:18" ht="15.75" customHeight="1">
      <c r="R919" s="30"/>
    </row>
    <row r="920" spans="18:18" ht="15.75" customHeight="1">
      <c r="R920" s="30"/>
    </row>
    <row r="921" spans="18:18" ht="15.75" customHeight="1">
      <c r="R921" s="30"/>
    </row>
    <row r="922" spans="18:18" ht="15.75" customHeight="1">
      <c r="R922" s="30"/>
    </row>
    <row r="923" spans="18:18" ht="15.75" customHeight="1">
      <c r="R923" s="30"/>
    </row>
    <row r="924" spans="18:18" ht="15.75" customHeight="1">
      <c r="R924" s="30"/>
    </row>
    <row r="925" spans="18:18" ht="15.75" customHeight="1">
      <c r="R925" s="30"/>
    </row>
    <row r="926" spans="18:18" ht="15.75" customHeight="1">
      <c r="R926" s="30"/>
    </row>
    <row r="927" spans="18:18" ht="15.75" customHeight="1">
      <c r="R927" s="30"/>
    </row>
    <row r="928" spans="18:18" ht="15.75" customHeight="1">
      <c r="R928" s="30"/>
    </row>
    <row r="929" spans="18:18" ht="15.75" customHeight="1">
      <c r="R929" s="30"/>
    </row>
    <row r="930" spans="18:18" ht="15.75" customHeight="1">
      <c r="R930" s="30"/>
    </row>
    <row r="931" spans="18:18" ht="15.75" customHeight="1">
      <c r="R931" s="30"/>
    </row>
    <row r="932" spans="18:18" ht="15.75" customHeight="1">
      <c r="R932" s="30"/>
    </row>
    <row r="933" spans="18:18" ht="15.75" customHeight="1">
      <c r="R933" s="30"/>
    </row>
    <row r="934" spans="18:18" ht="15.75" customHeight="1">
      <c r="R934" s="30"/>
    </row>
    <row r="935" spans="18:18" ht="15.75" customHeight="1">
      <c r="R935" s="30"/>
    </row>
    <row r="936" spans="18:18" ht="15.75" customHeight="1">
      <c r="R936" s="30"/>
    </row>
    <row r="937" spans="18:18" ht="15.75" customHeight="1">
      <c r="R937" s="30"/>
    </row>
    <row r="938" spans="18:18" ht="15.75" customHeight="1">
      <c r="R938" s="30"/>
    </row>
    <row r="939" spans="18:18" ht="15.75" customHeight="1">
      <c r="R939" s="30"/>
    </row>
    <row r="940" spans="18:18" ht="15.75" customHeight="1">
      <c r="R940" s="30"/>
    </row>
    <row r="941" spans="18:18" ht="15.75" customHeight="1">
      <c r="R941" s="30"/>
    </row>
    <row r="942" spans="18:18" ht="15.75" customHeight="1">
      <c r="R942" s="30"/>
    </row>
    <row r="943" spans="18:18" ht="15.75" customHeight="1">
      <c r="R943" s="30"/>
    </row>
    <row r="944" spans="18:18" ht="15.75" customHeight="1">
      <c r="R944" s="30"/>
    </row>
    <row r="945" spans="18:18" ht="15.75" customHeight="1">
      <c r="R945" s="30"/>
    </row>
    <row r="946" spans="18:18" ht="15.75" customHeight="1">
      <c r="R946" s="30"/>
    </row>
    <row r="947" spans="18:18" ht="15.75" customHeight="1">
      <c r="R947" s="30"/>
    </row>
    <row r="948" spans="18:18" ht="15.75" customHeight="1">
      <c r="R948" s="30"/>
    </row>
    <row r="949" spans="18:18" ht="15.75" customHeight="1">
      <c r="R949" s="30"/>
    </row>
    <row r="950" spans="18:18" ht="15.75" customHeight="1">
      <c r="R950" s="30"/>
    </row>
    <row r="951" spans="18:18" ht="15.75" customHeight="1">
      <c r="R951" s="30"/>
    </row>
    <row r="952" spans="18:18" ht="15.75" customHeight="1">
      <c r="R952" s="30"/>
    </row>
    <row r="953" spans="18:18" ht="15.75" customHeight="1">
      <c r="R953" s="30"/>
    </row>
    <row r="954" spans="18:18" ht="15.75" customHeight="1">
      <c r="R954" s="30"/>
    </row>
    <row r="955" spans="18:18" ht="15.75" customHeight="1">
      <c r="R955" s="30"/>
    </row>
    <row r="956" spans="18:18" ht="15.75" customHeight="1">
      <c r="R956" s="30"/>
    </row>
    <row r="957" spans="18:18" ht="15.75" customHeight="1">
      <c r="R957" s="30"/>
    </row>
    <row r="958" spans="18:18" ht="15.75" customHeight="1">
      <c r="R958" s="30"/>
    </row>
    <row r="959" spans="18:18" ht="15.75" customHeight="1">
      <c r="R959" s="30"/>
    </row>
    <row r="960" spans="18:18" ht="15.75" customHeight="1">
      <c r="R960" s="30"/>
    </row>
    <row r="961" spans="18:18" ht="15.75" customHeight="1">
      <c r="R961" s="30"/>
    </row>
    <row r="962" spans="18:18" ht="15.75" customHeight="1">
      <c r="R962" s="30"/>
    </row>
    <row r="963" spans="18:18" ht="15.75" customHeight="1">
      <c r="R963" s="30"/>
    </row>
    <row r="964" spans="18:18" ht="15.75" customHeight="1">
      <c r="R964" s="30"/>
    </row>
    <row r="965" spans="18:18" ht="15.75" customHeight="1">
      <c r="R965" s="30"/>
    </row>
    <row r="966" spans="18:18" ht="15.75" customHeight="1">
      <c r="R966" s="30"/>
    </row>
    <row r="967" spans="18:18" ht="15.75" customHeight="1">
      <c r="R967" s="30"/>
    </row>
    <row r="968" spans="18:18" ht="15.75" customHeight="1">
      <c r="R968" s="30"/>
    </row>
    <row r="969" spans="18:18" ht="15.75" customHeight="1">
      <c r="R969" s="30"/>
    </row>
    <row r="970" spans="18:18" ht="15.75" customHeight="1">
      <c r="R970" s="30"/>
    </row>
    <row r="971" spans="18:18" ht="15.75" customHeight="1">
      <c r="R971" s="30"/>
    </row>
    <row r="972" spans="18:18" ht="15.75" customHeight="1">
      <c r="R972" s="30"/>
    </row>
    <row r="973" spans="18:18" ht="15.75" customHeight="1">
      <c r="R973" s="30"/>
    </row>
    <row r="974" spans="18:18" ht="15.75" customHeight="1">
      <c r="R974" s="30"/>
    </row>
    <row r="975" spans="18:18" ht="15.75" customHeight="1">
      <c r="R975" s="30"/>
    </row>
    <row r="976" spans="18:18" ht="15.75" customHeight="1">
      <c r="R976" s="30"/>
    </row>
    <row r="977" spans="18:18" ht="15.75" customHeight="1">
      <c r="R977" s="30"/>
    </row>
    <row r="978" spans="18:18" ht="15.75" customHeight="1">
      <c r="R978" s="30"/>
    </row>
    <row r="979" spans="18:18" ht="15.75" customHeight="1">
      <c r="R979" s="30"/>
    </row>
    <row r="980" spans="18:18" ht="15.75" customHeight="1">
      <c r="R980" s="30"/>
    </row>
    <row r="981" spans="18:18" ht="15.75" customHeight="1">
      <c r="R981" s="30"/>
    </row>
    <row r="982" spans="18:18" ht="15.75" customHeight="1">
      <c r="R982" s="30"/>
    </row>
    <row r="983" spans="18:18" ht="15.75" customHeight="1">
      <c r="R983" s="30"/>
    </row>
    <row r="984" spans="18:18" ht="15.75" customHeight="1">
      <c r="R984" s="30"/>
    </row>
    <row r="985" spans="18:18" ht="15.75" customHeight="1">
      <c r="R985" s="30"/>
    </row>
    <row r="986" spans="18:18" ht="15.75" customHeight="1">
      <c r="R986" s="30"/>
    </row>
    <row r="987" spans="18:18" ht="15.75" customHeight="1">
      <c r="R987" s="30"/>
    </row>
    <row r="988" spans="18:18" ht="15.75" customHeight="1">
      <c r="R988" s="30"/>
    </row>
    <row r="989" spans="18:18" ht="15.75" customHeight="1">
      <c r="R989" s="30"/>
    </row>
    <row r="990" spans="18:18" ht="15.75" customHeight="1">
      <c r="R990" s="30"/>
    </row>
    <row r="991" spans="18:18" ht="15.75" customHeight="1">
      <c r="R991" s="30"/>
    </row>
    <row r="992" spans="18:18" ht="15.75" customHeight="1">
      <c r="R992" s="30"/>
    </row>
    <row r="993" spans="18:18" ht="15.75" customHeight="1">
      <c r="R993" s="30"/>
    </row>
    <row r="994" spans="18:18" ht="15.75" customHeight="1">
      <c r="R994" s="30"/>
    </row>
    <row r="995" spans="18:18" ht="15.75" customHeight="1">
      <c r="R995" s="30"/>
    </row>
    <row r="996" spans="18:18" ht="15.75" customHeight="1">
      <c r="R996" s="30"/>
    </row>
    <row r="997" spans="18:18" ht="15.75" customHeight="1">
      <c r="R997" s="30"/>
    </row>
    <row r="998" spans="18:18" ht="15.75" customHeight="1">
      <c r="R998" s="30"/>
    </row>
    <row r="999" spans="18:18" ht="15.75" customHeight="1">
      <c r="R999" s="30"/>
    </row>
    <row r="1000" spans="18:18" ht="15.75" customHeight="1">
      <c r="R1000" s="3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2.6640625" defaultRowHeight="15" customHeight="1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8.6640625" customWidth="1"/>
    <col min="6" max="6" width="9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16.33203125" customWidth="1"/>
    <col min="16" max="16" width="10" customWidth="1"/>
    <col min="17" max="18" width="7.33203125" customWidth="1"/>
    <col min="19" max="19" width="7.1640625" customWidth="1"/>
    <col min="20" max="20" width="11.1640625" customWidth="1"/>
    <col min="21" max="21" width="20.6640625" customWidth="1"/>
    <col min="22" max="22" width="72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6640625" customWidth="1"/>
    <col min="32" max="32" width="10.1640625" customWidth="1"/>
    <col min="33" max="33" width="8.83203125" customWidth="1"/>
  </cols>
  <sheetData>
    <row r="1" spans="1:33" ht="18.75" customHeight="1">
      <c r="A1" s="46" t="str">
        <f ca="1">IFERROR(__xludf.DUMMYFUNCTION("IFERROR(VLOOKUP(B2,IMPORTRANGE(""https://docs.google.com/spreadsheets/d/1x0DhHglkXKoEBOD2MBsuK_EyIr1ouxD2ftIpqOYFa-k/edit?usp=sharing"",""Ubiquitty-SKU-Specific Info!B1:BJ5000""),3,FALSE),"""")"),"50ft Black Outdoor Extension Cord, Lighted with 3 Electrical Power Outlets - 12/3 Gauge SJTW Heavy Duty Extension Cable - 3 Pronged with Grounded Plug for Safety")</f>
        <v>50ft Black Outdoor Extension Cord, Lighted with 3 Electrical Power Outlets - 12/3 Gauge SJTW Heavy Duty Extension Cable - 3 Pronged with Grounded Plug for Safety</v>
      </c>
      <c r="B1" s="47"/>
      <c r="C1" s="48" t="s">
        <v>0</v>
      </c>
      <c r="D1" s="50" t="s">
        <v>1</v>
      </c>
      <c r="E1" s="50" t="s">
        <v>2</v>
      </c>
      <c r="F1" s="52" t="s">
        <v>3</v>
      </c>
      <c r="G1" s="52" t="s">
        <v>4</v>
      </c>
      <c r="H1" s="53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58" t="s">
        <v>10</v>
      </c>
      <c r="N1" s="59" t="s">
        <v>11</v>
      </c>
      <c r="O1" s="50" t="s">
        <v>12</v>
      </c>
      <c r="P1" s="50" t="s">
        <v>13</v>
      </c>
      <c r="Q1" s="57" t="s">
        <v>14</v>
      </c>
      <c r="R1" s="57" t="s">
        <v>15</v>
      </c>
      <c r="S1" s="60" t="s">
        <v>16</v>
      </c>
      <c r="T1" s="62" t="s">
        <v>2006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Info!B1:BJ5000""),2,FALSE),"""")"),"B08FXNSPPV")</f>
        <v>B08FXNSPPV</v>
      </c>
      <c r="B2" s="3" t="s">
        <v>816</v>
      </c>
      <c r="C2" s="49"/>
      <c r="D2" s="49"/>
      <c r="E2" s="51"/>
      <c r="F2" s="49"/>
      <c r="G2" s="49"/>
      <c r="H2" s="54"/>
      <c r="I2" s="49"/>
      <c r="J2" s="49"/>
      <c r="K2" s="54"/>
      <c r="L2" s="54"/>
      <c r="M2" s="54"/>
      <c r="N2" s="49"/>
      <c r="O2" s="49"/>
      <c r="P2" s="51"/>
      <c r="Q2" s="49"/>
      <c r="R2" s="49"/>
      <c r="S2" s="61"/>
      <c r="T2" s="47"/>
      <c r="U2" s="63"/>
      <c r="V2" s="63"/>
      <c r="W2" s="47"/>
      <c r="X2" s="47"/>
      <c r="Y2" s="47"/>
      <c r="Z2" s="47"/>
      <c r="AA2" s="63"/>
      <c r="AB2" s="63"/>
      <c r="AC2" s="63"/>
      <c r="AD2" s="63"/>
      <c r="AE2" s="47"/>
      <c r="AF2" s="47"/>
      <c r="AG2" s="47"/>
    </row>
    <row r="3" spans="1:33" ht="134.25" customHeight="1">
      <c r="A3" s="55" t="s">
        <v>31</v>
      </c>
      <c r="B3" s="56"/>
      <c r="C3" s="4">
        <f>((AE32+AF32)/0.85)*-1</f>
        <v>32.637390823529415</v>
      </c>
      <c r="D3" s="5">
        <f>SUM(D4:D99765)</f>
        <v>308</v>
      </c>
      <c r="E3" s="5"/>
      <c r="F3" s="6">
        <f t="shared" ref="F3:G3" si="0">SUM(F4:F99765)</f>
        <v>12999.740000000002</v>
      </c>
      <c r="G3" s="6">
        <f t="shared" si="0"/>
        <v>0</v>
      </c>
      <c r="H3" s="7">
        <f t="shared" ref="H3:H32" si="1">G3/F3*-1</f>
        <v>0</v>
      </c>
      <c r="I3" s="8">
        <f t="shared" ref="I3:I32" si="2">J3/F3</f>
        <v>0.19896224983297187</v>
      </c>
      <c r="J3" s="6">
        <f>SUM(J4:J99765)</f>
        <v>2586.4575176436779</v>
      </c>
      <c r="K3" s="6">
        <f t="shared" ref="K3:K32" si="3">J3/D3</f>
        <v>8.3975893429989537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Sheet!a1:g5000""),2,FALSE),"""")"),"1 - March
2.5 - April
2.5 - May
2.5 - June
2.5 - July
2.5 - Aug
2.5 - Sept
2.5 - Oct
2.5 - Nov
2 - Dec
1.5 - Jan
1.5 - Feb")</f>
        <v>1 - March
2.5 - April
2.5 - May
2.5 - June
2.5 - July
2.5 - Aug
2.5 - Sept
2.5 - Oct
2.5 - Nov
2 - Dec
1.5 - Jan
1.5 -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QTY-0")</f>
        <v>US QTY-0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0</v>
      </c>
      <c r="X3" s="7">
        <f>W3/D3</f>
        <v>0</v>
      </c>
      <c r="Y3" s="6"/>
      <c r="Z3" s="5"/>
      <c r="AA3" s="5"/>
      <c r="AB3" s="5"/>
      <c r="AC3" s="5"/>
      <c r="AD3" s="6">
        <f>SUM(AD4:AD99765)</f>
        <v>-103.89440543325246</v>
      </c>
      <c r="AE3" s="6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Info!B2:BZ3000""),37,FALSE)),"""")*-1"),-20.5617822)</f>
        <v>-20.5617822</v>
      </c>
      <c r="AG3" s="6">
        <f>SUM(AG4:AG99765)</f>
        <v>0</v>
      </c>
    </row>
    <row r="4" spans="1:33" ht="15.75" customHeight="1">
      <c r="A4" s="14" t="s">
        <v>181</v>
      </c>
      <c r="B4" s="14" t="s">
        <v>817</v>
      </c>
      <c r="C4" s="15">
        <f t="shared" ref="C4:C32" si="4">IFERROR(F4/D4," - ")</f>
        <v>39.99</v>
      </c>
      <c r="D4" s="16">
        <v>14</v>
      </c>
      <c r="E4" s="16">
        <v>0</v>
      </c>
      <c r="F4" s="17">
        <v>559.86</v>
      </c>
      <c r="G4" s="17">
        <v>0</v>
      </c>
      <c r="H4" s="18">
        <f t="shared" si="1"/>
        <v>0</v>
      </c>
      <c r="I4" s="18">
        <f t="shared" si="2"/>
        <v>0.18301289473543592</v>
      </c>
      <c r="J4" s="17">
        <f t="shared" ref="J4:J32" si="5">F4*0.85+G4+AF4*D4+D4*AE4+AG4+AD4</f>
        <v>102.46159924658116</v>
      </c>
      <c r="K4" s="17">
        <f t="shared" si="3"/>
        <v>7.3186856604700825</v>
      </c>
      <c r="L4" s="16">
        <v>22</v>
      </c>
      <c r="M4" s="19">
        <f t="shared" ref="M4:M32" si="6">IFERROR(D4/L4,"-")</f>
        <v>0.63636363636363635</v>
      </c>
      <c r="N4" s="16">
        <v>97</v>
      </c>
      <c r="O4" s="20">
        <f t="shared" ref="O4:P4" si="7">D4/7</f>
        <v>2</v>
      </c>
      <c r="P4" s="20">
        <f t="shared" si="7"/>
        <v>0</v>
      </c>
      <c r="Q4" s="16">
        <f t="shared" ref="Q4:Q32" si="8">ROUNDDOWN(N4/(O4+P4),0)</f>
        <v>48</v>
      </c>
      <c r="R4" s="16"/>
      <c r="S4" s="21">
        <v>0.46153846153846101</v>
      </c>
      <c r="T4" s="14">
        <v>200</v>
      </c>
      <c r="U4" s="22">
        <v>80</v>
      </c>
      <c r="V4" s="23" t="s">
        <v>798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26" t="s">
        <v>35</v>
      </c>
      <c r="AB4" s="27">
        <f t="shared" ref="AB4:AB32" si="11">IF(OR(AA4="UsLargeStandardSize",AA4="UsSmallStandardSize"),-0.69,-0.48)</f>
        <v>-0.69</v>
      </c>
      <c r="AC4" s="28">
        <v>0.19843476851851852</v>
      </c>
      <c r="AD4" s="25">
        <f t="shared" ref="AD4:AD32" si="12">IFERROR(AB4*AC4*D4*2,0)</f>
        <v>-3.8337597277777773</v>
      </c>
      <c r="AE4" s="25">
        <v>-7.32</v>
      </c>
      <c r="AF4" s="25">
        <v>-19.07897435897436</v>
      </c>
      <c r="AG4" s="25">
        <v>0</v>
      </c>
    </row>
    <row r="5" spans="1:33" ht="15.75" customHeight="1">
      <c r="A5" s="14" t="s">
        <v>183</v>
      </c>
      <c r="B5" s="14" t="s">
        <v>68</v>
      </c>
      <c r="C5" s="15">
        <f t="shared" si="4"/>
        <v>40.142222222222216</v>
      </c>
      <c r="D5" s="16">
        <v>9</v>
      </c>
      <c r="E5" s="16">
        <v>0</v>
      </c>
      <c r="F5" s="29">
        <v>361.27999999999992</v>
      </c>
      <c r="G5" s="29">
        <v>0</v>
      </c>
      <c r="H5" s="18">
        <f t="shared" si="1"/>
        <v>0</v>
      </c>
      <c r="I5" s="18">
        <f t="shared" si="2"/>
        <v>0.18553425359583486</v>
      </c>
      <c r="J5" s="17">
        <f t="shared" si="5"/>
        <v>67.029815139103206</v>
      </c>
      <c r="K5" s="17">
        <f t="shared" si="3"/>
        <v>7.4477572376781342</v>
      </c>
      <c r="L5" s="16">
        <v>28</v>
      </c>
      <c r="M5" s="19">
        <f t="shared" si="6"/>
        <v>0.32142857142857145</v>
      </c>
      <c r="N5" s="16">
        <v>80</v>
      </c>
      <c r="O5" s="20">
        <f t="shared" ref="O5:P5" si="13">D5/7</f>
        <v>1.2857142857142858</v>
      </c>
      <c r="P5" s="20">
        <f t="shared" si="13"/>
        <v>0</v>
      </c>
      <c r="Q5" s="16">
        <f t="shared" si="8"/>
        <v>62</v>
      </c>
      <c r="R5" s="16"/>
      <c r="S5" s="21">
        <v>1.2467532467532401</v>
      </c>
      <c r="T5" s="14">
        <v>200</v>
      </c>
      <c r="U5" s="22">
        <v>80</v>
      </c>
      <c r="V5" s="23" t="s">
        <v>798</v>
      </c>
      <c r="W5" s="14">
        <v>0</v>
      </c>
      <c r="X5" s="24">
        <f t="shared" si="9"/>
        <v>0</v>
      </c>
      <c r="Y5" s="25">
        <f t="shared" si="10"/>
        <v>0</v>
      </c>
      <c r="Z5" s="14">
        <v>0</v>
      </c>
      <c r="AA5" s="14" t="s">
        <v>35</v>
      </c>
      <c r="AB5" s="27">
        <f t="shared" si="11"/>
        <v>-0.69</v>
      </c>
      <c r="AC5" s="28">
        <v>0.19866470451911936</v>
      </c>
      <c r="AD5" s="25">
        <f t="shared" si="12"/>
        <v>-2.4674156301274621</v>
      </c>
      <c r="AE5" s="25">
        <v>-7.32</v>
      </c>
      <c r="AF5" s="25">
        <v>-19.07897435897436</v>
      </c>
      <c r="AG5" s="25">
        <v>0</v>
      </c>
    </row>
    <row r="6" spans="1:33" ht="15.75" customHeight="1">
      <c r="A6" s="14" t="s">
        <v>185</v>
      </c>
      <c r="B6" s="14" t="s">
        <v>818</v>
      </c>
      <c r="C6" s="15">
        <f t="shared" si="4"/>
        <v>40.654347826086962</v>
      </c>
      <c r="D6" s="16">
        <v>23</v>
      </c>
      <c r="E6" s="16">
        <v>0</v>
      </c>
      <c r="F6" s="29">
        <v>935.05000000000007</v>
      </c>
      <c r="G6" s="29">
        <v>0</v>
      </c>
      <c r="H6" s="18">
        <f t="shared" si="1"/>
        <v>0</v>
      </c>
      <c r="I6" s="18">
        <f t="shared" si="2"/>
        <v>0.19391237922123089</v>
      </c>
      <c r="J6" s="17">
        <f t="shared" si="5"/>
        <v>181.31777019081196</v>
      </c>
      <c r="K6" s="17">
        <f t="shared" si="3"/>
        <v>7.8833813126439978</v>
      </c>
      <c r="L6" s="16">
        <v>39</v>
      </c>
      <c r="M6" s="19">
        <f t="shared" si="6"/>
        <v>0.58974358974358976</v>
      </c>
      <c r="N6" s="16">
        <v>59</v>
      </c>
      <c r="O6" s="20">
        <f t="shared" ref="O6:P6" si="14">D6/7</f>
        <v>3.2857142857142856</v>
      </c>
      <c r="P6" s="20">
        <f t="shared" si="14"/>
        <v>0</v>
      </c>
      <c r="Q6" s="16">
        <f t="shared" si="8"/>
        <v>17</v>
      </c>
      <c r="R6" s="16"/>
      <c r="S6" s="21">
        <v>2.6666666666666599</v>
      </c>
      <c r="T6" s="14">
        <v>120</v>
      </c>
      <c r="U6" s="22" t="s">
        <v>34</v>
      </c>
      <c r="V6" s="23" t="s">
        <v>186</v>
      </c>
      <c r="W6" s="14">
        <v>0</v>
      </c>
      <c r="X6" s="24">
        <f t="shared" si="9"/>
        <v>0</v>
      </c>
      <c r="Y6" s="25">
        <f t="shared" si="10"/>
        <v>0</v>
      </c>
      <c r="Z6" s="14">
        <v>0</v>
      </c>
      <c r="AA6" s="14" t="s">
        <v>35</v>
      </c>
      <c r="AB6" s="27">
        <f t="shared" si="11"/>
        <v>-0.69</v>
      </c>
      <c r="AC6" s="28">
        <v>0.19843476851851852</v>
      </c>
      <c r="AD6" s="25">
        <f t="shared" si="12"/>
        <v>-6.2983195527777776</v>
      </c>
      <c r="AE6" s="25">
        <v>-7.32</v>
      </c>
      <c r="AF6" s="25">
        <v>-19.07897435897436</v>
      </c>
      <c r="AG6" s="25">
        <v>0</v>
      </c>
    </row>
    <row r="7" spans="1:33" ht="15.75" customHeight="1">
      <c r="A7" s="14" t="s">
        <v>187</v>
      </c>
      <c r="B7" s="14" t="s">
        <v>819</v>
      </c>
      <c r="C7" s="15">
        <f t="shared" si="4"/>
        <v>44.306666666666679</v>
      </c>
      <c r="D7" s="16">
        <v>15</v>
      </c>
      <c r="E7" s="16">
        <v>0</v>
      </c>
      <c r="F7" s="29">
        <v>664.60000000000014</v>
      </c>
      <c r="G7" s="29">
        <v>0</v>
      </c>
      <c r="H7" s="18">
        <f t="shared" si="1"/>
        <v>0</v>
      </c>
      <c r="I7" s="18">
        <f t="shared" si="2"/>
        <v>0.24799546329679698</v>
      </c>
      <c r="J7" s="17">
        <f t="shared" si="5"/>
        <v>164.8177849070513</v>
      </c>
      <c r="K7" s="17">
        <f t="shared" si="3"/>
        <v>10.987852327136753</v>
      </c>
      <c r="L7" s="16">
        <v>35</v>
      </c>
      <c r="M7" s="19">
        <f t="shared" si="6"/>
        <v>0.42857142857142855</v>
      </c>
      <c r="N7" s="16">
        <v>49</v>
      </c>
      <c r="O7" s="20">
        <f t="shared" ref="O7:P7" si="15">D7/7</f>
        <v>2.1428571428571428</v>
      </c>
      <c r="P7" s="20">
        <f t="shared" si="15"/>
        <v>0</v>
      </c>
      <c r="Q7" s="16">
        <f t="shared" si="8"/>
        <v>22</v>
      </c>
      <c r="R7" s="16"/>
      <c r="S7" s="21">
        <v>1.6666666666666601</v>
      </c>
      <c r="T7" s="14">
        <v>120</v>
      </c>
      <c r="U7" s="22" t="s">
        <v>34</v>
      </c>
      <c r="V7" s="23" t="s">
        <v>186</v>
      </c>
      <c r="W7" s="14">
        <v>0</v>
      </c>
      <c r="X7" s="24">
        <f t="shared" si="9"/>
        <v>0</v>
      </c>
      <c r="Y7" s="25">
        <f t="shared" si="10"/>
        <v>0</v>
      </c>
      <c r="Z7" s="14">
        <v>0</v>
      </c>
      <c r="AA7" s="14" t="s">
        <v>35</v>
      </c>
      <c r="AB7" s="27">
        <f t="shared" si="11"/>
        <v>-0.69</v>
      </c>
      <c r="AC7" s="28">
        <v>0.19843476851851852</v>
      </c>
      <c r="AD7" s="25">
        <f t="shared" si="12"/>
        <v>-4.1075997083333329</v>
      </c>
      <c r="AE7" s="25">
        <v>-7.32</v>
      </c>
      <c r="AF7" s="25">
        <v>-19.07897435897436</v>
      </c>
      <c r="AG7" s="25">
        <v>0</v>
      </c>
    </row>
    <row r="8" spans="1:33" ht="15.75" customHeight="1">
      <c r="A8" s="14" t="s">
        <v>189</v>
      </c>
      <c r="B8" s="14" t="s">
        <v>820</v>
      </c>
      <c r="C8" s="15">
        <f t="shared" si="4"/>
        <v>51.91</v>
      </c>
      <c r="D8" s="16">
        <v>2</v>
      </c>
      <c r="E8" s="16">
        <v>0</v>
      </c>
      <c r="F8" s="29">
        <v>103.82</v>
      </c>
      <c r="G8" s="29">
        <v>0</v>
      </c>
      <c r="H8" s="18">
        <f t="shared" si="1"/>
        <v>0</v>
      </c>
      <c r="I8" s="18">
        <f t="shared" si="2"/>
        <v>0.33615218685117398</v>
      </c>
      <c r="J8" s="17">
        <f t="shared" si="5"/>
        <v>34.899320038888881</v>
      </c>
      <c r="K8" s="17">
        <f t="shared" si="3"/>
        <v>17.44966001944444</v>
      </c>
      <c r="L8" s="16">
        <v>22</v>
      </c>
      <c r="M8" s="19">
        <f t="shared" si="6"/>
        <v>9.0909090909090912E-2</v>
      </c>
      <c r="N8" s="16">
        <v>45</v>
      </c>
      <c r="O8" s="20">
        <f t="shared" ref="O8:P8" si="16">D8/7</f>
        <v>0.2857142857142857</v>
      </c>
      <c r="P8" s="20">
        <f t="shared" si="16"/>
        <v>0</v>
      </c>
      <c r="Q8" s="16">
        <f t="shared" si="8"/>
        <v>157</v>
      </c>
      <c r="R8" s="16"/>
      <c r="S8" s="21">
        <v>1.9733333333333301</v>
      </c>
      <c r="T8" s="14">
        <v>240</v>
      </c>
      <c r="U8" s="22" t="s">
        <v>34</v>
      </c>
      <c r="V8" s="23" t="s">
        <v>34</v>
      </c>
      <c r="W8" s="14">
        <v>0</v>
      </c>
      <c r="X8" s="24">
        <f t="shared" si="9"/>
        <v>0</v>
      </c>
      <c r="Y8" s="25">
        <f t="shared" si="10"/>
        <v>0</v>
      </c>
      <c r="Z8" s="14">
        <v>0</v>
      </c>
      <c r="AA8" s="14" t="s">
        <v>35</v>
      </c>
      <c r="AB8" s="27">
        <f t="shared" si="11"/>
        <v>-0.69</v>
      </c>
      <c r="AC8" s="28">
        <v>0.19843476851851852</v>
      </c>
      <c r="AD8" s="25">
        <f t="shared" si="12"/>
        <v>-0.54767996111111106</v>
      </c>
      <c r="AE8" s="25">
        <v>-7.32</v>
      </c>
      <c r="AF8" s="25">
        <v>-19.079999999999998</v>
      </c>
      <c r="AG8" s="25">
        <v>0</v>
      </c>
    </row>
    <row r="9" spans="1:33" ht="15.75" customHeight="1">
      <c r="A9" s="14" t="s">
        <v>191</v>
      </c>
      <c r="B9" s="14" t="s">
        <v>821</v>
      </c>
      <c r="C9" s="15">
        <f t="shared" si="4"/>
        <v>50.050000000000004</v>
      </c>
      <c r="D9" s="16">
        <v>6</v>
      </c>
      <c r="E9" s="16">
        <v>0</v>
      </c>
      <c r="F9" s="29">
        <v>300.3</v>
      </c>
      <c r="G9" s="29">
        <v>0</v>
      </c>
      <c r="H9" s="18">
        <f t="shared" si="1"/>
        <v>0</v>
      </c>
      <c r="I9" s="18">
        <f t="shared" si="2"/>
        <v>0.31104164592245437</v>
      </c>
      <c r="J9" s="17">
        <f t="shared" si="5"/>
        <v>93.405806270513054</v>
      </c>
      <c r="K9" s="17">
        <f t="shared" si="3"/>
        <v>15.567634378418843</v>
      </c>
      <c r="L9" s="16">
        <v>15</v>
      </c>
      <c r="M9" s="19">
        <f t="shared" si="6"/>
        <v>0.4</v>
      </c>
      <c r="N9" s="16">
        <v>39</v>
      </c>
      <c r="O9" s="20">
        <f t="shared" ref="O9:P9" si="17">D9/7</f>
        <v>0.8571428571428571</v>
      </c>
      <c r="P9" s="20">
        <f t="shared" si="17"/>
        <v>0</v>
      </c>
      <c r="Q9" s="16">
        <f t="shared" si="8"/>
        <v>45</v>
      </c>
      <c r="R9" s="16"/>
      <c r="S9" s="21">
        <v>2.91891891891891</v>
      </c>
      <c r="T9" s="14">
        <v>240</v>
      </c>
      <c r="U9" s="22" t="s">
        <v>34</v>
      </c>
      <c r="V9" s="23" t="s">
        <v>34</v>
      </c>
      <c r="W9" s="14">
        <v>0</v>
      </c>
      <c r="X9" s="24">
        <f t="shared" si="9"/>
        <v>0</v>
      </c>
      <c r="Y9" s="25">
        <f t="shared" si="10"/>
        <v>0</v>
      </c>
      <c r="Z9" s="14">
        <v>0</v>
      </c>
      <c r="AA9" s="14" t="s">
        <v>35</v>
      </c>
      <c r="AB9" s="27">
        <f t="shared" si="11"/>
        <v>-0.69</v>
      </c>
      <c r="AC9" s="28">
        <v>0.19843476851851852</v>
      </c>
      <c r="AD9" s="25">
        <f t="shared" si="12"/>
        <v>-1.6430398833333331</v>
      </c>
      <c r="AE9" s="25">
        <v>-7.32</v>
      </c>
      <c r="AF9" s="25">
        <v>-19.381025641025602</v>
      </c>
      <c r="AG9" s="25">
        <v>0</v>
      </c>
    </row>
    <row r="10" spans="1:33" ht="15.75" customHeight="1">
      <c r="A10" s="14" t="s">
        <v>192</v>
      </c>
      <c r="B10" s="14" t="s">
        <v>767</v>
      </c>
      <c r="C10" s="15">
        <f t="shared" si="4"/>
        <v>46.875</v>
      </c>
      <c r="D10" s="16">
        <v>2</v>
      </c>
      <c r="E10" s="16">
        <v>0</v>
      </c>
      <c r="F10" s="29">
        <v>93.75</v>
      </c>
      <c r="G10" s="29">
        <v>0</v>
      </c>
      <c r="H10" s="18">
        <f t="shared" si="1"/>
        <v>0</v>
      </c>
      <c r="I10" s="18">
        <f t="shared" si="2"/>
        <v>0.27453620007293533</v>
      </c>
      <c r="J10" s="17">
        <f t="shared" si="5"/>
        <v>25.737768756837685</v>
      </c>
      <c r="K10" s="17">
        <f t="shared" si="3"/>
        <v>12.868884378418842</v>
      </c>
      <c r="L10" s="16">
        <v>15</v>
      </c>
      <c r="M10" s="19">
        <f t="shared" si="6"/>
        <v>0.13333333333333333</v>
      </c>
      <c r="N10" s="16">
        <v>37</v>
      </c>
      <c r="O10" s="20">
        <f t="shared" ref="O10:P10" si="18">D10/7</f>
        <v>0.2857142857142857</v>
      </c>
      <c r="P10" s="20">
        <f t="shared" si="18"/>
        <v>0</v>
      </c>
      <c r="Q10" s="16">
        <f t="shared" si="8"/>
        <v>129</v>
      </c>
      <c r="R10" s="16"/>
      <c r="S10" s="21">
        <v>3.1028037383177498</v>
      </c>
      <c r="T10" s="14">
        <v>120</v>
      </c>
      <c r="U10" s="22">
        <v>120</v>
      </c>
      <c r="V10" s="23" t="s">
        <v>804</v>
      </c>
      <c r="W10" s="14">
        <v>0</v>
      </c>
      <c r="X10" s="24">
        <f t="shared" si="9"/>
        <v>0</v>
      </c>
      <c r="Y10" s="25">
        <f t="shared" si="10"/>
        <v>0</v>
      </c>
      <c r="Z10" s="14">
        <v>0</v>
      </c>
      <c r="AA10" s="14" t="s">
        <v>35</v>
      </c>
      <c r="AB10" s="27">
        <f t="shared" si="11"/>
        <v>-0.69</v>
      </c>
      <c r="AC10" s="28">
        <v>0.19843476851851852</v>
      </c>
      <c r="AD10" s="25">
        <f t="shared" si="12"/>
        <v>-0.54767996111111106</v>
      </c>
      <c r="AE10" s="25">
        <v>-7.32</v>
      </c>
      <c r="AF10" s="25">
        <v>-19.381025641025602</v>
      </c>
      <c r="AG10" s="25">
        <v>0</v>
      </c>
    </row>
    <row r="11" spans="1:33" ht="15.75" customHeight="1">
      <c r="A11" s="14" t="s">
        <v>193</v>
      </c>
      <c r="B11" s="14" t="s">
        <v>68</v>
      </c>
      <c r="C11" s="15">
        <f t="shared" si="4"/>
        <v>41.850999999999992</v>
      </c>
      <c r="D11" s="16">
        <v>10</v>
      </c>
      <c r="E11" s="16">
        <v>0</v>
      </c>
      <c r="F11" s="29">
        <v>418.50999999999993</v>
      </c>
      <c r="G11" s="29">
        <v>0</v>
      </c>
      <c r="H11" s="18">
        <f t="shared" si="1"/>
        <v>0</v>
      </c>
      <c r="I11" s="18">
        <f t="shared" si="2"/>
        <v>0.20545469351792878</v>
      </c>
      <c r="J11" s="17">
        <f t="shared" si="5"/>
        <v>85.984843784188357</v>
      </c>
      <c r="K11" s="17">
        <f t="shared" si="3"/>
        <v>8.598484378418835</v>
      </c>
      <c r="L11" s="16">
        <v>22</v>
      </c>
      <c r="M11" s="19">
        <f t="shared" si="6"/>
        <v>0.45454545454545453</v>
      </c>
      <c r="N11" s="16">
        <v>28</v>
      </c>
      <c r="O11" s="20">
        <f t="shared" ref="O11:P11" si="19">D11/7</f>
        <v>1.4285714285714286</v>
      </c>
      <c r="P11" s="20">
        <f t="shared" si="19"/>
        <v>0</v>
      </c>
      <c r="Q11" s="16">
        <f t="shared" si="8"/>
        <v>19</v>
      </c>
      <c r="R11" s="16"/>
      <c r="S11" s="21">
        <v>1.8477157360406</v>
      </c>
      <c r="T11" s="14">
        <v>120</v>
      </c>
      <c r="U11" s="22">
        <v>120</v>
      </c>
      <c r="V11" s="23" t="s">
        <v>804</v>
      </c>
      <c r="W11" s="14">
        <v>0</v>
      </c>
      <c r="X11" s="24">
        <f t="shared" si="9"/>
        <v>0</v>
      </c>
      <c r="Y11" s="25">
        <f t="shared" si="10"/>
        <v>0</v>
      </c>
      <c r="Z11" s="14">
        <v>0</v>
      </c>
      <c r="AA11" s="14" t="s">
        <v>35</v>
      </c>
      <c r="AB11" s="27">
        <f t="shared" si="11"/>
        <v>-0.69</v>
      </c>
      <c r="AC11" s="28">
        <v>0.19843476851851852</v>
      </c>
      <c r="AD11" s="25">
        <f t="shared" si="12"/>
        <v>-2.7383998055555554</v>
      </c>
      <c r="AE11" s="25">
        <v>-7.32</v>
      </c>
      <c r="AF11" s="25">
        <v>-19.381025641025602</v>
      </c>
      <c r="AG11" s="25">
        <v>0</v>
      </c>
    </row>
    <row r="12" spans="1:33" ht="15.75" customHeight="1">
      <c r="A12" s="14" t="s">
        <v>195</v>
      </c>
      <c r="B12" s="14" t="s">
        <v>68</v>
      </c>
      <c r="C12" s="15">
        <f t="shared" si="4"/>
        <v>40.107142857142868</v>
      </c>
      <c r="D12" s="16">
        <v>7</v>
      </c>
      <c r="E12" s="16">
        <v>0</v>
      </c>
      <c r="F12" s="29">
        <v>280.75000000000006</v>
      </c>
      <c r="G12" s="29">
        <v>0</v>
      </c>
      <c r="H12" s="18">
        <f t="shared" si="1"/>
        <v>0</v>
      </c>
      <c r="I12" s="18">
        <f t="shared" si="2"/>
        <v>0.17742988655006917</v>
      </c>
      <c r="J12" s="17">
        <f t="shared" si="5"/>
        <v>49.81344064893193</v>
      </c>
      <c r="K12" s="17">
        <f t="shared" si="3"/>
        <v>7.1162058069902754</v>
      </c>
      <c r="L12" s="16">
        <v>15</v>
      </c>
      <c r="M12" s="19">
        <f t="shared" si="6"/>
        <v>0.46666666666666667</v>
      </c>
      <c r="N12" s="16">
        <v>20</v>
      </c>
      <c r="O12" s="20">
        <f t="shared" ref="O12:P12" si="20">D12/7</f>
        <v>1</v>
      </c>
      <c r="P12" s="20">
        <f t="shared" si="20"/>
        <v>0</v>
      </c>
      <c r="Q12" s="16">
        <f t="shared" si="8"/>
        <v>20</v>
      </c>
      <c r="R12" s="16"/>
      <c r="S12" s="21">
        <v>2.1797752808988702</v>
      </c>
      <c r="T12" s="14">
        <v>120</v>
      </c>
      <c r="U12" s="22">
        <v>120</v>
      </c>
      <c r="V12" s="23" t="s">
        <v>807</v>
      </c>
      <c r="W12" s="14">
        <v>0</v>
      </c>
      <c r="X12" s="24">
        <f t="shared" si="9"/>
        <v>0</v>
      </c>
      <c r="Y12" s="25">
        <f t="shared" si="10"/>
        <v>0</v>
      </c>
      <c r="Z12" s="14">
        <v>0</v>
      </c>
      <c r="AA12" s="14" t="s">
        <v>35</v>
      </c>
      <c r="AB12" s="27">
        <f t="shared" si="11"/>
        <v>-0.69</v>
      </c>
      <c r="AC12" s="28">
        <v>0.19843476851851852</v>
      </c>
      <c r="AD12" s="25">
        <f t="shared" si="12"/>
        <v>-1.9168798638888886</v>
      </c>
      <c r="AE12" s="25">
        <v>-7.32</v>
      </c>
      <c r="AF12" s="25">
        <v>-19.381025641025602</v>
      </c>
      <c r="AG12" s="25">
        <v>0</v>
      </c>
    </row>
    <row r="13" spans="1:33" ht="15.75" customHeight="1">
      <c r="A13" s="14" t="s">
        <v>197</v>
      </c>
      <c r="B13" s="14" t="s">
        <v>68</v>
      </c>
      <c r="C13" s="15">
        <f t="shared" si="4"/>
        <v>40.081666666666671</v>
      </c>
      <c r="D13" s="16">
        <v>6</v>
      </c>
      <c r="E13" s="16">
        <v>0</v>
      </c>
      <c r="F13" s="17">
        <v>240.49</v>
      </c>
      <c r="G13" s="29">
        <v>0</v>
      </c>
      <c r="H13" s="18">
        <f t="shared" si="1"/>
        <v>0</v>
      </c>
      <c r="I13" s="18">
        <f t="shared" si="2"/>
        <v>0.17303613504373025</v>
      </c>
      <c r="J13" s="17">
        <f t="shared" si="5"/>
        <v>41.613460116666687</v>
      </c>
      <c r="K13" s="17">
        <f t="shared" si="3"/>
        <v>6.9355766861111148</v>
      </c>
      <c r="L13" s="16">
        <v>9</v>
      </c>
      <c r="M13" s="19">
        <f t="shared" si="6"/>
        <v>0.66666666666666663</v>
      </c>
      <c r="N13" s="16">
        <v>13</v>
      </c>
      <c r="O13" s="20">
        <f t="shared" ref="O13:P13" si="21">D13/7</f>
        <v>0.8571428571428571</v>
      </c>
      <c r="P13" s="20">
        <f t="shared" si="21"/>
        <v>0</v>
      </c>
      <c r="Q13" s="16">
        <f t="shared" si="8"/>
        <v>15</v>
      </c>
      <c r="R13" s="16"/>
      <c r="S13" s="21">
        <v>2.39053254437869</v>
      </c>
      <c r="T13" s="14">
        <v>120</v>
      </c>
      <c r="U13" s="22">
        <v>120</v>
      </c>
      <c r="V13" s="23" t="s">
        <v>807</v>
      </c>
      <c r="W13" s="14">
        <v>0</v>
      </c>
      <c r="X13" s="24">
        <f t="shared" si="9"/>
        <v>0</v>
      </c>
      <c r="Y13" s="25">
        <f t="shared" si="10"/>
        <v>0</v>
      </c>
      <c r="Z13" s="14">
        <v>0</v>
      </c>
      <c r="AA13" s="14" t="s">
        <v>35</v>
      </c>
      <c r="AB13" s="27">
        <f t="shared" si="11"/>
        <v>-0.69</v>
      </c>
      <c r="AC13" s="28">
        <v>0.19843476851851852</v>
      </c>
      <c r="AD13" s="25">
        <f t="shared" si="12"/>
        <v>-1.6430398833333331</v>
      </c>
      <c r="AE13" s="25">
        <v>-7.32</v>
      </c>
      <c r="AF13" s="25">
        <v>-19.54</v>
      </c>
      <c r="AG13" s="25">
        <v>0</v>
      </c>
    </row>
    <row r="14" spans="1:33" ht="15.75" customHeight="1">
      <c r="A14" s="14" t="s">
        <v>32</v>
      </c>
      <c r="B14" s="14" t="s">
        <v>68</v>
      </c>
      <c r="C14" s="15">
        <f t="shared" si="4"/>
        <v>40.108000000000004</v>
      </c>
      <c r="D14" s="16">
        <v>5</v>
      </c>
      <c r="E14" s="16">
        <v>0</v>
      </c>
      <c r="F14" s="17">
        <v>200.54000000000002</v>
      </c>
      <c r="G14" s="29">
        <v>0</v>
      </c>
      <c r="H14" s="18">
        <f t="shared" si="1"/>
        <v>0</v>
      </c>
      <c r="I14" s="18">
        <f t="shared" si="2"/>
        <v>0.17348060285839348</v>
      </c>
      <c r="J14" s="17">
        <f t="shared" si="5"/>
        <v>34.789800097222233</v>
      </c>
      <c r="K14" s="17">
        <f t="shared" si="3"/>
        <v>6.9579600194444469</v>
      </c>
      <c r="L14" s="16">
        <v>20</v>
      </c>
      <c r="M14" s="19">
        <f t="shared" si="6"/>
        <v>0.25</v>
      </c>
      <c r="N14" s="16">
        <v>8</v>
      </c>
      <c r="O14" s="20">
        <f t="shared" ref="O14:P14" si="22">D14/7</f>
        <v>0.7142857142857143</v>
      </c>
      <c r="P14" s="20">
        <f t="shared" si="22"/>
        <v>0</v>
      </c>
      <c r="Q14" s="16">
        <f t="shared" si="8"/>
        <v>11</v>
      </c>
      <c r="R14" s="16"/>
      <c r="S14" s="21">
        <v>3.5409836065573699</v>
      </c>
      <c r="T14" s="14">
        <v>120</v>
      </c>
      <c r="U14" s="22">
        <v>120</v>
      </c>
      <c r="V14" s="23" t="s">
        <v>807</v>
      </c>
      <c r="W14" s="14">
        <v>0</v>
      </c>
      <c r="X14" s="24">
        <f t="shared" si="9"/>
        <v>0</v>
      </c>
      <c r="Y14" s="25">
        <f t="shared" si="10"/>
        <v>0</v>
      </c>
      <c r="Z14" s="14">
        <v>0</v>
      </c>
      <c r="AA14" s="14" t="s">
        <v>35</v>
      </c>
      <c r="AB14" s="27">
        <f t="shared" si="11"/>
        <v>-0.69</v>
      </c>
      <c r="AC14" s="28">
        <v>0.19843476851851852</v>
      </c>
      <c r="AD14" s="25">
        <f t="shared" si="12"/>
        <v>-1.3691999027777777</v>
      </c>
      <c r="AE14" s="25">
        <v>-7.32</v>
      </c>
      <c r="AF14" s="25">
        <v>-19.54</v>
      </c>
      <c r="AG14" s="25">
        <v>0</v>
      </c>
    </row>
    <row r="15" spans="1:33" ht="15.75" customHeight="1">
      <c r="A15" s="14" t="s">
        <v>36</v>
      </c>
      <c r="B15" s="14" t="s">
        <v>68</v>
      </c>
      <c r="C15" s="15">
        <f t="shared" si="4"/>
        <v>40.022857142857148</v>
      </c>
      <c r="D15" s="16">
        <v>7</v>
      </c>
      <c r="E15" s="16">
        <v>0</v>
      </c>
      <c r="F15" s="17">
        <v>280.16000000000003</v>
      </c>
      <c r="G15" s="29">
        <v>0</v>
      </c>
      <c r="H15" s="18">
        <f t="shared" si="1"/>
        <v>0</v>
      </c>
      <c r="I15" s="18">
        <f t="shared" si="2"/>
        <v>0.17707400472609661</v>
      </c>
      <c r="J15" s="17">
        <f t="shared" si="5"/>
        <v>49.609053164063226</v>
      </c>
      <c r="K15" s="17">
        <f t="shared" si="3"/>
        <v>7.0870075948661748</v>
      </c>
      <c r="L15" s="16">
        <v>14</v>
      </c>
      <c r="M15" s="19">
        <f t="shared" si="6"/>
        <v>0.5</v>
      </c>
      <c r="N15" s="16">
        <v>84</v>
      </c>
      <c r="O15" s="20">
        <f t="shared" ref="O15:P15" si="23">D15/7</f>
        <v>1</v>
      </c>
      <c r="P15" s="20">
        <f t="shared" si="23"/>
        <v>0</v>
      </c>
      <c r="Q15" s="16">
        <f t="shared" si="8"/>
        <v>84</v>
      </c>
      <c r="R15" s="16"/>
      <c r="S15" s="21">
        <v>1.5405405405405399</v>
      </c>
      <c r="T15" s="14">
        <v>120</v>
      </c>
      <c r="U15" s="22">
        <v>120</v>
      </c>
      <c r="V15" s="23" t="s">
        <v>560</v>
      </c>
      <c r="W15" s="14">
        <v>0</v>
      </c>
      <c r="X15" s="24">
        <f t="shared" si="9"/>
        <v>0</v>
      </c>
      <c r="Y15" s="25">
        <f t="shared" si="10"/>
        <v>0</v>
      </c>
      <c r="Z15" s="14">
        <v>0</v>
      </c>
      <c r="AA15" s="14" t="s">
        <v>35</v>
      </c>
      <c r="AB15" s="27">
        <f t="shared" si="11"/>
        <v>-0.69</v>
      </c>
      <c r="AC15" s="28">
        <v>0.24088476562500002</v>
      </c>
      <c r="AD15" s="25">
        <f t="shared" si="12"/>
        <v>-2.3269468359375001</v>
      </c>
      <c r="AE15" s="25">
        <v>-7.32</v>
      </c>
      <c r="AF15" s="25">
        <v>-19.279999999999902</v>
      </c>
      <c r="AG15" s="25">
        <v>0</v>
      </c>
    </row>
    <row r="16" spans="1:33" ht="15.75" customHeight="1">
      <c r="A16" s="14" t="s">
        <v>38</v>
      </c>
      <c r="B16" s="14" t="s">
        <v>782</v>
      </c>
      <c r="C16" s="15">
        <f t="shared" si="4"/>
        <v>40.24909090909091</v>
      </c>
      <c r="D16" s="16">
        <v>22</v>
      </c>
      <c r="E16" s="16">
        <v>0</v>
      </c>
      <c r="F16" s="17">
        <v>885.48</v>
      </c>
      <c r="G16" s="29">
        <v>0</v>
      </c>
      <c r="H16" s="18">
        <f t="shared" si="1"/>
        <v>0</v>
      </c>
      <c r="I16" s="18">
        <f t="shared" si="2"/>
        <v>0.18085641518230472</v>
      </c>
      <c r="J16" s="17">
        <f t="shared" si="5"/>
        <v>160.14473851562718</v>
      </c>
      <c r="K16" s="17">
        <f t="shared" si="3"/>
        <v>7.2793062961648722</v>
      </c>
      <c r="L16" s="16">
        <v>29</v>
      </c>
      <c r="M16" s="19">
        <f t="shared" si="6"/>
        <v>0.75862068965517238</v>
      </c>
      <c r="N16" s="16">
        <v>63</v>
      </c>
      <c r="O16" s="20">
        <f t="shared" ref="O16:P16" si="24">D16/7</f>
        <v>3.1428571428571428</v>
      </c>
      <c r="P16" s="20">
        <f t="shared" si="24"/>
        <v>0</v>
      </c>
      <c r="Q16" s="16">
        <f t="shared" si="8"/>
        <v>20</v>
      </c>
      <c r="R16" s="16"/>
      <c r="S16" s="21">
        <v>1.9212598425196801</v>
      </c>
      <c r="T16" s="14">
        <v>120</v>
      </c>
      <c r="U16" s="22">
        <v>120</v>
      </c>
      <c r="V16" s="23" t="s">
        <v>560</v>
      </c>
      <c r="W16" s="14">
        <v>0</v>
      </c>
      <c r="X16" s="24">
        <f t="shared" si="9"/>
        <v>0</v>
      </c>
      <c r="Y16" s="25">
        <f t="shared" si="10"/>
        <v>0</v>
      </c>
      <c r="Z16" s="14">
        <v>0</v>
      </c>
      <c r="AA16" s="14" t="s">
        <v>35</v>
      </c>
      <c r="AB16" s="27">
        <f t="shared" si="11"/>
        <v>-0.69</v>
      </c>
      <c r="AC16" s="28">
        <v>0.24088476562500002</v>
      </c>
      <c r="AD16" s="25">
        <f t="shared" si="12"/>
        <v>-7.3132614843750003</v>
      </c>
      <c r="AE16" s="25">
        <v>-7.32</v>
      </c>
      <c r="AF16" s="25">
        <v>-19.279999999999902</v>
      </c>
      <c r="AG16" s="25">
        <v>0</v>
      </c>
    </row>
    <row r="17" spans="1:33" ht="15.75" customHeight="1">
      <c r="A17" s="14" t="s">
        <v>40</v>
      </c>
      <c r="B17" s="14" t="s">
        <v>68</v>
      </c>
      <c r="C17" s="15">
        <f t="shared" si="4"/>
        <v>41.93549999999999</v>
      </c>
      <c r="D17" s="16">
        <v>20</v>
      </c>
      <c r="E17" s="16">
        <v>0</v>
      </c>
      <c r="F17" s="17">
        <v>838.70999999999981</v>
      </c>
      <c r="G17" s="29">
        <v>0</v>
      </c>
      <c r="H17" s="18">
        <f t="shared" si="1"/>
        <v>0</v>
      </c>
      <c r="I17" s="18">
        <f t="shared" si="2"/>
        <v>0.20776559295674521</v>
      </c>
      <c r="J17" s="17">
        <f t="shared" si="5"/>
        <v>174.25508046875174</v>
      </c>
      <c r="K17" s="17">
        <f t="shared" si="3"/>
        <v>8.7127540234375864</v>
      </c>
      <c r="L17" s="16">
        <v>49</v>
      </c>
      <c r="M17" s="19">
        <f t="shared" si="6"/>
        <v>0.40816326530612246</v>
      </c>
      <c r="N17" s="16">
        <v>40</v>
      </c>
      <c r="O17" s="20">
        <f t="shared" ref="O17:P17" si="25">D17/7</f>
        <v>2.8571428571428572</v>
      </c>
      <c r="P17" s="20">
        <f t="shared" si="25"/>
        <v>0</v>
      </c>
      <c r="Q17" s="16">
        <f t="shared" si="8"/>
        <v>14</v>
      </c>
      <c r="R17" s="16"/>
      <c r="S17" s="21">
        <v>2.4788732394366102</v>
      </c>
      <c r="T17" s="14">
        <v>120</v>
      </c>
      <c r="U17" s="22">
        <v>120</v>
      </c>
      <c r="V17" s="23" t="s">
        <v>560</v>
      </c>
      <c r="W17" s="14">
        <v>0</v>
      </c>
      <c r="X17" s="24">
        <f t="shared" si="9"/>
        <v>0</v>
      </c>
      <c r="Y17" s="25">
        <f t="shared" si="10"/>
        <v>0</v>
      </c>
      <c r="Z17" s="14">
        <v>0</v>
      </c>
      <c r="AA17" s="14" t="s">
        <v>35</v>
      </c>
      <c r="AB17" s="27">
        <f t="shared" si="11"/>
        <v>-0.69</v>
      </c>
      <c r="AC17" s="28">
        <v>0.24088476562500002</v>
      </c>
      <c r="AD17" s="25">
        <f t="shared" si="12"/>
        <v>-6.648419531250001</v>
      </c>
      <c r="AE17" s="25">
        <v>-7.32</v>
      </c>
      <c r="AF17" s="25">
        <v>-19.279999999999902</v>
      </c>
      <c r="AG17" s="25">
        <v>0</v>
      </c>
    </row>
    <row r="18" spans="1:33" ht="15.75" customHeight="1">
      <c r="A18" s="14" t="s">
        <v>42</v>
      </c>
      <c r="B18" s="14" t="s">
        <v>68</v>
      </c>
      <c r="C18" s="15">
        <f t="shared" si="4"/>
        <v>39.337142857142851</v>
      </c>
      <c r="D18" s="16">
        <v>14</v>
      </c>
      <c r="E18" s="16">
        <v>0</v>
      </c>
      <c r="F18" s="17">
        <v>550.71999999999991</v>
      </c>
      <c r="G18" s="29">
        <v>0</v>
      </c>
      <c r="H18" s="18">
        <f t="shared" si="1"/>
        <v>0</v>
      </c>
      <c r="I18" s="18">
        <f t="shared" si="2"/>
        <v>0.1653437433325943</v>
      </c>
      <c r="J18" s="17">
        <f t="shared" si="5"/>
        <v>91.058106328126314</v>
      </c>
      <c r="K18" s="17">
        <f t="shared" si="3"/>
        <v>6.5041504520090223</v>
      </c>
      <c r="L18" s="16">
        <v>42</v>
      </c>
      <c r="M18" s="19">
        <f t="shared" si="6"/>
        <v>0.33333333333333331</v>
      </c>
      <c r="N18" s="16">
        <v>27</v>
      </c>
      <c r="O18" s="20">
        <f t="shared" ref="O18:P18" si="26">D18/7</f>
        <v>2</v>
      </c>
      <c r="P18" s="20">
        <f t="shared" si="26"/>
        <v>0</v>
      </c>
      <c r="Q18" s="16">
        <f t="shared" si="8"/>
        <v>13</v>
      </c>
      <c r="R18" s="16"/>
      <c r="S18" s="21">
        <v>3.4037267080745299</v>
      </c>
      <c r="T18" s="14">
        <v>120</v>
      </c>
      <c r="U18" s="22">
        <v>0</v>
      </c>
      <c r="V18" s="23" t="s">
        <v>561</v>
      </c>
      <c r="W18" s="14">
        <v>0</v>
      </c>
      <c r="X18" s="24">
        <f t="shared" si="9"/>
        <v>0</v>
      </c>
      <c r="Y18" s="25">
        <f t="shared" si="10"/>
        <v>0</v>
      </c>
      <c r="Z18" s="14">
        <v>0</v>
      </c>
      <c r="AA18" s="14" t="s">
        <v>35</v>
      </c>
      <c r="AB18" s="27">
        <f t="shared" si="11"/>
        <v>-0.69</v>
      </c>
      <c r="AC18" s="28">
        <v>0.24088476562500002</v>
      </c>
      <c r="AD18" s="25">
        <f t="shared" si="12"/>
        <v>-4.6538936718750001</v>
      </c>
      <c r="AE18" s="25">
        <v>-7.32</v>
      </c>
      <c r="AF18" s="25">
        <v>-19.279999999999902</v>
      </c>
      <c r="AG18" s="25">
        <v>0</v>
      </c>
    </row>
    <row r="19" spans="1:33" ht="15.75" customHeight="1">
      <c r="A19" s="14" t="s">
        <v>44</v>
      </c>
      <c r="B19" s="14" t="s">
        <v>822</v>
      </c>
      <c r="C19" s="15">
        <f t="shared" si="4"/>
        <v>41.930800000000005</v>
      </c>
      <c r="D19" s="16">
        <v>25</v>
      </c>
      <c r="E19" s="16">
        <v>0</v>
      </c>
      <c r="F19" s="17">
        <v>1048.2700000000002</v>
      </c>
      <c r="G19" s="29">
        <v>0</v>
      </c>
      <c r="H19" s="18">
        <f t="shared" si="1"/>
        <v>0</v>
      </c>
      <c r="I19" s="18">
        <f t="shared" si="2"/>
        <v>0.18618197180682228</v>
      </c>
      <c r="J19" s="17">
        <f t="shared" si="5"/>
        <v>195.16897558593763</v>
      </c>
      <c r="K19" s="17">
        <f t="shared" si="3"/>
        <v>7.8067590234375048</v>
      </c>
      <c r="L19" s="16">
        <v>35</v>
      </c>
      <c r="M19" s="19">
        <f t="shared" si="6"/>
        <v>0.7142857142857143</v>
      </c>
      <c r="N19" s="16">
        <v>126</v>
      </c>
      <c r="O19" s="20">
        <f t="shared" ref="O19:P19" si="27">D19/7</f>
        <v>3.5714285714285716</v>
      </c>
      <c r="P19" s="20">
        <f t="shared" si="27"/>
        <v>0</v>
      </c>
      <c r="Q19" s="16">
        <f t="shared" si="8"/>
        <v>35</v>
      </c>
      <c r="R19" s="16"/>
      <c r="S19" s="21">
        <v>1.6506024096385501</v>
      </c>
      <c r="T19" s="14">
        <v>0</v>
      </c>
      <c r="U19" s="22" t="s">
        <v>34</v>
      </c>
      <c r="V19" s="23" t="s">
        <v>34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14" t="s">
        <v>35</v>
      </c>
      <c r="AB19" s="27">
        <f t="shared" si="11"/>
        <v>-0.69</v>
      </c>
      <c r="AC19" s="28">
        <v>0.24088476562500002</v>
      </c>
      <c r="AD19" s="25">
        <f t="shared" si="12"/>
        <v>-8.3105244140625008</v>
      </c>
      <c r="AE19" s="25">
        <v>-7.32</v>
      </c>
      <c r="AF19" s="25">
        <v>-20.181999999999999</v>
      </c>
      <c r="AG19" s="25">
        <v>0</v>
      </c>
    </row>
    <row r="20" spans="1:33" ht="15.75" customHeight="1">
      <c r="A20" s="14" t="s">
        <v>46</v>
      </c>
      <c r="B20" s="14" t="s">
        <v>823</v>
      </c>
      <c r="C20" s="15">
        <f t="shared" si="4"/>
        <v>48.42</v>
      </c>
      <c r="D20" s="16">
        <v>1</v>
      </c>
      <c r="E20" s="16">
        <v>0</v>
      </c>
      <c r="F20" s="17">
        <v>48.42</v>
      </c>
      <c r="G20" s="29">
        <v>0</v>
      </c>
      <c r="H20" s="18">
        <f t="shared" si="1"/>
        <v>0</v>
      </c>
      <c r="I20" s="18">
        <f t="shared" si="2"/>
        <v>0.27514620040143545</v>
      </c>
      <c r="J20" s="17">
        <f t="shared" si="5"/>
        <v>13.322579023437505</v>
      </c>
      <c r="K20" s="17">
        <f t="shared" si="3"/>
        <v>13.322579023437505</v>
      </c>
      <c r="L20" s="16">
        <v>24</v>
      </c>
      <c r="M20" s="19">
        <f t="shared" si="6"/>
        <v>4.1666666666666664E-2</v>
      </c>
      <c r="N20" s="16">
        <v>121</v>
      </c>
      <c r="O20" s="20">
        <f t="shared" ref="O20:P20" si="28">D20/7</f>
        <v>0.14285714285714285</v>
      </c>
      <c r="P20" s="20">
        <f t="shared" si="28"/>
        <v>0</v>
      </c>
      <c r="Q20" s="16">
        <f t="shared" si="8"/>
        <v>847</v>
      </c>
      <c r="R20" s="16"/>
      <c r="S20" s="21">
        <v>1.8362989323843399</v>
      </c>
      <c r="T20" s="14">
        <v>0</v>
      </c>
      <c r="U20" s="22" t="s">
        <v>34</v>
      </c>
      <c r="V20" s="23" t="s">
        <v>34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14" t="s">
        <v>35</v>
      </c>
      <c r="AB20" s="27">
        <f t="shared" si="11"/>
        <v>-0.69</v>
      </c>
      <c r="AC20" s="28">
        <v>0.24088476562500002</v>
      </c>
      <c r="AD20" s="25">
        <f t="shared" si="12"/>
        <v>-0.33242097656250003</v>
      </c>
      <c r="AE20" s="25">
        <v>-7.32</v>
      </c>
      <c r="AF20" s="25">
        <v>-20.181999999999999</v>
      </c>
      <c r="AG20" s="25">
        <v>0</v>
      </c>
    </row>
    <row r="21" spans="1:33" ht="15.75" customHeight="1">
      <c r="A21" s="14" t="s">
        <v>47</v>
      </c>
      <c r="B21" s="14" t="s">
        <v>655</v>
      </c>
      <c r="C21" s="15">
        <f t="shared" si="4"/>
        <v>47.124000000000009</v>
      </c>
      <c r="D21" s="16">
        <v>5</v>
      </c>
      <c r="E21" s="16">
        <v>0</v>
      </c>
      <c r="F21" s="17">
        <v>235.62000000000003</v>
      </c>
      <c r="G21" s="29">
        <v>0</v>
      </c>
      <c r="H21" s="18">
        <f t="shared" si="1"/>
        <v>0</v>
      </c>
      <c r="I21" s="18">
        <f t="shared" si="2"/>
        <v>0.25933662302515709</v>
      </c>
      <c r="J21" s="17">
        <f t="shared" si="5"/>
        <v>61.104895117187517</v>
      </c>
      <c r="K21" s="17">
        <f t="shared" si="3"/>
        <v>12.220979023437504</v>
      </c>
      <c r="L21" s="16">
        <v>8</v>
      </c>
      <c r="M21" s="19">
        <f t="shared" si="6"/>
        <v>0.625</v>
      </c>
      <c r="N21" s="16">
        <v>115</v>
      </c>
      <c r="O21" s="20">
        <f t="shared" ref="O21:P21" si="29">D21/7</f>
        <v>0.7142857142857143</v>
      </c>
      <c r="P21" s="20">
        <f t="shared" si="29"/>
        <v>0</v>
      </c>
      <c r="Q21" s="16">
        <f t="shared" si="8"/>
        <v>161</v>
      </c>
      <c r="R21" s="16"/>
      <c r="S21" s="21">
        <v>2.16450216450216</v>
      </c>
      <c r="T21" s="14">
        <v>140</v>
      </c>
      <c r="U21" s="22">
        <v>140</v>
      </c>
      <c r="V21" s="23" t="s">
        <v>824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14" t="s">
        <v>35</v>
      </c>
      <c r="AB21" s="27">
        <f t="shared" si="11"/>
        <v>-0.69</v>
      </c>
      <c r="AC21" s="28">
        <v>0.24088476562500002</v>
      </c>
      <c r="AD21" s="25">
        <f t="shared" si="12"/>
        <v>-1.6621048828125002</v>
      </c>
      <c r="AE21" s="25">
        <v>-7.32</v>
      </c>
      <c r="AF21" s="25">
        <v>-20.181999999999999</v>
      </c>
      <c r="AG21" s="25">
        <v>0</v>
      </c>
    </row>
    <row r="22" spans="1:33" ht="15.75" customHeight="1">
      <c r="A22" s="14" t="s">
        <v>48</v>
      </c>
      <c r="B22" s="14" t="s">
        <v>825</v>
      </c>
      <c r="C22" s="15">
        <f t="shared" si="4"/>
        <v>47.784999999999997</v>
      </c>
      <c r="D22" s="16">
        <v>6</v>
      </c>
      <c r="E22" s="16">
        <v>0</v>
      </c>
      <c r="F22" s="29">
        <v>286.70999999999998</v>
      </c>
      <c r="G22" s="29">
        <v>0</v>
      </c>
      <c r="H22" s="18">
        <f t="shared" si="1"/>
        <v>0</v>
      </c>
      <c r="I22" s="18">
        <f t="shared" si="2"/>
        <v>0.26750714708459761</v>
      </c>
      <c r="J22" s="17">
        <f t="shared" si="5"/>
        <v>76.696974140624974</v>
      </c>
      <c r="K22" s="17">
        <f t="shared" si="3"/>
        <v>12.782829023437495</v>
      </c>
      <c r="L22" s="16">
        <v>15</v>
      </c>
      <c r="M22" s="19">
        <f t="shared" si="6"/>
        <v>0.4</v>
      </c>
      <c r="N22" s="16">
        <v>110</v>
      </c>
      <c r="O22" s="20">
        <f t="shared" ref="O22:P22" si="30">D22/7</f>
        <v>0.8571428571428571</v>
      </c>
      <c r="P22" s="20">
        <f t="shared" si="30"/>
        <v>0</v>
      </c>
      <c r="Q22" s="16">
        <f t="shared" si="8"/>
        <v>128</v>
      </c>
      <c r="R22" s="16"/>
      <c r="S22" s="21">
        <v>2.5728643216080398</v>
      </c>
      <c r="T22" s="14">
        <v>180</v>
      </c>
      <c r="U22" s="22">
        <v>80</v>
      </c>
      <c r="V22" s="23" t="s">
        <v>826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35</v>
      </c>
      <c r="AB22" s="27">
        <f t="shared" si="11"/>
        <v>-0.69</v>
      </c>
      <c r="AC22" s="28">
        <v>0.24088476562500002</v>
      </c>
      <c r="AD22" s="25">
        <f t="shared" si="12"/>
        <v>-1.9945258593750002</v>
      </c>
      <c r="AE22" s="25">
        <v>-7.32</v>
      </c>
      <c r="AF22" s="25">
        <v>-20.181999999999999</v>
      </c>
      <c r="AG22" s="25">
        <v>0</v>
      </c>
    </row>
    <row r="23" spans="1:33" ht="15.75" customHeight="1">
      <c r="A23" s="14" t="s">
        <v>49</v>
      </c>
      <c r="B23" s="14" t="s">
        <v>827</v>
      </c>
      <c r="C23" s="15">
        <f t="shared" si="4"/>
        <v>45.346666666666671</v>
      </c>
      <c r="D23" s="16">
        <v>6</v>
      </c>
      <c r="E23" s="16">
        <v>0</v>
      </c>
      <c r="F23" s="17">
        <v>272.08000000000004</v>
      </c>
      <c r="G23" s="29">
        <v>0</v>
      </c>
      <c r="H23" s="18">
        <f t="shared" si="1"/>
        <v>0</v>
      </c>
      <c r="I23" s="18">
        <f t="shared" si="2"/>
        <v>0.23618595317783384</v>
      </c>
      <c r="J23" s="17">
        <f t="shared" si="5"/>
        <v>64.26147414062504</v>
      </c>
      <c r="K23" s="17">
        <f t="shared" si="3"/>
        <v>10.710245690104173</v>
      </c>
      <c r="L23" s="16">
        <v>10</v>
      </c>
      <c r="M23" s="19">
        <f t="shared" si="6"/>
        <v>0.6</v>
      </c>
      <c r="N23" s="16">
        <v>103</v>
      </c>
      <c r="O23" s="20">
        <f t="shared" ref="O23:P23" si="31">D23/7</f>
        <v>0.8571428571428571</v>
      </c>
      <c r="P23" s="20">
        <f t="shared" si="31"/>
        <v>0</v>
      </c>
      <c r="Q23" s="16">
        <f t="shared" si="8"/>
        <v>120</v>
      </c>
      <c r="R23" s="16"/>
      <c r="S23" s="21">
        <v>2.96045197740112</v>
      </c>
      <c r="T23" s="14">
        <v>180</v>
      </c>
      <c r="U23" s="22">
        <v>80</v>
      </c>
      <c r="V23" s="23" t="s">
        <v>826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35</v>
      </c>
      <c r="AB23" s="27">
        <f t="shared" si="11"/>
        <v>-0.69</v>
      </c>
      <c r="AC23" s="28">
        <v>0.24088476562500002</v>
      </c>
      <c r="AD23" s="25">
        <f t="shared" si="12"/>
        <v>-1.9945258593750002</v>
      </c>
      <c r="AE23" s="25">
        <v>-7.32</v>
      </c>
      <c r="AF23" s="25">
        <v>-20.181999999999999</v>
      </c>
      <c r="AG23" s="25">
        <v>0</v>
      </c>
    </row>
    <row r="24" spans="1:33" ht="15.75" customHeight="1">
      <c r="A24" s="14" t="s">
        <v>50</v>
      </c>
      <c r="B24" s="14" t="s">
        <v>828</v>
      </c>
      <c r="C24" s="15">
        <f t="shared" si="4"/>
        <v>40.381578947368418</v>
      </c>
      <c r="D24" s="16">
        <v>19</v>
      </c>
      <c r="E24" s="16">
        <v>0</v>
      </c>
      <c r="F24" s="17">
        <v>767.25</v>
      </c>
      <c r="G24" s="17">
        <v>0</v>
      </c>
      <c r="H24" s="18">
        <f t="shared" si="1"/>
        <v>0</v>
      </c>
      <c r="I24" s="18">
        <f t="shared" si="2"/>
        <v>0.14954825938416427</v>
      </c>
      <c r="J24" s="17">
        <f t="shared" si="5"/>
        <v>114.74090201250004</v>
      </c>
      <c r="K24" s="17">
        <f t="shared" si="3"/>
        <v>6.0389948427631603</v>
      </c>
      <c r="L24" s="16">
        <v>13</v>
      </c>
      <c r="M24" s="19">
        <f t="shared" si="6"/>
        <v>1.4615384615384615</v>
      </c>
      <c r="N24" s="16">
        <v>87</v>
      </c>
      <c r="O24" s="20">
        <f t="shared" ref="O24:P24" si="32">D24/7</f>
        <v>2.7142857142857144</v>
      </c>
      <c r="P24" s="20">
        <f t="shared" si="32"/>
        <v>0</v>
      </c>
      <c r="Q24" s="16">
        <f t="shared" si="8"/>
        <v>32</v>
      </c>
      <c r="R24" s="16"/>
      <c r="S24" s="21">
        <v>1.5438596491228</v>
      </c>
      <c r="T24" s="14">
        <v>240</v>
      </c>
      <c r="U24" s="22">
        <v>80</v>
      </c>
      <c r="V24" s="23" t="s">
        <v>829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14" t="s">
        <v>35</v>
      </c>
      <c r="AB24" s="27">
        <f t="shared" si="11"/>
        <v>-0.69</v>
      </c>
      <c r="AC24" s="28">
        <v>0.29228062500000002</v>
      </c>
      <c r="AD24" s="25">
        <f t="shared" si="12"/>
        <v>-7.6635979874999993</v>
      </c>
      <c r="AE24" s="25">
        <v>-7.7</v>
      </c>
      <c r="AF24" s="25">
        <v>-20.181999999999999</v>
      </c>
      <c r="AG24" s="25">
        <v>0</v>
      </c>
    </row>
    <row r="25" spans="1:33" ht="15.75" customHeight="1">
      <c r="A25" s="14" t="s">
        <v>51</v>
      </c>
      <c r="B25" s="14" t="s">
        <v>749</v>
      </c>
      <c r="C25" s="15">
        <f t="shared" si="4"/>
        <v>41.594583333333333</v>
      </c>
      <c r="D25" s="16">
        <v>24</v>
      </c>
      <c r="E25" s="16">
        <v>0</v>
      </c>
      <c r="F25" s="17">
        <v>998.27</v>
      </c>
      <c r="G25" s="17">
        <v>0</v>
      </c>
      <c r="H25" s="18">
        <f t="shared" si="1"/>
        <v>0</v>
      </c>
      <c r="I25" s="18">
        <f t="shared" si="2"/>
        <v>0.17002330601941357</v>
      </c>
      <c r="J25" s="17">
        <f t="shared" si="5"/>
        <v>169.72916569999998</v>
      </c>
      <c r="K25" s="17">
        <f t="shared" si="3"/>
        <v>7.0720485708333323</v>
      </c>
      <c r="L25" s="16">
        <v>43</v>
      </c>
      <c r="M25" s="19">
        <f t="shared" si="6"/>
        <v>0.55813953488372092</v>
      </c>
      <c r="N25" s="16">
        <v>61</v>
      </c>
      <c r="O25" s="20">
        <f t="shared" ref="O25:P25" si="33">D25/7</f>
        <v>3.4285714285714284</v>
      </c>
      <c r="P25" s="20">
        <f t="shared" si="33"/>
        <v>0</v>
      </c>
      <c r="Q25" s="16">
        <f t="shared" si="8"/>
        <v>17</v>
      </c>
      <c r="R25" s="16"/>
      <c r="S25" s="21">
        <v>2.3396226415094339</v>
      </c>
      <c r="T25" s="14">
        <v>240</v>
      </c>
      <c r="U25" s="22">
        <v>80</v>
      </c>
      <c r="V25" s="23" t="s">
        <v>830</v>
      </c>
      <c r="W25" s="30">
        <v>0</v>
      </c>
      <c r="X25" s="24">
        <f t="shared" si="9"/>
        <v>0</v>
      </c>
      <c r="Y25" s="25">
        <f t="shared" si="10"/>
        <v>0</v>
      </c>
      <c r="Z25" s="30">
        <v>0</v>
      </c>
      <c r="AA25" s="14" t="s">
        <v>35</v>
      </c>
      <c r="AB25" s="27">
        <f t="shared" si="11"/>
        <v>-0.69</v>
      </c>
      <c r="AC25" s="28">
        <v>0.29228062500000002</v>
      </c>
      <c r="AD25" s="25">
        <f t="shared" si="12"/>
        <v>-9.6803342999999984</v>
      </c>
      <c r="AE25" s="25">
        <v>-7.7</v>
      </c>
      <c r="AF25" s="25">
        <v>-20.18</v>
      </c>
      <c r="AG25" s="25">
        <v>0</v>
      </c>
    </row>
    <row r="26" spans="1:33" ht="15.75" customHeight="1">
      <c r="A26" s="14" t="s">
        <v>52</v>
      </c>
      <c r="B26" s="14" t="s">
        <v>122</v>
      </c>
      <c r="C26" s="15">
        <f t="shared" si="4"/>
        <v>42.216000000000001</v>
      </c>
      <c r="D26" s="16">
        <v>20</v>
      </c>
      <c r="E26" s="16">
        <v>0</v>
      </c>
      <c r="F26" s="17">
        <v>844.32</v>
      </c>
      <c r="G26" s="17">
        <v>0</v>
      </c>
      <c r="H26" s="18">
        <f t="shared" si="1"/>
        <v>0</v>
      </c>
      <c r="I26" s="18">
        <f t="shared" si="2"/>
        <v>0.19230274629287478</v>
      </c>
      <c r="J26" s="17">
        <f t="shared" si="5"/>
        <v>162.36505475000004</v>
      </c>
      <c r="K26" s="17">
        <f t="shared" si="3"/>
        <v>8.1182527375000024</v>
      </c>
      <c r="L26" s="16">
        <v>37</v>
      </c>
      <c r="M26" s="19">
        <f t="shared" si="6"/>
        <v>0.54054054054054057</v>
      </c>
      <c r="N26" s="16">
        <v>41</v>
      </c>
      <c r="O26" s="20">
        <f t="shared" ref="O26:P26" si="34">D26/7</f>
        <v>2.8571428571428572</v>
      </c>
      <c r="P26" s="20">
        <f t="shared" si="34"/>
        <v>0</v>
      </c>
      <c r="Q26" s="16">
        <f t="shared" si="8"/>
        <v>14</v>
      </c>
      <c r="R26" s="16"/>
      <c r="S26" s="21">
        <v>3.0181818181818181</v>
      </c>
      <c r="T26" s="14">
        <v>240</v>
      </c>
      <c r="U26" s="22">
        <v>60</v>
      </c>
      <c r="V26" s="23" t="s">
        <v>831</v>
      </c>
      <c r="W26" s="30">
        <v>0</v>
      </c>
      <c r="X26" s="24">
        <f t="shared" si="9"/>
        <v>0</v>
      </c>
      <c r="Y26" s="25">
        <f t="shared" si="10"/>
        <v>0</v>
      </c>
      <c r="Z26" s="30">
        <v>0</v>
      </c>
      <c r="AA26" s="14" t="s">
        <v>35</v>
      </c>
      <c r="AB26" s="27">
        <f t="shared" si="11"/>
        <v>-0.69</v>
      </c>
      <c r="AC26" s="28">
        <v>0.29228062500000002</v>
      </c>
      <c r="AD26" s="25">
        <f t="shared" si="12"/>
        <v>-8.0669452499999998</v>
      </c>
      <c r="AE26" s="25">
        <v>-7.18</v>
      </c>
      <c r="AF26" s="25">
        <v>-20.181999999999999</v>
      </c>
      <c r="AG26" s="25">
        <v>0</v>
      </c>
    </row>
    <row r="27" spans="1:33" ht="15.75" customHeight="1">
      <c r="A27" s="14" t="s">
        <v>53</v>
      </c>
      <c r="B27" s="14" t="s">
        <v>832</v>
      </c>
      <c r="C27" s="15">
        <f t="shared" si="4"/>
        <v>44.220000000000006</v>
      </c>
      <c r="D27" s="16">
        <v>14</v>
      </c>
      <c r="E27" s="16">
        <v>0</v>
      </c>
      <c r="F27" s="17">
        <v>619.08000000000004</v>
      </c>
      <c r="G27" s="17">
        <v>0</v>
      </c>
      <c r="H27" s="18">
        <f t="shared" si="1"/>
        <v>0</v>
      </c>
      <c r="I27" s="18">
        <f t="shared" si="2"/>
        <v>0.20270585114201733</v>
      </c>
      <c r="J27" s="17">
        <f t="shared" si="5"/>
        <v>125.49113832500009</v>
      </c>
      <c r="K27" s="17">
        <f t="shared" si="3"/>
        <v>8.9636527375000075</v>
      </c>
      <c r="L27" s="16">
        <v>44</v>
      </c>
      <c r="M27" s="19">
        <f t="shared" si="6"/>
        <v>0.31818181818181818</v>
      </c>
      <c r="N27" s="16">
        <v>28</v>
      </c>
      <c r="O27" s="20">
        <f t="shared" ref="O27:P27" si="35">D27/7</f>
        <v>2</v>
      </c>
      <c r="P27" s="20">
        <f t="shared" si="35"/>
        <v>0</v>
      </c>
      <c r="Q27" s="16">
        <f t="shared" si="8"/>
        <v>14</v>
      </c>
      <c r="R27" s="16"/>
      <c r="S27" s="21">
        <v>4.1860465116279073</v>
      </c>
      <c r="T27" s="14">
        <v>240</v>
      </c>
      <c r="U27" s="22">
        <v>80</v>
      </c>
      <c r="V27" s="23" t="s">
        <v>833</v>
      </c>
      <c r="W27" s="30">
        <v>0</v>
      </c>
      <c r="X27" s="24">
        <f t="shared" si="9"/>
        <v>0</v>
      </c>
      <c r="Y27" s="25">
        <f t="shared" si="10"/>
        <v>0</v>
      </c>
      <c r="Z27" s="30">
        <v>0</v>
      </c>
      <c r="AA27" s="14" t="s">
        <v>35</v>
      </c>
      <c r="AB27" s="27">
        <f t="shared" si="11"/>
        <v>-0.69</v>
      </c>
      <c r="AC27" s="28">
        <v>0.29228062500000002</v>
      </c>
      <c r="AD27" s="25">
        <f t="shared" si="12"/>
        <v>-5.6468616749999994</v>
      </c>
      <c r="AE27" s="25">
        <v>-7.18</v>
      </c>
      <c r="AF27" s="25">
        <v>-21.04</v>
      </c>
      <c r="AG27" s="25">
        <v>0</v>
      </c>
    </row>
    <row r="28" spans="1:33" ht="15.75" customHeight="1">
      <c r="A28" s="14" t="s">
        <v>54</v>
      </c>
      <c r="B28" s="14" t="s">
        <v>834</v>
      </c>
      <c r="C28" s="15">
        <f t="shared" si="4"/>
        <v>44.8195652173913</v>
      </c>
      <c r="D28" s="16">
        <v>23</v>
      </c>
      <c r="E28" s="16">
        <v>0</v>
      </c>
      <c r="F28" s="17">
        <v>1030.8499999999999</v>
      </c>
      <c r="G28" s="17">
        <v>0</v>
      </c>
      <c r="H28" s="18">
        <f t="shared" si="1"/>
        <v>0</v>
      </c>
      <c r="I28" s="18">
        <f t="shared" si="2"/>
        <v>0.21136490562399954</v>
      </c>
      <c r="J28" s="17">
        <f t="shared" si="5"/>
        <v>217.88551296249992</v>
      </c>
      <c r="K28" s="17">
        <f t="shared" si="3"/>
        <v>9.4732831722826045</v>
      </c>
      <c r="L28" s="16">
        <v>28</v>
      </c>
      <c r="M28" s="19">
        <f t="shared" si="6"/>
        <v>0.8214285714285714</v>
      </c>
      <c r="N28" s="16">
        <v>6</v>
      </c>
      <c r="O28" s="20">
        <f t="shared" ref="O28:P28" si="36">D28/7</f>
        <v>3.2857142857142856</v>
      </c>
      <c r="P28" s="20">
        <f t="shared" si="36"/>
        <v>0</v>
      </c>
      <c r="Q28" s="16">
        <f t="shared" si="8"/>
        <v>1</v>
      </c>
      <c r="R28" s="16"/>
      <c r="S28" s="21">
        <v>2.2089552238805972</v>
      </c>
      <c r="T28" s="14">
        <v>540</v>
      </c>
      <c r="U28" s="22">
        <v>44395</v>
      </c>
      <c r="V28" s="23" t="s">
        <v>835</v>
      </c>
      <c r="W28" s="30">
        <v>0</v>
      </c>
      <c r="X28" s="24">
        <f t="shared" si="9"/>
        <v>0</v>
      </c>
      <c r="Y28" s="25">
        <f t="shared" si="10"/>
        <v>0</v>
      </c>
      <c r="Z28" s="30">
        <v>0</v>
      </c>
      <c r="AA28" s="14" t="s">
        <v>35</v>
      </c>
      <c r="AB28" s="27">
        <f t="shared" si="11"/>
        <v>-0.69</v>
      </c>
      <c r="AC28" s="28">
        <v>0.29228062500000002</v>
      </c>
      <c r="AD28" s="25">
        <f t="shared" si="12"/>
        <v>-9.2769870374999996</v>
      </c>
      <c r="AE28" s="25">
        <v>-7.18</v>
      </c>
      <c r="AF28" s="25">
        <v>-21.04</v>
      </c>
      <c r="AG28" s="25">
        <v>0</v>
      </c>
    </row>
    <row r="29" spans="1:33" ht="15.75" customHeight="1">
      <c r="A29" s="14" t="s">
        <v>55</v>
      </c>
      <c r="B29" s="14" t="s">
        <v>45</v>
      </c>
      <c r="C29" s="15">
        <f t="shared" si="4"/>
        <v>44.949999999999996</v>
      </c>
      <c r="D29" s="16">
        <v>3</v>
      </c>
      <c r="E29" s="16">
        <v>0</v>
      </c>
      <c r="F29" s="17">
        <v>134.85</v>
      </c>
      <c r="G29" s="17">
        <v>0</v>
      </c>
      <c r="H29" s="18">
        <f t="shared" si="1"/>
        <v>0</v>
      </c>
      <c r="I29" s="18">
        <f t="shared" si="2"/>
        <v>0.21321808092324801</v>
      </c>
      <c r="J29" s="17">
        <f t="shared" si="5"/>
        <v>28.752458212499992</v>
      </c>
      <c r="K29" s="17">
        <f t="shared" si="3"/>
        <v>9.5841527374999966</v>
      </c>
      <c r="L29" s="16">
        <v>5</v>
      </c>
      <c r="M29" s="19">
        <f t="shared" si="6"/>
        <v>0.6</v>
      </c>
      <c r="N29" s="16">
        <v>1</v>
      </c>
      <c r="O29" s="20">
        <f t="shared" ref="O29:P29" si="37">D29/7</f>
        <v>0.42857142857142855</v>
      </c>
      <c r="P29" s="20">
        <f t="shared" si="37"/>
        <v>0</v>
      </c>
      <c r="Q29" s="16">
        <f t="shared" si="8"/>
        <v>2</v>
      </c>
      <c r="R29" s="16"/>
      <c r="S29" s="21">
        <v>0</v>
      </c>
      <c r="T29" s="14">
        <v>600</v>
      </c>
      <c r="U29" s="22">
        <v>44395</v>
      </c>
      <c r="V29" s="23" t="s">
        <v>836</v>
      </c>
      <c r="W29" s="30">
        <v>0</v>
      </c>
      <c r="X29" s="24">
        <f t="shared" si="9"/>
        <v>0</v>
      </c>
      <c r="Y29" s="25">
        <f t="shared" si="10"/>
        <v>0</v>
      </c>
      <c r="Z29" s="30">
        <v>0</v>
      </c>
      <c r="AA29" s="14" t="s">
        <v>35</v>
      </c>
      <c r="AB29" s="27">
        <f t="shared" si="11"/>
        <v>-0.69</v>
      </c>
      <c r="AC29" s="28">
        <v>0.29228062500000002</v>
      </c>
      <c r="AD29" s="25">
        <f t="shared" si="12"/>
        <v>-1.2100417874999998</v>
      </c>
      <c r="AE29" s="25">
        <v>-7.18</v>
      </c>
      <c r="AF29" s="25">
        <v>-21.04</v>
      </c>
      <c r="AG29" s="25">
        <v>0</v>
      </c>
    </row>
    <row r="30" spans="1:33" ht="15.75" customHeight="1">
      <c r="A30" s="14" t="s">
        <v>57</v>
      </c>
      <c r="B30" s="14" t="s">
        <v>45</v>
      </c>
      <c r="C30" s="15" t="str">
        <f t="shared" si="4"/>
        <v xml:space="preserve"> - </v>
      </c>
      <c r="D30" s="16">
        <v>0</v>
      </c>
      <c r="E30" s="16">
        <v>0</v>
      </c>
      <c r="F30" s="17">
        <v>0</v>
      </c>
      <c r="G30" s="17">
        <v>0</v>
      </c>
      <c r="H30" s="18" t="e">
        <f t="shared" si="1"/>
        <v>#DIV/0!</v>
      </c>
      <c r="I30" s="18" t="e">
        <f t="shared" si="2"/>
        <v>#DIV/0!</v>
      </c>
      <c r="J30" s="17">
        <f t="shared" si="5"/>
        <v>0</v>
      </c>
      <c r="K30" s="17" t="e">
        <f t="shared" si="3"/>
        <v>#DIV/0!</v>
      </c>
      <c r="L30" s="16">
        <v>0</v>
      </c>
      <c r="M30" s="19" t="str">
        <f t="shared" si="6"/>
        <v>-</v>
      </c>
      <c r="N30" s="16">
        <v>1</v>
      </c>
      <c r="O30" s="20">
        <f t="shared" ref="O30:P30" si="38">D30/7</f>
        <v>0</v>
      </c>
      <c r="P30" s="20">
        <f t="shared" si="38"/>
        <v>0</v>
      </c>
      <c r="Q30" s="16" t="e">
        <f t="shared" si="8"/>
        <v>#DIV/0!</v>
      </c>
      <c r="R30" s="16"/>
      <c r="S30" s="21">
        <v>0</v>
      </c>
      <c r="T30" s="14">
        <v>240</v>
      </c>
      <c r="U30" s="22">
        <v>80</v>
      </c>
      <c r="V30" s="23" t="s">
        <v>837</v>
      </c>
      <c r="W30" s="30">
        <v>0</v>
      </c>
      <c r="X30" s="24">
        <f t="shared" si="9"/>
        <v>0</v>
      </c>
      <c r="Y30" s="25">
        <f t="shared" si="10"/>
        <v>0</v>
      </c>
      <c r="Z30" s="30">
        <v>0</v>
      </c>
      <c r="AA30" s="14" t="s">
        <v>35</v>
      </c>
      <c r="AB30" s="27">
        <f t="shared" si="11"/>
        <v>-0.69</v>
      </c>
      <c r="AC30" s="28">
        <v>0.29228062500000002</v>
      </c>
      <c r="AD30" s="25">
        <f t="shared" si="12"/>
        <v>0</v>
      </c>
      <c r="AE30" s="25">
        <v>-7.18</v>
      </c>
      <c r="AF30" s="25">
        <v>-20.5617822</v>
      </c>
      <c r="AG30" s="25">
        <v>0</v>
      </c>
    </row>
    <row r="31" spans="1:33" ht="15.75" customHeight="1">
      <c r="A31" s="14" t="s">
        <v>58</v>
      </c>
      <c r="B31" s="14" t="s">
        <v>45</v>
      </c>
      <c r="C31" s="15" t="str">
        <f t="shared" si="4"/>
        <v xml:space="preserve"> - </v>
      </c>
      <c r="D31" s="16">
        <v>0</v>
      </c>
      <c r="E31" s="16">
        <v>0</v>
      </c>
      <c r="F31" s="17">
        <v>0</v>
      </c>
      <c r="G31" s="17">
        <v>0</v>
      </c>
      <c r="H31" s="18" t="e">
        <f t="shared" si="1"/>
        <v>#DIV/0!</v>
      </c>
      <c r="I31" s="18" t="e">
        <f t="shared" si="2"/>
        <v>#DIV/0!</v>
      </c>
      <c r="J31" s="17">
        <f t="shared" si="5"/>
        <v>0</v>
      </c>
      <c r="K31" s="17" t="e">
        <f t="shared" si="3"/>
        <v>#DIV/0!</v>
      </c>
      <c r="L31" s="16">
        <v>0</v>
      </c>
      <c r="M31" s="19" t="str">
        <f t="shared" si="6"/>
        <v>-</v>
      </c>
      <c r="N31" s="16">
        <v>1</v>
      </c>
      <c r="O31" s="20">
        <f t="shared" ref="O31:P31" si="39">D31/7</f>
        <v>0</v>
      </c>
      <c r="P31" s="20">
        <f t="shared" si="39"/>
        <v>0</v>
      </c>
      <c r="Q31" s="16" t="e">
        <f t="shared" si="8"/>
        <v>#DIV/0!</v>
      </c>
      <c r="R31" s="16"/>
      <c r="S31" s="21" t="e">
        <v>#N/A</v>
      </c>
      <c r="T31" s="14">
        <v>100</v>
      </c>
      <c r="U31" s="22" t="s">
        <v>34</v>
      </c>
      <c r="V31" s="23" t="s">
        <v>103</v>
      </c>
      <c r="W31" s="30">
        <v>0</v>
      </c>
      <c r="X31" s="24">
        <f t="shared" si="9"/>
        <v>0</v>
      </c>
      <c r="Y31" s="25">
        <f t="shared" si="10"/>
        <v>0</v>
      </c>
      <c r="Z31" s="30">
        <v>0</v>
      </c>
      <c r="AA31" s="14" t="s">
        <v>35</v>
      </c>
      <c r="AB31" s="27">
        <f t="shared" si="11"/>
        <v>-0.69</v>
      </c>
      <c r="AC31" s="28">
        <v>0.29228062500000002</v>
      </c>
      <c r="AD31" s="25">
        <f t="shared" si="12"/>
        <v>0</v>
      </c>
      <c r="AE31" s="25">
        <v>-7.18</v>
      </c>
      <c r="AF31" s="25">
        <v>-20.5617822</v>
      </c>
      <c r="AG31" s="25">
        <v>0</v>
      </c>
    </row>
    <row r="32" spans="1:33" ht="15.75" customHeight="1">
      <c r="A32" s="14" t="s">
        <v>60</v>
      </c>
      <c r="B32" s="14"/>
      <c r="C32" s="15" t="str">
        <f t="shared" si="4"/>
        <v xml:space="preserve"> - </v>
      </c>
      <c r="D32" s="16">
        <v>0</v>
      </c>
      <c r="E32" s="16">
        <v>0</v>
      </c>
      <c r="F32" s="17">
        <v>0</v>
      </c>
      <c r="G32" s="17">
        <v>0</v>
      </c>
      <c r="H32" s="18" t="e">
        <f t="shared" si="1"/>
        <v>#DIV/0!</v>
      </c>
      <c r="I32" s="18" t="e">
        <f t="shared" si="2"/>
        <v>#DIV/0!</v>
      </c>
      <c r="J32" s="17">
        <f t="shared" si="5"/>
        <v>0</v>
      </c>
      <c r="K32" s="17" t="e">
        <f t="shared" si="3"/>
        <v>#DIV/0!</v>
      </c>
      <c r="L32" s="16">
        <v>0</v>
      </c>
      <c r="M32" s="19" t="str">
        <f t="shared" si="6"/>
        <v>-</v>
      </c>
      <c r="N32" s="16">
        <v>1</v>
      </c>
      <c r="O32" s="20">
        <f t="shared" ref="O32:P32" si="40">D32/7</f>
        <v>0</v>
      </c>
      <c r="P32" s="20">
        <f t="shared" si="40"/>
        <v>0</v>
      </c>
      <c r="Q32" s="16" t="e">
        <f t="shared" si="8"/>
        <v>#DIV/0!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0</v>
      </c>
      <c r="T32" s="14">
        <f ca="1">IFERROR(__xludf.DUMMYFUNCTION("IFERROR(VLOOKUP($B$2,IMPORTRANGE(""https://docs.google.com/spreadsheets/d/1KiWZV1ko8G7lnRucBRBd29jj3Be6ltMfljMDqzOkQmI/edit#gid=1381463014"",""Lookup!A:D""),4,FALSE),"""")"),100)</f>
        <v>100</v>
      </c>
      <c r="U32" s="22">
        <f ca="1">IFERROR(__xludf.DUMMYFUNCTION("IFERROR(VLOOKUP($B$2,IMPORTRANGE(""https://docs.google.com/spreadsheets/d/1KiWZV1ko8G7lnRucBRBd29jj3Be6ltMfljMDqzOkQmI/edit#gid=1381463014"",""Lookup!A:D""),3,FALSE),"""")"),140)</f>
        <v>140</v>
      </c>
      <c r="V32" s="23" t="str">
        <f ca="1">IFERROR(__xludf.DUMMYFUNCTION("IFERROR(VLOOKUP($B$2,IMPORTRANGE(""https://docs.google.com/spreadsheets/d/1KiWZV1ko8G7lnRucBRBd29jj3Be6ltMfljMDqzOkQmI/edit#gid=1381463014"",""Lookup!A:D""),2,FALSE),"""")"),"| 413  - 80 units 07/26| 417  - 60 units 08/14")</f>
        <v>| 413  - 80 units 07/26| 417  - 60 units 08/14</v>
      </c>
      <c r="W32" s="30">
        <v>0</v>
      </c>
      <c r="X32" s="24">
        <f t="shared" si="9"/>
        <v>0</v>
      </c>
      <c r="Y32" s="25">
        <f t="shared" si="10"/>
        <v>0</v>
      </c>
      <c r="Z32" s="30">
        <v>0</v>
      </c>
      <c r="AA32" s="14" t="s">
        <v>35</v>
      </c>
      <c r="AB32" s="27">
        <f t="shared" si="11"/>
        <v>-0.69</v>
      </c>
      <c r="AC32" s="28">
        <v>0.29228062500000002</v>
      </c>
      <c r="AD32" s="25">
        <f t="shared" si="12"/>
        <v>0</v>
      </c>
      <c r="AE32" s="25">
        <v>-7.18</v>
      </c>
      <c r="AF32" s="25">
        <v>-20.5617822</v>
      </c>
      <c r="AG32" s="25">
        <v>0</v>
      </c>
    </row>
    <row r="33" spans="1:33" ht="15.75" customHeight="1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16"/>
      <c r="S33" s="21"/>
      <c r="T33" s="31"/>
      <c r="U33" s="36"/>
      <c r="V33" s="1"/>
      <c r="W33" s="31"/>
      <c r="X33" s="31"/>
      <c r="Y33" s="31"/>
      <c r="Z33" s="31"/>
      <c r="AA33" s="2"/>
      <c r="AB33" s="31"/>
      <c r="AC33" s="31"/>
      <c r="AD33" s="31"/>
      <c r="AE33" s="37"/>
      <c r="AF33" s="37"/>
      <c r="AG33" s="37"/>
    </row>
    <row r="34" spans="1:33" ht="15.75" customHeight="1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6"/>
      <c r="V34" s="1"/>
      <c r="W34" s="31"/>
      <c r="X34" s="31"/>
      <c r="Y34" s="31"/>
      <c r="Z34" s="31"/>
      <c r="AA34" s="2"/>
      <c r="AB34" s="31"/>
      <c r="AC34" s="31"/>
      <c r="AD34" s="31"/>
      <c r="AE34" s="37"/>
      <c r="AF34" s="37"/>
      <c r="AG34" s="37"/>
    </row>
    <row r="35" spans="1:33" ht="15.75" customHeight="1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6"/>
      <c r="V35" s="1"/>
      <c r="W35" s="31"/>
      <c r="X35" s="31"/>
      <c r="Y35" s="31"/>
      <c r="Z35" s="31"/>
      <c r="AA35" s="2"/>
      <c r="AB35" s="31"/>
      <c r="AC35" s="31"/>
      <c r="AD35" s="31"/>
      <c r="AE35" s="37"/>
      <c r="AF35" s="37"/>
      <c r="AG35" s="37"/>
    </row>
    <row r="36" spans="1:33" ht="15.75" customHeight="1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6"/>
      <c r="V36" s="1"/>
      <c r="W36" s="31"/>
      <c r="X36" s="31"/>
      <c r="Y36" s="31"/>
      <c r="Z36" s="31"/>
      <c r="AA36" s="2"/>
      <c r="AB36" s="31"/>
      <c r="AC36" s="31"/>
      <c r="AD36" s="31"/>
      <c r="AE36" s="37"/>
      <c r="AF36" s="37"/>
      <c r="AG36" s="37"/>
    </row>
    <row r="37" spans="1:33" ht="15.75" customHeight="1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6"/>
      <c r="V37" s="1"/>
      <c r="W37" s="31"/>
      <c r="X37" s="31"/>
      <c r="Y37" s="31"/>
      <c r="Z37" s="31"/>
      <c r="AA37" s="2"/>
      <c r="AB37" s="31"/>
      <c r="AC37" s="31"/>
      <c r="AD37" s="31"/>
      <c r="AE37" s="37"/>
      <c r="AF37" s="37"/>
      <c r="AG37" s="37"/>
    </row>
    <row r="38" spans="1:33" ht="15.75" customHeight="1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6"/>
      <c r="V38" s="1"/>
      <c r="W38" s="31"/>
      <c r="X38" s="31"/>
      <c r="Y38" s="31"/>
      <c r="Z38" s="31"/>
      <c r="AA38" s="2"/>
      <c r="AB38" s="31"/>
      <c r="AC38" s="31"/>
      <c r="AD38" s="31"/>
      <c r="AE38" s="37"/>
      <c r="AF38" s="37"/>
      <c r="AG38" s="37"/>
    </row>
    <row r="39" spans="1:33" ht="15.75" customHeight="1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6"/>
      <c r="V39" s="1"/>
      <c r="W39" s="31"/>
      <c r="X39" s="31"/>
      <c r="Y39" s="31"/>
      <c r="Z39" s="31"/>
      <c r="AA39" s="2"/>
      <c r="AB39" s="31"/>
      <c r="AC39" s="31"/>
      <c r="AD39" s="31"/>
      <c r="AE39" s="37"/>
      <c r="AF39" s="37"/>
      <c r="AG39" s="37"/>
    </row>
    <row r="40" spans="1:33" ht="15.75" customHeight="1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6"/>
      <c r="V40" s="1"/>
      <c r="W40" s="31"/>
      <c r="X40" s="31"/>
      <c r="Y40" s="31"/>
      <c r="Z40" s="31"/>
      <c r="AA40" s="2"/>
      <c r="AB40" s="31"/>
      <c r="AC40" s="31"/>
      <c r="AD40" s="31"/>
      <c r="AE40" s="37"/>
      <c r="AF40" s="37"/>
      <c r="AG40" s="37"/>
    </row>
    <row r="41" spans="1:33" ht="15.75" customHeight="1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6"/>
      <c r="V41" s="1"/>
      <c r="W41" s="31"/>
      <c r="X41" s="31"/>
      <c r="Y41" s="31"/>
      <c r="Z41" s="31"/>
      <c r="AA41" s="2"/>
      <c r="AB41" s="31"/>
      <c r="AC41" s="31"/>
      <c r="AD41" s="31"/>
      <c r="AE41" s="37"/>
      <c r="AF41" s="37"/>
      <c r="AG41" s="37"/>
    </row>
    <row r="42" spans="1:33" ht="15.75" customHeight="1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6"/>
      <c r="V42" s="1"/>
      <c r="W42" s="31"/>
      <c r="X42" s="31"/>
      <c r="Y42" s="31"/>
      <c r="Z42" s="31"/>
      <c r="AA42" s="2"/>
      <c r="AB42" s="31"/>
      <c r="AC42" s="31"/>
      <c r="AD42" s="31"/>
      <c r="AE42" s="37"/>
      <c r="AF42" s="37"/>
      <c r="AG42" s="37"/>
    </row>
    <row r="43" spans="1:33" ht="15.75" customHeight="1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6"/>
      <c r="V43" s="1"/>
      <c r="W43" s="31"/>
      <c r="X43" s="31"/>
      <c r="Y43" s="31"/>
      <c r="Z43" s="31"/>
      <c r="AA43" s="2"/>
      <c r="AB43" s="31"/>
      <c r="AC43" s="31"/>
      <c r="AD43" s="31"/>
      <c r="AE43" s="37"/>
      <c r="AF43" s="37"/>
      <c r="AG43" s="37"/>
    </row>
    <row r="44" spans="1:33" ht="15.75" customHeight="1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6"/>
      <c r="V44" s="1"/>
      <c r="W44" s="31"/>
      <c r="X44" s="31"/>
      <c r="Y44" s="31"/>
      <c r="Z44" s="31"/>
      <c r="AA44" s="2"/>
      <c r="AB44" s="31"/>
      <c r="AC44" s="31"/>
      <c r="AD44" s="31"/>
      <c r="AE44" s="37"/>
      <c r="AF44" s="37"/>
      <c r="AG44" s="37"/>
    </row>
    <row r="45" spans="1:33" ht="15.75" customHeight="1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6"/>
      <c r="V45" s="1"/>
      <c r="W45" s="31"/>
      <c r="X45" s="31"/>
      <c r="Y45" s="31"/>
      <c r="Z45" s="31"/>
      <c r="AA45" s="2"/>
      <c r="AB45" s="31"/>
      <c r="AC45" s="31"/>
      <c r="AD45" s="31"/>
      <c r="AE45" s="37"/>
      <c r="AF45" s="37"/>
      <c r="AG45" s="37"/>
    </row>
    <row r="46" spans="1:33" ht="15.75" customHeight="1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6"/>
      <c r="V46" s="1"/>
      <c r="W46" s="31"/>
      <c r="X46" s="31"/>
      <c r="Y46" s="31"/>
      <c r="Z46" s="31"/>
      <c r="AA46" s="2"/>
      <c r="AB46" s="31"/>
      <c r="AC46" s="31"/>
      <c r="AD46" s="31"/>
      <c r="AE46" s="37"/>
      <c r="AF46" s="37"/>
      <c r="AG46" s="37"/>
    </row>
    <row r="47" spans="1:33" ht="15.75" customHeight="1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6"/>
      <c r="V47" s="1"/>
      <c r="W47" s="31"/>
      <c r="X47" s="31"/>
      <c r="Y47" s="31"/>
      <c r="Z47" s="31"/>
      <c r="AA47" s="2"/>
      <c r="AB47" s="31"/>
      <c r="AC47" s="31"/>
      <c r="AD47" s="31"/>
      <c r="AE47" s="37"/>
      <c r="AF47" s="37"/>
      <c r="AG47" s="37"/>
    </row>
    <row r="48" spans="1:33" ht="15.75" customHeight="1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6"/>
      <c r="V48" s="1"/>
      <c r="W48" s="31"/>
      <c r="X48" s="31"/>
      <c r="Y48" s="31"/>
      <c r="Z48" s="31"/>
      <c r="AA48" s="2"/>
      <c r="AB48" s="31"/>
      <c r="AC48" s="31"/>
      <c r="AD48" s="31"/>
      <c r="AE48" s="37"/>
      <c r="AF48" s="37"/>
      <c r="AG48" s="37"/>
    </row>
    <row r="49" spans="1:33" ht="15.75" customHeight="1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6"/>
      <c r="V49" s="1"/>
      <c r="W49" s="31"/>
      <c r="X49" s="31"/>
      <c r="Y49" s="31"/>
      <c r="Z49" s="31"/>
      <c r="AA49" s="2"/>
      <c r="AB49" s="31"/>
      <c r="AC49" s="31"/>
      <c r="AD49" s="31"/>
      <c r="AE49" s="37"/>
      <c r="AF49" s="37"/>
      <c r="AG49" s="37"/>
    </row>
    <row r="50" spans="1:33" ht="15.75" customHeight="1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6"/>
      <c r="V50" s="1"/>
      <c r="W50" s="31"/>
      <c r="X50" s="31"/>
      <c r="Y50" s="31"/>
      <c r="Z50" s="31"/>
      <c r="AA50" s="2"/>
      <c r="AB50" s="31"/>
      <c r="AC50" s="31"/>
      <c r="AD50" s="31"/>
      <c r="AE50" s="37"/>
      <c r="AF50" s="37"/>
      <c r="AG50" s="37"/>
    </row>
    <row r="51" spans="1:33" ht="15.75" customHeight="1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6"/>
      <c r="V51" s="1"/>
      <c r="W51" s="31"/>
      <c r="X51" s="31"/>
      <c r="Y51" s="31"/>
      <c r="Z51" s="31"/>
      <c r="AA51" s="2"/>
      <c r="AB51" s="31"/>
      <c r="AC51" s="31"/>
      <c r="AD51" s="31"/>
      <c r="AE51" s="37"/>
      <c r="AF51" s="37"/>
      <c r="AG51" s="37"/>
    </row>
    <row r="52" spans="1:33" ht="15.75" customHeight="1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6"/>
      <c r="V52" s="1"/>
      <c r="W52" s="31"/>
      <c r="X52" s="31"/>
      <c r="Y52" s="31"/>
      <c r="Z52" s="31"/>
      <c r="AA52" s="2"/>
      <c r="AB52" s="31"/>
      <c r="AC52" s="31"/>
      <c r="AD52" s="31"/>
      <c r="AE52" s="37"/>
      <c r="AF52" s="37"/>
      <c r="AG52" s="37"/>
    </row>
    <row r="53" spans="1:33" ht="15.75" customHeight="1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6"/>
      <c r="V53" s="1"/>
      <c r="W53" s="31"/>
      <c r="X53" s="31"/>
      <c r="Y53" s="31"/>
      <c r="Z53" s="31"/>
      <c r="AA53" s="2"/>
      <c r="AB53" s="31"/>
      <c r="AC53" s="31"/>
      <c r="AD53" s="31"/>
      <c r="AE53" s="37"/>
      <c r="AF53" s="37"/>
      <c r="AG53" s="37"/>
    </row>
    <row r="54" spans="1:33" ht="15.75" customHeight="1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6"/>
      <c r="V54" s="1"/>
      <c r="W54" s="31"/>
      <c r="X54" s="31"/>
      <c r="Y54" s="31"/>
      <c r="Z54" s="31"/>
      <c r="AA54" s="2"/>
      <c r="AB54" s="31"/>
      <c r="AC54" s="31"/>
      <c r="AD54" s="31"/>
      <c r="AE54" s="37"/>
      <c r="AF54" s="37"/>
      <c r="AG54" s="37"/>
    </row>
    <row r="55" spans="1:33" ht="15.75" customHeight="1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6"/>
      <c r="V55" s="1"/>
      <c r="W55" s="31"/>
      <c r="X55" s="31"/>
      <c r="Y55" s="31"/>
      <c r="Z55" s="31"/>
      <c r="AA55" s="2"/>
      <c r="AB55" s="31"/>
      <c r="AC55" s="31"/>
      <c r="AD55" s="31"/>
      <c r="AE55" s="37"/>
      <c r="AF55" s="37"/>
      <c r="AG55" s="37"/>
    </row>
    <row r="56" spans="1:33" ht="15.75" customHeight="1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6"/>
      <c r="V56" s="1"/>
      <c r="W56" s="31"/>
      <c r="X56" s="31"/>
      <c r="Y56" s="31"/>
      <c r="Z56" s="31"/>
      <c r="AA56" s="2"/>
      <c r="AB56" s="31"/>
      <c r="AC56" s="31"/>
      <c r="AD56" s="31"/>
      <c r="AE56" s="37"/>
      <c r="AF56" s="37"/>
      <c r="AG56" s="37"/>
    </row>
    <row r="57" spans="1:33" ht="15.75" customHeight="1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6"/>
      <c r="V57" s="1"/>
      <c r="W57" s="31"/>
      <c r="X57" s="31"/>
      <c r="Y57" s="31"/>
      <c r="Z57" s="31"/>
      <c r="AA57" s="2"/>
      <c r="AB57" s="31"/>
      <c r="AC57" s="31"/>
      <c r="AD57" s="31"/>
      <c r="AE57" s="37"/>
      <c r="AF57" s="37"/>
      <c r="AG57" s="37"/>
    </row>
    <row r="58" spans="1:33" ht="15.75" customHeight="1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6"/>
      <c r="V58" s="1"/>
      <c r="W58" s="31"/>
      <c r="X58" s="31"/>
      <c r="Y58" s="31"/>
      <c r="Z58" s="31"/>
      <c r="AA58" s="2"/>
      <c r="AB58" s="31"/>
      <c r="AC58" s="31"/>
      <c r="AD58" s="31"/>
      <c r="AE58" s="37"/>
      <c r="AF58" s="37"/>
      <c r="AG58" s="37"/>
    </row>
    <row r="59" spans="1:33" ht="15.75" customHeight="1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6"/>
      <c r="V59" s="1"/>
      <c r="W59" s="31"/>
      <c r="X59" s="31"/>
      <c r="Y59" s="31"/>
      <c r="Z59" s="31"/>
      <c r="AA59" s="2"/>
      <c r="AB59" s="31"/>
      <c r="AC59" s="31"/>
      <c r="AD59" s="31"/>
      <c r="AE59" s="37"/>
      <c r="AF59" s="37"/>
      <c r="AG59" s="37"/>
    </row>
    <row r="60" spans="1:33" ht="15.75" customHeight="1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6"/>
      <c r="V60" s="1"/>
      <c r="W60" s="31"/>
      <c r="X60" s="31"/>
      <c r="Y60" s="31"/>
      <c r="Z60" s="31"/>
      <c r="AA60" s="2"/>
      <c r="AB60" s="31"/>
      <c r="AC60" s="31"/>
      <c r="AD60" s="31"/>
      <c r="AE60" s="37"/>
      <c r="AF60" s="37"/>
      <c r="AG60" s="37"/>
    </row>
    <row r="61" spans="1:33" ht="15.75" customHeight="1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6"/>
      <c r="V61" s="1"/>
      <c r="W61" s="31"/>
      <c r="X61" s="31"/>
      <c r="Y61" s="31"/>
      <c r="Z61" s="31"/>
      <c r="AA61" s="2"/>
      <c r="AB61" s="31"/>
      <c r="AC61" s="31"/>
      <c r="AD61" s="31"/>
      <c r="AE61" s="37"/>
      <c r="AF61" s="37"/>
      <c r="AG61" s="37"/>
    </row>
    <row r="62" spans="1:33" ht="15.75" customHeight="1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6"/>
      <c r="V62" s="1"/>
      <c r="W62" s="31"/>
      <c r="X62" s="31"/>
      <c r="Y62" s="31"/>
      <c r="Z62" s="31"/>
      <c r="AA62" s="2"/>
      <c r="AB62" s="31"/>
      <c r="AC62" s="31"/>
      <c r="AD62" s="31"/>
      <c r="AE62" s="37"/>
      <c r="AF62" s="37"/>
      <c r="AG62" s="37"/>
    </row>
    <row r="63" spans="1:33" ht="15.75" customHeight="1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6"/>
      <c r="V63" s="1"/>
      <c r="W63" s="31"/>
      <c r="X63" s="31"/>
      <c r="Y63" s="31"/>
      <c r="Z63" s="31"/>
      <c r="AA63" s="2"/>
      <c r="AB63" s="31"/>
      <c r="AC63" s="31"/>
      <c r="AD63" s="31"/>
      <c r="AE63" s="37"/>
      <c r="AF63" s="37"/>
      <c r="AG63" s="37"/>
    </row>
    <row r="64" spans="1:33" ht="15.75" customHeight="1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6"/>
      <c r="V64" s="1"/>
      <c r="W64" s="31"/>
      <c r="X64" s="31"/>
      <c r="Y64" s="31"/>
      <c r="Z64" s="31"/>
      <c r="AA64" s="2"/>
      <c r="AB64" s="31"/>
      <c r="AC64" s="31"/>
      <c r="AD64" s="31"/>
      <c r="AE64" s="37"/>
      <c r="AF64" s="37"/>
      <c r="AG64" s="37"/>
    </row>
    <row r="65" spans="1:33" ht="15.75" customHeight="1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6"/>
      <c r="V65" s="1"/>
      <c r="W65" s="31"/>
      <c r="X65" s="31"/>
      <c r="Y65" s="31"/>
      <c r="Z65" s="31"/>
      <c r="AA65" s="2"/>
      <c r="AB65" s="31"/>
      <c r="AC65" s="31"/>
      <c r="AD65" s="31"/>
      <c r="AE65" s="37"/>
      <c r="AF65" s="37"/>
      <c r="AG65" s="37"/>
    </row>
    <row r="66" spans="1:33" ht="15.75" customHeight="1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6"/>
      <c r="V66" s="1"/>
      <c r="W66" s="31"/>
      <c r="X66" s="31"/>
      <c r="Y66" s="31"/>
      <c r="Z66" s="31"/>
      <c r="AA66" s="2"/>
      <c r="AB66" s="31"/>
      <c r="AC66" s="31"/>
      <c r="AD66" s="31"/>
      <c r="AE66" s="37"/>
      <c r="AF66" s="37"/>
      <c r="AG66" s="37"/>
    </row>
    <row r="67" spans="1:33" ht="15.75" customHeight="1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6"/>
      <c r="V67" s="1"/>
      <c r="W67" s="31"/>
      <c r="X67" s="31"/>
      <c r="Y67" s="31"/>
      <c r="Z67" s="31"/>
      <c r="AA67" s="2"/>
      <c r="AB67" s="31"/>
      <c r="AC67" s="31"/>
      <c r="AD67" s="31"/>
      <c r="AE67" s="37"/>
      <c r="AF67" s="37"/>
      <c r="AG67" s="37"/>
    </row>
    <row r="68" spans="1:33" ht="15.75" customHeight="1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6"/>
      <c r="V68" s="1"/>
      <c r="W68" s="31"/>
      <c r="X68" s="31"/>
      <c r="Y68" s="31"/>
      <c r="Z68" s="31"/>
      <c r="AA68" s="2"/>
      <c r="AB68" s="31"/>
      <c r="AC68" s="31"/>
      <c r="AD68" s="31"/>
      <c r="AE68" s="37"/>
      <c r="AF68" s="37"/>
      <c r="AG68" s="37"/>
    </row>
    <row r="69" spans="1:33" ht="15.75" customHeight="1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6"/>
      <c r="V69" s="1"/>
      <c r="W69" s="31"/>
      <c r="X69" s="31"/>
      <c r="Y69" s="31"/>
      <c r="Z69" s="31"/>
      <c r="AA69" s="2"/>
      <c r="AB69" s="31"/>
      <c r="AC69" s="31"/>
      <c r="AD69" s="31"/>
      <c r="AE69" s="37"/>
      <c r="AF69" s="37"/>
      <c r="AG69" s="37"/>
    </row>
    <row r="70" spans="1:33" ht="15.75" customHeight="1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6"/>
      <c r="V70" s="1"/>
      <c r="W70" s="31"/>
      <c r="X70" s="31"/>
      <c r="Y70" s="31"/>
      <c r="Z70" s="31"/>
      <c r="AA70" s="2"/>
      <c r="AB70" s="31"/>
      <c r="AC70" s="31"/>
      <c r="AD70" s="31"/>
      <c r="AE70" s="37"/>
      <c r="AF70" s="37"/>
      <c r="AG70" s="37"/>
    </row>
    <row r="71" spans="1:33" ht="15.75" customHeight="1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6"/>
      <c r="V71" s="1"/>
      <c r="W71" s="31"/>
      <c r="X71" s="31"/>
      <c r="Y71" s="31"/>
      <c r="Z71" s="31"/>
      <c r="AA71" s="2"/>
      <c r="AB71" s="31"/>
      <c r="AC71" s="31"/>
      <c r="AD71" s="31"/>
      <c r="AE71" s="37"/>
      <c r="AF71" s="37"/>
      <c r="AG71" s="37"/>
    </row>
    <row r="72" spans="1:33" ht="15.75" customHeight="1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6"/>
      <c r="V72" s="1"/>
      <c r="W72" s="31"/>
      <c r="X72" s="31"/>
      <c r="Y72" s="31"/>
      <c r="Z72" s="31"/>
      <c r="AA72" s="2"/>
      <c r="AB72" s="31"/>
      <c r="AC72" s="31"/>
      <c r="AD72" s="31"/>
      <c r="AE72" s="37"/>
      <c r="AF72" s="37"/>
      <c r="AG72" s="37"/>
    </row>
    <row r="73" spans="1:33" ht="15.75" customHeight="1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6"/>
      <c r="V73" s="1"/>
      <c r="W73" s="31"/>
      <c r="X73" s="31"/>
      <c r="Y73" s="31"/>
      <c r="Z73" s="31"/>
      <c r="AA73" s="2"/>
      <c r="AB73" s="31"/>
      <c r="AC73" s="31"/>
      <c r="AD73" s="31"/>
      <c r="AE73" s="37"/>
      <c r="AF73" s="37"/>
      <c r="AG73" s="37"/>
    </row>
    <row r="74" spans="1:33" ht="15.75" customHeight="1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6"/>
      <c r="V74" s="1"/>
      <c r="W74" s="31"/>
      <c r="X74" s="31"/>
      <c r="Y74" s="31"/>
      <c r="Z74" s="31"/>
      <c r="AA74" s="2"/>
      <c r="AB74" s="31"/>
      <c r="AC74" s="31"/>
      <c r="AD74" s="31"/>
      <c r="AE74" s="37"/>
      <c r="AF74" s="37"/>
      <c r="AG74" s="37"/>
    </row>
    <row r="75" spans="1:33" ht="15.75" customHeight="1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6"/>
      <c r="V75" s="1"/>
      <c r="W75" s="31"/>
      <c r="X75" s="31"/>
      <c r="Y75" s="31"/>
      <c r="Z75" s="31"/>
      <c r="AA75" s="2"/>
      <c r="AB75" s="31"/>
      <c r="AC75" s="31"/>
      <c r="AD75" s="31"/>
      <c r="AE75" s="37"/>
      <c r="AF75" s="37"/>
      <c r="AG75" s="37"/>
    </row>
    <row r="76" spans="1:33" ht="15.75" customHeight="1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6"/>
      <c r="V76" s="1"/>
      <c r="W76" s="31"/>
      <c r="X76" s="31"/>
      <c r="Y76" s="31"/>
      <c r="Z76" s="31"/>
      <c r="AA76" s="2"/>
      <c r="AB76" s="31"/>
      <c r="AC76" s="31"/>
      <c r="AD76" s="31"/>
      <c r="AE76" s="37"/>
      <c r="AF76" s="37"/>
      <c r="AG76" s="37"/>
    </row>
    <row r="77" spans="1:33" ht="15.75" customHeight="1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6"/>
      <c r="V77" s="1"/>
      <c r="W77" s="31"/>
      <c r="X77" s="31"/>
      <c r="Y77" s="31"/>
      <c r="Z77" s="31"/>
      <c r="AA77" s="2"/>
      <c r="AB77" s="31"/>
      <c r="AC77" s="31"/>
      <c r="AD77" s="31"/>
      <c r="AE77" s="37"/>
      <c r="AF77" s="37"/>
      <c r="AG77" s="37"/>
    </row>
    <row r="78" spans="1:33" ht="15.75" customHeight="1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6"/>
      <c r="V78" s="1"/>
      <c r="W78" s="31"/>
      <c r="X78" s="31"/>
      <c r="Y78" s="31"/>
      <c r="Z78" s="31"/>
      <c r="AA78" s="2"/>
      <c r="AB78" s="31"/>
      <c r="AC78" s="31"/>
      <c r="AD78" s="31"/>
      <c r="AE78" s="37"/>
      <c r="AF78" s="37"/>
      <c r="AG78" s="37"/>
    </row>
    <row r="79" spans="1:33" ht="15.75" customHeight="1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6"/>
      <c r="V79" s="1"/>
      <c r="W79" s="31"/>
      <c r="X79" s="31"/>
      <c r="Y79" s="31"/>
      <c r="Z79" s="31"/>
      <c r="AA79" s="2"/>
      <c r="AB79" s="31"/>
      <c r="AC79" s="31"/>
      <c r="AD79" s="31"/>
      <c r="AE79" s="37"/>
      <c r="AF79" s="37"/>
      <c r="AG79" s="37"/>
    </row>
    <row r="80" spans="1:33" ht="15.75" customHeight="1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6"/>
      <c r="V80" s="1"/>
      <c r="W80" s="31"/>
      <c r="X80" s="31"/>
      <c r="Y80" s="31"/>
      <c r="Z80" s="31"/>
      <c r="AA80" s="2"/>
      <c r="AB80" s="31"/>
      <c r="AC80" s="31"/>
      <c r="AD80" s="31"/>
      <c r="AE80" s="37"/>
      <c r="AF80" s="37"/>
      <c r="AG80" s="37"/>
    </row>
    <row r="81" spans="1:33" ht="15.75" customHeight="1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6"/>
      <c r="V81" s="1"/>
      <c r="W81" s="31"/>
      <c r="X81" s="31"/>
      <c r="Y81" s="31"/>
      <c r="Z81" s="31"/>
      <c r="AA81" s="2"/>
      <c r="AB81" s="31"/>
      <c r="AC81" s="31"/>
      <c r="AD81" s="31"/>
      <c r="AE81" s="37"/>
      <c r="AF81" s="37"/>
      <c r="AG81" s="37"/>
    </row>
    <row r="82" spans="1:33" ht="15.75" customHeight="1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6"/>
      <c r="V82" s="1"/>
      <c r="W82" s="31"/>
      <c r="X82" s="31"/>
      <c r="Y82" s="31"/>
      <c r="Z82" s="31"/>
      <c r="AA82" s="2"/>
      <c r="AB82" s="31"/>
      <c r="AC82" s="31"/>
      <c r="AD82" s="31"/>
      <c r="AE82" s="37"/>
      <c r="AF82" s="37"/>
      <c r="AG82" s="37"/>
    </row>
    <row r="83" spans="1:33" ht="15.75" customHeight="1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6"/>
      <c r="V83" s="1"/>
      <c r="W83" s="31"/>
      <c r="X83" s="31"/>
      <c r="Y83" s="31"/>
      <c r="Z83" s="31"/>
      <c r="AA83" s="2"/>
      <c r="AB83" s="31"/>
      <c r="AC83" s="31"/>
      <c r="AD83" s="31"/>
      <c r="AE83" s="37"/>
      <c r="AF83" s="37"/>
      <c r="AG83" s="37"/>
    </row>
    <row r="84" spans="1:33" ht="15.75" customHeight="1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6"/>
      <c r="V84" s="1"/>
      <c r="W84" s="31"/>
      <c r="X84" s="31"/>
      <c r="Y84" s="31"/>
      <c r="Z84" s="31"/>
      <c r="AA84" s="2"/>
      <c r="AB84" s="31"/>
      <c r="AC84" s="31"/>
      <c r="AD84" s="31"/>
      <c r="AE84" s="37"/>
      <c r="AF84" s="37"/>
      <c r="AG84" s="37"/>
    </row>
    <row r="85" spans="1:33" ht="15.75" customHeight="1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6"/>
      <c r="V85" s="1"/>
      <c r="W85" s="31"/>
      <c r="X85" s="31"/>
      <c r="Y85" s="31"/>
      <c r="Z85" s="31"/>
      <c r="AA85" s="2"/>
      <c r="AB85" s="31"/>
      <c r="AC85" s="31"/>
      <c r="AD85" s="31"/>
      <c r="AE85" s="37"/>
      <c r="AF85" s="37"/>
      <c r="AG85" s="37"/>
    </row>
    <row r="86" spans="1:33" ht="15.75" customHeight="1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6"/>
      <c r="V86" s="1"/>
      <c r="W86" s="31"/>
      <c r="X86" s="31"/>
      <c r="Y86" s="31"/>
      <c r="Z86" s="31"/>
      <c r="AA86" s="2"/>
      <c r="AB86" s="31"/>
      <c r="AC86" s="31"/>
      <c r="AD86" s="31"/>
      <c r="AE86" s="37"/>
      <c r="AF86" s="37"/>
      <c r="AG86" s="37"/>
    </row>
    <row r="87" spans="1:33" ht="15.75" customHeight="1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6"/>
      <c r="V87" s="1"/>
      <c r="W87" s="31"/>
      <c r="X87" s="31"/>
      <c r="Y87" s="31"/>
      <c r="Z87" s="31"/>
      <c r="AA87" s="2"/>
      <c r="AB87" s="31"/>
      <c r="AC87" s="31"/>
      <c r="AD87" s="31"/>
      <c r="AE87" s="37"/>
      <c r="AF87" s="37"/>
      <c r="AG87" s="37"/>
    </row>
    <row r="88" spans="1:33" ht="15.75" customHeight="1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6"/>
      <c r="V88" s="1"/>
      <c r="W88" s="31"/>
      <c r="X88" s="31"/>
      <c r="Y88" s="31"/>
      <c r="Z88" s="31"/>
      <c r="AA88" s="2"/>
      <c r="AB88" s="31"/>
      <c r="AC88" s="31"/>
      <c r="AD88" s="31"/>
      <c r="AE88" s="37"/>
      <c r="AF88" s="37"/>
      <c r="AG88" s="37"/>
    </row>
    <row r="89" spans="1:33" ht="15.75" customHeight="1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6"/>
      <c r="V89" s="1"/>
      <c r="W89" s="31"/>
      <c r="X89" s="31"/>
      <c r="Y89" s="31"/>
      <c r="Z89" s="31"/>
      <c r="AA89" s="2"/>
      <c r="AB89" s="31"/>
      <c r="AC89" s="31"/>
      <c r="AD89" s="31"/>
      <c r="AE89" s="37"/>
      <c r="AF89" s="37"/>
      <c r="AG89" s="37"/>
    </row>
    <row r="90" spans="1:33" ht="15.75" customHeight="1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6"/>
      <c r="V90" s="1"/>
      <c r="W90" s="31"/>
      <c r="X90" s="31"/>
      <c r="Y90" s="31"/>
      <c r="Z90" s="31"/>
      <c r="AA90" s="2"/>
      <c r="AB90" s="31"/>
      <c r="AC90" s="31"/>
      <c r="AD90" s="31"/>
      <c r="AE90" s="37"/>
      <c r="AF90" s="37"/>
      <c r="AG90" s="37"/>
    </row>
    <row r="91" spans="1:33" ht="15.75" customHeight="1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6"/>
      <c r="V91" s="1"/>
      <c r="W91" s="31"/>
      <c r="X91" s="31"/>
      <c r="Y91" s="31"/>
      <c r="Z91" s="31"/>
      <c r="AA91" s="2"/>
      <c r="AB91" s="31"/>
      <c r="AC91" s="31"/>
      <c r="AD91" s="31"/>
      <c r="AE91" s="37"/>
      <c r="AF91" s="37"/>
      <c r="AG91" s="37"/>
    </row>
    <row r="92" spans="1:33" ht="15.75" customHeight="1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6"/>
      <c r="V92" s="1"/>
      <c r="W92" s="31"/>
      <c r="X92" s="31"/>
      <c r="Y92" s="31"/>
      <c r="Z92" s="31"/>
      <c r="AA92" s="2"/>
      <c r="AB92" s="31"/>
      <c r="AC92" s="31"/>
      <c r="AD92" s="31"/>
      <c r="AE92" s="37"/>
      <c r="AF92" s="37"/>
      <c r="AG92" s="37"/>
    </row>
    <row r="93" spans="1:33" ht="15.75" customHeight="1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6"/>
      <c r="V93" s="1"/>
      <c r="W93" s="31"/>
      <c r="X93" s="31"/>
      <c r="Y93" s="31"/>
      <c r="Z93" s="31"/>
      <c r="AA93" s="2"/>
      <c r="AB93" s="31"/>
      <c r="AC93" s="31"/>
      <c r="AD93" s="31"/>
      <c r="AE93" s="37"/>
      <c r="AF93" s="37"/>
      <c r="AG93" s="37"/>
    </row>
    <row r="94" spans="1:33" ht="15.75" customHeight="1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6"/>
      <c r="V94" s="1"/>
      <c r="W94" s="31"/>
      <c r="X94" s="31"/>
      <c r="Y94" s="31"/>
      <c r="Z94" s="31"/>
      <c r="AA94" s="2"/>
      <c r="AB94" s="31"/>
      <c r="AC94" s="31"/>
      <c r="AD94" s="31"/>
      <c r="AE94" s="37"/>
      <c r="AF94" s="37"/>
      <c r="AG94" s="37"/>
    </row>
    <row r="95" spans="1:33" ht="15.75" customHeight="1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6"/>
      <c r="V95" s="1"/>
      <c r="W95" s="31"/>
      <c r="X95" s="31"/>
      <c r="Y95" s="31"/>
      <c r="Z95" s="31"/>
      <c r="AA95" s="2"/>
      <c r="AB95" s="31"/>
      <c r="AC95" s="31"/>
      <c r="AD95" s="31"/>
      <c r="AE95" s="37"/>
      <c r="AF95" s="37"/>
      <c r="AG95" s="37"/>
    </row>
    <row r="96" spans="1:33" ht="15.75" customHeight="1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6"/>
      <c r="V96" s="1"/>
      <c r="W96" s="31"/>
      <c r="X96" s="31"/>
      <c r="Y96" s="31"/>
      <c r="Z96" s="31"/>
      <c r="AA96" s="2"/>
      <c r="AB96" s="31"/>
      <c r="AC96" s="31"/>
      <c r="AD96" s="31"/>
      <c r="AE96" s="37"/>
      <c r="AF96" s="37"/>
      <c r="AG96" s="37"/>
    </row>
    <row r="97" spans="1:33" ht="15.75" customHeight="1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8"/>
      <c r="R97" s="38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8"/>
      <c r="R98" s="38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8"/>
      <c r="R99" s="38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8"/>
      <c r="R100" s="38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8"/>
      <c r="R101" s="38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8"/>
      <c r="R102" s="38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8"/>
      <c r="R103" s="38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8"/>
      <c r="R104" s="38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8"/>
      <c r="R105" s="38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8"/>
      <c r="R106" s="38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8"/>
      <c r="R107" s="38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8"/>
      <c r="R108" s="38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8"/>
      <c r="R109" s="38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8"/>
      <c r="R110" s="38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8"/>
      <c r="R111" s="38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8"/>
      <c r="R112" s="38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8"/>
      <c r="R113" s="38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8"/>
      <c r="R114" s="38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>
      <c r="A115" s="31"/>
      <c r="B115" s="31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>
      <c r="A116" s="31"/>
      <c r="B116" s="31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>
      <c r="A117" s="31"/>
      <c r="B117" s="31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>
      <c r="A118" s="31"/>
      <c r="B118" s="31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>
      <c r="A119" s="31"/>
      <c r="B119" s="31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>
      <c r="A120" s="31"/>
      <c r="B120" s="31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>
      <c r="A121" s="31"/>
      <c r="B121" s="31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>
      <c r="A122" s="31"/>
      <c r="B122" s="31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>
      <c r="A123" s="31"/>
      <c r="B123" s="31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>
      <c r="A124" s="31"/>
      <c r="B124" s="31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>
      <c r="A125" s="31"/>
      <c r="B125" s="31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>
      <c r="A126" s="31"/>
      <c r="B126" s="31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>
      <c r="A127" s="31"/>
      <c r="B127" s="31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>
      <c r="A128" s="31"/>
      <c r="B128" s="31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>
      <c r="A129" s="31"/>
      <c r="B129" s="31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>
      <c r="A130" s="31"/>
      <c r="B130" s="31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>
      <c r="A131" s="31"/>
      <c r="B131" s="31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>
      <c r="A132" s="31"/>
      <c r="B132" s="31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>
      <c r="A133" s="31"/>
      <c r="B133" s="31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>
      <c r="A134" s="31"/>
      <c r="B134" s="31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>
      <c r="A135" s="31"/>
      <c r="B135" s="31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>
      <c r="A136" s="31"/>
      <c r="B136" s="31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>
      <c r="A137" s="31"/>
      <c r="B137" s="31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>
      <c r="A138" s="31"/>
      <c r="B138" s="31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>
      <c r="A139" s="31"/>
      <c r="B139" s="31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>
      <c r="A140" s="31"/>
      <c r="B140" s="31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>
      <c r="A141" s="31"/>
      <c r="B141" s="31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2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>
      <c r="A142" s="31"/>
      <c r="B142" s="31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2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>
      <c r="A143" s="31"/>
      <c r="B143" s="31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2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>
      <c r="A144" s="31"/>
      <c r="B144" s="31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2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>
      <c r="A145" s="31"/>
      <c r="B145" s="31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2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>
      <c r="A146" s="31"/>
      <c r="B146" s="31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2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>
      <c r="A147" s="31"/>
      <c r="B147" s="31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2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>
      <c r="A148" s="31"/>
      <c r="B148" s="31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2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</row>
    <row r="149" spans="1:33" ht="15.75" customHeight="1">
      <c r="A149" s="14"/>
      <c r="B149" s="14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>
      <c r="A150" s="14"/>
      <c r="B150" s="14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>
      <c r="A151" s="14"/>
      <c r="B151" s="14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>
      <c r="A152" s="14"/>
      <c r="B152" s="14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>
      <c r="A153" s="14"/>
      <c r="B153" s="14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>
      <c r="A154" s="14"/>
      <c r="B154" s="14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>
      <c r="A155" s="14"/>
      <c r="B155" s="14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>
      <c r="A156" s="14"/>
      <c r="B156" s="14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>
      <c r="A157" s="14"/>
      <c r="B157" s="14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>
      <c r="A158" s="14"/>
      <c r="B158" s="14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>
      <c r="A159" s="14"/>
      <c r="B159" s="14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>
      <c r="A160" s="14"/>
      <c r="B160" s="14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>
      <c r="A161" s="14"/>
      <c r="B161" s="14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>
      <c r="A162" s="14"/>
      <c r="B162" s="14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>
      <c r="A163" s="14"/>
      <c r="B163" s="14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>
      <c r="A164" s="14"/>
      <c r="B164" s="14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>
      <c r="A165" s="14"/>
      <c r="B165" s="14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>
      <c r="A166" s="14"/>
      <c r="B166" s="14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>
      <c r="A167" s="14"/>
      <c r="B167" s="14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>
      <c r="A168" s="14"/>
      <c r="B168" s="14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>
      <c r="A169" s="14"/>
      <c r="B169" s="14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>
      <c r="A170" s="14"/>
      <c r="B170" s="14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>
      <c r="A171" s="14"/>
      <c r="B171" s="14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>
      <c r="A172" s="14"/>
      <c r="B172" s="14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>
      <c r="A173" s="14"/>
      <c r="B173" s="14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>
      <c r="A174" s="14"/>
      <c r="B174" s="14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>
      <c r="A175" s="14"/>
      <c r="B175" s="14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>
      <c r="A176" s="14"/>
      <c r="B176" s="14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>
      <c r="A177" s="14"/>
      <c r="B177" s="14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>
      <c r="A178" s="14"/>
      <c r="B178" s="14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>
      <c r="A179" s="14"/>
      <c r="B179" s="14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>
      <c r="A180" s="14"/>
      <c r="B180" s="14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>
      <c r="A181" s="14"/>
      <c r="B181" s="14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>
      <c r="A182" s="14"/>
      <c r="B182" s="14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>
      <c r="A183" s="14"/>
      <c r="B183" s="14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>
      <c r="A184" s="14"/>
      <c r="B184" s="14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>
      <c r="A185" s="14"/>
      <c r="B185" s="14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>
      <c r="A186" s="14"/>
      <c r="B186" s="14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>
      <c r="A187" s="14"/>
      <c r="B187" s="14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>
      <c r="A188" s="14"/>
      <c r="B188" s="14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>
      <c r="A189" s="14"/>
      <c r="B189" s="14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>
      <c r="A190" s="14"/>
      <c r="B190" s="14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>
      <c r="A191" s="14"/>
      <c r="B191" s="14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>
      <c r="A192" s="14"/>
      <c r="B192" s="14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>
      <c r="A193" s="14"/>
      <c r="B193" s="14"/>
      <c r="C193" s="39"/>
      <c r="D193" s="39"/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>
      <c r="A194" s="14"/>
      <c r="B194" s="14"/>
      <c r="C194" s="39"/>
      <c r="D194" s="39"/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>
      <c r="A195" s="14"/>
      <c r="B195" s="14"/>
      <c r="C195" s="39"/>
      <c r="D195" s="39"/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>
      <c r="A196" s="14"/>
      <c r="B196" s="14"/>
      <c r="C196" s="39"/>
      <c r="D196" s="39"/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>
      <c r="A197" s="14"/>
      <c r="B197" s="14"/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>
      <c r="A198" s="14"/>
      <c r="B198" s="14"/>
      <c r="C198" s="39"/>
      <c r="D198" s="39"/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>
      <c r="A199" s="14"/>
      <c r="B199" s="14"/>
      <c r="C199" s="39"/>
      <c r="D199" s="39"/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>
      <c r="A200" s="14"/>
      <c r="B200" s="14"/>
      <c r="C200" s="39"/>
      <c r="D200" s="39"/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>
      <c r="A201" s="14"/>
      <c r="B201" s="14"/>
      <c r="C201" s="39"/>
      <c r="D201" s="39"/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>
      <c r="A202" s="14"/>
      <c r="B202" s="14"/>
      <c r="C202" s="39"/>
      <c r="D202" s="39"/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>
      <c r="A203" s="14"/>
      <c r="B203" s="14"/>
      <c r="C203" s="39"/>
      <c r="D203" s="39"/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>
      <c r="A204" s="14"/>
      <c r="B204" s="14"/>
      <c r="C204" s="39"/>
      <c r="D204" s="39"/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>
      <c r="A205" s="14"/>
      <c r="B205" s="14"/>
      <c r="C205" s="39"/>
      <c r="D205" s="39"/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>
      <c r="A206" s="14"/>
      <c r="B206" s="14"/>
      <c r="C206" s="39"/>
      <c r="D206" s="39"/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>
      <c r="A207" s="14"/>
      <c r="B207" s="14"/>
      <c r="C207" s="39"/>
      <c r="D207" s="39"/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>
      <c r="A208" s="14"/>
      <c r="B208" s="14"/>
      <c r="C208" s="39"/>
      <c r="D208" s="39"/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>
      <c r="A209" s="14"/>
      <c r="B209" s="14"/>
      <c r="C209" s="39"/>
      <c r="D209" s="39"/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>
      <c r="A210" s="14"/>
      <c r="B210" s="14"/>
      <c r="C210" s="39"/>
      <c r="D210" s="39"/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>
      <c r="A211" s="14"/>
      <c r="B211" s="14"/>
      <c r="C211" s="39"/>
      <c r="D211" s="39"/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>
      <c r="A212" s="14"/>
      <c r="B212" s="14"/>
      <c r="C212" s="39"/>
      <c r="D212" s="39"/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>
      <c r="A213" s="14"/>
      <c r="B213" s="14"/>
      <c r="C213" s="39"/>
      <c r="D213" s="39"/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>
      <c r="A214" s="14"/>
      <c r="B214" s="14"/>
      <c r="C214" s="39"/>
      <c r="D214" s="39"/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>
      <c r="A215" s="14"/>
      <c r="B215" s="14"/>
      <c r="C215" s="39"/>
      <c r="D215" s="39"/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>
      <c r="A216" s="14"/>
      <c r="B216" s="14"/>
      <c r="C216" s="39"/>
      <c r="D216" s="39"/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>
      <c r="A217" s="14"/>
      <c r="B217" s="14"/>
      <c r="C217" s="39"/>
      <c r="D217" s="39"/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>
      <c r="A218" s="14"/>
      <c r="B218" s="14"/>
      <c r="C218" s="39"/>
      <c r="D218" s="39"/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>
      <c r="A219" s="14"/>
      <c r="B219" s="14"/>
      <c r="C219" s="39"/>
      <c r="D219" s="39"/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>
      <c r="A220" s="14"/>
      <c r="B220" s="14"/>
      <c r="C220" s="39"/>
      <c r="D220" s="39"/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>
      <c r="R221" s="30"/>
      <c r="S221" s="40"/>
    </row>
    <row r="222" spans="1:33" ht="15.75" customHeight="1">
      <c r="R222" s="30"/>
      <c r="S222" s="40"/>
    </row>
    <row r="223" spans="1:33" ht="15.75" customHeight="1">
      <c r="R223" s="30"/>
      <c r="S223" s="40"/>
    </row>
    <row r="224" spans="1:33" ht="15.75" customHeight="1">
      <c r="R224" s="30"/>
      <c r="S224" s="40"/>
    </row>
    <row r="225" spans="18:18" ht="15.75" customHeight="1">
      <c r="R225" s="30"/>
    </row>
    <row r="226" spans="18:18" ht="15.75" customHeight="1">
      <c r="R226" s="30"/>
    </row>
    <row r="227" spans="18:18" ht="15.75" customHeight="1">
      <c r="R227" s="30"/>
    </row>
    <row r="228" spans="18:18" ht="15.75" customHeight="1">
      <c r="R228" s="30"/>
    </row>
    <row r="229" spans="18:18" ht="15.75" customHeight="1">
      <c r="R229" s="30"/>
    </row>
    <row r="230" spans="18:18" ht="15.75" customHeight="1">
      <c r="R230" s="30"/>
    </row>
    <row r="231" spans="18:18" ht="15.75" customHeight="1">
      <c r="R231" s="30"/>
    </row>
    <row r="232" spans="18:18" ht="15.75" customHeight="1">
      <c r="R232" s="30"/>
    </row>
    <row r="233" spans="18:18" ht="15.75" customHeight="1">
      <c r="R233" s="30"/>
    </row>
    <row r="234" spans="18:18" ht="15.75" customHeight="1">
      <c r="R234" s="30"/>
    </row>
    <row r="235" spans="18:18" ht="15.75" customHeight="1">
      <c r="R235" s="30"/>
    </row>
    <row r="236" spans="18:18" ht="15.75" customHeight="1">
      <c r="R236" s="30"/>
    </row>
    <row r="237" spans="18:18" ht="15.75" customHeight="1">
      <c r="R237" s="30"/>
    </row>
    <row r="238" spans="18:18" ht="15.75" customHeight="1">
      <c r="R238" s="30"/>
    </row>
    <row r="239" spans="18:18" ht="15.75" customHeight="1">
      <c r="R239" s="30"/>
    </row>
    <row r="240" spans="18:18" ht="15.75" customHeight="1">
      <c r="R240" s="30"/>
    </row>
    <row r="241" spans="18:18" ht="15.75" customHeight="1">
      <c r="R241" s="30"/>
    </row>
    <row r="242" spans="18:18" ht="15.75" customHeight="1">
      <c r="R242" s="30"/>
    </row>
    <row r="243" spans="18:18" ht="15.75" customHeight="1">
      <c r="R243" s="30"/>
    </row>
    <row r="244" spans="18:18" ht="15.75" customHeight="1">
      <c r="R244" s="30"/>
    </row>
    <row r="245" spans="18:18" ht="15.75" customHeight="1">
      <c r="R245" s="30"/>
    </row>
    <row r="246" spans="18:18" ht="15.75" customHeight="1">
      <c r="R246" s="30"/>
    </row>
    <row r="247" spans="18:18" ht="15.75" customHeight="1">
      <c r="R247" s="30"/>
    </row>
    <row r="248" spans="18:18" ht="15.75" customHeight="1">
      <c r="R248" s="30"/>
    </row>
    <row r="249" spans="18:18" ht="15.75" customHeight="1">
      <c r="R249" s="30"/>
    </row>
    <row r="250" spans="18:18" ht="15.75" customHeight="1">
      <c r="R250" s="30"/>
    </row>
    <row r="251" spans="18:18" ht="15.75" customHeight="1">
      <c r="R251" s="30"/>
    </row>
    <row r="252" spans="18:18" ht="15.75" customHeight="1">
      <c r="R252" s="30"/>
    </row>
    <row r="253" spans="18:18" ht="15.75" customHeight="1">
      <c r="R253" s="30"/>
    </row>
    <row r="254" spans="18:18" ht="15.75" customHeight="1">
      <c r="R254" s="30"/>
    </row>
    <row r="255" spans="18:18" ht="15.75" customHeight="1">
      <c r="R255" s="30"/>
    </row>
    <row r="256" spans="18:18" ht="15.75" customHeight="1">
      <c r="R256" s="30"/>
    </row>
    <row r="257" spans="18:18" ht="15.75" customHeight="1">
      <c r="R257" s="30"/>
    </row>
    <row r="258" spans="18:18" ht="15.75" customHeight="1">
      <c r="R258" s="30"/>
    </row>
    <row r="259" spans="18:18" ht="15.75" customHeight="1">
      <c r="R259" s="30"/>
    </row>
    <row r="260" spans="18:18" ht="15.75" customHeight="1">
      <c r="R260" s="30"/>
    </row>
    <row r="261" spans="18:18" ht="15.75" customHeight="1">
      <c r="R261" s="30"/>
    </row>
    <row r="262" spans="18:18" ht="15.75" customHeight="1">
      <c r="R262" s="30"/>
    </row>
    <row r="263" spans="18:18" ht="15.75" customHeight="1">
      <c r="R263" s="30"/>
    </row>
    <row r="264" spans="18:18" ht="15.75" customHeight="1">
      <c r="R264" s="30"/>
    </row>
    <row r="265" spans="18:18" ht="15.75" customHeight="1">
      <c r="R265" s="30"/>
    </row>
    <row r="266" spans="18:18" ht="15.75" customHeight="1">
      <c r="R266" s="30"/>
    </row>
    <row r="267" spans="18:18" ht="15.75" customHeight="1">
      <c r="R267" s="30"/>
    </row>
    <row r="268" spans="18:18" ht="15.75" customHeight="1">
      <c r="R268" s="30"/>
    </row>
    <row r="269" spans="18:18" ht="15.75" customHeight="1">
      <c r="R269" s="30"/>
    </row>
    <row r="270" spans="18:18" ht="15.75" customHeight="1">
      <c r="R270" s="30"/>
    </row>
    <row r="271" spans="18:18" ht="15.75" customHeight="1">
      <c r="R271" s="30"/>
    </row>
    <row r="272" spans="18:18" ht="15.75" customHeight="1">
      <c r="R272" s="30"/>
    </row>
    <row r="273" spans="18:18" ht="15.75" customHeight="1">
      <c r="R273" s="30"/>
    </row>
    <row r="274" spans="18:18" ht="15.75" customHeight="1">
      <c r="R274" s="30"/>
    </row>
    <row r="275" spans="18:18" ht="15.75" customHeight="1">
      <c r="R275" s="30"/>
    </row>
    <row r="276" spans="18:18" ht="15.75" customHeight="1">
      <c r="R276" s="30"/>
    </row>
    <row r="277" spans="18:18" ht="15.75" customHeight="1">
      <c r="R277" s="30"/>
    </row>
    <row r="278" spans="18:18" ht="15.75" customHeight="1">
      <c r="R278" s="30"/>
    </row>
    <row r="279" spans="18:18" ht="15.75" customHeight="1">
      <c r="R279" s="30"/>
    </row>
    <row r="280" spans="18:18" ht="15.75" customHeight="1">
      <c r="R280" s="30"/>
    </row>
    <row r="281" spans="18:18" ht="15.75" customHeight="1">
      <c r="R281" s="30"/>
    </row>
    <row r="282" spans="18:18" ht="15.75" customHeight="1">
      <c r="R282" s="30"/>
    </row>
    <row r="283" spans="18:18" ht="15.75" customHeight="1">
      <c r="R283" s="30"/>
    </row>
    <row r="284" spans="18:18" ht="15.75" customHeight="1">
      <c r="R284" s="30"/>
    </row>
    <row r="285" spans="18:18" ht="15.75" customHeight="1">
      <c r="R285" s="30"/>
    </row>
    <row r="286" spans="18:18" ht="15.75" customHeight="1">
      <c r="R286" s="30"/>
    </row>
    <row r="287" spans="18:18" ht="15.75" customHeight="1">
      <c r="R287" s="30"/>
    </row>
    <row r="288" spans="18:18" ht="15.75" customHeight="1">
      <c r="R288" s="30"/>
    </row>
    <row r="289" spans="18:18" ht="15.75" customHeight="1">
      <c r="R289" s="30"/>
    </row>
    <row r="290" spans="18:18" ht="15.75" customHeight="1">
      <c r="R290" s="30"/>
    </row>
    <row r="291" spans="18:18" ht="15.75" customHeight="1">
      <c r="R291" s="30"/>
    </row>
    <row r="292" spans="18:18" ht="15.75" customHeight="1">
      <c r="R292" s="30"/>
    </row>
    <row r="293" spans="18:18" ht="15.75" customHeight="1">
      <c r="R293" s="30"/>
    </row>
    <row r="294" spans="18:18" ht="15.75" customHeight="1">
      <c r="R294" s="30"/>
    </row>
    <row r="295" spans="18:18" ht="15.75" customHeight="1">
      <c r="R295" s="30"/>
    </row>
    <row r="296" spans="18:18" ht="15.75" customHeight="1">
      <c r="R296" s="30"/>
    </row>
    <row r="297" spans="18:18" ht="15.75" customHeight="1">
      <c r="R297" s="30"/>
    </row>
    <row r="298" spans="18:18" ht="15.75" customHeight="1">
      <c r="R298" s="30"/>
    </row>
    <row r="299" spans="18:18" ht="15.75" customHeight="1">
      <c r="R299" s="30"/>
    </row>
    <row r="300" spans="18:18" ht="15.75" customHeight="1">
      <c r="R300" s="30"/>
    </row>
    <row r="301" spans="18:18" ht="15.75" customHeight="1">
      <c r="R301" s="30"/>
    </row>
    <row r="302" spans="18:18" ht="15.75" customHeight="1">
      <c r="R302" s="30"/>
    </row>
    <row r="303" spans="18:18" ht="15.75" customHeight="1">
      <c r="R303" s="30"/>
    </row>
    <row r="304" spans="18:18" ht="15.75" customHeight="1">
      <c r="R304" s="30"/>
    </row>
    <row r="305" spans="18:18" ht="15.75" customHeight="1">
      <c r="R305" s="30"/>
    </row>
    <row r="306" spans="18:18" ht="15.75" customHeight="1">
      <c r="R306" s="30"/>
    </row>
    <row r="307" spans="18:18" ht="15.75" customHeight="1">
      <c r="R307" s="30"/>
    </row>
    <row r="308" spans="18:18" ht="15.75" customHeight="1">
      <c r="R308" s="30"/>
    </row>
    <row r="309" spans="18:18" ht="15.75" customHeight="1">
      <c r="R309" s="30"/>
    </row>
    <row r="310" spans="18:18" ht="15.75" customHeight="1">
      <c r="R310" s="30"/>
    </row>
    <row r="311" spans="18:18" ht="15.75" customHeight="1">
      <c r="R311" s="30"/>
    </row>
    <row r="312" spans="18:18" ht="15.75" customHeight="1">
      <c r="R312" s="30"/>
    </row>
    <row r="313" spans="18:18" ht="15.75" customHeight="1">
      <c r="R313" s="30"/>
    </row>
    <row r="314" spans="18:18" ht="15.75" customHeight="1">
      <c r="R314" s="30"/>
    </row>
    <row r="315" spans="18:18" ht="15.75" customHeight="1">
      <c r="R315" s="30"/>
    </row>
    <row r="316" spans="18:18" ht="15.75" customHeight="1">
      <c r="R316" s="30"/>
    </row>
    <row r="317" spans="18:18" ht="15.75" customHeight="1">
      <c r="R317" s="30"/>
    </row>
    <row r="318" spans="18:18" ht="15.75" customHeight="1">
      <c r="R318" s="30"/>
    </row>
    <row r="319" spans="18:18" ht="15.75" customHeight="1">
      <c r="R319" s="30"/>
    </row>
    <row r="320" spans="18:18" ht="15.75" customHeight="1">
      <c r="R320" s="30"/>
    </row>
    <row r="321" spans="18:18" ht="15.75" customHeight="1">
      <c r="R321" s="30"/>
    </row>
    <row r="322" spans="18:18" ht="15.75" customHeight="1">
      <c r="R322" s="30"/>
    </row>
    <row r="323" spans="18:18" ht="15.75" customHeight="1">
      <c r="R323" s="30"/>
    </row>
    <row r="324" spans="18:18" ht="15.75" customHeight="1">
      <c r="R324" s="30"/>
    </row>
    <row r="325" spans="18:18" ht="15.75" customHeight="1">
      <c r="R325" s="30"/>
    </row>
    <row r="326" spans="18:18" ht="15.75" customHeight="1">
      <c r="R326" s="30"/>
    </row>
    <row r="327" spans="18:18" ht="15.75" customHeight="1">
      <c r="R327" s="30"/>
    </row>
    <row r="328" spans="18:18" ht="15.75" customHeight="1">
      <c r="R328" s="30"/>
    </row>
    <row r="329" spans="18:18" ht="15.75" customHeight="1">
      <c r="R329" s="30"/>
    </row>
    <row r="330" spans="18:18" ht="15.75" customHeight="1">
      <c r="R330" s="30"/>
    </row>
    <row r="331" spans="18:18" ht="15.75" customHeight="1">
      <c r="R331" s="30"/>
    </row>
    <row r="332" spans="18:18" ht="15.75" customHeight="1">
      <c r="R332" s="30"/>
    </row>
    <row r="333" spans="18:18" ht="15.75" customHeight="1">
      <c r="R333" s="30"/>
    </row>
    <row r="334" spans="18:18" ht="15.75" customHeight="1">
      <c r="R334" s="30"/>
    </row>
    <row r="335" spans="18:18" ht="15.75" customHeight="1">
      <c r="R335" s="30"/>
    </row>
    <row r="336" spans="18:18" ht="15.75" customHeight="1">
      <c r="R336" s="30"/>
    </row>
    <row r="337" spans="18:18" ht="15.75" customHeight="1">
      <c r="R337" s="30"/>
    </row>
    <row r="338" spans="18:18" ht="15.75" customHeight="1">
      <c r="R338" s="30"/>
    </row>
    <row r="339" spans="18:18" ht="15.75" customHeight="1">
      <c r="R339" s="30"/>
    </row>
    <row r="340" spans="18:18" ht="15.75" customHeight="1">
      <c r="R340" s="30"/>
    </row>
    <row r="341" spans="18:18" ht="15.75" customHeight="1">
      <c r="R341" s="30"/>
    </row>
    <row r="342" spans="18:18" ht="15.75" customHeight="1">
      <c r="R342" s="30"/>
    </row>
    <row r="343" spans="18:18" ht="15.75" customHeight="1">
      <c r="R343" s="30"/>
    </row>
    <row r="344" spans="18:18" ht="15.75" customHeight="1">
      <c r="R344" s="30"/>
    </row>
    <row r="345" spans="18:18" ht="15.75" customHeight="1">
      <c r="R345" s="30"/>
    </row>
    <row r="346" spans="18:18" ht="15.75" customHeight="1">
      <c r="R346" s="30"/>
    </row>
    <row r="347" spans="18:18" ht="15.75" customHeight="1">
      <c r="R347" s="30"/>
    </row>
    <row r="348" spans="18:18" ht="15.75" customHeight="1">
      <c r="R348" s="30"/>
    </row>
    <row r="349" spans="18:18" ht="15.75" customHeight="1">
      <c r="R349" s="30"/>
    </row>
    <row r="350" spans="18:18" ht="15.75" customHeight="1">
      <c r="R350" s="30"/>
    </row>
    <row r="351" spans="18:18" ht="15.75" customHeight="1">
      <c r="R351" s="30"/>
    </row>
    <row r="352" spans="18:18" ht="15.75" customHeight="1">
      <c r="R352" s="30"/>
    </row>
    <row r="353" spans="18:18" ht="15.75" customHeight="1">
      <c r="R353" s="30"/>
    </row>
    <row r="354" spans="18:18" ht="15.75" customHeight="1">
      <c r="R354" s="30"/>
    </row>
    <row r="355" spans="18:18" ht="15.75" customHeight="1">
      <c r="R355" s="30"/>
    </row>
    <row r="356" spans="18:18" ht="15.75" customHeight="1">
      <c r="R356" s="30"/>
    </row>
    <row r="357" spans="18:18" ht="15.75" customHeight="1">
      <c r="R357" s="30"/>
    </row>
    <row r="358" spans="18:18" ht="15.75" customHeight="1">
      <c r="R358" s="30"/>
    </row>
    <row r="359" spans="18:18" ht="15.75" customHeight="1">
      <c r="R359" s="30"/>
    </row>
    <row r="360" spans="18:18" ht="15.75" customHeight="1">
      <c r="R360" s="30"/>
    </row>
    <row r="361" spans="18:18" ht="15.75" customHeight="1">
      <c r="R361" s="30"/>
    </row>
    <row r="362" spans="18:18" ht="15.75" customHeight="1">
      <c r="R362" s="30"/>
    </row>
    <row r="363" spans="18:18" ht="15.75" customHeight="1">
      <c r="R363" s="30"/>
    </row>
    <row r="364" spans="18:18" ht="15.75" customHeight="1">
      <c r="R364" s="30"/>
    </row>
    <row r="365" spans="18:18" ht="15.75" customHeight="1">
      <c r="R365" s="30"/>
    </row>
    <row r="366" spans="18:18" ht="15.75" customHeight="1">
      <c r="R366" s="30"/>
    </row>
    <row r="367" spans="18:18" ht="15.75" customHeight="1">
      <c r="R367" s="30"/>
    </row>
    <row r="368" spans="18:18" ht="15.75" customHeight="1">
      <c r="R368" s="30"/>
    </row>
    <row r="369" spans="18:18" ht="15.75" customHeight="1">
      <c r="R369" s="30"/>
    </row>
    <row r="370" spans="18:18" ht="15.75" customHeight="1">
      <c r="R370" s="30"/>
    </row>
    <row r="371" spans="18:18" ht="15.75" customHeight="1">
      <c r="R371" s="30"/>
    </row>
    <row r="372" spans="18:18" ht="15.75" customHeight="1">
      <c r="R372" s="30"/>
    </row>
    <row r="373" spans="18:18" ht="15.75" customHeight="1">
      <c r="R373" s="30"/>
    </row>
    <row r="374" spans="18:18" ht="15.75" customHeight="1">
      <c r="R374" s="30"/>
    </row>
    <row r="375" spans="18:18" ht="15.75" customHeight="1">
      <c r="R375" s="30"/>
    </row>
    <row r="376" spans="18:18" ht="15.75" customHeight="1">
      <c r="R376" s="30"/>
    </row>
    <row r="377" spans="18:18" ht="15.75" customHeight="1">
      <c r="R377" s="30"/>
    </row>
    <row r="378" spans="18:18" ht="15.75" customHeight="1">
      <c r="R378" s="30"/>
    </row>
    <row r="379" spans="18:18" ht="15.75" customHeight="1">
      <c r="R379" s="30"/>
    </row>
    <row r="380" spans="18:18" ht="15.75" customHeight="1">
      <c r="R380" s="30"/>
    </row>
    <row r="381" spans="18:18" ht="15.75" customHeight="1">
      <c r="R381" s="30"/>
    </row>
    <row r="382" spans="18:18" ht="15.75" customHeight="1">
      <c r="R382" s="30"/>
    </row>
    <row r="383" spans="18:18" ht="15.75" customHeight="1">
      <c r="R383" s="30"/>
    </row>
    <row r="384" spans="18:18" ht="15.75" customHeight="1">
      <c r="R384" s="30"/>
    </row>
    <row r="385" spans="18:18" ht="15.75" customHeight="1">
      <c r="R385" s="30"/>
    </row>
    <row r="386" spans="18:18" ht="15.75" customHeight="1">
      <c r="R386" s="30"/>
    </row>
    <row r="387" spans="18:18" ht="15.75" customHeight="1">
      <c r="R387" s="30"/>
    </row>
    <row r="388" spans="18:18" ht="15.75" customHeight="1">
      <c r="R388" s="30"/>
    </row>
    <row r="389" spans="18:18" ht="15.75" customHeight="1">
      <c r="R389" s="30"/>
    </row>
    <row r="390" spans="18:18" ht="15.75" customHeight="1">
      <c r="R390" s="30"/>
    </row>
    <row r="391" spans="18:18" ht="15.75" customHeight="1">
      <c r="R391" s="30"/>
    </row>
    <row r="392" spans="18:18" ht="15.75" customHeight="1">
      <c r="R392" s="30"/>
    </row>
    <row r="393" spans="18:18" ht="15.75" customHeight="1">
      <c r="R393" s="30"/>
    </row>
    <row r="394" spans="18:18" ht="15.75" customHeight="1">
      <c r="R394" s="30"/>
    </row>
    <row r="395" spans="18:18" ht="15.75" customHeight="1">
      <c r="R395" s="30"/>
    </row>
    <row r="396" spans="18:18" ht="15.75" customHeight="1">
      <c r="R396" s="30"/>
    </row>
    <row r="397" spans="18:18" ht="15.75" customHeight="1">
      <c r="R397" s="30"/>
    </row>
    <row r="398" spans="18:18" ht="15.75" customHeight="1">
      <c r="R398" s="30"/>
    </row>
    <row r="399" spans="18:18" ht="15.75" customHeight="1">
      <c r="R399" s="30"/>
    </row>
    <row r="400" spans="18:18" ht="15.75" customHeight="1">
      <c r="R400" s="30"/>
    </row>
    <row r="401" spans="18:18" ht="15.75" customHeight="1">
      <c r="R401" s="30"/>
    </row>
    <row r="402" spans="18:18" ht="15.75" customHeight="1">
      <c r="R402" s="30"/>
    </row>
    <row r="403" spans="18:18" ht="15.75" customHeight="1">
      <c r="R403" s="30"/>
    </row>
    <row r="404" spans="18:18" ht="15.75" customHeight="1">
      <c r="R404" s="30"/>
    </row>
    <row r="405" spans="18:18" ht="15.75" customHeight="1">
      <c r="R405" s="30"/>
    </row>
    <row r="406" spans="18:18" ht="15.75" customHeight="1">
      <c r="R406" s="30"/>
    </row>
    <row r="407" spans="18:18" ht="15.75" customHeight="1">
      <c r="R407" s="30"/>
    </row>
    <row r="408" spans="18:18" ht="15.75" customHeight="1">
      <c r="R408" s="30"/>
    </row>
    <row r="409" spans="18:18" ht="15.75" customHeight="1">
      <c r="R409" s="30"/>
    </row>
    <row r="410" spans="18:18" ht="15.75" customHeight="1">
      <c r="R410" s="30"/>
    </row>
    <row r="411" spans="18:18" ht="15.75" customHeight="1">
      <c r="R411" s="30"/>
    </row>
    <row r="412" spans="18:18" ht="15.75" customHeight="1">
      <c r="R412" s="30"/>
    </row>
    <row r="413" spans="18:18" ht="15.75" customHeight="1">
      <c r="R413" s="30"/>
    </row>
    <row r="414" spans="18:18" ht="15.75" customHeight="1">
      <c r="R414" s="30"/>
    </row>
    <row r="415" spans="18:18" ht="15.75" customHeight="1">
      <c r="R415" s="30"/>
    </row>
    <row r="416" spans="18:18" ht="15.75" customHeight="1">
      <c r="R416" s="30"/>
    </row>
    <row r="417" spans="18:18" ht="15.75" customHeight="1">
      <c r="R417" s="30"/>
    </row>
    <row r="418" spans="18:18" ht="15.75" customHeight="1">
      <c r="R418" s="30"/>
    </row>
    <row r="419" spans="18:18" ht="15.75" customHeight="1">
      <c r="R419" s="30"/>
    </row>
    <row r="420" spans="18:18" ht="15.75" customHeight="1">
      <c r="R420" s="30"/>
    </row>
    <row r="421" spans="18:18" ht="15.75" customHeight="1">
      <c r="R421" s="30"/>
    </row>
    <row r="422" spans="18:18" ht="15.75" customHeight="1">
      <c r="R422" s="30"/>
    </row>
    <row r="423" spans="18:18" ht="15.75" customHeight="1">
      <c r="R423" s="30"/>
    </row>
    <row r="424" spans="18:18" ht="15.75" customHeight="1">
      <c r="R424" s="30"/>
    </row>
    <row r="425" spans="18:18" ht="15.75" customHeight="1">
      <c r="R425" s="30"/>
    </row>
    <row r="426" spans="18:18" ht="15.75" customHeight="1">
      <c r="R426" s="30"/>
    </row>
    <row r="427" spans="18:18" ht="15.75" customHeight="1">
      <c r="R427" s="30"/>
    </row>
    <row r="428" spans="18:18" ht="15.75" customHeight="1">
      <c r="R428" s="30"/>
    </row>
    <row r="429" spans="18:18" ht="15.75" customHeight="1">
      <c r="R429" s="30"/>
    </row>
    <row r="430" spans="18:18" ht="15.75" customHeight="1">
      <c r="R430" s="30"/>
    </row>
    <row r="431" spans="18:18" ht="15.75" customHeight="1">
      <c r="R431" s="30"/>
    </row>
    <row r="432" spans="18:18" ht="15.75" customHeight="1">
      <c r="R432" s="30"/>
    </row>
    <row r="433" spans="18:18" ht="15.75" customHeight="1">
      <c r="R433" s="30"/>
    </row>
    <row r="434" spans="18:18" ht="15.75" customHeight="1">
      <c r="R434" s="30"/>
    </row>
    <row r="435" spans="18:18" ht="15.75" customHeight="1">
      <c r="R435" s="30"/>
    </row>
    <row r="436" spans="18:18" ht="15.75" customHeight="1">
      <c r="R436" s="30"/>
    </row>
    <row r="437" spans="18:18" ht="15.75" customHeight="1">
      <c r="R437" s="30"/>
    </row>
    <row r="438" spans="18:18" ht="15.75" customHeight="1">
      <c r="R438" s="30"/>
    </row>
    <row r="439" spans="18:18" ht="15.75" customHeight="1">
      <c r="R439" s="30"/>
    </row>
    <row r="440" spans="18:18" ht="15.75" customHeight="1">
      <c r="R440" s="30"/>
    </row>
    <row r="441" spans="18:18" ht="15.75" customHeight="1">
      <c r="R441" s="30"/>
    </row>
    <row r="442" spans="18:18" ht="15.75" customHeight="1">
      <c r="R442" s="30"/>
    </row>
    <row r="443" spans="18:18" ht="15.75" customHeight="1">
      <c r="R443" s="30"/>
    </row>
    <row r="444" spans="18:18" ht="15.75" customHeight="1">
      <c r="R444" s="30"/>
    </row>
    <row r="445" spans="18:18" ht="15.75" customHeight="1">
      <c r="R445" s="30"/>
    </row>
    <row r="446" spans="18:18" ht="15.75" customHeight="1">
      <c r="R446" s="30"/>
    </row>
    <row r="447" spans="18:18" ht="15.75" customHeight="1">
      <c r="R447" s="30"/>
    </row>
    <row r="448" spans="18:18" ht="15.75" customHeight="1">
      <c r="R448" s="30"/>
    </row>
    <row r="449" spans="18:18" ht="15.75" customHeight="1">
      <c r="R449" s="30"/>
    </row>
    <row r="450" spans="18:18" ht="15.75" customHeight="1">
      <c r="R450" s="30"/>
    </row>
    <row r="451" spans="18:18" ht="15.75" customHeight="1">
      <c r="R451" s="30"/>
    </row>
    <row r="452" spans="18:18" ht="15.75" customHeight="1">
      <c r="R452" s="30"/>
    </row>
    <row r="453" spans="18:18" ht="15.75" customHeight="1">
      <c r="R453" s="30"/>
    </row>
    <row r="454" spans="18:18" ht="15.75" customHeight="1">
      <c r="R454" s="30"/>
    </row>
    <row r="455" spans="18:18" ht="15.75" customHeight="1">
      <c r="R455" s="30"/>
    </row>
    <row r="456" spans="18:18" ht="15.75" customHeight="1">
      <c r="R456" s="30"/>
    </row>
    <row r="457" spans="18:18" ht="15.75" customHeight="1">
      <c r="R457" s="30"/>
    </row>
    <row r="458" spans="18:18" ht="15.75" customHeight="1">
      <c r="R458" s="30"/>
    </row>
    <row r="459" spans="18:18" ht="15.75" customHeight="1">
      <c r="R459" s="30"/>
    </row>
    <row r="460" spans="18:18" ht="15.75" customHeight="1">
      <c r="R460" s="30"/>
    </row>
    <row r="461" spans="18:18" ht="15.75" customHeight="1">
      <c r="R461" s="30"/>
    </row>
    <row r="462" spans="18:18" ht="15.75" customHeight="1">
      <c r="R462" s="30"/>
    </row>
    <row r="463" spans="18:18" ht="15.75" customHeight="1">
      <c r="R463" s="30"/>
    </row>
    <row r="464" spans="18:18" ht="15.75" customHeight="1">
      <c r="R464" s="30"/>
    </row>
    <row r="465" spans="18:18" ht="15.75" customHeight="1">
      <c r="R465" s="30"/>
    </row>
    <row r="466" spans="18:18" ht="15.75" customHeight="1">
      <c r="R466" s="30"/>
    </row>
    <row r="467" spans="18:18" ht="15.75" customHeight="1">
      <c r="R467" s="30"/>
    </row>
    <row r="468" spans="18:18" ht="15.75" customHeight="1">
      <c r="R468" s="30"/>
    </row>
    <row r="469" spans="18:18" ht="15.75" customHeight="1">
      <c r="R469" s="30"/>
    </row>
    <row r="470" spans="18:18" ht="15.75" customHeight="1">
      <c r="R470" s="30"/>
    </row>
    <row r="471" spans="18:18" ht="15.75" customHeight="1">
      <c r="R471" s="30"/>
    </row>
    <row r="472" spans="18:18" ht="15.75" customHeight="1">
      <c r="R472" s="30"/>
    </row>
    <row r="473" spans="18:18" ht="15.75" customHeight="1">
      <c r="R473" s="30"/>
    </row>
    <row r="474" spans="18:18" ht="15.75" customHeight="1">
      <c r="R474" s="30"/>
    </row>
    <row r="475" spans="18:18" ht="15.75" customHeight="1">
      <c r="R475" s="30"/>
    </row>
    <row r="476" spans="18:18" ht="15.75" customHeight="1">
      <c r="R476" s="30"/>
    </row>
    <row r="477" spans="18:18" ht="15.75" customHeight="1">
      <c r="R477" s="30"/>
    </row>
    <row r="478" spans="18:18" ht="15.75" customHeight="1">
      <c r="R478" s="30"/>
    </row>
    <row r="479" spans="18:18" ht="15.75" customHeight="1">
      <c r="R479" s="30"/>
    </row>
    <row r="480" spans="18:18" ht="15.75" customHeight="1">
      <c r="R480" s="30"/>
    </row>
    <row r="481" spans="18:18" ht="15.75" customHeight="1">
      <c r="R481" s="30"/>
    </row>
    <row r="482" spans="18:18" ht="15.75" customHeight="1">
      <c r="R482" s="30"/>
    </row>
    <row r="483" spans="18:18" ht="15.75" customHeight="1">
      <c r="R483" s="30"/>
    </row>
    <row r="484" spans="18:18" ht="15.75" customHeight="1">
      <c r="R484" s="30"/>
    </row>
    <row r="485" spans="18:18" ht="15.75" customHeight="1">
      <c r="R485" s="30"/>
    </row>
    <row r="486" spans="18:18" ht="15.75" customHeight="1">
      <c r="R486" s="30"/>
    </row>
    <row r="487" spans="18:18" ht="15.75" customHeight="1">
      <c r="R487" s="30"/>
    </row>
    <row r="488" spans="18:18" ht="15.75" customHeight="1">
      <c r="R488" s="30"/>
    </row>
    <row r="489" spans="18:18" ht="15.75" customHeight="1">
      <c r="R489" s="30"/>
    </row>
    <row r="490" spans="18:18" ht="15.75" customHeight="1">
      <c r="R490" s="30"/>
    </row>
    <row r="491" spans="18:18" ht="15.75" customHeight="1">
      <c r="R491" s="30"/>
    </row>
    <row r="492" spans="18:18" ht="15.75" customHeight="1">
      <c r="R492" s="30"/>
    </row>
    <row r="493" spans="18:18" ht="15.75" customHeight="1">
      <c r="R493" s="30"/>
    </row>
    <row r="494" spans="18:18" ht="15.75" customHeight="1">
      <c r="R494" s="30"/>
    </row>
    <row r="495" spans="18:18" ht="15.75" customHeight="1">
      <c r="R495" s="30"/>
    </row>
    <row r="496" spans="18:18" ht="15.75" customHeight="1">
      <c r="R496" s="30"/>
    </row>
    <row r="497" spans="18:18" ht="15.75" customHeight="1">
      <c r="R497" s="30"/>
    </row>
    <row r="498" spans="18:18" ht="15.75" customHeight="1">
      <c r="R498" s="30"/>
    </row>
    <row r="499" spans="18:18" ht="15.75" customHeight="1">
      <c r="R499" s="30"/>
    </row>
    <row r="500" spans="18:18" ht="15.75" customHeight="1">
      <c r="R500" s="30"/>
    </row>
    <row r="501" spans="18:18" ht="15.75" customHeight="1">
      <c r="R501" s="30"/>
    </row>
    <row r="502" spans="18:18" ht="15.75" customHeight="1">
      <c r="R502" s="30"/>
    </row>
    <row r="503" spans="18:18" ht="15.75" customHeight="1">
      <c r="R503" s="30"/>
    </row>
    <row r="504" spans="18:18" ht="15.75" customHeight="1">
      <c r="R504" s="30"/>
    </row>
    <row r="505" spans="18:18" ht="15.75" customHeight="1">
      <c r="R505" s="30"/>
    </row>
    <row r="506" spans="18:18" ht="15.75" customHeight="1">
      <c r="R506" s="30"/>
    </row>
    <row r="507" spans="18:18" ht="15.75" customHeight="1">
      <c r="R507" s="30"/>
    </row>
    <row r="508" spans="18:18" ht="15.75" customHeight="1">
      <c r="R508" s="30"/>
    </row>
    <row r="509" spans="18:18" ht="15.75" customHeight="1">
      <c r="R509" s="30"/>
    </row>
    <row r="510" spans="18:18" ht="15.75" customHeight="1">
      <c r="R510" s="30"/>
    </row>
    <row r="511" spans="18:18" ht="15.75" customHeight="1">
      <c r="R511" s="30"/>
    </row>
    <row r="512" spans="18:18" ht="15.75" customHeight="1">
      <c r="R512" s="30"/>
    </row>
    <row r="513" spans="18:18" ht="15.75" customHeight="1">
      <c r="R513" s="30"/>
    </row>
    <row r="514" spans="18:18" ht="15.75" customHeight="1">
      <c r="R514" s="30"/>
    </row>
    <row r="515" spans="18:18" ht="15.75" customHeight="1">
      <c r="R515" s="30"/>
    </row>
    <row r="516" spans="18:18" ht="15.75" customHeight="1">
      <c r="R516" s="30"/>
    </row>
    <row r="517" spans="18:18" ht="15.75" customHeight="1">
      <c r="R517" s="30"/>
    </row>
    <row r="518" spans="18:18" ht="15.75" customHeight="1">
      <c r="R518" s="30"/>
    </row>
    <row r="519" spans="18:18" ht="15.75" customHeight="1">
      <c r="R519" s="30"/>
    </row>
    <row r="520" spans="18:18" ht="15.75" customHeight="1">
      <c r="R520" s="30"/>
    </row>
    <row r="521" spans="18:18" ht="15.75" customHeight="1">
      <c r="R521" s="30"/>
    </row>
    <row r="522" spans="18:18" ht="15.75" customHeight="1">
      <c r="R522" s="30"/>
    </row>
    <row r="523" spans="18:18" ht="15.75" customHeight="1">
      <c r="R523" s="30"/>
    </row>
    <row r="524" spans="18:18" ht="15.75" customHeight="1">
      <c r="R524" s="30"/>
    </row>
    <row r="525" spans="18:18" ht="15.75" customHeight="1">
      <c r="R525" s="30"/>
    </row>
    <row r="526" spans="18:18" ht="15.75" customHeight="1">
      <c r="R526" s="30"/>
    </row>
    <row r="527" spans="18:18" ht="15.75" customHeight="1">
      <c r="R527" s="30"/>
    </row>
    <row r="528" spans="18:18" ht="15.75" customHeight="1">
      <c r="R528" s="30"/>
    </row>
    <row r="529" spans="18:18" ht="15.75" customHeight="1">
      <c r="R529" s="30"/>
    </row>
    <row r="530" spans="18:18" ht="15.75" customHeight="1">
      <c r="R530" s="30"/>
    </row>
    <row r="531" spans="18:18" ht="15.75" customHeight="1">
      <c r="R531" s="30"/>
    </row>
    <row r="532" spans="18:18" ht="15.75" customHeight="1">
      <c r="R532" s="30"/>
    </row>
    <row r="533" spans="18:18" ht="15.75" customHeight="1">
      <c r="R533" s="30"/>
    </row>
    <row r="534" spans="18:18" ht="15.75" customHeight="1">
      <c r="R534" s="30"/>
    </row>
    <row r="535" spans="18:18" ht="15.75" customHeight="1">
      <c r="R535" s="30"/>
    </row>
    <row r="536" spans="18:18" ht="15.75" customHeight="1">
      <c r="R536" s="30"/>
    </row>
    <row r="537" spans="18:18" ht="15.75" customHeight="1">
      <c r="R537" s="30"/>
    </row>
    <row r="538" spans="18:18" ht="15.75" customHeight="1">
      <c r="R538" s="30"/>
    </row>
    <row r="539" spans="18:18" ht="15.75" customHeight="1">
      <c r="R539" s="30"/>
    </row>
    <row r="540" spans="18:18" ht="15.75" customHeight="1">
      <c r="R540" s="30"/>
    </row>
    <row r="541" spans="18:18" ht="15.75" customHeight="1">
      <c r="R541" s="30"/>
    </row>
    <row r="542" spans="18:18" ht="15.75" customHeight="1">
      <c r="R542" s="30"/>
    </row>
    <row r="543" spans="18:18" ht="15.75" customHeight="1">
      <c r="R543" s="30"/>
    </row>
    <row r="544" spans="18:18" ht="15.75" customHeight="1">
      <c r="R544" s="30"/>
    </row>
    <row r="545" spans="18:18" ht="15.75" customHeight="1">
      <c r="R545" s="30"/>
    </row>
    <row r="546" spans="18:18" ht="15.75" customHeight="1">
      <c r="R546" s="30"/>
    </row>
    <row r="547" spans="18:18" ht="15.75" customHeight="1">
      <c r="R547" s="30"/>
    </row>
    <row r="548" spans="18:18" ht="15.75" customHeight="1">
      <c r="R548" s="30"/>
    </row>
    <row r="549" spans="18:18" ht="15.75" customHeight="1">
      <c r="R549" s="30"/>
    </row>
    <row r="550" spans="18:18" ht="15.75" customHeight="1">
      <c r="R550" s="30"/>
    </row>
    <row r="551" spans="18:18" ht="15.75" customHeight="1">
      <c r="R551" s="30"/>
    </row>
    <row r="552" spans="18:18" ht="15.75" customHeight="1">
      <c r="R552" s="30"/>
    </row>
    <row r="553" spans="18:18" ht="15.75" customHeight="1">
      <c r="R553" s="30"/>
    </row>
    <row r="554" spans="18:18" ht="15.75" customHeight="1">
      <c r="R554" s="30"/>
    </row>
    <row r="555" spans="18:18" ht="15.75" customHeight="1">
      <c r="R555" s="30"/>
    </row>
    <row r="556" spans="18:18" ht="15.75" customHeight="1">
      <c r="R556" s="30"/>
    </row>
    <row r="557" spans="18:18" ht="15.75" customHeight="1">
      <c r="R557" s="30"/>
    </row>
    <row r="558" spans="18:18" ht="15.75" customHeight="1">
      <c r="R558" s="30"/>
    </row>
    <row r="559" spans="18:18" ht="15.75" customHeight="1">
      <c r="R559" s="30"/>
    </row>
    <row r="560" spans="18:18" ht="15.75" customHeight="1">
      <c r="R560" s="30"/>
    </row>
    <row r="561" spans="18:18" ht="15.75" customHeight="1">
      <c r="R561" s="30"/>
    </row>
    <row r="562" spans="18:18" ht="15.75" customHeight="1">
      <c r="R562" s="30"/>
    </row>
    <row r="563" spans="18:18" ht="15.75" customHeight="1">
      <c r="R563" s="30"/>
    </row>
    <row r="564" spans="18:18" ht="15.75" customHeight="1">
      <c r="R564" s="30"/>
    </row>
    <row r="565" spans="18:18" ht="15.75" customHeight="1">
      <c r="R565" s="30"/>
    </row>
    <row r="566" spans="18:18" ht="15.75" customHeight="1">
      <c r="R566" s="30"/>
    </row>
    <row r="567" spans="18:18" ht="15.75" customHeight="1">
      <c r="R567" s="30"/>
    </row>
    <row r="568" spans="18:18" ht="15.75" customHeight="1">
      <c r="R568" s="30"/>
    </row>
    <row r="569" spans="18:18" ht="15.75" customHeight="1">
      <c r="R569" s="30"/>
    </row>
    <row r="570" spans="18:18" ht="15.75" customHeight="1">
      <c r="R570" s="30"/>
    </row>
    <row r="571" spans="18:18" ht="15.75" customHeight="1">
      <c r="R571" s="30"/>
    </row>
    <row r="572" spans="18:18" ht="15.75" customHeight="1">
      <c r="R572" s="30"/>
    </row>
    <row r="573" spans="18:18" ht="15.75" customHeight="1">
      <c r="R573" s="30"/>
    </row>
    <row r="574" spans="18:18" ht="15.75" customHeight="1">
      <c r="R574" s="30"/>
    </row>
    <row r="575" spans="18:18" ht="15.75" customHeight="1">
      <c r="R575" s="30"/>
    </row>
    <row r="576" spans="18:18" ht="15.75" customHeight="1">
      <c r="R576" s="30"/>
    </row>
    <row r="577" spans="18:18" ht="15.75" customHeight="1">
      <c r="R577" s="30"/>
    </row>
    <row r="578" spans="18:18" ht="15.75" customHeight="1">
      <c r="R578" s="30"/>
    </row>
    <row r="579" spans="18:18" ht="15.75" customHeight="1">
      <c r="R579" s="30"/>
    </row>
    <row r="580" spans="18:18" ht="15.75" customHeight="1">
      <c r="R580" s="30"/>
    </row>
    <row r="581" spans="18:18" ht="15.75" customHeight="1">
      <c r="R581" s="30"/>
    </row>
    <row r="582" spans="18:18" ht="15.75" customHeight="1">
      <c r="R582" s="30"/>
    </row>
    <row r="583" spans="18:18" ht="15.75" customHeight="1">
      <c r="R583" s="30"/>
    </row>
    <row r="584" spans="18:18" ht="15.75" customHeight="1">
      <c r="R584" s="30"/>
    </row>
    <row r="585" spans="18:18" ht="15.75" customHeight="1">
      <c r="R585" s="30"/>
    </row>
    <row r="586" spans="18:18" ht="15.75" customHeight="1">
      <c r="R586" s="30"/>
    </row>
    <row r="587" spans="18:18" ht="15.75" customHeight="1">
      <c r="R587" s="30"/>
    </row>
    <row r="588" spans="18:18" ht="15.75" customHeight="1">
      <c r="R588" s="30"/>
    </row>
    <row r="589" spans="18:18" ht="15.75" customHeight="1">
      <c r="R589" s="30"/>
    </row>
    <row r="590" spans="18:18" ht="15.75" customHeight="1">
      <c r="R590" s="30"/>
    </row>
    <row r="591" spans="18:18" ht="15.75" customHeight="1">
      <c r="R591" s="30"/>
    </row>
    <row r="592" spans="18:18" ht="15.75" customHeight="1">
      <c r="R592" s="30"/>
    </row>
    <row r="593" spans="18:18" ht="15.75" customHeight="1">
      <c r="R593" s="30"/>
    </row>
    <row r="594" spans="18:18" ht="15.75" customHeight="1">
      <c r="R594" s="30"/>
    </row>
    <row r="595" spans="18:18" ht="15.75" customHeight="1">
      <c r="R595" s="30"/>
    </row>
    <row r="596" spans="18:18" ht="15.75" customHeight="1">
      <c r="R596" s="30"/>
    </row>
    <row r="597" spans="18:18" ht="15.75" customHeight="1">
      <c r="R597" s="30"/>
    </row>
    <row r="598" spans="18:18" ht="15.75" customHeight="1">
      <c r="R598" s="30"/>
    </row>
    <row r="599" spans="18:18" ht="15.75" customHeight="1">
      <c r="R599" s="30"/>
    </row>
    <row r="600" spans="18:18" ht="15.75" customHeight="1">
      <c r="R600" s="30"/>
    </row>
    <row r="601" spans="18:18" ht="15.75" customHeight="1">
      <c r="R601" s="30"/>
    </row>
    <row r="602" spans="18:18" ht="15.75" customHeight="1">
      <c r="R602" s="30"/>
    </row>
    <row r="603" spans="18:18" ht="15.75" customHeight="1">
      <c r="R603" s="30"/>
    </row>
    <row r="604" spans="18:18" ht="15.75" customHeight="1">
      <c r="R604" s="30"/>
    </row>
    <row r="605" spans="18:18" ht="15.75" customHeight="1">
      <c r="R605" s="30"/>
    </row>
    <row r="606" spans="18:18" ht="15.75" customHeight="1">
      <c r="R606" s="30"/>
    </row>
    <row r="607" spans="18:18" ht="15.75" customHeight="1">
      <c r="R607" s="30"/>
    </row>
    <row r="608" spans="18:18" ht="15.75" customHeight="1">
      <c r="R608" s="30"/>
    </row>
    <row r="609" spans="18:18" ht="15.75" customHeight="1">
      <c r="R609" s="30"/>
    </row>
    <row r="610" spans="18:18" ht="15.75" customHeight="1">
      <c r="R610" s="30"/>
    </row>
    <row r="611" spans="18:18" ht="15.75" customHeight="1">
      <c r="R611" s="30"/>
    </row>
    <row r="612" spans="18:18" ht="15.75" customHeight="1">
      <c r="R612" s="30"/>
    </row>
    <row r="613" spans="18:18" ht="15.75" customHeight="1">
      <c r="R613" s="30"/>
    </row>
    <row r="614" spans="18:18" ht="15.75" customHeight="1">
      <c r="R614" s="30"/>
    </row>
    <row r="615" spans="18:18" ht="15.75" customHeight="1">
      <c r="R615" s="30"/>
    </row>
    <row r="616" spans="18:18" ht="15.75" customHeight="1">
      <c r="R616" s="30"/>
    </row>
    <row r="617" spans="18:18" ht="15.75" customHeight="1">
      <c r="R617" s="30"/>
    </row>
    <row r="618" spans="18:18" ht="15.75" customHeight="1">
      <c r="R618" s="30"/>
    </row>
    <row r="619" spans="18:18" ht="15.75" customHeight="1">
      <c r="R619" s="30"/>
    </row>
    <row r="620" spans="18:18" ht="15.75" customHeight="1">
      <c r="R620" s="30"/>
    </row>
    <row r="621" spans="18:18" ht="15.75" customHeight="1">
      <c r="R621" s="30"/>
    </row>
    <row r="622" spans="18:18" ht="15.75" customHeight="1">
      <c r="R622" s="30"/>
    </row>
    <row r="623" spans="18:18" ht="15.75" customHeight="1">
      <c r="R623" s="30"/>
    </row>
    <row r="624" spans="18:18" ht="15.75" customHeight="1">
      <c r="R624" s="30"/>
    </row>
    <row r="625" spans="18:18" ht="15.75" customHeight="1">
      <c r="R625" s="30"/>
    </row>
    <row r="626" spans="18:18" ht="15.75" customHeight="1">
      <c r="R626" s="30"/>
    </row>
    <row r="627" spans="18:18" ht="15.75" customHeight="1">
      <c r="R627" s="30"/>
    </row>
    <row r="628" spans="18:18" ht="15.75" customHeight="1">
      <c r="R628" s="30"/>
    </row>
    <row r="629" spans="18:18" ht="15.75" customHeight="1">
      <c r="R629" s="30"/>
    </row>
    <row r="630" spans="18:18" ht="15.75" customHeight="1">
      <c r="R630" s="30"/>
    </row>
    <row r="631" spans="18:18" ht="15.75" customHeight="1">
      <c r="R631" s="30"/>
    </row>
    <row r="632" spans="18:18" ht="15.75" customHeight="1">
      <c r="R632" s="30"/>
    </row>
    <row r="633" spans="18:18" ht="15.75" customHeight="1">
      <c r="R633" s="30"/>
    </row>
    <row r="634" spans="18:18" ht="15.75" customHeight="1">
      <c r="R634" s="30"/>
    </row>
    <row r="635" spans="18:18" ht="15.75" customHeight="1">
      <c r="R635" s="30"/>
    </row>
    <row r="636" spans="18:18" ht="15.75" customHeight="1">
      <c r="R636" s="30"/>
    </row>
    <row r="637" spans="18:18" ht="15.75" customHeight="1">
      <c r="R637" s="30"/>
    </row>
    <row r="638" spans="18:18" ht="15.75" customHeight="1">
      <c r="R638" s="30"/>
    </row>
    <row r="639" spans="18:18" ht="15.75" customHeight="1">
      <c r="R639" s="30"/>
    </row>
    <row r="640" spans="18:18" ht="15.75" customHeight="1">
      <c r="R640" s="30"/>
    </row>
    <row r="641" spans="18:18" ht="15.75" customHeight="1">
      <c r="R641" s="30"/>
    </row>
    <row r="642" spans="18:18" ht="15.75" customHeight="1">
      <c r="R642" s="30"/>
    </row>
    <row r="643" spans="18:18" ht="15.75" customHeight="1">
      <c r="R643" s="30"/>
    </row>
    <row r="644" spans="18:18" ht="15.75" customHeight="1">
      <c r="R644" s="30"/>
    </row>
    <row r="645" spans="18:18" ht="15.75" customHeight="1">
      <c r="R645" s="30"/>
    </row>
    <row r="646" spans="18:18" ht="15.75" customHeight="1">
      <c r="R646" s="30"/>
    </row>
    <row r="647" spans="18:18" ht="15.75" customHeight="1">
      <c r="R647" s="30"/>
    </row>
    <row r="648" spans="18:18" ht="15.75" customHeight="1">
      <c r="R648" s="30"/>
    </row>
    <row r="649" spans="18:18" ht="15.75" customHeight="1">
      <c r="R649" s="30"/>
    </row>
    <row r="650" spans="18:18" ht="15.75" customHeight="1">
      <c r="R650" s="30"/>
    </row>
    <row r="651" spans="18:18" ht="15.75" customHeight="1">
      <c r="R651" s="30"/>
    </row>
    <row r="652" spans="18:18" ht="15.75" customHeight="1">
      <c r="R652" s="30"/>
    </row>
    <row r="653" spans="18:18" ht="15.75" customHeight="1">
      <c r="R653" s="30"/>
    </row>
    <row r="654" spans="18:18" ht="15.75" customHeight="1">
      <c r="R654" s="30"/>
    </row>
    <row r="655" spans="18:18" ht="15.75" customHeight="1">
      <c r="R655" s="30"/>
    </row>
    <row r="656" spans="18:18" ht="15.75" customHeight="1">
      <c r="R656" s="30"/>
    </row>
    <row r="657" spans="18:18" ht="15.75" customHeight="1">
      <c r="R657" s="30"/>
    </row>
    <row r="658" spans="18:18" ht="15.75" customHeight="1">
      <c r="R658" s="30"/>
    </row>
    <row r="659" spans="18:18" ht="15.75" customHeight="1">
      <c r="R659" s="30"/>
    </row>
    <row r="660" spans="18:18" ht="15.75" customHeight="1">
      <c r="R660" s="30"/>
    </row>
    <row r="661" spans="18:18" ht="15.75" customHeight="1">
      <c r="R661" s="30"/>
    </row>
    <row r="662" spans="18:18" ht="15.75" customHeight="1">
      <c r="R662" s="30"/>
    </row>
    <row r="663" spans="18:18" ht="15.75" customHeight="1">
      <c r="R663" s="30"/>
    </row>
    <row r="664" spans="18:18" ht="15.75" customHeight="1">
      <c r="R664" s="30"/>
    </row>
    <row r="665" spans="18:18" ht="15.75" customHeight="1">
      <c r="R665" s="30"/>
    </row>
    <row r="666" spans="18:18" ht="15.75" customHeight="1">
      <c r="R666" s="30"/>
    </row>
    <row r="667" spans="18:18" ht="15.75" customHeight="1">
      <c r="R667" s="30"/>
    </row>
    <row r="668" spans="18:18" ht="15.75" customHeight="1">
      <c r="R668" s="30"/>
    </row>
    <row r="669" spans="18:18" ht="15.75" customHeight="1">
      <c r="R669" s="30"/>
    </row>
    <row r="670" spans="18:18" ht="15.75" customHeight="1">
      <c r="R670" s="30"/>
    </row>
    <row r="671" spans="18:18" ht="15.75" customHeight="1">
      <c r="R671" s="30"/>
    </row>
    <row r="672" spans="18:18" ht="15.75" customHeight="1">
      <c r="R672" s="30"/>
    </row>
    <row r="673" spans="18:18" ht="15.75" customHeight="1">
      <c r="R673" s="30"/>
    </row>
    <row r="674" spans="18:18" ht="15.75" customHeight="1">
      <c r="R674" s="30"/>
    </row>
    <row r="675" spans="18:18" ht="15.75" customHeight="1">
      <c r="R675" s="30"/>
    </row>
    <row r="676" spans="18:18" ht="15.75" customHeight="1">
      <c r="R676" s="30"/>
    </row>
    <row r="677" spans="18:18" ht="15.75" customHeight="1">
      <c r="R677" s="30"/>
    </row>
    <row r="678" spans="18:18" ht="15.75" customHeight="1">
      <c r="R678" s="30"/>
    </row>
    <row r="679" spans="18:18" ht="15.75" customHeight="1">
      <c r="R679" s="30"/>
    </row>
    <row r="680" spans="18:18" ht="15.75" customHeight="1">
      <c r="R680" s="30"/>
    </row>
    <row r="681" spans="18:18" ht="15.75" customHeight="1">
      <c r="R681" s="30"/>
    </row>
    <row r="682" spans="18:18" ht="15.75" customHeight="1">
      <c r="R682" s="30"/>
    </row>
    <row r="683" spans="18:18" ht="15.75" customHeight="1">
      <c r="R683" s="30"/>
    </row>
    <row r="684" spans="18:18" ht="15.75" customHeight="1">
      <c r="R684" s="30"/>
    </row>
    <row r="685" spans="18:18" ht="15.75" customHeight="1">
      <c r="R685" s="30"/>
    </row>
    <row r="686" spans="18:18" ht="15.75" customHeight="1">
      <c r="R686" s="30"/>
    </row>
    <row r="687" spans="18:18" ht="15.75" customHeight="1">
      <c r="R687" s="30"/>
    </row>
    <row r="688" spans="18:18" ht="15.75" customHeight="1">
      <c r="R688" s="30"/>
    </row>
    <row r="689" spans="18:18" ht="15.75" customHeight="1">
      <c r="R689" s="30"/>
    </row>
    <row r="690" spans="18:18" ht="15.75" customHeight="1">
      <c r="R690" s="30"/>
    </row>
    <row r="691" spans="18:18" ht="15.75" customHeight="1">
      <c r="R691" s="30"/>
    </row>
    <row r="692" spans="18:18" ht="15.75" customHeight="1">
      <c r="R692" s="30"/>
    </row>
    <row r="693" spans="18:18" ht="15.75" customHeight="1">
      <c r="R693" s="30"/>
    </row>
    <row r="694" spans="18:18" ht="15.75" customHeight="1">
      <c r="R694" s="30"/>
    </row>
    <row r="695" spans="18:18" ht="15.75" customHeight="1">
      <c r="R695" s="30"/>
    </row>
    <row r="696" spans="18:18" ht="15.75" customHeight="1">
      <c r="R696" s="30"/>
    </row>
    <row r="697" spans="18:18" ht="15.75" customHeight="1">
      <c r="R697" s="30"/>
    </row>
    <row r="698" spans="18:18" ht="15.75" customHeight="1">
      <c r="R698" s="30"/>
    </row>
    <row r="699" spans="18:18" ht="15.75" customHeight="1">
      <c r="R699" s="30"/>
    </row>
    <row r="700" spans="18:18" ht="15.75" customHeight="1">
      <c r="R700" s="30"/>
    </row>
    <row r="701" spans="18:18" ht="15.75" customHeight="1">
      <c r="R701" s="30"/>
    </row>
    <row r="702" spans="18:18" ht="15.75" customHeight="1">
      <c r="R702" s="30"/>
    </row>
    <row r="703" spans="18:18" ht="15.75" customHeight="1">
      <c r="R703" s="30"/>
    </row>
    <row r="704" spans="18:18" ht="15.75" customHeight="1">
      <c r="R704" s="30"/>
    </row>
    <row r="705" spans="18:18" ht="15.75" customHeight="1">
      <c r="R705" s="30"/>
    </row>
    <row r="706" spans="18:18" ht="15.75" customHeight="1">
      <c r="R706" s="30"/>
    </row>
    <row r="707" spans="18:18" ht="15.75" customHeight="1">
      <c r="R707" s="30"/>
    </row>
    <row r="708" spans="18:18" ht="15.75" customHeight="1">
      <c r="R708" s="30"/>
    </row>
    <row r="709" spans="18:18" ht="15.75" customHeight="1">
      <c r="R709" s="30"/>
    </row>
    <row r="710" spans="18:18" ht="15.75" customHeight="1">
      <c r="R710" s="30"/>
    </row>
    <row r="711" spans="18:18" ht="15.75" customHeight="1">
      <c r="R711" s="30"/>
    </row>
    <row r="712" spans="18:18" ht="15.75" customHeight="1">
      <c r="R712" s="30"/>
    </row>
    <row r="713" spans="18:18" ht="15.75" customHeight="1">
      <c r="R713" s="30"/>
    </row>
    <row r="714" spans="18:18" ht="15.75" customHeight="1">
      <c r="R714" s="30"/>
    </row>
    <row r="715" spans="18:18" ht="15.75" customHeight="1">
      <c r="R715" s="30"/>
    </row>
    <row r="716" spans="18:18" ht="15.75" customHeight="1">
      <c r="R716" s="30"/>
    </row>
    <row r="717" spans="18:18" ht="15.75" customHeight="1">
      <c r="R717" s="30"/>
    </row>
    <row r="718" spans="18:18" ht="15.75" customHeight="1">
      <c r="R718" s="30"/>
    </row>
    <row r="719" spans="18:18" ht="15.75" customHeight="1">
      <c r="R719" s="30"/>
    </row>
    <row r="720" spans="18:18" ht="15.75" customHeight="1">
      <c r="R720" s="30"/>
    </row>
    <row r="721" spans="18:18" ht="15.75" customHeight="1">
      <c r="R721" s="30"/>
    </row>
    <row r="722" spans="18:18" ht="15.75" customHeight="1">
      <c r="R722" s="30"/>
    </row>
    <row r="723" spans="18:18" ht="15.75" customHeight="1">
      <c r="R723" s="30"/>
    </row>
    <row r="724" spans="18:18" ht="15.75" customHeight="1">
      <c r="R724" s="30"/>
    </row>
    <row r="725" spans="18:18" ht="15.75" customHeight="1">
      <c r="R725" s="30"/>
    </row>
    <row r="726" spans="18:18" ht="15.75" customHeight="1">
      <c r="R726" s="30"/>
    </row>
    <row r="727" spans="18:18" ht="15.75" customHeight="1">
      <c r="R727" s="30"/>
    </row>
    <row r="728" spans="18:18" ht="15.75" customHeight="1">
      <c r="R728" s="30"/>
    </row>
    <row r="729" spans="18:18" ht="15.75" customHeight="1">
      <c r="R729" s="30"/>
    </row>
    <row r="730" spans="18:18" ht="15.75" customHeight="1">
      <c r="R730" s="30"/>
    </row>
    <row r="731" spans="18:18" ht="15.75" customHeight="1">
      <c r="R731" s="30"/>
    </row>
    <row r="732" spans="18:18" ht="15.75" customHeight="1">
      <c r="R732" s="30"/>
    </row>
    <row r="733" spans="18:18" ht="15.75" customHeight="1">
      <c r="R733" s="30"/>
    </row>
    <row r="734" spans="18:18" ht="15.75" customHeight="1">
      <c r="R734" s="30"/>
    </row>
    <row r="735" spans="18:18" ht="15.75" customHeight="1">
      <c r="R735" s="30"/>
    </row>
    <row r="736" spans="18:18" ht="15.75" customHeight="1">
      <c r="R736" s="30"/>
    </row>
    <row r="737" spans="18:18" ht="15.75" customHeight="1">
      <c r="R737" s="30"/>
    </row>
    <row r="738" spans="18:18" ht="15.75" customHeight="1">
      <c r="R738" s="30"/>
    </row>
    <row r="739" spans="18:18" ht="15.75" customHeight="1">
      <c r="R739" s="30"/>
    </row>
    <row r="740" spans="18:18" ht="15.75" customHeight="1">
      <c r="R740" s="30"/>
    </row>
    <row r="741" spans="18:18" ht="15.75" customHeight="1">
      <c r="R741" s="30"/>
    </row>
    <row r="742" spans="18:18" ht="15.75" customHeight="1">
      <c r="R742" s="30"/>
    </row>
    <row r="743" spans="18:18" ht="15.75" customHeight="1">
      <c r="R743" s="30"/>
    </row>
    <row r="744" spans="18:18" ht="15.75" customHeight="1">
      <c r="R744" s="30"/>
    </row>
    <row r="745" spans="18:18" ht="15.75" customHeight="1">
      <c r="R745" s="30"/>
    </row>
    <row r="746" spans="18:18" ht="15.75" customHeight="1">
      <c r="R746" s="30"/>
    </row>
    <row r="747" spans="18:18" ht="15.75" customHeight="1">
      <c r="R747" s="30"/>
    </row>
    <row r="748" spans="18:18" ht="15.75" customHeight="1">
      <c r="R748" s="30"/>
    </row>
    <row r="749" spans="18:18" ht="15.75" customHeight="1">
      <c r="R749" s="30"/>
    </row>
    <row r="750" spans="18:18" ht="15.75" customHeight="1">
      <c r="R750" s="30"/>
    </row>
    <row r="751" spans="18:18" ht="15.75" customHeight="1">
      <c r="R751" s="30"/>
    </row>
    <row r="752" spans="18:18" ht="15.75" customHeight="1">
      <c r="R752" s="30"/>
    </row>
    <row r="753" spans="18:18" ht="15.75" customHeight="1">
      <c r="R753" s="30"/>
    </row>
    <row r="754" spans="18:18" ht="15.75" customHeight="1">
      <c r="R754" s="30"/>
    </row>
    <row r="755" spans="18:18" ht="15.75" customHeight="1">
      <c r="R755" s="30"/>
    </row>
    <row r="756" spans="18:18" ht="15.75" customHeight="1">
      <c r="R756" s="30"/>
    </row>
    <row r="757" spans="18:18" ht="15.75" customHeight="1">
      <c r="R757" s="30"/>
    </row>
    <row r="758" spans="18:18" ht="15.75" customHeight="1">
      <c r="R758" s="30"/>
    </row>
    <row r="759" spans="18:18" ht="15.75" customHeight="1">
      <c r="R759" s="30"/>
    </row>
    <row r="760" spans="18:18" ht="15.75" customHeight="1">
      <c r="R760" s="30"/>
    </row>
    <row r="761" spans="18:18" ht="15.75" customHeight="1">
      <c r="R761" s="30"/>
    </row>
    <row r="762" spans="18:18" ht="15.75" customHeight="1">
      <c r="R762" s="30"/>
    </row>
    <row r="763" spans="18:18" ht="15.75" customHeight="1">
      <c r="R763" s="30"/>
    </row>
    <row r="764" spans="18:18" ht="15.75" customHeight="1">
      <c r="R764" s="30"/>
    </row>
    <row r="765" spans="18:18" ht="15.75" customHeight="1">
      <c r="R765" s="30"/>
    </row>
    <row r="766" spans="18:18" ht="15.75" customHeight="1">
      <c r="R766" s="30"/>
    </row>
    <row r="767" spans="18:18" ht="15.75" customHeight="1">
      <c r="R767" s="30"/>
    </row>
    <row r="768" spans="18:18" ht="15.75" customHeight="1">
      <c r="R768" s="30"/>
    </row>
    <row r="769" spans="18:18" ht="15.75" customHeight="1">
      <c r="R769" s="30"/>
    </row>
    <row r="770" spans="18:18" ht="15.75" customHeight="1">
      <c r="R770" s="30"/>
    </row>
    <row r="771" spans="18:18" ht="15.75" customHeight="1">
      <c r="R771" s="30"/>
    </row>
    <row r="772" spans="18:18" ht="15.75" customHeight="1">
      <c r="R772" s="30"/>
    </row>
    <row r="773" spans="18:18" ht="15.75" customHeight="1">
      <c r="R773" s="30"/>
    </row>
    <row r="774" spans="18:18" ht="15.75" customHeight="1">
      <c r="R774" s="30"/>
    </row>
    <row r="775" spans="18:18" ht="15.75" customHeight="1">
      <c r="R775" s="30"/>
    </row>
    <row r="776" spans="18:18" ht="15.75" customHeight="1">
      <c r="R776" s="30"/>
    </row>
    <row r="777" spans="18:18" ht="15.75" customHeight="1">
      <c r="R777" s="30"/>
    </row>
    <row r="778" spans="18:18" ht="15.75" customHeight="1">
      <c r="R778" s="30"/>
    </row>
    <row r="779" spans="18:18" ht="15.75" customHeight="1">
      <c r="R779" s="30"/>
    </row>
    <row r="780" spans="18:18" ht="15.75" customHeight="1">
      <c r="R780" s="30"/>
    </row>
    <row r="781" spans="18:18" ht="15.75" customHeight="1">
      <c r="R781" s="30"/>
    </row>
    <row r="782" spans="18:18" ht="15.75" customHeight="1">
      <c r="R782" s="30"/>
    </row>
    <row r="783" spans="18:18" ht="15.75" customHeight="1">
      <c r="R783" s="30"/>
    </row>
    <row r="784" spans="18:18" ht="15.75" customHeight="1">
      <c r="R784" s="30"/>
    </row>
    <row r="785" spans="18:18" ht="15.75" customHeight="1">
      <c r="R785" s="30"/>
    </row>
    <row r="786" spans="18:18" ht="15.75" customHeight="1">
      <c r="R786" s="30"/>
    </row>
    <row r="787" spans="18:18" ht="15.75" customHeight="1">
      <c r="R787" s="30"/>
    </row>
    <row r="788" spans="18:18" ht="15.75" customHeight="1">
      <c r="R788" s="30"/>
    </row>
    <row r="789" spans="18:18" ht="15.75" customHeight="1">
      <c r="R789" s="30"/>
    </row>
    <row r="790" spans="18:18" ht="15.75" customHeight="1">
      <c r="R790" s="30"/>
    </row>
    <row r="791" spans="18:18" ht="15.75" customHeight="1">
      <c r="R791" s="30"/>
    </row>
    <row r="792" spans="18:18" ht="15.75" customHeight="1">
      <c r="R792" s="30"/>
    </row>
    <row r="793" spans="18:18" ht="15.75" customHeight="1">
      <c r="R793" s="30"/>
    </row>
    <row r="794" spans="18:18" ht="15.75" customHeight="1">
      <c r="R794" s="30"/>
    </row>
    <row r="795" spans="18:18" ht="15.75" customHeight="1">
      <c r="R795" s="30"/>
    </row>
    <row r="796" spans="18:18" ht="15.75" customHeight="1">
      <c r="R796" s="30"/>
    </row>
    <row r="797" spans="18:18" ht="15.75" customHeight="1">
      <c r="R797" s="30"/>
    </row>
    <row r="798" spans="18:18" ht="15.75" customHeight="1">
      <c r="R798" s="30"/>
    </row>
    <row r="799" spans="18:18" ht="15.75" customHeight="1">
      <c r="R799" s="30"/>
    </row>
    <row r="800" spans="18:18" ht="15.75" customHeight="1">
      <c r="R800" s="30"/>
    </row>
    <row r="801" spans="18:18" ht="15.75" customHeight="1">
      <c r="R801" s="30"/>
    </row>
    <row r="802" spans="18:18" ht="15.75" customHeight="1">
      <c r="R802" s="30"/>
    </row>
    <row r="803" spans="18:18" ht="15.75" customHeight="1">
      <c r="R803" s="30"/>
    </row>
    <row r="804" spans="18:18" ht="15.75" customHeight="1">
      <c r="R804" s="30"/>
    </row>
    <row r="805" spans="18:18" ht="15.75" customHeight="1">
      <c r="R805" s="30"/>
    </row>
    <row r="806" spans="18:18" ht="15.75" customHeight="1">
      <c r="R806" s="30"/>
    </row>
    <row r="807" spans="18:18" ht="15.75" customHeight="1">
      <c r="R807" s="30"/>
    </row>
    <row r="808" spans="18:18" ht="15.75" customHeight="1">
      <c r="R808" s="30"/>
    </row>
    <row r="809" spans="18:18" ht="15.75" customHeight="1">
      <c r="R809" s="30"/>
    </row>
    <row r="810" spans="18:18" ht="15.75" customHeight="1">
      <c r="R810" s="30"/>
    </row>
    <row r="811" spans="18:18" ht="15.75" customHeight="1">
      <c r="R811" s="30"/>
    </row>
    <row r="812" spans="18:18" ht="15.75" customHeight="1">
      <c r="R812" s="30"/>
    </row>
    <row r="813" spans="18:18" ht="15.75" customHeight="1">
      <c r="R813" s="30"/>
    </row>
    <row r="814" spans="18:18" ht="15.75" customHeight="1">
      <c r="R814" s="30"/>
    </row>
    <row r="815" spans="18:18" ht="15.75" customHeight="1">
      <c r="R815" s="30"/>
    </row>
    <row r="816" spans="18:18" ht="15.75" customHeight="1">
      <c r="R816" s="30"/>
    </row>
    <row r="817" spans="18:18" ht="15.75" customHeight="1">
      <c r="R817" s="30"/>
    </row>
    <row r="818" spans="18:18" ht="15.75" customHeight="1">
      <c r="R818" s="30"/>
    </row>
    <row r="819" spans="18:18" ht="15.75" customHeight="1">
      <c r="R819" s="30"/>
    </row>
    <row r="820" spans="18:18" ht="15.75" customHeight="1">
      <c r="R820" s="30"/>
    </row>
    <row r="821" spans="18:18" ht="15.75" customHeight="1">
      <c r="R821" s="30"/>
    </row>
    <row r="822" spans="18:18" ht="15.75" customHeight="1">
      <c r="R822" s="30"/>
    </row>
    <row r="823" spans="18:18" ht="15.75" customHeight="1">
      <c r="R823" s="30"/>
    </row>
    <row r="824" spans="18:18" ht="15.75" customHeight="1">
      <c r="R824" s="30"/>
    </row>
    <row r="825" spans="18:18" ht="15.75" customHeight="1">
      <c r="R825" s="30"/>
    </row>
    <row r="826" spans="18:18" ht="15.75" customHeight="1">
      <c r="R826" s="30"/>
    </row>
    <row r="827" spans="18:18" ht="15.75" customHeight="1">
      <c r="R827" s="30"/>
    </row>
    <row r="828" spans="18:18" ht="15.75" customHeight="1">
      <c r="R828" s="30"/>
    </row>
    <row r="829" spans="18:18" ht="15.75" customHeight="1">
      <c r="R829" s="30"/>
    </row>
    <row r="830" spans="18:18" ht="15.75" customHeight="1">
      <c r="R830" s="30"/>
    </row>
    <row r="831" spans="18:18" ht="15.75" customHeight="1">
      <c r="R831" s="30"/>
    </row>
    <row r="832" spans="18:18" ht="15.75" customHeight="1">
      <c r="R832" s="30"/>
    </row>
    <row r="833" spans="18:18" ht="15.75" customHeight="1">
      <c r="R833" s="30"/>
    </row>
    <row r="834" spans="18:18" ht="15.75" customHeight="1">
      <c r="R834" s="30"/>
    </row>
    <row r="835" spans="18:18" ht="15.75" customHeight="1">
      <c r="R835" s="30"/>
    </row>
    <row r="836" spans="18:18" ht="15.75" customHeight="1">
      <c r="R836" s="30"/>
    </row>
    <row r="837" spans="18:18" ht="15.75" customHeight="1">
      <c r="R837" s="30"/>
    </row>
    <row r="838" spans="18:18" ht="15.75" customHeight="1">
      <c r="R838" s="30"/>
    </row>
    <row r="839" spans="18:18" ht="15.75" customHeight="1">
      <c r="R839" s="30"/>
    </row>
    <row r="840" spans="18:18" ht="15.75" customHeight="1">
      <c r="R840" s="30"/>
    </row>
    <row r="841" spans="18:18" ht="15.75" customHeight="1">
      <c r="R841" s="30"/>
    </row>
    <row r="842" spans="18:18" ht="15.75" customHeight="1">
      <c r="R842" s="30"/>
    </row>
    <row r="843" spans="18:18" ht="15.75" customHeight="1">
      <c r="R843" s="30"/>
    </row>
    <row r="844" spans="18:18" ht="15.75" customHeight="1">
      <c r="R844" s="30"/>
    </row>
    <row r="845" spans="18:18" ht="15.75" customHeight="1">
      <c r="R845" s="30"/>
    </row>
    <row r="846" spans="18:18" ht="15.75" customHeight="1">
      <c r="R846" s="30"/>
    </row>
    <row r="847" spans="18:18" ht="15.75" customHeight="1">
      <c r="R847" s="30"/>
    </row>
    <row r="848" spans="18:18" ht="15.75" customHeight="1">
      <c r="R848" s="30"/>
    </row>
    <row r="849" spans="18:18" ht="15.75" customHeight="1">
      <c r="R849" s="30"/>
    </row>
    <row r="850" spans="18:18" ht="15.75" customHeight="1">
      <c r="R850" s="30"/>
    </row>
    <row r="851" spans="18:18" ht="15.75" customHeight="1">
      <c r="R851" s="30"/>
    </row>
    <row r="852" spans="18:18" ht="15.75" customHeight="1">
      <c r="R852" s="30"/>
    </row>
    <row r="853" spans="18:18" ht="15.75" customHeight="1">
      <c r="R853" s="30"/>
    </row>
    <row r="854" spans="18:18" ht="15.75" customHeight="1">
      <c r="R854" s="30"/>
    </row>
    <row r="855" spans="18:18" ht="15.75" customHeight="1">
      <c r="R855" s="30"/>
    </row>
    <row r="856" spans="18:18" ht="15.75" customHeight="1">
      <c r="R856" s="30"/>
    </row>
    <row r="857" spans="18:18" ht="15.75" customHeight="1">
      <c r="R857" s="30"/>
    </row>
    <row r="858" spans="18:18" ht="15.75" customHeight="1">
      <c r="R858" s="30"/>
    </row>
    <row r="859" spans="18:18" ht="15.75" customHeight="1">
      <c r="R859" s="30"/>
    </row>
    <row r="860" spans="18:18" ht="15.75" customHeight="1">
      <c r="R860" s="30"/>
    </row>
    <row r="861" spans="18:18" ht="15.75" customHeight="1">
      <c r="R861" s="30"/>
    </row>
    <row r="862" spans="18:18" ht="15.75" customHeight="1">
      <c r="R862" s="30"/>
    </row>
    <row r="863" spans="18:18" ht="15.75" customHeight="1">
      <c r="R863" s="30"/>
    </row>
    <row r="864" spans="18:18" ht="15.75" customHeight="1">
      <c r="R864" s="30"/>
    </row>
    <row r="865" spans="18:18" ht="15.75" customHeight="1">
      <c r="R865" s="30"/>
    </row>
    <row r="866" spans="18:18" ht="15.75" customHeight="1">
      <c r="R866" s="30"/>
    </row>
    <row r="867" spans="18:18" ht="15.75" customHeight="1">
      <c r="R867" s="30"/>
    </row>
    <row r="868" spans="18:18" ht="15.75" customHeight="1">
      <c r="R868" s="30"/>
    </row>
    <row r="869" spans="18:18" ht="15.75" customHeight="1">
      <c r="R869" s="30"/>
    </row>
    <row r="870" spans="18:18" ht="15.75" customHeight="1">
      <c r="R870" s="30"/>
    </row>
    <row r="871" spans="18:18" ht="15.75" customHeight="1">
      <c r="R871" s="30"/>
    </row>
    <row r="872" spans="18:18" ht="15.75" customHeight="1">
      <c r="R872" s="30"/>
    </row>
    <row r="873" spans="18:18" ht="15.75" customHeight="1">
      <c r="R873" s="30"/>
    </row>
    <row r="874" spans="18:18" ht="15.75" customHeight="1">
      <c r="R874" s="30"/>
    </row>
    <row r="875" spans="18:18" ht="15.75" customHeight="1">
      <c r="R875" s="30"/>
    </row>
    <row r="876" spans="18:18" ht="15.75" customHeight="1">
      <c r="R876" s="30"/>
    </row>
    <row r="877" spans="18:18" ht="15.75" customHeight="1">
      <c r="R877" s="30"/>
    </row>
    <row r="878" spans="18:18" ht="15.75" customHeight="1">
      <c r="R878" s="30"/>
    </row>
    <row r="879" spans="18:18" ht="15.75" customHeight="1">
      <c r="R879" s="30"/>
    </row>
    <row r="880" spans="18:18" ht="15.75" customHeight="1">
      <c r="R880" s="30"/>
    </row>
    <row r="881" spans="18:18" ht="15.75" customHeight="1">
      <c r="R881" s="30"/>
    </row>
    <row r="882" spans="18:18" ht="15.75" customHeight="1">
      <c r="R882" s="30"/>
    </row>
    <row r="883" spans="18:18" ht="15.75" customHeight="1">
      <c r="R883" s="30"/>
    </row>
    <row r="884" spans="18:18" ht="15.75" customHeight="1">
      <c r="R884" s="30"/>
    </row>
    <row r="885" spans="18:18" ht="15.75" customHeight="1">
      <c r="R885" s="30"/>
    </row>
    <row r="886" spans="18:18" ht="15.75" customHeight="1">
      <c r="R886" s="30"/>
    </row>
    <row r="887" spans="18:18" ht="15.75" customHeight="1">
      <c r="R887" s="30"/>
    </row>
    <row r="888" spans="18:18" ht="15.75" customHeight="1">
      <c r="R888" s="30"/>
    </row>
    <row r="889" spans="18:18" ht="15.75" customHeight="1">
      <c r="R889" s="30"/>
    </row>
    <row r="890" spans="18:18" ht="15.75" customHeight="1">
      <c r="R890" s="30"/>
    </row>
    <row r="891" spans="18:18" ht="15.75" customHeight="1">
      <c r="R891" s="30"/>
    </row>
    <row r="892" spans="18:18" ht="15.75" customHeight="1">
      <c r="R892" s="30"/>
    </row>
    <row r="893" spans="18:18" ht="15.75" customHeight="1">
      <c r="R893" s="30"/>
    </row>
    <row r="894" spans="18:18" ht="15.75" customHeight="1">
      <c r="R894" s="30"/>
    </row>
    <row r="895" spans="18:18" ht="15.75" customHeight="1">
      <c r="R895" s="30"/>
    </row>
    <row r="896" spans="18:18" ht="15.75" customHeight="1">
      <c r="R896" s="30"/>
    </row>
    <row r="897" spans="18:18" ht="15.75" customHeight="1">
      <c r="R897" s="30"/>
    </row>
    <row r="898" spans="18:18" ht="15.75" customHeight="1">
      <c r="R898" s="30"/>
    </row>
    <row r="899" spans="18:18" ht="15.75" customHeight="1">
      <c r="R899" s="30"/>
    </row>
    <row r="900" spans="18:18" ht="15.75" customHeight="1">
      <c r="R900" s="30"/>
    </row>
    <row r="901" spans="18:18" ht="15.75" customHeight="1">
      <c r="R901" s="30"/>
    </row>
    <row r="902" spans="18:18" ht="15.75" customHeight="1">
      <c r="R902" s="30"/>
    </row>
    <row r="903" spans="18:18" ht="15.75" customHeight="1">
      <c r="R903" s="30"/>
    </row>
    <row r="904" spans="18:18" ht="15.75" customHeight="1">
      <c r="R904" s="30"/>
    </row>
    <row r="905" spans="18:18" ht="15.75" customHeight="1">
      <c r="R905" s="30"/>
    </row>
    <row r="906" spans="18:18" ht="15.75" customHeight="1">
      <c r="R906" s="30"/>
    </row>
    <row r="907" spans="18:18" ht="15.75" customHeight="1">
      <c r="R907" s="30"/>
    </row>
    <row r="908" spans="18:18" ht="15.75" customHeight="1">
      <c r="R908" s="30"/>
    </row>
    <row r="909" spans="18:18" ht="15.75" customHeight="1">
      <c r="R909" s="30"/>
    </row>
    <row r="910" spans="18:18" ht="15.75" customHeight="1">
      <c r="R910" s="30"/>
    </row>
    <row r="911" spans="18:18" ht="15.75" customHeight="1">
      <c r="R911" s="30"/>
    </row>
    <row r="912" spans="18:18" ht="15.75" customHeight="1">
      <c r="R912" s="30"/>
    </row>
    <row r="913" spans="18:18" ht="15.75" customHeight="1">
      <c r="R913" s="30"/>
    </row>
    <row r="914" spans="18:18" ht="15.75" customHeight="1">
      <c r="R914" s="30"/>
    </row>
    <row r="915" spans="18:18" ht="15.75" customHeight="1">
      <c r="R915" s="30"/>
    </row>
    <row r="916" spans="18:18" ht="15.75" customHeight="1">
      <c r="R916" s="30"/>
    </row>
    <row r="917" spans="18:18" ht="15.75" customHeight="1">
      <c r="R917" s="30"/>
    </row>
    <row r="918" spans="18:18" ht="15.75" customHeight="1">
      <c r="R918" s="30"/>
    </row>
    <row r="919" spans="18:18" ht="15.75" customHeight="1">
      <c r="R919" s="30"/>
    </row>
    <row r="920" spans="18:18" ht="15.75" customHeight="1">
      <c r="R920" s="30"/>
    </row>
    <row r="921" spans="18:18" ht="15.75" customHeight="1">
      <c r="R921" s="30"/>
    </row>
    <row r="922" spans="18:18" ht="15.75" customHeight="1">
      <c r="R922" s="30"/>
    </row>
    <row r="923" spans="18:18" ht="15.75" customHeight="1">
      <c r="R923" s="30"/>
    </row>
    <row r="924" spans="18:18" ht="15.75" customHeight="1">
      <c r="R924" s="30"/>
    </row>
    <row r="925" spans="18:18" ht="15.75" customHeight="1">
      <c r="R925" s="30"/>
    </row>
    <row r="926" spans="18:18" ht="15.75" customHeight="1">
      <c r="R926" s="30"/>
    </row>
    <row r="927" spans="18:18" ht="15.75" customHeight="1">
      <c r="R927" s="30"/>
    </row>
    <row r="928" spans="18:18" ht="15.75" customHeight="1">
      <c r="R928" s="30"/>
    </row>
    <row r="929" spans="18:18" ht="15.75" customHeight="1">
      <c r="R929" s="30"/>
    </row>
    <row r="930" spans="18:18" ht="15.75" customHeight="1">
      <c r="R930" s="30"/>
    </row>
    <row r="931" spans="18:18" ht="15.75" customHeight="1">
      <c r="R931" s="30"/>
    </row>
    <row r="932" spans="18:18" ht="15.75" customHeight="1">
      <c r="R932" s="30"/>
    </row>
    <row r="933" spans="18:18" ht="15.75" customHeight="1">
      <c r="R933" s="30"/>
    </row>
    <row r="934" spans="18:18" ht="15.75" customHeight="1">
      <c r="R934" s="30"/>
    </row>
    <row r="935" spans="18:18" ht="15.75" customHeight="1">
      <c r="R935" s="30"/>
    </row>
    <row r="936" spans="18:18" ht="15.75" customHeight="1">
      <c r="R936" s="30"/>
    </row>
    <row r="937" spans="18:18" ht="15.75" customHeight="1">
      <c r="R937" s="30"/>
    </row>
    <row r="938" spans="18:18" ht="15.75" customHeight="1">
      <c r="R938" s="30"/>
    </row>
    <row r="939" spans="18:18" ht="15.75" customHeight="1">
      <c r="R939" s="30"/>
    </row>
    <row r="940" spans="18:18" ht="15.75" customHeight="1">
      <c r="R940" s="30"/>
    </row>
    <row r="941" spans="18:18" ht="15.75" customHeight="1">
      <c r="R941" s="30"/>
    </row>
    <row r="942" spans="18:18" ht="15.75" customHeight="1">
      <c r="R942" s="30"/>
    </row>
    <row r="943" spans="18:18" ht="15.75" customHeight="1">
      <c r="R943" s="30"/>
    </row>
    <row r="944" spans="18:18" ht="15.75" customHeight="1">
      <c r="R944" s="30"/>
    </row>
    <row r="945" spans="18:18" ht="15.75" customHeight="1">
      <c r="R945" s="30"/>
    </row>
    <row r="946" spans="18:18" ht="15.75" customHeight="1">
      <c r="R946" s="30"/>
    </row>
    <row r="947" spans="18:18" ht="15.75" customHeight="1">
      <c r="R947" s="30"/>
    </row>
    <row r="948" spans="18:18" ht="15.75" customHeight="1">
      <c r="R948" s="30"/>
    </row>
    <row r="949" spans="18:18" ht="15.75" customHeight="1">
      <c r="R949" s="30"/>
    </row>
    <row r="950" spans="18:18" ht="15.75" customHeight="1">
      <c r="R950" s="30"/>
    </row>
    <row r="951" spans="18:18" ht="15.75" customHeight="1">
      <c r="R951" s="30"/>
    </row>
    <row r="952" spans="18:18" ht="15.75" customHeight="1">
      <c r="R952" s="30"/>
    </row>
    <row r="953" spans="18:18" ht="15.75" customHeight="1">
      <c r="R953" s="30"/>
    </row>
    <row r="954" spans="18:18" ht="15.75" customHeight="1">
      <c r="R954" s="30"/>
    </row>
    <row r="955" spans="18:18" ht="15.75" customHeight="1">
      <c r="R955" s="30"/>
    </row>
    <row r="956" spans="18:18" ht="15.75" customHeight="1">
      <c r="R956" s="30"/>
    </row>
    <row r="957" spans="18:18" ht="15.75" customHeight="1">
      <c r="R957" s="30"/>
    </row>
    <row r="958" spans="18:18" ht="15.75" customHeight="1">
      <c r="R958" s="30"/>
    </row>
    <row r="959" spans="18:18" ht="15.75" customHeight="1">
      <c r="R959" s="30"/>
    </row>
    <row r="960" spans="18:18" ht="15.75" customHeight="1">
      <c r="R960" s="30"/>
    </row>
    <row r="961" spans="18:18" ht="15.75" customHeight="1">
      <c r="R961" s="30"/>
    </row>
    <row r="962" spans="18:18" ht="15.75" customHeight="1">
      <c r="R962" s="30"/>
    </row>
    <row r="963" spans="18:18" ht="15.75" customHeight="1">
      <c r="R963" s="30"/>
    </row>
    <row r="964" spans="18:18" ht="15.75" customHeight="1">
      <c r="R964" s="30"/>
    </row>
    <row r="965" spans="18:18" ht="15.75" customHeight="1">
      <c r="R965" s="30"/>
    </row>
    <row r="966" spans="18:18" ht="15.75" customHeight="1">
      <c r="R966" s="30"/>
    </row>
    <row r="967" spans="18:18" ht="15.75" customHeight="1">
      <c r="R967" s="30"/>
    </row>
    <row r="968" spans="18:18" ht="15.75" customHeight="1">
      <c r="R968" s="30"/>
    </row>
    <row r="969" spans="18:18" ht="15.75" customHeight="1">
      <c r="R969" s="30"/>
    </row>
    <row r="970" spans="18:18" ht="15.75" customHeight="1">
      <c r="R970" s="30"/>
    </row>
    <row r="971" spans="18:18" ht="15.75" customHeight="1">
      <c r="R971" s="30"/>
    </row>
    <row r="972" spans="18:18" ht="15.75" customHeight="1">
      <c r="R972" s="30"/>
    </row>
    <row r="973" spans="18:18" ht="15.75" customHeight="1">
      <c r="R973" s="30"/>
    </row>
    <row r="974" spans="18:18" ht="15.75" customHeight="1">
      <c r="R974" s="30"/>
    </row>
    <row r="975" spans="18:18" ht="15.75" customHeight="1">
      <c r="R975" s="30"/>
    </row>
    <row r="976" spans="18:18" ht="15.75" customHeight="1">
      <c r="R976" s="30"/>
    </row>
    <row r="977" spans="18:18" ht="15.75" customHeight="1">
      <c r="R977" s="30"/>
    </row>
    <row r="978" spans="18:18" ht="15.75" customHeight="1">
      <c r="R978" s="30"/>
    </row>
    <row r="979" spans="18:18" ht="15.75" customHeight="1">
      <c r="R979" s="30"/>
    </row>
    <row r="980" spans="18:18" ht="15.75" customHeight="1">
      <c r="R980" s="30"/>
    </row>
    <row r="981" spans="18:18" ht="15.75" customHeight="1">
      <c r="R981" s="30"/>
    </row>
    <row r="982" spans="18:18" ht="15.75" customHeight="1">
      <c r="R982" s="30"/>
    </row>
    <row r="983" spans="18:18" ht="15.75" customHeight="1">
      <c r="R983" s="30"/>
    </row>
    <row r="984" spans="18:18" ht="15.75" customHeight="1">
      <c r="R984" s="30"/>
    </row>
    <row r="985" spans="18:18" ht="15.75" customHeight="1">
      <c r="R985" s="30"/>
    </row>
    <row r="986" spans="18:18" ht="15.75" customHeight="1">
      <c r="R986" s="30"/>
    </row>
    <row r="987" spans="18:18" ht="15.75" customHeight="1">
      <c r="R987" s="30"/>
    </row>
    <row r="988" spans="18:18" ht="15.75" customHeight="1">
      <c r="R988" s="30"/>
    </row>
    <row r="989" spans="18:18" ht="15.75" customHeight="1">
      <c r="R989" s="30"/>
    </row>
    <row r="990" spans="18:18" ht="15.75" customHeight="1">
      <c r="R990" s="30"/>
    </row>
    <row r="991" spans="18:18" ht="15.75" customHeight="1">
      <c r="R991" s="30"/>
    </row>
    <row r="992" spans="18:18" ht="15.75" customHeight="1">
      <c r="R992" s="30"/>
    </row>
    <row r="993" spans="18:18" ht="15.75" customHeight="1">
      <c r="R993" s="30"/>
    </row>
    <row r="994" spans="18:18" ht="15.75" customHeight="1">
      <c r="R994" s="30"/>
    </row>
    <row r="995" spans="18:18" ht="15.75" customHeight="1">
      <c r="R995" s="30"/>
    </row>
    <row r="996" spans="18:18" ht="15.75" customHeight="1">
      <c r="R996" s="30"/>
    </row>
    <row r="997" spans="18:18" ht="15.75" customHeight="1">
      <c r="R997" s="30"/>
    </row>
    <row r="998" spans="18:18" ht="15.75" customHeight="1">
      <c r="R998" s="30"/>
    </row>
    <row r="999" spans="18:18" ht="15.75" customHeight="1">
      <c r="R999" s="30"/>
    </row>
    <row r="1000" spans="18:18" ht="15.75" customHeight="1">
      <c r="R1000" s="3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2.6640625" defaultRowHeight="15" customHeight="1"/>
  <cols>
    <col min="1" max="1" width="13.33203125" customWidth="1"/>
    <col min="2" max="2" width="19.1640625" customWidth="1"/>
    <col min="3" max="3" width="8" customWidth="1"/>
    <col min="4" max="4" width="7" customWidth="1"/>
    <col min="5" max="5" width="8.6640625" customWidth="1"/>
    <col min="6" max="6" width="9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16.33203125" customWidth="1"/>
    <col min="16" max="16" width="10" customWidth="1"/>
    <col min="17" max="18" width="7.33203125" customWidth="1"/>
    <col min="19" max="19" width="7.1640625" customWidth="1"/>
    <col min="20" max="20" width="11.1640625" customWidth="1"/>
    <col min="21" max="21" width="19.6640625" customWidth="1"/>
    <col min="22" max="22" width="66.664062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6640625" customWidth="1"/>
    <col min="32" max="32" width="10.1640625" customWidth="1"/>
    <col min="33" max="33" width="8.83203125" customWidth="1"/>
  </cols>
  <sheetData>
    <row r="1" spans="1:33" ht="18.75" customHeight="1">
      <c r="A1" s="46" t="str">
        <f ca="1">IFERROR(__xludf.DUMMYFUNCTION("IFERROR(VLOOKUP(B2,IMPORTRANGE(""https://docs.google.com/spreadsheets/d/1x0DhHglkXKoEBOD2MBsuK_EyIr1ouxD2ftIpqOYFa-k/edit?usp=sharing"",""Ubiquitty-SKU-Specific Info!B1:BJ5000""),3,FALSE),"""")"),"6 Ft Lighted Outdoor Extension Cord - 12/3 SJTW Heavy Duty Orange Cable with 3 Prong Grounded Plug for Safety")</f>
        <v>6 Ft Lighted Outdoor Extension Cord - 12/3 SJTW Heavy Duty Orange Cable with 3 Prong Grounded Plug for Safety</v>
      </c>
      <c r="B1" s="47"/>
      <c r="C1" s="48" t="s">
        <v>0</v>
      </c>
      <c r="D1" s="50" t="s">
        <v>1</v>
      </c>
      <c r="E1" s="50" t="s">
        <v>2</v>
      </c>
      <c r="F1" s="52" t="s">
        <v>3</v>
      </c>
      <c r="G1" s="52" t="s">
        <v>4</v>
      </c>
      <c r="H1" s="53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58" t="s">
        <v>10</v>
      </c>
      <c r="N1" s="59" t="s">
        <v>11</v>
      </c>
      <c r="O1" s="50" t="s">
        <v>12</v>
      </c>
      <c r="P1" s="50" t="s">
        <v>13</v>
      </c>
      <c r="Q1" s="57" t="s">
        <v>14</v>
      </c>
      <c r="R1" s="57" t="s">
        <v>15</v>
      </c>
      <c r="S1" s="60" t="s">
        <v>16</v>
      </c>
      <c r="T1" s="62" t="s">
        <v>2006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Info!B1:BJ5000""),2,FALSE),"""")"),"B08NFFP7HL")</f>
        <v>B08NFFP7HL</v>
      </c>
      <c r="B2" s="3" t="s">
        <v>838</v>
      </c>
      <c r="C2" s="49"/>
      <c r="D2" s="49"/>
      <c r="E2" s="51"/>
      <c r="F2" s="49"/>
      <c r="G2" s="49"/>
      <c r="H2" s="54"/>
      <c r="I2" s="49"/>
      <c r="J2" s="49"/>
      <c r="K2" s="54"/>
      <c r="L2" s="54"/>
      <c r="M2" s="54"/>
      <c r="N2" s="49"/>
      <c r="O2" s="49"/>
      <c r="P2" s="51"/>
      <c r="Q2" s="49"/>
      <c r="R2" s="49"/>
      <c r="S2" s="61"/>
      <c r="T2" s="47"/>
      <c r="U2" s="63"/>
      <c r="V2" s="63"/>
      <c r="W2" s="47"/>
      <c r="X2" s="47"/>
      <c r="Y2" s="47"/>
      <c r="Z2" s="47"/>
      <c r="AA2" s="63"/>
      <c r="AB2" s="63"/>
      <c r="AC2" s="63"/>
      <c r="AD2" s="63"/>
      <c r="AE2" s="47"/>
      <c r="AF2" s="47"/>
      <c r="AG2" s="47"/>
    </row>
    <row r="3" spans="1:33" ht="168" customHeight="1">
      <c r="A3" s="55" t="s">
        <v>31</v>
      </c>
      <c r="B3" s="56"/>
      <c r="C3" s="4">
        <f>((AE32+AF32)/0.85)*-1</f>
        <v>8.8051345961176466</v>
      </c>
      <c r="D3" s="5">
        <f>SUM(D4:D99765)</f>
        <v>98</v>
      </c>
      <c r="E3" s="5"/>
      <c r="F3" s="6">
        <f t="shared" ref="F3:G3" si="0">SUM(F4:F99765)</f>
        <v>1485.0600000000002</v>
      </c>
      <c r="G3" s="6">
        <f t="shared" si="0"/>
        <v>-22.939999999999998</v>
      </c>
      <c r="H3" s="7">
        <f>G3/F3*-1</f>
        <v>1.5447187319030877E-2</v>
      </c>
      <c r="I3" s="8">
        <f>J3/F3</f>
        <v>0.3014739148867161</v>
      </c>
      <c r="J3" s="6">
        <f>SUM(J4:J99765)</f>
        <v>447.70685204166665</v>
      </c>
      <c r="K3" s="6">
        <f>J3/D3</f>
        <v>4.5684372657312924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1.5 - April
1.5 - May
1.5 - June
1.5 - July
1.5 - Aug
1.5 - Sept
1.5 - Oct
2 - Nov
1.5 - Dec
 - Jan
 - Feb")</f>
        <v xml:space="preserve"> - March
1.5 - April
1.5 - May
1.5 - June
1.5 - July
1.5 - Aug
1.5 - Sept
1.5 - Oct
2 - Nov
1.5 -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5</v>
      </c>
      <c r="X3" s="7">
        <f>W3/D3</f>
        <v>5.1020408163265307E-2</v>
      </c>
      <c r="Y3" s="6"/>
      <c r="Z3" s="5"/>
      <c r="AA3" s="5"/>
      <c r="AB3" s="5"/>
      <c r="AC3" s="5"/>
      <c r="AD3" s="6">
        <f>SUM(AD4:AD99765)</f>
        <v>-4.5790479583333328</v>
      </c>
      <c r="AE3" s="6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Info!B2:BZ3000""),37,FALSE)),"""")*-1"),-3.2343644067)</f>
        <v>-3.2343644067000001</v>
      </c>
      <c r="AG3" s="6">
        <f>SUM(AG4:AG99765)</f>
        <v>0</v>
      </c>
    </row>
    <row r="4" spans="1:33" ht="15.75" hidden="1" customHeight="1">
      <c r="A4" s="14"/>
      <c r="B4" s="14"/>
      <c r="C4" s="15"/>
      <c r="D4" s="16"/>
      <c r="E4" s="16"/>
      <c r="F4" s="17"/>
      <c r="G4" s="17"/>
      <c r="H4" s="18"/>
      <c r="I4" s="18"/>
      <c r="J4" s="17"/>
      <c r="K4" s="17"/>
      <c r="L4" s="16"/>
      <c r="M4" s="19"/>
      <c r="N4" s="16"/>
      <c r="O4" s="20"/>
      <c r="P4" s="20"/>
      <c r="Q4" s="16"/>
      <c r="R4" s="16"/>
      <c r="S4" s="21"/>
      <c r="T4" s="14"/>
      <c r="U4" s="22"/>
      <c r="V4" s="23"/>
      <c r="W4" s="14"/>
      <c r="X4" s="24"/>
      <c r="Y4" s="25"/>
      <c r="Z4" s="14"/>
      <c r="AA4" s="26"/>
      <c r="AB4" s="27"/>
      <c r="AC4" s="28"/>
      <c r="AD4" s="25"/>
      <c r="AE4" s="25"/>
      <c r="AF4" s="25"/>
      <c r="AG4" s="25"/>
    </row>
    <row r="5" spans="1:33" ht="15.75" hidden="1" customHeight="1">
      <c r="A5" s="14"/>
      <c r="B5" s="14"/>
      <c r="C5" s="15"/>
      <c r="D5" s="16"/>
      <c r="E5" s="16"/>
      <c r="F5" s="29"/>
      <c r="G5" s="29"/>
      <c r="H5" s="18"/>
      <c r="I5" s="18"/>
      <c r="J5" s="17"/>
      <c r="K5" s="17"/>
      <c r="L5" s="16"/>
      <c r="M5" s="19"/>
      <c r="N5" s="16"/>
      <c r="O5" s="20"/>
      <c r="P5" s="20"/>
      <c r="Q5" s="16"/>
      <c r="R5" s="16"/>
      <c r="S5" s="21"/>
      <c r="T5" s="14"/>
      <c r="U5" s="22"/>
      <c r="V5" s="23"/>
      <c r="W5" s="14"/>
      <c r="X5" s="24"/>
      <c r="Y5" s="25"/>
      <c r="Z5" s="14"/>
      <c r="AA5" s="14"/>
      <c r="AB5" s="27"/>
      <c r="AC5" s="28"/>
      <c r="AD5" s="25"/>
      <c r="AE5" s="25"/>
      <c r="AF5" s="25"/>
      <c r="AG5" s="25"/>
    </row>
    <row r="6" spans="1:33" ht="15.75" hidden="1" customHeight="1">
      <c r="A6" s="14"/>
      <c r="B6" s="14"/>
      <c r="C6" s="15"/>
      <c r="D6" s="16"/>
      <c r="E6" s="16"/>
      <c r="F6" s="29"/>
      <c r="G6" s="29"/>
      <c r="H6" s="18"/>
      <c r="I6" s="18"/>
      <c r="J6" s="17"/>
      <c r="K6" s="17"/>
      <c r="L6" s="16"/>
      <c r="M6" s="19"/>
      <c r="N6" s="16"/>
      <c r="O6" s="20"/>
      <c r="P6" s="20"/>
      <c r="Q6" s="16"/>
      <c r="R6" s="16"/>
      <c r="S6" s="21"/>
      <c r="T6" s="14"/>
      <c r="U6" s="22"/>
      <c r="V6" s="23"/>
      <c r="W6" s="14"/>
      <c r="X6" s="24"/>
      <c r="Y6" s="25"/>
      <c r="Z6" s="14"/>
      <c r="AA6" s="14"/>
      <c r="AB6" s="27"/>
      <c r="AC6" s="28"/>
      <c r="AD6" s="25"/>
      <c r="AE6" s="25"/>
      <c r="AF6" s="25"/>
      <c r="AG6" s="25"/>
    </row>
    <row r="7" spans="1:33" ht="15.75" hidden="1" customHeight="1">
      <c r="A7" s="14"/>
      <c r="B7" s="14"/>
      <c r="C7" s="15"/>
      <c r="D7" s="16"/>
      <c r="E7" s="16"/>
      <c r="F7" s="29"/>
      <c r="G7" s="29"/>
      <c r="H7" s="18"/>
      <c r="I7" s="18"/>
      <c r="J7" s="17"/>
      <c r="K7" s="17"/>
      <c r="L7" s="16"/>
      <c r="M7" s="19"/>
      <c r="N7" s="16"/>
      <c r="O7" s="20"/>
      <c r="P7" s="20"/>
      <c r="Q7" s="16"/>
      <c r="R7" s="16"/>
      <c r="S7" s="21"/>
      <c r="T7" s="14"/>
      <c r="U7" s="22"/>
      <c r="V7" s="23"/>
      <c r="W7" s="14"/>
      <c r="X7" s="24"/>
      <c r="Y7" s="25"/>
      <c r="Z7" s="14"/>
      <c r="AA7" s="14"/>
      <c r="AB7" s="27"/>
      <c r="AC7" s="28"/>
      <c r="AD7" s="25"/>
      <c r="AE7" s="25"/>
      <c r="AF7" s="25"/>
      <c r="AG7" s="25"/>
    </row>
    <row r="8" spans="1:33" ht="15.75" hidden="1" customHeight="1">
      <c r="A8" s="14"/>
      <c r="B8" s="14"/>
      <c r="C8" s="15"/>
      <c r="D8" s="16"/>
      <c r="E8" s="16"/>
      <c r="F8" s="29"/>
      <c r="G8" s="29"/>
      <c r="H8" s="18"/>
      <c r="I8" s="18"/>
      <c r="J8" s="17"/>
      <c r="K8" s="17"/>
      <c r="L8" s="16"/>
      <c r="M8" s="19"/>
      <c r="N8" s="16"/>
      <c r="O8" s="20"/>
      <c r="P8" s="20"/>
      <c r="Q8" s="16"/>
      <c r="R8" s="16"/>
      <c r="S8" s="21"/>
      <c r="T8" s="14"/>
      <c r="U8" s="22"/>
      <c r="V8" s="23"/>
      <c r="W8" s="14"/>
      <c r="X8" s="24"/>
      <c r="Y8" s="25"/>
      <c r="Z8" s="14"/>
      <c r="AA8" s="14"/>
      <c r="AB8" s="27"/>
      <c r="AC8" s="28"/>
      <c r="AD8" s="25"/>
      <c r="AE8" s="25"/>
      <c r="AF8" s="25"/>
      <c r="AG8" s="25"/>
    </row>
    <row r="9" spans="1:33" ht="15.75" hidden="1" customHeight="1">
      <c r="A9" s="14"/>
      <c r="B9" s="14"/>
      <c r="C9" s="15"/>
      <c r="D9" s="16"/>
      <c r="E9" s="16"/>
      <c r="F9" s="29"/>
      <c r="G9" s="29"/>
      <c r="H9" s="18"/>
      <c r="I9" s="18"/>
      <c r="J9" s="17"/>
      <c r="K9" s="17"/>
      <c r="L9" s="16"/>
      <c r="M9" s="19"/>
      <c r="N9" s="16"/>
      <c r="O9" s="20"/>
      <c r="P9" s="20"/>
      <c r="Q9" s="16"/>
      <c r="R9" s="16"/>
      <c r="S9" s="21"/>
      <c r="T9" s="14"/>
      <c r="U9" s="22"/>
      <c r="V9" s="23"/>
      <c r="W9" s="14"/>
      <c r="X9" s="24"/>
      <c r="Y9" s="25"/>
      <c r="Z9" s="14"/>
      <c r="AA9" s="14"/>
      <c r="AB9" s="27"/>
      <c r="AC9" s="28"/>
      <c r="AD9" s="25"/>
      <c r="AE9" s="25"/>
      <c r="AF9" s="25"/>
      <c r="AG9" s="25"/>
    </row>
    <row r="10" spans="1:33" ht="15.75" hidden="1" customHeight="1">
      <c r="A10" s="14"/>
      <c r="B10" s="14"/>
      <c r="C10" s="15"/>
      <c r="D10" s="16"/>
      <c r="E10" s="16"/>
      <c r="F10" s="29"/>
      <c r="G10" s="29"/>
      <c r="H10" s="18"/>
      <c r="I10" s="18"/>
      <c r="J10" s="17"/>
      <c r="K10" s="17"/>
      <c r="L10" s="16"/>
      <c r="M10" s="19"/>
      <c r="N10" s="16"/>
      <c r="O10" s="20"/>
      <c r="P10" s="20"/>
      <c r="Q10" s="16"/>
      <c r="R10" s="16"/>
      <c r="S10" s="21"/>
      <c r="T10" s="14"/>
      <c r="U10" s="22"/>
      <c r="V10" s="23"/>
      <c r="W10" s="14"/>
      <c r="X10" s="24"/>
      <c r="Y10" s="25"/>
      <c r="Z10" s="14"/>
      <c r="AA10" s="14"/>
      <c r="AB10" s="27"/>
      <c r="AC10" s="28"/>
      <c r="AD10" s="25"/>
      <c r="AE10" s="25"/>
      <c r="AF10" s="25"/>
      <c r="AG10" s="25"/>
    </row>
    <row r="11" spans="1:33" ht="15.75" hidden="1" customHeight="1">
      <c r="A11" s="14"/>
      <c r="B11" s="14"/>
      <c r="C11" s="15"/>
      <c r="D11" s="16"/>
      <c r="E11" s="16"/>
      <c r="F11" s="29"/>
      <c r="G11" s="29"/>
      <c r="H11" s="18"/>
      <c r="I11" s="18"/>
      <c r="J11" s="17"/>
      <c r="K11" s="17"/>
      <c r="L11" s="16"/>
      <c r="M11" s="19"/>
      <c r="N11" s="16"/>
      <c r="O11" s="20"/>
      <c r="P11" s="20"/>
      <c r="Q11" s="16"/>
      <c r="R11" s="16"/>
      <c r="S11" s="21"/>
      <c r="T11" s="14"/>
      <c r="U11" s="22"/>
      <c r="V11" s="23"/>
      <c r="W11" s="14"/>
      <c r="X11" s="24"/>
      <c r="Y11" s="25"/>
      <c r="Z11" s="14"/>
      <c r="AA11" s="14"/>
      <c r="AB11" s="27"/>
      <c r="AC11" s="28"/>
      <c r="AD11" s="25"/>
      <c r="AE11" s="25"/>
      <c r="AF11" s="25"/>
      <c r="AG11" s="25"/>
    </row>
    <row r="12" spans="1:33" ht="15.75" hidden="1" customHeight="1">
      <c r="A12" s="14"/>
      <c r="B12" s="14"/>
      <c r="C12" s="15"/>
      <c r="D12" s="16"/>
      <c r="E12" s="16"/>
      <c r="F12" s="29"/>
      <c r="G12" s="29"/>
      <c r="H12" s="18"/>
      <c r="I12" s="18"/>
      <c r="J12" s="17"/>
      <c r="K12" s="17"/>
      <c r="L12" s="16"/>
      <c r="M12" s="19"/>
      <c r="N12" s="16"/>
      <c r="O12" s="20"/>
      <c r="P12" s="20"/>
      <c r="Q12" s="16"/>
      <c r="R12" s="16"/>
      <c r="S12" s="21"/>
      <c r="T12" s="14"/>
      <c r="U12" s="22"/>
      <c r="V12" s="23"/>
      <c r="W12" s="14"/>
      <c r="X12" s="24"/>
      <c r="Y12" s="25"/>
      <c r="Z12" s="14"/>
      <c r="AA12" s="14"/>
      <c r="AB12" s="27"/>
      <c r="AC12" s="28"/>
      <c r="AD12" s="25"/>
      <c r="AE12" s="25"/>
      <c r="AF12" s="25"/>
      <c r="AG12" s="25"/>
    </row>
    <row r="13" spans="1:33" ht="15.75" hidden="1" customHeight="1">
      <c r="A13" s="14"/>
      <c r="B13" s="14"/>
      <c r="C13" s="15"/>
      <c r="D13" s="16"/>
      <c r="E13" s="16"/>
      <c r="F13" s="17"/>
      <c r="G13" s="29"/>
      <c r="H13" s="18"/>
      <c r="I13" s="18"/>
      <c r="J13" s="17"/>
      <c r="K13" s="17"/>
      <c r="L13" s="16"/>
      <c r="M13" s="19"/>
      <c r="N13" s="16"/>
      <c r="O13" s="20"/>
      <c r="P13" s="20"/>
      <c r="Q13" s="16"/>
      <c r="R13" s="16"/>
      <c r="S13" s="21"/>
      <c r="T13" s="14"/>
      <c r="U13" s="22"/>
      <c r="V13" s="23"/>
      <c r="W13" s="14"/>
      <c r="X13" s="24"/>
      <c r="Y13" s="25"/>
      <c r="Z13" s="14"/>
      <c r="AA13" s="14"/>
      <c r="AB13" s="27"/>
      <c r="AC13" s="28"/>
      <c r="AD13" s="25"/>
      <c r="AE13" s="25"/>
      <c r="AF13" s="25"/>
      <c r="AG13" s="25"/>
    </row>
    <row r="14" spans="1:33" ht="15.75" hidden="1" customHeight="1">
      <c r="A14" s="14"/>
      <c r="B14" s="14"/>
      <c r="C14" s="15"/>
      <c r="D14" s="16"/>
      <c r="E14" s="16"/>
      <c r="F14" s="17"/>
      <c r="G14" s="29"/>
      <c r="H14" s="18"/>
      <c r="I14" s="18"/>
      <c r="J14" s="17"/>
      <c r="K14" s="17"/>
      <c r="L14" s="16"/>
      <c r="M14" s="19"/>
      <c r="N14" s="16"/>
      <c r="O14" s="20"/>
      <c r="P14" s="20"/>
      <c r="Q14" s="16"/>
      <c r="R14" s="16"/>
      <c r="S14" s="21"/>
      <c r="T14" s="14"/>
      <c r="U14" s="22"/>
      <c r="V14" s="23"/>
      <c r="W14" s="14"/>
      <c r="X14" s="24"/>
      <c r="Y14" s="25"/>
      <c r="Z14" s="14"/>
      <c r="AA14" s="14"/>
      <c r="AB14" s="27"/>
      <c r="AC14" s="28"/>
      <c r="AD14" s="25"/>
      <c r="AE14" s="25"/>
      <c r="AF14" s="25"/>
      <c r="AG14" s="25"/>
    </row>
    <row r="15" spans="1:33" ht="15.75" hidden="1" customHeight="1">
      <c r="A15" s="14"/>
      <c r="B15" s="14"/>
      <c r="C15" s="15"/>
      <c r="D15" s="16"/>
      <c r="E15" s="16"/>
      <c r="F15" s="17"/>
      <c r="G15" s="29"/>
      <c r="H15" s="18"/>
      <c r="I15" s="18"/>
      <c r="J15" s="17"/>
      <c r="K15" s="17"/>
      <c r="L15" s="16"/>
      <c r="M15" s="19"/>
      <c r="N15" s="16"/>
      <c r="O15" s="20"/>
      <c r="P15" s="20"/>
      <c r="Q15" s="16"/>
      <c r="R15" s="16"/>
      <c r="S15" s="21"/>
      <c r="T15" s="14"/>
      <c r="U15" s="22"/>
      <c r="V15" s="23"/>
      <c r="W15" s="14"/>
      <c r="X15" s="24"/>
      <c r="Y15" s="25"/>
      <c r="Z15" s="14"/>
      <c r="AA15" s="14"/>
      <c r="AB15" s="27"/>
      <c r="AC15" s="28"/>
      <c r="AD15" s="25"/>
      <c r="AE15" s="25"/>
      <c r="AF15" s="25"/>
      <c r="AG15" s="25"/>
    </row>
    <row r="16" spans="1:33" ht="15.75" customHeight="1">
      <c r="A16" s="14" t="s">
        <v>38</v>
      </c>
      <c r="B16" s="14" t="s">
        <v>839</v>
      </c>
      <c r="C16" s="15">
        <f t="shared" ref="C16:C32" si="1">IFERROR(F16/D16," - ")</f>
        <v>14.990000000000002</v>
      </c>
      <c r="D16" s="16">
        <v>11</v>
      </c>
      <c r="E16" s="16">
        <v>2</v>
      </c>
      <c r="F16" s="17">
        <v>164.89000000000001</v>
      </c>
      <c r="G16" s="29">
        <v>-22.939999999999998</v>
      </c>
      <c r="H16" s="18">
        <f t="shared" ref="H16:H32" si="2">G16/F16*-1</f>
        <v>0.13912305173145731</v>
      </c>
      <c r="I16" s="18">
        <f t="shared" ref="I16:I32" si="3">J16/F16</f>
        <v>0.16526487494188061</v>
      </c>
      <c r="J16" s="17">
        <f t="shared" ref="J16:J32" si="4">F16*0.85+G16+AF16*D16+D16*AE16+AG16+AD16</f>
        <v>27.250525229166694</v>
      </c>
      <c r="K16" s="17">
        <f t="shared" ref="K16:K32" si="5">J16/D16</f>
        <v>2.4773204753787903</v>
      </c>
      <c r="L16" s="16">
        <v>30</v>
      </c>
      <c r="M16" s="19">
        <f t="shared" ref="M16:M32" si="6">IFERROR(D16/L16,"-")</f>
        <v>0.36666666666666664</v>
      </c>
      <c r="N16" s="16">
        <v>87</v>
      </c>
      <c r="O16" s="20">
        <f t="shared" ref="O16:P16" si="7">D16/7</f>
        <v>1.5714285714285714</v>
      </c>
      <c r="P16" s="20">
        <f t="shared" si="7"/>
        <v>0.2857142857142857</v>
      </c>
      <c r="Q16" s="16">
        <f t="shared" ref="Q16:Q32" si="8">ROUNDDOWN(N16/(O16+P16),0)</f>
        <v>46</v>
      </c>
      <c r="R16" s="16"/>
      <c r="S16" s="21">
        <v>0.33333333333333298</v>
      </c>
      <c r="T16" s="14">
        <v>0</v>
      </c>
      <c r="U16" s="22" t="s">
        <v>34</v>
      </c>
      <c r="V16" s="23" t="s">
        <v>34</v>
      </c>
      <c r="W16" s="14">
        <v>5</v>
      </c>
      <c r="X16" s="24">
        <f t="shared" ref="X16:X32" si="9">IFERROR(W16/D16,0)</f>
        <v>0.45454545454545453</v>
      </c>
      <c r="Y16" s="25">
        <f t="shared" ref="Y16:Y32" si="10">IFERROR(G16/(W16+Z16)*-1,0)</f>
        <v>3.8233333333333328</v>
      </c>
      <c r="Z16" s="14">
        <v>1</v>
      </c>
      <c r="AA16" s="14" t="s">
        <v>35</v>
      </c>
      <c r="AB16" s="27">
        <f t="shared" ref="AB16:AB32" si="11">IF(OR(AA16="UsLargeStandardSize",AA16="UsSmallStandardSize"),-0.69,-0.48)</f>
        <v>-0.69</v>
      </c>
      <c r="AC16" s="28">
        <v>3.3858680555555555E-2</v>
      </c>
      <c r="AD16" s="25">
        <f t="shared" ref="AD16:AD32" si="12">IFERROR(AB16*AC16*D16*2,0)</f>
        <v>-0.51397477083333321</v>
      </c>
      <c r="AE16" s="25">
        <v>-4.9000000000000004</v>
      </c>
      <c r="AF16" s="25">
        <v>-3.2320000000000002</v>
      </c>
      <c r="AG16" s="25">
        <v>0</v>
      </c>
    </row>
    <row r="17" spans="1:33" ht="15.75" customHeight="1">
      <c r="A17" s="14" t="s">
        <v>40</v>
      </c>
      <c r="B17" s="14" t="s">
        <v>68</v>
      </c>
      <c r="C17" s="15">
        <f t="shared" si="1"/>
        <v>16.181999999999995</v>
      </c>
      <c r="D17" s="16">
        <v>5</v>
      </c>
      <c r="E17" s="16">
        <v>1</v>
      </c>
      <c r="F17" s="17">
        <v>80.909999999999982</v>
      </c>
      <c r="G17" s="29">
        <v>0</v>
      </c>
      <c r="H17" s="18">
        <f t="shared" si="2"/>
        <v>0</v>
      </c>
      <c r="I17" s="18">
        <f t="shared" si="3"/>
        <v>0.34457885433403362</v>
      </c>
      <c r="J17" s="17">
        <f t="shared" si="4"/>
        <v>27.879875104166654</v>
      </c>
      <c r="K17" s="17">
        <f t="shared" si="5"/>
        <v>5.5759750208333312</v>
      </c>
      <c r="L17" s="16">
        <v>10</v>
      </c>
      <c r="M17" s="19">
        <f t="shared" si="6"/>
        <v>0.5</v>
      </c>
      <c r="N17" s="16">
        <v>80</v>
      </c>
      <c r="O17" s="20">
        <f t="shared" ref="O17:P17" si="13">D17/7</f>
        <v>0.7142857142857143</v>
      </c>
      <c r="P17" s="20">
        <f t="shared" si="13"/>
        <v>0.14285714285714285</v>
      </c>
      <c r="Q17" s="16">
        <f t="shared" si="8"/>
        <v>93</v>
      </c>
      <c r="R17" s="16"/>
      <c r="S17" s="21">
        <v>0.65853658536585302</v>
      </c>
      <c r="T17" s="14">
        <v>0</v>
      </c>
      <c r="U17" s="22" t="s">
        <v>34</v>
      </c>
      <c r="V17" s="23" t="s">
        <v>34</v>
      </c>
      <c r="W17" s="14">
        <v>0</v>
      </c>
      <c r="X17" s="24">
        <f t="shared" si="9"/>
        <v>0</v>
      </c>
      <c r="Y17" s="25">
        <f t="shared" si="10"/>
        <v>0</v>
      </c>
      <c r="Z17" s="14">
        <v>0</v>
      </c>
      <c r="AA17" s="14" t="s">
        <v>35</v>
      </c>
      <c r="AB17" s="27">
        <f t="shared" si="11"/>
        <v>-0.69</v>
      </c>
      <c r="AC17" s="28">
        <v>3.3858680555555555E-2</v>
      </c>
      <c r="AD17" s="25">
        <f t="shared" si="12"/>
        <v>-0.23362489583333329</v>
      </c>
      <c r="AE17" s="25">
        <v>-4.9000000000000004</v>
      </c>
      <c r="AF17" s="25">
        <v>-3.2320000000000002</v>
      </c>
      <c r="AG17" s="25">
        <v>0</v>
      </c>
    </row>
    <row r="18" spans="1:33" ht="15.75" customHeight="1">
      <c r="A18" s="14" t="s">
        <v>42</v>
      </c>
      <c r="B18" s="14" t="s">
        <v>840</v>
      </c>
      <c r="C18" s="15">
        <f t="shared" si="1"/>
        <v>17.239999999999998</v>
      </c>
      <c r="D18" s="16">
        <v>8</v>
      </c>
      <c r="E18" s="16">
        <v>1</v>
      </c>
      <c r="F18" s="17">
        <v>137.91999999999999</v>
      </c>
      <c r="G18" s="29">
        <v>0</v>
      </c>
      <c r="H18" s="18">
        <f t="shared" si="2"/>
        <v>0</v>
      </c>
      <c r="I18" s="18">
        <f t="shared" si="3"/>
        <v>0.37559599888824419</v>
      </c>
      <c r="J18" s="17">
        <f t="shared" si="4"/>
        <v>51.802200166666637</v>
      </c>
      <c r="K18" s="17">
        <f t="shared" si="5"/>
        <v>6.4752750208333296</v>
      </c>
      <c r="L18" s="16">
        <v>22</v>
      </c>
      <c r="M18" s="19">
        <f t="shared" si="6"/>
        <v>0.36363636363636365</v>
      </c>
      <c r="N18" s="16">
        <v>72</v>
      </c>
      <c r="O18" s="20">
        <f t="shared" ref="O18:P18" si="14">D18/7</f>
        <v>1.1428571428571428</v>
      </c>
      <c r="P18" s="20">
        <f t="shared" si="14"/>
        <v>0.14285714285714285</v>
      </c>
      <c r="Q18" s="16">
        <f t="shared" si="8"/>
        <v>56</v>
      </c>
      <c r="R18" s="16"/>
      <c r="S18" s="21">
        <v>0.44318181818181801</v>
      </c>
      <c r="T18" s="14">
        <v>0</v>
      </c>
      <c r="U18" s="22">
        <v>0</v>
      </c>
      <c r="V18" s="23" t="s">
        <v>34</v>
      </c>
      <c r="W18" s="14">
        <v>0</v>
      </c>
      <c r="X18" s="24">
        <f t="shared" si="9"/>
        <v>0</v>
      </c>
      <c r="Y18" s="25">
        <f t="shared" si="10"/>
        <v>0</v>
      </c>
      <c r="Z18" s="14">
        <v>0</v>
      </c>
      <c r="AA18" s="14" t="s">
        <v>35</v>
      </c>
      <c r="AB18" s="27">
        <f t="shared" si="11"/>
        <v>-0.69</v>
      </c>
      <c r="AC18" s="28">
        <v>3.3858680555555555E-2</v>
      </c>
      <c r="AD18" s="25">
        <f t="shared" si="12"/>
        <v>-0.37379983333333328</v>
      </c>
      <c r="AE18" s="25">
        <v>-4.9000000000000004</v>
      </c>
      <c r="AF18" s="25">
        <v>-3.2320000000000002</v>
      </c>
      <c r="AG18" s="25">
        <v>0</v>
      </c>
    </row>
    <row r="19" spans="1:33" ht="15.75" customHeight="1">
      <c r="A19" s="14" t="s">
        <v>44</v>
      </c>
      <c r="B19" s="14" t="s">
        <v>841</v>
      </c>
      <c r="C19" s="15">
        <f t="shared" si="1"/>
        <v>19.793333333333333</v>
      </c>
      <c r="D19" s="16">
        <v>6</v>
      </c>
      <c r="E19" s="16">
        <v>0</v>
      </c>
      <c r="F19" s="17">
        <v>118.75999999999999</v>
      </c>
      <c r="G19" s="29">
        <v>0</v>
      </c>
      <c r="H19" s="18">
        <f t="shared" si="2"/>
        <v>0</v>
      </c>
      <c r="I19" s="18">
        <f t="shared" si="3"/>
        <v>0.42934195120410895</v>
      </c>
      <c r="J19" s="17">
        <f t="shared" si="4"/>
        <v>50.988650124999978</v>
      </c>
      <c r="K19" s="17">
        <f t="shared" si="5"/>
        <v>8.4981083541666624</v>
      </c>
      <c r="L19" s="16">
        <v>25</v>
      </c>
      <c r="M19" s="19">
        <f t="shared" si="6"/>
        <v>0.24</v>
      </c>
      <c r="N19" s="16">
        <v>65</v>
      </c>
      <c r="O19" s="20">
        <f t="shared" ref="O19:P19" si="15">D19/7</f>
        <v>0.8571428571428571</v>
      </c>
      <c r="P19" s="20">
        <f t="shared" si="15"/>
        <v>0</v>
      </c>
      <c r="Q19" s="16">
        <f t="shared" si="8"/>
        <v>75</v>
      </c>
      <c r="R19" s="16"/>
      <c r="S19" s="21">
        <v>0.56804733727810597</v>
      </c>
      <c r="T19" s="14">
        <v>0</v>
      </c>
      <c r="U19" s="22" t="s">
        <v>34</v>
      </c>
      <c r="V19" s="23" t="s">
        <v>34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14" t="s">
        <v>35</v>
      </c>
      <c r="AB19" s="27">
        <f t="shared" si="11"/>
        <v>-0.69</v>
      </c>
      <c r="AC19" s="28">
        <v>3.3858680555555555E-2</v>
      </c>
      <c r="AD19" s="25">
        <f t="shared" si="12"/>
        <v>-0.28034987499999997</v>
      </c>
      <c r="AE19" s="25">
        <v>-4.9000000000000004</v>
      </c>
      <c r="AF19" s="25">
        <v>-3.3795000000000002</v>
      </c>
      <c r="AG19" s="25">
        <v>0</v>
      </c>
    </row>
    <row r="20" spans="1:33" ht="15.75" customHeight="1">
      <c r="A20" s="14" t="s">
        <v>46</v>
      </c>
      <c r="B20" s="14" t="s">
        <v>842</v>
      </c>
      <c r="C20" s="15">
        <f t="shared" si="1"/>
        <v>20.56</v>
      </c>
      <c r="D20" s="16">
        <v>1</v>
      </c>
      <c r="E20" s="16">
        <v>0</v>
      </c>
      <c r="F20" s="17">
        <v>20.56</v>
      </c>
      <c r="G20" s="29">
        <v>0</v>
      </c>
      <c r="H20" s="18">
        <f t="shared" si="2"/>
        <v>0</v>
      </c>
      <c r="I20" s="18">
        <f t="shared" si="3"/>
        <v>0.44502796793936439</v>
      </c>
      <c r="J20" s="17">
        <f t="shared" si="4"/>
        <v>9.1497750208333315</v>
      </c>
      <c r="K20" s="17">
        <f t="shared" si="5"/>
        <v>9.1497750208333315</v>
      </c>
      <c r="L20" s="16">
        <v>22</v>
      </c>
      <c r="M20" s="19">
        <f t="shared" si="6"/>
        <v>4.5454545454545456E-2</v>
      </c>
      <c r="N20" s="16">
        <v>64</v>
      </c>
      <c r="O20" s="20">
        <f t="shared" ref="O20:P20" si="16">D20/7</f>
        <v>0.14285714285714285</v>
      </c>
      <c r="P20" s="20">
        <f t="shared" si="16"/>
        <v>0</v>
      </c>
      <c r="Q20" s="16">
        <f t="shared" si="8"/>
        <v>448</v>
      </c>
      <c r="R20" s="16"/>
      <c r="S20" s="21">
        <v>0.88888888888888795</v>
      </c>
      <c r="T20" s="14">
        <v>0</v>
      </c>
      <c r="U20" s="22" t="s">
        <v>34</v>
      </c>
      <c r="V20" s="23" t="s">
        <v>34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14" t="s">
        <v>35</v>
      </c>
      <c r="AB20" s="27">
        <f t="shared" si="11"/>
        <v>-0.69</v>
      </c>
      <c r="AC20" s="28">
        <v>3.3858680555555555E-2</v>
      </c>
      <c r="AD20" s="25">
        <f t="shared" si="12"/>
        <v>-4.6724979166666659E-2</v>
      </c>
      <c r="AE20" s="25">
        <v>-4.9000000000000004</v>
      </c>
      <c r="AF20" s="25">
        <v>-3.3795000000000002</v>
      </c>
      <c r="AG20" s="25">
        <v>0</v>
      </c>
    </row>
    <row r="21" spans="1:33" ht="15.75" customHeight="1">
      <c r="A21" s="14" t="s">
        <v>47</v>
      </c>
      <c r="B21" s="14" t="s">
        <v>843</v>
      </c>
      <c r="C21" s="15">
        <f t="shared" si="1"/>
        <v>19.989999999999998</v>
      </c>
      <c r="D21" s="16">
        <v>1</v>
      </c>
      <c r="E21" s="16">
        <v>0</v>
      </c>
      <c r="F21" s="17">
        <v>19.989999999999998</v>
      </c>
      <c r="G21" s="29">
        <v>0</v>
      </c>
      <c r="H21" s="18">
        <f t="shared" si="2"/>
        <v>0</v>
      </c>
      <c r="I21" s="18">
        <f t="shared" si="3"/>
        <v>0.43348049128731025</v>
      </c>
      <c r="J21" s="17">
        <f t="shared" si="4"/>
        <v>8.6652750208333309</v>
      </c>
      <c r="K21" s="17">
        <f t="shared" si="5"/>
        <v>8.6652750208333309</v>
      </c>
      <c r="L21" s="16">
        <v>8</v>
      </c>
      <c r="M21" s="19">
        <f t="shared" si="6"/>
        <v>0.125</v>
      </c>
      <c r="N21" s="16">
        <v>63</v>
      </c>
      <c r="O21" s="20">
        <f t="shared" ref="O21:P21" si="17">D21/7</f>
        <v>0.14285714285714285</v>
      </c>
      <c r="P21" s="20">
        <f t="shared" si="17"/>
        <v>0</v>
      </c>
      <c r="Q21" s="16">
        <f t="shared" si="8"/>
        <v>441</v>
      </c>
      <c r="R21" s="16"/>
      <c r="S21" s="21">
        <v>0.97297297297297303</v>
      </c>
      <c r="T21" s="14">
        <v>200</v>
      </c>
      <c r="U21" s="22" t="s">
        <v>34</v>
      </c>
      <c r="V21" s="23" t="s">
        <v>34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14" t="s">
        <v>35</v>
      </c>
      <c r="AB21" s="27">
        <f t="shared" si="11"/>
        <v>-0.69</v>
      </c>
      <c r="AC21" s="28">
        <v>3.3858680555555555E-2</v>
      </c>
      <c r="AD21" s="25">
        <f t="shared" si="12"/>
        <v>-4.6724979166666659E-2</v>
      </c>
      <c r="AE21" s="25">
        <v>-4.9000000000000004</v>
      </c>
      <c r="AF21" s="25">
        <v>-3.3795000000000002</v>
      </c>
      <c r="AG21" s="25">
        <v>0</v>
      </c>
    </row>
    <row r="22" spans="1:33" ht="15.75" customHeight="1">
      <c r="A22" s="14" t="s">
        <v>48</v>
      </c>
      <c r="B22" s="14" t="s">
        <v>174</v>
      </c>
      <c r="C22" s="15">
        <f t="shared" si="1"/>
        <v>19.989999999999998</v>
      </c>
      <c r="D22" s="16">
        <v>2</v>
      </c>
      <c r="E22" s="16">
        <v>0</v>
      </c>
      <c r="F22" s="29">
        <v>39.979999999999997</v>
      </c>
      <c r="G22" s="29">
        <v>0</v>
      </c>
      <c r="H22" s="18">
        <f t="shared" si="2"/>
        <v>0</v>
      </c>
      <c r="I22" s="18">
        <f t="shared" si="3"/>
        <v>0.43348049128731025</v>
      </c>
      <c r="J22" s="17">
        <f t="shared" si="4"/>
        <v>17.330550041666662</v>
      </c>
      <c r="K22" s="17">
        <f t="shared" si="5"/>
        <v>8.6652750208333309</v>
      </c>
      <c r="L22" s="16">
        <v>17</v>
      </c>
      <c r="M22" s="19">
        <f t="shared" si="6"/>
        <v>0.11764705882352941</v>
      </c>
      <c r="N22" s="16">
        <v>62</v>
      </c>
      <c r="O22" s="20">
        <f t="shared" ref="O22:P22" si="18">D22/7</f>
        <v>0.2857142857142857</v>
      </c>
      <c r="P22" s="20">
        <f t="shared" si="18"/>
        <v>0</v>
      </c>
      <c r="Q22" s="16">
        <f t="shared" si="8"/>
        <v>217</v>
      </c>
      <c r="R22" s="16"/>
      <c r="S22" s="21">
        <v>1.1063829787234001</v>
      </c>
      <c r="T22" s="14">
        <v>200</v>
      </c>
      <c r="U22" s="22" t="s">
        <v>34</v>
      </c>
      <c r="V22" s="23" t="s">
        <v>34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35</v>
      </c>
      <c r="AB22" s="27">
        <f t="shared" si="11"/>
        <v>-0.69</v>
      </c>
      <c r="AC22" s="28">
        <v>3.3858680555555555E-2</v>
      </c>
      <c r="AD22" s="25">
        <f t="shared" si="12"/>
        <v>-9.3449958333333319E-2</v>
      </c>
      <c r="AE22" s="25">
        <v>-4.9000000000000004</v>
      </c>
      <c r="AF22" s="25">
        <v>-3.3795000000000002</v>
      </c>
      <c r="AG22" s="25">
        <v>0</v>
      </c>
    </row>
    <row r="23" spans="1:33" ht="15.75" customHeight="1">
      <c r="A23" s="14" t="s">
        <v>49</v>
      </c>
      <c r="B23" s="14" t="s">
        <v>844</v>
      </c>
      <c r="C23" s="15">
        <f t="shared" si="1"/>
        <v>18.729999999999997</v>
      </c>
      <c r="D23" s="16">
        <v>4</v>
      </c>
      <c r="E23" s="16">
        <v>0</v>
      </c>
      <c r="F23" s="17">
        <v>74.919999999999987</v>
      </c>
      <c r="G23" s="29">
        <v>0</v>
      </c>
      <c r="H23" s="18">
        <f t="shared" si="2"/>
        <v>0</v>
      </c>
      <c r="I23" s="18">
        <f t="shared" si="3"/>
        <v>0.40546049230290071</v>
      </c>
      <c r="J23" s="17">
        <f t="shared" si="4"/>
        <v>30.377100083333318</v>
      </c>
      <c r="K23" s="17">
        <f t="shared" si="5"/>
        <v>7.5942750208333294</v>
      </c>
      <c r="L23" s="16">
        <v>12</v>
      </c>
      <c r="M23" s="19">
        <f t="shared" si="6"/>
        <v>0.33333333333333331</v>
      </c>
      <c r="N23" s="16">
        <v>58</v>
      </c>
      <c r="O23" s="20">
        <f t="shared" ref="O23:P23" si="19">D23/7</f>
        <v>0.5714285714285714</v>
      </c>
      <c r="P23" s="20">
        <f t="shared" si="19"/>
        <v>0</v>
      </c>
      <c r="Q23" s="16">
        <f t="shared" si="8"/>
        <v>101</v>
      </c>
      <c r="R23" s="16"/>
      <c r="S23" s="21">
        <v>0.72727272727272696</v>
      </c>
      <c r="T23" s="14">
        <v>400</v>
      </c>
      <c r="U23" s="22" t="s">
        <v>34</v>
      </c>
      <c r="V23" s="23" t="s">
        <v>34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35</v>
      </c>
      <c r="AB23" s="27">
        <f t="shared" si="11"/>
        <v>-0.69</v>
      </c>
      <c r="AC23" s="28">
        <v>3.3858680555555555E-2</v>
      </c>
      <c r="AD23" s="25">
        <f t="shared" si="12"/>
        <v>-0.18689991666666664</v>
      </c>
      <c r="AE23" s="25">
        <v>-4.9000000000000004</v>
      </c>
      <c r="AF23" s="25">
        <v>-3.3795000000000002</v>
      </c>
      <c r="AG23" s="25">
        <v>0</v>
      </c>
    </row>
    <row r="24" spans="1:33" ht="15.75" customHeight="1">
      <c r="A24" s="14" t="s">
        <v>50</v>
      </c>
      <c r="B24" s="14" t="s">
        <v>845</v>
      </c>
      <c r="C24" s="15">
        <f t="shared" si="1"/>
        <v>17.033750000000001</v>
      </c>
      <c r="D24" s="16">
        <v>8</v>
      </c>
      <c r="E24" s="16">
        <v>0</v>
      </c>
      <c r="F24" s="17">
        <v>136.27000000000001</v>
      </c>
      <c r="G24" s="17">
        <v>0</v>
      </c>
      <c r="H24" s="18">
        <f t="shared" si="2"/>
        <v>0</v>
      </c>
      <c r="I24" s="18">
        <f t="shared" si="3"/>
        <v>0.36119248672977666</v>
      </c>
      <c r="J24" s="17">
        <f t="shared" si="4"/>
        <v>49.219700166666669</v>
      </c>
      <c r="K24" s="17">
        <f t="shared" si="5"/>
        <v>6.1524625208333337</v>
      </c>
      <c r="L24" s="16">
        <v>14</v>
      </c>
      <c r="M24" s="19">
        <f t="shared" si="6"/>
        <v>0.5714285714285714</v>
      </c>
      <c r="N24" s="16">
        <v>54</v>
      </c>
      <c r="O24" s="20">
        <f t="shared" ref="O24:P24" si="20">D24/7</f>
        <v>1.1428571428571428</v>
      </c>
      <c r="P24" s="20">
        <f t="shared" si="20"/>
        <v>0</v>
      </c>
      <c r="Q24" s="16">
        <f t="shared" si="8"/>
        <v>47</v>
      </c>
      <c r="R24" s="16"/>
      <c r="S24" s="21">
        <v>0.85454545454545405</v>
      </c>
      <c r="T24" s="14">
        <v>400</v>
      </c>
      <c r="U24" s="22" t="s">
        <v>34</v>
      </c>
      <c r="V24" s="23" t="s">
        <v>34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14" t="s">
        <v>35</v>
      </c>
      <c r="AB24" s="27">
        <f t="shared" si="11"/>
        <v>-0.69</v>
      </c>
      <c r="AC24" s="28">
        <v>3.3858680555555555E-2</v>
      </c>
      <c r="AD24" s="25">
        <f t="shared" si="12"/>
        <v>-0.37379983333333328</v>
      </c>
      <c r="AE24" s="25">
        <v>-4.9000000000000004</v>
      </c>
      <c r="AF24" s="25">
        <v>-3.3795000000000002</v>
      </c>
      <c r="AG24" s="25">
        <v>0</v>
      </c>
    </row>
    <row r="25" spans="1:33" ht="15.75" customHeight="1">
      <c r="A25" s="14" t="s">
        <v>51</v>
      </c>
      <c r="B25" s="14" t="s">
        <v>846</v>
      </c>
      <c r="C25" s="15">
        <f t="shared" si="1"/>
        <v>13.248500000000002</v>
      </c>
      <c r="D25" s="16">
        <v>20</v>
      </c>
      <c r="E25" s="16">
        <v>0</v>
      </c>
      <c r="F25" s="17">
        <v>264.97000000000003</v>
      </c>
      <c r="G25" s="17">
        <v>0</v>
      </c>
      <c r="H25" s="18">
        <f t="shared" si="2"/>
        <v>0</v>
      </c>
      <c r="I25" s="18">
        <f t="shared" si="3"/>
        <v>0.22149677479211485</v>
      </c>
      <c r="J25" s="17">
        <f t="shared" si="4"/>
        <v>58.690000416666678</v>
      </c>
      <c r="K25" s="17">
        <f t="shared" si="5"/>
        <v>2.9345000208333341</v>
      </c>
      <c r="L25" s="16">
        <v>34</v>
      </c>
      <c r="M25" s="19">
        <f t="shared" si="6"/>
        <v>0.58823529411764708</v>
      </c>
      <c r="N25" s="16">
        <v>26</v>
      </c>
      <c r="O25" s="20">
        <f t="shared" ref="O25:P25" si="21">D25/7</f>
        <v>2.8571428571428572</v>
      </c>
      <c r="P25" s="20">
        <f t="shared" si="21"/>
        <v>0</v>
      </c>
      <c r="Q25" s="16">
        <f t="shared" si="8"/>
        <v>9</v>
      </c>
      <c r="R25" s="16"/>
      <c r="S25" s="21">
        <v>1.368983957219251</v>
      </c>
      <c r="T25" s="14">
        <v>400</v>
      </c>
      <c r="U25" s="22" t="s">
        <v>34</v>
      </c>
      <c r="V25" s="23" t="s">
        <v>34</v>
      </c>
      <c r="W25" s="30">
        <v>0</v>
      </c>
      <c r="X25" s="24">
        <f t="shared" si="9"/>
        <v>0</v>
      </c>
      <c r="Y25" s="25">
        <f t="shared" si="10"/>
        <v>0</v>
      </c>
      <c r="Z25" s="30">
        <v>0</v>
      </c>
      <c r="AA25" s="14" t="s">
        <v>35</v>
      </c>
      <c r="AB25" s="27">
        <f t="shared" si="11"/>
        <v>-0.69</v>
      </c>
      <c r="AC25" s="28">
        <v>3.3858680555555555E-2</v>
      </c>
      <c r="AD25" s="25">
        <f t="shared" si="12"/>
        <v>-0.93449958333333316</v>
      </c>
      <c r="AE25" s="25">
        <v>-4.9000000000000004</v>
      </c>
      <c r="AF25" s="25">
        <v>-3.38</v>
      </c>
      <c r="AG25" s="25">
        <v>0</v>
      </c>
    </row>
    <row r="26" spans="1:33" ht="15.75" customHeight="1">
      <c r="A26" s="14" t="s">
        <v>52</v>
      </c>
      <c r="B26" s="14" t="s">
        <v>45</v>
      </c>
      <c r="C26" s="15">
        <f t="shared" si="1"/>
        <v>13.288387096774194</v>
      </c>
      <c r="D26" s="16">
        <v>31</v>
      </c>
      <c r="E26" s="16">
        <v>0</v>
      </c>
      <c r="F26" s="17">
        <v>411.94</v>
      </c>
      <c r="G26" s="17">
        <v>0</v>
      </c>
      <c r="H26" s="18">
        <f t="shared" si="2"/>
        <v>0</v>
      </c>
      <c r="I26" s="18">
        <f t="shared" si="3"/>
        <v>0.27233583931114563</v>
      </c>
      <c r="J26" s="17">
        <f t="shared" si="4"/>
        <v>112.18602564583334</v>
      </c>
      <c r="K26" s="17">
        <f t="shared" si="5"/>
        <v>3.6189040530913981</v>
      </c>
      <c r="L26" s="16">
        <v>63</v>
      </c>
      <c r="M26" s="19">
        <f t="shared" si="6"/>
        <v>0.49206349206349204</v>
      </c>
      <c r="N26" s="16">
        <v>2</v>
      </c>
      <c r="O26" s="20">
        <f t="shared" ref="O26:P26" si="22">D26/7</f>
        <v>4.4285714285714288</v>
      </c>
      <c r="P26" s="20">
        <f t="shared" si="22"/>
        <v>0</v>
      </c>
      <c r="Q26" s="16">
        <f t="shared" si="8"/>
        <v>0</v>
      </c>
      <c r="R26" s="16"/>
      <c r="S26" s="21">
        <v>2.4210526315789469</v>
      </c>
      <c r="T26" s="14">
        <v>400</v>
      </c>
      <c r="U26" s="22" t="s">
        <v>34</v>
      </c>
      <c r="V26" s="23" t="s">
        <v>34</v>
      </c>
      <c r="W26" s="30">
        <v>0</v>
      </c>
      <c r="X26" s="24">
        <f t="shared" si="9"/>
        <v>0</v>
      </c>
      <c r="Y26" s="25">
        <f t="shared" si="10"/>
        <v>0</v>
      </c>
      <c r="Z26" s="30">
        <v>0</v>
      </c>
      <c r="AA26" s="14" t="s">
        <v>35</v>
      </c>
      <c r="AB26" s="27">
        <f t="shared" si="11"/>
        <v>-0.69</v>
      </c>
      <c r="AC26" s="28">
        <v>3.3858680555555555E-2</v>
      </c>
      <c r="AD26" s="25">
        <f t="shared" si="12"/>
        <v>-1.4484743541666665</v>
      </c>
      <c r="AE26" s="25">
        <v>-4.25</v>
      </c>
      <c r="AF26" s="25">
        <v>-3.3795000000000002</v>
      </c>
      <c r="AG26" s="25">
        <v>0</v>
      </c>
    </row>
    <row r="27" spans="1:33" ht="15.75" customHeight="1">
      <c r="A27" s="14" t="s">
        <v>53</v>
      </c>
      <c r="B27" s="14" t="s">
        <v>45</v>
      </c>
      <c r="C27" s="15" t="str">
        <f t="shared" si="1"/>
        <v xml:space="preserve"> - </v>
      </c>
      <c r="D27" s="16">
        <v>0</v>
      </c>
      <c r="E27" s="16">
        <v>0</v>
      </c>
      <c r="F27" s="17">
        <v>0</v>
      </c>
      <c r="G27" s="17">
        <v>0</v>
      </c>
      <c r="H27" s="18" t="e">
        <f t="shared" si="2"/>
        <v>#DIV/0!</v>
      </c>
      <c r="I27" s="18" t="e">
        <f t="shared" si="3"/>
        <v>#DIV/0!</v>
      </c>
      <c r="J27" s="17">
        <f t="shared" si="4"/>
        <v>0</v>
      </c>
      <c r="K27" s="17" t="e">
        <f t="shared" si="5"/>
        <v>#DIV/0!</v>
      </c>
      <c r="L27" s="16">
        <v>0</v>
      </c>
      <c r="M27" s="19" t="str">
        <f t="shared" si="6"/>
        <v>-</v>
      </c>
      <c r="N27" s="16">
        <v>0</v>
      </c>
      <c r="O27" s="20">
        <f t="shared" ref="O27:P27" si="23">D27/7</f>
        <v>0</v>
      </c>
      <c r="P27" s="20">
        <f t="shared" si="23"/>
        <v>0</v>
      </c>
      <c r="Q27" s="16" t="e">
        <f t="shared" si="8"/>
        <v>#DIV/0!</v>
      </c>
      <c r="R27" s="16"/>
      <c r="S27" s="21">
        <v>0</v>
      </c>
      <c r="T27" s="14">
        <v>400</v>
      </c>
      <c r="U27" s="22" t="s">
        <v>34</v>
      </c>
      <c r="V27" s="23" t="s">
        <v>34</v>
      </c>
      <c r="W27" s="30">
        <v>0</v>
      </c>
      <c r="X27" s="24">
        <f t="shared" si="9"/>
        <v>0</v>
      </c>
      <c r="Y27" s="25">
        <f t="shared" si="10"/>
        <v>0</v>
      </c>
      <c r="Z27" s="30">
        <v>0</v>
      </c>
      <c r="AA27" s="14" t="s">
        <v>35</v>
      </c>
      <c r="AB27" s="27">
        <f t="shared" si="11"/>
        <v>-0.69</v>
      </c>
      <c r="AC27" s="28">
        <v>3.3858680555555555E-2</v>
      </c>
      <c r="AD27" s="25">
        <f t="shared" si="12"/>
        <v>0</v>
      </c>
      <c r="AE27" s="25">
        <v>-4.25</v>
      </c>
      <c r="AF27" s="25">
        <v>-3.3936000000000002</v>
      </c>
      <c r="AG27" s="25">
        <v>0</v>
      </c>
    </row>
    <row r="28" spans="1:33" ht="15.75" customHeight="1">
      <c r="A28" s="14" t="s">
        <v>54</v>
      </c>
      <c r="B28" s="14"/>
      <c r="C28" s="15" t="str">
        <f t="shared" si="1"/>
        <v xml:space="preserve"> - </v>
      </c>
      <c r="D28" s="16">
        <v>0</v>
      </c>
      <c r="E28" s="16">
        <v>0</v>
      </c>
      <c r="F28" s="17">
        <v>0</v>
      </c>
      <c r="G28" s="17">
        <v>0</v>
      </c>
      <c r="H28" s="18" t="e">
        <f t="shared" si="2"/>
        <v>#DIV/0!</v>
      </c>
      <c r="I28" s="18" t="e">
        <f t="shared" si="3"/>
        <v>#DIV/0!</v>
      </c>
      <c r="J28" s="17">
        <f t="shared" si="4"/>
        <v>0</v>
      </c>
      <c r="K28" s="17" t="e">
        <f t="shared" si="5"/>
        <v>#DIV/0!</v>
      </c>
      <c r="L28" s="16">
        <v>0</v>
      </c>
      <c r="M28" s="19" t="str">
        <f t="shared" si="6"/>
        <v>-</v>
      </c>
      <c r="N28" s="16">
        <v>0</v>
      </c>
      <c r="O28" s="20">
        <f t="shared" ref="O28:P28" si="24">D28/7</f>
        <v>0</v>
      </c>
      <c r="P28" s="20">
        <f t="shared" si="24"/>
        <v>0</v>
      </c>
      <c r="Q28" s="16" t="e">
        <f t="shared" si="8"/>
        <v>#DIV/0!</v>
      </c>
      <c r="R28" s="16"/>
      <c r="S28" s="21">
        <v>0</v>
      </c>
      <c r="T28" s="14">
        <v>100</v>
      </c>
      <c r="U28" s="22" t="s">
        <v>34</v>
      </c>
      <c r="V28" s="23" t="s">
        <v>34</v>
      </c>
      <c r="W28" s="30">
        <v>0</v>
      </c>
      <c r="X28" s="24">
        <f t="shared" si="9"/>
        <v>0</v>
      </c>
      <c r="Y28" s="25">
        <f t="shared" si="10"/>
        <v>0</v>
      </c>
      <c r="Z28" s="30">
        <v>0</v>
      </c>
      <c r="AA28" s="14" t="s">
        <v>35</v>
      </c>
      <c r="AB28" s="27">
        <f t="shared" si="11"/>
        <v>-0.69</v>
      </c>
      <c r="AC28" s="28">
        <v>3.3858680555555555E-2</v>
      </c>
      <c r="AD28" s="25">
        <f t="shared" si="12"/>
        <v>0</v>
      </c>
      <c r="AE28" s="25">
        <v>-4.25</v>
      </c>
      <c r="AF28" s="25">
        <v>-3.3936000000000002</v>
      </c>
      <c r="AG28" s="25">
        <v>0</v>
      </c>
    </row>
    <row r="29" spans="1:33" ht="15.75" customHeight="1">
      <c r="A29" s="14" t="s">
        <v>55</v>
      </c>
      <c r="B29" s="14" t="s">
        <v>45</v>
      </c>
      <c r="C29" s="15">
        <f t="shared" si="1"/>
        <v>13.95</v>
      </c>
      <c r="D29" s="16">
        <v>1</v>
      </c>
      <c r="E29" s="16">
        <v>0</v>
      </c>
      <c r="F29" s="17">
        <v>13.95</v>
      </c>
      <c r="G29" s="17">
        <v>0</v>
      </c>
      <c r="H29" s="18">
        <f t="shared" si="2"/>
        <v>0</v>
      </c>
      <c r="I29" s="18">
        <f t="shared" si="3"/>
        <v>0.29872222371565105</v>
      </c>
      <c r="J29" s="17">
        <f t="shared" si="4"/>
        <v>4.1671750208333318</v>
      </c>
      <c r="K29" s="17">
        <f t="shared" si="5"/>
        <v>4.1671750208333318</v>
      </c>
      <c r="L29" s="16">
        <v>9</v>
      </c>
      <c r="M29" s="19">
        <f t="shared" si="6"/>
        <v>0.1111111111111111</v>
      </c>
      <c r="N29" s="16">
        <v>1</v>
      </c>
      <c r="O29" s="20">
        <f t="shared" ref="O29:P29" si="25">D29/7</f>
        <v>0.14285714285714285</v>
      </c>
      <c r="P29" s="20">
        <f t="shared" si="25"/>
        <v>0</v>
      </c>
      <c r="Q29" s="16">
        <f t="shared" si="8"/>
        <v>7</v>
      </c>
      <c r="R29" s="16"/>
      <c r="S29" s="21">
        <v>0</v>
      </c>
      <c r="T29" s="14">
        <v>100</v>
      </c>
      <c r="U29" s="22" t="s">
        <v>34</v>
      </c>
      <c r="V29" s="23" t="s">
        <v>34</v>
      </c>
      <c r="W29" s="30">
        <v>0</v>
      </c>
      <c r="X29" s="24">
        <f t="shared" si="9"/>
        <v>0</v>
      </c>
      <c r="Y29" s="25">
        <f t="shared" si="10"/>
        <v>0</v>
      </c>
      <c r="Z29" s="30">
        <v>0</v>
      </c>
      <c r="AA29" s="14" t="s">
        <v>35</v>
      </c>
      <c r="AB29" s="27">
        <f t="shared" si="11"/>
        <v>-0.69</v>
      </c>
      <c r="AC29" s="28">
        <v>3.3858680555555555E-2</v>
      </c>
      <c r="AD29" s="25">
        <f t="shared" si="12"/>
        <v>-4.6724979166666659E-2</v>
      </c>
      <c r="AE29" s="25">
        <v>-4.25</v>
      </c>
      <c r="AF29" s="25">
        <v>-3.3936000000000002</v>
      </c>
      <c r="AG29" s="25">
        <v>0</v>
      </c>
    </row>
    <row r="30" spans="1:33" ht="15.75" customHeight="1">
      <c r="A30" s="14" t="s">
        <v>57</v>
      </c>
      <c r="B30" s="14"/>
      <c r="C30" s="15" t="str">
        <f t="shared" si="1"/>
        <v xml:space="preserve"> - </v>
      </c>
      <c r="D30" s="16">
        <v>0</v>
      </c>
      <c r="E30" s="16">
        <v>0</v>
      </c>
      <c r="F30" s="17">
        <v>0</v>
      </c>
      <c r="G30" s="17">
        <v>0</v>
      </c>
      <c r="H30" s="18" t="e">
        <f t="shared" si="2"/>
        <v>#DIV/0!</v>
      </c>
      <c r="I30" s="18" t="e">
        <f t="shared" si="3"/>
        <v>#DIV/0!</v>
      </c>
      <c r="J30" s="17">
        <f t="shared" si="4"/>
        <v>0</v>
      </c>
      <c r="K30" s="17" t="e">
        <f t="shared" si="5"/>
        <v>#DIV/0!</v>
      </c>
      <c r="L30" s="16">
        <v>0</v>
      </c>
      <c r="M30" s="19" t="str">
        <f t="shared" si="6"/>
        <v>-</v>
      </c>
      <c r="N30" s="16">
        <v>0</v>
      </c>
      <c r="O30" s="20">
        <f t="shared" ref="O30:P30" si="26">D30/7</f>
        <v>0</v>
      </c>
      <c r="P30" s="20">
        <f t="shared" si="26"/>
        <v>0</v>
      </c>
      <c r="Q30" s="16" t="e">
        <f t="shared" si="8"/>
        <v>#DIV/0!</v>
      </c>
      <c r="R30" s="16"/>
      <c r="S30" s="21">
        <v>0</v>
      </c>
      <c r="T30" s="14">
        <v>200</v>
      </c>
      <c r="U30" s="22" t="s">
        <v>34</v>
      </c>
      <c r="V30" s="23" t="s">
        <v>34</v>
      </c>
      <c r="W30" s="30">
        <v>0</v>
      </c>
      <c r="X30" s="24">
        <f t="shared" si="9"/>
        <v>0</v>
      </c>
      <c r="Y30" s="25">
        <f t="shared" si="10"/>
        <v>0</v>
      </c>
      <c r="Z30" s="30">
        <v>0</v>
      </c>
      <c r="AA30" s="14" t="s">
        <v>35</v>
      </c>
      <c r="AB30" s="27">
        <f t="shared" si="11"/>
        <v>-0.69</v>
      </c>
      <c r="AC30" s="28">
        <v>3.3858680555555555E-2</v>
      </c>
      <c r="AD30" s="25">
        <f t="shared" si="12"/>
        <v>0</v>
      </c>
      <c r="AE30" s="25">
        <v>-4.25</v>
      </c>
      <c r="AF30" s="25">
        <v>-3.2343644067000001</v>
      </c>
      <c r="AG30" s="25">
        <v>0</v>
      </c>
    </row>
    <row r="31" spans="1:33" ht="15.75" customHeight="1">
      <c r="A31" s="14" t="s">
        <v>58</v>
      </c>
      <c r="B31" s="14"/>
      <c r="C31" s="15" t="str">
        <f t="shared" si="1"/>
        <v xml:space="preserve"> - </v>
      </c>
      <c r="D31" s="16">
        <v>0</v>
      </c>
      <c r="E31" s="16">
        <v>0</v>
      </c>
      <c r="F31" s="17">
        <v>0</v>
      </c>
      <c r="G31" s="17">
        <v>0</v>
      </c>
      <c r="H31" s="18" t="e">
        <f t="shared" si="2"/>
        <v>#DIV/0!</v>
      </c>
      <c r="I31" s="18" t="e">
        <f t="shared" si="3"/>
        <v>#DIV/0!</v>
      </c>
      <c r="J31" s="17">
        <f t="shared" si="4"/>
        <v>0</v>
      </c>
      <c r="K31" s="17" t="e">
        <f t="shared" si="5"/>
        <v>#DIV/0!</v>
      </c>
      <c r="L31" s="16">
        <v>0</v>
      </c>
      <c r="M31" s="19" t="str">
        <f t="shared" si="6"/>
        <v>-</v>
      </c>
      <c r="N31" s="16">
        <v>0</v>
      </c>
      <c r="O31" s="20">
        <f t="shared" ref="O31:P31" si="27">D31/7</f>
        <v>0</v>
      </c>
      <c r="P31" s="20">
        <f t="shared" si="27"/>
        <v>0</v>
      </c>
      <c r="Q31" s="16" t="e">
        <f t="shared" si="8"/>
        <v>#DIV/0!</v>
      </c>
      <c r="R31" s="16"/>
      <c r="S31" s="21" t="e">
        <v>#N/A</v>
      </c>
      <c r="T31" s="14">
        <v>200</v>
      </c>
      <c r="U31" s="22" t="s">
        <v>34</v>
      </c>
      <c r="V31" s="23" t="s">
        <v>84</v>
      </c>
      <c r="W31" s="30">
        <v>0</v>
      </c>
      <c r="X31" s="24">
        <f t="shared" si="9"/>
        <v>0</v>
      </c>
      <c r="Y31" s="25">
        <f t="shared" si="10"/>
        <v>0</v>
      </c>
      <c r="Z31" s="30">
        <v>0</v>
      </c>
      <c r="AA31" s="14" t="s">
        <v>35</v>
      </c>
      <c r="AB31" s="27">
        <f t="shared" si="11"/>
        <v>-0.69</v>
      </c>
      <c r="AC31" s="28">
        <v>3.3858680555555555E-2</v>
      </c>
      <c r="AD31" s="25">
        <f t="shared" si="12"/>
        <v>0</v>
      </c>
      <c r="AE31" s="25">
        <v>-4.25</v>
      </c>
      <c r="AF31" s="25">
        <v>-3.2343644067000001</v>
      </c>
      <c r="AG31" s="25">
        <v>0</v>
      </c>
    </row>
    <row r="32" spans="1:33" ht="15.75" customHeight="1">
      <c r="A32" s="14" t="s">
        <v>60</v>
      </c>
      <c r="B32" s="14"/>
      <c r="C32" s="15" t="str">
        <f t="shared" si="1"/>
        <v xml:space="preserve"> - </v>
      </c>
      <c r="D32" s="16">
        <v>0</v>
      </c>
      <c r="E32" s="16">
        <v>0</v>
      </c>
      <c r="F32" s="17">
        <v>0</v>
      </c>
      <c r="G32" s="17">
        <v>0</v>
      </c>
      <c r="H32" s="18" t="e">
        <f t="shared" si="2"/>
        <v>#DIV/0!</v>
      </c>
      <c r="I32" s="18" t="e">
        <f t="shared" si="3"/>
        <v>#DIV/0!</v>
      </c>
      <c r="J32" s="17">
        <f t="shared" si="4"/>
        <v>0</v>
      </c>
      <c r="K32" s="17" t="e">
        <f t="shared" si="5"/>
        <v>#DIV/0!</v>
      </c>
      <c r="L32" s="16">
        <v>0</v>
      </c>
      <c r="M32" s="19" t="str">
        <f t="shared" si="6"/>
        <v>-</v>
      </c>
      <c r="N32" s="16">
        <v>0</v>
      </c>
      <c r="O32" s="20">
        <f t="shared" ref="O32:P32" si="28">D32/7</f>
        <v>0</v>
      </c>
      <c r="P32" s="20">
        <f t="shared" si="28"/>
        <v>0</v>
      </c>
      <c r="Q32" s="16" t="e">
        <f t="shared" si="8"/>
        <v>#DIV/0!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0</v>
      </c>
      <c r="T32" s="14">
        <f ca="1">IFERROR(__xludf.DUMMYFUNCTION("IFERROR(VLOOKUP($B$2,IMPORTRANGE(""https://docs.google.com/spreadsheets/d/1KiWZV1ko8G7lnRucBRBd29jj3Be6ltMfljMDqzOkQmI/edit#gid=1381463014"",""Lookup!A:D""),4,FALSE),"""")"),200)</f>
        <v>200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23" t="str">
        <f ca="1">IFERROR(__xludf.DUMMYFUNCTION("IFERROR(VLOOKUP($B$2,IMPORTRANGE(""https://docs.google.com/spreadsheets/d/1KiWZV1ko8G7lnRucBRBd29jj3Be6ltMfljMDqzOkQmI/edit#gid=1381463014"",""Lookup!A:D""),2,FALSE),"""")"),"No Transit, But 200 At Factory 50-75 days from Earliest Arrival")</f>
        <v>No Transit, But 200 At Factory 50-75 days from Earliest Arrival</v>
      </c>
      <c r="W32" s="30">
        <v>0</v>
      </c>
      <c r="X32" s="24">
        <f t="shared" si="9"/>
        <v>0</v>
      </c>
      <c r="Y32" s="25">
        <f t="shared" si="10"/>
        <v>0</v>
      </c>
      <c r="Z32" s="30">
        <v>0</v>
      </c>
      <c r="AA32" s="14" t="s">
        <v>35</v>
      </c>
      <c r="AB32" s="27">
        <f t="shared" si="11"/>
        <v>-0.69</v>
      </c>
      <c r="AC32" s="28">
        <v>3.3858680555555555E-2</v>
      </c>
      <c r="AD32" s="25">
        <f t="shared" si="12"/>
        <v>0</v>
      </c>
      <c r="AE32" s="25">
        <v>-4.25</v>
      </c>
      <c r="AF32" s="25">
        <v>-3.2343644067000001</v>
      </c>
      <c r="AG32" s="25">
        <v>0</v>
      </c>
    </row>
    <row r="33" spans="1:33" ht="15.75" customHeight="1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16"/>
      <c r="S33" s="21"/>
      <c r="T33" s="31"/>
      <c r="U33" s="36"/>
      <c r="V33" s="1"/>
      <c r="W33" s="31"/>
      <c r="X33" s="31"/>
      <c r="Y33" s="31"/>
      <c r="Z33" s="31"/>
      <c r="AA33" s="2"/>
      <c r="AB33" s="31"/>
      <c r="AC33" s="31"/>
      <c r="AD33" s="31"/>
      <c r="AE33" s="37"/>
      <c r="AF33" s="37"/>
      <c r="AG33" s="37"/>
    </row>
    <row r="34" spans="1:33" ht="15.75" customHeight="1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6"/>
      <c r="V34" s="1"/>
      <c r="W34" s="31"/>
      <c r="X34" s="31"/>
      <c r="Y34" s="31"/>
      <c r="Z34" s="31"/>
      <c r="AA34" s="2"/>
      <c r="AB34" s="31"/>
      <c r="AC34" s="31"/>
      <c r="AD34" s="31"/>
      <c r="AE34" s="37"/>
      <c r="AF34" s="37"/>
      <c r="AG34" s="37"/>
    </row>
    <row r="35" spans="1:33" ht="15.75" customHeight="1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6"/>
      <c r="V35" s="1"/>
      <c r="W35" s="31"/>
      <c r="X35" s="31"/>
      <c r="Y35" s="31"/>
      <c r="Z35" s="31"/>
      <c r="AA35" s="2"/>
      <c r="AB35" s="31"/>
      <c r="AC35" s="31"/>
      <c r="AD35" s="31"/>
      <c r="AE35" s="37"/>
      <c r="AF35" s="37"/>
      <c r="AG35" s="37"/>
    </row>
    <row r="36" spans="1:33" ht="15.75" customHeight="1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6"/>
      <c r="V36" s="1"/>
      <c r="W36" s="31"/>
      <c r="X36" s="31"/>
      <c r="Y36" s="31"/>
      <c r="Z36" s="31"/>
      <c r="AA36" s="2"/>
      <c r="AB36" s="31"/>
      <c r="AC36" s="31"/>
      <c r="AD36" s="31"/>
      <c r="AE36" s="37"/>
      <c r="AF36" s="37"/>
      <c r="AG36" s="37"/>
    </row>
    <row r="37" spans="1:33" ht="15.75" customHeight="1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6"/>
      <c r="V37" s="1"/>
      <c r="W37" s="31"/>
      <c r="X37" s="31"/>
      <c r="Y37" s="31"/>
      <c r="Z37" s="31"/>
      <c r="AA37" s="2"/>
      <c r="AB37" s="31"/>
      <c r="AC37" s="31"/>
      <c r="AD37" s="31"/>
      <c r="AE37" s="37"/>
      <c r="AF37" s="37"/>
      <c r="AG37" s="37"/>
    </row>
    <row r="38" spans="1:33" ht="15.75" customHeight="1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6"/>
      <c r="V38" s="1"/>
      <c r="W38" s="31"/>
      <c r="X38" s="31"/>
      <c r="Y38" s="31"/>
      <c r="Z38" s="31"/>
      <c r="AA38" s="2"/>
      <c r="AB38" s="31"/>
      <c r="AC38" s="31"/>
      <c r="AD38" s="31"/>
      <c r="AE38" s="37"/>
      <c r="AF38" s="37"/>
      <c r="AG38" s="37"/>
    </row>
    <row r="39" spans="1:33" ht="15.75" customHeight="1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6"/>
      <c r="V39" s="1"/>
      <c r="W39" s="31"/>
      <c r="X39" s="31"/>
      <c r="Y39" s="31"/>
      <c r="Z39" s="31"/>
      <c r="AA39" s="2"/>
      <c r="AB39" s="31"/>
      <c r="AC39" s="31"/>
      <c r="AD39" s="31"/>
      <c r="AE39" s="37"/>
      <c r="AF39" s="37"/>
      <c r="AG39" s="37"/>
    </row>
    <row r="40" spans="1:33" ht="15.75" customHeight="1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6"/>
      <c r="V40" s="1"/>
      <c r="W40" s="31"/>
      <c r="X40" s="31"/>
      <c r="Y40" s="31"/>
      <c r="Z40" s="31"/>
      <c r="AA40" s="2"/>
      <c r="AB40" s="31"/>
      <c r="AC40" s="31"/>
      <c r="AD40" s="31"/>
      <c r="AE40" s="37"/>
      <c r="AF40" s="37"/>
      <c r="AG40" s="37"/>
    </row>
    <row r="41" spans="1:33" ht="15.75" customHeight="1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6"/>
      <c r="V41" s="1"/>
      <c r="W41" s="31"/>
      <c r="X41" s="31"/>
      <c r="Y41" s="31"/>
      <c r="Z41" s="31"/>
      <c r="AA41" s="2"/>
      <c r="AB41" s="31"/>
      <c r="AC41" s="31"/>
      <c r="AD41" s="31"/>
      <c r="AE41" s="37"/>
      <c r="AF41" s="37"/>
      <c r="AG41" s="37"/>
    </row>
    <row r="42" spans="1:33" ht="15.75" customHeight="1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6"/>
      <c r="V42" s="1"/>
      <c r="W42" s="31"/>
      <c r="X42" s="31"/>
      <c r="Y42" s="31"/>
      <c r="Z42" s="31"/>
      <c r="AA42" s="2"/>
      <c r="AB42" s="31"/>
      <c r="AC42" s="31"/>
      <c r="AD42" s="31"/>
      <c r="AE42" s="37"/>
      <c r="AF42" s="37"/>
      <c r="AG42" s="37"/>
    </row>
    <row r="43" spans="1:33" ht="15.75" customHeight="1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6"/>
      <c r="V43" s="1"/>
      <c r="W43" s="31"/>
      <c r="X43" s="31"/>
      <c r="Y43" s="31"/>
      <c r="Z43" s="31"/>
      <c r="AA43" s="2"/>
      <c r="AB43" s="31"/>
      <c r="AC43" s="31"/>
      <c r="AD43" s="31"/>
      <c r="AE43" s="37"/>
      <c r="AF43" s="37"/>
      <c r="AG43" s="37"/>
    </row>
    <row r="44" spans="1:33" ht="15.75" customHeight="1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6"/>
      <c r="V44" s="1"/>
      <c r="W44" s="31"/>
      <c r="X44" s="31"/>
      <c r="Y44" s="31"/>
      <c r="Z44" s="31"/>
      <c r="AA44" s="2"/>
      <c r="AB44" s="31"/>
      <c r="AC44" s="31"/>
      <c r="AD44" s="31"/>
      <c r="AE44" s="37"/>
      <c r="AF44" s="37"/>
      <c r="AG44" s="37"/>
    </row>
    <row r="45" spans="1:33" ht="15.75" customHeight="1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6"/>
      <c r="V45" s="1"/>
      <c r="W45" s="31"/>
      <c r="X45" s="31"/>
      <c r="Y45" s="31"/>
      <c r="Z45" s="31"/>
      <c r="AA45" s="2"/>
      <c r="AB45" s="31"/>
      <c r="AC45" s="31"/>
      <c r="AD45" s="31"/>
      <c r="AE45" s="37"/>
      <c r="AF45" s="37"/>
      <c r="AG45" s="37"/>
    </row>
    <row r="46" spans="1:33" ht="15.75" customHeight="1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6"/>
      <c r="V46" s="1"/>
      <c r="W46" s="31"/>
      <c r="X46" s="31"/>
      <c r="Y46" s="31"/>
      <c r="Z46" s="31"/>
      <c r="AA46" s="2"/>
      <c r="AB46" s="31"/>
      <c r="AC46" s="31"/>
      <c r="AD46" s="31"/>
      <c r="AE46" s="37"/>
      <c r="AF46" s="37"/>
      <c r="AG46" s="37"/>
    </row>
    <row r="47" spans="1:33" ht="15.75" customHeight="1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6"/>
      <c r="V47" s="1"/>
      <c r="W47" s="31"/>
      <c r="X47" s="31"/>
      <c r="Y47" s="31"/>
      <c r="Z47" s="31"/>
      <c r="AA47" s="2"/>
      <c r="AB47" s="31"/>
      <c r="AC47" s="31"/>
      <c r="AD47" s="31"/>
      <c r="AE47" s="37"/>
      <c r="AF47" s="37"/>
      <c r="AG47" s="37"/>
    </row>
    <row r="48" spans="1:33" ht="15.75" customHeight="1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6"/>
      <c r="V48" s="1"/>
      <c r="W48" s="31"/>
      <c r="X48" s="31"/>
      <c r="Y48" s="31"/>
      <c r="Z48" s="31"/>
      <c r="AA48" s="2"/>
      <c r="AB48" s="31"/>
      <c r="AC48" s="31"/>
      <c r="AD48" s="31"/>
      <c r="AE48" s="37"/>
      <c r="AF48" s="37"/>
      <c r="AG48" s="37"/>
    </row>
    <row r="49" spans="1:33" ht="15.75" customHeight="1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6"/>
      <c r="V49" s="1"/>
      <c r="W49" s="31"/>
      <c r="X49" s="31"/>
      <c r="Y49" s="31"/>
      <c r="Z49" s="31"/>
      <c r="AA49" s="2"/>
      <c r="AB49" s="31"/>
      <c r="AC49" s="31"/>
      <c r="AD49" s="31"/>
      <c r="AE49" s="37"/>
      <c r="AF49" s="37"/>
      <c r="AG49" s="37"/>
    </row>
    <row r="50" spans="1:33" ht="15.75" customHeight="1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6"/>
      <c r="V50" s="1"/>
      <c r="W50" s="31"/>
      <c r="X50" s="31"/>
      <c r="Y50" s="31"/>
      <c r="Z50" s="31"/>
      <c r="AA50" s="2"/>
      <c r="AB50" s="31"/>
      <c r="AC50" s="31"/>
      <c r="AD50" s="31"/>
      <c r="AE50" s="37"/>
      <c r="AF50" s="37"/>
      <c r="AG50" s="37"/>
    </row>
    <row r="51" spans="1:33" ht="15.75" customHeight="1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6"/>
      <c r="V51" s="1"/>
      <c r="W51" s="31"/>
      <c r="X51" s="31"/>
      <c r="Y51" s="31"/>
      <c r="Z51" s="31"/>
      <c r="AA51" s="2"/>
      <c r="AB51" s="31"/>
      <c r="AC51" s="31"/>
      <c r="AD51" s="31"/>
      <c r="AE51" s="37"/>
      <c r="AF51" s="37"/>
      <c r="AG51" s="37"/>
    </row>
    <row r="52" spans="1:33" ht="15.75" customHeight="1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6"/>
      <c r="V52" s="1"/>
      <c r="W52" s="31"/>
      <c r="X52" s="31"/>
      <c r="Y52" s="31"/>
      <c r="Z52" s="31"/>
      <c r="AA52" s="2"/>
      <c r="AB52" s="31"/>
      <c r="AC52" s="31"/>
      <c r="AD52" s="31"/>
      <c r="AE52" s="37"/>
      <c r="AF52" s="37"/>
      <c r="AG52" s="37"/>
    </row>
    <row r="53" spans="1:33" ht="15.75" customHeight="1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6"/>
      <c r="V53" s="1"/>
      <c r="W53" s="31"/>
      <c r="X53" s="31"/>
      <c r="Y53" s="31"/>
      <c r="Z53" s="31"/>
      <c r="AA53" s="2"/>
      <c r="AB53" s="31"/>
      <c r="AC53" s="31"/>
      <c r="AD53" s="31"/>
      <c r="AE53" s="37"/>
      <c r="AF53" s="37"/>
      <c r="AG53" s="37"/>
    </row>
    <row r="54" spans="1:33" ht="15.75" customHeight="1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6"/>
      <c r="V54" s="1"/>
      <c r="W54" s="31"/>
      <c r="X54" s="31"/>
      <c r="Y54" s="31"/>
      <c r="Z54" s="31"/>
      <c r="AA54" s="2"/>
      <c r="AB54" s="31"/>
      <c r="AC54" s="31"/>
      <c r="AD54" s="31"/>
      <c r="AE54" s="37"/>
      <c r="AF54" s="37"/>
      <c r="AG54" s="37"/>
    </row>
    <row r="55" spans="1:33" ht="15.75" customHeight="1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6"/>
      <c r="V55" s="1"/>
      <c r="W55" s="31"/>
      <c r="X55" s="31"/>
      <c r="Y55" s="31"/>
      <c r="Z55" s="31"/>
      <c r="AA55" s="2"/>
      <c r="AB55" s="31"/>
      <c r="AC55" s="31"/>
      <c r="AD55" s="31"/>
      <c r="AE55" s="37"/>
      <c r="AF55" s="37"/>
      <c r="AG55" s="37"/>
    </row>
    <row r="56" spans="1:33" ht="15.75" customHeight="1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6"/>
      <c r="V56" s="1"/>
      <c r="W56" s="31"/>
      <c r="X56" s="31"/>
      <c r="Y56" s="31"/>
      <c r="Z56" s="31"/>
      <c r="AA56" s="2"/>
      <c r="AB56" s="31"/>
      <c r="AC56" s="31"/>
      <c r="AD56" s="31"/>
      <c r="AE56" s="37"/>
      <c r="AF56" s="37"/>
      <c r="AG56" s="37"/>
    </row>
    <row r="57" spans="1:33" ht="15.75" customHeight="1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6"/>
      <c r="V57" s="1"/>
      <c r="W57" s="31"/>
      <c r="X57" s="31"/>
      <c r="Y57" s="31"/>
      <c r="Z57" s="31"/>
      <c r="AA57" s="2"/>
      <c r="AB57" s="31"/>
      <c r="AC57" s="31"/>
      <c r="AD57" s="31"/>
      <c r="AE57" s="37"/>
      <c r="AF57" s="37"/>
      <c r="AG57" s="37"/>
    </row>
    <row r="58" spans="1:33" ht="15.75" customHeight="1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6"/>
      <c r="V58" s="1"/>
      <c r="W58" s="31"/>
      <c r="X58" s="31"/>
      <c r="Y58" s="31"/>
      <c r="Z58" s="31"/>
      <c r="AA58" s="2"/>
      <c r="AB58" s="31"/>
      <c r="AC58" s="31"/>
      <c r="AD58" s="31"/>
      <c r="AE58" s="37"/>
      <c r="AF58" s="37"/>
      <c r="AG58" s="37"/>
    </row>
    <row r="59" spans="1:33" ht="15.75" customHeight="1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6"/>
      <c r="V59" s="1"/>
      <c r="W59" s="31"/>
      <c r="X59" s="31"/>
      <c r="Y59" s="31"/>
      <c r="Z59" s="31"/>
      <c r="AA59" s="2"/>
      <c r="AB59" s="31"/>
      <c r="AC59" s="31"/>
      <c r="AD59" s="31"/>
      <c r="AE59" s="37"/>
      <c r="AF59" s="37"/>
      <c r="AG59" s="37"/>
    </row>
    <row r="60" spans="1:33" ht="15.75" customHeight="1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6"/>
      <c r="V60" s="1"/>
      <c r="W60" s="31"/>
      <c r="X60" s="31"/>
      <c r="Y60" s="31"/>
      <c r="Z60" s="31"/>
      <c r="AA60" s="2"/>
      <c r="AB60" s="31"/>
      <c r="AC60" s="31"/>
      <c r="AD60" s="31"/>
      <c r="AE60" s="37"/>
      <c r="AF60" s="37"/>
      <c r="AG60" s="37"/>
    </row>
    <row r="61" spans="1:33" ht="15.75" customHeight="1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6"/>
      <c r="V61" s="1"/>
      <c r="W61" s="31"/>
      <c r="X61" s="31"/>
      <c r="Y61" s="31"/>
      <c r="Z61" s="31"/>
      <c r="AA61" s="2"/>
      <c r="AB61" s="31"/>
      <c r="AC61" s="31"/>
      <c r="AD61" s="31"/>
      <c r="AE61" s="37"/>
      <c r="AF61" s="37"/>
      <c r="AG61" s="37"/>
    </row>
    <row r="62" spans="1:33" ht="15.75" customHeight="1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6"/>
      <c r="V62" s="1"/>
      <c r="W62" s="31"/>
      <c r="X62" s="31"/>
      <c r="Y62" s="31"/>
      <c r="Z62" s="31"/>
      <c r="AA62" s="2"/>
      <c r="AB62" s="31"/>
      <c r="AC62" s="31"/>
      <c r="AD62" s="31"/>
      <c r="AE62" s="37"/>
      <c r="AF62" s="37"/>
      <c r="AG62" s="37"/>
    </row>
    <row r="63" spans="1:33" ht="15.75" customHeight="1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6"/>
      <c r="V63" s="1"/>
      <c r="W63" s="31"/>
      <c r="X63" s="31"/>
      <c r="Y63" s="31"/>
      <c r="Z63" s="31"/>
      <c r="AA63" s="2"/>
      <c r="AB63" s="31"/>
      <c r="AC63" s="31"/>
      <c r="AD63" s="31"/>
      <c r="AE63" s="37"/>
      <c r="AF63" s="37"/>
      <c r="AG63" s="37"/>
    </row>
    <row r="64" spans="1:33" ht="15.75" customHeight="1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6"/>
      <c r="V64" s="1"/>
      <c r="W64" s="31"/>
      <c r="X64" s="31"/>
      <c r="Y64" s="31"/>
      <c r="Z64" s="31"/>
      <c r="AA64" s="2"/>
      <c r="AB64" s="31"/>
      <c r="AC64" s="31"/>
      <c r="AD64" s="31"/>
      <c r="AE64" s="37"/>
      <c r="AF64" s="37"/>
      <c r="AG64" s="37"/>
    </row>
    <row r="65" spans="1:33" ht="15.75" customHeight="1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6"/>
      <c r="V65" s="1"/>
      <c r="W65" s="31"/>
      <c r="X65" s="31"/>
      <c r="Y65" s="31"/>
      <c r="Z65" s="31"/>
      <c r="AA65" s="2"/>
      <c r="AB65" s="31"/>
      <c r="AC65" s="31"/>
      <c r="AD65" s="31"/>
      <c r="AE65" s="37"/>
      <c r="AF65" s="37"/>
      <c r="AG65" s="37"/>
    </row>
    <row r="66" spans="1:33" ht="15.75" customHeight="1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6"/>
      <c r="V66" s="1"/>
      <c r="W66" s="31"/>
      <c r="X66" s="31"/>
      <c r="Y66" s="31"/>
      <c r="Z66" s="31"/>
      <c r="AA66" s="2"/>
      <c r="AB66" s="31"/>
      <c r="AC66" s="31"/>
      <c r="AD66" s="31"/>
      <c r="AE66" s="37"/>
      <c r="AF66" s="37"/>
      <c r="AG66" s="37"/>
    </row>
    <row r="67" spans="1:33" ht="15.75" customHeight="1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6"/>
      <c r="V67" s="1"/>
      <c r="W67" s="31"/>
      <c r="X67" s="31"/>
      <c r="Y67" s="31"/>
      <c r="Z67" s="31"/>
      <c r="AA67" s="2"/>
      <c r="AB67" s="31"/>
      <c r="AC67" s="31"/>
      <c r="AD67" s="31"/>
      <c r="AE67" s="37"/>
      <c r="AF67" s="37"/>
      <c r="AG67" s="37"/>
    </row>
    <row r="68" spans="1:33" ht="15.75" customHeight="1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6"/>
      <c r="V68" s="1"/>
      <c r="W68" s="31"/>
      <c r="X68" s="31"/>
      <c r="Y68" s="31"/>
      <c r="Z68" s="31"/>
      <c r="AA68" s="2"/>
      <c r="AB68" s="31"/>
      <c r="AC68" s="31"/>
      <c r="AD68" s="31"/>
      <c r="AE68" s="37"/>
      <c r="AF68" s="37"/>
      <c r="AG68" s="37"/>
    </row>
    <row r="69" spans="1:33" ht="15.75" customHeight="1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6"/>
      <c r="V69" s="1"/>
      <c r="W69" s="31"/>
      <c r="X69" s="31"/>
      <c r="Y69" s="31"/>
      <c r="Z69" s="31"/>
      <c r="AA69" s="2"/>
      <c r="AB69" s="31"/>
      <c r="AC69" s="31"/>
      <c r="AD69" s="31"/>
      <c r="AE69" s="37"/>
      <c r="AF69" s="37"/>
      <c r="AG69" s="37"/>
    </row>
    <row r="70" spans="1:33" ht="15.75" customHeight="1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6"/>
      <c r="V70" s="1"/>
      <c r="W70" s="31"/>
      <c r="X70" s="31"/>
      <c r="Y70" s="31"/>
      <c r="Z70" s="31"/>
      <c r="AA70" s="2"/>
      <c r="AB70" s="31"/>
      <c r="AC70" s="31"/>
      <c r="AD70" s="31"/>
      <c r="AE70" s="37"/>
      <c r="AF70" s="37"/>
      <c r="AG70" s="37"/>
    </row>
    <row r="71" spans="1:33" ht="15.75" customHeight="1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6"/>
      <c r="V71" s="1"/>
      <c r="W71" s="31"/>
      <c r="X71" s="31"/>
      <c r="Y71" s="31"/>
      <c r="Z71" s="31"/>
      <c r="AA71" s="2"/>
      <c r="AB71" s="31"/>
      <c r="AC71" s="31"/>
      <c r="AD71" s="31"/>
      <c r="AE71" s="37"/>
      <c r="AF71" s="37"/>
      <c r="AG71" s="37"/>
    </row>
    <row r="72" spans="1:33" ht="15.75" customHeight="1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6"/>
      <c r="V72" s="1"/>
      <c r="W72" s="31"/>
      <c r="X72" s="31"/>
      <c r="Y72" s="31"/>
      <c r="Z72" s="31"/>
      <c r="AA72" s="2"/>
      <c r="AB72" s="31"/>
      <c r="AC72" s="31"/>
      <c r="AD72" s="31"/>
      <c r="AE72" s="37"/>
      <c r="AF72" s="37"/>
      <c r="AG72" s="37"/>
    </row>
    <row r="73" spans="1:33" ht="15.75" customHeight="1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6"/>
      <c r="V73" s="1"/>
      <c r="W73" s="31"/>
      <c r="X73" s="31"/>
      <c r="Y73" s="31"/>
      <c r="Z73" s="31"/>
      <c r="AA73" s="2"/>
      <c r="AB73" s="31"/>
      <c r="AC73" s="31"/>
      <c r="AD73" s="31"/>
      <c r="AE73" s="37"/>
      <c r="AF73" s="37"/>
      <c r="AG73" s="37"/>
    </row>
    <row r="74" spans="1:33" ht="15.75" customHeight="1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6"/>
      <c r="V74" s="1"/>
      <c r="W74" s="31"/>
      <c r="X74" s="31"/>
      <c r="Y74" s="31"/>
      <c r="Z74" s="31"/>
      <c r="AA74" s="2"/>
      <c r="AB74" s="31"/>
      <c r="AC74" s="31"/>
      <c r="AD74" s="31"/>
      <c r="AE74" s="37"/>
      <c r="AF74" s="37"/>
      <c r="AG74" s="37"/>
    </row>
    <row r="75" spans="1:33" ht="15.75" customHeight="1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6"/>
      <c r="V75" s="1"/>
      <c r="W75" s="31"/>
      <c r="X75" s="31"/>
      <c r="Y75" s="31"/>
      <c r="Z75" s="31"/>
      <c r="AA75" s="2"/>
      <c r="AB75" s="31"/>
      <c r="AC75" s="31"/>
      <c r="AD75" s="31"/>
      <c r="AE75" s="37"/>
      <c r="AF75" s="37"/>
      <c r="AG75" s="37"/>
    </row>
    <row r="76" spans="1:33" ht="15.75" customHeight="1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6"/>
      <c r="V76" s="1"/>
      <c r="W76" s="31"/>
      <c r="X76" s="31"/>
      <c r="Y76" s="31"/>
      <c r="Z76" s="31"/>
      <c r="AA76" s="2"/>
      <c r="AB76" s="31"/>
      <c r="AC76" s="31"/>
      <c r="AD76" s="31"/>
      <c r="AE76" s="37"/>
      <c r="AF76" s="37"/>
      <c r="AG76" s="37"/>
    </row>
    <row r="77" spans="1:33" ht="15.75" customHeight="1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6"/>
      <c r="V77" s="1"/>
      <c r="W77" s="31"/>
      <c r="X77" s="31"/>
      <c r="Y77" s="31"/>
      <c r="Z77" s="31"/>
      <c r="AA77" s="2"/>
      <c r="AB77" s="31"/>
      <c r="AC77" s="31"/>
      <c r="AD77" s="31"/>
      <c r="AE77" s="37"/>
      <c r="AF77" s="37"/>
      <c r="AG77" s="37"/>
    </row>
    <row r="78" spans="1:33" ht="15.75" customHeight="1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6"/>
      <c r="V78" s="1"/>
      <c r="W78" s="31"/>
      <c r="X78" s="31"/>
      <c r="Y78" s="31"/>
      <c r="Z78" s="31"/>
      <c r="AA78" s="2"/>
      <c r="AB78" s="31"/>
      <c r="AC78" s="31"/>
      <c r="AD78" s="31"/>
      <c r="AE78" s="37"/>
      <c r="AF78" s="37"/>
      <c r="AG78" s="37"/>
    </row>
    <row r="79" spans="1:33" ht="15.75" customHeight="1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6"/>
      <c r="V79" s="1"/>
      <c r="W79" s="31"/>
      <c r="X79" s="31"/>
      <c r="Y79" s="31"/>
      <c r="Z79" s="31"/>
      <c r="AA79" s="2"/>
      <c r="AB79" s="31"/>
      <c r="AC79" s="31"/>
      <c r="AD79" s="31"/>
      <c r="AE79" s="37"/>
      <c r="AF79" s="37"/>
      <c r="AG79" s="37"/>
    </row>
    <row r="80" spans="1:33" ht="15.75" customHeight="1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6"/>
      <c r="V80" s="1"/>
      <c r="W80" s="31"/>
      <c r="X80" s="31"/>
      <c r="Y80" s="31"/>
      <c r="Z80" s="31"/>
      <c r="AA80" s="2"/>
      <c r="AB80" s="31"/>
      <c r="AC80" s="31"/>
      <c r="AD80" s="31"/>
      <c r="AE80" s="37"/>
      <c r="AF80" s="37"/>
      <c r="AG80" s="37"/>
    </row>
    <row r="81" spans="1:33" ht="15.75" customHeight="1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6"/>
      <c r="V81" s="1"/>
      <c r="W81" s="31"/>
      <c r="X81" s="31"/>
      <c r="Y81" s="31"/>
      <c r="Z81" s="31"/>
      <c r="AA81" s="2"/>
      <c r="AB81" s="31"/>
      <c r="AC81" s="31"/>
      <c r="AD81" s="31"/>
      <c r="AE81" s="37"/>
      <c r="AF81" s="37"/>
      <c r="AG81" s="37"/>
    </row>
    <row r="82" spans="1:33" ht="15.75" customHeight="1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6"/>
      <c r="V82" s="1"/>
      <c r="W82" s="31"/>
      <c r="X82" s="31"/>
      <c r="Y82" s="31"/>
      <c r="Z82" s="31"/>
      <c r="AA82" s="2"/>
      <c r="AB82" s="31"/>
      <c r="AC82" s="31"/>
      <c r="AD82" s="31"/>
      <c r="AE82" s="37"/>
      <c r="AF82" s="37"/>
      <c r="AG82" s="37"/>
    </row>
    <row r="83" spans="1:33" ht="15.75" customHeight="1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6"/>
      <c r="V83" s="1"/>
      <c r="W83" s="31"/>
      <c r="X83" s="31"/>
      <c r="Y83" s="31"/>
      <c r="Z83" s="31"/>
      <c r="AA83" s="2"/>
      <c r="AB83" s="31"/>
      <c r="AC83" s="31"/>
      <c r="AD83" s="31"/>
      <c r="AE83" s="37"/>
      <c r="AF83" s="37"/>
      <c r="AG83" s="37"/>
    </row>
    <row r="84" spans="1:33" ht="15.75" customHeight="1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6"/>
      <c r="V84" s="1"/>
      <c r="W84" s="31"/>
      <c r="X84" s="31"/>
      <c r="Y84" s="31"/>
      <c r="Z84" s="31"/>
      <c r="AA84" s="2"/>
      <c r="AB84" s="31"/>
      <c r="AC84" s="31"/>
      <c r="AD84" s="31"/>
      <c r="AE84" s="37"/>
      <c r="AF84" s="37"/>
      <c r="AG84" s="37"/>
    </row>
    <row r="85" spans="1:33" ht="15.75" customHeight="1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6"/>
      <c r="V85" s="1"/>
      <c r="W85" s="31"/>
      <c r="X85" s="31"/>
      <c r="Y85" s="31"/>
      <c r="Z85" s="31"/>
      <c r="AA85" s="2"/>
      <c r="AB85" s="31"/>
      <c r="AC85" s="31"/>
      <c r="AD85" s="31"/>
      <c r="AE85" s="37"/>
      <c r="AF85" s="37"/>
      <c r="AG85" s="37"/>
    </row>
    <row r="86" spans="1:33" ht="15.75" customHeight="1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6"/>
      <c r="V86" s="1"/>
      <c r="W86" s="31"/>
      <c r="X86" s="31"/>
      <c r="Y86" s="31"/>
      <c r="Z86" s="31"/>
      <c r="AA86" s="2"/>
      <c r="AB86" s="31"/>
      <c r="AC86" s="31"/>
      <c r="AD86" s="31"/>
      <c r="AE86" s="37"/>
      <c r="AF86" s="37"/>
      <c r="AG86" s="37"/>
    </row>
    <row r="87" spans="1:33" ht="15.75" customHeight="1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6"/>
      <c r="V87" s="1"/>
      <c r="W87" s="31"/>
      <c r="X87" s="31"/>
      <c r="Y87" s="31"/>
      <c r="Z87" s="31"/>
      <c r="AA87" s="2"/>
      <c r="AB87" s="31"/>
      <c r="AC87" s="31"/>
      <c r="AD87" s="31"/>
      <c r="AE87" s="37"/>
      <c r="AF87" s="37"/>
      <c r="AG87" s="37"/>
    </row>
    <row r="88" spans="1:33" ht="15.75" customHeight="1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6"/>
      <c r="V88" s="1"/>
      <c r="W88" s="31"/>
      <c r="X88" s="31"/>
      <c r="Y88" s="31"/>
      <c r="Z88" s="31"/>
      <c r="AA88" s="2"/>
      <c r="AB88" s="31"/>
      <c r="AC88" s="31"/>
      <c r="AD88" s="31"/>
      <c r="AE88" s="37"/>
      <c r="AF88" s="37"/>
      <c r="AG88" s="37"/>
    </row>
    <row r="89" spans="1:33" ht="15.75" customHeight="1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6"/>
      <c r="V89" s="1"/>
      <c r="W89" s="31"/>
      <c r="X89" s="31"/>
      <c r="Y89" s="31"/>
      <c r="Z89" s="31"/>
      <c r="AA89" s="2"/>
      <c r="AB89" s="31"/>
      <c r="AC89" s="31"/>
      <c r="AD89" s="31"/>
      <c r="AE89" s="37"/>
      <c r="AF89" s="37"/>
      <c r="AG89" s="37"/>
    </row>
    <row r="90" spans="1:33" ht="15.75" customHeight="1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6"/>
      <c r="V90" s="1"/>
      <c r="W90" s="31"/>
      <c r="X90" s="31"/>
      <c r="Y90" s="31"/>
      <c r="Z90" s="31"/>
      <c r="AA90" s="2"/>
      <c r="AB90" s="31"/>
      <c r="AC90" s="31"/>
      <c r="AD90" s="31"/>
      <c r="AE90" s="37"/>
      <c r="AF90" s="37"/>
      <c r="AG90" s="37"/>
    </row>
    <row r="91" spans="1:33" ht="15.75" customHeight="1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6"/>
      <c r="V91" s="1"/>
      <c r="W91" s="31"/>
      <c r="X91" s="31"/>
      <c r="Y91" s="31"/>
      <c r="Z91" s="31"/>
      <c r="AA91" s="2"/>
      <c r="AB91" s="31"/>
      <c r="AC91" s="31"/>
      <c r="AD91" s="31"/>
      <c r="AE91" s="37"/>
      <c r="AF91" s="37"/>
      <c r="AG91" s="37"/>
    </row>
    <row r="92" spans="1:33" ht="15.75" customHeight="1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6"/>
      <c r="V92" s="1"/>
      <c r="W92" s="31"/>
      <c r="X92" s="31"/>
      <c r="Y92" s="31"/>
      <c r="Z92" s="31"/>
      <c r="AA92" s="2"/>
      <c r="AB92" s="31"/>
      <c r="AC92" s="31"/>
      <c r="AD92" s="31"/>
      <c r="AE92" s="37"/>
      <c r="AF92" s="37"/>
      <c r="AG92" s="37"/>
    </row>
    <row r="93" spans="1:33" ht="15.75" customHeight="1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6"/>
      <c r="V93" s="1"/>
      <c r="W93" s="31"/>
      <c r="X93" s="31"/>
      <c r="Y93" s="31"/>
      <c r="Z93" s="31"/>
      <c r="AA93" s="2"/>
      <c r="AB93" s="31"/>
      <c r="AC93" s="31"/>
      <c r="AD93" s="31"/>
      <c r="AE93" s="37"/>
      <c r="AF93" s="37"/>
      <c r="AG93" s="37"/>
    </row>
    <row r="94" spans="1:33" ht="15.75" customHeight="1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6"/>
      <c r="V94" s="1"/>
      <c r="W94" s="31"/>
      <c r="X94" s="31"/>
      <c r="Y94" s="31"/>
      <c r="Z94" s="31"/>
      <c r="AA94" s="2"/>
      <c r="AB94" s="31"/>
      <c r="AC94" s="31"/>
      <c r="AD94" s="31"/>
      <c r="AE94" s="37"/>
      <c r="AF94" s="37"/>
      <c r="AG94" s="37"/>
    </row>
    <row r="95" spans="1:33" ht="15.75" customHeight="1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6"/>
      <c r="V95" s="1"/>
      <c r="W95" s="31"/>
      <c r="X95" s="31"/>
      <c r="Y95" s="31"/>
      <c r="Z95" s="31"/>
      <c r="AA95" s="2"/>
      <c r="AB95" s="31"/>
      <c r="AC95" s="31"/>
      <c r="AD95" s="31"/>
      <c r="AE95" s="37"/>
      <c r="AF95" s="37"/>
      <c r="AG95" s="37"/>
    </row>
    <row r="96" spans="1:33" ht="15.75" customHeight="1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6"/>
      <c r="V96" s="1"/>
      <c r="W96" s="31"/>
      <c r="X96" s="31"/>
      <c r="Y96" s="31"/>
      <c r="Z96" s="31"/>
      <c r="AA96" s="2"/>
      <c r="AB96" s="31"/>
      <c r="AC96" s="31"/>
      <c r="AD96" s="31"/>
      <c r="AE96" s="37"/>
      <c r="AF96" s="37"/>
      <c r="AG96" s="37"/>
    </row>
    <row r="97" spans="1:33" ht="15.75" customHeight="1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8"/>
      <c r="R97" s="38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8"/>
      <c r="R98" s="38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8"/>
      <c r="R99" s="38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8"/>
      <c r="R100" s="38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8"/>
      <c r="R101" s="38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8"/>
      <c r="R102" s="38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8"/>
      <c r="R103" s="38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8"/>
      <c r="R104" s="38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8"/>
      <c r="R105" s="38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8"/>
      <c r="R106" s="38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8"/>
      <c r="R107" s="38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8"/>
      <c r="R108" s="38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8"/>
      <c r="R109" s="38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8"/>
      <c r="R110" s="38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8"/>
      <c r="R111" s="38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8"/>
      <c r="R112" s="38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8"/>
      <c r="R113" s="38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8"/>
      <c r="R114" s="38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>
      <c r="A115" s="31"/>
      <c r="B115" s="31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>
      <c r="A116" s="31"/>
      <c r="B116" s="31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>
      <c r="A117" s="31"/>
      <c r="B117" s="31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>
      <c r="A118" s="31"/>
      <c r="B118" s="31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>
      <c r="A119" s="31"/>
      <c r="B119" s="31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>
      <c r="A120" s="31"/>
      <c r="B120" s="31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>
      <c r="A121" s="31"/>
      <c r="B121" s="31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>
      <c r="A122" s="31"/>
      <c r="B122" s="31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>
      <c r="A123" s="31"/>
      <c r="B123" s="31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>
      <c r="A124" s="31"/>
      <c r="B124" s="31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>
      <c r="A125" s="31"/>
      <c r="B125" s="31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>
      <c r="A126" s="31"/>
      <c r="B126" s="31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>
      <c r="A127" s="31"/>
      <c r="B127" s="31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>
      <c r="A128" s="31"/>
      <c r="B128" s="31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>
      <c r="A129" s="31"/>
      <c r="B129" s="31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>
      <c r="A130" s="31"/>
      <c r="B130" s="31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>
      <c r="A131" s="31"/>
      <c r="B131" s="31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>
      <c r="A132" s="31"/>
      <c r="B132" s="31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>
      <c r="A133" s="31"/>
      <c r="B133" s="31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>
      <c r="A134" s="31"/>
      <c r="B134" s="31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>
      <c r="A135" s="31"/>
      <c r="B135" s="31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>
      <c r="A136" s="31"/>
      <c r="B136" s="31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>
      <c r="A137" s="31"/>
      <c r="B137" s="31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>
      <c r="A138" s="31"/>
      <c r="B138" s="31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>
      <c r="A139" s="31"/>
      <c r="B139" s="31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>
      <c r="A140" s="31"/>
      <c r="B140" s="31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>
      <c r="A141" s="31"/>
      <c r="B141" s="31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2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>
      <c r="A142" s="31"/>
      <c r="B142" s="31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2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>
      <c r="A143" s="31"/>
      <c r="B143" s="31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2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>
      <c r="A144" s="31"/>
      <c r="B144" s="31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2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>
      <c r="A145" s="31"/>
      <c r="B145" s="31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2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>
      <c r="A146" s="31"/>
      <c r="B146" s="31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2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>
      <c r="A147" s="31"/>
      <c r="B147" s="31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2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>
      <c r="A148" s="31"/>
      <c r="B148" s="31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2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</row>
    <row r="149" spans="1:33" ht="15.75" customHeight="1">
      <c r="A149" s="14"/>
      <c r="B149" s="14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>
      <c r="A150" s="14"/>
      <c r="B150" s="14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>
      <c r="A151" s="14"/>
      <c r="B151" s="14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>
      <c r="A152" s="14"/>
      <c r="B152" s="14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>
      <c r="A153" s="14"/>
      <c r="B153" s="14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>
      <c r="A154" s="14"/>
      <c r="B154" s="14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>
      <c r="A155" s="14"/>
      <c r="B155" s="14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>
      <c r="A156" s="14"/>
      <c r="B156" s="14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>
      <c r="A157" s="14"/>
      <c r="B157" s="14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>
      <c r="A158" s="14"/>
      <c r="B158" s="14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>
      <c r="A159" s="14"/>
      <c r="B159" s="14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>
      <c r="A160" s="14"/>
      <c r="B160" s="14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>
      <c r="A161" s="14"/>
      <c r="B161" s="14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>
      <c r="A162" s="14"/>
      <c r="B162" s="14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>
      <c r="A163" s="14"/>
      <c r="B163" s="14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>
      <c r="A164" s="14"/>
      <c r="B164" s="14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>
      <c r="A165" s="14"/>
      <c r="B165" s="14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>
      <c r="A166" s="14"/>
      <c r="B166" s="14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>
      <c r="A167" s="14"/>
      <c r="B167" s="14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>
      <c r="A168" s="14"/>
      <c r="B168" s="14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>
      <c r="A169" s="14"/>
      <c r="B169" s="14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>
      <c r="A170" s="14"/>
      <c r="B170" s="14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>
      <c r="A171" s="14"/>
      <c r="B171" s="14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>
      <c r="A172" s="14"/>
      <c r="B172" s="14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>
      <c r="A173" s="14"/>
      <c r="B173" s="14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>
      <c r="A174" s="14"/>
      <c r="B174" s="14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>
      <c r="A175" s="14"/>
      <c r="B175" s="14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>
      <c r="A176" s="14"/>
      <c r="B176" s="14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>
      <c r="A177" s="14"/>
      <c r="B177" s="14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>
      <c r="A178" s="14"/>
      <c r="B178" s="14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>
      <c r="A179" s="14"/>
      <c r="B179" s="14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>
      <c r="A180" s="14"/>
      <c r="B180" s="14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>
      <c r="A181" s="14"/>
      <c r="B181" s="14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>
      <c r="A182" s="14"/>
      <c r="B182" s="14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>
      <c r="A183" s="14"/>
      <c r="B183" s="14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>
      <c r="A184" s="14"/>
      <c r="B184" s="14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>
      <c r="A185" s="14"/>
      <c r="B185" s="14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>
      <c r="A186" s="14"/>
      <c r="B186" s="14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>
      <c r="A187" s="14"/>
      <c r="B187" s="14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>
      <c r="A188" s="14"/>
      <c r="B188" s="14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>
      <c r="A189" s="14"/>
      <c r="B189" s="14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>
      <c r="A190" s="14"/>
      <c r="B190" s="14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>
      <c r="A191" s="14"/>
      <c r="B191" s="14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>
      <c r="A192" s="14"/>
      <c r="B192" s="14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>
      <c r="A193" s="14"/>
      <c r="B193" s="14"/>
      <c r="C193" s="39"/>
      <c r="D193" s="39"/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>
      <c r="A194" s="14"/>
      <c r="B194" s="14"/>
      <c r="C194" s="39"/>
      <c r="D194" s="39"/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>
      <c r="A195" s="14"/>
      <c r="B195" s="14"/>
      <c r="C195" s="39"/>
      <c r="D195" s="39"/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>
      <c r="A196" s="14"/>
      <c r="B196" s="14"/>
      <c r="C196" s="39"/>
      <c r="D196" s="39"/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>
      <c r="A197" s="14"/>
      <c r="B197" s="14"/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>
      <c r="A198" s="14"/>
      <c r="B198" s="14"/>
      <c r="C198" s="39"/>
      <c r="D198" s="39"/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>
      <c r="A199" s="14"/>
      <c r="B199" s="14"/>
      <c r="C199" s="39"/>
      <c r="D199" s="39"/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>
      <c r="A200" s="14"/>
      <c r="B200" s="14"/>
      <c r="C200" s="39"/>
      <c r="D200" s="39"/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>
      <c r="A201" s="14"/>
      <c r="B201" s="14"/>
      <c r="C201" s="39"/>
      <c r="D201" s="39"/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>
      <c r="A202" s="14"/>
      <c r="B202" s="14"/>
      <c r="C202" s="39"/>
      <c r="D202" s="39"/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>
      <c r="A203" s="14"/>
      <c r="B203" s="14"/>
      <c r="C203" s="39"/>
      <c r="D203" s="39"/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>
      <c r="A204" s="14"/>
      <c r="B204" s="14"/>
      <c r="C204" s="39"/>
      <c r="D204" s="39"/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>
      <c r="A205" s="14"/>
      <c r="B205" s="14"/>
      <c r="C205" s="39"/>
      <c r="D205" s="39"/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>
      <c r="A206" s="14"/>
      <c r="B206" s="14"/>
      <c r="C206" s="39"/>
      <c r="D206" s="39"/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>
      <c r="A207" s="14"/>
      <c r="B207" s="14"/>
      <c r="C207" s="39"/>
      <c r="D207" s="39"/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>
      <c r="A208" s="14"/>
      <c r="B208" s="14"/>
      <c r="C208" s="39"/>
      <c r="D208" s="39"/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>
      <c r="A209" s="14"/>
      <c r="B209" s="14"/>
      <c r="C209" s="39"/>
      <c r="D209" s="39"/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>
      <c r="A210" s="14"/>
      <c r="B210" s="14"/>
      <c r="C210" s="39"/>
      <c r="D210" s="39"/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>
      <c r="A211" s="14"/>
      <c r="B211" s="14"/>
      <c r="C211" s="39"/>
      <c r="D211" s="39"/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>
      <c r="A212" s="14"/>
      <c r="B212" s="14"/>
      <c r="C212" s="39"/>
      <c r="D212" s="39"/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>
      <c r="A213" s="14"/>
      <c r="B213" s="14"/>
      <c r="C213" s="39"/>
      <c r="D213" s="39"/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>
      <c r="A214" s="14"/>
      <c r="B214" s="14"/>
      <c r="C214" s="39"/>
      <c r="D214" s="39"/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>
      <c r="A215" s="14"/>
      <c r="B215" s="14"/>
      <c r="C215" s="39"/>
      <c r="D215" s="39"/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>
      <c r="A216" s="14"/>
      <c r="B216" s="14"/>
      <c r="C216" s="39"/>
      <c r="D216" s="39"/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>
      <c r="A217" s="14"/>
      <c r="B217" s="14"/>
      <c r="C217" s="39"/>
      <c r="D217" s="39"/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>
      <c r="A218" s="14"/>
      <c r="B218" s="14"/>
      <c r="C218" s="39"/>
      <c r="D218" s="39"/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>
      <c r="A219" s="14"/>
      <c r="B219" s="14"/>
      <c r="C219" s="39"/>
      <c r="D219" s="39"/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>
      <c r="A220" s="14"/>
      <c r="B220" s="14"/>
      <c r="C220" s="39"/>
      <c r="D220" s="39"/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>
      <c r="R221" s="30"/>
      <c r="S221" s="40"/>
    </row>
    <row r="222" spans="1:33" ht="15.75" customHeight="1">
      <c r="R222" s="30"/>
      <c r="S222" s="40"/>
    </row>
    <row r="223" spans="1:33" ht="15.75" customHeight="1">
      <c r="R223" s="30"/>
      <c r="S223" s="40"/>
    </row>
    <row r="224" spans="1:33" ht="15.75" customHeight="1">
      <c r="R224" s="30"/>
      <c r="S224" s="40"/>
    </row>
    <row r="225" spans="18:18" ht="15.75" customHeight="1">
      <c r="R225" s="30"/>
    </row>
    <row r="226" spans="18:18" ht="15.75" customHeight="1">
      <c r="R226" s="30"/>
    </row>
    <row r="227" spans="18:18" ht="15.75" customHeight="1">
      <c r="R227" s="30"/>
    </row>
    <row r="228" spans="18:18" ht="15.75" customHeight="1">
      <c r="R228" s="30"/>
    </row>
    <row r="229" spans="18:18" ht="15.75" customHeight="1">
      <c r="R229" s="30"/>
    </row>
    <row r="230" spans="18:18" ht="15.75" customHeight="1">
      <c r="R230" s="30"/>
    </row>
    <row r="231" spans="18:18" ht="15.75" customHeight="1">
      <c r="R231" s="30"/>
    </row>
    <row r="232" spans="18:18" ht="15.75" customHeight="1">
      <c r="R232" s="30"/>
    </row>
    <row r="233" spans="18:18" ht="15.75" customHeight="1">
      <c r="R233" s="30"/>
    </row>
    <row r="234" spans="18:18" ht="15.75" customHeight="1">
      <c r="R234" s="30"/>
    </row>
    <row r="235" spans="18:18" ht="15.75" customHeight="1">
      <c r="R235" s="30"/>
    </row>
    <row r="236" spans="18:18" ht="15.75" customHeight="1">
      <c r="R236" s="30"/>
    </row>
    <row r="237" spans="18:18" ht="15.75" customHeight="1">
      <c r="R237" s="30"/>
    </row>
    <row r="238" spans="18:18" ht="15.75" customHeight="1">
      <c r="R238" s="30"/>
    </row>
    <row r="239" spans="18:18" ht="15.75" customHeight="1">
      <c r="R239" s="30"/>
    </row>
    <row r="240" spans="18:18" ht="15.75" customHeight="1">
      <c r="R240" s="30"/>
    </row>
    <row r="241" spans="18:18" ht="15.75" customHeight="1">
      <c r="R241" s="30"/>
    </row>
    <row r="242" spans="18:18" ht="15.75" customHeight="1">
      <c r="R242" s="30"/>
    </row>
    <row r="243" spans="18:18" ht="15.75" customHeight="1">
      <c r="R243" s="30"/>
    </row>
    <row r="244" spans="18:18" ht="15.75" customHeight="1">
      <c r="R244" s="30"/>
    </row>
    <row r="245" spans="18:18" ht="15.75" customHeight="1">
      <c r="R245" s="30"/>
    </row>
    <row r="246" spans="18:18" ht="15.75" customHeight="1">
      <c r="R246" s="30"/>
    </row>
    <row r="247" spans="18:18" ht="15.75" customHeight="1">
      <c r="R247" s="30"/>
    </row>
    <row r="248" spans="18:18" ht="15.75" customHeight="1">
      <c r="R248" s="30"/>
    </row>
    <row r="249" spans="18:18" ht="15.75" customHeight="1">
      <c r="R249" s="30"/>
    </row>
    <row r="250" spans="18:18" ht="15.75" customHeight="1">
      <c r="R250" s="30"/>
    </row>
    <row r="251" spans="18:18" ht="15.75" customHeight="1">
      <c r="R251" s="30"/>
    </row>
    <row r="252" spans="18:18" ht="15.75" customHeight="1">
      <c r="R252" s="30"/>
    </row>
    <row r="253" spans="18:18" ht="15.75" customHeight="1">
      <c r="R253" s="30"/>
    </row>
    <row r="254" spans="18:18" ht="15.75" customHeight="1">
      <c r="R254" s="30"/>
    </row>
    <row r="255" spans="18:18" ht="15.75" customHeight="1">
      <c r="R255" s="30"/>
    </row>
    <row r="256" spans="18:18" ht="15.75" customHeight="1">
      <c r="R256" s="30"/>
    </row>
    <row r="257" spans="18:18" ht="15.75" customHeight="1">
      <c r="R257" s="30"/>
    </row>
    <row r="258" spans="18:18" ht="15.75" customHeight="1">
      <c r="R258" s="30"/>
    </row>
    <row r="259" spans="18:18" ht="15.75" customHeight="1">
      <c r="R259" s="30"/>
    </row>
    <row r="260" spans="18:18" ht="15.75" customHeight="1">
      <c r="R260" s="30"/>
    </row>
    <row r="261" spans="18:18" ht="15.75" customHeight="1">
      <c r="R261" s="30"/>
    </row>
    <row r="262" spans="18:18" ht="15.75" customHeight="1">
      <c r="R262" s="30"/>
    </row>
    <row r="263" spans="18:18" ht="15.75" customHeight="1">
      <c r="R263" s="30"/>
    </row>
    <row r="264" spans="18:18" ht="15.75" customHeight="1">
      <c r="R264" s="30"/>
    </row>
    <row r="265" spans="18:18" ht="15.75" customHeight="1">
      <c r="R265" s="30"/>
    </row>
    <row r="266" spans="18:18" ht="15.75" customHeight="1">
      <c r="R266" s="30"/>
    </row>
    <row r="267" spans="18:18" ht="15.75" customHeight="1">
      <c r="R267" s="30"/>
    </row>
    <row r="268" spans="18:18" ht="15.75" customHeight="1">
      <c r="R268" s="30"/>
    </row>
    <row r="269" spans="18:18" ht="15.75" customHeight="1">
      <c r="R269" s="30"/>
    </row>
    <row r="270" spans="18:18" ht="15.75" customHeight="1">
      <c r="R270" s="30"/>
    </row>
    <row r="271" spans="18:18" ht="15.75" customHeight="1">
      <c r="R271" s="30"/>
    </row>
    <row r="272" spans="18:18" ht="15.75" customHeight="1">
      <c r="R272" s="30"/>
    </row>
    <row r="273" spans="18:18" ht="15.75" customHeight="1">
      <c r="R273" s="30"/>
    </row>
    <row r="274" spans="18:18" ht="15.75" customHeight="1">
      <c r="R274" s="30"/>
    </row>
    <row r="275" spans="18:18" ht="15.75" customHeight="1">
      <c r="R275" s="30"/>
    </row>
    <row r="276" spans="18:18" ht="15.75" customHeight="1">
      <c r="R276" s="30"/>
    </row>
    <row r="277" spans="18:18" ht="15.75" customHeight="1">
      <c r="R277" s="30"/>
    </row>
    <row r="278" spans="18:18" ht="15.75" customHeight="1">
      <c r="R278" s="30"/>
    </row>
    <row r="279" spans="18:18" ht="15.75" customHeight="1">
      <c r="R279" s="30"/>
    </row>
    <row r="280" spans="18:18" ht="15.75" customHeight="1">
      <c r="R280" s="30"/>
    </row>
    <row r="281" spans="18:18" ht="15.75" customHeight="1">
      <c r="R281" s="30"/>
    </row>
    <row r="282" spans="18:18" ht="15.75" customHeight="1">
      <c r="R282" s="30"/>
    </row>
    <row r="283" spans="18:18" ht="15.75" customHeight="1">
      <c r="R283" s="30"/>
    </row>
    <row r="284" spans="18:18" ht="15.75" customHeight="1">
      <c r="R284" s="30"/>
    </row>
    <row r="285" spans="18:18" ht="15.75" customHeight="1">
      <c r="R285" s="30"/>
    </row>
    <row r="286" spans="18:18" ht="15.75" customHeight="1">
      <c r="R286" s="30"/>
    </row>
    <row r="287" spans="18:18" ht="15.75" customHeight="1">
      <c r="R287" s="30"/>
    </row>
    <row r="288" spans="18:18" ht="15.75" customHeight="1">
      <c r="R288" s="30"/>
    </row>
    <row r="289" spans="18:18" ht="15.75" customHeight="1">
      <c r="R289" s="30"/>
    </row>
    <row r="290" spans="18:18" ht="15.75" customHeight="1">
      <c r="R290" s="30"/>
    </row>
    <row r="291" spans="18:18" ht="15.75" customHeight="1">
      <c r="R291" s="30"/>
    </row>
    <row r="292" spans="18:18" ht="15.75" customHeight="1">
      <c r="R292" s="30"/>
    </row>
    <row r="293" spans="18:18" ht="15.75" customHeight="1">
      <c r="R293" s="30"/>
    </row>
    <row r="294" spans="18:18" ht="15.75" customHeight="1">
      <c r="R294" s="30"/>
    </row>
    <row r="295" spans="18:18" ht="15.75" customHeight="1">
      <c r="R295" s="30"/>
    </row>
    <row r="296" spans="18:18" ht="15.75" customHeight="1">
      <c r="R296" s="30"/>
    </row>
    <row r="297" spans="18:18" ht="15.75" customHeight="1">
      <c r="R297" s="30"/>
    </row>
    <row r="298" spans="18:18" ht="15.75" customHeight="1">
      <c r="R298" s="30"/>
    </row>
    <row r="299" spans="18:18" ht="15.75" customHeight="1">
      <c r="R299" s="30"/>
    </row>
    <row r="300" spans="18:18" ht="15.75" customHeight="1">
      <c r="R300" s="30"/>
    </row>
    <row r="301" spans="18:18" ht="15.75" customHeight="1">
      <c r="R301" s="30"/>
    </row>
    <row r="302" spans="18:18" ht="15.75" customHeight="1">
      <c r="R302" s="30"/>
    </row>
    <row r="303" spans="18:18" ht="15.75" customHeight="1">
      <c r="R303" s="30"/>
    </row>
    <row r="304" spans="18:18" ht="15.75" customHeight="1">
      <c r="R304" s="30"/>
    </row>
    <row r="305" spans="18:18" ht="15.75" customHeight="1">
      <c r="R305" s="30"/>
    </row>
    <row r="306" spans="18:18" ht="15.75" customHeight="1">
      <c r="R306" s="30"/>
    </row>
    <row r="307" spans="18:18" ht="15.75" customHeight="1">
      <c r="R307" s="30"/>
    </row>
    <row r="308" spans="18:18" ht="15.75" customHeight="1">
      <c r="R308" s="30"/>
    </row>
    <row r="309" spans="18:18" ht="15.75" customHeight="1">
      <c r="R309" s="30"/>
    </row>
    <row r="310" spans="18:18" ht="15.75" customHeight="1">
      <c r="R310" s="30"/>
    </row>
    <row r="311" spans="18:18" ht="15.75" customHeight="1">
      <c r="R311" s="30"/>
    </row>
    <row r="312" spans="18:18" ht="15.75" customHeight="1">
      <c r="R312" s="30"/>
    </row>
    <row r="313" spans="18:18" ht="15.75" customHeight="1">
      <c r="R313" s="30"/>
    </row>
    <row r="314" spans="18:18" ht="15.75" customHeight="1">
      <c r="R314" s="30"/>
    </row>
    <row r="315" spans="18:18" ht="15.75" customHeight="1">
      <c r="R315" s="30"/>
    </row>
    <row r="316" spans="18:18" ht="15.75" customHeight="1">
      <c r="R316" s="30"/>
    </row>
    <row r="317" spans="18:18" ht="15.75" customHeight="1">
      <c r="R317" s="30"/>
    </row>
    <row r="318" spans="18:18" ht="15.75" customHeight="1">
      <c r="R318" s="30"/>
    </row>
    <row r="319" spans="18:18" ht="15.75" customHeight="1">
      <c r="R319" s="30"/>
    </row>
    <row r="320" spans="18:18" ht="15.75" customHeight="1">
      <c r="R320" s="30"/>
    </row>
    <row r="321" spans="18:18" ht="15.75" customHeight="1">
      <c r="R321" s="30"/>
    </row>
    <row r="322" spans="18:18" ht="15.75" customHeight="1">
      <c r="R322" s="30"/>
    </row>
    <row r="323" spans="18:18" ht="15.75" customHeight="1">
      <c r="R323" s="30"/>
    </row>
    <row r="324" spans="18:18" ht="15.75" customHeight="1">
      <c r="R324" s="30"/>
    </row>
    <row r="325" spans="18:18" ht="15.75" customHeight="1">
      <c r="R325" s="30"/>
    </row>
    <row r="326" spans="18:18" ht="15.75" customHeight="1">
      <c r="R326" s="30"/>
    </row>
    <row r="327" spans="18:18" ht="15.75" customHeight="1">
      <c r="R327" s="30"/>
    </row>
    <row r="328" spans="18:18" ht="15.75" customHeight="1">
      <c r="R328" s="30"/>
    </row>
    <row r="329" spans="18:18" ht="15.75" customHeight="1">
      <c r="R329" s="30"/>
    </row>
    <row r="330" spans="18:18" ht="15.75" customHeight="1">
      <c r="R330" s="30"/>
    </row>
    <row r="331" spans="18:18" ht="15.75" customHeight="1">
      <c r="R331" s="30"/>
    </row>
    <row r="332" spans="18:18" ht="15.75" customHeight="1">
      <c r="R332" s="30"/>
    </row>
    <row r="333" spans="18:18" ht="15.75" customHeight="1">
      <c r="R333" s="30"/>
    </row>
    <row r="334" spans="18:18" ht="15.75" customHeight="1">
      <c r="R334" s="30"/>
    </row>
    <row r="335" spans="18:18" ht="15.75" customHeight="1">
      <c r="R335" s="30"/>
    </row>
    <row r="336" spans="18:18" ht="15.75" customHeight="1">
      <c r="R336" s="30"/>
    </row>
    <row r="337" spans="18:18" ht="15.75" customHeight="1">
      <c r="R337" s="30"/>
    </row>
    <row r="338" spans="18:18" ht="15.75" customHeight="1">
      <c r="R338" s="30"/>
    </row>
    <row r="339" spans="18:18" ht="15.75" customHeight="1">
      <c r="R339" s="30"/>
    </row>
    <row r="340" spans="18:18" ht="15.75" customHeight="1">
      <c r="R340" s="30"/>
    </row>
    <row r="341" spans="18:18" ht="15.75" customHeight="1">
      <c r="R341" s="30"/>
    </row>
    <row r="342" spans="18:18" ht="15.75" customHeight="1">
      <c r="R342" s="30"/>
    </row>
    <row r="343" spans="18:18" ht="15.75" customHeight="1">
      <c r="R343" s="30"/>
    </row>
    <row r="344" spans="18:18" ht="15.75" customHeight="1">
      <c r="R344" s="30"/>
    </row>
    <row r="345" spans="18:18" ht="15.75" customHeight="1">
      <c r="R345" s="30"/>
    </row>
    <row r="346" spans="18:18" ht="15.75" customHeight="1">
      <c r="R346" s="30"/>
    </row>
    <row r="347" spans="18:18" ht="15.75" customHeight="1">
      <c r="R347" s="30"/>
    </row>
    <row r="348" spans="18:18" ht="15.75" customHeight="1">
      <c r="R348" s="30"/>
    </row>
    <row r="349" spans="18:18" ht="15.75" customHeight="1">
      <c r="R349" s="30"/>
    </row>
    <row r="350" spans="18:18" ht="15.75" customHeight="1">
      <c r="R350" s="30"/>
    </row>
    <row r="351" spans="18:18" ht="15.75" customHeight="1">
      <c r="R351" s="30"/>
    </row>
    <row r="352" spans="18:18" ht="15.75" customHeight="1">
      <c r="R352" s="30"/>
    </row>
    <row r="353" spans="18:18" ht="15.75" customHeight="1">
      <c r="R353" s="30"/>
    </row>
    <row r="354" spans="18:18" ht="15.75" customHeight="1">
      <c r="R354" s="30"/>
    </row>
    <row r="355" spans="18:18" ht="15.75" customHeight="1">
      <c r="R355" s="30"/>
    </row>
    <row r="356" spans="18:18" ht="15.75" customHeight="1">
      <c r="R356" s="30"/>
    </row>
    <row r="357" spans="18:18" ht="15.75" customHeight="1">
      <c r="R357" s="30"/>
    </row>
    <row r="358" spans="18:18" ht="15.75" customHeight="1">
      <c r="R358" s="30"/>
    </row>
    <row r="359" spans="18:18" ht="15.75" customHeight="1">
      <c r="R359" s="30"/>
    </row>
    <row r="360" spans="18:18" ht="15.75" customHeight="1">
      <c r="R360" s="30"/>
    </row>
    <row r="361" spans="18:18" ht="15.75" customHeight="1">
      <c r="R361" s="30"/>
    </row>
    <row r="362" spans="18:18" ht="15.75" customHeight="1">
      <c r="R362" s="30"/>
    </row>
    <row r="363" spans="18:18" ht="15.75" customHeight="1">
      <c r="R363" s="30"/>
    </row>
    <row r="364" spans="18:18" ht="15.75" customHeight="1">
      <c r="R364" s="30"/>
    </row>
    <row r="365" spans="18:18" ht="15.75" customHeight="1">
      <c r="R365" s="30"/>
    </row>
    <row r="366" spans="18:18" ht="15.75" customHeight="1">
      <c r="R366" s="30"/>
    </row>
    <row r="367" spans="18:18" ht="15.75" customHeight="1">
      <c r="R367" s="30"/>
    </row>
    <row r="368" spans="18:18" ht="15.75" customHeight="1">
      <c r="R368" s="30"/>
    </row>
    <row r="369" spans="18:18" ht="15.75" customHeight="1">
      <c r="R369" s="30"/>
    </row>
    <row r="370" spans="18:18" ht="15.75" customHeight="1">
      <c r="R370" s="30"/>
    </row>
    <row r="371" spans="18:18" ht="15.75" customHeight="1">
      <c r="R371" s="30"/>
    </row>
    <row r="372" spans="18:18" ht="15.75" customHeight="1">
      <c r="R372" s="30"/>
    </row>
    <row r="373" spans="18:18" ht="15.75" customHeight="1">
      <c r="R373" s="30"/>
    </row>
    <row r="374" spans="18:18" ht="15.75" customHeight="1">
      <c r="R374" s="30"/>
    </row>
    <row r="375" spans="18:18" ht="15.75" customHeight="1">
      <c r="R375" s="30"/>
    </row>
    <row r="376" spans="18:18" ht="15.75" customHeight="1">
      <c r="R376" s="30"/>
    </row>
    <row r="377" spans="18:18" ht="15.75" customHeight="1">
      <c r="R377" s="30"/>
    </row>
    <row r="378" spans="18:18" ht="15.75" customHeight="1">
      <c r="R378" s="30"/>
    </row>
    <row r="379" spans="18:18" ht="15.75" customHeight="1">
      <c r="R379" s="30"/>
    </row>
    <row r="380" spans="18:18" ht="15.75" customHeight="1">
      <c r="R380" s="30"/>
    </row>
    <row r="381" spans="18:18" ht="15.75" customHeight="1">
      <c r="R381" s="30"/>
    </row>
    <row r="382" spans="18:18" ht="15.75" customHeight="1">
      <c r="R382" s="30"/>
    </row>
    <row r="383" spans="18:18" ht="15.75" customHeight="1">
      <c r="R383" s="30"/>
    </row>
    <row r="384" spans="18:18" ht="15.75" customHeight="1">
      <c r="R384" s="30"/>
    </row>
    <row r="385" spans="18:18" ht="15.75" customHeight="1">
      <c r="R385" s="30"/>
    </row>
    <row r="386" spans="18:18" ht="15.75" customHeight="1">
      <c r="R386" s="30"/>
    </row>
    <row r="387" spans="18:18" ht="15.75" customHeight="1">
      <c r="R387" s="30"/>
    </row>
    <row r="388" spans="18:18" ht="15.75" customHeight="1">
      <c r="R388" s="30"/>
    </row>
    <row r="389" spans="18:18" ht="15.75" customHeight="1">
      <c r="R389" s="30"/>
    </row>
    <row r="390" spans="18:18" ht="15.75" customHeight="1">
      <c r="R390" s="30"/>
    </row>
    <row r="391" spans="18:18" ht="15.75" customHeight="1">
      <c r="R391" s="30"/>
    </row>
    <row r="392" spans="18:18" ht="15.75" customHeight="1">
      <c r="R392" s="30"/>
    </row>
    <row r="393" spans="18:18" ht="15.75" customHeight="1">
      <c r="R393" s="30"/>
    </row>
    <row r="394" spans="18:18" ht="15.75" customHeight="1">
      <c r="R394" s="30"/>
    </row>
    <row r="395" spans="18:18" ht="15.75" customHeight="1">
      <c r="R395" s="30"/>
    </row>
    <row r="396" spans="18:18" ht="15.75" customHeight="1">
      <c r="R396" s="30"/>
    </row>
    <row r="397" spans="18:18" ht="15.75" customHeight="1">
      <c r="R397" s="30"/>
    </row>
    <row r="398" spans="18:18" ht="15.75" customHeight="1">
      <c r="R398" s="30"/>
    </row>
    <row r="399" spans="18:18" ht="15.75" customHeight="1">
      <c r="R399" s="30"/>
    </row>
    <row r="400" spans="18:18" ht="15.75" customHeight="1">
      <c r="R400" s="30"/>
    </row>
    <row r="401" spans="18:18" ht="15.75" customHeight="1">
      <c r="R401" s="30"/>
    </row>
    <row r="402" spans="18:18" ht="15.75" customHeight="1">
      <c r="R402" s="30"/>
    </row>
    <row r="403" spans="18:18" ht="15.75" customHeight="1">
      <c r="R403" s="30"/>
    </row>
    <row r="404" spans="18:18" ht="15.75" customHeight="1">
      <c r="R404" s="30"/>
    </row>
    <row r="405" spans="18:18" ht="15.75" customHeight="1">
      <c r="R405" s="30"/>
    </row>
    <row r="406" spans="18:18" ht="15.75" customHeight="1">
      <c r="R406" s="30"/>
    </row>
    <row r="407" spans="18:18" ht="15.75" customHeight="1">
      <c r="R407" s="30"/>
    </row>
    <row r="408" spans="18:18" ht="15.75" customHeight="1">
      <c r="R408" s="30"/>
    </row>
    <row r="409" spans="18:18" ht="15.75" customHeight="1">
      <c r="R409" s="30"/>
    </row>
    <row r="410" spans="18:18" ht="15.75" customHeight="1">
      <c r="R410" s="30"/>
    </row>
    <row r="411" spans="18:18" ht="15.75" customHeight="1">
      <c r="R411" s="30"/>
    </row>
    <row r="412" spans="18:18" ht="15.75" customHeight="1">
      <c r="R412" s="30"/>
    </row>
    <row r="413" spans="18:18" ht="15.75" customHeight="1">
      <c r="R413" s="30"/>
    </row>
    <row r="414" spans="18:18" ht="15.75" customHeight="1">
      <c r="R414" s="30"/>
    </row>
    <row r="415" spans="18:18" ht="15.75" customHeight="1">
      <c r="R415" s="30"/>
    </row>
    <row r="416" spans="18:18" ht="15.75" customHeight="1">
      <c r="R416" s="30"/>
    </row>
    <row r="417" spans="18:18" ht="15.75" customHeight="1">
      <c r="R417" s="30"/>
    </row>
    <row r="418" spans="18:18" ht="15.75" customHeight="1">
      <c r="R418" s="30"/>
    </row>
    <row r="419" spans="18:18" ht="15.75" customHeight="1">
      <c r="R419" s="30"/>
    </row>
    <row r="420" spans="18:18" ht="15.75" customHeight="1">
      <c r="R420" s="30"/>
    </row>
    <row r="421" spans="18:18" ht="15.75" customHeight="1">
      <c r="R421" s="30"/>
    </row>
    <row r="422" spans="18:18" ht="15.75" customHeight="1">
      <c r="R422" s="30"/>
    </row>
    <row r="423" spans="18:18" ht="15.75" customHeight="1">
      <c r="R423" s="30"/>
    </row>
    <row r="424" spans="18:18" ht="15.75" customHeight="1">
      <c r="R424" s="30"/>
    </row>
    <row r="425" spans="18:18" ht="15.75" customHeight="1">
      <c r="R425" s="30"/>
    </row>
    <row r="426" spans="18:18" ht="15.75" customHeight="1">
      <c r="R426" s="30"/>
    </row>
    <row r="427" spans="18:18" ht="15.75" customHeight="1">
      <c r="R427" s="30"/>
    </row>
    <row r="428" spans="18:18" ht="15.75" customHeight="1">
      <c r="R428" s="30"/>
    </row>
    <row r="429" spans="18:18" ht="15.75" customHeight="1">
      <c r="R429" s="30"/>
    </row>
    <row r="430" spans="18:18" ht="15.75" customHeight="1">
      <c r="R430" s="30"/>
    </row>
    <row r="431" spans="18:18" ht="15.75" customHeight="1">
      <c r="R431" s="30"/>
    </row>
    <row r="432" spans="18:18" ht="15.75" customHeight="1">
      <c r="R432" s="30"/>
    </row>
    <row r="433" spans="18:18" ht="15.75" customHeight="1">
      <c r="R433" s="30"/>
    </row>
    <row r="434" spans="18:18" ht="15.75" customHeight="1">
      <c r="R434" s="30"/>
    </row>
    <row r="435" spans="18:18" ht="15.75" customHeight="1">
      <c r="R435" s="30"/>
    </row>
    <row r="436" spans="18:18" ht="15.75" customHeight="1">
      <c r="R436" s="30"/>
    </row>
    <row r="437" spans="18:18" ht="15.75" customHeight="1">
      <c r="R437" s="30"/>
    </row>
    <row r="438" spans="18:18" ht="15.75" customHeight="1">
      <c r="R438" s="30"/>
    </row>
    <row r="439" spans="18:18" ht="15.75" customHeight="1">
      <c r="R439" s="30"/>
    </row>
    <row r="440" spans="18:18" ht="15.75" customHeight="1">
      <c r="R440" s="30"/>
    </row>
    <row r="441" spans="18:18" ht="15.75" customHeight="1">
      <c r="R441" s="30"/>
    </row>
    <row r="442" spans="18:18" ht="15.75" customHeight="1">
      <c r="R442" s="30"/>
    </row>
    <row r="443" spans="18:18" ht="15.75" customHeight="1">
      <c r="R443" s="30"/>
    </row>
    <row r="444" spans="18:18" ht="15.75" customHeight="1">
      <c r="R444" s="30"/>
    </row>
    <row r="445" spans="18:18" ht="15.75" customHeight="1">
      <c r="R445" s="30"/>
    </row>
    <row r="446" spans="18:18" ht="15.75" customHeight="1">
      <c r="R446" s="30"/>
    </row>
    <row r="447" spans="18:18" ht="15.75" customHeight="1">
      <c r="R447" s="30"/>
    </row>
    <row r="448" spans="18:18" ht="15.75" customHeight="1">
      <c r="R448" s="30"/>
    </row>
    <row r="449" spans="18:18" ht="15.75" customHeight="1">
      <c r="R449" s="30"/>
    </row>
    <row r="450" spans="18:18" ht="15.75" customHeight="1">
      <c r="R450" s="30"/>
    </row>
    <row r="451" spans="18:18" ht="15.75" customHeight="1">
      <c r="R451" s="30"/>
    </row>
    <row r="452" spans="18:18" ht="15.75" customHeight="1">
      <c r="R452" s="30"/>
    </row>
    <row r="453" spans="18:18" ht="15.75" customHeight="1">
      <c r="R453" s="30"/>
    </row>
    <row r="454" spans="18:18" ht="15.75" customHeight="1">
      <c r="R454" s="30"/>
    </row>
    <row r="455" spans="18:18" ht="15.75" customHeight="1">
      <c r="R455" s="30"/>
    </row>
    <row r="456" spans="18:18" ht="15.75" customHeight="1">
      <c r="R456" s="30"/>
    </row>
    <row r="457" spans="18:18" ht="15.75" customHeight="1">
      <c r="R457" s="30"/>
    </row>
    <row r="458" spans="18:18" ht="15.75" customHeight="1">
      <c r="R458" s="30"/>
    </row>
    <row r="459" spans="18:18" ht="15.75" customHeight="1">
      <c r="R459" s="30"/>
    </row>
    <row r="460" spans="18:18" ht="15.75" customHeight="1">
      <c r="R460" s="30"/>
    </row>
    <row r="461" spans="18:18" ht="15.75" customHeight="1">
      <c r="R461" s="30"/>
    </row>
    <row r="462" spans="18:18" ht="15.75" customHeight="1">
      <c r="R462" s="30"/>
    </row>
    <row r="463" spans="18:18" ht="15.75" customHeight="1">
      <c r="R463" s="30"/>
    </row>
    <row r="464" spans="18:18" ht="15.75" customHeight="1">
      <c r="R464" s="30"/>
    </row>
    <row r="465" spans="18:18" ht="15.75" customHeight="1">
      <c r="R465" s="30"/>
    </row>
    <row r="466" spans="18:18" ht="15.75" customHeight="1">
      <c r="R466" s="30"/>
    </row>
    <row r="467" spans="18:18" ht="15.75" customHeight="1">
      <c r="R467" s="30"/>
    </row>
    <row r="468" spans="18:18" ht="15.75" customHeight="1">
      <c r="R468" s="30"/>
    </row>
    <row r="469" spans="18:18" ht="15.75" customHeight="1">
      <c r="R469" s="30"/>
    </row>
    <row r="470" spans="18:18" ht="15.75" customHeight="1">
      <c r="R470" s="30"/>
    </row>
    <row r="471" spans="18:18" ht="15.75" customHeight="1">
      <c r="R471" s="30"/>
    </row>
    <row r="472" spans="18:18" ht="15.75" customHeight="1">
      <c r="R472" s="30"/>
    </row>
    <row r="473" spans="18:18" ht="15.75" customHeight="1">
      <c r="R473" s="30"/>
    </row>
    <row r="474" spans="18:18" ht="15.75" customHeight="1">
      <c r="R474" s="30"/>
    </row>
    <row r="475" spans="18:18" ht="15.75" customHeight="1">
      <c r="R475" s="30"/>
    </row>
    <row r="476" spans="18:18" ht="15.75" customHeight="1">
      <c r="R476" s="30"/>
    </row>
    <row r="477" spans="18:18" ht="15.75" customHeight="1">
      <c r="R477" s="30"/>
    </row>
    <row r="478" spans="18:18" ht="15.75" customHeight="1">
      <c r="R478" s="30"/>
    </row>
    <row r="479" spans="18:18" ht="15.75" customHeight="1">
      <c r="R479" s="30"/>
    </row>
    <row r="480" spans="18:18" ht="15.75" customHeight="1">
      <c r="R480" s="30"/>
    </row>
    <row r="481" spans="18:18" ht="15.75" customHeight="1">
      <c r="R481" s="30"/>
    </row>
    <row r="482" spans="18:18" ht="15.75" customHeight="1">
      <c r="R482" s="30"/>
    </row>
    <row r="483" spans="18:18" ht="15.75" customHeight="1">
      <c r="R483" s="30"/>
    </row>
    <row r="484" spans="18:18" ht="15.75" customHeight="1">
      <c r="R484" s="30"/>
    </row>
    <row r="485" spans="18:18" ht="15.75" customHeight="1">
      <c r="R485" s="30"/>
    </row>
    <row r="486" spans="18:18" ht="15.75" customHeight="1">
      <c r="R486" s="30"/>
    </row>
    <row r="487" spans="18:18" ht="15.75" customHeight="1">
      <c r="R487" s="30"/>
    </row>
    <row r="488" spans="18:18" ht="15.75" customHeight="1">
      <c r="R488" s="30"/>
    </row>
    <row r="489" spans="18:18" ht="15.75" customHeight="1">
      <c r="R489" s="30"/>
    </row>
    <row r="490" spans="18:18" ht="15.75" customHeight="1">
      <c r="R490" s="30"/>
    </row>
    <row r="491" spans="18:18" ht="15.75" customHeight="1">
      <c r="R491" s="30"/>
    </row>
    <row r="492" spans="18:18" ht="15.75" customHeight="1">
      <c r="R492" s="30"/>
    </row>
    <row r="493" spans="18:18" ht="15.75" customHeight="1">
      <c r="R493" s="30"/>
    </row>
    <row r="494" spans="18:18" ht="15.75" customHeight="1">
      <c r="R494" s="30"/>
    </row>
    <row r="495" spans="18:18" ht="15.75" customHeight="1">
      <c r="R495" s="30"/>
    </row>
    <row r="496" spans="18:18" ht="15.75" customHeight="1">
      <c r="R496" s="30"/>
    </row>
    <row r="497" spans="18:18" ht="15.75" customHeight="1">
      <c r="R497" s="30"/>
    </row>
    <row r="498" spans="18:18" ht="15.75" customHeight="1">
      <c r="R498" s="30"/>
    </row>
    <row r="499" spans="18:18" ht="15.75" customHeight="1">
      <c r="R499" s="30"/>
    </row>
    <row r="500" spans="18:18" ht="15.75" customHeight="1">
      <c r="R500" s="30"/>
    </row>
    <row r="501" spans="18:18" ht="15.75" customHeight="1">
      <c r="R501" s="30"/>
    </row>
    <row r="502" spans="18:18" ht="15.75" customHeight="1">
      <c r="R502" s="30"/>
    </row>
    <row r="503" spans="18:18" ht="15.75" customHeight="1">
      <c r="R503" s="30"/>
    </row>
    <row r="504" spans="18:18" ht="15.75" customHeight="1">
      <c r="R504" s="30"/>
    </row>
    <row r="505" spans="18:18" ht="15.75" customHeight="1">
      <c r="R505" s="30"/>
    </row>
    <row r="506" spans="18:18" ht="15.75" customHeight="1">
      <c r="R506" s="30"/>
    </row>
    <row r="507" spans="18:18" ht="15.75" customHeight="1">
      <c r="R507" s="30"/>
    </row>
    <row r="508" spans="18:18" ht="15.75" customHeight="1">
      <c r="R508" s="30"/>
    </row>
    <row r="509" spans="18:18" ht="15.75" customHeight="1">
      <c r="R509" s="30"/>
    </row>
    <row r="510" spans="18:18" ht="15.75" customHeight="1">
      <c r="R510" s="30"/>
    </row>
    <row r="511" spans="18:18" ht="15.75" customHeight="1">
      <c r="R511" s="30"/>
    </row>
    <row r="512" spans="18:18" ht="15.75" customHeight="1">
      <c r="R512" s="30"/>
    </row>
    <row r="513" spans="18:18" ht="15.75" customHeight="1">
      <c r="R513" s="30"/>
    </row>
    <row r="514" spans="18:18" ht="15.75" customHeight="1">
      <c r="R514" s="30"/>
    </row>
    <row r="515" spans="18:18" ht="15.75" customHeight="1">
      <c r="R515" s="30"/>
    </row>
    <row r="516" spans="18:18" ht="15.75" customHeight="1">
      <c r="R516" s="30"/>
    </row>
    <row r="517" spans="18:18" ht="15.75" customHeight="1">
      <c r="R517" s="30"/>
    </row>
    <row r="518" spans="18:18" ht="15.75" customHeight="1">
      <c r="R518" s="30"/>
    </row>
    <row r="519" spans="18:18" ht="15.75" customHeight="1">
      <c r="R519" s="30"/>
    </row>
    <row r="520" spans="18:18" ht="15.75" customHeight="1">
      <c r="R520" s="30"/>
    </row>
    <row r="521" spans="18:18" ht="15.75" customHeight="1">
      <c r="R521" s="30"/>
    </row>
    <row r="522" spans="18:18" ht="15.75" customHeight="1">
      <c r="R522" s="30"/>
    </row>
    <row r="523" spans="18:18" ht="15.75" customHeight="1">
      <c r="R523" s="30"/>
    </row>
    <row r="524" spans="18:18" ht="15.75" customHeight="1">
      <c r="R524" s="30"/>
    </row>
    <row r="525" spans="18:18" ht="15.75" customHeight="1">
      <c r="R525" s="30"/>
    </row>
    <row r="526" spans="18:18" ht="15.75" customHeight="1">
      <c r="R526" s="30"/>
    </row>
    <row r="527" spans="18:18" ht="15.75" customHeight="1">
      <c r="R527" s="30"/>
    </row>
    <row r="528" spans="18:18" ht="15.75" customHeight="1">
      <c r="R528" s="30"/>
    </row>
    <row r="529" spans="18:18" ht="15.75" customHeight="1">
      <c r="R529" s="30"/>
    </row>
    <row r="530" spans="18:18" ht="15.75" customHeight="1">
      <c r="R530" s="30"/>
    </row>
    <row r="531" spans="18:18" ht="15.75" customHeight="1">
      <c r="R531" s="30"/>
    </row>
    <row r="532" spans="18:18" ht="15.75" customHeight="1">
      <c r="R532" s="30"/>
    </row>
    <row r="533" spans="18:18" ht="15.75" customHeight="1">
      <c r="R533" s="30"/>
    </row>
    <row r="534" spans="18:18" ht="15.75" customHeight="1">
      <c r="R534" s="30"/>
    </row>
    <row r="535" spans="18:18" ht="15.75" customHeight="1">
      <c r="R535" s="30"/>
    </row>
    <row r="536" spans="18:18" ht="15.75" customHeight="1">
      <c r="R536" s="30"/>
    </row>
    <row r="537" spans="18:18" ht="15.75" customHeight="1">
      <c r="R537" s="30"/>
    </row>
    <row r="538" spans="18:18" ht="15.75" customHeight="1">
      <c r="R538" s="30"/>
    </row>
    <row r="539" spans="18:18" ht="15.75" customHeight="1">
      <c r="R539" s="30"/>
    </row>
    <row r="540" spans="18:18" ht="15.75" customHeight="1">
      <c r="R540" s="30"/>
    </row>
    <row r="541" spans="18:18" ht="15.75" customHeight="1">
      <c r="R541" s="30"/>
    </row>
    <row r="542" spans="18:18" ht="15.75" customHeight="1">
      <c r="R542" s="30"/>
    </row>
    <row r="543" spans="18:18" ht="15.75" customHeight="1">
      <c r="R543" s="30"/>
    </row>
    <row r="544" spans="18:18" ht="15.75" customHeight="1">
      <c r="R544" s="30"/>
    </row>
    <row r="545" spans="18:18" ht="15.75" customHeight="1">
      <c r="R545" s="30"/>
    </row>
    <row r="546" spans="18:18" ht="15.75" customHeight="1">
      <c r="R546" s="30"/>
    </row>
    <row r="547" spans="18:18" ht="15.75" customHeight="1">
      <c r="R547" s="30"/>
    </row>
    <row r="548" spans="18:18" ht="15.75" customHeight="1">
      <c r="R548" s="30"/>
    </row>
    <row r="549" spans="18:18" ht="15.75" customHeight="1">
      <c r="R549" s="30"/>
    </row>
    <row r="550" spans="18:18" ht="15.75" customHeight="1">
      <c r="R550" s="30"/>
    </row>
    <row r="551" spans="18:18" ht="15.75" customHeight="1">
      <c r="R551" s="30"/>
    </row>
    <row r="552" spans="18:18" ht="15.75" customHeight="1">
      <c r="R552" s="30"/>
    </row>
    <row r="553" spans="18:18" ht="15.75" customHeight="1">
      <c r="R553" s="30"/>
    </row>
    <row r="554" spans="18:18" ht="15.75" customHeight="1">
      <c r="R554" s="30"/>
    </row>
    <row r="555" spans="18:18" ht="15.75" customHeight="1">
      <c r="R555" s="30"/>
    </row>
    <row r="556" spans="18:18" ht="15.75" customHeight="1">
      <c r="R556" s="30"/>
    </row>
    <row r="557" spans="18:18" ht="15.75" customHeight="1">
      <c r="R557" s="30"/>
    </row>
    <row r="558" spans="18:18" ht="15.75" customHeight="1">
      <c r="R558" s="30"/>
    </row>
    <row r="559" spans="18:18" ht="15.75" customHeight="1">
      <c r="R559" s="30"/>
    </row>
    <row r="560" spans="18:18" ht="15.75" customHeight="1">
      <c r="R560" s="30"/>
    </row>
    <row r="561" spans="18:18" ht="15.75" customHeight="1">
      <c r="R561" s="30"/>
    </row>
    <row r="562" spans="18:18" ht="15.75" customHeight="1">
      <c r="R562" s="30"/>
    </row>
    <row r="563" spans="18:18" ht="15.75" customHeight="1">
      <c r="R563" s="30"/>
    </row>
    <row r="564" spans="18:18" ht="15.75" customHeight="1">
      <c r="R564" s="30"/>
    </row>
    <row r="565" spans="18:18" ht="15.75" customHeight="1">
      <c r="R565" s="30"/>
    </row>
    <row r="566" spans="18:18" ht="15.75" customHeight="1">
      <c r="R566" s="30"/>
    </row>
    <row r="567" spans="18:18" ht="15.75" customHeight="1">
      <c r="R567" s="30"/>
    </row>
    <row r="568" spans="18:18" ht="15.75" customHeight="1">
      <c r="R568" s="30"/>
    </row>
    <row r="569" spans="18:18" ht="15.75" customHeight="1">
      <c r="R569" s="30"/>
    </row>
    <row r="570" spans="18:18" ht="15.75" customHeight="1">
      <c r="R570" s="30"/>
    </row>
    <row r="571" spans="18:18" ht="15.75" customHeight="1">
      <c r="R571" s="30"/>
    </row>
    <row r="572" spans="18:18" ht="15.75" customHeight="1">
      <c r="R572" s="30"/>
    </row>
    <row r="573" spans="18:18" ht="15.75" customHeight="1">
      <c r="R573" s="30"/>
    </row>
    <row r="574" spans="18:18" ht="15.75" customHeight="1">
      <c r="R574" s="30"/>
    </row>
    <row r="575" spans="18:18" ht="15.75" customHeight="1">
      <c r="R575" s="30"/>
    </row>
    <row r="576" spans="18:18" ht="15.75" customHeight="1">
      <c r="R576" s="30"/>
    </row>
    <row r="577" spans="18:18" ht="15.75" customHeight="1">
      <c r="R577" s="30"/>
    </row>
    <row r="578" spans="18:18" ht="15.75" customHeight="1">
      <c r="R578" s="30"/>
    </row>
    <row r="579" spans="18:18" ht="15.75" customHeight="1">
      <c r="R579" s="30"/>
    </row>
    <row r="580" spans="18:18" ht="15.75" customHeight="1">
      <c r="R580" s="30"/>
    </row>
    <row r="581" spans="18:18" ht="15.75" customHeight="1">
      <c r="R581" s="30"/>
    </row>
    <row r="582" spans="18:18" ht="15.75" customHeight="1">
      <c r="R582" s="30"/>
    </row>
    <row r="583" spans="18:18" ht="15.75" customHeight="1">
      <c r="R583" s="30"/>
    </row>
    <row r="584" spans="18:18" ht="15.75" customHeight="1">
      <c r="R584" s="30"/>
    </row>
    <row r="585" spans="18:18" ht="15.75" customHeight="1">
      <c r="R585" s="30"/>
    </row>
    <row r="586" spans="18:18" ht="15.75" customHeight="1">
      <c r="R586" s="30"/>
    </row>
    <row r="587" spans="18:18" ht="15.75" customHeight="1">
      <c r="R587" s="30"/>
    </row>
    <row r="588" spans="18:18" ht="15.75" customHeight="1">
      <c r="R588" s="30"/>
    </row>
    <row r="589" spans="18:18" ht="15.75" customHeight="1">
      <c r="R589" s="30"/>
    </row>
    <row r="590" spans="18:18" ht="15.75" customHeight="1">
      <c r="R590" s="30"/>
    </row>
    <row r="591" spans="18:18" ht="15.75" customHeight="1">
      <c r="R591" s="30"/>
    </row>
    <row r="592" spans="18:18" ht="15.75" customHeight="1">
      <c r="R592" s="30"/>
    </row>
    <row r="593" spans="18:18" ht="15.75" customHeight="1">
      <c r="R593" s="30"/>
    </row>
    <row r="594" spans="18:18" ht="15.75" customHeight="1">
      <c r="R594" s="30"/>
    </row>
    <row r="595" spans="18:18" ht="15.75" customHeight="1">
      <c r="R595" s="30"/>
    </row>
    <row r="596" spans="18:18" ht="15.75" customHeight="1">
      <c r="R596" s="30"/>
    </row>
    <row r="597" spans="18:18" ht="15.75" customHeight="1">
      <c r="R597" s="30"/>
    </row>
    <row r="598" spans="18:18" ht="15.75" customHeight="1">
      <c r="R598" s="30"/>
    </row>
    <row r="599" spans="18:18" ht="15.75" customHeight="1">
      <c r="R599" s="30"/>
    </row>
    <row r="600" spans="18:18" ht="15.75" customHeight="1">
      <c r="R600" s="30"/>
    </row>
    <row r="601" spans="18:18" ht="15.75" customHeight="1">
      <c r="R601" s="30"/>
    </row>
    <row r="602" spans="18:18" ht="15.75" customHeight="1">
      <c r="R602" s="30"/>
    </row>
    <row r="603" spans="18:18" ht="15.75" customHeight="1">
      <c r="R603" s="30"/>
    </row>
    <row r="604" spans="18:18" ht="15.75" customHeight="1">
      <c r="R604" s="30"/>
    </row>
    <row r="605" spans="18:18" ht="15.75" customHeight="1">
      <c r="R605" s="30"/>
    </row>
    <row r="606" spans="18:18" ht="15.75" customHeight="1">
      <c r="R606" s="30"/>
    </row>
    <row r="607" spans="18:18" ht="15.75" customHeight="1">
      <c r="R607" s="30"/>
    </row>
    <row r="608" spans="18:18" ht="15.75" customHeight="1">
      <c r="R608" s="30"/>
    </row>
    <row r="609" spans="18:18" ht="15.75" customHeight="1">
      <c r="R609" s="30"/>
    </row>
    <row r="610" spans="18:18" ht="15.75" customHeight="1">
      <c r="R610" s="30"/>
    </row>
    <row r="611" spans="18:18" ht="15.75" customHeight="1">
      <c r="R611" s="30"/>
    </row>
    <row r="612" spans="18:18" ht="15.75" customHeight="1">
      <c r="R612" s="30"/>
    </row>
    <row r="613" spans="18:18" ht="15.75" customHeight="1">
      <c r="R613" s="30"/>
    </row>
    <row r="614" spans="18:18" ht="15.75" customHeight="1">
      <c r="R614" s="30"/>
    </row>
    <row r="615" spans="18:18" ht="15.75" customHeight="1">
      <c r="R615" s="30"/>
    </row>
    <row r="616" spans="18:18" ht="15.75" customHeight="1">
      <c r="R616" s="30"/>
    </row>
    <row r="617" spans="18:18" ht="15.75" customHeight="1">
      <c r="R617" s="30"/>
    </row>
    <row r="618" spans="18:18" ht="15.75" customHeight="1">
      <c r="R618" s="30"/>
    </row>
    <row r="619" spans="18:18" ht="15.75" customHeight="1">
      <c r="R619" s="30"/>
    </row>
    <row r="620" spans="18:18" ht="15.75" customHeight="1">
      <c r="R620" s="30"/>
    </row>
    <row r="621" spans="18:18" ht="15.75" customHeight="1">
      <c r="R621" s="30"/>
    </row>
    <row r="622" spans="18:18" ht="15.75" customHeight="1">
      <c r="R622" s="30"/>
    </row>
    <row r="623" spans="18:18" ht="15.75" customHeight="1">
      <c r="R623" s="30"/>
    </row>
    <row r="624" spans="18:18" ht="15.75" customHeight="1">
      <c r="R624" s="30"/>
    </row>
    <row r="625" spans="18:18" ht="15.75" customHeight="1">
      <c r="R625" s="30"/>
    </row>
    <row r="626" spans="18:18" ht="15.75" customHeight="1">
      <c r="R626" s="30"/>
    </row>
    <row r="627" spans="18:18" ht="15.75" customHeight="1">
      <c r="R627" s="30"/>
    </row>
    <row r="628" spans="18:18" ht="15.75" customHeight="1">
      <c r="R628" s="30"/>
    </row>
    <row r="629" spans="18:18" ht="15.75" customHeight="1">
      <c r="R629" s="30"/>
    </row>
    <row r="630" spans="18:18" ht="15.75" customHeight="1">
      <c r="R630" s="30"/>
    </row>
    <row r="631" spans="18:18" ht="15.75" customHeight="1">
      <c r="R631" s="30"/>
    </row>
    <row r="632" spans="18:18" ht="15.75" customHeight="1">
      <c r="R632" s="30"/>
    </row>
    <row r="633" spans="18:18" ht="15.75" customHeight="1">
      <c r="R633" s="30"/>
    </row>
    <row r="634" spans="18:18" ht="15.75" customHeight="1">
      <c r="R634" s="30"/>
    </row>
    <row r="635" spans="18:18" ht="15.75" customHeight="1">
      <c r="R635" s="30"/>
    </row>
    <row r="636" spans="18:18" ht="15.75" customHeight="1">
      <c r="R636" s="30"/>
    </row>
    <row r="637" spans="18:18" ht="15.75" customHeight="1">
      <c r="R637" s="30"/>
    </row>
    <row r="638" spans="18:18" ht="15.75" customHeight="1">
      <c r="R638" s="30"/>
    </row>
    <row r="639" spans="18:18" ht="15.75" customHeight="1">
      <c r="R639" s="30"/>
    </row>
    <row r="640" spans="18:18" ht="15.75" customHeight="1">
      <c r="R640" s="30"/>
    </row>
    <row r="641" spans="18:18" ht="15.75" customHeight="1">
      <c r="R641" s="30"/>
    </row>
    <row r="642" spans="18:18" ht="15.75" customHeight="1">
      <c r="R642" s="30"/>
    </row>
    <row r="643" spans="18:18" ht="15.75" customHeight="1">
      <c r="R643" s="30"/>
    </row>
    <row r="644" spans="18:18" ht="15.75" customHeight="1">
      <c r="R644" s="30"/>
    </row>
    <row r="645" spans="18:18" ht="15.75" customHeight="1">
      <c r="R645" s="30"/>
    </row>
    <row r="646" spans="18:18" ht="15.75" customHeight="1">
      <c r="R646" s="30"/>
    </row>
    <row r="647" spans="18:18" ht="15.75" customHeight="1">
      <c r="R647" s="30"/>
    </row>
    <row r="648" spans="18:18" ht="15.75" customHeight="1">
      <c r="R648" s="30"/>
    </row>
    <row r="649" spans="18:18" ht="15.75" customHeight="1">
      <c r="R649" s="30"/>
    </row>
    <row r="650" spans="18:18" ht="15.75" customHeight="1">
      <c r="R650" s="30"/>
    </row>
    <row r="651" spans="18:18" ht="15.75" customHeight="1">
      <c r="R651" s="30"/>
    </row>
    <row r="652" spans="18:18" ht="15.75" customHeight="1">
      <c r="R652" s="30"/>
    </row>
    <row r="653" spans="18:18" ht="15.75" customHeight="1">
      <c r="R653" s="30"/>
    </row>
    <row r="654" spans="18:18" ht="15.75" customHeight="1">
      <c r="R654" s="30"/>
    </row>
    <row r="655" spans="18:18" ht="15.75" customHeight="1">
      <c r="R655" s="30"/>
    </row>
    <row r="656" spans="18:18" ht="15.75" customHeight="1">
      <c r="R656" s="30"/>
    </row>
    <row r="657" spans="18:18" ht="15.75" customHeight="1">
      <c r="R657" s="30"/>
    </row>
    <row r="658" spans="18:18" ht="15.75" customHeight="1">
      <c r="R658" s="30"/>
    </row>
    <row r="659" spans="18:18" ht="15.75" customHeight="1">
      <c r="R659" s="30"/>
    </row>
    <row r="660" spans="18:18" ht="15.75" customHeight="1">
      <c r="R660" s="30"/>
    </row>
    <row r="661" spans="18:18" ht="15.75" customHeight="1">
      <c r="R661" s="30"/>
    </row>
    <row r="662" spans="18:18" ht="15.75" customHeight="1">
      <c r="R662" s="30"/>
    </row>
    <row r="663" spans="18:18" ht="15.75" customHeight="1">
      <c r="R663" s="30"/>
    </row>
    <row r="664" spans="18:18" ht="15.75" customHeight="1">
      <c r="R664" s="30"/>
    </row>
    <row r="665" spans="18:18" ht="15.75" customHeight="1">
      <c r="R665" s="30"/>
    </row>
    <row r="666" spans="18:18" ht="15.75" customHeight="1">
      <c r="R666" s="30"/>
    </row>
    <row r="667" spans="18:18" ht="15.75" customHeight="1">
      <c r="R667" s="30"/>
    </row>
    <row r="668" spans="18:18" ht="15.75" customHeight="1">
      <c r="R668" s="30"/>
    </row>
    <row r="669" spans="18:18" ht="15.75" customHeight="1">
      <c r="R669" s="30"/>
    </row>
    <row r="670" spans="18:18" ht="15.75" customHeight="1">
      <c r="R670" s="30"/>
    </row>
    <row r="671" spans="18:18" ht="15.75" customHeight="1">
      <c r="R671" s="30"/>
    </row>
    <row r="672" spans="18:18" ht="15.75" customHeight="1">
      <c r="R672" s="30"/>
    </row>
    <row r="673" spans="18:18" ht="15.75" customHeight="1">
      <c r="R673" s="30"/>
    </row>
    <row r="674" spans="18:18" ht="15.75" customHeight="1">
      <c r="R674" s="30"/>
    </row>
    <row r="675" spans="18:18" ht="15.75" customHeight="1">
      <c r="R675" s="30"/>
    </row>
    <row r="676" spans="18:18" ht="15.75" customHeight="1">
      <c r="R676" s="30"/>
    </row>
    <row r="677" spans="18:18" ht="15.75" customHeight="1">
      <c r="R677" s="30"/>
    </row>
    <row r="678" spans="18:18" ht="15.75" customHeight="1">
      <c r="R678" s="30"/>
    </row>
    <row r="679" spans="18:18" ht="15.75" customHeight="1">
      <c r="R679" s="30"/>
    </row>
    <row r="680" spans="18:18" ht="15.75" customHeight="1">
      <c r="R680" s="30"/>
    </row>
    <row r="681" spans="18:18" ht="15.75" customHeight="1">
      <c r="R681" s="30"/>
    </row>
    <row r="682" spans="18:18" ht="15.75" customHeight="1">
      <c r="R682" s="30"/>
    </row>
    <row r="683" spans="18:18" ht="15.75" customHeight="1">
      <c r="R683" s="30"/>
    </row>
    <row r="684" spans="18:18" ht="15.75" customHeight="1">
      <c r="R684" s="30"/>
    </row>
    <row r="685" spans="18:18" ht="15.75" customHeight="1">
      <c r="R685" s="30"/>
    </row>
    <row r="686" spans="18:18" ht="15.75" customHeight="1">
      <c r="R686" s="30"/>
    </row>
    <row r="687" spans="18:18" ht="15.75" customHeight="1">
      <c r="R687" s="30"/>
    </row>
    <row r="688" spans="18:18" ht="15.75" customHeight="1">
      <c r="R688" s="30"/>
    </row>
    <row r="689" spans="18:18" ht="15.75" customHeight="1">
      <c r="R689" s="30"/>
    </row>
    <row r="690" spans="18:18" ht="15.75" customHeight="1">
      <c r="R690" s="30"/>
    </row>
    <row r="691" spans="18:18" ht="15.75" customHeight="1">
      <c r="R691" s="30"/>
    </row>
    <row r="692" spans="18:18" ht="15.75" customHeight="1">
      <c r="R692" s="30"/>
    </row>
    <row r="693" spans="18:18" ht="15.75" customHeight="1">
      <c r="R693" s="30"/>
    </row>
    <row r="694" spans="18:18" ht="15.75" customHeight="1">
      <c r="R694" s="30"/>
    </row>
    <row r="695" spans="18:18" ht="15.75" customHeight="1">
      <c r="R695" s="30"/>
    </row>
    <row r="696" spans="18:18" ht="15.75" customHeight="1">
      <c r="R696" s="30"/>
    </row>
    <row r="697" spans="18:18" ht="15.75" customHeight="1">
      <c r="R697" s="30"/>
    </row>
    <row r="698" spans="18:18" ht="15.75" customHeight="1">
      <c r="R698" s="30"/>
    </row>
    <row r="699" spans="18:18" ht="15.75" customHeight="1">
      <c r="R699" s="30"/>
    </row>
    <row r="700" spans="18:18" ht="15.75" customHeight="1">
      <c r="R700" s="30"/>
    </row>
    <row r="701" spans="18:18" ht="15.75" customHeight="1">
      <c r="R701" s="30"/>
    </row>
    <row r="702" spans="18:18" ht="15.75" customHeight="1">
      <c r="R702" s="30"/>
    </row>
    <row r="703" spans="18:18" ht="15.75" customHeight="1">
      <c r="R703" s="30"/>
    </row>
    <row r="704" spans="18:18" ht="15.75" customHeight="1">
      <c r="R704" s="30"/>
    </row>
    <row r="705" spans="18:18" ht="15.75" customHeight="1">
      <c r="R705" s="30"/>
    </row>
    <row r="706" spans="18:18" ht="15.75" customHeight="1">
      <c r="R706" s="30"/>
    </row>
    <row r="707" spans="18:18" ht="15.75" customHeight="1">
      <c r="R707" s="30"/>
    </row>
    <row r="708" spans="18:18" ht="15.75" customHeight="1">
      <c r="R708" s="30"/>
    </row>
    <row r="709" spans="18:18" ht="15.75" customHeight="1">
      <c r="R709" s="30"/>
    </row>
    <row r="710" spans="18:18" ht="15.75" customHeight="1">
      <c r="R710" s="30"/>
    </row>
    <row r="711" spans="18:18" ht="15.75" customHeight="1">
      <c r="R711" s="30"/>
    </row>
    <row r="712" spans="18:18" ht="15.75" customHeight="1">
      <c r="R712" s="30"/>
    </row>
    <row r="713" spans="18:18" ht="15.75" customHeight="1">
      <c r="R713" s="30"/>
    </row>
    <row r="714" spans="18:18" ht="15.75" customHeight="1">
      <c r="R714" s="30"/>
    </row>
    <row r="715" spans="18:18" ht="15.75" customHeight="1">
      <c r="R715" s="30"/>
    </row>
    <row r="716" spans="18:18" ht="15.75" customHeight="1">
      <c r="R716" s="30"/>
    </row>
    <row r="717" spans="18:18" ht="15.75" customHeight="1">
      <c r="R717" s="30"/>
    </row>
    <row r="718" spans="18:18" ht="15.75" customHeight="1">
      <c r="R718" s="30"/>
    </row>
    <row r="719" spans="18:18" ht="15.75" customHeight="1">
      <c r="R719" s="30"/>
    </row>
    <row r="720" spans="18:18" ht="15.75" customHeight="1">
      <c r="R720" s="30"/>
    </row>
    <row r="721" spans="18:18" ht="15.75" customHeight="1">
      <c r="R721" s="30"/>
    </row>
    <row r="722" spans="18:18" ht="15.75" customHeight="1">
      <c r="R722" s="30"/>
    </row>
    <row r="723" spans="18:18" ht="15.75" customHeight="1">
      <c r="R723" s="30"/>
    </row>
    <row r="724" spans="18:18" ht="15.75" customHeight="1">
      <c r="R724" s="30"/>
    </row>
    <row r="725" spans="18:18" ht="15.75" customHeight="1">
      <c r="R725" s="30"/>
    </row>
    <row r="726" spans="18:18" ht="15.75" customHeight="1">
      <c r="R726" s="30"/>
    </row>
    <row r="727" spans="18:18" ht="15.75" customHeight="1">
      <c r="R727" s="30"/>
    </row>
    <row r="728" spans="18:18" ht="15.75" customHeight="1">
      <c r="R728" s="30"/>
    </row>
    <row r="729" spans="18:18" ht="15.75" customHeight="1">
      <c r="R729" s="30"/>
    </row>
    <row r="730" spans="18:18" ht="15.75" customHeight="1">
      <c r="R730" s="30"/>
    </row>
    <row r="731" spans="18:18" ht="15.75" customHeight="1">
      <c r="R731" s="30"/>
    </row>
    <row r="732" spans="18:18" ht="15.75" customHeight="1">
      <c r="R732" s="30"/>
    </row>
    <row r="733" spans="18:18" ht="15.75" customHeight="1">
      <c r="R733" s="30"/>
    </row>
    <row r="734" spans="18:18" ht="15.75" customHeight="1">
      <c r="R734" s="30"/>
    </row>
    <row r="735" spans="18:18" ht="15.75" customHeight="1">
      <c r="R735" s="30"/>
    </row>
    <row r="736" spans="18:18" ht="15.75" customHeight="1">
      <c r="R736" s="30"/>
    </row>
    <row r="737" spans="18:18" ht="15.75" customHeight="1">
      <c r="R737" s="30"/>
    </row>
    <row r="738" spans="18:18" ht="15.75" customHeight="1">
      <c r="R738" s="30"/>
    </row>
    <row r="739" spans="18:18" ht="15.75" customHeight="1">
      <c r="R739" s="30"/>
    </row>
    <row r="740" spans="18:18" ht="15.75" customHeight="1">
      <c r="R740" s="30"/>
    </row>
    <row r="741" spans="18:18" ht="15.75" customHeight="1">
      <c r="R741" s="30"/>
    </row>
    <row r="742" spans="18:18" ht="15.75" customHeight="1">
      <c r="R742" s="30"/>
    </row>
    <row r="743" spans="18:18" ht="15.75" customHeight="1">
      <c r="R743" s="30"/>
    </row>
    <row r="744" spans="18:18" ht="15.75" customHeight="1">
      <c r="R744" s="30"/>
    </row>
    <row r="745" spans="18:18" ht="15.75" customHeight="1">
      <c r="R745" s="30"/>
    </row>
    <row r="746" spans="18:18" ht="15.75" customHeight="1">
      <c r="R746" s="30"/>
    </row>
    <row r="747" spans="18:18" ht="15.75" customHeight="1">
      <c r="R747" s="30"/>
    </row>
    <row r="748" spans="18:18" ht="15.75" customHeight="1">
      <c r="R748" s="30"/>
    </row>
    <row r="749" spans="18:18" ht="15.75" customHeight="1">
      <c r="R749" s="30"/>
    </row>
    <row r="750" spans="18:18" ht="15.75" customHeight="1">
      <c r="R750" s="30"/>
    </row>
    <row r="751" spans="18:18" ht="15.75" customHeight="1">
      <c r="R751" s="30"/>
    </row>
    <row r="752" spans="18:18" ht="15.75" customHeight="1">
      <c r="R752" s="30"/>
    </row>
    <row r="753" spans="18:18" ht="15.75" customHeight="1">
      <c r="R753" s="30"/>
    </row>
    <row r="754" spans="18:18" ht="15.75" customHeight="1">
      <c r="R754" s="30"/>
    </row>
    <row r="755" spans="18:18" ht="15.75" customHeight="1">
      <c r="R755" s="30"/>
    </row>
    <row r="756" spans="18:18" ht="15.75" customHeight="1">
      <c r="R756" s="30"/>
    </row>
    <row r="757" spans="18:18" ht="15.75" customHeight="1">
      <c r="R757" s="30"/>
    </row>
    <row r="758" spans="18:18" ht="15.75" customHeight="1">
      <c r="R758" s="30"/>
    </row>
    <row r="759" spans="18:18" ht="15.75" customHeight="1">
      <c r="R759" s="30"/>
    </row>
    <row r="760" spans="18:18" ht="15.75" customHeight="1">
      <c r="R760" s="30"/>
    </row>
    <row r="761" spans="18:18" ht="15.75" customHeight="1">
      <c r="R761" s="30"/>
    </row>
    <row r="762" spans="18:18" ht="15.75" customHeight="1">
      <c r="R762" s="30"/>
    </row>
    <row r="763" spans="18:18" ht="15.75" customHeight="1">
      <c r="R763" s="30"/>
    </row>
    <row r="764" spans="18:18" ht="15.75" customHeight="1">
      <c r="R764" s="30"/>
    </row>
    <row r="765" spans="18:18" ht="15.75" customHeight="1">
      <c r="R765" s="30"/>
    </row>
    <row r="766" spans="18:18" ht="15.75" customHeight="1">
      <c r="R766" s="30"/>
    </row>
    <row r="767" spans="18:18" ht="15.75" customHeight="1">
      <c r="R767" s="30"/>
    </row>
    <row r="768" spans="18:18" ht="15.75" customHeight="1">
      <c r="R768" s="30"/>
    </row>
    <row r="769" spans="18:18" ht="15.75" customHeight="1">
      <c r="R769" s="30"/>
    </row>
    <row r="770" spans="18:18" ht="15.75" customHeight="1">
      <c r="R770" s="30"/>
    </row>
    <row r="771" spans="18:18" ht="15.75" customHeight="1">
      <c r="R771" s="30"/>
    </row>
    <row r="772" spans="18:18" ht="15.75" customHeight="1">
      <c r="R772" s="30"/>
    </row>
    <row r="773" spans="18:18" ht="15.75" customHeight="1">
      <c r="R773" s="30"/>
    </row>
    <row r="774" spans="18:18" ht="15.75" customHeight="1">
      <c r="R774" s="30"/>
    </row>
    <row r="775" spans="18:18" ht="15.75" customHeight="1">
      <c r="R775" s="30"/>
    </row>
    <row r="776" spans="18:18" ht="15.75" customHeight="1">
      <c r="R776" s="30"/>
    </row>
    <row r="777" spans="18:18" ht="15.75" customHeight="1">
      <c r="R777" s="30"/>
    </row>
    <row r="778" spans="18:18" ht="15.75" customHeight="1">
      <c r="R778" s="30"/>
    </row>
    <row r="779" spans="18:18" ht="15.75" customHeight="1">
      <c r="R779" s="30"/>
    </row>
    <row r="780" spans="18:18" ht="15.75" customHeight="1">
      <c r="R780" s="30"/>
    </row>
    <row r="781" spans="18:18" ht="15.75" customHeight="1">
      <c r="R781" s="30"/>
    </row>
    <row r="782" spans="18:18" ht="15.75" customHeight="1">
      <c r="R782" s="30"/>
    </row>
    <row r="783" spans="18:18" ht="15.75" customHeight="1">
      <c r="R783" s="30"/>
    </row>
    <row r="784" spans="18:18" ht="15.75" customHeight="1">
      <c r="R784" s="30"/>
    </row>
    <row r="785" spans="18:18" ht="15.75" customHeight="1">
      <c r="R785" s="30"/>
    </row>
    <row r="786" spans="18:18" ht="15.75" customHeight="1">
      <c r="R786" s="30"/>
    </row>
    <row r="787" spans="18:18" ht="15.75" customHeight="1">
      <c r="R787" s="30"/>
    </row>
    <row r="788" spans="18:18" ht="15.75" customHeight="1">
      <c r="R788" s="30"/>
    </row>
    <row r="789" spans="18:18" ht="15.75" customHeight="1">
      <c r="R789" s="30"/>
    </row>
    <row r="790" spans="18:18" ht="15.75" customHeight="1">
      <c r="R790" s="30"/>
    </row>
    <row r="791" spans="18:18" ht="15.75" customHeight="1">
      <c r="R791" s="30"/>
    </row>
    <row r="792" spans="18:18" ht="15.75" customHeight="1">
      <c r="R792" s="30"/>
    </row>
    <row r="793" spans="18:18" ht="15.75" customHeight="1">
      <c r="R793" s="30"/>
    </row>
    <row r="794" spans="18:18" ht="15.75" customHeight="1">
      <c r="R794" s="30"/>
    </row>
    <row r="795" spans="18:18" ht="15.75" customHeight="1">
      <c r="R795" s="30"/>
    </row>
    <row r="796" spans="18:18" ht="15.75" customHeight="1">
      <c r="R796" s="30"/>
    </row>
    <row r="797" spans="18:18" ht="15.75" customHeight="1">
      <c r="R797" s="30"/>
    </row>
    <row r="798" spans="18:18" ht="15.75" customHeight="1">
      <c r="R798" s="30"/>
    </row>
    <row r="799" spans="18:18" ht="15.75" customHeight="1">
      <c r="R799" s="30"/>
    </row>
    <row r="800" spans="18:18" ht="15.75" customHeight="1">
      <c r="R800" s="30"/>
    </row>
    <row r="801" spans="18:18" ht="15.75" customHeight="1">
      <c r="R801" s="30"/>
    </row>
    <row r="802" spans="18:18" ht="15.75" customHeight="1">
      <c r="R802" s="30"/>
    </row>
    <row r="803" spans="18:18" ht="15.75" customHeight="1">
      <c r="R803" s="30"/>
    </row>
    <row r="804" spans="18:18" ht="15.75" customHeight="1">
      <c r="R804" s="30"/>
    </row>
    <row r="805" spans="18:18" ht="15.75" customHeight="1">
      <c r="R805" s="30"/>
    </row>
    <row r="806" spans="18:18" ht="15.75" customHeight="1">
      <c r="R806" s="30"/>
    </row>
    <row r="807" spans="18:18" ht="15.75" customHeight="1">
      <c r="R807" s="30"/>
    </row>
    <row r="808" spans="18:18" ht="15.75" customHeight="1">
      <c r="R808" s="30"/>
    </row>
    <row r="809" spans="18:18" ht="15.75" customHeight="1">
      <c r="R809" s="30"/>
    </row>
    <row r="810" spans="18:18" ht="15.75" customHeight="1">
      <c r="R810" s="30"/>
    </row>
    <row r="811" spans="18:18" ht="15.75" customHeight="1">
      <c r="R811" s="30"/>
    </row>
    <row r="812" spans="18:18" ht="15.75" customHeight="1">
      <c r="R812" s="30"/>
    </row>
    <row r="813" spans="18:18" ht="15.75" customHeight="1">
      <c r="R813" s="30"/>
    </row>
    <row r="814" spans="18:18" ht="15.75" customHeight="1">
      <c r="R814" s="30"/>
    </row>
    <row r="815" spans="18:18" ht="15.75" customHeight="1">
      <c r="R815" s="30"/>
    </row>
    <row r="816" spans="18:18" ht="15.75" customHeight="1">
      <c r="R816" s="30"/>
    </row>
    <row r="817" spans="18:18" ht="15.75" customHeight="1">
      <c r="R817" s="30"/>
    </row>
    <row r="818" spans="18:18" ht="15.75" customHeight="1">
      <c r="R818" s="30"/>
    </row>
    <row r="819" spans="18:18" ht="15.75" customHeight="1">
      <c r="R819" s="30"/>
    </row>
    <row r="820" spans="18:18" ht="15.75" customHeight="1">
      <c r="R820" s="30"/>
    </row>
    <row r="821" spans="18:18" ht="15.75" customHeight="1">
      <c r="R821" s="30"/>
    </row>
    <row r="822" spans="18:18" ht="15.75" customHeight="1">
      <c r="R822" s="30"/>
    </row>
    <row r="823" spans="18:18" ht="15.75" customHeight="1">
      <c r="R823" s="30"/>
    </row>
    <row r="824" spans="18:18" ht="15.75" customHeight="1">
      <c r="R824" s="30"/>
    </row>
    <row r="825" spans="18:18" ht="15.75" customHeight="1">
      <c r="R825" s="30"/>
    </row>
    <row r="826" spans="18:18" ht="15.75" customHeight="1">
      <c r="R826" s="30"/>
    </row>
    <row r="827" spans="18:18" ht="15.75" customHeight="1">
      <c r="R827" s="30"/>
    </row>
    <row r="828" spans="18:18" ht="15.75" customHeight="1">
      <c r="R828" s="30"/>
    </row>
    <row r="829" spans="18:18" ht="15.75" customHeight="1">
      <c r="R829" s="30"/>
    </row>
    <row r="830" spans="18:18" ht="15.75" customHeight="1">
      <c r="R830" s="30"/>
    </row>
    <row r="831" spans="18:18" ht="15.75" customHeight="1">
      <c r="R831" s="30"/>
    </row>
    <row r="832" spans="18:18" ht="15.75" customHeight="1">
      <c r="R832" s="30"/>
    </row>
    <row r="833" spans="18:18" ht="15.75" customHeight="1">
      <c r="R833" s="30"/>
    </row>
    <row r="834" spans="18:18" ht="15.75" customHeight="1">
      <c r="R834" s="30"/>
    </row>
    <row r="835" spans="18:18" ht="15.75" customHeight="1">
      <c r="R835" s="30"/>
    </row>
    <row r="836" spans="18:18" ht="15.75" customHeight="1">
      <c r="R836" s="30"/>
    </row>
    <row r="837" spans="18:18" ht="15.75" customHeight="1">
      <c r="R837" s="30"/>
    </row>
    <row r="838" spans="18:18" ht="15.75" customHeight="1">
      <c r="R838" s="30"/>
    </row>
    <row r="839" spans="18:18" ht="15.75" customHeight="1">
      <c r="R839" s="30"/>
    </row>
    <row r="840" spans="18:18" ht="15.75" customHeight="1">
      <c r="R840" s="30"/>
    </row>
    <row r="841" spans="18:18" ht="15.75" customHeight="1">
      <c r="R841" s="30"/>
    </row>
    <row r="842" spans="18:18" ht="15.75" customHeight="1">
      <c r="R842" s="30"/>
    </row>
    <row r="843" spans="18:18" ht="15.75" customHeight="1">
      <c r="R843" s="30"/>
    </row>
    <row r="844" spans="18:18" ht="15.75" customHeight="1">
      <c r="R844" s="30"/>
    </row>
    <row r="845" spans="18:18" ht="15.75" customHeight="1">
      <c r="R845" s="30"/>
    </row>
    <row r="846" spans="18:18" ht="15.75" customHeight="1">
      <c r="R846" s="30"/>
    </row>
    <row r="847" spans="18:18" ht="15.75" customHeight="1">
      <c r="R847" s="30"/>
    </row>
    <row r="848" spans="18:18" ht="15.75" customHeight="1">
      <c r="R848" s="30"/>
    </row>
    <row r="849" spans="18:18" ht="15.75" customHeight="1">
      <c r="R849" s="30"/>
    </row>
    <row r="850" spans="18:18" ht="15.75" customHeight="1">
      <c r="R850" s="30"/>
    </row>
    <row r="851" spans="18:18" ht="15.75" customHeight="1">
      <c r="R851" s="30"/>
    </row>
    <row r="852" spans="18:18" ht="15.75" customHeight="1">
      <c r="R852" s="30"/>
    </row>
    <row r="853" spans="18:18" ht="15.75" customHeight="1">
      <c r="R853" s="30"/>
    </row>
    <row r="854" spans="18:18" ht="15.75" customHeight="1">
      <c r="R854" s="30"/>
    </row>
    <row r="855" spans="18:18" ht="15.75" customHeight="1">
      <c r="R855" s="30"/>
    </row>
    <row r="856" spans="18:18" ht="15.75" customHeight="1">
      <c r="R856" s="30"/>
    </row>
    <row r="857" spans="18:18" ht="15.75" customHeight="1">
      <c r="R857" s="30"/>
    </row>
    <row r="858" spans="18:18" ht="15.75" customHeight="1">
      <c r="R858" s="30"/>
    </row>
    <row r="859" spans="18:18" ht="15.75" customHeight="1">
      <c r="R859" s="30"/>
    </row>
    <row r="860" spans="18:18" ht="15.75" customHeight="1">
      <c r="R860" s="30"/>
    </row>
    <row r="861" spans="18:18" ht="15.75" customHeight="1">
      <c r="R861" s="30"/>
    </row>
    <row r="862" spans="18:18" ht="15.75" customHeight="1">
      <c r="R862" s="30"/>
    </row>
    <row r="863" spans="18:18" ht="15.75" customHeight="1">
      <c r="R863" s="30"/>
    </row>
    <row r="864" spans="18:18" ht="15.75" customHeight="1">
      <c r="R864" s="30"/>
    </row>
    <row r="865" spans="18:18" ht="15.75" customHeight="1">
      <c r="R865" s="30"/>
    </row>
    <row r="866" spans="18:18" ht="15.75" customHeight="1">
      <c r="R866" s="30"/>
    </row>
    <row r="867" spans="18:18" ht="15.75" customHeight="1">
      <c r="R867" s="30"/>
    </row>
    <row r="868" spans="18:18" ht="15.75" customHeight="1">
      <c r="R868" s="30"/>
    </row>
    <row r="869" spans="18:18" ht="15.75" customHeight="1">
      <c r="R869" s="30"/>
    </row>
    <row r="870" spans="18:18" ht="15.75" customHeight="1">
      <c r="R870" s="30"/>
    </row>
    <row r="871" spans="18:18" ht="15.75" customHeight="1">
      <c r="R871" s="30"/>
    </row>
    <row r="872" spans="18:18" ht="15.75" customHeight="1">
      <c r="R872" s="30"/>
    </row>
    <row r="873" spans="18:18" ht="15.75" customHeight="1">
      <c r="R873" s="30"/>
    </row>
    <row r="874" spans="18:18" ht="15.75" customHeight="1">
      <c r="R874" s="30"/>
    </row>
    <row r="875" spans="18:18" ht="15.75" customHeight="1">
      <c r="R875" s="30"/>
    </row>
    <row r="876" spans="18:18" ht="15.75" customHeight="1">
      <c r="R876" s="30"/>
    </row>
    <row r="877" spans="18:18" ht="15.75" customHeight="1">
      <c r="R877" s="30"/>
    </row>
    <row r="878" spans="18:18" ht="15.75" customHeight="1">
      <c r="R878" s="30"/>
    </row>
    <row r="879" spans="18:18" ht="15.75" customHeight="1">
      <c r="R879" s="30"/>
    </row>
    <row r="880" spans="18:18" ht="15.75" customHeight="1">
      <c r="R880" s="30"/>
    </row>
    <row r="881" spans="18:18" ht="15.75" customHeight="1">
      <c r="R881" s="30"/>
    </row>
    <row r="882" spans="18:18" ht="15.75" customHeight="1">
      <c r="R882" s="30"/>
    </row>
    <row r="883" spans="18:18" ht="15.75" customHeight="1">
      <c r="R883" s="30"/>
    </row>
    <row r="884" spans="18:18" ht="15.75" customHeight="1">
      <c r="R884" s="30"/>
    </row>
    <row r="885" spans="18:18" ht="15.75" customHeight="1">
      <c r="R885" s="30"/>
    </row>
    <row r="886" spans="18:18" ht="15.75" customHeight="1">
      <c r="R886" s="30"/>
    </row>
    <row r="887" spans="18:18" ht="15.75" customHeight="1">
      <c r="R887" s="30"/>
    </row>
    <row r="888" spans="18:18" ht="15.75" customHeight="1">
      <c r="R888" s="30"/>
    </row>
    <row r="889" spans="18:18" ht="15.75" customHeight="1">
      <c r="R889" s="30"/>
    </row>
    <row r="890" spans="18:18" ht="15.75" customHeight="1">
      <c r="R890" s="30"/>
    </row>
    <row r="891" spans="18:18" ht="15.75" customHeight="1">
      <c r="R891" s="30"/>
    </row>
    <row r="892" spans="18:18" ht="15.75" customHeight="1">
      <c r="R892" s="30"/>
    </row>
    <row r="893" spans="18:18" ht="15.75" customHeight="1">
      <c r="R893" s="30"/>
    </row>
    <row r="894" spans="18:18" ht="15.75" customHeight="1">
      <c r="R894" s="30"/>
    </row>
    <row r="895" spans="18:18" ht="15.75" customHeight="1">
      <c r="R895" s="30"/>
    </row>
    <row r="896" spans="18:18" ht="15.75" customHeight="1">
      <c r="R896" s="30"/>
    </row>
    <row r="897" spans="18:18" ht="15.75" customHeight="1">
      <c r="R897" s="30"/>
    </row>
    <row r="898" spans="18:18" ht="15.75" customHeight="1">
      <c r="R898" s="30"/>
    </row>
    <row r="899" spans="18:18" ht="15.75" customHeight="1">
      <c r="R899" s="30"/>
    </row>
    <row r="900" spans="18:18" ht="15.75" customHeight="1">
      <c r="R900" s="30"/>
    </row>
    <row r="901" spans="18:18" ht="15.75" customHeight="1">
      <c r="R901" s="30"/>
    </row>
    <row r="902" spans="18:18" ht="15.75" customHeight="1">
      <c r="R902" s="30"/>
    </row>
    <row r="903" spans="18:18" ht="15.75" customHeight="1">
      <c r="R903" s="30"/>
    </row>
    <row r="904" spans="18:18" ht="15.75" customHeight="1">
      <c r="R904" s="30"/>
    </row>
    <row r="905" spans="18:18" ht="15.75" customHeight="1">
      <c r="R905" s="30"/>
    </row>
    <row r="906" spans="18:18" ht="15.75" customHeight="1">
      <c r="R906" s="30"/>
    </row>
    <row r="907" spans="18:18" ht="15.75" customHeight="1">
      <c r="R907" s="30"/>
    </row>
    <row r="908" spans="18:18" ht="15.75" customHeight="1">
      <c r="R908" s="30"/>
    </row>
    <row r="909" spans="18:18" ht="15.75" customHeight="1">
      <c r="R909" s="30"/>
    </row>
    <row r="910" spans="18:18" ht="15.75" customHeight="1">
      <c r="R910" s="30"/>
    </row>
    <row r="911" spans="18:18" ht="15.75" customHeight="1">
      <c r="R911" s="30"/>
    </row>
    <row r="912" spans="18:18" ht="15.75" customHeight="1">
      <c r="R912" s="30"/>
    </row>
    <row r="913" spans="18:18" ht="15.75" customHeight="1">
      <c r="R913" s="30"/>
    </row>
    <row r="914" spans="18:18" ht="15.75" customHeight="1">
      <c r="R914" s="30"/>
    </row>
    <row r="915" spans="18:18" ht="15.75" customHeight="1">
      <c r="R915" s="30"/>
    </row>
    <row r="916" spans="18:18" ht="15.75" customHeight="1">
      <c r="R916" s="30"/>
    </row>
    <row r="917" spans="18:18" ht="15.75" customHeight="1">
      <c r="R917" s="30"/>
    </row>
    <row r="918" spans="18:18" ht="15.75" customHeight="1">
      <c r="R918" s="30"/>
    </row>
    <row r="919" spans="18:18" ht="15.75" customHeight="1">
      <c r="R919" s="30"/>
    </row>
    <row r="920" spans="18:18" ht="15.75" customHeight="1">
      <c r="R920" s="30"/>
    </row>
    <row r="921" spans="18:18" ht="15.75" customHeight="1">
      <c r="R921" s="30"/>
    </row>
    <row r="922" spans="18:18" ht="15.75" customHeight="1">
      <c r="R922" s="30"/>
    </row>
    <row r="923" spans="18:18" ht="15.75" customHeight="1">
      <c r="R923" s="30"/>
    </row>
    <row r="924" spans="18:18" ht="15.75" customHeight="1">
      <c r="R924" s="30"/>
    </row>
    <row r="925" spans="18:18" ht="15.75" customHeight="1">
      <c r="R925" s="30"/>
    </row>
    <row r="926" spans="18:18" ht="15.75" customHeight="1">
      <c r="R926" s="30"/>
    </row>
    <row r="927" spans="18:18" ht="15.75" customHeight="1">
      <c r="R927" s="30"/>
    </row>
    <row r="928" spans="18:18" ht="15.75" customHeight="1">
      <c r="R928" s="30"/>
    </row>
    <row r="929" spans="18:18" ht="15.75" customHeight="1">
      <c r="R929" s="30"/>
    </row>
    <row r="930" spans="18:18" ht="15.75" customHeight="1">
      <c r="R930" s="30"/>
    </row>
    <row r="931" spans="18:18" ht="15.75" customHeight="1">
      <c r="R931" s="30"/>
    </row>
    <row r="932" spans="18:18" ht="15.75" customHeight="1">
      <c r="R932" s="30"/>
    </row>
    <row r="933" spans="18:18" ht="15.75" customHeight="1">
      <c r="R933" s="30"/>
    </row>
    <row r="934" spans="18:18" ht="15.75" customHeight="1">
      <c r="R934" s="30"/>
    </row>
    <row r="935" spans="18:18" ht="15.75" customHeight="1">
      <c r="R935" s="30"/>
    </row>
    <row r="936" spans="18:18" ht="15.75" customHeight="1">
      <c r="R936" s="30"/>
    </row>
    <row r="937" spans="18:18" ht="15.75" customHeight="1">
      <c r="R937" s="30"/>
    </row>
    <row r="938" spans="18:18" ht="15.75" customHeight="1">
      <c r="R938" s="30"/>
    </row>
    <row r="939" spans="18:18" ht="15.75" customHeight="1">
      <c r="R939" s="30"/>
    </row>
    <row r="940" spans="18:18" ht="15.75" customHeight="1">
      <c r="R940" s="30"/>
    </row>
    <row r="941" spans="18:18" ht="15.75" customHeight="1">
      <c r="R941" s="30"/>
    </row>
    <row r="942" spans="18:18" ht="15.75" customHeight="1">
      <c r="R942" s="30"/>
    </row>
    <row r="943" spans="18:18" ht="15.75" customHeight="1">
      <c r="R943" s="30"/>
    </row>
    <row r="944" spans="18:18" ht="15.75" customHeight="1">
      <c r="R944" s="30"/>
    </row>
    <row r="945" spans="18:18" ht="15.75" customHeight="1">
      <c r="R945" s="30"/>
    </row>
    <row r="946" spans="18:18" ht="15.75" customHeight="1">
      <c r="R946" s="30"/>
    </row>
    <row r="947" spans="18:18" ht="15.75" customHeight="1">
      <c r="R947" s="30"/>
    </row>
    <row r="948" spans="18:18" ht="15.75" customHeight="1">
      <c r="R948" s="30"/>
    </row>
    <row r="949" spans="18:18" ht="15.75" customHeight="1">
      <c r="R949" s="30"/>
    </row>
    <row r="950" spans="18:18" ht="15.75" customHeight="1">
      <c r="R950" s="30"/>
    </row>
    <row r="951" spans="18:18" ht="15.75" customHeight="1">
      <c r="R951" s="30"/>
    </row>
    <row r="952" spans="18:18" ht="15.75" customHeight="1">
      <c r="R952" s="30"/>
    </row>
    <row r="953" spans="18:18" ht="15.75" customHeight="1">
      <c r="R953" s="30"/>
    </row>
    <row r="954" spans="18:18" ht="15.75" customHeight="1">
      <c r="R954" s="30"/>
    </row>
    <row r="955" spans="18:18" ht="15.75" customHeight="1">
      <c r="R955" s="30"/>
    </row>
    <row r="956" spans="18:18" ht="15.75" customHeight="1">
      <c r="R956" s="30"/>
    </row>
    <row r="957" spans="18:18" ht="15.75" customHeight="1">
      <c r="R957" s="30"/>
    </row>
    <row r="958" spans="18:18" ht="15.75" customHeight="1">
      <c r="R958" s="30"/>
    </row>
    <row r="959" spans="18:18" ht="15.75" customHeight="1">
      <c r="R959" s="30"/>
    </row>
    <row r="960" spans="18:18" ht="15.75" customHeight="1">
      <c r="R960" s="30"/>
    </row>
    <row r="961" spans="18:18" ht="15.75" customHeight="1">
      <c r="R961" s="30"/>
    </row>
    <row r="962" spans="18:18" ht="15.75" customHeight="1">
      <c r="R962" s="30"/>
    </row>
    <row r="963" spans="18:18" ht="15.75" customHeight="1">
      <c r="R963" s="30"/>
    </row>
    <row r="964" spans="18:18" ht="15.75" customHeight="1">
      <c r="R964" s="30"/>
    </row>
    <row r="965" spans="18:18" ht="15.75" customHeight="1">
      <c r="R965" s="30"/>
    </row>
    <row r="966" spans="18:18" ht="15.75" customHeight="1">
      <c r="R966" s="30"/>
    </row>
    <row r="967" spans="18:18" ht="15.75" customHeight="1">
      <c r="R967" s="30"/>
    </row>
    <row r="968" spans="18:18" ht="15.75" customHeight="1">
      <c r="R968" s="30"/>
    </row>
    <row r="969" spans="18:18" ht="15.75" customHeight="1">
      <c r="R969" s="30"/>
    </row>
    <row r="970" spans="18:18" ht="15.75" customHeight="1">
      <c r="R970" s="30"/>
    </row>
    <row r="971" spans="18:18" ht="15.75" customHeight="1">
      <c r="R971" s="30"/>
    </row>
    <row r="972" spans="18:18" ht="15.75" customHeight="1">
      <c r="R972" s="30"/>
    </row>
    <row r="973" spans="18:18" ht="15.75" customHeight="1">
      <c r="R973" s="30"/>
    </row>
    <row r="974" spans="18:18" ht="15.75" customHeight="1">
      <c r="R974" s="30"/>
    </row>
    <row r="975" spans="18:18" ht="15.75" customHeight="1">
      <c r="R975" s="30"/>
    </row>
    <row r="976" spans="18:18" ht="15.75" customHeight="1">
      <c r="R976" s="30"/>
    </row>
    <row r="977" spans="18:18" ht="15.75" customHeight="1">
      <c r="R977" s="30"/>
    </row>
    <row r="978" spans="18:18" ht="15.75" customHeight="1">
      <c r="R978" s="30"/>
    </row>
    <row r="979" spans="18:18" ht="15.75" customHeight="1">
      <c r="R979" s="30"/>
    </row>
    <row r="980" spans="18:18" ht="15.75" customHeight="1">
      <c r="R980" s="30"/>
    </row>
    <row r="981" spans="18:18" ht="15.75" customHeight="1">
      <c r="R981" s="30"/>
    </row>
    <row r="982" spans="18:18" ht="15.75" customHeight="1">
      <c r="R982" s="30"/>
    </row>
    <row r="983" spans="18:18" ht="15.75" customHeight="1">
      <c r="R983" s="30"/>
    </row>
    <row r="984" spans="18:18" ht="15.75" customHeight="1">
      <c r="R984" s="30"/>
    </row>
    <row r="985" spans="18:18" ht="15.75" customHeight="1">
      <c r="R985" s="30"/>
    </row>
    <row r="986" spans="18:18" ht="15.75" customHeight="1">
      <c r="R986" s="30"/>
    </row>
    <row r="987" spans="18:18" ht="15.75" customHeight="1">
      <c r="R987" s="30"/>
    </row>
    <row r="988" spans="18:18" ht="15.75" customHeight="1">
      <c r="R988" s="30"/>
    </row>
    <row r="989" spans="18:18" ht="15.75" customHeight="1">
      <c r="R989" s="30"/>
    </row>
    <row r="990" spans="18:18" ht="15.75" customHeight="1">
      <c r="R990" s="30"/>
    </row>
    <row r="991" spans="18:18" ht="15.75" customHeight="1">
      <c r="R991" s="30"/>
    </row>
    <row r="992" spans="18:18" ht="15.75" customHeight="1">
      <c r="R992" s="30"/>
    </row>
    <row r="993" spans="18:18" ht="15.75" customHeight="1">
      <c r="R993" s="30"/>
    </row>
    <row r="994" spans="18:18" ht="15.75" customHeight="1">
      <c r="R994" s="30"/>
    </row>
    <row r="995" spans="18:18" ht="15.75" customHeight="1">
      <c r="R995" s="30"/>
    </row>
    <row r="996" spans="18:18" ht="15.75" customHeight="1">
      <c r="R996" s="30"/>
    </row>
    <row r="997" spans="18:18" ht="15.75" customHeight="1">
      <c r="R997" s="30"/>
    </row>
    <row r="998" spans="18:18" ht="15.75" customHeight="1">
      <c r="R998" s="30"/>
    </row>
    <row r="999" spans="18:18" ht="15.75" customHeight="1">
      <c r="R999" s="30"/>
    </row>
    <row r="1000" spans="18:18" ht="15.75" customHeight="1">
      <c r="R1000" s="3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2.6640625" defaultRowHeight="15" customHeight="1"/>
  <cols>
    <col min="1" max="1" width="13.33203125" customWidth="1"/>
    <col min="2" max="2" width="19.1640625" customWidth="1"/>
    <col min="3" max="3" width="8" customWidth="1"/>
    <col min="4" max="4" width="7" customWidth="1"/>
    <col min="5" max="5" width="8.6640625" customWidth="1"/>
    <col min="6" max="6" width="9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16.33203125" customWidth="1"/>
    <col min="16" max="16" width="10" customWidth="1"/>
    <col min="17" max="18" width="7.33203125" customWidth="1"/>
    <col min="19" max="19" width="7.1640625" customWidth="1"/>
    <col min="20" max="20" width="11.1640625" customWidth="1"/>
    <col min="21" max="21" width="19.6640625" customWidth="1"/>
    <col min="22" max="22" width="66.664062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6640625" customWidth="1"/>
    <col min="32" max="32" width="10.1640625" customWidth="1"/>
    <col min="33" max="33" width="8.83203125" customWidth="1"/>
  </cols>
  <sheetData>
    <row r="1" spans="1:33" ht="18.75" customHeight="1">
      <c r="A1" s="46" t="str">
        <f ca="1">IFERROR(__xludf.DUMMYFUNCTION("IFERROR(VLOOKUP(B2,IMPORTRANGE(""https://docs.google.com/spreadsheets/d/1x0DhHglkXKoEBOD2MBsuK_EyIr1ouxD2ftIpqOYFa-k/edit?usp=sharing"",""Ubiquitty-SKU-Specific Info!B1:BJ5000""),3,FALSE),"""")"),"10 Ft Lighted Outdoor Extension Cord - 12/3 SJTW Heavy Duty Yellow Extension Cable with 3 Prong Grounded Plug for Safety - Great for Garden &amp; Major Appliances")</f>
        <v>10 Ft Lighted Outdoor Extension Cord - 12/3 SJTW Heavy Duty Yellow Extension Cable with 3 Prong Grounded Plug for Safety - Great for Garden &amp; Major Appliances</v>
      </c>
      <c r="B1" s="47"/>
      <c r="C1" s="48" t="s">
        <v>0</v>
      </c>
      <c r="D1" s="50" t="s">
        <v>1</v>
      </c>
      <c r="E1" s="50" t="s">
        <v>2</v>
      </c>
      <c r="F1" s="52" t="s">
        <v>3</v>
      </c>
      <c r="G1" s="52" t="s">
        <v>4</v>
      </c>
      <c r="H1" s="53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58" t="s">
        <v>10</v>
      </c>
      <c r="N1" s="59" t="s">
        <v>11</v>
      </c>
      <c r="O1" s="50" t="s">
        <v>12</v>
      </c>
      <c r="P1" s="50" t="s">
        <v>13</v>
      </c>
      <c r="Q1" s="57" t="s">
        <v>14</v>
      </c>
      <c r="R1" s="57" t="s">
        <v>15</v>
      </c>
      <c r="S1" s="60" t="s">
        <v>16</v>
      </c>
      <c r="T1" s="62" t="s">
        <v>2006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Info!B1:BJ5000""),2,FALSE),"""")"),"B07Q5HL4SQ")</f>
        <v>B07Q5HL4SQ</v>
      </c>
      <c r="B2" s="3" t="s">
        <v>847</v>
      </c>
      <c r="C2" s="49"/>
      <c r="D2" s="49"/>
      <c r="E2" s="51"/>
      <c r="F2" s="49"/>
      <c r="G2" s="49"/>
      <c r="H2" s="54"/>
      <c r="I2" s="49"/>
      <c r="J2" s="49"/>
      <c r="K2" s="54"/>
      <c r="L2" s="54"/>
      <c r="M2" s="54"/>
      <c r="N2" s="49"/>
      <c r="O2" s="49"/>
      <c r="P2" s="51"/>
      <c r="Q2" s="49"/>
      <c r="R2" s="49"/>
      <c r="S2" s="61"/>
      <c r="T2" s="47"/>
      <c r="U2" s="63"/>
      <c r="V2" s="63"/>
      <c r="W2" s="47"/>
      <c r="X2" s="47"/>
      <c r="Y2" s="47"/>
      <c r="Z2" s="47"/>
      <c r="AA2" s="63"/>
      <c r="AB2" s="63"/>
      <c r="AC2" s="63"/>
      <c r="AD2" s="63"/>
      <c r="AE2" s="47"/>
      <c r="AF2" s="47"/>
      <c r="AG2" s="47"/>
    </row>
    <row r="3" spans="1:33" ht="168" customHeight="1">
      <c r="A3" s="55" t="s">
        <v>31</v>
      </c>
      <c r="B3" s="56"/>
      <c r="C3" s="4">
        <f>((AE32+AF32)/0.85)*-1</f>
        <v>11.976936485647059</v>
      </c>
      <c r="D3" s="5">
        <f>SUM(D4:D99765)</f>
        <v>370</v>
      </c>
      <c r="E3" s="5"/>
      <c r="F3" s="6">
        <f t="shared" ref="F3:G3" si="0">SUM(F4:F99765)</f>
        <v>7229.52</v>
      </c>
      <c r="G3" s="6">
        <f t="shared" si="0"/>
        <v>-0.19</v>
      </c>
      <c r="H3" s="7">
        <f t="shared" ref="H3:H32" si="1">G3/F3*-1</f>
        <v>2.6281136230344474E-5</v>
      </c>
      <c r="I3" s="8">
        <f t="shared" ref="I3:I32" si="2">J3/F3</f>
        <v>0.39358923033882193</v>
      </c>
      <c r="J3" s="6">
        <f>SUM(J4:J99765)</f>
        <v>2845.4612125191202</v>
      </c>
      <c r="K3" s="6">
        <f t="shared" ref="K3:K32" si="3">J3/D3</f>
        <v>7.690435709511136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Sheet!a1:g5000""),2,FALSE),"""")"),"4 - March
4 - April
4.5 - May
4.5 - June
4.5 - July
3.5 - Aug
4 - Sept
4 - Oct
5 - Nov
4 - Dec
3 - Jan
4 - Feb")</f>
        <v>4 - March
4 - April
4.5 - May
4.5 - June
4.5 - July
3.5 - Aug
4 - Sept
4 - Oct
5 - Nov
4 - Dec
3 - Jan
4 -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QTY-0")</f>
        <v>US QTY-0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0</v>
      </c>
      <c r="X3" s="7">
        <f>W3/D3</f>
        <v>0</v>
      </c>
      <c r="Y3" s="6"/>
      <c r="Z3" s="5"/>
      <c r="AA3" s="5"/>
      <c r="AB3" s="5"/>
      <c r="AC3" s="5"/>
      <c r="AD3" s="6">
        <f>SUM(AD4:AD99765)</f>
        <v>-17.871895480880642</v>
      </c>
      <c r="AE3" s="6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Info!B2:BZ3000""),37,FALSE)),"""")*-1"),-5.2303960128)</f>
        <v>-5.2303960128</v>
      </c>
      <c r="AG3" s="6">
        <f>SUM(AG4:AG99765)</f>
        <v>0</v>
      </c>
    </row>
    <row r="4" spans="1:33" ht="15.75" customHeight="1">
      <c r="A4" s="14" t="s">
        <v>181</v>
      </c>
      <c r="B4" s="14" t="s">
        <v>68</v>
      </c>
      <c r="C4" s="15">
        <f t="shared" ref="C4:C32" si="4">IFERROR(F4/D4," - ")</f>
        <v>20.043333333333337</v>
      </c>
      <c r="D4" s="16">
        <v>18</v>
      </c>
      <c r="E4" s="16">
        <v>1</v>
      </c>
      <c r="F4" s="17">
        <v>360.78000000000009</v>
      </c>
      <c r="G4" s="17">
        <v>0</v>
      </c>
      <c r="H4" s="18">
        <f t="shared" si="1"/>
        <v>0</v>
      </c>
      <c r="I4" s="18">
        <f t="shared" si="2"/>
        <v>0.41278950153455396</v>
      </c>
      <c r="J4" s="17">
        <f t="shared" ref="J4:J32" si="5">F4*0.85+G4+AF4*D4+D4*AE4+AG4+AD4</f>
        <v>148.92619636363642</v>
      </c>
      <c r="K4" s="17">
        <f t="shared" si="3"/>
        <v>8.2736775757575796</v>
      </c>
      <c r="L4" s="16">
        <v>28</v>
      </c>
      <c r="M4" s="19">
        <f t="shared" ref="M4:M32" si="6">IFERROR(D4/L4,"-")</f>
        <v>0.6428571428571429</v>
      </c>
      <c r="N4" s="16">
        <v>162</v>
      </c>
      <c r="O4" s="20">
        <f t="shared" ref="O4:P4" si="7">D4/7</f>
        <v>2.5714285714285716</v>
      </c>
      <c r="P4" s="20">
        <f t="shared" si="7"/>
        <v>0.14285714285714285</v>
      </c>
      <c r="Q4" s="16">
        <f t="shared" ref="Q4:Q32" si="8">ROUNDDOWN(N4/(O4+P4),0)</f>
        <v>59</v>
      </c>
      <c r="R4" s="16"/>
      <c r="S4" s="21">
        <v>3.18498659517426</v>
      </c>
      <c r="T4" s="14">
        <v>190</v>
      </c>
      <c r="U4" s="22">
        <v>100</v>
      </c>
      <c r="V4" s="23" t="s">
        <v>848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26" t="s">
        <v>35</v>
      </c>
      <c r="AB4" s="27">
        <f t="shared" ref="AB4:AB32" si="11">IF(OR(AA4="UsLargeStandardSize",AA4="UsSmallStandardSize"),-0.69,-0.48)</f>
        <v>-0.69</v>
      </c>
      <c r="AC4" s="28">
        <v>3.4999999999999996E-2</v>
      </c>
      <c r="AD4" s="25">
        <f t="shared" ref="AD4:AD32" si="12">IFERROR(AB4*AC4*D4*2,0)</f>
        <v>-0.86939999999999984</v>
      </c>
      <c r="AE4" s="25">
        <v>-4.9000000000000004</v>
      </c>
      <c r="AF4" s="25">
        <v>-3.8148557575757578</v>
      </c>
      <c r="AG4" s="25">
        <v>0</v>
      </c>
    </row>
    <row r="5" spans="1:33" ht="15.75" customHeight="1">
      <c r="A5" s="14" t="s">
        <v>183</v>
      </c>
      <c r="B5" s="14" t="s">
        <v>68</v>
      </c>
      <c r="C5" s="15">
        <f t="shared" si="4"/>
        <v>20.113124999999997</v>
      </c>
      <c r="D5" s="16">
        <v>16</v>
      </c>
      <c r="E5" s="16">
        <v>1</v>
      </c>
      <c r="F5" s="29">
        <v>321.80999999999995</v>
      </c>
      <c r="G5" s="29">
        <v>0</v>
      </c>
      <c r="H5" s="18">
        <f t="shared" si="1"/>
        <v>0</v>
      </c>
      <c r="I5" s="18">
        <f t="shared" si="2"/>
        <v>0.41430382026011364</v>
      </c>
      <c r="J5" s="17">
        <f t="shared" si="5"/>
        <v>133.32711239790714</v>
      </c>
      <c r="K5" s="17">
        <f t="shared" si="3"/>
        <v>8.3329445248691965</v>
      </c>
      <c r="L5" s="16">
        <v>49</v>
      </c>
      <c r="M5" s="19">
        <f t="shared" si="6"/>
        <v>0.32653061224489793</v>
      </c>
      <c r="N5" s="16">
        <v>132</v>
      </c>
      <c r="O5" s="20">
        <f t="shared" ref="O5:P5" si="13">D5/7</f>
        <v>2.2857142857142856</v>
      </c>
      <c r="P5" s="20">
        <f t="shared" si="13"/>
        <v>0.14285714285714285</v>
      </c>
      <c r="Q5" s="16">
        <f t="shared" si="8"/>
        <v>54</v>
      </c>
      <c r="R5" s="16"/>
      <c r="S5" s="21">
        <v>3.9864864864864802</v>
      </c>
      <c r="T5" s="14">
        <v>190</v>
      </c>
      <c r="U5" s="22">
        <v>100</v>
      </c>
      <c r="V5" s="23" t="s">
        <v>849</v>
      </c>
      <c r="W5" s="14">
        <v>0</v>
      </c>
      <c r="X5" s="24">
        <f t="shared" si="9"/>
        <v>0</v>
      </c>
      <c r="Y5" s="25">
        <f t="shared" si="10"/>
        <v>0</v>
      </c>
      <c r="Z5" s="14">
        <v>0</v>
      </c>
      <c r="AA5" s="14" t="s">
        <v>35</v>
      </c>
      <c r="AB5" s="27">
        <f t="shared" si="11"/>
        <v>-0.69</v>
      </c>
      <c r="AC5" s="28">
        <v>3.5040556199304747E-2</v>
      </c>
      <c r="AD5" s="25">
        <f t="shared" si="12"/>
        <v>-0.77369548088064877</v>
      </c>
      <c r="AE5" s="25">
        <v>-4.9000000000000004</v>
      </c>
      <c r="AF5" s="25">
        <v>-3.8148557575757578</v>
      </c>
      <c r="AG5" s="25">
        <v>0</v>
      </c>
    </row>
    <row r="6" spans="1:33" ht="15.75" customHeight="1">
      <c r="A6" s="14" t="s">
        <v>185</v>
      </c>
      <c r="B6" s="14" t="s">
        <v>68</v>
      </c>
      <c r="C6" s="15">
        <f t="shared" si="4"/>
        <v>19.990000000000002</v>
      </c>
      <c r="D6" s="16">
        <v>14</v>
      </c>
      <c r="E6" s="16">
        <v>1</v>
      </c>
      <c r="F6" s="29">
        <v>279.86</v>
      </c>
      <c r="G6" s="29">
        <v>0</v>
      </c>
      <c r="H6" s="18">
        <f t="shared" si="1"/>
        <v>0</v>
      </c>
      <c r="I6" s="18">
        <f t="shared" si="2"/>
        <v>0.41162302363302855</v>
      </c>
      <c r="J6" s="17">
        <f t="shared" si="5"/>
        <v>115.19681939393938</v>
      </c>
      <c r="K6" s="17">
        <f t="shared" si="3"/>
        <v>8.2283442424242406</v>
      </c>
      <c r="L6" s="16">
        <v>47</v>
      </c>
      <c r="M6" s="19">
        <f t="shared" si="6"/>
        <v>0.2978723404255319</v>
      </c>
      <c r="N6" s="16">
        <v>120</v>
      </c>
      <c r="O6" s="20">
        <f t="shared" ref="O6:P6" si="14">D6/7</f>
        <v>2</v>
      </c>
      <c r="P6" s="20">
        <f t="shared" si="14"/>
        <v>0.14285714285714285</v>
      </c>
      <c r="Q6" s="16">
        <f t="shared" si="8"/>
        <v>56</v>
      </c>
      <c r="R6" s="16"/>
      <c r="S6" s="21">
        <v>2.2666666666666599</v>
      </c>
      <c r="T6" s="14">
        <v>90</v>
      </c>
      <c r="U6" s="22">
        <v>90</v>
      </c>
      <c r="V6" s="23" t="s">
        <v>850</v>
      </c>
      <c r="W6" s="14">
        <v>0</v>
      </c>
      <c r="X6" s="24">
        <f t="shared" si="9"/>
        <v>0</v>
      </c>
      <c r="Y6" s="25">
        <f t="shared" si="10"/>
        <v>0</v>
      </c>
      <c r="Z6" s="14">
        <v>0</v>
      </c>
      <c r="AA6" s="14" t="s">
        <v>35</v>
      </c>
      <c r="AB6" s="27">
        <f t="shared" si="11"/>
        <v>-0.69</v>
      </c>
      <c r="AC6" s="28">
        <v>3.4999999999999996E-2</v>
      </c>
      <c r="AD6" s="25">
        <f t="shared" si="12"/>
        <v>-0.6761999999999998</v>
      </c>
      <c r="AE6" s="25">
        <v>-4.9000000000000004</v>
      </c>
      <c r="AF6" s="25">
        <v>-3.8148557575757578</v>
      </c>
      <c r="AG6" s="25">
        <v>0</v>
      </c>
    </row>
    <row r="7" spans="1:33" ht="15.75" customHeight="1">
      <c r="A7" s="14" t="s">
        <v>187</v>
      </c>
      <c r="B7" s="14" t="s">
        <v>843</v>
      </c>
      <c r="C7" s="15">
        <f t="shared" si="4"/>
        <v>20.030625000000001</v>
      </c>
      <c r="D7" s="16">
        <v>16</v>
      </c>
      <c r="E7" s="16">
        <v>3</v>
      </c>
      <c r="F7" s="29">
        <v>320.49</v>
      </c>
      <c r="G7" s="29">
        <v>0</v>
      </c>
      <c r="H7" s="18">
        <f t="shared" si="1"/>
        <v>0</v>
      </c>
      <c r="I7" s="18">
        <f t="shared" si="2"/>
        <v>0.41251211544443778</v>
      </c>
      <c r="J7" s="17">
        <f t="shared" si="5"/>
        <v>132.20600787878786</v>
      </c>
      <c r="K7" s="17">
        <f t="shared" si="3"/>
        <v>8.2628754924242411</v>
      </c>
      <c r="L7" s="16">
        <v>37</v>
      </c>
      <c r="M7" s="19">
        <f t="shared" si="6"/>
        <v>0.43243243243243246</v>
      </c>
      <c r="N7" s="16">
        <v>99</v>
      </c>
      <c r="O7" s="20">
        <f t="shared" ref="O7:P7" si="15">D7/7</f>
        <v>2.2857142857142856</v>
      </c>
      <c r="P7" s="20">
        <f t="shared" si="15"/>
        <v>0.42857142857142855</v>
      </c>
      <c r="Q7" s="16">
        <f t="shared" si="8"/>
        <v>36</v>
      </c>
      <c r="R7" s="16"/>
      <c r="S7" s="21">
        <v>2.9073170731707298</v>
      </c>
      <c r="T7" s="14">
        <v>90</v>
      </c>
      <c r="U7" s="22">
        <v>90</v>
      </c>
      <c r="V7" s="23" t="s">
        <v>850</v>
      </c>
      <c r="W7" s="14">
        <v>0</v>
      </c>
      <c r="X7" s="24">
        <f t="shared" si="9"/>
        <v>0</v>
      </c>
      <c r="Y7" s="25">
        <f t="shared" si="10"/>
        <v>0</v>
      </c>
      <c r="Z7" s="14">
        <v>0</v>
      </c>
      <c r="AA7" s="14" t="s">
        <v>35</v>
      </c>
      <c r="AB7" s="27">
        <f t="shared" si="11"/>
        <v>-0.69</v>
      </c>
      <c r="AC7" s="28">
        <v>3.4999999999999996E-2</v>
      </c>
      <c r="AD7" s="25">
        <f t="shared" si="12"/>
        <v>-0.77279999999999982</v>
      </c>
      <c r="AE7" s="25">
        <v>-4.9000000000000004</v>
      </c>
      <c r="AF7" s="25">
        <v>-3.8148557575757578</v>
      </c>
      <c r="AG7" s="25">
        <v>0</v>
      </c>
    </row>
    <row r="8" spans="1:33" ht="15.75" customHeight="1">
      <c r="A8" s="14" t="s">
        <v>189</v>
      </c>
      <c r="B8" s="14" t="s">
        <v>851</v>
      </c>
      <c r="C8" s="15">
        <f t="shared" si="4"/>
        <v>19.389999999999997</v>
      </c>
      <c r="D8" s="16">
        <v>10</v>
      </c>
      <c r="E8" s="16">
        <v>1</v>
      </c>
      <c r="F8" s="29">
        <v>193.89999999999998</v>
      </c>
      <c r="G8" s="29">
        <v>0</v>
      </c>
      <c r="H8" s="18">
        <f t="shared" si="1"/>
        <v>0</v>
      </c>
      <c r="I8" s="18">
        <f t="shared" si="2"/>
        <v>0.39830840639504889</v>
      </c>
      <c r="J8" s="17">
        <f t="shared" si="5"/>
        <v>77.231999999999971</v>
      </c>
      <c r="K8" s="17">
        <f t="shared" si="3"/>
        <v>7.7231999999999967</v>
      </c>
      <c r="L8" s="16">
        <v>23</v>
      </c>
      <c r="M8" s="19">
        <f t="shared" si="6"/>
        <v>0.43478260869565216</v>
      </c>
      <c r="N8" s="16">
        <v>85</v>
      </c>
      <c r="O8" s="20">
        <f t="shared" ref="O8:P8" si="16">D8/7</f>
        <v>1.4285714285714286</v>
      </c>
      <c r="P8" s="20">
        <f t="shared" si="16"/>
        <v>0.14285714285714285</v>
      </c>
      <c r="Q8" s="16">
        <f t="shared" si="8"/>
        <v>54</v>
      </c>
      <c r="R8" s="16"/>
      <c r="S8" s="21">
        <v>3.02</v>
      </c>
      <c r="T8" s="14">
        <v>0</v>
      </c>
      <c r="U8" s="22" t="s">
        <v>34</v>
      </c>
      <c r="V8" s="23" t="s">
        <v>34</v>
      </c>
      <c r="W8" s="14">
        <v>0</v>
      </c>
      <c r="X8" s="24">
        <f t="shared" si="9"/>
        <v>0</v>
      </c>
      <c r="Y8" s="25">
        <f t="shared" si="10"/>
        <v>0</v>
      </c>
      <c r="Z8" s="14">
        <v>0</v>
      </c>
      <c r="AA8" s="14" t="s">
        <v>35</v>
      </c>
      <c r="AB8" s="27">
        <f t="shared" si="11"/>
        <v>-0.69</v>
      </c>
      <c r="AC8" s="28">
        <v>3.4999999999999996E-2</v>
      </c>
      <c r="AD8" s="25">
        <f t="shared" si="12"/>
        <v>-0.48299999999999987</v>
      </c>
      <c r="AE8" s="25">
        <v>-4.9000000000000004</v>
      </c>
      <c r="AF8" s="25">
        <v>-3.81</v>
      </c>
      <c r="AG8" s="25">
        <v>0</v>
      </c>
    </row>
    <row r="9" spans="1:33" ht="15.75" customHeight="1">
      <c r="A9" s="14" t="s">
        <v>191</v>
      </c>
      <c r="B9" s="14" t="s">
        <v>68</v>
      </c>
      <c r="C9" s="15">
        <f t="shared" si="4"/>
        <v>18.298846153846153</v>
      </c>
      <c r="D9" s="16">
        <v>26</v>
      </c>
      <c r="E9" s="16">
        <v>2</v>
      </c>
      <c r="F9" s="29">
        <v>475.77</v>
      </c>
      <c r="G9" s="29">
        <v>0</v>
      </c>
      <c r="H9" s="18">
        <f t="shared" si="1"/>
        <v>0</v>
      </c>
      <c r="I9" s="18">
        <f t="shared" si="2"/>
        <v>0.36740361684822292</v>
      </c>
      <c r="J9" s="17">
        <f t="shared" si="5"/>
        <v>174.79961878787901</v>
      </c>
      <c r="K9" s="17">
        <f t="shared" si="3"/>
        <v>6.7230622610722701</v>
      </c>
      <c r="L9" s="16">
        <v>56</v>
      </c>
      <c r="M9" s="19">
        <f t="shared" si="6"/>
        <v>0.4642857142857143</v>
      </c>
      <c r="N9" s="16">
        <v>59</v>
      </c>
      <c r="O9" s="20">
        <f t="shared" ref="O9:P9" si="17">D9/7</f>
        <v>3.7142857142857144</v>
      </c>
      <c r="P9" s="20">
        <f t="shared" si="17"/>
        <v>0.2857142857142857</v>
      </c>
      <c r="Q9" s="16">
        <f t="shared" si="8"/>
        <v>14</v>
      </c>
      <c r="R9" s="16"/>
      <c r="S9" s="21">
        <v>3.6151603498542202</v>
      </c>
      <c r="T9" s="14">
        <v>0</v>
      </c>
      <c r="U9" s="22" t="s">
        <v>34</v>
      </c>
      <c r="V9" s="23" t="s">
        <v>34</v>
      </c>
      <c r="W9" s="14">
        <v>0</v>
      </c>
      <c r="X9" s="24">
        <f t="shared" si="9"/>
        <v>0</v>
      </c>
      <c r="Y9" s="25">
        <f t="shared" si="10"/>
        <v>0</v>
      </c>
      <c r="Z9" s="14">
        <v>0</v>
      </c>
      <c r="AA9" s="14" t="s">
        <v>35</v>
      </c>
      <c r="AB9" s="27">
        <f t="shared" si="11"/>
        <v>-0.69</v>
      </c>
      <c r="AC9" s="28">
        <v>3.4999999999999996E-2</v>
      </c>
      <c r="AD9" s="25">
        <f t="shared" si="12"/>
        <v>-1.2557999999999998</v>
      </c>
      <c r="AE9" s="25">
        <v>-4.9000000000000004</v>
      </c>
      <c r="AF9" s="25">
        <v>-3.8826569696969599</v>
      </c>
      <c r="AG9" s="25">
        <v>0</v>
      </c>
    </row>
    <row r="10" spans="1:33" ht="15.75" customHeight="1">
      <c r="A10" s="14" t="s">
        <v>192</v>
      </c>
      <c r="B10" s="14" t="s">
        <v>852</v>
      </c>
      <c r="C10" s="15">
        <f t="shared" si="4"/>
        <v>18.147391304347824</v>
      </c>
      <c r="D10" s="16">
        <v>23</v>
      </c>
      <c r="E10" s="16">
        <v>1</v>
      </c>
      <c r="F10" s="29">
        <v>417.38999999999993</v>
      </c>
      <c r="G10" s="29">
        <v>-0.05</v>
      </c>
      <c r="H10" s="18">
        <f t="shared" si="1"/>
        <v>1.1979204101679487E-4</v>
      </c>
      <c r="I10" s="18">
        <f t="shared" si="2"/>
        <v>0.3632561625744985</v>
      </c>
      <c r="J10" s="17">
        <f t="shared" si="5"/>
        <v>151.61948969696991</v>
      </c>
      <c r="K10" s="17">
        <f t="shared" si="3"/>
        <v>6.5921517259552136</v>
      </c>
      <c r="L10" s="16">
        <v>58</v>
      </c>
      <c r="M10" s="19">
        <f t="shared" si="6"/>
        <v>0.39655172413793105</v>
      </c>
      <c r="N10" s="16">
        <v>115</v>
      </c>
      <c r="O10" s="20">
        <f t="shared" ref="O10:P10" si="18">D10/7</f>
        <v>3.2857142857142856</v>
      </c>
      <c r="P10" s="20">
        <f t="shared" si="18"/>
        <v>0.14285714285714285</v>
      </c>
      <c r="Q10" s="16">
        <f t="shared" si="8"/>
        <v>33</v>
      </c>
      <c r="R10" s="16"/>
      <c r="S10" s="21">
        <v>2.27620632279534</v>
      </c>
      <c r="T10" s="14">
        <v>240</v>
      </c>
      <c r="U10" s="22" t="s">
        <v>34</v>
      </c>
      <c r="V10" s="23" t="s">
        <v>34</v>
      </c>
      <c r="W10" s="14">
        <v>0</v>
      </c>
      <c r="X10" s="24">
        <f t="shared" si="9"/>
        <v>0</v>
      </c>
      <c r="Y10" s="25">
        <f t="shared" si="10"/>
        <v>0</v>
      </c>
      <c r="Z10" s="14">
        <v>0</v>
      </c>
      <c r="AA10" s="14" t="s">
        <v>35</v>
      </c>
      <c r="AB10" s="27">
        <f t="shared" si="11"/>
        <v>-0.69</v>
      </c>
      <c r="AC10" s="28">
        <v>3.4999999999999996E-2</v>
      </c>
      <c r="AD10" s="25">
        <f t="shared" si="12"/>
        <v>-1.1108999999999998</v>
      </c>
      <c r="AE10" s="25">
        <v>-4.9000000000000004</v>
      </c>
      <c r="AF10" s="25">
        <v>-3.8826569696969599</v>
      </c>
      <c r="AG10" s="25">
        <v>0</v>
      </c>
    </row>
    <row r="11" spans="1:33" ht="15.75" customHeight="1">
      <c r="A11" s="14" t="s">
        <v>193</v>
      </c>
      <c r="B11" s="14" t="s">
        <v>853</v>
      </c>
      <c r="C11" s="15">
        <f t="shared" si="4"/>
        <v>19.53</v>
      </c>
      <c r="D11" s="16">
        <v>16</v>
      </c>
      <c r="E11" s="16">
        <v>0</v>
      </c>
      <c r="F11" s="29">
        <v>312.48</v>
      </c>
      <c r="G11" s="29">
        <v>0</v>
      </c>
      <c r="H11" s="18">
        <f t="shared" si="1"/>
        <v>0</v>
      </c>
      <c r="I11" s="18">
        <f t="shared" si="2"/>
        <v>0.39782606401961285</v>
      </c>
      <c r="J11" s="17">
        <f t="shared" si="5"/>
        <v>124.31268848484864</v>
      </c>
      <c r="K11" s="17">
        <f t="shared" si="3"/>
        <v>7.7695430303030397</v>
      </c>
      <c r="L11" s="16">
        <v>48</v>
      </c>
      <c r="M11" s="19">
        <f t="shared" si="6"/>
        <v>0.33333333333333331</v>
      </c>
      <c r="N11" s="16">
        <v>130</v>
      </c>
      <c r="O11" s="20">
        <f t="shared" ref="O11:P11" si="19">D11/7</f>
        <v>2.2857142857142856</v>
      </c>
      <c r="P11" s="20">
        <f t="shared" si="19"/>
        <v>0</v>
      </c>
      <c r="Q11" s="16">
        <f t="shared" si="8"/>
        <v>56</v>
      </c>
      <c r="R11" s="16"/>
      <c r="S11" s="21">
        <v>2.3908918406072099</v>
      </c>
      <c r="T11" s="14">
        <v>340</v>
      </c>
      <c r="U11" s="22" t="s">
        <v>34</v>
      </c>
      <c r="V11" s="23" t="s">
        <v>34</v>
      </c>
      <c r="W11" s="14">
        <v>0</v>
      </c>
      <c r="X11" s="24">
        <f t="shared" si="9"/>
        <v>0</v>
      </c>
      <c r="Y11" s="25">
        <f t="shared" si="10"/>
        <v>0</v>
      </c>
      <c r="Z11" s="14">
        <v>0</v>
      </c>
      <c r="AA11" s="14" t="s">
        <v>35</v>
      </c>
      <c r="AB11" s="27">
        <f t="shared" si="11"/>
        <v>-0.69</v>
      </c>
      <c r="AC11" s="28">
        <v>3.4999999999999996E-2</v>
      </c>
      <c r="AD11" s="25">
        <f t="shared" si="12"/>
        <v>-0.77279999999999982</v>
      </c>
      <c r="AE11" s="25">
        <v>-4.9000000000000004</v>
      </c>
      <c r="AF11" s="25">
        <v>-3.8826569696969599</v>
      </c>
      <c r="AG11" s="25">
        <v>0</v>
      </c>
    </row>
    <row r="12" spans="1:33" ht="15.75" customHeight="1">
      <c r="A12" s="14" t="s">
        <v>195</v>
      </c>
      <c r="B12" s="14" t="s">
        <v>854</v>
      </c>
      <c r="C12" s="15">
        <f t="shared" si="4"/>
        <v>20.086571428571421</v>
      </c>
      <c r="D12" s="16">
        <v>35</v>
      </c>
      <c r="E12" s="16">
        <v>1</v>
      </c>
      <c r="F12" s="29">
        <v>703.02999999999975</v>
      </c>
      <c r="G12" s="29">
        <v>-7.0000000000000007E-2</v>
      </c>
      <c r="H12" s="18">
        <f t="shared" si="1"/>
        <v>9.9569008434917473E-5</v>
      </c>
      <c r="I12" s="18">
        <f t="shared" si="2"/>
        <v>0.41025561648949016</v>
      </c>
      <c r="J12" s="17">
        <f t="shared" si="5"/>
        <v>288.42200606060618</v>
      </c>
      <c r="K12" s="17">
        <f t="shared" si="3"/>
        <v>8.2406287445887472</v>
      </c>
      <c r="L12" s="16">
        <v>52</v>
      </c>
      <c r="M12" s="19">
        <f t="shared" si="6"/>
        <v>0.67307692307692313</v>
      </c>
      <c r="N12" s="16">
        <v>96</v>
      </c>
      <c r="O12" s="20">
        <f t="shared" ref="O12:P12" si="20">D12/7</f>
        <v>5</v>
      </c>
      <c r="P12" s="20">
        <f t="shared" si="20"/>
        <v>0.14285714285714285</v>
      </c>
      <c r="Q12" s="16">
        <f t="shared" si="8"/>
        <v>18</v>
      </c>
      <c r="R12" s="16"/>
      <c r="S12" s="21">
        <v>2.63716814159292</v>
      </c>
      <c r="T12" s="14">
        <v>340</v>
      </c>
      <c r="U12" s="22" t="s">
        <v>34</v>
      </c>
      <c r="V12" s="23" t="s">
        <v>34</v>
      </c>
      <c r="W12" s="14">
        <v>0</v>
      </c>
      <c r="X12" s="24">
        <f t="shared" si="9"/>
        <v>0</v>
      </c>
      <c r="Y12" s="25">
        <f t="shared" si="10"/>
        <v>0</v>
      </c>
      <c r="Z12" s="14">
        <v>0</v>
      </c>
      <c r="AA12" s="14" t="s">
        <v>35</v>
      </c>
      <c r="AB12" s="27">
        <f t="shared" si="11"/>
        <v>-0.69</v>
      </c>
      <c r="AC12" s="28">
        <v>3.4999999999999996E-2</v>
      </c>
      <c r="AD12" s="25">
        <f t="shared" si="12"/>
        <v>-1.6904999999999997</v>
      </c>
      <c r="AE12" s="25">
        <v>-4.9000000000000004</v>
      </c>
      <c r="AF12" s="25">
        <v>-3.8826569696969599</v>
      </c>
      <c r="AG12" s="25">
        <v>0</v>
      </c>
    </row>
    <row r="13" spans="1:33" ht="15.75" customHeight="1">
      <c r="A13" s="14" t="s">
        <v>197</v>
      </c>
      <c r="B13" s="14" t="s">
        <v>68</v>
      </c>
      <c r="C13" s="15">
        <f t="shared" si="4"/>
        <v>22.185999999999996</v>
      </c>
      <c r="D13" s="16">
        <v>15</v>
      </c>
      <c r="E13" s="16">
        <v>3</v>
      </c>
      <c r="F13" s="17">
        <v>332.78999999999996</v>
      </c>
      <c r="G13" s="29">
        <v>0</v>
      </c>
      <c r="H13" s="18">
        <f t="shared" si="1"/>
        <v>0</v>
      </c>
      <c r="I13" s="18">
        <f t="shared" si="2"/>
        <v>0.45034968817354132</v>
      </c>
      <c r="J13" s="17">
        <f t="shared" si="5"/>
        <v>149.8718727272728</v>
      </c>
      <c r="K13" s="17">
        <f t="shared" si="3"/>
        <v>9.9914581818181869</v>
      </c>
      <c r="L13" s="16">
        <v>32</v>
      </c>
      <c r="M13" s="19">
        <f t="shared" si="6"/>
        <v>0.46875</v>
      </c>
      <c r="N13" s="16">
        <v>87</v>
      </c>
      <c r="O13" s="20">
        <f t="shared" ref="O13:P13" si="21">D13/7</f>
        <v>2.1428571428571428</v>
      </c>
      <c r="P13" s="20">
        <f t="shared" si="21"/>
        <v>0.42857142857142855</v>
      </c>
      <c r="Q13" s="16">
        <f t="shared" si="8"/>
        <v>33</v>
      </c>
      <c r="R13" s="16"/>
      <c r="S13" s="21">
        <v>2.4016563146997898</v>
      </c>
      <c r="T13" s="14">
        <v>340</v>
      </c>
      <c r="U13" s="22" t="s">
        <v>34</v>
      </c>
      <c r="V13" s="23" t="s">
        <v>34</v>
      </c>
      <c r="W13" s="14">
        <v>0</v>
      </c>
      <c r="X13" s="24">
        <f t="shared" si="9"/>
        <v>0</v>
      </c>
      <c r="Y13" s="25">
        <f t="shared" si="10"/>
        <v>0</v>
      </c>
      <c r="Z13" s="14">
        <v>0</v>
      </c>
      <c r="AA13" s="14" t="s">
        <v>35</v>
      </c>
      <c r="AB13" s="27">
        <f t="shared" si="11"/>
        <v>-0.69</v>
      </c>
      <c r="AC13" s="28">
        <v>3.4999999999999996E-2</v>
      </c>
      <c r="AD13" s="25">
        <f t="shared" si="12"/>
        <v>-0.72449999999999981</v>
      </c>
      <c r="AE13" s="25">
        <v>-4.9000000000000004</v>
      </c>
      <c r="AF13" s="25">
        <v>-3.9183418181818102</v>
      </c>
      <c r="AG13" s="25">
        <v>0</v>
      </c>
    </row>
    <row r="14" spans="1:33" ht="15.75" customHeight="1">
      <c r="A14" s="14" t="s">
        <v>32</v>
      </c>
      <c r="B14" s="14" t="s">
        <v>855</v>
      </c>
      <c r="C14" s="15">
        <f t="shared" si="4"/>
        <v>22.569999999999997</v>
      </c>
      <c r="D14" s="16">
        <v>12</v>
      </c>
      <c r="E14" s="16">
        <v>3</v>
      </c>
      <c r="F14" s="17">
        <v>270.83999999999997</v>
      </c>
      <c r="G14" s="29">
        <v>0</v>
      </c>
      <c r="H14" s="18">
        <f t="shared" si="1"/>
        <v>0</v>
      </c>
      <c r="I14" s="18">
        <f t="shared" si="2"/>
        <v>0.45714923269021651</v>
      </c>
      <c r="J14" s="17">
        <f t="shared" si="5"/>
        <v>123.81429818181823</v>
      </c>
      <c r="K14" s="17">
        <f t="shared" si="3"/>
        <v>10.317858181818186</v>
      </c>
      <c r="L14" s="16">
        <v>53</v>
      </c>
      <c r="M14" s="19">
        <f t="shared" si="6"/>
        <v>0.22641509433962265</v>
      </c>
      <c r="N14" s="16">
        <v>75</v>
      </c>
      <c r="O14" s="20">
        <f t="shared" ref="O14:P14" si="22">D14/7</f>
        <v>1.7142857142857142</v>
      </c>
      <c r="P14" s="20">
        <f t="shared" si="22"/>
        <v>0.42857142857142855</v>
      </c>
      <c r="Q14" s="16">
        <f t="shared" si="8"/>
        <v>35</v>
      </c>
      <c r="R14" s="16"/>
      <c r="S14" s="21">
        <v>2.57356608478803</v>
      </c>
      <c r="T14" s="14">
        <v>100</v>
      </c>
      <c r="U14" s="22" t="s">
        <v>34</v>
      </c>
      <c r="V14" s="23" t="s">
        <v>34</v>
      </c>
      <c r="W14" s="14">
        <v>0</v>
      </c>
      <c r="X14" s="24">
        <f t="shared" si="9"/>
        <v>0</v>
      </c>
      <c r="Y14" s="25">
        <f t="shared" si="10"/>
        <v>0</v>
      </c>
      <c r="Z14" s="14">
        <v>0</v>
      </c>
      <c r="AA14" s="14" t="s">
        <v>35</v>
      </c>
      <c r="AB14" s="27">
        <f t="shared" si="11"/>
        <v>-0.69</v>
      </c>
      <c r="AC14" s="28">
        <v>3.4999999999999996E-2</v>
      </c>
      <c r="AD14" s="25">
        <f t="shared" si="12"/>
        <v>-0.57959999999999989</v>
      </c>
      <c r="AE14" s="25">
        <v>-4.9000000000000004</v>
      </c>
      <c r="AF14" s="25">
        <v>-3.9183418181818102</v>
      </c>
      <c r="AG14" s="25">
        <v>0</v>
      </c>
    </row>
    <row r="15" spans="1:33" ht="15.75" customHeight="1">
      <c r="A15" s="14" t="s">
        <v>36</v>
      </c>
      <c r="B15" s="14" t="s">
        <v>856</v>
      </c>
      <c r="C15" s="15">
        <f t="shared" si="4"/>
        <v>22.264999999999997</v>
      </c>
      <c r="D15" s="16">
        <v>8</v>
      </c>
      <c r="E15" s="16">
        <v>2</v>
      </c>
      <c r="F15" s="17">
        <v>178.11999999999998</v>
      </c>
      <c r="G15" s="29">
        <v>0</v>
      </c>
      <c r="H15" s="18">
        <f t="shared" si="1"/>
        <v>0</v>
      </c>
      <c r="I15" s="18">
        <f t="shared" si="2"/>
        <v>0.45625906947308287</v>
      </c>
      <c r="J15" s="17">
        <f t="shared" si="5"/>
        <v>81.268865454545505</v>
      </c>
      <c r="K15" s="17">
        <f t="shared" si="3"/>
        <v>10.158608181818188</v>
      </c>
      <c r="L15" s="16">
        <v>31</v>
      </c>
      <c r="M15" s="19">
        <f t="shared" si="6"/>
        <v>0.25806451612903225</v>
      </c>
      <c r="N15" s="16">
        <v>65</v>
      </c>
      <c r="O15" s="20">
        <f t="shared" ref="O15:P15" si="23">D15/7</f>
        <v>1.1428571428571428</v>
      </c>
      <c r="P15" s="20">
        <f t="shared" si="23"/>
        <v>0.2857142857142857</v>
      </c>
      <c r="Q15" s="16">
        <f t="shared" si="8"/>
        <v>45</v>
      </c>
      <c r="R15" s="16"/>
      <c r="S15" s="21">
        <v>2.1891891891891802</v>
      </c>
      <c r="T15" s="14">
        <v>100</v>
      </c>
      <c r="U15" s="22" t="s">
        <v>34</v>
      </c>
      <c r="V15" s="23" t="s">
        <v>34</v>
      </c>
      <c r="W15" s="14">
        <v>0</v>
      </c>
      <c r="X15" s="24">
        <f t="shared" si="9"/>
        <v>0</v>
      </c>
      <c r="Y15" s="25">
        <f t="shared" si="10"/>
        <v>0</v>
      </c>
      <c r="Z15" s="14">
        <v>0</v>
      </c>
      <c r="AA15" s="14" t="s">
        <v>35</v>
      </c>
      <c r="AB15" s="27">
        <f t="shared" si="11"/>
        <v>-0.69</v>
      </c>
      <c r="AC15" s="28">
        <v>3.4999999999999996E-2</v>
      </c>
      <c r="AD15" s="25">
        <f t="shared" si="12"/>
        <v>-0.38639999999999991</v>
      </c>
      <c r="AE15" s="25">
        <v>-4.9000000000000004</v>
      </c>
      <c r="AF15" s="25">
        <v>-3.8183418181818101</v>
      </c>
      <c r="AG15" s="25">
        <v>0</v>
      </c>
    </row>
    <row r="16" spans="1:33" ht="15.75" customHeight="1">
      <c r="A16" s="14" t="s">
        <v>38</v>
      </c>
      <c r="B16" s="14" t="s">
        <v>855</v>
      </c>
      <c r="C16" s="15">
        <f t="shared" si="4"/>
        <v>22.5</v>
      </c>
      <c r="D16" s="16">
        <v>9</v>
      </c>
      <c r="E16" s="16">
        <v>1</v>
      </c>
      <c r="F16" s="17">
        <v>202.5</v>
      </c>
      <c r="G16" s="29">
        <v>0</v>
      </c>
      <c r="H16" s="18">
        <f t="shared" si="1"/>
        <v>0</v>
      </c>
      <c r="I16" s="18">
        <f t="shared" si="2"/>
        <v>0.46037147474747508</v>
      </c>
      <c r="J16" s="17">
        <f t="shared" si="5"/>
        <v>93.225223636363708</v>
      </c>
      <c r="K16" s="17">
        <f t="shared" si="3"/>
        <v>10.35835818181819</v>
      </c>
      <c r="L16" s="16">
        <v>34</v>
      </c>
      <c r="M16" s="19">
        <f t="shared" si="6"/>
        <v>0.26470588235294118</v>
      </c>
      <c r="N16" s="16">
        <v>133</v>
      </c>
      <c r="O16" s="20">
        <f t="shared" ref="O16:P16" si="24">D16/7</f>
        <v>1.2857142857142858</v>
      </c>
      <c r="P16" s="20">
        <f t="shared" si="24"/>
        <v>0.14285714285714285</v>
      </c>
      <c r="Q16" s="16">
        <f t="shared" si="8"/>
        <v>93</v>
      </c>
      <c r="R16" s="16"/>
      <c r="S16" s="21">
        <v>1.9032258064516101</v>
      </c>
      <c r="T16" s="14">
        <v>100</v>
      </c>
      <c r="U16" s="22" t="s">
        <v>34</v>
      </c>
      <c r="V16" s="23" t="s">
        <v>34</v>
      </c>
      <c r="W16" s="14">
        <v>0</v>
      </c>
      <c r="X16" s="24">
        <f t="shared" si="9"/>
        <v>0</v>
      </c>
      <c r="Y16" s="25">
        <f t="shared" si="10"/>
        <v>0</v>
      </c>
      <c r="Z16" s="14">
        <v>0</v>
      </c>
      <c r="AA16" s="14" t="s">
        <v>35</v>
      </c>
      <c r="AB16" s="27">
        <f t="shared" si="11"/>
        <v>-0.69</v>
      </c>
      <c r="AC16" s="28">
        <v>3.4999999999999996E-2</v>
      </c>
      <c r="AD16" s="25">
        <f t="shared" si="12"/>
        <v>-0.43469999999999992</v>
      </c>
      <c r="AE16" s="25">
        <v>-4.9000000000000004</v>
      </c>
      <c r="AF16" s="25">
        <v>-3.8183418181818101</v>
      </c>
      <c r="AG16" s="25">
        <v>0</v>
      </c>
    </row>
    <row r="17" spans="1:33" ht="15.75" customHeight="1">
      <c r="A17" s="14" t="s">
        <v>40</v>
      </c>
      <c r="B17" s="14" t="s">
        <v>716</v>
      </c>
      <c r="C17" s="15">
        <f t="shared" si="4"/>
        <v>22.021249999999998</v>
      </c>
      <c r="D17" s="16">
        <v>8</v>
      </c>
      <c r="E17" s="16">
        <v>0</v>
      </c>
      <c r="F17" s="17">
        <v>176.17</v>
      </c>
      <c r="G17" s="29">
        <v>0</v>
      </c>
      <c r="H17" s="18">
        <f t="shared" si="1"/>
        <v>0</v>
      </c>
      <c r="I17" s="18">
        <f t="shared" si="2"/>
        <v>0.45190080861977361</v>
      </c>
      <c r="J17" s="17">
        <f t="shared" si="5"/>
        <v>79.611365454545506</v>
      </c>
      <c r="K17" s="17">
        <f t="shared" si="3"/>
        <v>9.9514206818181883</v>
      </c>
      <c r="L17" s="16">
        <v>29</v>
      </c>
      <c r="M17" s="19">
        <f t="shared" si="6"/>
        <v>0.27586206896551724</v>
      </c>
      <c r="N17" s="16">
        <v>123</v>
      </c>
      <c r="O17" s="20">
        <f t="shared" ref="O17:P17" si="25">D17/7</f>
        <v>1.1428571428571428</v>
      </c>
      <c r="P17" s="20">
        <f t="shared" si="25"/>
        <v>0</v>
      </c>
      <c r="Q17" s="16">
        <f t="shared" si="8"/>
        <v>107</v>
      </c>
      <c r="R17" s="16"/>
      <c r="S17" s="21">
        <v>1.8554216867469799</v>
      </c>
      <c r="T17" s="14">
        <v>100</v>
      </c>
      <c r="U17" s="22" t="s">
        <v>34</v>
      </c>
      <c r="V17" s="23" t="s">
        <v>34</v>
      </c>
      <c r="W17" s="14">
        <v>0</v>
      </c>
      <c r="X17" s="24">
        <f t="shared" si="9"/>
        <v>0</v>
      </c>
      <c r="Y17" s="25">
        <f t="shared" si="10"/>
        <v>0</v>
      </c>
      <c r="Z17" s="14">
        <v>0</v>
      </c>
      <c r="AA17" s="14" t="s">
        <v>35</v>
      </c>
      <c r="AB17" s="27">
        <f t="shared" si="11"/>
        <v>-0.69</v>
      </c>
      <c r="AC17" s="28">
        <v>3.4999999999999996E-2</v>
      </c>
      <c r="AD17" s="25">
        <f t="shared" si="12"/>
        <v>-0.38639999999999991</v>
      </c>
      <c r="AE17" s="25">
        <v>-4.9000000000000004</v>
      </c>
      <c r="AF17" s="25">
        <v>-3.8183418181818101</v>
      </c>
      <c r="AG17" s="25">
        <v>0</v>
      </c>
    </row>
    <row r="18" spans="1:33" ht="15.75" customHeight="1">
      <c r="A18" s="14" t="s">
        <v>42</v>
      </c>
      <c r="B18" s="14" t="s">
        <v>68</v>
      </c>
      <c r="C18" s="15">
        <f t="shared" si="4"/>
        <v>22.026428571428564</v>
      </c>
      <c r="D18" s="16">
        <v>14</v>
      </c>
      <c r="E18" s="16">
        <v>1</v>
      </c>
      <c r="F18" s="17">
        <v>308.36999999999989</v>
      </c>
      <c r="G18" s="29">
        <v>0</v>
      </c>
      <c r="H18" s="18">
        <f t="shared" si="1"/>
        <v>0</v>
      </c>
      <c r="I18" s="18">
        <f t="shared" si="2"/>
        <v>0.45199440459660339</v>
      </c>
      <c r="J18" s="17">
        <f t="shared" si="5"/>
        <v>139.38151454545454</v>
      </c>
      <c r="K18" s="17">
        <f t="shared" si="3"/>
        <v>9.9558224675324674</v>
      </c>
      <c r="L18" s="16">
        <v>39</v>
      </c>
      <c r="M18" s="19">
        <f t="shared" si="6"/>
        <v>0.35897435897435898</v>
      </c>
      <c r="N18" s="16">
        <v>109</v>
      </c>
      <c r="O18" s="20">
        <f t="shared" ref="O18:P18" si="26">D18/7</f>
        <v>2</v>
      </c>
      <c r="P18" s="20">
        <f t="shared" si="26"/>
        <v>0.14285714285714285</v>
      </c>
      <c r="Q18" s="16">
        <f t="shared" si="8"/>
        <v>50</v>
      </c>
      <c r="R18" s="16"/>
      <c r="S18" s="21">
        <v>2.2355889724310698</v>
      </c>
      <c r="T18" s="14">
        <v>340</v>
      </c>
      <c r="U18" s="22">
        <v>0</v>
      </c>
      <c r="V18" s="23" t="s">
        <v>34</v>
      </c>
      <c r="W18" s="14">
        <v>0</v>
      </c>
      <c r="X18" s="24">
        <f t="shared" si="9"/>
        <v>0</v>
      </c>
      <c r="Y18" s="25">
        <f t="shared" si="10"/>
        <v>0</v>
      </c>
      <c r="Z18" s="14">
        <v>0</v>
      </c>
      <c r="AA18" s="14" t="s">
        <v>35</v>
      </c>
      <c r="AB18" s="27">
        <f t="shared" si="11"/>
        <v>-0.69</v>
      </c>
      <c r="AC18" s="28">
        <v>3.4999999999999996E-2</v>
      </c>
      <c r="AD18" s="25">
        <f t="shared" si="12"/>
        <v>-0.6761999999999998</v>
      </c>
      <c r="AE18" s="25">
        <v>-4.9000000000000004</v>
      </c>
      <c r="AF18" s="25">
        <v>-3.8183418181818101</v>
      </c>
      <c r="AG18" s="25">
        <v>0</v>
      </c>
    </row>
    <row r="19" spans="1:33" ht="15.75" customHeight="1">
      <c r="A19" s="14" t="s">
        <v>44</v>
      </c>
      <c r="B19" s="14" t="s">
        <v>857</v>
      </c>
      <c r="C19" s="15">
        <f t="shared" si="4"/>
        <v>20.107500000000002</v>
      </c>
      <c r="D19" s="16">
        <v>4</v>
      </c>
      <c r="E19" s="16">
        <v>2</v>
      </c>
      <c r="F19" s="17">
        <v>80.430000000000007</v>
      </c>
      <c r="G19" s="29">
        <v>0</v>
      </c>
      <c r="H19" s="18">
        <f t="shared" si="1"/>
        <v>0</v>
      </c>
      <c r="I19" s="18">
        <f t="shared" si="2"/>
        <v>0.40520866252981136</v>
      </c>
      <c r="J19" s="17">
        <f t="shared" si="5"/>
        <v>32.59093272727273</v>
      </c>
      <c r="K19" s="17">
        <f t="shared" si="3"/>
        <v>8.1477331818181824</v>
      </c>
      <c r="L19" s="16">
        <v>45</v>
      </c>
      <c r="M19" s="19">
        <f t="shared" si="6"/>
        <v>8.8888888888888892E-2</v>
      </c>
      <c r="N19" s="16">
        <v>106</v>
      </c>
      <c r="O19" s="20">
        <f t="shared" ref="O19:P19" si="27">D19/7</f>
        <v>0.5714285714285714</v>
      </c>
      <c r="P19" s="20">
        <f t="shared" si="27"/>
        <v>0.2857142857142857</v>
      </c>
      <c r="Q19" s="16">
        <f t="shared" si="8"/>
        <v>123</v>
      </c>
      <c r="R19" s="16"/>
      <c r="S19" s="21">
        <v>2.0091324200913201</v>
      </c>
      <c r="T19" s="14">
        <v>340</v>
      </c>
      <c r="U19" s="22">
        <v>240</v>
      </c>
      <c r="V19" s="23" t="s">
        <v>858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14" t="s">
        <v>35</v>
      </c>
      <c r="AB19" s="27">
        <f t="shared" si="11"/>
        <v>-0.69</v>
      </c>
      <c r="AC19" s="28">
        <v>3.4999999999999996E-2</v>
      </c>
      <c r="AD19" s="25">
        <f t="shared" si="12"/>
        <v>-0.19319999999999996</v>
      </c>
      <c r="AE19" s="25">
        <v>-4.9000000000000004</v>
      </c>
      <c r="AF19" s="25">
        <v>-3.9953418181818181</v>
      </c>
      <c r="AG19" s="25">
        <v>0</v>
      </c>
    </row>
    <row r="20" spans="1:33" ht="15.75" customHeight="1">
      <c r="A20" s="14" t="s">
        <v>46</v>
      </c>
      <c r="B20" s="14" t="s">
        <v>68</v>
      </c>
      <c r="C20" s="15">
        <f t="shared" si="4"/>
        <v>18.036250000000003</v>
      </c>
      <c r="D20" s="16">
        <v>8</v>
      </c>
      <c r="E20" s="16">
        <v>0</v>
      </c>
      <c r="F20" s="17">
        <v>144.29000000000002</v>
      </c>
      <c r="G20" s="29">
        <v>0</v>
      </c>
      <c r="H20" s="18">
        <f t="shared" si="1"/>
        <v>0</v>
      </c>
      <c r="I20" s="18">
        <f t="shared" si="2"/>
        <v>0.35412963791354529</v>
      </c>
      <c r="J20" s="17">
        <f t="shared" si="5"/>
        <v>51.097365454545461</v>
      </c>
      <c r="K20" s="17">
        <f t="shared" si="3"/>
        <v>6.3871706818181826</v>
      </c>
      <c r="L20" s="16">
        <v>35</v>
      </c>
      <c r="M20" s="19">
        <f t="shared" si="6"/>
        <v>0.22857142857142856</v>
      </c>
      <c r="N20" s="16">
        <v>97</v>
      </c>
      <c r="O20" s="20">
        <f t="shared" ref="O20:P20" si="28">D20/7</f>
        <v>1.1428571428571428</v>
      </c>
      <c r="P20" s="20">
        <f t="shared" si="28"/>
        <v>0</v>
      </c>
      <c r="Q20" s="16">
        <f t="shared" si="8"/>
        <v>84</v>
      </c>
      <c r="R20" s="16"/>
      <c r="S20" s="21">
        <v>1.7060041407867399</v>
      </c>
      <c r="T20" s="14">
        <v>240</v>
      </c>
      <c r="U20" s="22">
        <v>240</v>
      </c>
      <c r="V20" s="23" t="s">
        <v>859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14" t="s">
        <v>35</v>
      </c>
      <c r="AB20" s="27">
        <f t="shared" si="11"/>
        <v>-0.69</v>
      </c>
      <c r="AC20" s="28">
        <v>3.4999999999999996E-2</v>
      </c>
      <c r="AD20" s="25">
        <f t="shared" si="12"/>
        <v>-0.38639999999999991</v>
      </c>
      <c r="AE20" s="25">
        <v>-4.9000000000000004</v>
      </c>
      <c r="AF20" s="25">
        <v>-3.9953418181818181</v>
      </c>
      <c r="AG20" s="25">
        <v>0</v>
      </c>
    </row>
    <row r="21" spans="1:33" ht="15.75" customHeight="1">
      <c r="A21" s="14" t="s">
        <v>47</v>
      </c>
      <c r="B21" s="14" t="s">
        <v>860</v>
      </c>
      <c r="C21" s="15">
        <f t="shared" si="4"/>
        <v>16.954000000000001</v>
      </c>
      <c r="D21" s="16">
        <v>30</v>
      </c>
      <c r="E21" s="16">
        <v>0</v>
      </c>
      <c r="F21" s="17">
        <v>508.62</v>
      </c>
      <c r="G21" s="29">
        <v>0</v>
      </c>
      <c r="H21" s="18">
        <f t="shared" si="1"/>
        <v>0</v>
      </c>
      <c r="I21" s="18">
        <f t="shared" si="2"/>
        <v>0.32247600458995995</v>
      </c>
      <c r="J21" s="17">
        <f t="shared" si="5"/>
        <v>164.01774545454543</v>
      </c>
      <c r="K21" s="17">
        <f t="shared" si="3"/>
        <v>5.4672581818181811</v>
      </c>
      <c r="L21" s="16">
        <v>17</v>
      </c>
      <c r="M21" s="19">
        <f t="shared" si="6"/>
        <v>1.7647058823529411</v>
      </c>
      <c r="N21" s="16">
        <v>71</v>
      </c>
      <c r="O21" s="20">
        <f t="shared" ref="O21:P21" si="29">D21/7</f>
        <v>4.2857142857142856</v>
      </c>
      <c r="P21" s="20">
        <f t="shared" si="29"/>
        <v>0</v>
      </c>
      <c r="Q21" s="16">
        <f t="shared" si="8"/>
        <v>16</v>
      </c>
      <c r="R21" s="16"/>
      <c r="S21" s="21">
        <v>2.1584158415841501</v>
      </c>
      <c r="T21" s="14">
        <v>340</v>
      </c>
      <c r="U21" s="22">
        <v>240</v>
      </c>
      <c r="V21" s="23" t="s">
        <v>861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14" t="s">
        <v>35</v>
      </c>
      <c r="AB21" s="27">
        <f t="shared" si="11"/>
        <v>-0.69</v>
      </c>
      <c r="AC21" s="28">
        <v>3.4999999999999996E-2</v>
      </c>
      <c r="AD21" s="25">
        <f t="shared" si="12"/>
        <v>-1.4489999999999996</v>
      </c>
      <c r="AE21" s="25">
        <v>-4.9000000000000004</v>
      </c>
      <c r="AF21" s="25">
        <v>-3.9953418181818181</v>
      </c>
      <c r="AG21" s="25">
        <v>0</v>
      </c>
    </row>
    <row r="22" spans="1:33" ht="15.75" customHeight="1">
      <c r="A22" s="14" t="s">
        <v>48</v>
      </c>
      <c r="B22" s="14" t="s">
        <v>862</v>
      </c>
      <c r="C22" s="15">
        <f t="shared" si="4"/>
        <v>17.738666666666663</v>
      </c>
      <c r="D22" s="16">
        <v>15</v>
      </c>
      <c r="E22" s="16">
        <v>1</v>
      </c>
      <c r="F22" s="29">
        <v>266.07999999999993</v>
      </c>
      <c r="G22" s="29">
        <v>0</v>
      </c>
      <c r="H22" s="18">
        <f t="shared" si="1"/>
        <v>0</v>
      </c>
      <c r="I22" s="18">
        <f t="shared" si="2"/>
        <v>0.34581093177718231</v>
      </c>
      <c r="J22" s="17">
        <f t="shared" si="5"/>
        <v>92.013372727272639</v>
      </c>
      <c r="K22" s="17">
        <f t="shared" si="3"/>
        <v>6.134224848484843</v>
      </c>
      <c r="L22" s="16">
        <v>47</v>
      </c>
      <c r="M22" s="19">
        <f t="shared" si="6"/>
        <v>0.31914893617021278</v>
      </c>
      <c r="N22" s="16">
        <v>66</v>
      </c>
      <c r="O22" s="20">
        <f t="shared" ref="O22:P22" si="30">D22/7</f>
        <v>2.1428571428571428</v>
      </c>
      <c r="P22" s="20">
        <f t="shared" si="30"/>
        <v>0.14285714285714285</v>
      </c>
      <c r="Q22" s="16">
        <f t="shared" si="8"/>
        <v>28</v>
      </c>
      <c r="R22" s="16"/>
      <c r="S22" s="21">
        <v>2.6043613707165099</v>
      </c>
      <c r="T22" s="14">
        <v>340</v>
      </c>
      <c r="U22" s="22">
        <v>240</v>
      </c>
      <c r="V22" s="23" t="s">
        <v>861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35</v>
      </c>
      <c r="AB22" s="27">
        <f t="shared" si="11"/>
        <v>-0.69</v>
      </c>
      <c r="AC22" s="28">
        <v>3.4999999999999996E-2</v>
      </c>
      <c r="AD22" s="25">
        <f t="shared" si="12"/>
        <v>-0.72449999999999981</v>
      </c>
      <c r="AE22" s="25">
        <v>-4.9000000000000004</v>
      </c>
      <c r="AF22" s="25">
        <v>-3.9953418181818181</v>
      </c>
      <c r="AG22" s="25">
        <v>0</v>
      </c>
    </row>
    <row r="23" spans="1:33" ht="15.75" customHeight="1">
      <c r="A23" s="14" t="s">
        <v>49</v>
      </c>
      <c r="B23" s="14" t="s">
        <v>716</v>
      </c>
      <c r="C23" s="15">
        <f t="shared" si="4"/>
        <v>19.294999999999998</v>
      </c>
      <c r="D23" s="16">
        <v>8</v>
      </c>
      <c r="E23" s="16">
        <v>0</v>
      </c>
      <c r="F23" s="17">
        <v>154.35999999999999</v>
      </c>
      <c r="G23" s="29">
        <v>0</v>
      </c>
      <c r="H23" s="18">
        <f t="shared" si="1"/>
        <v>0</v>
      </c>
      <c r="I23" s="18">
        <f t="shared" si="2"/>
        <v>0.38647878630827581</v>
      </c>
      <c r="J23" s="17">
        <f t="shared" si="5"/>
        <v>59.656865454545446</v>
      </c>
      <c r="K23" s="17">
        <f t="shared" si="3"/>
        <v>7.4571081818181808</v>
      </c>
      <c r="L23" s="16">
        <v>25</v>
      </c>
      <c r="M23" s="19">
        <f t="shared" si="6"/>
        <v>0.32</v>
      </c>
      <c r="N23" s="16">
        <v>59</v>
      </c>
      <c r="O23" s="20">
        <f t="shared" ref="O23:P23" si="31">D23/7</f>
        <v>1.1428571428571428</v>
      </c>
      <c r="P23" s="20">
        <f t="shared" si="31"/>
        <v>0</v>
      </c>
      <c r="Q23" s="16">
        <f t="shared" si="8"/>
        <v>51</v>
      </c>
      <c r="R23" s="16"/>
      <c r="S23" s="21">
        <v>2.1013333333333302</v>
      </c>
      <c r="T23" s="14">
        <v>640</v>
      </c>
      <c r="U23" s="22">
        <v>240</v>
      </c>
      <c r="V23" s="23" t="s">
        <v>861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35</v>
      </c>
      <c r="AB23" s="27">
        <f t="shared" si="11"/>
        <v>-0.69</v>
      </c>
      <c r="AC23" s="28">
        <v>3.4999999999999996E-2</v>
      </c>
      <c r="AD23" s="25">
        <f t="shared" si="12"/>
        <v>-0.38639999999999991</v>
      </c>
      <c r="AE23" s="25">
        <v>-4.9000000000000004</v>
      </c>
      <c r="AF23" s="25">
        <v>-3.9953418181818181</v>
      </c>
      <c r="AG23" s="25">
        <v>0</v>
      </c>
    </row>
    <row r="24" spans="1:33" ht="15.75" customHeight="1">
      <c r="A24" s="14" t="s">
        <v>50</v>
      </c>
      <c r="B24" s="14" t="s">
        <v>68</v>
      </c>
      <c r="C24" s="15">
        <f t="shared" si="4"/>
        <v>19.28705882352941</v>
      </c>
      <c r="D24" s="16">
        <v>17</v>
      </c>
      <c r="E24" s="16">
        <v>0</v>
      </c>
      <c r="F24" s="17">
        <v>327.88</v>
      </c>
      <c r="G24" s="17">
        <v>0</v>
      </c>
      <c r="H24" s="18">
        <f t="shared" si="1"/>
        <v>0</v>
      </c>
      <c r="I24" s="18">
        <f t="shared" si="2"/>
        <v>0.38628793793738275</v>
      </c>
      <c r="J24" s="17">
        <f t="shared" si="5"/>
        <v>126.65608909090906</v>
      </c>
      <c r="K24" s="17">
        <f t="shared" si="3"/>
        <v>7.4503581818181805</v>
      </c>
      <c r="L24" s="16">
        <v>42</v>
      </c>
      <c r="M24" s="19">
        <f t="shared" si="6"/>
        <v>0.40476190476190477</v>
      </c>
      <c r="N24" s="16">
        <v>43</v>
      </c>
      <c r="O24" s="20">
        <f t="shared" ref="O24:P24" si="32">D24/7</f>
        <v>2.4285714285714284</v>
      </c>
      <c r="P24" s="20">
        <f t="shared" si="32"/>
        <v>0</v>
      </c>
      <c r="Q24" s="16">
        <f t="shared" si="8"/>
        <v>17</v>
      </c>
      <c r="R24" s="16"/>
      <c r="S24" s="21">
        <v>2.1704545454545401</v>
      </c>
      <c r="T24" s="14">
        <v>640</v>
      </c>
      <c r="U24" s="22">
        <v>240</v>
      </c>
      <c r="V24" s="23" t="s">
        <v>863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14" t="s">
        <v>35</v>
      </c>
      <c r="AB24" s="27">
        <f t="shared" si="11"/>
        <v>-0.69</v>
      </c>
      <c r="AC24" s="28">
        <v>3.4999999999999996E-2</v>
      </c>
      <c r="AD24" s="25">
        <f t="shared" si="12"/>
        <v>-0.82109999999999983</v>
      </c>
      <c r="AE24" s="25">
        <v>-4.9000000000000004</v>
      </c>
      <c r="AF24" s="25">
        <v>-3.9953418181818181</v>
      </c>
      <c r="AG24" s="25">
        <v>0</v>
      </c>
    </row>
    <row r="25" spans="1:33" ht="15.75" customHeight="1">
      <c r="A25" s="14" t="s">
        <v>51</v>
      </c>
      <c r="B25" s="14"/>
      <c r="C25" s="15">
        <f t="shared" si="4"/>
        <v>18.971578947368421</v>
      </c>
      <c r="D25" s="16">
        <v>19</v>
      </c>
      <c r="E25" s="16">
        <v>2</v>
      </c>
      <c r="F25" s="17">
        <v>360.46</v>
      </c>
      <c r="G25" s="17">
        <v>0</v>
      </c>
      <c r="H25" s="18">
        <f t="shared" si="1"/>
        <v>0</v>
      </c>
      <c r="I25" s="18">
        <f t="shared" si="2"/>
        <v>0.37833129889585515</v>
      </c>
      <c r="J25" s="17">
        <f t="shared" si="5"/>
        <v>136.37329999999994</v>
      </c>
      <c r="K25" s="17">
        <f t="shared" si="3"/>
        <v>7.1775421052631545</v>
      </c>
      <c r="L25" s="16">
        <v>46</v>
      </c>
      <c r="M25" s="19">
        <f t="shared" si="6"/>
        <v>0.41304347826086957</v>
      </c>
      <c r="N25" s="16">
        <v>30</v>
      </c>
      <c r="O25" s="20">
        <f t="shared" ref="O25:P25" si="33">D25/7</f>
        <v>2.7142857142857144</v>
      </c>
      <c r="P25" s="20">
        <f t="shared" si="33"/>
        <v>0.2857142857142857</v>
      </c>
      <c r="Q25" s="16">
        <f t="shared" si="8"/>
        <v>10</v>
      </c>
      <c r="R25" s="16"/>
      <c r="S25" s="21">
        <v>2.0509915014164299</v>
      </c>
      <c r="T25" s="14">
        <v>640</v>
      </c>
      <c r="U25" s="22">
        <v>240</v>
      </c>
      <c r="V25" s="23" t="s">
        <v>864</v>
      </c>
      <c r="W25" s="30">
        <v>0</v>
      </c>
      <c r="X25" s="24">
        <f t="shared" si="9"/>
        <v>0</v>
      </c>
      <c r="Y25" s="25">
        <f t="shared" si="10"/>
        <v>0</v>
      </c>
      <c r="Z25" s="30">
        <v>0</v>
      </c>
      <c r="AA25" s="14" t="s">
        <v>35</v>
      </c>
      <c r="AB25" s="27">
        <f t="shared" si="11"/>
        <v>-0.69</v>
      </c>
      <c r="AC25" s="28">
        <v>3.4999999999999996E-2</v>
      </c>
      <c r="AD25" s="25">
        <f t="shared" si="12"/>
        <v>-0.91769999999999974</v>
      </c>
      <c r="AE25" s="25">
        <v>-4.9000000000000004</v>
      </c>
      <c r="AF25" s="25">
        <v>-4</v>
      </c>
      <c r="AG25" s="25">
        <v>0</v>
      </c>
    </row>
    <row r="26" spans="1:33" ht="15.75" customHeight="1">
      <c r="A26" s="14" t="s">
        <v>52</v>
      </c>
      <c r="B26" s="14" t="s">
        <v>865</v>
      </c>
      <c r="C26" s="15">
        <f t="shared" si="4"/>
        <v>18.95</v>
      </c>
      <c r="D26" s="16">
        <v>10</v>
      </c>
      <c r="E26" s="16">
        <v>1</v>
      </c>
      <c r="F26" s="17">
        <v>189.5</v>
      </c>
      <c r="G26" s="17">
        <v>0</v>
      </c>
      <c r="H26" s="18">
        <f t="shared" si="1"/>
        <v>0</v>
      </c>
      <c r="I26" s="18">
        <f t="shared" si="2"/>
        <v>0.37540148716718669</v>
      </c>
      <c r="J26" s="17">
        <f t="shared" si="5"/>
        <v>71.138581818181876</v>
      </c>
      <c r="K26" s="17">
        <f t="shared" si="3"/>
        <v>7.1138581818181876</v>
      </c>
      <c r="L26" s="16">
        <v>33</v>
      </c>
      <c r="M26" s="19">
        <f t="shared" si="6"/>
        <v>0.30303030303030304</v>
      </c>
      <c r="N26" s="16">
        <v>22</v>
      </c>
      <c r="O26" s="20">
        <f t="shared" ref="O26:P26" si="34">D26/7</f>
        <v>1.4285714285714286</v>
      </c>
      <c r="P26" s="20">
        <f t="shared" si="34"/>
        <v>0.14285714285714285</v>
      </c>
      <c r="Q26" s="16">
        <f t="shared" si="8"/>
        <v>14</v>
      </c>
      <c r="R26" s="16"/>
      <c r="S26" s="21">
        <v>2.1980830670926519</v>
      </c>
      <c r="T26" s="14">
        <v>640</v>
      </c>
      <c r="U26" s="22">
        <v>100</v>
      </c>
      <c r="V26" s="23" t="s">
        <v>866</v>
      </c>
      <c r="W26" s="30">
        <v>0</v>
      </c>
      <c r="X26" s="24">
        <f t="shared" si="9"/>
        <v>0</v>
      </c>
      <c r="Y26" s="25">
        <f t="shared" si="10"/>
        <v>0</v>
      </c>
      <c r="Z26" s="30">
        <v>0</v>
      </c>
      <c r="AA26" s="14" t="s">
        <v>35</v>
      </c>
      <c r="AB26" s="27">
        <f t="shared" si="11"/>
        <v>-0.69</v>
      </c>
      <c r="AC26" s="28">
        <v>3.4999999999999996E-2</v>
      </c>
      <c r="AD26" s="25">
        <f t="shared" si="12"/>
        <v>-0.48299999999999987</v>
      </c>
      <c r="AE26" s="25">
        <v>-4.95</v>
      </c>
      <c r="AF26" s="25">
        <v>-3.9953418181818101</v>
      </c>
      <c r="AG26" s="25">
        <v>0</v>
      </c>
    </row>
    <row r="27" spans="1:33" ht="15.75" customHeight="1">
      <c r="A27" s="14" t="s">
        <v>53</v>
      </c>
      <c r="B27" s="14" t="s">
        <v>68</v>
      </c>
      <c r="C27" s="15">
        <f t="shared" si="4"/>
        <v>18.181818181818183</v>
      </c>
      <c r="D27" s="16">
        <v>11</v>
      </c>
      <c r="E27" s="16">
        <v>0</v>
      </c>
      <c r="F27" s="17">
        <v>200</v>
      </c>
      <c r="G27" s="17">
        <v>-7.0000000000000007E-2</v>
      </c>
      <c r="H27" s="18">
        <f t="shared" si="1"/>
        <v>3.5000000000000005E-4</v>
      </c>
      <c r="I27" s="18">
        <f t="shared" si="2"/>
        <v>0.29013176000000002</v>
      </c>
      <c r="J27" s="17">
        <f t="shared" si="5"/>
        <v>58.026352000000003</v>
      </c>
      <c r="K27" s="17">
        <f t="shared" si="3"/>
        <v>5.2751229090909098</v>
      </c>
      <c r="L27" s="16">
        <v>44</v>
      </c>
      <c r="M27" s="19">
        <f t="shared" si="6"/>
        <v>0.25</v>
      </c>
      <c r="N27" s="16">
        <v>9</v>
      </c>
      <c r="O27" s="20">
        <f t="shared" ref="O27:P27" si="35">D27/7</f>
        <v>1.5714285714285714</v>
      </c>
      <c r="P27" s="20">
        <f t="shared" si="35"/>
        <v>0</v>
      </c>
      <c r="Q27" s="16">
        <f t="shared" si="8"/>
        <v>5</v>
      </c>
      <c r="R27" s="16"/>
      <c r="S27" s="21">
        <v>2.6303501945525292</v>
      </c>
      <c r="T27" s="14">
        <v>640</v>
      </c>
      <c r="U27" s="22">
        <v>100</v>
      </c>
      <c r="V27" s="23" t="s">
        <v>867</v>
      </c>
      <c r="W27" s="30">
        <v>0</v>
      </c>
      <c r="X27" s="24">
        <f t="shared" si="9"/>
        <v>0</v>
      </c>
      <c r="Y27" s="25">
        <f t="shared" si="10"/>
        <v>7.0000000000000007E-2</v>
      </c>
      <c r="Z27" s="30">
        <v>1</v>
      </c>
      <c r="AA27" s="14" t="s">
        <v>35</v>
      </c>
      <c r="AB27" s="27">
        <f t="shared" si="11"/>
        <v>-0.69</v>
      </c>
      <c r="AC27" s="28">
        <v>3.4999999999999996E-2</v>
      </c>
      <c r="AD27" s="25">
        <f t="shared" si="12"/>
        <v>-0.53129999999999988</v>
      </c>
      <c r="AE27" s="25">
        <v>-4.95</v>
      </c>
      <c r="AF27" s="25">
        <v>-5.1747589090909099</v>
      </c>
      <c r="AG27" s="25">
        <v>0</v>
      </c>
    </row>
    <row r="28" spans="1:33" ht="15.75" customHeight="1">
      <c r="A28" s="14" t="s">
        <v>54</v>
      </c>
      <c r="B28" s="14" t="s">
        <v>45</v>
      </c>
      <c r="C28" s="15">
        <f t="shared" si="4"/>
        <v>17.95</v>
      </c>
      <c r="D28" s="16">
        <v>8</v>
      </c>
      <c r="E28" s="16">
        <v>1</v>
      </c>
      <c r="F28" s="17">
        <v>143.6</v>
      </c>
      <c r="G28" s="17">
        <v>0</v>
      </c>
      <c r="H28" s="18">
        <f t="shared" si="1"/>
        <v>0</v>
      </c>
      <c r="I28" s="18">
        <f t="shared" si="2"/>
        <v>0.28325577108128625</v>
      </c>
      <c r="J28" s="17">
        <f t="shared" si="5"/>
        <v>40.675528727272706</v>
      </c>
      <c r="K28" s="17">
        <f t="shared" si="3"/>
        <v>5.0844410909090882</v>
      </c>
      <c r="L28" s="16">
        <v>29</v>
      </c>
      <c r="M28" s="19">
        <f t="shared" si="6"/>
        <v>0.27586206896551724</v>
      </c>
      <c r="N28" s="16">
        <v>2</v>
      </c>
      <c r="O28" s="20">
        <f t="shared" ref="O28:P28" si="36">D28/7</f>
        <v>1.1428571428571428</v>
      </c>
      <c r="P28" s="20">
        <f t="shared" si="36"/>
        <v>0.14285714285714285</v>
      </c>
      <c r="Q28" s="16">
        <f t="shared" si="8"/>
        <v>1</v>
      </c>
      <c r="R28" s="16"/>
      <c r="S28" s="21">
        <v>2.9356223175965659</v>
      </c>
      <c r="T28" s="14">
        <v>940</v>
      </c>
      <c r="U28" s="22">
        <v>44384</v>
      </c>
      <c r="V28" s="23" t="s">
        <v>868</v>
      </c>
      <c r="W28" s="30">
        <v>0</v>
      </c>
      <c r="X28" s="24">
        <f t="shared" si="9"/>
        <v>0</v>
      </c>
      <c r="Y28" s="25">
        <f t="shared" si="10"/>
        <v>0</v>
      </c>
      <c r="Z28" s="30">
        <v>0</v>
      </c>
      <c r="AA28" s="14" t="s">
        <v>35</v>
      </c>
      <c r="AB28" s="27">
        <f t="shared" si="11"/>
        <v>-0.69</v>
      </c>
      <c r="AC28" s="28">
        <v>3.4999999999999996E-2</v>
      </c>
      <c r="AD28" s="25">
        <f t="shared" si="12"/>
        <v>-0.38639999999999991</v>
      </c>
      <c r="AE28" s="25">
        <v>-4.95</v>
      </c>
      <c r="AF28" s="25">
        <v>-5.1747589090909099</v>
      </c>
      <c r="AG28" s="25">
        <v>0</v>
      </c>
    </row>
    <row r="29" spans="1:33" ht="15.75" customHeight="1">
      <c r="A29" s="14" t="s">
        <v>55</v>
      </c>
      <c r="B29" s="14"/>
      <c r="C29" s="15" t="str">
        <f t="shared" si="4"/>
        <v xml:space="preserve"> - </v>
      </c>
      <c r="D29" s="16">
        <v>0</v>
      </c>
      <c r="E29" s="16">
        <v>0</v>
      </c>
      <c r="F29" s="17">
        <v>0</v>
      </c>
      <c r="G29" s="17">
        <v>0</v>
      </c>
      <c r="H29" s="18" t="e">
        <f t="shared" si="1"/>
        <v>#DIV/0!</v>
      </c>
      <c r="I29" s="18" t="e">
        <f t="shared" si="2"/>
        <v>#DIV/0!</v>
      </c>
      <c r="J29" s="17">
        <f t="shared" si="5"/>
        <v>0</v>
      </c>
      <c r="K29" s="17" t="e">
        <f t="shared" si="3"/>
        <v>#DIV/0!</v>
      </c>
      <c r="L29" s="16">
        <v>0</v>
      </c>
      <c r="M29" s="19" t="str">
        <f t="shared" si="6"/>
        <v>-</v>
      </c>
      <c r="N29" s="16">
        <v>0</v>
      </c>
      <c r="O29" s="20">
        <f t="shared" ref="O29:P29" si="37">D29/7</f>
        <v>0</v>
      </c>
      <c r="P29" s="20">
        <f t="shared" si="37"/>
        <v>0</v>
      </c>
      <c r="Q29" s="16" t="e">
        <f t="shared" si="8"/>
        <v>#DIV/0!</v>
      </c>
      <c r="R29" s="16"/>
      <c r="S29" s="21">
        <v>0</v>
      </c>
      <c r="T29" s="14">
        <v>940</v>
      </c>
      <c r="U29" s="22">
        <v>44386</v>
      </c>
      <c r="V29" s="23" t="s">
        <v>869</v>
      </c>
      <c r="W29" s="30">
        <v>0</v>
      </c>
      <c r="X29" s="24">
        <f t="shared" si="9"/>
        <v>0</v>
      </c>
      <c r="Y29" s="25">
        <f t="shared" si="10"/>
        <v>0</v>
      </c>
      <c r="Z29" s="30">
        <v>0</v>
      </c>
      <c r="AA29" s="14" t="s">
        <v>35</v>
      </c>
      <c r="AB29" s="27">
        <f t="shared" si="11"/>
        <v>-0.69</v>
      </c>
      <c r="AC29" s="28">
        <v>3.4999999999999996E-2</v>
      </c>
      <c r="AD29" s="25">
        <f t="shared" si="12"/>
        <v>0</v>
      </c>
      <c r="AE29" s="25">
        <v>-4.95</v>
      </c>
      <c r="AF29" s="25">
        <v>-5.1747589090909099</v>
      </c>
      <c r="AG29" s="25">
        <v>0</v>
      </c>
    </row>
    <row r="30" spans="1:33" ht="15.75" customHeight="1">
      <c r="A30" s="14" t="s">
        <v>57</v>
      </c>
      <c r="B30" s="14"/>
      <c r="C30" s="15" t="str">
        <f t="shared" si="4"/>
        <v xml:space="preserve"> - </v>
      </c>
      <c r="D30" s="16">
        <v>0</v>
      </c>
      <c r="E30" s="16">
        <v>0</v>
      </c>
      <c r="F30" s="17">
        <v>0</v>
      </c>
      <c r="G30" s="17">
        <v>0</v>
      </c>
      <c r="H30" s="18" t="e">
        <f t="shared" si="1"/>
        <v>#DIV/0!</v>
      </c>
      <c r="I30" s="18" t="e">
        <f t="shared" si="2"/>
        <v>#DIV/0!</v>
      </c>
      <c r="J30" s="17">
        <f t="shared" si="5"/>
        <v>0</v>
      </c>
      <c r="K30" s="17" t="e">
        <f t="shared" si="3"/>
        <v>#DIV/0!</v>
      </c>
      <c r="L30" s="16">
        <v>0</v>
      </c>
      <c r="M30" s="19" t="str">
        <f t="shared" si="6"/>
        <v>-</v>
      </c>
      <c r="N30" s="16">
        <v>0</v>
      </c>
      <c r="O30" s="20">
        <f t="shared" ref="O30:P30" si="38">D30/7</f>
        <v>0</v>
      </c>
      <c r="P30" s="20">
        <f t="shared" si="38"/>
        <v>0</v>
      </c>
      <c r="Q30" s="16" t="e">
        <f t="shared" si="8"/>
        <v>#DIV/0!</v>
      </c>
      <c r="R30" s="16"/>
      <c r="S30" s="21">
        <v>0</v>
      </c>
      <c r="T30" s="14">
        <v>540</v>
      </c>
      <c r="U30" s="22">
        <v>240</v>
      </c>
      <c r="V30" s="23" t="s">
        <v>870</v>
      </c>
      <c r="W30" s="30">
        <v>0</v>
      </c>
      <c r="X30" s="24">
        <f t="shared" si="9"/>
        <v>0</v>
      </c>
      <c r="Y30" s="25">
        <f t="shared" si="10"/>
        <v>0</v>
      </c>
      <c r="Z30" s="30">
        <v>0</v>
      </c>
      <c r="AA30" s="14" t="s">
        <v>35</v>
      </c>
      <c r="AB30" s="27">
        <f t="shared" si="11"/>
        <v>-0.69</v>
      </c>
      <c r="AC30" s="28">
        <v>3.4999999999999996E-2</v>
      </c>
      <c r="AD30" s="25">
        <f t="shared" si="12"/>
        <v>0</v>
      </c>
      <c r="AE30" s="25">
        <v>-4.95</v>
      </c>
      <c r="AF30" s="25">
        <v>-5.2303960128</v>
      </c>
      <c r="AG30" s="25">
        <v>0</v>
      </c>
    </row>
    <row r="31" spans="1:33" ht="15.75" customHeight="1">
      <c r="A31" s="14" t="s">
        <v>58</v>
      </c>
      <c r="B31" s="14"/>
      <c r="C31" s="15" t="str">
        <f t="shared" si="4"/>
        <v xml:space="preserve"> - </v>
      </c>
      <c r="D31" s="16">
        <v>0</v>
      </c>
      <c r="E31" s="16">
        <v>0</v>
      </c>
      <c r="F31" s="17">
        <v>0</v>
      </c>
      <c r="G31" s="17">
        <v>0</v>
      </c>
      <c r="H31" s="18" t="e">
        <f t="shared" si="1"/>
        <v>#DIV/0!</v>
      </c>
      <c r="I31" s="18" t="e">
        <f t="shared" si="2"/>
        <v>#DIV/0!</v>
      </c>
      <c r="J31" s="17">
        <f t="shared" si="5"/>
        <v>0</v>
      </c>
      <c r="K31" s="17" t="e">
        <f t="shared" si="3"/>
        <v>#DIV/0!</v>
      </c>
      <c r="L31" s="16">
        <v>0</v>
      </c>
      <c r="M31" s="19" t="str">
        <f t="shared" si="6"/>
        <v>-</v>
      </c>
      <c r="N31" s="16">
        <v>0</v>
      </c>
      <c r="O31" s="20">
        <f t="shared" ref="O31:P31" si="39">D31/7</f>
        <v>0</v>
      </c>
      <c r="P31" s="20">
        <f t="shared" si="39"/>
        <v>0</v>
      </c>
      <c r="Q31" s="16" t="e">
        <f t="shared" si="8"/>
        <v>#DIV/0!</v>
      </c>
      <c r="R31" s="16"/>
      <c r="S31" s="21" t="e">
        <v>#N/A</v>
      </c>
      <c r="T31" s="14">
        <v>300</v>
      </c>
      <c r="U31" s="22" t="s">
        <v>34</v>
      </c>
      <c r="V31" s="23" t="s">
        <v>431</v>
      </c>
      <c r="W31" s="30">
        <v>0</v>
      </c>
      <c r="X31" s="24">
        <f t="shared" si="9"/>
        <v>0</v>
      </c>
      <c r="Y31" s="25">
        <f t="shared" si="10"/>
        <v>0</v>
      </c>
      <c r="Z31" s="30">
        <v>0</v>
      </c>
      <c r="AA31" s="14" t="s">
        <v>35</v>
      </c>
      <c r="AB31" s="27">
        <f t="shared" si="11"/>
        <v>-0.69</v>
      </c>
      <c r="AC31" s="28">
        <v>3.4999999999999996E-2</v>
      </c>
      <c r="AD31" s="25">
        <f t="shared" si="12"/>
        <v>0</v>
      </c>
      <c r="AE31" s="25">
        <v>-4.95</v>
      </c>
      <c r="AF31" s="25">
        <v>-5.2303960128000009</v>
      </c>
      <c r="AG31" s="25">
        <v>0</v>
      </c>
    </row>
    <row r="32" spans="1:33" ht="15.75" customHeight="1">
      <c r="A32" s="14" t="s">
        <v>60</v>
      </c>
      <c r="B32" s="14"/>
      <c r="C32" s="15" t="str">
        <f t="shared" si="4"/>
        <v xml:space="preserve"> - </v>
      </c>
      <c r="D32" s="16">
        <v>0</v>
      </c>
      <c r="E32" s="16">
        <v>0</v>
      </c>
      <c r="F32" s="17">
        <v>0</v>
      </c>
      <c r="G32" s="17">
        <v>0</v>
      </c>
      <c r="H32" s="18" t="e">
        <f t="shared" si="1"/>
        <v>#DIV/0!</v>
      </c>
      <c r="I32" s="18" t="e">
        <f t="shared" si="2"/>
        <v>#DIV/0!</v>
      </c>
      <c r="J32" s="17">
        <f t="shared" si="5"/>
        <v>0</v>
      </c>
      <c r="K32" s="17" t="e">
        <f t="shared" si="3"/>
        <v>#DIV/0!</v>
      </c>
      <c r="L32" s="16">
        <v>0</v>
      </c>
      <c r="M32" s="19" t="str">
        <f t="shared" si="6"/>
        <v>-</v>
      </c>
      <c r="N32" s="16">
        <v>0</v>
      </c>
      <c r="O32" s="20">
        <f t="shared" ref="O32:P32" si="40">D32/7</f>
        <v>0</v>
      </c>
      <c r="P32" s="20">
        <f t="shared" si="40"/>
        <v>0</v>
      </c>
      <c r="Q32" s="16" t="e">
        <f t="shared" si="8"/>
        <v>#DIV/0!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0</v>
      </c>
      <c r="T32" s="14">
        <f ca="1">IFERROR(__xludf.DUMMYFUNCTION("IFERROR(VLOOKUP($B$2,IMPORTRANGE(""https://docs.google.com/spreadsheets/d/1KiWZV1ko8G7lnRucBRBd29jj3Be6ltMfljMDqzOkQmI/edit#gid=1381463014"",""Lookup!A:D""),4,FALSE),"""")"),300)</f>
        <v>300</v>
      </c>
      <c r="U32" s="22">
        <f ca="1">IFERROR(__xludf.DUMMYFUNCTION("IFERROR(VLOOKUP($B$2,IMPORTRANGE(""https://docs.google.com/spreadsheets/d/1KiWZV1ko8G7lnRucBRBd29jj3Be6ltMfljMDqzOkQmI/edit#gid=1381463014"",""Lookup!A:D""),3,FALSE),"""")"),340)</f>
        <v>340</v>
      </c>
      <c r="V32" s="23" t="str">
        <f ca="1">IFERROR(__xludf.DUMMYFUNCTION("IFERROR(VLOOKUP($B$2,IMPORTRANGE(""https://docs.google.com/spreadsheets/d/1KiWZV1ko8G7lnRucBRBd29jj3Be6ltMfljMDqzOkQmI/edit#gid=1381463014"",""Lookup!A:D""),2,FALSE),"""")"),"| 408  - 240 units 07/19| 410  - 100 units 07/20")</f>
        <v>| 408  - 240 units 07/19| 410  - 100 units 07/20</v>
      </c>
      <c r="W32" s="30">
        <v>0</v>
      </c>
      <c r="X32" s="24">
        <f t="shared" si="9"/>
        <v>0</v>
      </c>
      <c r="Y32" s="25">
        <f t="shared" si="10"/>
        <v>0</v>
      </c>
      <c r="Z32" s="30">
        <v>0</v>
      </c>
      <c r="AA32" s="14" t="s">
        <v>35</v>
      </c>
      <c r="AB32" s="27">
        <f t="shared" si="11"/>
        <v>-0.69</v>
      </c>
      <c r="AC32" s="28">
        <v>3.4999999999999996E-2</v>
      </c>
      <c r="AD32" s="25">
        <f t="shared" si="12"/>
        <v>0</v>
      </c>
      <c r="AE32" s="25">
        <v>-4.95</v>
      </c>
      <c r="AF32" s="25">
        <v>-5.2303960128</v>
      </c>
      <c r="AG32" s="25">
        <v>0</v>
      </c>
    </row>
    <row r="33" spans="1:33" ht="15.75" customHeight="1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16"/>
      <c r="S33" s="21"/>
      <c r="T33" s="31"/>
      <c r="U33" s="36"/>
      <c r="V33" s="1"/>
      <c r="W33" s="31"/>
      <c r="X33" s="31"/>
      <c r="Y33" s="31"/>
      <c r="Z33" s="31"/>
      <c r="AA33" s="2"/>
      <c r="AB33" s="31"/>
      <c r="AC33" s="31"/>
      <c r="AD33" s="31"/>
      <c r="AE33" s="37"/>
      <c r="AF33" s="37"/>
      <c r="AG33" s="37"/>
    </row>
    <row r="34" spans="1:33" ht="15.75" customHeight="1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6"/>
      <c r="V34" s="1"/>
      <c r="W34" s="31"/>
      <c r="X34" s="31"/>
      <c r="Y34" s="31"/>
      <c r="Z34" s="31"/>
      <c r="AA34" s="2"/>
      <c r="AB34" s="31"/>
      <c r="AC34" s="31"/>
      <c r="AD34" s="31"/>
      <c r="AE34" s="37"/>
      <c r="AF34" s="37"/>
      <c r="AG34" s="37"/>
    </row>
    <row r="35" spans="1:33" ht="15.75" customHeight="1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6"/>
      <c r="V35" s="1"/>
      <c r="W35" s="31"/>
      <c r="X35" s="31"/>
      <c r="Y35" s="31"/>
      <c r="Z35" s="31"/>
      <c r="AA35" s="2"/>
      <c r="AB35" s="31"/>
      <c r="AC35" s="31"/>
      <c r="AD35" s="31"/>
      <c r="AE35" s="37"/>
      <c r="AF35" s="37"/>
      <c r="AG35" s="37"/>
    </row>
    <row r="36" spans="1:33" ht="15.75" customHeight="1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6"/>
      <c r="V36" s="1"/>
      <c r="W36" s="31"/>
      <c r="X36" s="31"/>
      <c r="Y36" s="31"/>
      <c r="Z36" s="31"/>
      <c r="AA36" s="2"/>
      <c r="AB36" s="31"/>
      <c r="AC36" s="31"/>
      <c r="AD36" s="31"/>
      <c r="AE36" s="37"/>
      <c r="AF36" s="37"/>
      <c r="AG36" s="37"/>
    </row>
    <row r="37" spans="1:33" ht="15.75" customHeight="1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6"/>
      <c r="V37" s="1"/>
      <c r="W37" s="31"/>
      <c r="X37" s="31"/>
      <c r="Y37" s="31"/>
      <c r="Z37" s="31"/>
      <c r="AA37" s="2"/>
      <c r="AB37" s="31"/>
      <c r="AC37" s="31"/>
      <c r="AD37" s="31"/>
      <c r="AE37" s="37"/>
      <c r="AF37" s="37"/>
      <c r="AG37" s="37"/>
    </row>
    <row r="38" spans="1:33" ht="15.75" customHeight="1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6"/>
      <c r="V38" s="1"/>
      <c r="W38" s="31"/>
      <c r="X38" s="31"/>
      <c r="Y38" s="31"/>
      <c r="Z38" s="31"/>
      <c r="AA38" s="2"/>
      <c r="AB38" s="31"/>
      <c r="AC38" s="31"/>
      <c r="AD38" s="31"/>
      <c r="AE38" s="37"/>
      <c r="AF38" s="37"/>
      <c r="AG38" s="37"/>
    </row>
    <row r="39" spans="1:33" ht="15.75" customHeight="1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6"/>
      <c r="V39" s="1"/>
      <c r="W39" s="31"/>
      <c r="X39" s="31"/>
      <c r="Y39" s="31"/>
      <c r="Z39" s="31"/>
      <c r="AA39" s="2"/>
      <c r="AB39" s="31"/>
      <c r="AC39" s="31"/>
      <c r="AD39" s="31"/>
      <c r="AE39" s="37"/>
      <c r="AF39" s="37"/>
      <c r="AG39" s="37"/>
    </row>
    <row r="40" spans="1:33" ht="15.75" customHeight="1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6"/>
      <c r="V40" s="1"/>
      <c r="W40" s="31"/>
      <c r="X40" s="31"/>
      <c r="Y40" s="31"/>
      <c r="Z40" s="31"/>
      <c r="AA40" s="2"/>
      <c r="AB40" s="31"/>
      <c r="AC40" s="31"/>
      <c r="AD40" s="31"/>
      <c r="AE40" s="37"/>
      <c r="AF40" s="37"/>
      <c r="AG40" s="37"/>
    </row>
    <row r="41" spans="1:33" ht="15.75" customHeight="1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6"/>
      <c r="V41" s="1"/>
      <c r="W41" s="31"/>
      <c r="X41" s="31"/>
      <c r="Y41" s="31"/>
      <c r="Z41" s="31"/>
      <c r="AA41" s="2"/>
      <c r="AB41" s="31"/>
      <c r="AC41" s="31"/>
      <c r="AD41" s="31"/>
      <c r="AE41" s="37"/>
      <c r="AF41" s="37"/>
      <c r="AG41" s="37"/>
    </row>
    <row r="42" spans="1:33" ht="15.75" customHeight="1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6"/>
      <c r="V42" s="1"/>
      <c r="W42" s="31"/>
      <c r="X42" s="31"/>
      <c r="Y42" s="31"/>
      <c r="Z42" s="31"/>
      <c r="AA42" s="2"/>
      <c r="AB42" s="31"/>
      <c r="AC42" s="31"/>
      <c r="AD42" s="31"/>
      <c r="AE42" s="37"/>
      <c r="AF42" s="37"/>
      <c r="AG42" s="37"/>
    </row>
    <row r="43" spans="1:33" ht="15.75" customHeight="1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6"/>
      <c r="V43" s="1"/>
      <c r="W43" s="31"/>
      <c r="X43" s="31"/>
      <c r="Y43" s="31"/>
      <c r="Z43" s="31"/>
      <c r="AA43" s="2"/>
      <c r="AB43" s="31"/>
      <c r="AC43" s="31"/>
      <c r="AD43" s="31"/>
      <c r="AE43" s="37"/>
      <c r="AF43" s="37"/>
      <c r="AG43" s="37"/>
    </row>
    <row r="44" spans="1:33" ht="15.75" customHeight="1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6"/>
      <c r="V44" s="1"/>
      <c r="W44" s="31"/>
      <c r="X44" s="31"/>
      <c r="Y44" s="31"/>
      <c r="Z44" s="31"/>
      <c r="AA44" s="2"/>
      <c r="AB44" s="31"/>
      <c r="AC44" s="31"/>
      <c r="AD44" s="31"/>
      <c r="AE44" s="37"/>
      <c r="AF44" s="37"/>
      <c r="AG44" s="37"/>
    </row>
    <row r="45" spans="1:33" ht="15.75" customHeight="1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6"/>
      <c r="V45" s="1"/>
      <c r="W45" s="31"/>
      <c r="X45" s="31"/>
      <c r="Y45" s="31"/>
      <c r="Z45" s="31"/>
      <c r="AA45" s="2"/>
      <c r="AB45" s="31"/>
      <c r="AC45" s="31"/>
      <c r="AD45" s="31"/>
      <c r="AE45" s="37"/>
      <c r="AF45" s="37"/>
      <c r="AG45" s="37"/>
    </row>
    <row r="46" spans="1:33" ht="15.75" customHeight="1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6"/>
      <c r="V46" s="1"/>
      <c r="W46" s="31"/>
      <c r="X46" s="31"/>
      <c r="Y46" s="31"/>
      <c r="Z46" s="31"/>
      <c r="AA46" s="2"/>
      <c r="AB46" s="31"/>
      <c r="AC46" s="31"/>
      <c r="AD46" s="31"/>
      <c r="AE46" s="37"/>
      <c r="AF46" s="37"/>
      <c r="AG46" s="37"/>
    </row>
    <row r="47" spans="1:33" ht="15.75" customHeight="1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6"/>
      <c r="V47" s="1"/>
      <c r="W47" s="31"/>
      <c r="X47" s="31"/>
      <c r="Y47" s="31"/>
      <c r="Z47" s="31"/>
      <c r="AA47" s="2"/>
      <c r="AB47" s="31"/>
      <c r="AC47" s="31"/>
      <c r="AD47" s="31"/>
      <c r="AE47" s="37"/>
      <c r="AF47" s="37"/>
      <c r="AG47" s="37"/>
    </row>
    <row r="48" spans="1:33" ht="15.75" customHeight="1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6"/>
      <c r="V48" s="1"/>
      <c r="W48" s="31"/>
      <c r="X48" s="31"/>
      <c r="Y48" s="31"/>
      <c r="Z48" s="31"/>
      <c r="AA48" s="2"/>
      <c r="AB48" s="31"/>
      <c r="AC48" s="31"/>
      <c r="AD48" s="31"/>
      <c r="AE48" s="37"/>
      <c r="AF48" s="37"/>
      <c r="AG48" s="37"/>
    </row>
    <row r="49" spans="1:33" ht="15.75" customHeight="1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6"/>
      <c r="V49" s="1"/>
      <c r="W49" s="31"/>
      <c r="X49" s="31"/>
      <c r="Y49" s="31"/>
      <c r="Z49" s="31"/>
      <c r="AA49" s="2"/>
      <c r="AB49" s="31"/>
      <c r="AC49" s="31"/>
      <c r="AD49" s="31"/>
      <c r="AE49" s="37"/>
      <c r="AF49" s="37"/>
      <c r="AG49" s="37"/>
    </row>
    <row r="50" spans="1:33" ht="15.75" customHeight="1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6"/>
      <c r="V50" s="1"/>
      <c r="W50" s="31"/>
      <c r="X50" s="31"/>
      <c r="Y50" s="31"/>
      <c r="Z50" s="31"/>
      <c r="AA50" s="2"/>
      <c r="AB50" s="31"/>
      <c r="AC50" s="31"/>
      <c r="AD50" s="31"/>
      <c r="AE50" s="37"/>
      <c r="AF50" s="37"/>
      <c r="AG50" s="37"/>
    </row>
    <row r="51" spans="1:33" ht="15.75" customHeight="1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6"/>
      <c r="V51" s="1"/>
      <c r="W51" s="31"/>
      <c r="X51" s="31"/>
      <c r="Y51" s="31"/>
      <c r="Z51" s="31"/>
      <c r="AA51" s="2"/>
      <c r="AB51" s="31"/>
      <c r="AC51" s="31"/>
      <c r="AD51" s="31"/>
      <c r="AE51" s="37"/>
      <c r="AF51" s="37"/>
      <c r="AG51" s="37"/>
    </row>
    <row r="52" spans="1:33" ht="15.75" customHeight="1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6"/>
      <c r="V52" s="1"/>
      <c r="W52" s="31"/>
      <c r="X52" s="31"/>
      <c r="Y52" s="31"/>
      <c r="Z52" s="31"/>
      <c r="AA52" s="2"/>
      <c r="AB52" s="31"/>
      <c r="AC52" s="31"/>
      <c r="AD52" s="31"/>
      <c r="AE52" s="37"/>
      <c r="AF52" s="37"/>
      <c r="AG52" s="37"/>
    </row>
    <row r="53" spans="1:33" ht="15.75" customHeight="1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6"/>
      <c r="V53" s="1"/>
      <c r="W53" s="31"/>
      <c r="X53" s="31"/>
      <c r="Y53" s="31"/>
      <c r="Z53" s="31"/>
      <c r="AA53" s="2"/>
      <c r="AB53" s="31"/>
      <c r="AC53" s="31"/>
      <c r="AD53" s="31"/>
      <c r="AE53" s="37"/>
      <c r="AF53" s="37"/>
      <c r="AG53" s="37"/>
    </row>
    <row r="54" spans="1:33" ht="15.75" customHeight="1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6"/>
      <c r="V54" s="1"/>
      <c r="W54" s="31"/>
      <c r="X54" s="31"/>
      <c r="Y54" s="31"/>
      <c r="Z54" s="31"/>
      <c r="AA54" s="2"/>
      <c r="AB54" s="31"/>
      <c r="AC54" s="31"/>
      <c r="AD54" s="31"/>
      <c r="AE54" s="37"/>
      <c r="AF54" s="37"/>
      <c r="AG54" s="37"/>
    </row>
    <row r="55" spans="1:33" ht="15.75" customHeight="1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6"/>
      <c r="V55" s="1"/>
      <c r="W55" s="31"/>
      <c r="X55" s="31"/>
      <c r="Y55" s="31"/>
      <c r="Z55" s="31"/>
      <c r="AA55" s="2"/>
      <c r="AB55" s="31"/>
      <c r="AC55" s="31"/>
      <c r="AD55" s="31"/>
      <c r="AE55" s="37"/>
      <c r="AF55" s="37"/>
      <c r="AG55" s="37"/>
    </row>
    <row r="56" spans="1:33" ht="15.75" customHeight="1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6"/>
      <c r="V56" s="1"/>
      <c r="W56" s="31"/>
      <c r="X56" s="31"/>
      <c r="Y56" s="31"/>
      <c r="Z56" s="31"/>
      <c r="AA56" s="2"/>
      <c r="AB56" s="31"/>
      <c r="AC56" s="31"/>
      <c r="AD56" s="31"/>
      <c r="AE56" s="37"/>
      <c r="AF56" s="37"/>
      <c r="AG56" s="37"/>
    </row>
    <row r="57" spans="1:33" ht="15.75" customHeight="1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6"/>
      <c r="V57" s="1"/>
      <c r="W57" s="31"/>
      <c r="X57" s="31"/>
      <c r="Y57" s="31"/>
      <c r="Z57" s="31"/>
      <c r="AA57" s="2"/>
      <c r="AB57" s="31"/>
      <c r="AC57" s="31"/>
      <c r="AD57" s="31"/>
      <c r="AE57" s="37"/>
      <c r="AF57" s="37"/>
      <c r="AG57" s="37"/>
    </row>
    <row r="58" spans="1:33" ht="15.75" customHeight="1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6"/>
      <c r="V58" s="1"/>
      <c r="W58" s="31"/>
      <c r="X58" s="31"/>
      <c r="Y58" s="31"/>
      <c r="Z58" s="31"/>
      <c r="AA58" s="2"/>
      <c r="AB58" s="31"/>
      <c r="AC58" s="31"/>
      <c r="AD58" s="31"/>
      <c r="AE58" s="37"/>
      <c r="AF58" s="37"/>
      <c r="AG58" s="37"/>
    </row>
    <row r="59" spans="1:33" ht="15.75" customHeight="1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6"/>
      <c r="V59" s="1"/>
      <c r="W59" s="31"/>
      <c r="X59" s="31"/>
      <c r="Y59" s="31"/>
      <c r="Z59" s="31"/>
      <c r="AA59" s="2"/>
      <c r="AB59" s="31"/>
      <c r="AC59" s="31"/>
      <c r="AD59" s="31"/>
      <c r="AE59" s="37"/>
      <c r="AF59" s="37"/>
      <c r="AG59" s="37"/>
    </row>
    <row r="60" spans="1:33" ht="15.75" customHeight="1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6"/>
      <c r="V60" s="1"/>
      <c r="W60" s="31"/>
      <c r="X60" s="31"/>
      <c r="Y60" s="31"/>
      <c r="Z60" s="31"/>
      <c r="AA60" s="2"/>
      <c r="AB60" s="31"/>
      <c r="AC60" s="31"/>
      <c r="AD60" s="31"/>
      <c r="AE60" s="37"/>
      <c r="AF60" s="37"/>
      <c r="AG60" s="37"/>
    </row>
    <row r="61" spans="1:33" ht="15.75" customHeight="1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6"/>
      <c r="V61" s="1"/>
      <c r="W61" s="31"/>
      <c r="X61" s="31"/>
      <c r="Y61" s="31"/>
      <c r="Z61" s="31"/>
      <c r="AA61" s="2"/>
      <c r="AB61" s="31"/>
      <c r="AC61" s="31"/>
      <c r="AD61" s="31"/>
      <c r="AE61" s="37"/>
      <c r="AF61" s="37"/>
      <c r="AG61" s="37"/>
    </row>
    <row r="62" spans="1:33" ht="15.75" customHeight="1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6"/>
      <c r="V62" s="1"/>
      <c r="W62" s="31"/>
      <c r="X62" s="31"/>
      <c r="Y62" s="31"/>
      <c r="Z62" s="31"/>
      <c r="AA62" s="2"/>
      <c r="AB62" s="31"/>
      <c r="AC62" s="31"/>
      <c r="AD62" s="31"/>
      <c r="AE62" s="37"/>
      <c r="AF62" s="37"/>
      <c r="AG62" s="37"/>
    </row>
    <row r="63" spans="1:33" ht="15.75" customHeight="1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6"/>
      <c r="V63" s="1"/>
      <c r="W63" s="31"/>
      <c r="X63" s="31"/>
      <c r="Y63" s="31"/>
      <c r="Z63" s="31"/>
      <c r="AA63" s="2"/>
      <c r="AB63" s="31"/>
      <c r="AC63" s="31"/>
      <c r="AD63" s="31"/>
      <c r="AE63" s="37"/>
      <c r="AF63" s="37"/>
      <c r="AG63" s="37"/>
    </row>
    <row r="64" spans="1:33" ht="15.75" customHeight="1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6"/>
      <c r="V64" s="1"/>
      <c r="W64" s="31"/>
      <c r="X64" s="31"/>
      <c r="Y64" s="31"/>
      <c r="Z64" s="31"/>
      <c r="AA64" s="2"/>
      <c r="AB64" s="31"/>
      <c r="AC64" s="31"/>
      <c r="AD64" s="31"/>
      <c r="AE64" s="37"/>
      <c r="AF64" s="37"/>
      <c r="AG64" s="37"/>
    </row>
    <row r="65" spans="1:33" ht="15.75" customHeight="1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6"/>
      <c r="V65" s="1"/>
      <c r="W65" s="31"/>
      <c r="X65" s="31"/>
      <c r="Y65" s="31"/>
      <c r="Z65" s="31"/>
      <c r="AA65" s="2"/>
      <c r="AB65" s="31"/>
      <c r="AC65" s="31"/>
      <c r="AD65" s="31"/>
      <c r="AE65" s="37"/>
      <c r="AF65" s="37"/>
      <c r="AG65" s="37"/>
    </row>
    <row r="66" spans="1:33" ht="15.75" customHeight="1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6"/>
      <c r="V66" s="1"/>
      <c r="W66" s="31"/>
      <c r="X66" s="31"/>
      <c r="Y66" s="31"/>
      <c r="Z66" s="31"/>
      <c r="AA66" s="2"/>
      <c r="AB66" s="31"/>
      <c r="AC66" s="31"/>
      <c r="AD66" s="31"/>
      <c r="AE66" s="37"/>
      <c r="AF66" s="37"/>
      <c r="AG66" s="37"/>
    </row>
    <row r="67" spans="1:33" ht="15.75" customHeight="1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6"/>
      <c r="V67" s="1"/>
      <c r="W67" s="31"/>
      <c r="X67" s="31"/>
      <c r="Y67" s="31"/>
      <c r="Z67" s="31"/>
      <c r="AA67" s="2"/>
      <c r="AB67" s="31"/>
      <c r="AC67" s="31"/>
      <c r="AD67" s="31"/>
      <c r="AE67" s="37"/>
      <c r="AF67" s="37"/>
      <c r="AG67" s="37"/>
    </row>
    <row r="68" spans="1:33" ht="15.75" customHeight="1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6"/>
      <c r="V68" s="1"/>
      <c r="W68" s="31"/>
      <c r="X68" s="31"/>
      <c r="Y68" s="31"/>
      <c r="Z68" s="31"/>
      <c r="AA68" s="2"/>
      <c r="AB68" s="31"/>
      <c r="AC68" s="31"/>
      <c r="AD68" s="31"/>
      <c r="AE68" s="37"/>
      <c r="AF68" s="37"/>
      <c r="AG68" s="37"/>
    </row>
    <row r="69" spans="1:33" ht="15.75" customHeight="1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6"/>
      <c r="V69" s="1"/>
      <c r="W69" s="31"/>
      <c r="X69" s="31"/>
      <c r="Y69" s="31"/>
      <c r="Z69" s="31"/>
      <c r="AA69" s="2"/>
      <c r="AB69" s="31"/>
      <c r="AC69" s="31"/>
      <c r="AD69" s="31"/>
      <c r="AE69" s="37"/>
      <c r="AF69" s="37"/>
      <c r="AG69" s="37"/>
    </row>
    <row r="70" spans="1:33" ht="15.75" customHeight="1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6"/>
      <c r="V70" s="1"/>
      <c r="W70" s="31"/>
      <c r="X70" s="31"/>
      <c r="Y70" s="31"/>
      <c r="Z70" s="31"/>
      <c r="AA70" s="2"/>
      <c r="AB70" s="31"/>
      <c r="AC70" s="31"/>
      <c r="AD70" s="31"/>
      <c r="AE70" s="37"/>
      <c r="AF70" s="37"/>
      <c r="AG70" s="37"/>
    </row>
    <row r="71" spans="1:33" ht="15.75" customHeight="1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6"/>
      <c r="V71" s="1"/>
      <c r="W71" s="31"/>
      <c r="X71" s="31"/>
      <c r="Y71" s="31"/>
      <c r="Z71" s="31"/>
      <c r="AA71" s="2"/>
      <c r="AB71" s="31"/>
      <c r="AC71" s="31"/>
      <c r="AD71" s="31"/>
      <c r="AE71" s="37"/>
      <c r="AF71" s="37"/>
      <c r="AG71" s="37"/>
    </row>
    <row r="72" spans="1:33" ht="15.75" customHeight="1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6"/>
      <c r="V72" s="1"/>
      <c r="W72" s="31"/>
      <c r="X72" s="31"/>
      <c r="Y72" s="31"/>
      <c r="Z72" s="31"/>
      <c r="AA72" s="2"/>
      <c r="AB72" s="31"/>
      <c r="AC72" s="31"/>
      <c r="AD72" s="31"/>
      <c r="AE72" s="37"/>
      <c r="AF72" s="37"/>
      <c r="AG72" s="37"/>
    </row>
    <row r="73" spans="1:33" ht="15.75" customHeight="1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6"/>
      <c r="V73" s="1"/>
      <c r="W73" s="31"/>
      <c r="X73" s="31"/>
      <c r="Y73" s="31"/>
      <c r="Z73" s="31"/>
      <c r="AA73" s="2"/>
      <c r="AB73" s="31"/>
      <c r="AC73" s="31"/>
      <c r="AD73" s="31"/>
      <c r="AE73" s="37"/>
      <c r="AF73" s="37"/>
      <c r="AG73" s="37"/>
    </row>
    <row r="74" spans="1:33" ht="15.75" customHeight="1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6"/>
      <c r="V74" s="1"/>
      <c r="W74" s="31"/>
      <c r="X74" s="31"/>
      <c r="Y74" s="31"/>
      <c r="Z74" s="31"/>
      <c r="AA74" s="2"/>
      <c r="AB74" s="31"/>
      <c r="AC74" s="31"/>
      <c r="AD74" s="31"/>
      <c r="AE74" s="37"/>
      <c r="AF74" s="37"/>
      <c r="AG74" s="37"/>
    </row>
    <row r="75" spans="1:33" ht="15.75" customHeight="1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6"/>
      <c r="V75" s="1"/>
      <c r="W75" s="31"/>
      <c r="X75" s="31"/>
      <c r="Y75" s="31"/>
      <c r="Z75" s="31"/>
      <c r="AA75" s="2"/>
      <c r="AB75" s="31"/>
      <c r="AC75" s="31"/>
      <c r="AD75" s="31"/>
      <c r="AE75" s="37"/>
      <c r="AF75" s="37"/>
      <c r="AG75" s="37"/>
    </row>
    <row r="76" spans="1:33" ht="15.75" customHeight="1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6"/>
      <c r="V76" s="1"/>
      <c r="W76" s="31"/>
      <c r="X76" s="31"/>
      <c r="Y76" s="31"/>
      <c r="Z76" s="31"/>
      <c r="AA76" s="2"/>
      <c r="AB76" s="31"/>
      <c r="AC76" s="31"/>
      <c r="AD76" s="31"/>
      <c r="AE76" s="37"/>
      <c r="AF76" s="37"/>
      <c r="AG76" s="37"/>
    </row>
    <row r="77" spans="1:33" ht="15.75" customHeight="1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6"/>
      <c r="V77" s="1"/>
      <c r="W77" s="31"/>
      <c r="X77" s="31"/>
      <c r="Y77" s="31"/>
      <c r="Z77" s="31"/>
      <c r="AA77" s="2"/>
      <c r="AB77" s="31"/>
      <c r="AC77" s="31"/>
      <c r="AD77" s="31"/>
      <c r="AE77" s="37"/>
      <c r="AF77" s="37"/>
      <c r="AG77" s="37"/>
    </row>
    <row r="78" spans="1:33" ht="15.75" customHeight="1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6"/>
      <c r="V78" s="1"/>
      <c r="W78" s="31"/>
      <c r="X78" s="31"/>
      <c r="Y78" s="31"/>
      <c r="Z78" s="31"/>
      <c r="AA78" s="2"/>
      <c r="AB78" s="31"/>
      <c r="AC78" s="31"/>
      <c r="AD78" s="31"/>
      <c r="AE78" s="37"/>
      <c r="AF78" s="37"/>
      <c r="AG78" s="37"/>
    </row>
    <row r="79" spans="1:33" ht="15.75" customHeight="1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6"/>
      <c r="V79" s="1"/>
      <c r="W79" s="31"/>
      <c r="X79" s="31"/>
      <c r="Y79" s="31"/>
      <c r="Z79" s="31"/>
      <c r="AA79" s="2"/>
      <c r="AB79" s="31"/>
      <c r="AC79" s="31"/>
      <c r="AD79" s="31"/>
      <c r="AE79" s="37"/>
      <c r="AF79" s="37"/>
      <c r="AG79" s="37"/>
    </row>
    <row r="80" spans="1:33" ht="15.75" customHeight="1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6"/>
      <c r="V80" s="1"/>
      <c r="W80" s="31"/>
      <c r="X80" s="31"/>
      <c r="Y80" s="31"/>
      <c r="Z80" s="31"/>
      <c r="AA80" s="2"/>
      <c r="AB80" s="31"/>
      <c r="AC80" s="31"/>
      <c r="AD80" s="31"/>
      <c r="AE80" s="37"/>
      <c r="AF80" s="37"/>
      <c r="AG80" s="37"/>
    </row>
    <row r="81" spans="1:33" ht="15.75" customHeight="1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6"/>
      <c r="V81" s="1"/>
      <c r="W81" s="31"/>
      <c r="X81" s="31"/>
      <c r="Y81" s="31"/>
      <c r="Z81" s="31"/>
      <c r="AA81" s="2"/>
      <c r="AB81" s="31"/>
      <c r="AC81" s="31"/>
      <c r="AD81" s="31"/>
      <c r="AE81" s="37"/>
      <c r="AF81" s="37"/>
      <c r="AG81" s="37"/>
    </row>
    <row r="82" spans="1:33" ht="15.75" customHeight="1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6"/>
      <c r="V82" s="1"/>
      <c r="W82" s="31"/>
      <c r="X82" s="31"/>
      <c r="Y82" s="31"/>
      <c r="Z82" s="31"/>
      <c r="AA82" s="2"/>
      <c r="AB82" s="31"/>
      <c r="AC82" s="31"/>
      <c r="AD82" s="31"/>
      <c r="AE82" s="37"/>
      <c r="AF82" s="37"/>
      <c r="AG82" s="37"/>
    </row>
    <row r="83" spans="1:33" ht="15.75" customHeight="1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6"/>
      <c r="V83" s="1"/>
      <c r="W83" s="31"/>
      <c r="X83" s="31"/>
      <c r="Y83" s="31"/>
      <c r="Z83" s="31"/>
      <c r="AA83" s="2"/>
      <c r="AB83" s="31"/>
      <c r="AC83" s="31"/>
      <c r="AD83" s="31"/>
      <c r="AE83" s="37"/>
      <c r="AF83" s="37"/>
      <c r="AG83" s="37"/>
    </row>
    <row r="84" spans="1:33" ht="15.75" customHeight="1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6"/>
      <c r="V84" s="1"/>
      <c r="W84" s="31"/>
      <c r="X84" s="31"/>
      <c r="Y84" s="31"/>
      <c r="Z84" s="31"/>
      <c r="AA84" s="2"/>
      <c r="AB84" s="31"/>
      <c r="AC84" s="31"/>
      <c r="AD84" s="31"/>
      <c r="AE84" s="37"/>
      <c r="AF84" s="37"/>
      <c r="AG84" s="37"/>
    </row>
    <row r="85" spans="1:33" ht="15.75" customHeight="1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6"/>
      <c r="V85" s="1"/>
      <c r="W85" s="31"/>
      <c r="X85" s="31"/>
      <c r="Y85" s="31"/>
      <c r="Z85" s="31"/>
      <c r="AA85" s="2"/>
      <c r="AB85" s="31"/>
      <c r="AC85" s="31"/>
      <c r="AD85" s="31"/>
      <c r="AE85" s="37"/>
      <c r="AF85" s="37"/>
      <c r="AG85" s="37"/>
    </row>
    <row r="86" spans="1:33" ht="15.75" customHeight="1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6"/>
      <c r="V86" s="1"/>
      <c r="W86" s="31"/>
      <c r="X86" s="31"/>
      <c r="Y86" s="31"/>
      <c r="Z86" s="31"/>
      <c r="AA86" s="2"/>
      <c r="AB86" s="31"/>
      <c r="AC86" s="31"/>
      <c r="AD86" s="31"/>
      <c r="AE86" s="37"/>
      <c r="AF86" s="37"/>
      <c r="AG86" s="37"/>
    </row>
    <row r="87" spans="1:33" ht="15.75" customHeight="1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6"/>
      <c r="V87" s="1"/>
      <c r="W87" s="31"/>
      <c r="X87" s="31"/>
      <c r="Y87" s="31"/>
      <c r="Z87" s="31"/>
      <c r="AA87" s="2"/>
      <c r="AB87" s="31"/>
      <c r="AC87" s="31"/>
      <c r="AD87" s="31"/>
      <c r="AE87" s="37"/>
      <c r="AF87" s="37"/>
      <c r="AG87" s="37"/>
    </row>
    <row r="88" spans="1:33" ht="15.75" customHeight="1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6"/>
      <c r="V88" s="1"/>
      <c r="W88" s="31"/>
      <c r="X88" s="31"/>
      <c r="Y88" s="31"/>
      <c r="Z88" s="31"/>
      <c r="AA88" s="2"/>
      <c r="AB88" s="31"/>
      <c r="AC88" s="31"/>
      <c r="AD88" s="31"/>
      <c r="AE88" s="37"/>
      <c r="AF88" s="37"/>
      <c r="AG88" s="37"/>
    </row>
    <row r="89" spans="1:33" ht="15.75" customHeight="1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6"/>
      <c r="V89" s="1"/>
      <c r="W89" s="31"/>
      <c r="X89" s="31"/>
      <c r="Y89" s="31"/>
      <c r="Z89" s="31"/>
      <c r="AA89" s="2"/>
      <c r="AB89" s="31"/>
      <c r="AC89" s="31"/>
      <c r="AD89" s="31"/>
      <c r="AE89" s="37"/>
      <c r="AF89" s="37"/>
      <c r="AG89" s="37"/>
    </row>
    <row r="90" spans="1:33" ht="15.75" customHeight="1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6"/>
      <c r="V90" s="1"/>
      <c r="W90" s="31"/>
      <c r="X90" s="31"/>
      <c r="Y90" s="31"/>
      <c r="Z90" s="31"/>
      <c r="AA90" s="2"/>
      <c r="AB90" s="31"/>
      <c r="AC90" s="31"/>
      <c r="AD90" s="31"/>
      <c r="AE90" s="37"/>
      <c r="AF90" s="37"/>
      <c r="AG90" s="37"/>
    </row>
    <row r="91" spans="1:33" ht="15.75" customHeight="1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6"/>
      <c r="V91" s="1"/>
      <c r="W91" s="31"/>
      <c r="X91" s="31"/>
      <c r="Y91" s="31"/>
      <c r="Z91" s="31"/>
      <c r="AA91" s="2"/>
      <c r="AB91" s="31"/>
      <c r="AC91" s="31"/>
      <c r="AD91" s="31"/>
      <c r="AE91" s="37"/>
      <c r="AF91" s="37"/>
      <c r="AG91" s="37"/>
    </row>
    <row r="92" spans="1:33" ht="15.75" customHeight="1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6"/>
      <c r="V92" s="1"/>
      <c r="W92" s="31"/>
      <c r="X92" s="31"/>
      <c r="Y92" s="31"/>
      <c r="Z92" s="31"/>
      <c r="AA92" s="2"/>
      <c r="AB92" s="31"/>
      <c r="AC92" s="31"/>
      <c r="AD92" s="31"/>
      <c r="AE92" s="37"/>
      <c r="AF92" s="37"/>
      <c r="AG92" s="37"/>
    </row>
    <row r="93" spans="1:33" ht="15.75" customHeight="1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6"/>
      <c r="V93" s="1"/>
      <c r="W93" s="31"/>
      <c r="X93" s="31"/>
      <c r="Y93" s="31"/>
      <c r="Z93" s="31"/>
      <c r="AA93" s="2"/>
      <c r="AB93" s="31"/>
      <c r="AC93" s="31"/>
      <c r="AD93" s="31"/>
      <c r="AE93" s="37"/>
      <c r="AF93" s="37"/>
      <c r="AG93" s="37"/>
    </row>
    <row r="94" spans="1:33" ht="15.75" customHeight="1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6"/>
      <c r="V94" s="1"/>
      <c r="W94" s="31"/>
      <c r="X94" s="31"/>
      <c r="Y94" s="31"/>
      <c r="Z94" s="31"/>
      <c r="AA94" s="2"/>
      <c r="AB94" s="31"/>
      <c r="AC94" s="31"/>
      <c r="AD94" s="31"/>
      <c r="AE94" s="37"/>
      <c r="AF94" s="37"/>
      <c r="AG94" s="37"/>
    </row>
    <row r="95" spans="1:33" ht="15.75" customHeight="1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6"/>
      <c r="V95" s="1"/>
      <c r="W95" s="31"/>
      <c r="X95" s="31"/>
      <c r="Y95" s="31"/>
      <c r="Z95" s="31"/>
      <c r="AA95" s="2"/>
      <c r="AB95" s="31"/>
      <c r="AC95" s="31"/>
      <c r="AD95" s="31"/>
      <c r="AE95" s="37"/>
      <c r="AF95" s="37"/>
      <c r="AG95" s="37"/>
    </row>
    <row r="96" spans="1:33" ht="15.75" customHeight="1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6"/>
      <c r="V96" s="1"/>
      <c r="W96" s="31"/>
      <c r="X96" s="31"/>
      <c r="Y96" s="31"/>
      <c r="Z96" s="31"/>
      <c r="AA96" s="2"/>
      <c r="AB96" s="31"/>
      <c r="AC96" s="31"/>
      <c r="AD96" s="31"/>
      <c r="AE96" s="37"/>
      <c r="AF96" s="37"/>
      <c r="AG96" s="37"/>
    </row>
    <row r="97" spans="1:33" ht="15.75" customHeight="1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8"/>
      <c r="R97" s="38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8"/>
      <c r="R98" s="38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8"/>
      <c r="R99" s="38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8"/>
      <c r="R100" s="38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8"/>
      <c r="R101" s="38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8"/>
      <c r="R102" s="38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8"/>
      <c r="R103" s="38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8"/>
      <c r="R104" s="38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8"/>
      <c r="R105" s="38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8"/>
      <c r="R106" s="38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8"/>
      <c r="R107" s="38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8"/>
      <c r="R108" s="38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8"/>
      <c r="R109" s="38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8"/>
      <c r="R110" s="38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8"/>
      <c r="R111" s="38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8"/>
      <c r="R112" s="38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8"/>
      <c r="R113" s="38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8"/>
      <c r="R114" s="38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>
      <c r="A115" s="31"/>
      <c r="B115" s="31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>
      <c r="A116" s="31"/>
      <c r="B116" s="31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>
      <c r="A117" s="31"/>
      <c r="B117" s="31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>
      <c r="A118" s="31"/>
      <c r="B118" s="31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>
      <c r="A119" s="31"/>
      <c r="B119" s="31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>
      <c r="A120" s="31"/>
      <c r="B120" s="31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>
      <c r="A121" s="31"/>
      <c r="B121" s="31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>
      <c r="A122" s="31"/>
      <c r="B122" s="31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>
      <c r="A123" s="31"/>
      <c r="B123" s="31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>
      <c r="A124" s="31"/>
      <c r="B124" s="31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>
      <c r="A125" s="31"/>
      <c r="B125" s="31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>
      <c r="A126" s="31"/>
      <c r="B126" s="31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>
      <c r="A127" s="31"/>
      <c r="B127" s="31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>
      <c r="A128" s="31"/>
      <c r="B128" s="31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>
      <c r="A129" s="31"/>
      <c r="B129" s="31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>
      <c r="A130" s="31"/>
      <c r="B130" s="31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>
      <c r="A131" s="31"/>
      <c r="B131" s="31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>
      <c r="A132" s="31"/>
      <c r="B132" s="31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>
      <c r="A133" s="31"/>
      <c r="B133" s="31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>
      <c r="A134" s="31"/>
      <c r="B134" s="31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>
      <c r="A135" s="31"/>
      <c r="B135" s="31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>
      <c r="A136" s="31"/>
      <c r="B136" s="31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>
      <c r="A137" s="31"/>
      <c r="B137" s="31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>
      <c r="A138" s="31"/>
      <c r="B138" s="31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>
      <c r="A139" s="31"/>
      <c r="B139" s="31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>
      <c r="A140" s="31"/>
      <c r="B140" s="31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>
      <c r="A141" s="31"/>
      <c r="B141" s="31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2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>
      <c r="A142" s="31"/>
      <c r="B142" s="31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2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>
      <c r="A143" s="31"/>
      <c r="B143" s="31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2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>
      <c r="A144" s="31"/>
      <c r="B144" s="31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2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>
      <c r="A145" s="31"/>
      <c r="B145" s="31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2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>
      <c r="A146" s="31"/>
      <c r="B146" s="31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2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>
      <c r="A147" s="31"/>
      <c r="B147" s="31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2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>
      <c r="A148" s="31"/>
      <c r="B148" s="31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2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</row>
    <row r="149" spans="1:33" ht="15.75" customHeight="1">
      <c r="A149" s="14"/>
      <c r="B149" s="14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>
      <c r="A150" s="14"/>
      <c r="B150" s="14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>
      <c r="A151" s="14"/>
      <c r="B151" s="14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>
      <c r="A152" s="14"/>
      <c r="B152" s="14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>
      <c r="A153" s="14"/>
      <c r="B153" s="14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>
      <c r="A154" s="14"/>
      <c r="B154" s="14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>
      <c r="A155" s="14"/>
      <c r="B155" s="14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>
      <c r="A156" s="14"/>
      <c r="B156" s="14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>
      <c r="A157" s="14"/>
      <c r="B157" s="14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>
      <c r="A158" s="14"/>
      <c r="B158" s="14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>
      <c r="A159" s="14"/>
      <c r="B159" s="14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>
      <c r="A160" s="14"/>
      <c r="B160" s="14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>
      <c r="A161" s="14"/>
      <c r="B161" s="14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>
      <c r="A162" s="14"/>
      <c r="B162" s="14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>
      <c r="A163" s="14"/>
      <c r="B163" s="14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>
      <c r="A164" s="14"/>
      <c r="B164" s="14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>
      <c r="A165" s="14"/>
      <c r="B165" s="14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>
      <c r="A166" s="14"/>
      <c r="B166" s="14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>
      <c r="A167" s="14"/>
      <c r="B167" s="14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>
      <c r="A168" s="14"/>
      <c r="B168" s="14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>
      <c r="A169" s="14"/>
      <c r="B169" s="14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>
      <c r="A170" s="14"/>
      <c r="B170" s="14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>
      <c r="A171" s="14"/>
      <c r="B171" s="14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>
      <c r="A172" s="14"/>
      <c r="B172" s="14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>
      <c r="A173" s="14"/>
      <c r="B173" s="14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>
      <c r="A174" s="14"/>
      <c r="B174" s="14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>
      <c r="A175" s="14"/>
      <c r="B175" s="14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>
      <c r="A176" s="14"/>
      <c r="B176" s="14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>
      <c r="A177" s="14"/>
      <c r="B177" s="14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>
      <c r="A178" s="14"/>
      <c r="B178" s="14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>
      <c r="A179" s="14"/>
      <c r="B179" s="14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>
      <c r="A180" s="14"/>
      <c r="B180" s="14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>
      <c r="A181" s="14"/>
      <c r="B181" s="14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>
      <c r="A182" s="14"/>
      <c r="B182" s="14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>
      <c r="A183" s="14"/>
      <c r="B183" s="14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>
      <c r="A184" s="14"/>
      <c r="B184" s="14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>
      <c r="A185" s="14"/>
      <c r="B185" s="14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>
      <c r="A186" s="14"/>
      <c r="B186" s="14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>
      <c r="A187" s="14"/>
      <c r="B187" s="14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>
      <c r="A188" s="14"/>
      <c r="B188" s="14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>
      <c r="A189" s="14"/>
      <c r="B189" s="14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>
      <c r="A190" s="14"/>
      <c r="B190" s="14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>
      <c r="A191" s="14"/>
      <c r="B191" s="14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>
      <c r="A192" s="14"/>
      <c r="B192" s="14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>
      <c r="A193" s="14"/>
      <c r="B193" s="14"/>
      <c r="C193" s="39"/>
      <c r="D193" s="39"/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>
      <c r="A194" s="14"/>
      <c r="B194" s="14"/>
      <c r="C194" s="39"/>
      <c r="D194" s="39"/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>
      <c r="A195" s="14"/>
      <c r="B195" s="14"/>
      <c r="C195" s="39"/>
      <c r="D195" s="39"/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>
      <c r="A196" s="14"/>
      <c r="B196" s="14"/>
      <c r="C196" s="39"/>
      <c r="D196" s="39"/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>
      <c r="A197" s="14"/>
      <c r="B197" s="14"/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>
      <c r="A198" s="14"/>
      <c r="B198" s="14"/>
      <c r="C198" s="39"/>
      <c r="D198" s="39"/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>
      <c r="A199" s="14"/>
      <c r="B199" s="14"/>
      <c r="C199" s="39"/>
      <c r="D199" s="39"/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>
      <c r="A200" s="14"/>
      <c r="B200" s="14"/>
      <c r="C200" s="39"/>
      <c r="D200" s="39"/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>
      <c r="A201" s="14"/>
      <c r="B201" s="14"/>
      <c r="C201" s="39"/>
      <c r="D201" s="39"/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>
      <c r="A202" s="14"/>
      <c r="B202" s="14"/>
      <c r="C202" s="39"/>
      <c r="D202" s="39"/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>
      <c r="A203" s="14"/>
      <c r="B203" s="14"/>
      <c r="C203" s="39"/>
      <c r="D203" s="39"/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>
      <c r="A204" s="14"/>
      <c r="B204" s="14"/>
      <c r="C204" s="39"/>
      <c r="D204" s="39"/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>
      <c r="A205" s="14"/>
      <c r="B205" s="14"/>
      <c r="C205" s="39"/>
      <c r="D205" s="39"/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>
      <c r="A206" s="14"/>
      <c r="B206" s="14"/>
      <c r="C206" s="39"/>
      <c r="D206" s="39"/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>
      <c r="A207" s="14"/>
      <c r="B207" s="14"/>
      <c r="C207" s="39"/>
      <c r="D207" s="39"/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>
      <c r="A208" s="14"/>
      <c r="B208" s="14"/>
      <c r="C208" s="39"/>
      <c r="D208" s="39"/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>
      <c r="A209" s="14"/>
      <c r="B209" s="14"/>
      <c r="C209" s="39"/>
      <c r="D209" s="39"/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>
      <c r="A210" s="14"/>
      <c r="B210" s="14"/>
      <c r="C210" s="39"/>
      <c r="D210" s="39"/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>
      <c r="A211" s="14"/>
      <c r="B211" s="14"/>
      <c r="C211" s="39"/>
      <c r="D211" s="39"/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>
      <c r="A212" s="14"/>
      <c r="B212" s="14"/>
      <c r="C212" s="39"/>
      <c r="D212" s="39"/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>
      <c r="A213" s="14"/>
      <c r="B213" s="14"/>
      <c r="C213" s="39"/>
      <c r="D213" s="39"/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>
      <c r="A214" s="14"/>
      <c r="B214" s="14"/>
      <c r="C214" s="39"/>
      <c r="D214" s="39"/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>
      <c r="A215" s="14"/>
      <c r="B215" s="14"/>
      <c r="C215" s="39"/>
      <c r="D215" s="39"/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>
      <c r="A216" s="14"/>
      <c r="B216" s="14"/>
      <c r="C216" s="39"/>
      <c r="D216" s="39"/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>
      <c r="A217" s="14"/>
      <c r="B217" s="14"/>
      <c r="C217" s="39"/>
      <c r="D217" s="39"/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>
      <c r="A218" s="14"/>
      <c r="B218" s="14"/>
      <c r="C218" s="39"/>
      <c r="D218" s="39"/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>
      <c r="A219" s="14"/>
      <c r="B219" s="14"/>
      <c r="C219" s="39"/>
      <c r="D219" s="39"/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>
      <c r="A220" s="14"/>
      <c r="B220" s="14"/>
      <c r="C220" s="39"/>
      <c r="D220" s="39"/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>
      <c r="R221" s="30"/>
      <c r="S221" s="40"/>
    </row>
    <row r="222" spans="1:33" ht="15.75" customHeight="1">
      <c r="R222" s="30"/>
      <c r="S222" s="40"/>
    </row>
    <row r="223" spans="1:33" ht="15.75" customHeight="1">
      <c r="R223" s="30"/>
      <c r="S223" s="40"/>
    </row>
    <row r="224" spans="1:33" ht="15.75" customHeight="1">
      <c r="R224" s="30"/>
      <c r="S224" s="40"/>
    </row>
    <row r="225" spans="18:18" ht="15.75" customHeight="1">
      <c r="R225" s="30"/>
    </row>
    <row r="226" spans="18:18" ht="15.75" customHeight="1">
      <c r="R226" s="30"/>
    </row>
    <row r="227" spans="18:18" ht="15.75" customHeight="1">
      <c r="R227" s="30"/>
    </row>
    <row r="228" spans="18:18" ht="15.75" customHeight="1">
      <c r="R228" s="30"/>
    </row>
    <row r="229" spans="18:18" ht="15.75" customHeight="1">
      <c r="R229" s="30"/>
    </row>
    <row r="230" spans="18:18" ht="15.75" customHeight="1">
      <c r="R230" s="30"/>
    </row>
    <row r="231" spans="18:18" ht="15.75" customHeight="1">
      <c r="R231" s="30"/>
    </row>
    <row r="232" spans="18:18" ht="15.75" customHeight="1">
      <c r="R232" s="30"/>
    </row>
    <row r="233" spans="18:18" ht="15.75" customHeight="1">
      <c r="R233" s="30"/>
    </row>
    <row r="234" spans="18:18" ht="15.75" customHeight="1">
      <c r="R234" s="30"/>
    </row>
    <row r="235" spans="18:18" ht="15.75" customHeight="1">
      <c r="R235" s="30"/>
    </row>
    <row r="236" spans="18:18" ht="15.75" customHeight="1">
      <c r="R236" s="30"/>
    </row>
    <row r="237" spans="18:18" ht="15.75" customHeight="1">
      <c r="R237" s="30"/>
    </row>
    <row r="238" spans="18:18" ht="15.75" customHeight="1">
      <c r="R238" s="30"/>
    </row>
    <row r="239" spans="18:18" ht="15.75" customHeight="1">
      <c r="R239" s="30"/>
    </row>
    <row r="240" spans="18:18" ht="15.75" customHeight="1">
      <c r="R240" s="30"/>
    </row>
    <row r="241" spans="18:18" ht="15.75" customHeight="1">
      <c r="R241" s="30"/>
    </row>
    <row r="242" spans="18:18" ht="15.75" customHeight="1">
      <c r="R242" s="30"/>
    </row>
    <row r="243" spans="18:18" ht="15.75" customHeight="1">
      <c r="R243" s="30"/>
    </row>
    <row r="244" spans="18:18" ht="15.75" customHeight="1">
      <c r="R244" s="30"/>
    </row>
    <row r="245" spans="18:18" ht="15.75" customHeight="1">
      <c r="R245" s="30"/>
    </row>
    <row r="246" spans="18:18" ht="15.75" customHeight="1">
      <c r="R246" s="30"/>
    </row>
    <row r="247" spans="18:18" ht="15.75" customHeight="1">
      <c r="R247" s="30"/>
    </row>
    <row r="248" spans="18:18" ht="15.75" customHeight="1">
      <c r="R248" s="30"/>
    </row>
    <row r="249" spans="18:18" ht="15.75" customHeight="1">
      <c r="R249" s="30"/>
    </row>
    <row r="250" spans="18:18" ht="15.75" customHeight="1">
      <c r="R250" s="30"/>
    </row>
    <row r="251" spans="18:18" ht="15.75" customHeight="1">
      <c r="R251" s="30"/>
    </row>
    <row r="252" spans="18:18" ht="15.75" customHeight="1">
      <c r="R252" s="30"/>
    </row>
    <row r="253" spans="18:18" ht="15.75" customHeight="1">
      <c r="R253" s="30"/>
    </row>
    <row r="254" spans="18:18" ht="15.75" customHeight="1">
      <c r="R254" s="30"/>
    </row>
    <row r="255" spans="18:18" ht="15.75" customHeight="1">
      <c r="R255" s="30"/>
    </row>
    <row r="256" spans="18:18" ht="15.75" customHeight="1">
      <c r="R256" s="30"/>
    </row>
    <row r="257" spans="18:18" ht="15.75" customHeight="1">
      <c r="R257" s="30"/>
    </row>
    <row r="258" spans="18:18" ht="15.75" customHeight="1">
      <c r="R258" s="30"/>
    </row>
    <row r="259" spans="18:18" ht="15.75" customHeight="1">
      <c r="R259" s="30"/>
    </row>
    <row r="260" spans="18:18" ht="15.75" customHeight="1">
      <c r="R260" s="30"/>
    </row>
    <row r="261" spans="18:18" ht="15.75" customHeight="1">
      <c r="R261" s="30"/>
    </row>
    <row r="262" spans="18:18" ht="15.75" customHeight="1">
      <c r="R262" s="30"/>
    </row>
    <row r="263" spans="18:18" ht="15.75" customHeight="1">
      <c r="R263" s="30"/>
    </row>
    <row r="264" spans="18:18" ht="15.75" customHeight="1">
      <c r="R264" s="30"/>
    </row>
    <row r="265" spans="18:18" ht="15.75" customHeight="1">
      <c r="R265" s="30"/>
    </row>
    <row r="266" spans="18:18" ht="15.75" customHeight="1">
      <c r="R266" s="30"/>
    </row>
    <row r="267" spans="18:18" ht="15.75" customHeight="1">
      <c r="R267" s="30"/>
    </row>
    <row r="268" spans="18:18" ht="15.75" customHeight="1">
      <c r="R268" s="30"/>
    </row>
    <row r="269" spans="18:18" ht="15.75" customHeight="1">
      <c r="R269" s="30"/>
    </row>
    <row r="270" spans="18:18" ht="15.75" customHeight="1">
      <c r="R270" s="30"/>
    </row>
    <row r="271" spans="18:18" ht="15.75" customHeight="1">
      <c r="R271" s="30"/>
    </row>
    <row r="272" spans="18:18" ht="15.75" customHeight="1">
      <c r="R272" s="30"/>
    </row>
    <row r="273" spans="18:18" ht="15.75" customHeight="1">
      <c r="R273" s="30"/>
    </row>
    <row r="274" spans="18:18" ht="15.75" customHeight="1">
      <c r="R274" s="30"/>
    </row>
    <row r="275" spans="18:18" ht="15.75" customHeight="1">
      <c r="R275" s="30"/>
    </row>
    <row r="276" spans="18:18" ht="15.75" customHeight="1">
      <c r="R276" s="30"/>
    </row>
    <row r="277" spans="18:18" ht="15.75" customHeight="1">
      <c r="R277" s="30"/>
    </row>
    <row r="278" spans="18:18" ht="15.75" customHeight="1">
      <c r="R278" s="30"/>
    </row>
    <row r="279" spans="18:18" ht="15.75" customHeight="1">
      <c r="R279" s="30"/>
    </row>
    <row r="280" spans="18:18" ht="15.75" customHeight="1">
      <c r="R280" s="30"/>
    </row>
    <row r="281" spans="18:18" ht="15.75" customHeight="1">
      <c r="R281" s="30"/>
    </row>
    <row r="282" spans="18:18" ht="15.75" customHeight="1">
      <c r="R282" s="30"/>
    </row>
    <row r="283" spans="18:18" ht="15.75" customHeight="1">
      <c r="R283" s="30"/>
    </row>
    <row r="284" spans="18:18" ht="15.75" customHeight="1">
      <c r="R284" s="30"/>
    </row>
    <row r="285" spans="18:18" ht="15.75" customHeight="1">
      <c r="R285" s="30"/>
    </row>
    <row r="286" spans="18:18" ht="15.75" customHeight="1">
      <c r="R286" s="30"/>
    </row>
    <row r="287" spans="18:18" ht="15.75" customHeight="1">
      <c r="R287" s="30"/>
    </row>
    <row r="288" spans="18:18" ht="15.75" customHeight="1">
      <c r="R288" s="30"/>
    </row>
    <row r="289" spans="18:18" ht="15.75" customHeight="1">
      <c r="R289" s="30"/>
    </row>
    <row r="290" spans="18:18" ht="15.75" customHeight="1">
      <c r="R290" s="30"/>
    </row>
    <row r="291" spans="18:18" ht="15.75" customHeight="1">
      <c r="R291" s="30"/>
    </row>
    <row r="292" spans="18:18" ht="15.75" customHeight="1">
      <c r="R292" s="30"/>
    </row>
    <row r="293" spans="18:18" ht="15.75" customHeight="1">
      <c r="R293" s="30"/>
    </row>
    <row r="294" spans="18:18" ht="15.75" customHeight="1">
      <c r="R294" s="30"/>
    </row>
    <row r="295" spans="18:18" ht="15.75" customHeight="1">
      <c r="R295" s="30"/>
    </row>
    <row r="296" spans="18:18" ht="15.75" customHeight="1">
      <c r="R296" s="30"/>
    </row>
    <row r="297" spans="18:18" ht="15.75" customHeight="1">
      <c r="R297" s="30"/>
    </row>
    <row r="298" spans="18:18" ht="15.75" customHeight="1">
      <c r="R298" s="30"/>
    </row>
    <row r="299" spans="18:18" ht="15.75" customHeight="1">
      <c r="R299" s="30"/>
    </row>
    <row r="300" spans="18:18" ht="15.75" customHeight="1">
      <c r="R300" s="30"/>
    </row>
    <row r="301" spans="18:18" ht="15.75" customHeight="1">
      <c r="R301" s="30"/>
    </row>
    <row r="302" spans="18:18" ht="15.75" customHeight="1">
      <c r="R302" s="30"/>
    </row>
    <row r="303" spans="18:18" ht="15.75" customHeight="1">
      <c r="R303" s="30"/>
    </row>
    <row r="304" spans="18:18" ht="15.75" customHeight="1">
      <c r="R304" s="30"/>
    </row>
    <row r="305" spans="18:18" ht="15.75" customHeight="1">
      <c r="R305" s="30"/>
    </row>
    <row r="306" spans="18:18" ht="15.75" customHeight="1">
      <c r="R306" s="30"/>
    </row>
    <row r="307" spans="18:18" ht="15.75" customHeight="1">
      <c r="R307" s="30"/>
    </row>
    <row r="308" spans="18:18" ht="15.75" customHeight="1">
      <c r="R308" s="30"/>
    </row>
    <row r="309" spans="18:18" ht="15.75" customHeight="1">
      <c r="R309" s="30"/>
    </row>
    <row r="310" spans="18:18" ht="15.75" customHeight="1">
      <c r="R310" s="30"/>
    </row>
    <row r="311" spans="18:18" ht="15.75" customHeight="1">
      <c r="R311" s="30"/>
    </row>
    <row r="312" spans="18:18" ht="15.75" customHeight="1">
      <c r="R312" s="30"/>
    </row>
    <row r="313" spans="18:18" ht="15.75" customHeight="1">
      <c r="R313" s="30"/>
    </row>
    <row r="314" spans="18:18" ht="15.75" customHeight="1">
      <c r="R314" s="30"/>
    </row>
    <row r="315" spans="18:18" ht="15.75" customHeight="1">
      <c r="R315" s="30"/>
    </row>
    <row r="316" spans="18:18" ht="15.75" customHeight="1">
      <c r="R316" s="30"/>
    </row>
    <row r="317" spans="18:18" ht="15.75" customHeight="1">
      <c r="R317" s="30"/>
    </row>
    <row r="318" spans="18:18" ht="15.75" customHeight="1">
      <c r="R318" s="30"/>
    </row>
    <row r="319" spans="18:18" ht="15.75" customHeight="1">
      <c r="R319" s="30"/>
    </row>
    <row r="320" spans="18:18" ht="15.75" customHeight="1">
      <c r="R320" s="30"/>
    </row>
    <row r="321" spans="18:18" ht="15.75" customHeight="1">
      <c r="R321" s="30"/>
    </row>
    <row r="322" spans="18:18" ht="15.75" customHeight="1">
      <c r="R322" s="30"/>
    </row>
    <row r="323" spans="18:18" ht="15.75" customHeight="1">
      <c r="R323" s="30"/>
    </row>
    <row r="324" spans="18:18" ht="15.75" customHeight="1">
      <c r="R324" s="30"/>
    </row>
    <row r="325" spans="18:18" ht="15.75" customHeight="1">
      <c r="R325" s="30"/>
    </row>
    <row r="326" spans="18:18" ht="15.75" customHeight="1">
      <c r="R326" s="30"/>
    </row>
    <row r="327" spans="18:18" ht="15.75" customHeight="1">
      <c r="R327" s="30"/>
    </row>
    <row r="328" spans="18:18" ht="15.75" customHeight="1">
      <c r="R328" s="30"/>
    </row>
    <row r="329" spans="18:18" ht="15.75" customHeight="1">
      <c r="R329" s="30"/>
    </row>
    <row r="330" spans="18:18" ht="15.75" customHeight="1">
      <c r="R330" s="30"/>
    </row>
    <row r="331" spans="18:18" ht="15.75" customHeight="1">
      <c r="R331" s="30"/>
    </row>
    <row r="332" spans="18:18" ht="15.75" customHeight="1">
      <c r="R332" s="30"/>
    </row>
    <row r="333" spans="18:18" ht="15.75" customHeight="1">
      <c r="R333" s="30"/>
    </row>
    <row r="334" spans="18:18" ht="15.75" customHeight="1">
      <c r="R334" s="30"/>
    </row>
    <row r="335" spans="18:18" ht="15.75" customHeight="1">
      <c r="R335" s="30"/>
    </row>
    <row r="336" spans="18:18" ht="15.75" customHeight="1">
      <c r="R336" s="30"/>
    </row>
    <row r="337" spans="18:18" ht="15.75" customHeight="1">
      <c r="R337" s="30"/>
    </row>
    <row r="338" spans="18:18" ht="15.75" customHeight="1">
      <c r="R338" s="30"/>
    </row>
    <row r="339" spans="18:18" ht="15.75" customHeight="1">
      <c r="R339" s="30"/>
    </row>
    <row r="340" spans="18:18" ht="15.75" customHeight="1">
      <c r="R340" s="30"/>
    </row>
    <row r="341" spans="18:18" ht="15.75" customHeight="1">
      <c r="R341" s="30"/>
    </row>
    <row r="342" spans="18:18" ht="15.75" customHeight="1">
      <c r="R342" s="30"/>
    </row>
    <row r="343" spans="18:18" ht="15.75" customHeight="1">
      <c r="R343" s="30"/>
    </row>
    <row r="344" spans="18:18" ht="15.75" customHeight="1">
      <c r="R344" s="30"/>
    </row>
    <row r="345" spans="18:18" ht="15.75" customHeight="1">
      <c r="R345" s="30"/>
    </row>
    <row r="346" spans="18:18" ht="15.75" customHeight="1">
      <c r="R346" s="30"/>
    </row>
    <row r="347" spans="18:18" ht="15.75" customHeight="1">
      <c r="R347" s="30"/>
    </row>
    <row r="348" spans="18:18" ht="15.75" customHeight="1">
      <c r="R348" s="30"/>
    </row>
    <row r="349" spans="18:18" ht="15.75" customHeight="1">
      <c r="R349" s="30"/>
    </row>
    <row r="350" spans="18:18" ht="15.75" customHeight="1">
      <c r="R350" s="30"/>
    </row>
    <row r="351" spans="18:18" ht="15.75" customHeight="1">
      <c r="R351" s="30"/>
    </row>
    <row r="352" spans="18:18" ht="15.75" customHeight="1">
      <c r="R352" s="30"/>
    </row>
    <row r="353" spans="18:18" ht="15.75" customHeight="1">
      <c r="R353" s="30"/>
    </row>
    <row r="354" spans="18:18" ht="15.75" customHeight="1">
      <c r="R354" s="30"/>
    </row>
    <row r="355" spans="18:18" ht="15.75" customHeight="1">
      <c r="R355" s="30"/>
    </row>
    <row r="356" spans="18:18" ht="15.75" customHeight="1">
      <c r="R356" s="30"/>
    </row>
    <row r="357" spans="18:18" ht="15.75" customHeight="1">
      <c r="R357" s="30"/>
    </row>
    <row r="358" spans="18:18" ht="15.75" customHeight="1">
      <c r="R358" s="30"/>
    </row>
    <row r="359" spans="18:18" ht="15.75" customHeight="1">
      <c r="R359" s="30"/>
    </row>
    <row r="360" spans="18:18" ht="15.75" customHeight="1">
      <c r="R360" s="30"/>
    </row>
    <row r="361" spans="18:18" ht="15.75" customHeight="1">
      <c r="R361" s="30"/>
    </row>
    <row r="362" spans="18:18" ht="15.75" customHeight="1">
      <c r="R362" s="30"/>
    </row>
    <row r="363" spans="18:18" ht="15.75" customHeight="1">
      <c r="R363" s="30"/>
    </row>
    <row r="364" spans="18:18" ht="15.75" customHeight="1">
      <c r="R364" s="30"/>
    </row>
    <row r="365" spans="18:18" ht="15.75" customHeight="1">
      <c r="R365" s="30"/>
    </row>
    <row r="366" spans="18:18" ht="15.75" customHeight="1">
      <c r="R366" s="30"/>
    </row>
    <row r="367" spans="18:18" ht="15.75" customHeight="1">
      <c r="R367" s="30"/>
    </row>
    <row r="368" spans="18:18" ht="15.75" customHeight="1">
      <c r="R368" s="30"/>
    </row>
    <row r="369" spans="18:18" ht="15.75" customHeight="1">
      <c r="R369" s="30"/>
    </row>
    <row r="370" spans="18:18" ht="15.75" customHeight="1">
      <c r="R370" s="30"/>
    </row>
    <row r="371" spans="18:18" ht="15.75" customHeight="1">
      <c r="R371" s="30"/>
    </row>
    <row r="372" spans="18:18" ht="15.75" customHeight="1">
      <c r="R372" s="30"/>
    </row>
    <row r="373" spans="18:18" ht="15.75" customHeight="1">
      <c r="R373" s="30"/>
    </row>
    <row r="374" spans="18:18" ht="15.75" customHeight="1">
      <c r="R374" s="30"/>
    </row>
    <row r="375" spans="18:18" ht="15.75" customHeight="1">
      <c r="R375" s="30"/>
    </row>
    <row r="376" spans="18:18" ht="15.75" customHeight="1">
      <c r="R376" s="30"/>
    </row>
    <row r="377" spans="18:18" ht="15.75" customHeight="1">
      <c r="R377" s="30"/>
    </row>
    <row r="378" spans="18:18" ht="15.75" customHeight="1">
      <c r="R378" s="30"/>
    </row>
    <row r="379" spans="18:18" ht="15.75" customHeight="1">
      <c r="R379" s="30"/>
    </row>
    <row r="380" spans="18:18" ht="15.75" customHeight="1">
      <c r="R380" s="30"/>
    </row>
    <row r="381" spans="18:18" ht="15.75" customHeight="1">
      <c r="R381" s="30"/>
    </row>
    <row r="382" spans="18:18" ht="15.75" customHeight="1">
      <c r="R382" s="30"/>
    </row>
    <row r="383" spans="18:18" ht="15.75" customHeight="1">
      <c r="R383" s="30"/>
    </row>
    <row r="384" spans="18:18" ht="15.75" customHeight="1">
      <c r="R384" s="30"/>
    </row>
    <row r="385" spans="18:18" ht="15.75" customHeight="1">
      <c r="R385" s="30"/>
    </row>
    <row r="386" spans="18:18" ht="15.75" customHeight="1">
      <c r="R386" s="30"/>
    </row>
    <row r="387" spans="18:18" ht="15.75" customHeight="1">
      <c r="R387" s="30"/>
    </row>
    <row r="388" spans="18:18" ht="15.75" customHeight="1">
      <c r="R388" s="30"/>
    </row>
    <row r="389" spans="18:18" ht="15.75" customHeight="1">
      <c r="R389" s="30"/>
    </row>
    <row r="390" spans="18:18" ht="15.75" customHeight="1">
      <c r="R390" s="30"/>
    </row>
    <row r="391" spans="18:18" ht="15.75" customHeight="1">
      <c r="R391" s="30"/>
    </row>
    <row r="392" spans="18:18" ht="15.75" customHeight="1">
      <c r="R392" s="30"/>
    </row>
    <row r="393" spans="18:18" ht="15.75" customHeight="1">
      <c r="R393" s="30"/>
    </row>
    <row r="394" spans="18:18" ht="15.75" customHeight="1">
      <c r="R394" s="30"/>
    </row>
    <row r="395" spans="18:18" ht="15.75" customHeight="1">
      <c r="R395" s="30"/>
    </row>
    <row r="396" spans="18:18" ht="15.75" customHeight="1">
      <c r="R396" s="30"/>
    </row>
    <row r="397" spans="18:18" ht="15.75" customHeight="1">
      <c r="R397" s="30"/>
    </row>
    <row r="398" spans="18:18" ht="15.75" customHeight="1">
      <c r="R398" s="30"/>
    </row>
    <row r="399" spans="18:18" ht="15.75" customHeight="1">
      <c r="R399" s="30"/>
    </row>
    <row r="400" spans="18:18" ht="15.75" customHeight="1">
      <c r="R400" s="30"/>
    </row>
    <row r="401" spans="18:18" ht="15.75" customHeight="1">
      <c r="R401" s="30"/>
    </row>
    <row r="402" spans="18:18" ht="15.75" customHeight="1">
      <c r="R402" s="30"/>
    </row>
    <row r="403" spans="18:18" ht="15.75" customHeight="1">
      <c r="R403" s="30"/>
    </row>
    <row r="404" spans="18:18" ht="15.75" customHeight="1">
      <c r="R404" s="30"/>
    </row>
    <row r="405" spans="18:18" ht="15.75" customHeight="1">
      <c r="R405" s="30"/>
    </row>
    <row r="406" spans="18:18" ht="15.75" customHeight="1">
      <c r="R406" s="30"/>
    </row>
    <row r="407" spans="18:18" ht="15.75" customHeight="1">
      <c r="R407" s="30"/>
    </row>
    <row r="408" spans="18:18" ht="15.75" customHeight="1">
      <c r="R408" s="30"/>
    </row>
    <row r="409" spans="18:18" ht="15.75" customHeight="1">
      <c r="R409" s="30"/>
    </row>
    <row r="410" spans="18:18" ht="15.75" customHeight="1">
      <c r="R410" s="30"/>
    </row>
    <row r="411" spans="18:18" ht="15.75" customHeight="1">
      <c r="R411" s="30"/>
    </row>
    <row r="412" spans="18:18" ht="15.75" customHeight="1">
      <c r="R412" s="30"/>
    </row>
    <row r="413" spans="18:18" ht="15.75" customHeight="1">
      <c r="R413" s="30"/>
    </row>
    <row r="414" spans="18:18" ht="15.75" customHeight="1">
      <c r="R414" s="30"/>
    </row>
    <row r="415" spans="18:18" ht="15.75" customHeight="1">
      <c r="R415" s="30"/>
    </row>
    <row r="416" spans="18:18" ht="15.75" customHeight="1">
      <c r="R416" s="30"/>
    </row>
    <row r="417" spans="18:18" ht="15.75" customHeight="1">
      <c r="R417" s="30"/>
    </row>
    <row r="418" spans="18:18" ht="15.75" customHeight="1">
      <c r="R418" s="30"/>
    </row>
    <row r="419" spans="18:18" ht="15.75" customHeight="1">
      <c r="R419" s="30"/>
    </row>
    <row r="420" spans="18:18" ht="15.75" customHeight="1">
      <c r="R420" s="30"/>
    </row>
    <row r="421" spans="18:18" ht="15.75" customHeight="1">
      <c r="R421" s="30"/>
    </row>
    <row r="422" spans="18:18" ht="15.75" customHeight="1">
      <c r="R422" s="30"/>
    </row>
    <row r="423" spans="18:18" ht="15.75" customHeight="1">
      <c r="R423" s="30"/>
    </row>
    <row r="424" spans="18:18" ht="15.75" customHeight="1">
      <c r="R424" s="30"/>
    </row>
    <row r="425" spans="18:18" ht="15.75" customHeight="1">
      <c r="R425" s="30"/>
    </row>
    <row r="426" spans="18:18" ht="15.75" customHeight="1">
      <c r="R426" s="30"/>
    </row>
    <row r="427" spans="18:18" ht="15.75" customHeight="1">
      <c r="R427" s="30"/>
    </row>
    <row r="428" spans="18:18" ht="15.75" customHeight="1">
      <c r="R428" s="30"/>
    </row>
    <row r="429" spans="18:18" ht="15.75" customHeight="1">
      <c r="R429" s="30"/>
    </row>
    <row r="430" spans="18:18" ht="15.75" customHeight="1">
      <c r="R430" s="30"/>
    </row>
    <row r="431" spans="18:18" ht="15.75" customHeight="1">
      <c r="R431" s="30"/>
    </row>
    <row r="432" spans="18:18" ht="15.75" customHeight="1">
      <c r="R432" s="30"/>
    </row>
    <row r="433" spans="18:18" ht="15.75" customHeight="1">
      <c r="R433" s="30"/>
    </row>
    <row r="434" spans="18:18" ht="15.75" customHeight="1">
      <c r="R434" s="30"/>
    </row>
    <row r="435" spans="18:18" ht="15.75" customHeight="1">
      <c r="R435" s="30"/>
    </row>
    <row r="436" spans="18:18" ht="15.75" customHeight="1">
      <c r="R436" s="30"/>
    </row>
    <row r="437" spans="18:18" ht="15.75" customHeight="1">
      <c r="R437" s="30"/>
    </row>
    <row r="438" spans="18:18" ht="15.75" customHeight="1">
      <c r="R438" s="30"/>
    </row>
    <row r="439" spans="18:18" ht="15.75" customHeight="1">
      <c r="R439" s="30"/>
    </row>
    <row r="440" spans="18:18" ht="15.75" customHeight="1">
      <c r="R440" s="30"/>
    </row>
    <row r="441" spans="18:18" ht="15.75" customHeight="1">
      <c r="R441" s="30"/>
    </row>
    <row r="442" spans="18:18" ht="15.75" customHeight="1">
      <c r="R442" s="30"/>
    </row>
    <row r="443" spans="18:18" ht="15.75" customHeight="1">
      <c r="R443" s="30"/>
    </row>
    <row r="444" spans="18:18" ht="15.75" customHeight="1">
      <c r="R444" s="30"/>
    </row>
    <row r="445" spans="18:18" ht="15.75" customHeight="1">
      <c r="R445" s="30"/>
    </row>
    <row r="446" spans="18:18" ht="15.75" customHeight="1">
      <c r="R446" s="30"/>
    </row>
    <row r="447" spans="18:18" ht="15.75" customHeight="1">
      <c r="R447" s="30"/>
    </row>
    <row r="448" spans="18:18" ht="15.75" customHeight="1">
      <c r="R448" s="30"/>
    </row>
    <row r="449" spans="18:18" ht="15.75" customHeight="1">
      <c r="R449" s="30"/>
    </row>
    <row r="450" spans="18:18" ht="15.75" customHeight="1">
      <c r="R450" s="30"/>
    </row>
    <row r="451" spans="18:18" ht="15.75" customHeight="1">
      <c r="R451" s="30"/>
    </row>
    <row r="452" spans="18:18" ht="15.75" customHeight="1">
      <c r="R452" s="30"/>
    </row>
    <row r="453" spans="18:18" ht="15.75" customHeight="1">
      <c r="R453" s="30"/>
    </row>
    <row r="454" spans="18:18" ht="15.75" customHeight="1">
      <c r="R454" s="30"/>
    </row>
    <row r="455" spans="18:18" ht="15.75" customHeight="1">
      <c r="R455" s="30"/>
    </row>
    <row r="456" spans="18:18" ht="15.75" customHeight="1">
      <c r="R456" s="30"/>
    </row>
    <row r="457" spans="18:18" ht="15.75" customHeight="1">
      <c r="R457" s="30"/>
    </row>
    <row r="458" spans="18:18" ht="15.75" customHeight="1">
      <c r="R458" s="30"/>
    </row>
    <row r="459" spans="18:18" ht="15.75" customHeight="1">
      <c r="R459" s="30"/>
    </row>
    <row r="460" spans="18:18" ht="15.75" customHeight="1">
      <c r="R460" s="30"/>
    </row>
    <row r="461" spans="18:18" ht="15.75" customHeight="1">
      <c r="R461" s="30"/>
    </row>
    <row r="462" spans="18:18" ht="15.75" customHeight="1">
      <c r="R462" s="30"/>
    </row>
    <row r="463" spans="18:18" ht="15.75" customHeight="1">
      <c r="R463" s="30"/>
    </row>
    <row r="464" spans="18:18" ht="15.75" customHeight="1">
      <c r="R464" s="30"/>
    </row>
    <row r="465" spans="18:18" ht="15.75" customHeight="1">
      <c r="R465" s="30"/>
    </row>
    <row r="466" spans="18:18" ht="15.75" customHeight="1">
      <c r="R466" s="30"/>
    </row>
    <row r="467" spans="18:18" ht="15.75" customHeight="1">
      <c r="R467" s="30"/>
    </row>
    <row r="468" spans="18:18" ht="15.75" customHeight="1">
      <c r="R468" s="30"/>
    </row>
    <row r="469" spans="18:18" ht="15.75" customHeight="1">
      <c r="R469" s="30"/>
    </row>
    <row r="470" spans="18:18" ht="15.75" customHeight="1">
      <c r="R470" s="30"/>
    </row>
    <row r="471" spans="18:18" ht="15.75" customHeight="1">
      <c r="R471" s="30"/>
    </row>
    <row r="472" spans="18:18" ht="15.75" customHeight="1">
      <c r="R472" s="30"/>
    </row>
    <row r="473" spans="18:18" ht="15.75" customHeight="1">
      <c r="R473" s="30"/>
    </row>
    <row r="474" spans="18:18" ht="15.75" customHeight="1">
      <c r="R474" s="30"/>
    </row>
    <row r="475" spans="18:18" ht="15.75" customHeight="1">
      <c r="R475" s="30"/>
    </row>
    <row r="476" spans="18:18" ht="15.75" customHeight="1">
      <c r="R476" s="30"/>
    </row>
    <row r="477" spans="18:18" ht="15.75" customHeight="1">
      <c r="R477" s="30"/>
    </row>
    <row r="478" spans="18:18" ht="15.75" customHeight="1">
      <c r="R478" s="30"/>
    </row>
    <row r="479" spans="18:18" ht="15.75" customHeight="1">
      <c r="R479" s="30"/>
    </row>
    <row r="480" spans="18:18" ht="15.75" customHeight="1">
      <c r="R480" s="30"/>
    </row>
    <row r="481" spans="18:18" ht="15.75" customHeight="1">
      <c r="R481" s="30"/>
    </row>
    <row r="482" spans="18:18" ht="15.75" customHeight="1">
      <c r="R482" s="30"/>
    </row>
    <row r="483" spans="18:18" ht="15.75" customHeight="1">
      <c r="R483" s="30"/>
    </row>
    <row r="484" spans="18:18" ht="15.75" customHeight="1">
      <c r="R484" s="30"/>
    </row>
    <row r="485" spans="18:18" ht="15.75" customHeight="1">
      <c r="R485" s="30"/>
    </row>
    <row r="486" spans="18:18" ht="15.75" customHeight="1">
      <c r="R486" s="30"/>
    </row>
    <row r="487" spans="18:18" ht="15.75" customHeight="1">
      <c r="R487" s="30"/>
    </row>
    <row r="488" spans="18:18" ht="15.75" customHeight="1">
      <c r="R488" s="30"/>
    </row>
    <row r="489" spans="18:18" ht="15.75" customHeight="1">
      <c r="R489" s="30"/>
    </row>
    <row r="490" spans="18:18" ht="15.75" customHeight="1">
      <c r="R490" s="30"/>
    </row>
    <row r="491" spans="18:18" ht="15.75" customHeight="1">
      <c r="R491" s="30"/>
    </row>
    <row r="492" spans="18:18" ht="15.75" customHeight="1">
      <c r="R492" s="30"/>
    </row>
    <row r="493" spans="18:18" ht="15.75" customHeight="1">
      <c r="R493" s="30"/>
    </row>
    <row r="494" spans="18:18" ht="15.75" customHeight="1">
      <c r="R494" s="30"/>
    </row>
    <row r="495" spans="18:18" ht="15.75" customHeight="1">
      <c r="R495" s="30"/>
    </row>
    <row r="496" spans="18:18" ht="15.75" customHeight="1">
      <c r="R496" s="30"/>
    </row>
    <row r="497" spans="18:18" ht="15.75" customHeight="1">
      <c r="R497" s="30"/>
    </row>
    <row r="498" spans="18:18" ht="15.75" customHeight="1">
      <c r="R498" s="30"/>
    </row>
    <row r="499" spans="18:18" ht="15.75" customHeight="1">
      <c r="R499" s="30"/>
    </row>
    <row r="500" spans="18:18" ht="15.75" customHeight="1">
      <c r="R500" s="30"/>
    </row>
    <row r="501" spans="18:18" ht="15.75" customHeight="1">
      <c r="R501" s="30"/>
    </row>
    <row r="502" spans="18:18" ht="15.75" customHeight="1">
      <c r="R502" s="30"/>
    </row>
    <row r="503" spans="18:18" ht="15.75" customHeight="1">
      <c r="R503" s="30"/>
    </row>
    <row r="504" spans="18:18" ht="15.75" customHeight="1">
      <c r="R504" s="30"/>
    </row>
    <row r="505" spans="18:18" ht="15.75" customHeight="1">
      <c r="R505" s="30"/>
    </row>
    <row r="506" spans="18:18" ht="15.75" customHeight="1">
      <c r="R506" s="30"/>
    </row>
    <row r="507" spans="18:18" ht="15.75" customHeight="1">
      <c r="R507" s="30"/>
    </row>
    <row r="508" spans="18:18" ht="15.75" customHeight="1">
      <c r="R508" s="30"/>
    </row>
    <row r="509" spans="18:18" ht="15.75" customHeight="1">
      <c r="R509" s="30"/>
    </row>
    <row r="510" spans="18:18" ht="15.75" customHeight="1">
      <c r="R510" s="30"/>
    </row>
    <row r="511" spans="18:18" ht="15.75" customHeight="1">
      <c r="R511" s="30"/>
    </row>
    <row r="512" spans="18:18" ht="15.75" customHeight="1">
      <c r="R512" s="30"/>
    </row>
    <row r="513" spans="18:18" ht="15.75" customHeight="1">
      <c r="R513" s="30"/>
    </row>
    <row r="514" spans="18:18" ht="15.75" customHeight="1">
      <c r="R514" s="30"/>
    </row>
    <row r="515" spans="18:18" ht="15.75" customHeight="1">
      <c r="R515" s="30"/>
    </row>
    <row r="516" spans="18:18" ht="15.75" customHeight="1">
      <c r="R516" s="30"/>
    </row>
    <row r="517" spans="18:18" ht="15.75" customHeight="1">
      <c r="R517" s="30"/>
    </row>
    <row r="518" spans="18:18" ht="15.75" customHeight="1">
      <c r="R518" s="30"/>
    </row>
    <row r="519" spans="18:18" ht="15.75" customHeight="1">
      <c r="R519" s="30"/>
    </row>
    <row r="520" spans="18:18" ht="15.75" customHeight="1">
      <c r="R520" s="30"/>
    </row>
    <row r="521" spans="18:18" ht="15.75" customHeight="1">
      <c r="R521" s="30"/>
    </row>
    <row r="522" spans="18:18" ht="15.75" customHeight="1">
      <c r="R522" s="30"/>
    </row>
    <row r="523" spans="18:18" ht="15.75" customHeight="1">
      <c r="R523" s="30"/>
    </row>
    <row r="524" spans="18:18" ht="15.75" customHeight="1">
      <c r="R524" s="30"/>
    </row>
    <row r="525" spans="18:18" ht="15.75" customHeight="1">
      <c r="R525" s="30"/>
    </row>
    <row r="526" spans="18:18" ht="15.75" customHeight="1">
      <c r="R526" s="30"/>
    </row>
    <row r="527" spans="18:18" ht="15.75" customHeight="1">
      <c r="R527" s="30"/>
    </row>
    <row r="528" spans="18:18" ht="15.75" customHeight="1">
      <c r="R528" s="30"/>
    </row>
    <row r="529" spans="18:18" ht="15.75" customHeight="1">
      <c r="R529" s="30"/>
    </row>
    <row r="530" spans="18:18" ht="15.75" customHeight="1">
      <c r="R530" s="30"/>
    </row>
    <row r="531" spans="18:18" ht="15.75" customHeight="1">
      <c r="R531" s="30"/>
    </row>
    <row r="532" spans="18:18" ht="15.75" customHeight="1">
      <c r="R532" s="30"/>
    </row>
    <row r="533" spans="18:18" ht="15.75" customHeight="1">
      <c r="R533" s="30"/>
    </row>
    <row r="534" spans="18:18" ht="15.75" customHeight="1">
      <c r="R534" s="30"/>
    </row>
    <row r="535" spans="18:18" ht="15.75" customHeight="1">
      <c r="R535" s="30"/>
    </row>
    <row r="536" spans="18:18" ht="15.75" customHeight="1">
      <c r="R536" s="30"/>
    </row>
    <row r="537" spans="18:18" ht="15.75" customHeight="1">
      <c r="R537" s="30"/>
    </row>
    <row r="538" spans="18:18" ht="15.75" customHeight="1">
      <c r="R538" s="30"/>
    </row>
    <row r="539" spans="18:18" ht="15.75" customHeight="1">
      <c r="R539" s="30"/>
    </row>
    <row r="540" spans="18:18" ht="15.75" customHeight="1">
      <c r="R540" s="30"/>
    </row>
    <row r="541" spans="18:18" ht="15.75" customHeight="1">
      <c r="R541" s="30"/>
    </row>
    <row r="542" spans="18:18" ht="15.75" customHeight="1">
      <c r="R542" s="30"/>
    </row>
    <row r="543" spans="18:18" ht="15.75" customHeight="1">
      <c r="R543" s="30"/>
    </row>
    <row r="544" spans="18:18" ht="15.75" customHeight="1">
      <c r="R544" s="30"/>
    </row>
    <row r="545" spans="18:18" ht="15.75" customHeight="1">
      <c r="R545" s="30"/>
    </row>
    <row r="546" spans="18:18" ht="15.75" customHeight="1">
      <c r="R546" s="30"/>
    </row>
    <row r="547" spans="18:18" ht="15.75" customHeight="1">
      <c r="R547" s="30"/>
    </row>
    <row r="548" spans="18:18" ht="15.75" customHeight="1">
      <c r="R548" s="30"/>
    </row>
    <row r="549" spans="18:18" ht="15.75" customHeight="1">
      <c r="R549" s="30"/>
    </row>
    <row r="550" spans="18:18" ht="15.75" customHeight="1">
      <c r="R550" s="30"/>
    </row>
    <row r="551" spans="18:18" ht="15.75" customHeight="1">
      <c r="R551" s="30"/>
    </row>
    <row r="552" spans="18:18" ht="15.75" customHeight="1">
      <c r="R552" s="30"/>
    </row>
    <row r="553" spans="18:18" ht="15.75" customHeight="1">
      <c r="R553" s="30"/>
    </row>
    <row r="554" spans="18:18" ht="15.75" customHeight="1">
      <c r="R554" s="30"/>
    </row>
    <row r="555" spans="18:18" ht="15.75" customHeight="1">
      <c r="R555" s="30"/>
    </row>
    <row r="556" spans="18:18" ht="15.75" customHeight="1">
      <c r="R556" s="30"/>
    </row>
    <row r="557" spans="18:18" ht="15.75" customHeight="1">
      <c r="R557" s="30"/>
    </row>
    <row r="558" spans="18:18" ht="15.75" customHeight="1">
      <c r="R558" s="30"/>
    </row>
    <row r="559" spans="18:18" ht="15.75" customHeight="1">
      <c r="R559" s="30"/>
    </row>
    <row r="560" spans="18:18" ht="15.75" customHeight="1">
      <c r="R560" s="30"/>
    </row>
    <row r="561" spans="18:18" ht="15.75" customHeight="1">
      <c r="R561" s="30"/>
    </row>
    <row r="562" spans="18:18" ht="15.75" customHeight="1">
      <c r="R562" s="30"/>
    </row>
    <row r="563" spans="18:18" ht="15.75" customHeight="1">
      <c r="R563" s="30"/>
    </row>
    <row r="564" spans="18:18" ht="15.75" customHeight="1">
      <c r="R564" s="30"/>
    </row>
    <row r="565" spans="18:18" ht="15.75" customHeight="1">
      <c r="R565" s="30"/>
    </row>
    <row r="566" spans="18:18" ht="15.75" customHeight="1">
      <c r="R566" s="30"/>
    </row>
    <row r="567" spans="18:18" ht="15.75" customHeight="1">
      <c r="R567" s="30"/>
    </row>
    <row r="568" spans="18:18" ht="15.75" customHeight="1">
      <c r="R568" s="30"/>
    </row>
    <row r="569" spans="18:18" ht="15.75" customHeight="1">
      <c r="R569" s="30"/>
    </row>
    <row r="570" spans="18:18" ht="15.75" customHeight="1">
      <c r="R570" s="30"/>
    </row>
    <row r="571" spans="18:18" ht="15.75" customHeight="1">
      <c r="R571" s="30"/>
    </row>
    <row r="572" spans="18:18" ht="15.75" customHeight="1">
      <c r="R572" s="30"/>
    </row>
    <row r="573" spans="18:18" ht="15.75" customHeight="1">
      <c r="R573" s="30"/>
    </row>
    <row r="574" spans="18:18" ht="15.75" customHeight="1">
      <c r="R574" s="30"/>
    </row>
    <row r="575" spans="18:18" ht="15.75" customHeight="1">
      <c r="R575" s="30"/>
    </row>
    <row r="576" spans="18:18" ht="15.75" customHeight="1">
      <c r="R576" s="30"/>
    </row>
    <row r="577" spans="18:18" ht="15.75" customHeight="1">
      <c r="R577" s="30"/>
    </row>
    <row r="578" spans="18:18" ht="15.75" customHeight="1">
      <c r="R578" s="30"/>
    </row>
    <row r="579" spans="18:18" ht="15.75" customHeight="1">
      <c r="R579" s="30"/>
    </row>
    <row r="580" spans="18:18" ht="15.75" customHeight="1">
      <c r="R580" s="30"/>
    </row>
    <row r="581" spans="18:18" ht="15.75" customHeight="1">
      <c r="R581" s="30"/>
    </row>
    <row r="582" spans="18:18" ht="15.75" customHeight="1">
      <c r="R582" s="30"/>
    </row>
    <row r="583" spans="18:18" ht="15.75" customHeight="1">
      <c r="R583" s="30"/>
    </row>
    <row r="584" spans="18:18" ht="15.75" customHeight="1">
      <c r="R584" s="30"/>
    </row>
    <row r="585" spans="18:18" ht="15.75" customHeight="1">
      <c r="R585" s="30"/>
    </row>
    <row r="586" spans="18:18" ht="15.75" customHeight="1">
      <c r="R586" s="30"/>
    </row>
    <row r="587" spans="18:18" ht="15.75" customHeight="1">
      <c r="R587" s="30"/>
    </row>
    <row r="588" spans="18:18" ht="15.75" customHeight="1">
      <c r="R588" s="30"/>
    </row>
    <row r="589" spans="18:18" ht="15.75" customHeight="1">
      <c r="R589" s="30"/>
    </row>
    <row r="590" spans="18:18" ht="15.75" customHeight="1">
      <c r="R590" s="30"/>
    </row>
    <row r="591" spans="18:18" ht="15.75" customHeight="1">
      <c r="R591" s="30"/>
    </row>
    <row r="592" spans="18:18" ht="15.75" customHeight="1">
      <c r="R592" s="30"/>
    </row>
    <row r="593" spans="18:18" ht="15.75" customHeight="1">
      <c r="R593" s="30"/>
    </row>
    <row r="594" spans="18:18" ht="15.75" customHeight="1">
      <c r="R594" s="30"/>
    </row>
    <row r="595" spans="18:18" ht="15.75" customHeight="1">
      <c r="R595" s="30"/>
    </row>
    <row r="596" spans="18:18" ht="15.75" customHeight="1">
      <c r="R596" s="30"/>
    </row>
    <row r="597" spans="18:18" ht="15.75" customHeight="1">
      <c r="R597" s="30"/>
    </row>
    <row r="598" spans="18:18" ht="15.75" customHeight="1">
      <c r="R598" s="30"/>
    </row>
    <row r="599" spans="18:18" ht="15.75" customHeight="1">
      <c r="R599" s="30"/>
    </row>
    <row r="600" spans="18:18" ht="15.75" customHeight="1">
      <c r="R600" s="30"/>
    </row>
    <row r="601" spans="18:18" ht="15.75" customHeight="1">
      <c r="R601" s="30"/>
    </row>
    <row r="602" spans="18:18" ht="15.75" customHeight="1">
      <c r="R602" s="30"/>
    </row>
    <row r="603" spans="18:18" ht="15.75" customHeight="1">
      <c r="R603" s="30"/>
    </row>
    <row r="604" spans="18:18" ht="15.75" customHeight="1">
      <c r="R604" s="30"/>
    </row>
    <row r="605" spans="18:18" ht="15.75" customHeight="1">
      <c r="R605" s="30"/>
    </row>
    <row r="606" spans="18:18" ht="15.75" customHeight="1">
      <c r="R606" s="30"/>
    </row>
    <row r="607" spans="18:18" ht="15.75" customHeight="1">
      <c r="R607" s="30"/>
    </row>
    <row r="608" spans="18:18" ht="15.75" customHeight="1">
      <c r="R608" s="30"/>
    </row>
    <row r="609" spans="18:18" ht="15.75" customHeight="1">
      <c r="R609" s="30"/>
    </row>
    <row r="610" spans="18:18" ht="15.75" customHeight="1">
      <c r="R610" s="30"/>
    </row>
    <row r="611" spans="18:18" ht="15.75" customHeight="1">
      <c r="R611" s="30"/>
    </row>
    <row r="612" spans="18:18" ht="15.75" customHeight="1">
      <c r="R612" s="30"/>
    </row>
    <row r="613" spans="18:18" ht="15.75" customHeight="1">
      <c r="R613" s="30"/>
    </row>
    <row r="614" spans="18:18" ht="15.75" customHeight="1">
      <c r="R614" s="30"/>
    </row>
    <row r="615" spans="18:18" ht="15.75" customHeight="1">
      <c r="R615" s="30"/>
    </row>
    <row r="616" spans="18:18" ht="15.75" customHeight="1">
      <c r="R616" s="30"/>
    </row>
    <row r="617" spans="18:18" ht="15.75" customHeight="1">
      <c r="R617" s="30"/>
    </row>
    <row r="618" spans="18:18" ht="15.75" customHeight="1">
      <c r="R618" s="30"/>
    </row>
    <row r="619" spans="18:18" ht="15.75" customHeight="1">
      <c r="R619" s="30"/>
    </row>
    <row r="620" spans="18:18" ht="15.75" customHeight="1">
      <c r="R620" s="30"/>
    </row>
    <row r="621" spans="18:18" ht="15.75" customHeight="1">
      <c r="R621" s="30"/>
    </row>
    <row r="622" spans="18:18" ht="15.75" customHeight="1">
      <c r="R622" s="30"/>
    </row>
    <row r="623" spans="18:18" ht="15.75" customHeight="1">
      <c r="R623" s="30"/>
    </row>
    <row r="624" spans="18:18" ht="15.75" customHeight="1">
      <c r="R624" s="30"/>
    </row>
    <row r="625" spans="18:18" ht="15.75" customHeight="1">
      <c r="R625" s="30"/>
    </row>
    <row r="626" spans="18:18" ht="15.75" customHeight="1">
      <c r="R626" s="30"/>
    </row>
    <row r="627" spans="18:18" ht="15.75" customHeight="1">
      <c r="R627" s="30"/>
    </row>
    <row r="628" spans="18:18" ht="15.75" customHeight="1">
      <c r="R628" s="30"/>
    </row>
    <row r="629" spans="18:18" ht="15.75" customHeight="1">
      <c r="R629" s="30"/>
    </row>
    <row r="630" spans="18:18" ht="15.75" customHeight="1">
      <c r="R630" s="30"/>
    </row>
    <row r="631" spans="18:18" ht="15.75" customHeight="1">
      <c r="R631" s="30"/>
    </row>
    <row r="632" spans="18:18" ht="15.75" customHeight="1">
      <c r="R632" s="30"/>
    </row>
    <row r="633" spans="18:18" ht="15.75" customHeight="1">
      <c r="R633" s="30"/>
    </row>
    <row r="634" spans="18:18" ht="15.75" customHeight="1">
      <c r="R634" s="30"/>
    </row>
    <row r="635" spans="18:18" ht="15.75" customHeight="1">
      <c r="R635" s="30"/>
    </row>
    <row r="636" spans="18:18" ht="15.75" customHeight="1">
      <c r="R636" s="30"/>
    </row>
    <row r="637" spans="18:18" ht="15.75" customHeight="1">
      <c r="R637" s="30"/>
    </row>
    <row r="638" spans="18:18" ht="15.75" customHeight="1">
      <c r="R638" s="30"/>
    </row>
    <row r="639" spans="18:18" ht="15.75" customHeight="1">
      <c r="R639" s="30"/>
    </row>
    <row r="640" spans="18:18" ht="15.75" customHeight="1">
      <c r="R640" s="30"/>
    </row>
    <row r="641" spans="18:18" ht="15.75" customHeight="1">
      <c r="R641" s="30"/>
    </row>
    <row r="642" spans="18:18" ht="15.75" customHeight="1">
      <c r="R642" s="30"/>
    </row>
    <row r="643" spans="18:18" ht="15.75" customHeight="1">
      <c r="R643" s="30"/>
    </row>
    <row r="644" spans="18:18" ht="15.75" customHeight="1">
      <c r="R644" s="30"/>
    </row>
    <row r="645" spans="18:18" ht="15.75" customHeight="1">
      <c r="R645" s="30"/>
    </row>
    <row r="646" spans="18:18" ht="15.75" customHeight="1">
      <c r="R646" s="30"/>
    </row>
    <row r="647" spans="18:18" ht="15.75" customHeight="1">
      <c r="R647" s="30"/>
    </row>
    <row r="648" spans="18:18" ht="15.75" customHeight="1">
      <c r="R648" s="30"/>
    </row>
    <row r="649" spans="18:18" ht="15.75" customHeight="1">
      <c r="R649" s="30"/>
    </row>
    <row r="650" spans="18:18" ht="15.75" customHeight="1">
      <c r="R650" s="30"/>
    </row>
    <row r="651" spans="18:18" ht="15.75" customHeight="1">
      <c r="R651" s="30"/>
    </row>
    <row r="652" spans="18:18" ht="15.75" customHeight="1">
      <c r="R652" s="30"/>
    </row>
    <row r="653" spans="18:18" ht="15.75" customHeight="1">
      <c r="R653" s="30"/>
    </row>
    <row r="654" spans="18:18" ht="15.75" customHeight="1">
      <c r="R654" s="30"/>
    </row>
    <row r="655" spans="18:18" ht="15.75" customHeight="1">
      <c r="R655" s="30"/>
    </row>
    <row r="656" spans="18:18" ht="15.75" customHeight="1">
      <c r="R656" s="30"/>
    </row>
    <row r="657" spans="18:18" ht="15.75" customHeight="1">
      <c r="R657" s="30"/>
    </row>
    <row r="658" spans="18:18" ht="15.75" customHeight="1">
      <c r="R658" s="30"/>
    </row>
    <row r="659" spans="18:18" ht="15.75" customHeight="1">
      <c r="R659" s="30"/>
    </row>
    <row r="660" spans="18:18" ht="15.75" customHeight="1">
      <c r="R660" s="30"/>
    </row>
    <row r="661" spans="18:18" ht="15.75" customHeight="1">
      <c r="R661" s="30"/>
    </row>
    <row r="662" spans="18:18" ht="15.75" customHeight="1">
      <c r="R662" s="30"/>
    </row>
    <row r="663" spans="18:18" ht="15.75" customHeight="1">
      <c r="R663" s="30"/>
    </row>
    <row r="664" spans="18:18" ht="15.75" customHeight="1">
      <c r="R664" s="30"/>
    </row>
    <row r="665" spans="18:18" ht="15.75" customHeight="1">
      <c r="R665" s="30"/>
    </row>
    <row r="666" spans="18:18" ht="15.75" customHeight="1">
      <c r="R666" s="30"/>
    </row>
    <row r="667" spans="18:18" ht="15.75" customHeight="1">
      <c r="R667" s="30"/>
    </row>
    <row r="668" spans="18:18" ht="15.75" customHeight="1">
      <c r="R668" s="30"/>
    </row>
    <row r="669" spans="18:18" ht="15.75" customHeight="1">
      <c r="R669" s="30"/>
    </row>
    <row r="670" spans="18:18" ht="15.75" customHeight="1">
      <c r="R670" s="30"/>
    </row>
    <row r="671" spans="18:18" ht="15.75" customHeight="1">
      <c r="R671" s="30"/>
    </row>
    <row r="672" spans="18:18" ht="15.75" customHeight="1">
      <c r="R672" s="30"/>
    </row>
    <row r="673" spans="18:18" ht="15.75" customHeight="1">
      <c r="R673" s="30"/>
    </row>
    <row r="674" spans="18:18" ht="15.75" customHeight="1">
      <c r="R674" s="30"/>
    </row>
    <row r="675" spans="18:18" ht="15.75" customHeight="1">
      <c r="R675" s="30"/>
    </row>
    <row r="676" spans="18:18" ht="15.75" customHeight="1">
      <c r="R676" s="30"/>
    </row>
    <row r="677" spans="18:18" ht="15.75" customHeight="1">
      <c r="R677" s="30"/>
    </row>
    <row r="678" spans="18:18" ht="15.75" customHeight="1">
      <c r="R678" s="30"/>
    </row>
    <row r="679" spans="18:18" ht="15.75" customHeight="1">
      <c r="R679" s="30"/>
    </row>
    <row r="680" spans="18:18" ht="15.75" customHeight="1">
      <c r="R680" s="30"/>
    </row>
    <row r="681" spans="18:18" ht="15.75" customHeight="1">
      <c r="R681" s="30"/>
    </row>
    <row r="682" spans="18:18" ht="15.75" customHeight="1">
      <c r="R682" s="30"/>
    </row>
    <row r="683" spans="18:18" ht="15.75" customHeight="1">
      <c r="R683" s="30"/>
    </row>
    <row r="684" spans="18:18" ht="15.75" customHeight="1">
      <c r="R684" s="30"/>
    </row>
    <row r="685" spans="18:18" ht="15.75" customHeight="1">
      <c r="R685" s="30"/>
    </row>
    <row r="686" spans="18:18" ht="15.75" customHeight="1">
      <c r="R686" s="30"/>
    </row>
    <row r="687" spans="18:18" ht="15.75" customHeight="1">
      <c r="R687" s="30"/>
    </row>
    <row r="688" spans="18:18" ht="15.75" customHeight="1">
      <c r="R688" s="30"/>
    </row>
    <row r="689" spans="18:18" ht="15.75" customHeight="1">
      <c r="R689" s="30"/>
    </row>
    <row r="690" spans="18:18" ht="15.75" customHeight="1">
      <c r="R690" s="30"/>
    </row>
    <row r="691" spans="18:18" ht="15.75" customHeight="1">
      <c r="R691" s="30"/>
    </row>
    <row r="692" spans="18:18" ht="15.75" customHeight="1">
      <c r="R692" s="30"/>
    </row>
    <row r="693" spans="18:18" ht="15.75" customHeight="1">
      <c r="R693" s="30"/>
    </row>
    <row r="694" spans="18:18" ht="15.75" customHeight="1">
      <c r="R694" s="30"/>
    </row>
    <row r="695" spans="18:18" ht="15.75" customHeight="1">
      <c r="R695" s="30"/>
    </row>
    <row r="696" spans="18:18" ht="15.75" customHeight="1">
      <c r="R696" s="30"/>
    </row>
    <row r="697" spans="18:18" ht="15.75" customHeight="1">
      <c r="R697" s="30"/>
    </row>
    <row r="698" spans="18:18" ht="15.75" customHeight="1">
      <c r="R698" s="30"/>
    </row>
    <row r="699" spans="18:18" ht="15.75" customHeight="1">
      <c r="R699" s="30"/>
    </row>
    <row r="700" spans="18:18" ht="15.75" customHeight="1">
      <c r="R700" s="30"/>
    </row>
    <row r="701" spans="18:18" ht="15.75" customHeight="1">
      <c r="R701" s="30"/>
    </row>
    <row r="702" spans="18:18" ht="15.75" customHeight="1">
      <c r="R702" s="30"/>
    </row>
    <row r="703" spans="18:18" ht="15.75" customHeight="1">
      <c r="R703" s="30"/>
    </row>
    <row r="704" spans="18:18" ht="15.75" customHeight="1">
      <c r="R704" s="30"/>
    </row>
    <row r="705" spans="18:18" ht="15.75" customHeight="1">
      <c r="R705" s="30"/>
    </row>
    <row r="706" spans="18:18" ht="15.75" customHeight="1">
      <c r="R706" s="30"/>
    </row>
    <row r="707" spans="18:18" ht="15.75" customHeight="1">
      <c r="R707" s="30"/>
    </row>
    <row r="708" spans="18:18" ht="15.75" customHeight="1">
      <c r="R708" s="30"/>
    </row>
    <row r="709" spans="18:18" ht="15.75" customHeight="1">
      <c r="R709" s="30"/>
    </row>
    <row r="710" spans="18:18" ht="15.75" customHeight="1">
      <c r="R710" s="30"/>
    </row>
    <row r="711" spans="18:18" ht="15.75" customHeight="1">
      <c r="R711" s="30"/>
    </row>
    <row r="712" spans="18:18" ht="15.75" customHeight="1">
      <c r="R712" s="30"/>
    </row>
    <row r="713" spans="18:18" ht="15.75" customHeight="1">
      <c r="R713" s="30"/>
    </row>
    <row r="714" spans="18:18" ht="15.75" customHeight="1">
      <c r="R714" s="30"/>
    </row>
    <row r="715" spans="18:18" ht="15.75" customHeight="1">
      <c r="R715" s="30"/>
    </row>
    <row r="716" spans="18:18" ht="15.75" customHeight="1">
      <c r="R716" s="30"/>
    </row>
    <row r="717" spans="18:18" ht="15.75" customHeight="1">
      <c r="R717" s="30"/>
    </row>
    <row r="718" spans="18:18" ht="15.75" customHeight="1">
      <c r="R718" s="30"/>
    </row>
    <row r="719" spans="18:18" ht="15.75" customHeight="1">
      <c r="R719" s="30"/>
    </row>
    <row r="720" spans="18:18" ht="15.75" customHeight="1">
      <c r="R720" s="30"/>
    </row>
    <row r="721" spans="18:18" ht="15.75" customHeight="1">
      <c r="R721" s="30"/>
    </row>
    <row r="722" spans="18:18" ht="15.75" customHeight="1">
      <c r="R722" s="30"/>
    </row>
    <row r="723" spans="18:18" ht="15.75" customHeight="1">
      <c r="R723" s="30"/>
    </row>
    <row r="724" spans="18:18" ht="15.75" customHeight="1">
      <c r="R724" s="30"/>
    </row>
    <row r="725" spans="18:18" ht="15.75" customHeight="1">
      <c r="R725" s="30"/>
    </row>
    <row r="726" spans="18:18" ht="15.75" customHeight="1">
      <c r="R726" s="30"/>
    </row>
    <row r="727" spans="18:18" ht="15.75" customHeight="1">
      <c r="R727" s="30"/>
    </row>
    <row r="728" spans="18:18" ht="15.75" customHeight="1">
      <c r="R728" s="30"/>
    </row>
    <row r="729" spans="18:18" ht="15.75" customHeight="1">
      <c r="R729" s="30"/>
    </row>
    <row r="730" spans="18:18" ht="15.75" customHeight="1">
      <c r="R730" s="30"/>
    </row>
    <row r="731" spans="18:18" ht="15.75" customHeight="1">
      <c r="R731" s="30"/>
    </row>
    <row r="732" spans="18:18" ht="15.75" customHeight="1">
      <c r="R732" s="30"/>
    </row>
    <row r="733" spans="18:18" ht="15.75" customHeight="1">
      <c r="R733" s="30"/>
    </row>
    <row r="734" spans="18:18" ht="15.75" customHeight="1">
      <c r="R734" s="30"/>
    </row>
    <row r="735" spans="18:18" ht="15.75" customHeight="1">
      <c r="R735" s="30"/>
    </row>
    <row r="736" spans="18:18" ht="15.75" customHeight="1">
      <c r="R736" s="30"/>
    </row>
    <row r="737" spans="18:18" ht="15.75" customHeight="1">
      <c r="R737" s="30"/>
    </row>
    <row r="738" spans="18:18" ht="15.75" customHeight="1">
      <c r="R738" s="30"/>
    </row>
    <row r="739" spans="18:18" ht="15.75" customHeight="1">
      <c r="R739" s="30"/>
    </row>
    <row r="740" spans="18:18" ht="15.75" customHeight="1">
      <c r="R740" s="30"/>
    </row>
    <row r="741" spans="18:18" ht="15.75" customHeight="1">
      <c r="R741" s="30"/>
    </row>
    <row r="742" spans="18:18" ht="15.75" customHeight="1">
      <c r="R742" s="30"/>
    </row>
    <row r="743" spans="18:18" ht="15.75" customHeight="1">
      <c r="R743" s="30"/>
    </row>
    <row r="744" spans="18:18" ht="15.75" customHeight="1">
      <c r="R744" s="30"/>
    </row>
    <row r="745" spans="18:18" ht="15.75" customHeight="1">
      <c r="R745" s="30"/>
    </row>
    <row r="746" spans="18:18" ht="15.75" customHeight="1">
      <c r="R746" s="30"/>
    </row>
    <row r="747" spans="18:18" ht="15.75" customHeight="1">
      <c r="R747" s="30"/>
    </row>
    <row r="748" spans="18:18" ht="15.75" customHeight="1">
      <c r="R748" s="30"/>
    </row>
    <row r="749" spans="18:18" ht="15.75" customHeight="1">
      <c r="R749" s="30"/>
    </row>
    <row r="750" spans="18:18" ht="15.75" customHeight="1">
      <c r="R750" s="30"/>
    </row>
    <row r="751" spans="18:18" ht="15.75" customHeight="1">
      <c r="R751" s="30"/>
    </row>
    <row r="752" spans="18:18" ht="15.75" customHeight="1">
      <c r="R752" s="30"/>
    </row>
    <row r="753" spans="18:18" ht="15.75" customHeight="1">
      <c r="R753" s="30"/>
    </row>
    <row r="754" spans="18:18" ht="15.75" customHeight="1">
      <c r="R754" s="30"/>
    </row>
    <row r="755" spans="18:18" ht="15.75" customHeight="1">
      <c r="R755" s="30"/>
    </row>
    <row r="756" spans="18:18" ht="15.75" customHeight="1">
      <c r="R756" s="30"/>
    </row>
    <row r="757" spans="18:18" ht="15.75" customHeight="1">
      <c r="R757" s="30"/>
    </row>
    <row r="758" spans="18:18" ht="15.75" customHeight="1">
      <c r="R758" s="30"/>
    </row>
    <row r="759" spans="18:18" ht="15.75" customHeight="1">
      <c r="R759" s="30"/>
    </row>
    <row r="760" spans="18:18" ht="15.75" customHeight="1">
      <c r="R760" s="30"/>
    </row>
    <row r="761" spans="18:18" ht="15.75" customHeight="1">
      <c r="R761" s="30"/>
    </row>
    <row r="762" spans="18:18" ht="15.75" customHeight="1">
      <c r="R762" s="30"/>
    </row>
    <row r="763" spans="18:18" ht="15.75" customHeight="1">
      <c r="R763" s="30"/>
    </row>
    <row r="764" spans="18:18" ht="15.75" customHeight="1">
      <c r="R764" s="30"/>
    </row>
    <row r="765" spans="18:18" ht="15.75" customHeight="1">
      <c r="R765" s="30"/>
    </row>
    <row r="766" spans="18:18" ht="15.75" customHeight="1">
      <c r="R766" s="30"/>
    </row>
    <row r="767" spans="18:18" ht="15.75" customHeight="1">
      <c r="R767" s="30"/>
    </row>
    <row r="768" spans="18:18" ht="15.75" customHeight="1">
      <c r="R768" s="30"/>
    </row>
    <row r="769" spans="18:18" ht="15.75" customHeight="1">
      <c r="R769" s="30"/>
    </row>
    <row r="770" spans="18:18" ht="15.75" customHeight="1">
      <c r="R770" s="30"/>
    </row>
    <row r="771" spans="18:18" ht="15.75" customHeight="1">
      <c r="R771" s="30"/>
    </row>
    <row r="772" spans="18:18" ht="15.75" customHeight="1">
      <c r="R772" s="30"/>
    </row>
    <row r="773" spans="18:18" ht="15.75" customHeight="1">
      <c r="R773" s="30"/>
    </row>
    <row r="774" spans="18:18" ht="15.75" customHeight="1">
      <c r="R774" s="30"/>
    </row>
    <row r="775" spans="18:18" ht="15.75" customHeight="1">
      <c r="R775" s="30"/>
    </row>
    <row r="776" spans="18:18" ht="15.75" customHeight="1">
      <c r="R776" s="30"/>
    </row>
    <row r="777" spans="18:18" ht="15.75" customHeight="1">
      <c r="R777" s="30"/>
    </row>
    <row r="778" spans="18:18" ht="15.75" customHeight="1">
      <c r="R778" s="30"/>
    </row>
    <row r="779" spans="18:18" ht="15.75" customHeight="1">
      <c r="R779" s="30"/>
    </row>
    <row r="780" spans="18:18" ht="15.75" customHeight="1">
      <c r="R780" s="30"/>
    </row>
    <row r="781" spans="18:18" ht="15.75" customHeight="1">
      <c r="R781" s="30"/>
    </row>
    <row r="782" spans="18:18" ht="15.75" customHeight="1">
      <c r="R782" s="30"/>
    </row>
    <row r="783" spans="18:18" ht="15.75" customHeight="1">
      <c r="R783" s="30"/>
    </row>
    <row r="784" spans="18:18" ht="15.75" customHeight="1">
      <c r="R784" s="30"/>
    </row>
    <row r="785" spans="18:18" ht="15.75" customHeight="1">
      <c r="R785" s="30"/>
    </row>
    <row r="786" spans="18:18" ht="15.75" customHeight="1">
      <c r="R786" s="30"/>
    </row>
    <row r="787" spans="18:18" ht="15.75" customHeight="1">
      <c r="R787" s="30"/>
    </row>
    <row r="788" spans="18:18" ht="15.75" customHeight="1">
      <c r="R788" s="30"/>
    </row>
    <row r="789" spans="18:18" ht="15.75" customHeight="1">
      <c r="R789" s="30"/>
    </row>
    <row r="790" spans="18:18" ht="15.75" customHeight="1">
      <c r="R790" s="30"/>
    </row>
    <row r="791" spans="18:18" ht="15.75" customHeight="1">
      <c r="R791" s="30"/>
    </row>
    <row r="792" spans="18:18" ht="15.75" customHeight="1">
      <c r="R792" s="30"/>
    </row>
    <row r="793" spans="18:18" ht="15.75" customHeight="1">
      <c r="R793" s="30"/>
    </row>
    <row r="794" spans="18:18" ht="15.75" customHeight="1">
      <c r="R794" s="30"/>
    </row>
    <row r="795" spans="18:18" ht="15.75" customHeight="1">
      <c r="R795" s="30"/>
    </row>
    <row r="796" spans="18:18" ht="15.75" customHeight="1">
      <c r="R796" s="30"/>
    </row>
    <row r="797" spans="18:18" ht="15.75" customHeight="1">
      <c r="R797" s="30"/>
    </row>
    <row r="798" spans="18:18" ht="15.75" customHeight="1">
      <c r="R798" s="30"/>
    </row>
    <row r="799" spans="18:18" ht="15.75" customHeight="1">
      <c r="R799" s="30"/>
    </row>
    <row r="800" spans="18:18" ht="15.75" customHeight="1">
      <c r="R800" s="30"/>
    </row>
    <row r="801" spans="18:18" ht="15.75" customHeight="1">
      <c r="R801" s="30"/>
    </row>
    <row r="802" spans="18:18" ht="15.75" customHeight="1">
      <c r="R802" s="30"/>
    </row>
    <row r="803" spans="18:18" ht="15.75" customHeight="1">
      <c r="R803" s="30"/>
    </row>
    <row r="804" spans="18:18" ht="15.75" customHeight="1">
      <c r="R804" s="30"/>
    </row>
    <row r="805" spans="18:18" ht="15.75" customHeight="1">
      <c r="R805" s="30"/>
    </row>
    <row r="806" spans="18:18" ht="15.75" customHeight="1">
      <c r="R806" s="30"/>
    </row>
    <row r="807" spans="18:18" ht="15.75" customHeight="1">
      <c r="R807" s="30"/>
    </row>
    <row r="808" spans="18:18" ht="15.75" customHeight="1">
      <c r="R808" s="30"/>
    </row>
    <row r="809" spans="18:18" ht="15.75" customHeight="1">
      <c r="R809" s="30"/>
    </row>
    <row r="810" spans="18:18" ht="15.75" customHeight="1">
      <c r="R810" s="30"/>
    </row>
    <row r="811" spans="18:18" ht="15.75" customHeight="1">
      <c r="R811" s="30"/>
    </row>
    <row r="812" spans="18:18" ht="15.75" customHeight="1">
      <c r="R812" s="30"/>
    </row>
    <row r="813" spans="18:18" ht="15.75" customHeight="1">
      <c r="R813" s="30"/>
    </row>
    <row r="814" spans="18:18" ht="15.75" customHeight="1">
      <c r="R814" s="30"/>
    </row>
    <row r="815" spans="18:18" ht="15.75" customHeight="1">
      <c r="R815" s="30"/>
    </row>
    <row r="816" spans="18:18" ht="15.75" customHeight="1">
      <c r="R816" s="30"/>
    </row>
    <row r="817" spans="18:18" ht="15.75" customHeight="1">
      <c r="R817" s="30"/>
    </row>
    <row r="818" spans="18:18" ht="15.75" customHeight="1">
      <c r="R818" s="30"/>
    </row>
    <row r="819" spans="18:18" ht="15.75" customHeight="1">
      <c r="R819" s="30"/>
    </row>
    <row r="820" spans="18:18" ht="15.75" customHeight="1">
      <c r="R820" s="30"/>
    </row>
    <row r="821" spans="18:18" ht="15.75" customHeight="1">
      <c r="R821" s="30"/>
    </row>
    <row r="822" spans="18:18" ht="15.75" customHeight="1">
      <c r="R822" s="30"/>
    </row>
    <row r="823" spans="18:18" ht="15.75" customHeight="1">
      <c r="R823" s="30"/>
    </row>
    <row r="824" spans="18:18" ht="15.75" customHeight="1">
      <c r="R824" s="30"/>
    </row>
    <row r="825" spans="18:18" ht="15.75" customHeight="1">
      <c r="R825" s="30"/>
    </row>
    <row r="826" spans="18:18" ht="15.75" customHeight="1">
      <c r="R826" s="30"/>
    </row>
    <row r="827" spans="18:18" ht="15.75" customHeight="1">
      <c r="R827" s="30"/>
    </row>
    <row r="828" spans="18:18" ht="15.75" customHeight="1">
      <c r="R828" s="30"/>
    </row>
    <row r="829" spans="18:18" ht="15.75" customHeight="1">
      <c r="R829" s="30"/>
    </row>
    <row r="830" spans="18:18" ht="15.75" customHeight="1">
      <c r="R830" s="30"/>
    </row>
    <row r="831" spans="18:18" ht="15.75" customHeight="1">
      <c r="R831" s="30"/>
    </row>
    <row r="832" spans="18:18" ht="15.75" customHeight="1">
      <c r="R832" s="30"/>
    </row>
    <row r="833" spans="18:18" ht="15.75" customHeight="1">
      <c r="R833" s="30"/>
    </row>
    <row r="834" spans="18:18" ht="15.75" customHeight="1">
      <c r="R834" s="30"/>
    </row>
    <row r="835" spans="18:18" ht="15.75" customHeight="1">
      <c r="R835" s="30"/>
    </row>
    <row r="836" spans="18:18" ht="15.75" customHeight="1">
      <c r="R836" s="30"/>
    </row>
    <row r="837" spans="18:18" ht="15.75" customHeight="1">
      <c r="R837" s="30"/>
    </row>
    <row r="838" spans="18:18" ht="15.75" customHeight="1">
      <c r="R838" s="30"/>
    </row>
    <row r="839" spans="18:18" ht="15.75" customHeight="1">
      <c r="R839" s="30"/>
    </row>
    <row r="840" spans="18:18" ht="15.75" customHeight="1">
      <c r="R840" s="30"/>
    </row>
    <row r="841" spans="18:18" ht="15.75" customHeight="1">
      <c r="R841" s="30"/>
    </row>
    <row r="842" spans="18:18" ht="15.75" customHeight="1">
      <c r="R842" s="30"/>
    </row>
    <row r="843" spans="18:18" ht="15.75" customHeight="1">
      <c r="R843" s="30"/>
    </row>
    <row r="844" spans="18:18" ht="15.75" customHeight="1">
      <c r="R844" s="30"/>
    </row>
    <row r="845" spans="18:18" ht="15.75" customHeight="1">
      <c r="R845" s="30"/>
    </row>
    <row r="846" spans="18:18" ht="15.75" customHeight="1">
      <c r="R846" s="30"/>
    </row>
    <row r="847" spans="18:18" ht="15.75" customHeight="1">
      <c r="R847" s="30"/>
    </row>
    <row r="848" spans="18:18" ht="15.75" customHeight="1">
      <c r="R848" s="30"/>
    </row>
    <row r="849" spans="18:18" ht="15.75" customHeight="1">
      <c r="R849" s="30"/>
    </row>
    <row r="850" spans="18:18" ht="15.75" customHeight="1">
      <c r="R850" s="30"/>
    </row>
    <row r="851" spans="18:18" ht="15.75" customHeight="1">
      <c r="R851" s="30"/>
    </row>
    <row r="852" spans="18:18" ht="15.75" customHeight="1">
      <c r="R852" s="30"/>
    </row>
    <row r="853" spans="18:18" ht="15.75" customHeight="1">
      <c r="R853" s="30"/>
    </row>
    <row r="854" spans="18:18" ht="15.75" customHeight="1">
      <c r="R854" s="30"/>
    </row>
    <row r="855" spans="18:18" ht="15.75" customHeight="1">
      <c r="R855" s="30"/>
    </row>
    <row r="856" spans="18:18" ht="15.75" customHeight="1">
      <c r="R856" s="30"/>
    </row>
    <row r="857" spans="18:18" ht="15.75" customHeight="1">
      <c r="R857" s="30"/>
    </row>
    <row r="858" spans="18:18" ht="15.75" customHeight="1">
      <c r="R858" s="30"/>
    </row>
    <row r="859" spans="18:18" ht="15.75" customHeight="1">
      <c r="R859" s="30"/>
    </row>
    <row r="860" spans="18:18" ht="15.75" customHeight="1">
      <c r="R860" s="30"/>
    </row>
    <row r="861" spans="18:18" ht="15.75" customHeight="1">
      <c r="R861" s="30"/>
    </row>
    <row r="862" spans="18:18" ht="15.75" customHeight="1">
      <c r="R862" s="30"/>
    </row>
    <row r="863" spans="18:18" ht="15.75" customHeight="1">
      <c r="R863" s="30"/>
    </row>
    <row r="864" spans="18:18" ht="15.75" customHeight="1">
      <c r="R864" s="30"/>
    </row>
    <row r="865" spans="18:18" ht="15.75" customHeight="1">
      <c r="R865" s="30"/>
    </row>
    <row r="866" spans="18:18" ht="15.75" customHeight="1">
      <c r="R866" s="30"/>
    </row>
    <row r="867" spans="18:18" ht="15.75" customHeight="1">
      <c r="R867" s="30"/>
    </row>
    <row r="868" spans="18:18" ht="15.75" customHeight="1">
      <c r="R868" s="30"/>
    </row>
    <row r="869" spans="18:18" ht="15.75" customHeight="1">
      <c r="R869" s="30"/>
    </row>
    <row r="870" spans="18:18" ht="15.75" customHeight="1">
      <c r="R870" s="30"/>
    </row>
    <row r="871" spans="18:18" ht="15.75" customHeight="1">
      <c r="R871" s="30"/>
    </row>
    <row r="872" spans="18:18" ht="15.75" customHeight="1">
      <c r="R872" s="30"/>
    </row>
    <row r="873" spans="18:18" ht="15.75" customHeight="1">
      <c r="R873" s="30"/>
    </row>
    <row r="874" spans="18:18" ht="15.75" customHeight="1">
      <c r="R874" s="30"/>
    </row>
    <row r="875" spans="18:18" ht="15.75" customHeight="1">
      <c r="R875" s="30"/>
    </row>
    <row r="876" spans="18:18" ht="15.75" customHeight="1">
      <c r="R876" s="30"/>
    </row>
    <row r="877" spans="18:18" ht="15.75" customHeight="1">
      <c r="R877" s="30"/>
    </row>
    <row r="878" spans="18:18" ht="15.75" customHeight="1">
      <c r="R878" s="30"/>
    </row>
    <row r="879" spans="18:18" ht="15.75" customHeight="1">
      <c r="R879" s="30"/>
    </row>
    <row r="880" spans="18:18" ht="15.75" customHeight="1">
      <c r="R880" s="30"/>
    </row>
    <row r="881" spans="18:18" ht="15.75" customHeight="1">
      <c r="R881" s="30"/>
    </row>
    <row r="882" spans="18:18" ht="15.75" customHeight="1">
      <c r="R882" s="30"/>
    </row>
    <row r="883" spans="18:18" ht="15.75" customHeight="1">
      <c r="R883" s="30"/>
    </row>
    <row r="884" spans="18:18" ht="15.75" customHeight="1">
      <c r="R884" s="30"/>
    </row>
    <row r="885" spans="18:18" ht="15.75" customHeight="1">
      <c r="R885" s="30"/>
    </row>
    <row r="886" spans="18:18" ht="15.75" customHeight="1">
      <c r="R886" s="30"/>
    </row>
    <row r="887" spans="18:18" ht="15.75" customHeight="1">
      <c r="R887" s="30"/>
    </row>
    <row r="888" spans="18:18" ht="15.75" customHeight="1">
      <c r="R888" s="30"/>
    </row>
    <row r="889" spans="18:18" ht="15.75" customHeight="1">
      <c r="R889" s="30"/>
    </row>
    <row r="890" spans="18:18" ht="15.75" customHeight="1">
      <c r="R890" s="30"/>
    </row>
    <row r="891" spans="18:18" ht="15.75" customHeight="1">
      <c r="R891" s="30"/>
    </row>
    <row r="892" spans="18:18" ht="15.75" customHeight="1">
      <c r="R892" s="30"/>
    </row>
    <row r="893" spans="18:18" ht="15.75" customHeight="1">
      <c r="R893" s="30"/>
    </row>
    <row r="894" spans="18:18" ht="15.75" customHeight="1">
      <c r="R894" s="30"/>
    </row>
    <row r="895" spans="18:18" ht="15.75" customHeight="1">
      <c r="R895" s="30"/>
    </row>
    <row r="896" spans="18:18" ht="15.75" customHeight="1">
      <c r="R896" s="30"/>
    </row>
    <row r="897" spans="18:18" ht="15.75" customHeight="1">
      <c r="R897" s="30"/>
    </row>
    <row r="898" spans="18:18" ht="15.75" customHeight="1">
      <c r="R898" s="30"/>
    </row>
    <row r="899" spans="18:18" ht="15.75" customHeight="1">
      <c r="R899" s="30"/>
    </row>
    <row r="900" spans="18:18" ht="15.75" customHeight="1">
      <c r="R900" s="30"/>
    </row>
    <row r="901" spans="18:18" ht="15.75" customHeight="1">
      <c r="R901" s="30"/>
    </row>
    <row r="902" spans="18:18" ht="15.75" customHeight="1">
      <c r="R902" s="30"/>
    </row>
    <row r="903" spans="18:18" ht="15.75" customHeight="1">
      <c r="R903" s="30"/>
    </row>
    <row r="904" spans="18:18" ht="15.75" customHeight="1">
      <c r="R904" s="30"/>
    </row>
    <row r="905" spans="18:18" ht="15.75" customHeight="1">
      <c r="R905" s="30"/>
    </row>
    <row r="906" spans="18:18" ht="15.75" customHeight="1">
      <c r="R906" s="30"/>
    </row>
    <row r="907" spans="18:18" ht="15.75" customHeight="1">
      <c r="R907" s="30"/>
    </row>
    <row r="908" spans="18:18" ht="15.75" customHeight="1">
      <c r="R908" s="30"/>
    </row>
    <row r="909" spans="18:18" ht="15.75" customHeight="1">
      <c r="R909" s="30"/>
    </row>
    <row r="910" spans="18:18" ht="15.75" customHeight="1">
      <c r="R910" s="30"/>
    </row>
    <row r="911" spans="18:18" ht="15.75" customHeight="1">
      <c r="R911" s="30"/>
    </row>
    <row r="912" spans="18:18" ht="15.75" customHeight="1">
      <c r="R912" s="30"/>
    </row>
    <row r="913" spans="18:18" ht="15.75" customHeight="1">
      <c r="R913" s="30"/>
    </row>
    <row r="914" spans="18:18" ht="15.75" customHeight="1">
      <c r="R914" s="30"/>
    </row>
    <row r="915" spans="18:18" ht="15.75" customHeight="1">
      <c r="R915" s="30"/>
    </row>
    <row r="916" spans="18:18" ht="15.75" customHeight="1">
      <c r="R916" s="30"/>
    </row>
    <row r="917" spans="18:18" ht="15.75" customHeight="1">
      <c r="R917" s="30"/>
    </row>
    <row r="918" spans="18:18" ht="15.75" customHeight="1">
      <c r="R918" s="30"/>
    </row>
    <row r="919" spans="18:18" ht="15.75" customHeight="1">
      <c r="R919" s="30"/>
    </row>
    <row r="920" spans="18:18" ht="15.75" customHeight="1">
      <c r="R920" s="30"/>
    </row>
    <row r="921" spans="18:18" ht="15.75" customHeight="1">
      <c r="R921" s="30"/>
    </row>
    <row r="922" spans="18:18" ht="15.75" customHeight="1">
      <c r="R922" s="30"/>
    </row>
    <row r="923" spans="18:18" ht="15.75" customHeight="1">
      <c r="R923" s="30"/>
    </row>
    <row r="924" spans="18:18" ht="15.75" customHeight="1">
      <c r="R924" s="30"/>
    </row>
    <row r="925" spans="18:18" ht="15.75" customHeight="1">
      <c r="R925" s="30"/>
    </row>
    <row r="926" spans="18:18" ht="15.75" customHeight="1">
      <c r="R926" s="30"/>
    </row>
    <row r="927" spans="18:18" ht="15.75" customHeight="1">
      <c r="R927" s="30"/>
    </row>
    <row r="928" spans="18:18" ht="15.75" customHeight="1">
      <c r="R928" s="30"/>
    </row>
    <row r="929" spans="18:18" ht="15.75" customHeight="1">
      <c r="R929" s="30"/>
    </row>
    <row r="930" spans="18:18" ht="15.75" customHeight="1">
      <c r="R930" s="30"/>
    </row>
    <row r="931" spans="18:18" ht="15.75" customHeight="1">
      <c r="R931" s="30"/>
    </row>
    <row r="932" spans="18:18" ht="15.75" customHeight="1">
      <c r="R932" s="30"/>
    </row>
    <row r="933" spans="18:18" ht="15.75" customHeight="1">
      <c r="R933" s="30"/>
    </row>
    <row r="934" spans="18:18" ht="15.75" customHeight="1">
      <c r="R934" s="30"/>
    </row>
    <row r="935" spans="18:18" ht="15.75" customHeight="1">
      <c r="R935" s="30"/>
    </row>
    <row r="936" spans="18:18" ht="15.75" customHeight="1">
      <c r="R936" s="30"/>
    </row>
    <row r="937" spans="18:18" ht="15.75" customHeight="1">
      <c r="R937" s="30"/>
    </row>
    <row r="938" spans="18:18" ht="15.75" customHeight="1">
      <c r="R938" s="30"/>
    </row>
    <row r="939" spans="18:18" ht="15.75" customHeight="1">
      <c r="R939" s="30"/>
    </row>
    <row r="940" spans="18:18" ht="15.75" customHeight="1">
      <c r="R940" s="30"/>
    </row>
    <row r="941" spans="18:18" ht="15.75" customHeight="1">
      <c r="R941" s="30"/>
    </row>
    <row r="942" spans="18:18" ht="15.75" customHeight="1">
      <c r="R942" s="30"/>
    </row>
    <row r="943" spans="18:18" ht="15.75" customHeight="1">
      <c r="R943" s="30"/>
    </row>
    <row r="944" spans="18:18" ht="15.75" customHeight="1">
      <c r="R944" s="30"/>
    </row>
    <row r="945" spans="18:18" ht="15.75" customHeight="1">
      <c r="R945" s="30"/>
    </row>
    <row r="946" spans="18:18" ht="15.75" customHeight="1">
      <c r="R946" s="30"/>
    </row>
    <row r="947" spans="18:18" ht="15.75" customHeight="1">
      <c r="R947" s="30"/>
    </row>
    <row r="948" spans="18:18" ht="15.75" customHeight="1">
      <c r="R948" s="30"/>
    </row>
    <row r="949" spans="18:18" ht="15.75" customHeight="1">
      <c r="R949" s="30"/>
    </row>
    <row r="950" spans="18:18" ht="15.75" customHeight="1">
      <c r="R950" s="30"/>
    </row>
    <row r="951" spans="18:18" ht="15.75" customHeight="1">
      <c r="R951" s="30"/>
    </row>
    <row r="952" spans="18:18" ht="15.75" customHeight="1">
      <c r="R952" s="30"/>
    </row>
    <row r="953" spans="18:18" ht="15.75" customHeight="1">
      <c r="R953" s="30"/>
    </row>
    <row r="954" spans="18:18" ht="15.75" customHeight="1">
      <c r="R954" s="30"/>
    </row>
    <row r="955" spans="18:18" ht="15.75" customHeight="1">
      <c r="R955" s="30"/>
    </row>
    <row r="956" spans="18:18" ht="15.75" customHeight="1">
      <c r="R956" s="30"/>
    </row>
    <row r="957" spans="18:18" ht="15.75" customHeight="1">
      <c r="R957" s="30"/>
    </row>
    <row r="958" spans="18:18" ht="15.75" customHeight="1">
      <c r="R958" s="30"/>
    </row>
    <row r="959" spans="18:18" ht="15.75" customHeight="1">
      <c r="R959" s="30"/>
    </row>
    <row r="960" spans="18:18" ht="15.75" customHeight="1">
      <c r="R960" s="30"/>
    </row>
    <row r="961" spans="18:18" ht="15.75" customHeight="1">
      <c r="R961" s="30"/>
    </row>
    <row r="962" spans="18:18" ht="15.75" customHeight="1">
      <c r="R962" s="30"/>
    </row>
    <row r="963" spans="18:18" ht="15.75" customHeight="1">
      <c r="R963" s="30"/>
    </row>
    <row r="964" spans="18:18" ht="15.75" customHeight="1">
      <c r="R964" s="30"/>
    </row>
    <row r="965" spans="18:18" ht="15.75" customHeight="1">
      <c r="R965" s="30"/>
    </row>
    <row r="966" spans="18:18" ht="15.75" customHeight="1">
      <c r="R966" s="30"/>
    </row>
    <row r="967" spans="18:18" ht="15.75" customHeight="1">
      <c r="R967" s="30"/>
    </row>
    <row r="968" spans="18:18" ht="15.75" customHeight="1">
      <c r="R968" s="30"/>
    </row>
    <row r="969" spans="18:18" ht="15.75" customHeight="1">
      <c r="R969" s="30"/>
    </row>
    <row r="970" spans="18:18" ht="15.75" customHeight="1">
      <c r="R970" s="30"/>
    </row>
    <row r="971" spans="18:18" ht="15.75" customHeight="1">
      <c r="R971" s="30"/>
    </row>
    <row r="972" spans="18:18" ht="15.75" customHeight="1">
      <c r="R972" s="30"/>
    </row>
    <row r="973" spans="18:18" ht="15.75" customHeight="1">
      <c r="R973" s="30"/>
    </row>
    <row r="974" spans="18:18" ht="15.75" customHeight="1">
      <c r="R974" s="30"/>
    </row>
    <row r="975" spans="18:18" ht="15.75" customHeight="1">
      <c r="R975" s="30"/>
    </row>
    <row r="976" spans="18:18" ht="15.75" customHeight="1">
      <c r="R976" s="30"/>
    </row>
    <row r="977" spans="18:18" ht="15.75" customHeight="1">
      <c r="R977" s="30"/>
    </row>
    <row r="978" spans="18:18" ht="15.75" customHeight="1">
      <c r="R978" s="30"/>
    </row>
    <row r="979" spans="18:18" ht="15.75" customHeight="1">
      <c r="R979" s="30"/>
    </row>
    <row r="980" spans="18:18" ht="15.75" customHeight="1">
      <c r="R980" s="30"/>
    </row>
    <row r="981" spans="18:18" ht="15.75" customHeight="1">
      <c r="R981" s="30"/>
    </row>
    <row r="982" spans="18:18" ht="15.75" customHeight="1">
      <c r="R982" s="30"/>
    </row>
    <row r="983" spans="18:18" ht="15.75" customHeight="1">
      <c r="R983" s="30"/>
    </row>
    <row r="984" spans="18:18" ht="15.75" customHeight="1">
      <c r="R984" s="30"/>
    </row>
    <row r="985" spans="18:18" ht="15.75" customHeight="1">
      <c r="R985" s="30"/>
    </row>
    <row r="986" spans="18:18" ht="15.75" customHeight="1">
      <c r="R986" s="30"/>
    </row>
    <row r="987" spans="18:18" ht="15.75" customHeight="1">
      <c r="R987" s="30"/>
    </row>
    <row r="988" spans="18:18" ht="15.75" customHeight="1">
      <c r="R988" s="30"/>
    </row>
    <row r="989" spans="18:18" ht="15.75" customHeight="1">
      <c r="R989" s="30"/>
    </row>
    <row r="990" spans="18:18" ht="15.75" customHeight="1">
      <c r="R990" s="30"/>
    </row>
    <row r="991" spans="18:18" ht="15.75" customHeight="1">
      <c r="R991" s="30"/>
    </row>
    <row r="992" spans="18:18" ht="15.75" customHeight="1">
      <c r="R992" s="30"/>
    </row>
    <row r="993" spans="18:18" ht="15.75" customHeight="1">
      <c r="R993" s="30"/>
    </row>
    <row r="994" spans="18:18" ht="15.75" customHeight="1">
      <c r="R994" s="30"/>
    </row>
    <row r="995" spans="18:18" ht="15.75" customHeight="1">
      <c r="R995" s="30"/>
    </row>
    <row r="996" spans="18:18" ht="15.75" customHeight="1">
      <c r="R996" s="30"/>
    </row>
    <row r="997" spans="18:18" ht="15.75" customHeight="1">
      <c r="R997" s="30"/>
    </row>
    <row r="998" spans="18:18" ht="15.75" customHeight="1">
      <c r="R998" s="30"/>
    </row>
    <row r="999" spans="18:18" ht="15.75" customHeight="1">
      <c r="R999" s="30"/>
    </row>
    <row r="1000" spans="18:18" ht="15.75" customHeight="1">
      <c r="R1000" s="3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2.6640625" defaultRowHeight="15" customHeight="1"/>
  <cols>
    <col min="1" max="1" width="13.33203125" customWidth="1"/>
    <col min="2" max="2" width="19.1640625" customWidth="1"/>
    <col min="3" max="3" width="8" customWidth="1"/>
    <col min="4" max="4" width="7" customWidth="1"/>
    <col min="5" max="5" width="8.6640625" customWidth="1"/>
    <col min="6" max="6" width="9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20.1640625" customWidth="1"/>
    <col min="16" max="16" width="10" customWidth="1"/>
    <col min="17" max="18" width="7.33203125" customWidth="1"/>
    <col min="19" max="19" width="7.1640625" customWidth="1"/>
    <col min="20" max="20" width="11.1640625" customWidth="1"/>
    <col min="21" max="21" width="18.6640625" customWidth="1"/>
    <col min="22" max="22" width="84.164062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6640625" customWidth="1"/>
    <col min="32" max="32" width="10.1640625" customWidth="1"/>
    <col min="33" max="33" width="8.83203125" customWidth="1"/>
  </cols>
  <sheetData>
    <row r="1" spans="1:33" ht="18.75" customHeight="1">
      <c r="A1" s="46" t="str">
        <f ca="1">IFERROR(__xludf.DUMMYFUNCTION("IFERROR(VLOOKUP(B2,IMPORTRANGE(""https://docs.google.com/spreadsheets/d/1x0DhHglkXKoEBOD2MBsuK_EyIr1ouxD2ftIpqOYFa-k/edit?usp=sharing"",""Ubiquitty-SKU-Specific Info!B1:BJ5000""),3,FALSE),"""")"),"100 Ft Lighted Outdoor Extension Cord - 12/3 SJTW Heavy Duty Yellow Extension Cable with 3 Prong Grounded Plug for Safety - Great for Garden &amp; Major Appliances")</f>
        <v>100 Ft Lighted Outdoor Extension Cord - 12/3 SJTW Heavy Duty Yellow Extension Cable with 3 Prong Grounded Plug for Safety - Great for Garden &amp; Major Appliances</v>
      </c>
      <c r="B1" s="47"/>
      <c r="C1" s="48" t="s">
        <v>0</v>
      </c>
      <c r="D1" s="50" t="s">
        <v>1</v>
      </c>
      <c r="E1" s="50" t="s">
        <v>2</v>
      </c>
      <c r="F1" s="52" t="s">
        <v>3</v>
      </c>
      <c r="G1" s="52" t="s">
        <v>4</v>
      </c>
      <c r="H1" s="53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58" t="s">
        <v>10</v>
      </c>
      <c r="N1" s="59" t="s">
        <v>11</v>
      </c>
      <c r="O1" s="50" t="s">
        <v>12</v>
      </c>
      <c r="P1" s="50" t="s">
        <v>13</v>
      </c>
      <c r="Q1" s="57" t="s">
        <v>14</v>
      </c>
      <c r="R1" s="57" t="s">
        <v>15</v>
      </c>
      <c r="S1" s="60" t="s">
        <v>16</v>
      </c>
      <c r="T1" s="62" t="s">
        <v>2006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Info!B1:BJ5000""),2,FALSE),"""")"),"B07Q5J5LMP")</f>
        <v>B07Q5J5LMP</v>
      </c>
      <c r="B2" s="3" t="s">
        <v>871</v>
      </c>
      <c r="C2" s="49"/>
      <c r="D2" s="49"/>
      <c r="E2" s="51"/>
      <c r="F2" s="49"/>
      <c r="G2" s="49"/>
      <c r="H2" s="54"/>
      <c r="I2" s="49"/>
      <c r="J2" s="49"/>
      <c r="K2" s="54"/>
      <c r="L2" s="54"/>
      <c r="M2" s="54"/>
      <c r="N2" s="49"/>
      <c r="O2" s="49"/>
      <c r="P2" s="51"/>
      <c r="Q2" s="49"/>
      <c r="R2" s="49"/>
      <c r="S2" s="61"/>
      <c r="T2" s="47"/>
      <c r="U2" s="63"/>
      <c r="V2" s="63"/>
      <c r="W2" s="47"/>
      <c r="X2" s="47"/>
      <c r="Y2" s="47"/>
      <c r="Z2" s="47"/>
      <c r="AA2" s="63"/>
      <c r="AB2" s="63"/>
      <c r="AC2" s="63"/>
      <c r="AD2" s="63"/>
      <c r="AE2" s="47"/>
      <c r="AF2" s="47"/>
      <c r="AG2" s="47"/>
    </row>
    <row r="3" spans="1:33" ht="157.5" customHeight="1">
      <c r="A3" s="55" t="s">
        <v>31</v>
      </c>
      <c r="B3" s="56"/>
      <c r="C3" s="4">
        <f>((AE32+AF32)/0.85)*-1</f>
        <v>50.330032741176474</v>
      </c>
      <c r="D3" s="5">
        <f>SUM(D4:D99765)</f>
        <v>601</v>
      </c>
      <c r="E3" s="5"/>
      <c r="F3" s="6">
        <f t="shared" ref="F3:G3" si="0">SUM(F4:F99765)</f>
        <v>39766.69</v>
      </c>
      <c r="G3" s="6">
        <f t="shared" si="0"/>
        <v>-0.52</v>
      </c>
      <c r="H3" s="7">
        <f t="shared" ref="H3:H32" si="1">G3/F3*-1</f>
        <v>1.3076270617443896E-5</v>
      </c>
      <c r="I3" s="8">
        <f t="shared" ref="I3:I32" si="2">J3/F3</f>
        <v>0.20016393959399006</v>
      </c>
      <c r="J3" s="6">
        <f>SUM(J4:J99765)</f>
        <v>7959.8573350129291</v>
      </c>
      <c r="K3" s="6">
        <f t="shared" ref="K3:K32" si="3">J3/D3</f>
        <v>13.244354966743643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Sheet!a1:g5000""),2,FALSE),"""")"),"1.5 - March
4 - April
8 - May
4 - June
4 - July
1.5 - Aug
2 - Sept
2.5 - Oct
4 - Nov
4.5 - Dec
1 - Jan
1 - Feb")</f>
        <v>1.5 - March
4 - April
8 - May
4 - June
4 - July
1.5 - Aug
2 - Sept
2.5 - Oct
4 - Nov
4.5 - Dec
1 - Jan
1 -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QTY-0")</f>
        <v>US QTY-0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0</v>
      </c>
      <c r="X3" s="7">
        <f>W3/D3</f>
        <v>0</v>
      </c>
      <c r="Y3" s="6"/>
      <c r="Z3" s="5"/>
      <c r="AA3" s="5"/>
      <c r="AB3" s="5"/>
      <c r="AC3" s="5"/>
      <c r="AD3" s="6">
        <f>SUM(AD4:AD99765)</f>
        <v>-285.70770970220156</v>
      </c>
      <c r="AE3" s="6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Info!B2:BZ3000""),37,FALSE)),"""")*-1"),-33.50052783)</f>
        <v>-33.500527830000003</v>
      </c>
      <c r="AG3" s="6">
        <f>SUM(AG4:AG99765)</f>
        <v>0</v>
      </c>
    </row>
    <row r="4" spans="1:33" ht="15.75" customHeight="1">
      <c r="A4" s="14" t="s">
        <v>181</v>
      </c>
      <c r="B4" s="14" t="s">
        <v>68</v>
      </c>
      <c r="C4" s="15">
        <f t="shared" ref="C4:C32" si="4">IFERROR(F4/D4," - ")</f>
        <v>63.004444444444438</v>
      </c>
      <c r="D4" s="16">
        <v>9</v>
      </c>
      <c r="E4" s="16">
        <v>0</v>
      </c>
      <c r="F4" s="17">
        <v>567.04</v>
      </c>
      <c r="G4" s="17">
        <v>0</v>
      </c>
      <c r="H4" s="18">
        <f t="shared" si="1"/>
        <v>0</v>
      </c>
      <c r="I4" s="18">
        <f t="shared" si="2"/>
        <v>0.22520376140199039</v>
      </c>
      <c r="J4" s="17">
        <f t="shared" ref="J4:J32" si="5">F4*0.85+G4+AF4*D4+D4*AE4+AG4+AD4</f>
        <v>127.69954086538462</v>
      </c>
      <c r="K4" s="17">
        <f t="shared" si="3"/>
        <v>14.188837873931625</v>
      </c>
      <c r="L4" s="16">
        <v>64</v>
      </c>
      <c r="M4" s="19">
        <f t="shared" ref="M4:M32" si="6">IFERROR(D4/L4,"-")</f>
        <v>0.140625</v>
      </c>
      <c r="N4" s="16">
        <v>19</v>
      </c>
      <c r="O4" s="20">
        <f t="shared" ref="O4:P4" si="7">D4/7</f>
        <v>1.2857142857142858</v>
      </c>
      <c r="P4" s="20">
        <f t="shared" si="7"/>
        <v>0</v>
      </c>
      <c r="Q4" s="16">
        <f t="shared" ref="Q4:Q32" si="8">ROUNDDOWN(N4/(O4+P4),0)</f>
        <v>14</v>
      </c>
      <c r="R4" s="16"/>
      <c r="S4" s="21">
        <v>1.5829787234042501</v>
      </c>
      <c r="T4" s="14">
        <v>300</v>
      </c>
      <c r="U4" s="22">
        <v>60</v>
      </c>
      <c r="V4" s="23" t="s">
        <v>872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26" t="s">
        <v>35</v>
      </c>
      <c r="AB4" s="27">
        <f t="shared" ref="AB4:AB32" si="11">IF(OR(AA4="UsLargeStandardSize",AA4="UsSmallStandardSize"),-0.69,-0.48)</f>
        <v>-0.69</v>
      </c>
      <c r="AC4" s="28">
        <v>0.3498263888888889</v>
      </c>
      <c r="AD4" s="25">
        <f t="shared" ref="AD4:AD32" si="12">IFERROR(AB4*AC4*D4*2,0)</f>
        <v>-4.3448437499999999</v>
      </c>
      <c r="AE4" s="25">
        <v>-9.6</v>
      </c>
      <c r="AF4" s="25">
        <v>-29.282179487179487</v>
      </c>
      <c r="AG4" s="25">
        <v>0</v>
      </c>
    </row>
    <row r="5" spans="1:33" ht="15.75" customHeight="1">
      <c r="A5" s="14" t="s">
        <v>183</v>
      </c>
      <c r="B5" s="14" t="s">
        <v>68</v>
      </c>
      <c r="C5" s="15">
        <f t="shared" si="4"/>
        <v>63.02571428571428</v>
      </c>
      <c r="D5" s="16">
        <v>7</v>
      </c>
      <c r="E5" s="16">
        <v>0</v>
      </c>
      <c r="F5" s="29">
        <v>441.17999999999995</v>
      </c>
      <c r="G5" s="29">
        <v>-0.02</v>
      </c>
      <c r="H5" s="18">
        <f t="shared" si="1"/>
        <v>4.5332970669567984E-5</v>
      </c>
      <c r="I5" s="18">
        <f t="shared" si="2"/>
        <v>0.22536040819516281</v>
      </c>
      <c r="J5" s="17">
        <f t="shared" si="5"/>
        <v>99.424504887541914</v>
      </c>
      <c r="K5" s="17">
        <f t="shared" si="3"/>
        <v>14.203500698220273</v>
      </c>
      <c r="L5" s="16">
        <v>59</v>
      </c>
      <c r="M5" s="19">
        <f t="shared" si="6"/>
        <v>0.11864406779661017</v>
      </c>
      <c r="N5" s="16">
        <v>11</v>
      </c>
      <c r="O5" s="20">
        <f t="shared" ref="O5:P5" si="13">D5/7</f>
        <v>1</v>
      </c>
      <c r="P5" s="20">
        <f t="shared" si="13"/>
        <v>0</v>
      </c>
      <c r="Q5" s="16">
        <f t="shared" si="8"/>
        <v>11</v>
      </c>
      <c r="R5" s="16"/>
      <c r="S5" s="21">
        <v>1.6661466458658301</v>
      </c>
      <c r="T5" s="14">
        <v>300</v>
      </c>
      <c r="U5" s="22">
        <v>60</v>
      </c>
      <c r="V5" s="23" t="s">
        <v>873</v>
      </c>
      <c r="W5" s="14">
        <v>0</v>
      </c>
      <c r="X5" s="24">
        <f t="shared" si="9"/>
        <v>0</v>
      </c>
      <c r="Y5" s="25">
        <f t="shared" si="10"/>
        <v>0.02</v>
      </c>
      <c r="Z5" s="14">
        <v>1</v>
      </c>
      <c r="AA5" s="14" t="s">
        <v>35</v>
      </c>
      <c r="AB5" s="27">
        <f t="shared" si="11"/>
        <v>-0.69</v>
      </c>
      <c r="AC5" s="28">
        <v>0.35023174971031285</v>
      </c>
      <c r="AD5" s="25">
        <f t="shared" si="12"/>
        <v>-3.3832387022016222</v>
      </c>
      <c r="AE5" s="25">
        <v>-9.6</v>
      </c>
      <c r="AF5" s="25">
        <v>-29.282179487179487</v>
      </c>
      <c r="AG5" s="25">
        <v>0</v>
      </c>
    </row>
    <row r="6" spans="1:33" ht="15.75" customHeight="1">
      <c r="A6" s="14" t="s">
        <v>185</v>
      </c>
      <c r="B6" s="14" t="s">
        <v>45</v>
      </c>
      <c r="C6" s="15">
        <f t="shared" si="4"/>
        <v>63.065999999999995</v>
      </c>
      <c r="D6" s="16">
        <v>10</v>
      </c>
      <c r="E6" s="16">
        <v>0</v>
      </c>
      <c r="F6" s="29">
        <v>630.66</v>
      </c>
      <c r="G6" s="29">
        <v>-0.08</v>
      </c>
      <c r="H6" s="18">
        <f t="shared" si="1"/>
        <v>1.2685123521390292E-4</v>
      </c>
      <c r="I6" s="18">
        <f t="shared" si="2"/>
        <v>0.22568674239929337</v>
      </c>
      <c r="J6" s="17">
        <f t="shared" si="5"/>
        <v>142.33160096153836</v>
      </c>
      <c r="K6" s="17">
        <f t="shared" si="3"/>
        <v>14.233160096153835</v>
      </c>
      <c r="L6" s="16">
        <v>32</v>
      </c>
      <c r="M6" s="19">
        <f t="shared" si="6"/>
        <v>0.3125</v>
      </c>
      <c r="N6" s="16">
        <v>0</v>
      </c>
      <c r="O6" s="20">
        <f t="shared" ref="O6:P6" si="14">D6/7</f>
        <v>1.4285714285714286</v>
      </c>
      <c r="P6" s="20">
        <f t="shared" si="14"/>
        <v>0</v>
      </c>
      <c r="Q6" s="16">
        <f t="shared" si="8"/>
        <v>0</v>
      </c>
      <c r="R6" s="16"/>
      <c r="S6" s="21">
        <v>1.7122557726465299</v>
      </c>
      <c r="T6" s="14">
        <v>480</v>
      </c>
      <c r="U6" s="22">
        <v>64</v>
      </c>
      <c r="V6" s="23" t="s">
        <v>874</v>
      </c>
      <c r="W6" s="14">
        <v>0</v>
      </c>
      <c r="X6" s="24">
        <f t="shared" si="9"/>
        <v>0</v>
      </c>
      <c r="Y6" s="25">
        <f t="shared" si="10"/>
        <v>0</v>
      </c>
      <c r="Z6" s="14">
        <v>0</v>
      </c>
      <c r="AA6" s="14" t="s">
        <v>35</v>
      </c>
      <c r="AB6" s="27">
        <f t="shared" si="11"/>
        <v>-0.69</v>
      </c>
      <c r="AC6" s="28">
        <v>0.3498263888888889</v>
      </c>
      <c r="AD6" s="25">
        <f t="shared" si="12"/>
        <v>-4.8276041666666663</v>
      </c>
      <c r="AE6" s="25">
        <v>-9.6</v>
      </c>
      <c r="AF6" s="25">
        <v>-29.282179487179487</v>
      </c>
      <c r="AG6" s="25">
        <v>0</v>
      </c>
    </row>
    <row r="7" spans="1:33" ht="15.75" customHeight="1">
      <c r="A7" s="14" t="s">
        <v>187</v>
      </c>
      <c r="B7" s="14" t="s">
        <v>45</v>
      </c>
      <c r="C7" s="15">
        <f t="shared" si="4"/>
        <v>64.319999999999993</v>
      </c>
      <c r="D7" s="16">
        <v>1</v>
      </c>
      <c r="E7" s="16">
        <v>0</v>
      </c>
      <c r="F7" s="29">
        <v>64.319999999999993</v>
      </c>
      <c r="G7" s="29">
        <v>0</v>
      </c>
      <c r="H7" s="18">
        <f t="shared" si="1"/>
        <v>0</v>
      </c>
      <c r="I7" s="18">
        <f t="shared" si="2"/>
        <v>0.23798289950487933</v>
      </c>
      <c r="J7" s="17">
        <f t="shared" si="5"/>
        <v>15.307060096153837</v>
      </c>
      <c r="K7" s="17">
        <f t="shared" si="3"/>
        <v>15.307060096153837</v>
      </c>
      <c r="L7" s="16">
        <v>0</v>
      </c>
      <c r="M7" s="19" t="str">
        <f t="shared" si="6"/>
        <v>-</v>
      </c>
      <c r="N7" s="16">
        <v>1</v>
      </c>
      <c r="O7" s="20">
        <f t="shared" ref="O7:P7" si="15">D7/7</f>
        <v>0.14285714285714285</v>
      </c>
      <c r="P7" s="20">
        <f t="shared" si="15"/>
        <v>0</v>
      </c>
      <c r="Q7" s="16">
        <f t="shared" si="8"/>
        <v>7</v>
      </c>
      <c r="R7" s="16"/>
      <c r="S7" s="21">
        <v>2.0896860986546999</v>
      </c>
      <c r="T7" s="14">
        <v>740</v>
      </c>
      <c r="U7" s="22">
        <v>64</v>
      </c>
      <c r="V7" s="23" t="s">
        <v>875</v>
      </c>
      <c r="W7" s="14">
        <v>0</v>
      </c>
      <c r="X7" s="24">
        <f t="shared" si="9"/>
        <v>0</v>
      </c>
      <c r="Y7" s="25">
        <f t="shared" si="10"/>
        <v>0</v>
      </c>
      <c r="Z7" s="14">
        <v>0</v>
      </c>
      <c r="AA7" s="14" t="s">
        <v>35</v>
      </c>
      <c r="AB7" s="27">
        <f t="shared" si="11"/>
        <v>-0.69</v>
      </c>
      <c r="AC7" s="28">
        <v>0.3498263888888889</v>
      </c>
      <c r="AD7" s="25">
        <f t="shared" si="12"/>
        <v>-0.48276041666666664</v>
      </c>
      <c r="AE7" s="25">
        <v>-9.6</v>
      </c>
      <c r="AF7" s="25">
        <v>-29.282179487179487</v>
      </c>
      <c r="AG7" s="25">
        <v>0</v>
      </c>
    </row>
    <row r="8" spans="1:33" ht="15.75" customHeight="1">
      <c r="A8" s="14" t="s">
        <v>189</v>
      </c>
      <c r="B8" s="14" t="s">
        <v>68</v>
      </c>
      <c r="C8" s="15">
        <f t="shared" si="4"/>
        <v>63.54</v>
      </c>
      <c r="D8" s="16">
        <v>2</v>
      </c>
      <c r="E8" s="16">
        <v>0</v>
      </c>
      <c r="F8" s="29">
        <v>127.08</v>
      </c>
      <c r="G8" s="29">
        <v>-0.08</v>
      </c>
      <c r="H8" s="18">
        <f t="shared" si="1"/>
        <v>6.2952470884482215E-4</v>
      </c>
      <c r="I8" s="18">
        <f t="shared" si="2"/>
        <v>0.22987471802539083</v>
      </c>
      <c r="J8" s="17">
        <f t="shared" si="5"/>
        <v>29.212479166666668</v>
      </c>
      <c r="K8" s="17">
        <f t="shared" si="3"/>
        <v>14.606239583333334</v>
      </c>
      <c r="L8" s="16">
        <v>6</v>
      </c>
      <c r="M8" s="19">
        <f t="shared" si="6"/>
        <v>0.33333333333333331</v>
      </c>
      <c r="N8" s="16">
        <v>63</v>
      </c>
      <c r="O8" s="20">
        <f t="shared" ref="O8:P8" si="16">D8/7</f>
        <v>0.2857142857142857</v>
      </c>
      <c r="P8" s="20">
        <f t="shared" si="16"/>
        <v>0</v>
      </c>
      <c r="Q8" s="16">
        <f t="shared" si="8"/>
        <v>220</v>
      </c>
      <c r="R8" s="16"/>
      <c r="S8" s="21">
        <v>1.9322033898305</v>
      </c>
      <c r="T8" s="14">
        <v>676</v>
      </c>
      <c r="U8" s="22">
        <v>196</v>
      </c>
      <c r="V8" s="23" t="s">
        <v>876</v>
      </c>
      <c r="W8" s="14">
        <v>0</v>
      </c>
      <c r="X8" s="24">
        <f t="shared" si="9"/>
        <v>0</v>
      </c>
      <c r="Y8" s="25">
        <f t="shared" si="10"/>
        <v>0</v>
      </c>
      <c r="Z8" s="14">
        <v>0</v>
      </c>
      <c r="AA8" s="14" t="s">
        <v>35</v>
      </c>
      <c r="AB8" s="27">
        <f t="shared" si="11"/>
        <v>-0.69</v>
      </c>
      <c r="AC8" s="28">
        <v>0.3498263888888889</v>
      </c>
      <c r="AD8" s="25">
        <f t="shared" si="12"/>
        <v>-0.96552083333333327</v>
      </c>
      <c r="AE8" s="25">
        <v>-9.6</v>
      </c>
      <c r="AF8" s="25">
        <v>-29.28</v>
      </c>
      <c r="AG8" s="25">
        <v>0</v>
      </c>
    </row>
    <row r="9" spans="1:33" ht="15.75" customHeight="1">
      <c r="A9" s="14" t="s">
        <v>191</v>
      </c>
      <c r="B9" s="14" t="s">
        <v>68</v>
      </c>
      <c r="C9" s="15">
        <f t="shared" si="4"/>
        <v>63.678800000000017</v>
      </c>
      <c r="D9" s="16">
        <v>25</v>
      </c>
      <c r="E9" s="16">
        <v>1</v>
      </c>
      <c r="F9" s="29">
        <v>1591.9700000000005</v>
      </c>
      <c r="G9" s="29">
        <v>-0.16</v>
      </c>
      <c r="H9" s="18">
        <f t="shared" si="1"/>
        <v>1.0050440649007202E-4</v>
      </c>
      <c r="I9" s="18">
        <f t="shared" si="2"/>
        <v>0.22165931315465803</v>
      </c>
      <c r="J9" s="17">
        <f t="shared" si="5"/>
        <v>352.87497676282106</v>
      </c>
      <c r="K9" s="17">
        <f t="shared" si="3"/>
        <v>14.114999070512843</v>
      </c>
      <c r="L9" s="16">
        <v>74</v>
      </c>
      <c r="M9" s="19">
        <f t="shared" si="6"/>
        <v>0.33783783783783783</v>
      </c>
      <c r="N9" s="16">
        <v>43</v>
      </c>
      <c r="O9" s="20">
        <f t="shared" ref="O9:P9" si="17">D9/7</f>
        <v>3.5714285714285716</v>
      </c>
      <c r="P9" s="20">
        <f t="shared" si="17"/>
        <v>0.14285714285714285</v>
      </c>
      <c r="Q9" s="16">
        <f t="shared" si="8"/>
        <v>11</v>
      </c>
      <c r="R9" s="16"/>
      <c r="S9" s="21">
        <v>2.2392344497607599</v>
      </c>
      <c r="T9" s="14">
        <v>676</v>
      </c>
      <c r="U9" s="22">
        <v>196</v>
      </c>
      <c r="V9" s="23" t="s">
        <v>877</v>
      </c>
      <c r="W9" s="14">
        <v>0</v>
      </c>
      <c r="X9" s="24">
        <f t="shared" si="9"/>
        <v>0</v>
      </c>
      <c r="Y9" s="25">
        <f t="shared" si="10"/>
        <v>0</v>
      </c>
      <c r="Z9" s="14">
        <v>0</v>
      </c>
      <c r="AA9" s="14" t="s">
        <v>35</v>
      </c>
      <c r="AB9" s="27">
        <f t="shared" si="11"/>
        <v>-0.69</v>
      </c>
      <c r="AC9" s="28">
        <v>0.3498263888888889</v>
      </c>
      <c r="AD9" s="25">
        <f t="shared" si="12"/>
        <v>-12.069010416666666</v>
      </c>
      <c r="AE9" s="25">
        <v>-9.6</v>
      </c>
      <c r="AF9" s="25">
        <v>-29.9228205128205</v>
      </c>
      <c r="AG9" s="25">
        <v>0</v>
      </c>
    </row>
    <row r="10" spans="1:33" ht="15.75" customHeight="1">
      <c r="A10" s="14" t="s">
        <v>192</v>
      </c>
      <c r="B10" s="14" t="s">
        <v>878</v>
      </c>
      <c r="C10" s="15">
        <f t="shared" si="4"/>
        <v>63.446363636363621</v>
      </c>
      <c r="D10" s="16">
        <v>11</v>
      </c>
      <c r="E10" s="16">
        <v>1</v>
      </c>
      <c r="F10" s="29">
        <v>697.90999999999985</v>
      </c>
      <c r="G10" s="29">
        <v>-0.08</v>
      </c>
      <c r="H10" s="18">
        <f t="shared" si="1"/>
        <v>1.1462796062529555E-4</v>
      </c>
      <c r="I10" s="18">
        <f t="shared" si="2"/>
        <v>0.2193436256474918</v>
      </c>
      <c r="J10" s="17">
        <f t="shared" si="5"/>
        <v>153.08210977564096</v>
      </c>
      <c r="K10" s="17">
        <f t="shared" si="3"/>
        <v>13.916555434149178</v>
      </c>
      <c r="L10" s="16">
        <v>46</v>
      </c>
      <c r="M10" s="19">
        <f t="shared" si="6"/>
        <v>0.2391304347826087</v>
      </c>
      <c r="N10" s="16">
        <v>9</v>
      </c>
      <c r="O10" s="20">
        <f t="shared" ref="O10:P10" si="18">D10/7</f>
        <v>1.5714285714285714</v>
      </c>
      <c r="P10" s="20">
        <f t="shared" si="18"/>
        <v>0.14285714285714285</v>
      </c>
      <c r="Q10" s="16">
        <f t="shared" si="8"/>
        <v>5</v>
      </c>
      <c r="R10" s="16"/>
      <c r="S10" s="21">
        <v>2.7014492753623101</v>
      </c>
      <c r="T10" s="14">
        <v>676</v>
      </c>
      <c r="U10" s="22">
        <v>196</v>
      </c>
      <c r="V10" s="23" t="s">
        <v>879</v>
      </c>
      <c r="W10" s="14">
        <v>0</v>
      </c>
      <c r="X10" s="24">
        <f t="shared" si="9"/>
        <v>0</v>
      </c>
      <c r="Y10" s="25">
        <f t="shared" si="10"/>
        <v>0</v>
      </c>
      <c r="Z10" s="14">
        <v>0</v>
      </c>
      <c r="AA10" s="14" t="s">
        <v>35</v>
      </c>
      <c r="AB10" s="27">
        <f t="shared" si="11"/>
        <v>-0.69</v>
      </c>
      <c r="AC10" s="28">
        <v>0.3498263888888889</v>
      </c>
      <c r="AD10" s="25">
        <f t="shared" si="12"/>
        <v>-5.3103645833333326</v>
      </c>
      <c r="AE10" s="25">
        <v>-9.6</v>
      </c>
      <c r="AF10" s="25">
        <v>-29.9228205128205</v>
      </c>
      <c r="AG10" s="25">
        <v>0</v>
      </c>
    </row>
    <row r="11" spans="1:33" ht="15.75" customHeight="1">
      <c r="A11" s="14" t="s">
        <v>193</v>
      </c>
      <c r="B11" s="14" t="s">
        <v>68</v>
      </c>
      <c r="C11" s="15">
        <f t="shared" si="4"/>
        <v>73.026363636363627</v>
      </c>
      <c r="D11" s="16">
        <v>11</v>
      </c>
      <c r="E11" s="16">
        <v>0</v>
      </c>
      <c r="F11" s="29">
        <v>803.29</v>
      </c>
      <c r="G11" s="29">
        <v>-0.05</v>
      </c>
      <c r="H11" s="18">
        <f t="shared" si="1"/>
        <v>6.2244021461738605E-5</v>
      </c>
      <c r="I11" s="18">
        <f t="shared" si="2"/>
        <v>0.30211394362638794</v>
      </c>
      <c r="J11" s="17">
        <f t="shared" si="5"/>
        <v>242.68510977564114</v>
      </c>
      <c r="K11" s="17">
        <f t="shared" si="3"/>
        <v>22.062282706876466</v>
      </c>
      <c r="L11" s="16">
        <v>29</v>
      </c>
      <c r="M11" s="19">
        <f t="shared" si="6"/>
        <v>0.37931034482758619</v>
      </c>
      <c r="N11" s="16">
        <v>29</v>
      </c>
      <c r="O11" s="20">
        <f t="shared" ref="O11:P11" si="19">D11/7</f>
        <v>1.5714285714285714</v>
      </c>
      <c r="P11" s="20">
        <f t="shared" si="19"/>
        <v>0</v>
      </c>
      <c r="Q11" s="16">
        <f t="shared" si="8"/>
        <v>18</v>
      </c>
      <c r="R11" s="16"/>
      <c r="S11" s="21">
        <v>3.55186721991701</v>
      </c>
      <c r="T11" s="14">
        <v>789</v>
      </c>
      <c r="U11" s="22">
        <v>196</v>
      </c>
      <c r="V11" s="23" t="s">
        <v>880</v>
      </c>
      <c r="W11" s="14">
        <v>0</v>
      </c>
      <c r="X11" s="24">
        <f t="shared" si="9"/>
        <v>0</v>
      </c>
      <c r="Y11" s="25">
        <f t="shared" si="10"/>
        <v>0</v>
      </c>
      <c r="Z11" s="14">
        <v>0</v>
      </c>
      <c r="AA11" s="14" t="s">
        <v>35</v>
      </c>
      <c r="AB11" s="27">
        <f t="shared" si="11"/>
        <v>-0.69</v>
      </c>
      <c r="AC11" s="28">
        <v>0.3498263888888889</v>
      </c>
      <c r="AD11" s="25">
        <f t="shared" si="12"/>
        <v>-5.3103645833333326</v>
      </c>
      <c r="AE11" s="25">
        <v>-9.6</v>
      </c>
      <c r="AF11" s="25">
        <v>-29.9228205128205</v>
      </c>
      <c r="AG11" s="25">
        <v>0</v>
      </c>
    </row>
    <row r="12" spans="1:33" ht="15.75" customHeight="1">
      <c r="A12" s="14" t="s">
        <v>195</v>
      </c>
      <c r="B12" s="14" t="s">
        <v>881</v>
      </c>
      <c r="C12" s="15">
        <f t="shared" si="4"/>
        <v>73.31</v>
      </c>
      <c r="D12" s="16">
        <v>3</v>
      </c>
      <c r="E12" s="16">
        <v>1</v>
      </c>
      <c r="F12" s="29">
        <v>219.93</v>
      </c>
      <c r="G12" s="29">
        <v>0</v>
      </c>
      <c r="H12" s="18">
        <f t="shared" si="1"/>
        <v>0</v>
      </c>
      <c r="I12" s="18">
        <f t="shared" si="2"/>
        <v>0.30429571778083259</v>
      </c>
      <c r="J12" s="17">
        <f t="shared" si="5"/>
        <v>66.923757211538515</v>
      </c>
      <c r="K12" s="17">
        <f t="shared" si="3"/>
        <v>22.307919070512838</v>
      </c>
      <c r="L12" s="16">
        <v>21</v>
      </c>
      <c r="M12" s="19">
        <f t="shared" si="6"/>
        <v>0.14285714285714285</v>
      </c>
      <c r="N12" s="16">
        <v>32</v>
      </c>
      <c r="O12" s="20">
        <f t="shared" ref="O12:P12" si="20">D12/7</f>
        <v>0.42857142857142855</v>
      </c>
      <c r="P12" s="20">
        <f t="shared" si="20"/>
        <v>0.14285714285714285</v>
      </c>
      <c r="Q12" s="16">
        <f t="shared" si="8"/>
        <v>56</v>
      </c>
      <c r="R12" s="16"/>
      <c r="S12" s="21">
        <v>3.6545454545454499</v>
      </c>
      <c r="T12" s="14">
        <v>776</v>
      </c>
      <c r="U12" s="22">
        <v>196</v>
      </c>
      <c r="V12" s="23" t="s">
        <v>882</v>
      </c>
      <c r="W12" s="14">
        <v>0</v>
      </c>
      <c r="X12" s="24">
        <f t="shared" si="9"/>
        <v>0</v>
      </c>
      <c r="Y12" s="25">
        <f t="shared" si="10"/>
        <v>0</v>
      </c>
      <c r="Z12" s="14">
        <v>0</v>
      </c>
      <c r="AA12" s="14" t="s">
        <v>35</v>
      </c>
      <c r="AB12" s="27">
        <f t="shared" si="11"/>
        <v>-0.69</v>
      </c>
      <c r="AC12" s="28">
        <v>0.3498263888888889</v>
      </c>
      <c r="AD12" s="25">
        <f t="shared" si="12"/>
        <v>-1.44828125</v>
      </c>
      <c r="AE12" s="25">
        <v>-9.6</v>
      </c>
      <c r="AF12" s="25">
        <v>-29.9228205128205</v>
      </c>
      <c r="AG12" s="25">
        <v>0</v>
      </c>
    </row>
    <row r="13" spans="1:33" ht="15.75" customHeight="1">
      <c r="A13" s="14" t="s">
        <v>197</v>
      </c>
      <c r="B13" s="14" t="s">
        <v>112</v>
      </c>
      <c r="C13" s="15">
        <f t="shared" si="4"/>
        <v>72.95</v>
      </c>
      <c r="D13" s="16">
        <v>1</v>
      </c>
      <c r="E13" s="16">
        <v>0</v>
      </c>
      <c r="F13" s="17">
        <v>72.95</v>
      </c>
      <c r="G13" s="29">
        <v>0</v>
      </c>
      <c r="H13" s="18">
        <f t="shared" si="1"/>
        <v>0</v>
      </c>
      <c r="I13" s="18">
        <f t="shared" si="2"/>
        <v>0.29709713730866028</v>
      </c>
      <c r="J13" s="17">
        <f t="shared" si="5"/>
        <v>21.673236166666769</v>
      </c>
      <c r="K13" s="17">
        <f t="shared" si="3"/>
        <v>21.673236166666769</v>
      </c>
      <c r="L13" s="16">
        <v>13</v>
      </c>
      <c r="M13" s="19">
        <f t="shared" si="6"/>
        <v>7.6923076923076927E-2</v>
      </c>
      <c r="N13" s="16">
        <v>33</v>
      </c>
      <c r="O13" s="20">
        <f t="shared" ref="O13:P13" si="21">D13/7</f>
        <v>0.14285714285714285</v>
      </c>
      <c r="P13" s="20">
        <f t="shared" si="21"/>
        <v>0</v>
      </c>
      <c r="Q13" s="16">
        <f t="shared" si="8"/>
        <v>231</v>
      </c>
      <c r="R13" s="16"/>
      <c r="S13" s="21">
        <v>2.8530465949820698</v>
      </c>
      <c r="T13" s="14">
        <v>676</v>
      </c>
      <c r="U13" s="22">
        <v>196</v>
      </c>
      <c r="V13" s="23" t="s">
        <v>883</v>
      </c>
      <c r="W13" s="14">
        <v>0</v>
      </c>
      <c r="X13" s="24">
        <f t="shared" si="9"/>
        <v>0</v>
      </c>
      <c r="Y13" s="25">
        <f t="shared" si="10"/>
        <v>0</v>
      </c>
      <c r="Z13" s="14">
        <v>0</v>
      </c>
      <c r="AA13" s="14" t="s">
        <v>35</v>
      </c>
      <c r="AB13" s="27">
        <f t="shared" si="11"/>
        <v>-0.69</v>
      </c>
      <c r="AC13" s="28">
        <v>0.34366944444444442</v>
      </c>
      <c r="AD13" s="25">
        <f t="shared" si="12"/>
        <v>-0.47426383333333327</v>
      </c>
      <c r="AE13" s="25">
        <v>-9.6</v>
      </c>
      <c r="AF13" s="25">
        <v>-30.259999999999899</v>
      </c>
      <c r="AG13" s="25">
        <v>0</v>
      </c>
    </row>
    <row r="14" spans="1:33" ht="15.75" customHeight="1">
      <c r="A14" s="14" t="s">
        <v>32</v>
      </c>
      <c r="B14" s="14" t="s">
        <v>68</v>
      </c>
      <c r="C14" s="15">
        <f t="shared" si="4"/>
        <v>70.337499999999991</v>
      </c>
      <c r="D14" s="16">
        <v>8</v>
      </c>
      <c r="E14" s="16">
        <v>0</v>
      </c>
      <c r="F14" s="17">
        <v>562.69999999999993</v>
      </c>
      <c r="G14" s="29">
        <v>0</v>
      </c>
      <c r="H14" s="18">
        <f t="shared" si="1"/>
        <v>0</v>
      </c>
      <c r="I14" s="18">
        <f t="shared" si="2"/>
        <v>0.2765610260055697</v>
      </c>
      <c r="J14" s="17">
        <f t="shared" si="5"/>
        <v>155.62088933333405</v>
      </c>
      <c r="K14" s="17">
        <f t="shared" si="3"/>
        <v>19.452611166666756</v>
      </c>
      <c r="L14" s="16">
        <v>30</v>
      </c>
      <c r="M14" s="19">
        <f t="shared" si="6"/>
        <v>0.26666666666666666</v>
      </c>
      <c r="N14" s="16">
        <v>27</v>
      </c>
      <c r="O14" s="20">
        <f t="shared" ref="O14:P14" si="22">D14/7</f>
        <v>1.1428571428571428</v>
      </c>
      <c r="P14" s="20">
        <f t="shared" si="22"/>
        <v>0</v>
      </c>
      <c r="Q14" s="16">
        <f t="shared" si="8"/>
        <v>23</v>
      </c>
      <c r="R14" s="16"/>
      <c r="S14" s="21">
        <v>3.4731707317073099</v>
      </c>
      <c r="T14" s="14">
        <v>676</v>
      </c>
      <c r="U14" s="22">
        <v>196</v>
      </c>
      <c r="V14" s="23" t="s">
        <v>883</v>
      </c>
      <c r="W14" s="14">
        <v>0</v>
      </c>
      <c r="X14" s="24">
        <f t="shared" si="9"/>
        <v>0</v>
      </c>
      <c r="Y14" s="25">
        <f t="shared" si="10"/>
        <v>0</v>
      </c>
      <c r="Z14" s="14">
        <v>0</v>
      </c>
      <c r="AA14" s="14" t="s">
        <v>35</v>
      </c>
      <c r="AB14" s="27">
        <f t="shared" si="11"/>
        <v>-0.69</v>
      </c>
      <c r="AC14" s="28">
        <v>0.34366944444444442</v>
      </c>
      <c r="AD14" s="25">
        <f t="shared" si="12"/>
        <v>-3.7941106666666662</v>
      </c>
      <c r="AE14" s="25">
        <v>-9.6</v>
      </c>
      <c r="AF14" s="25">
        <v>-30.259999999999899</v>
      </c>
      <c r="AG14" s="25">
        <v>0</v>
      </c>
    </row>
    <row r="15" spans="1:33" ht="15.75" customHeight="1">
      <c r="A15" s="14" t="s">
        <v>36</v>
      </c>
      <c r="B15" s="14" t="s">
        <v>884</v>
      </c>
      <c r="C15" s="15">
        <f t="shared" si="4"/>
        <v>69.95</v>
      </c>
      <c r="D15" s="16">
        <v>6</v>
      </c>
      <c r="E15" s="16">
        <v>0</v>
      </c>
      <c r="F15" s="17">
        <v>419.7</v>
      </c>
      <c r="G15" s="29">
        <v>0</v>
      </c>
      <c r="H15" s="18">
        <f t="shared" si="1"/>
        <v>0</v>
      </c>
      <c r="I15" s="18">
        <f t="shared" si="2"/>
        <v>0.24765169644984511</v>
      </c>
      <c r="J15" s="17">
        <f t="shared" si="5"/>
        <v>103.93941699999999</v>
      </c>
      <c r="K15" s="17">
        <f t="shared" si="3"/>
        <v>17.323236166666664</v>
      </c>
      <c r="L15" s="16">
        <v>18</v>
      </c>
      <c r="M15" s="19">
        <f t="shared" si="6"/>
        <v>0.33333333333333331</v>
      </c>
      <c r="N15" s="16">
        <v>20</v>
      </c>
      <c r="O15" s="20">
        <f t="shared" ref="O15:P15" si="23">D15/7</f>
        <v>0.8571428571428571</v>
      </c>
      <c r="P15" s="20">
        <f t="shared" si="23"/>
        <v>0</v>
      </c>
      <c r="Q15" s="16">
        <f t="shared" si="8"/>
        <v>23</v>
      </c>
      <c r="R15" s="16"/>
      <c r="S15" s="21">
        <v>5.1063829787234001</v>
      </c>
      <c r="T15" s="14">
        <v>676</v>
      </c>
      <c r="U15" s="22">
        <v>100</v>
      </c>
      <c r="V15" s="23" t="s">
        <v>885</v>
      </c>
      <c r="W15" s="14">
        <v>0</v>
      </c>
      <c r="X15" s="24">
        <f t="shared" si="9"/>
        <v>0</v>
      </c>
      <c r="Y15" s="25">
        <f t="shared" si="10"/>
        <v>0</v>
      </c>
      <c r="Z15" s="14">
        <v>0</v>
      </c>
      <c r="AA15" s="14" t="s">
        <v>35</v>
      </c>
      <c r="AB15" s="27">
        <f t="shared" si="11"/>
        <v>-0.69</v>
      </c>
      <c r="AC15" s="28">
        <v>0.34366944444444442</v>
      </c>
      <c r="AD15" s="25">
        <f t="shared" si="12"/>
        <v>-2.8455829999999995</v>
      </c>
      <c r="AE15" s="25">
        <v>-9.6</v>
      </c>
      <c r="AF15" s="25">
        <v>-32.06</v>
      </c>
      <c r="AG15" s="25">
        <v>0</v>
      </c>
    </row>
    <row r="16" spans="1:33" ht="15.75" customHeight="1">
      <c r="A16" s="14" t="s">
        <v>38</v>
      </c>
      <c r="B16" s="14" t="s">
        <v>68</v>
      </c>
      <c r="C16" s="15">
        <f t="shared" si="4"/>
        <v>68.467777777777783</v>
      </c>
      <c r="D16" s="16">
        <v>9</v>
      </c>
      <c r="E16" s="16">
        <v>0</v>
      </c>
      <c r="F16" s="17">
        <v>616.21</v>
      </c>
      <c r="G16" s="29">
        <v>0</v>
      </c>
      <c r="H16" s="18">
        <f t="shared" si="1"/>
        <v>0</v>
      </c>
      <c r="I16" s="18">
        <f t="shared" si="2"/>
        <v>0.23461178088638615</v>
      </c>
      <c r="J16" s="17">
        <f t="shared" si="5"/>
        <v>144.57012550000002</v>
      </c>
      <c r="K16" s="17">
        <f t="shared" si="3"/>
        <v>16.06334727777778</v>
      </c>
      <c r="L16" s="16">
        <v>36</v>
      </c>
      <c r="M16" s="19">
        <f t="shared" si="6"/>
        <v>0.25</v>
      </c>
      <c r="N16" s="16">
        <v>12</v>
      </c>
      <c r="O16" s="20">
        <f t="shared" ref="O16:P16" si="24">D16/7</f>
        <v>1.2857142857142858</v>
      </c>
      <c r="P16" s="20">
        <f t="shared" si="24"/>
        <v>0</v>
      </c>
      <c r="Q16" s="16">
        <f t="shared" si="8"/>
        <v>9</v>
      </c>
      <c r="R16" s="16"/>
      <c r="S16" s="21">
        <v>4.7032967032966999</v>
      </c>
      <c r="T16" s="14">
        <v>676</v>
      </c>
      <c r="U16" s="22">
        <v>100</v>
      </c>
      <c r="V16" s="23" t="s">
        <v>886</v>
      </c>
      <c r="W16" s="14">
        <v>0</v>
      </c>
      <c r="X16" s="24">
        <f t="shared" si="9"/>
        <v>0</v>
      </c>
      <c r="Y16" s="25">
        <f t="shared" si="10"/>
        <v>0</v>
      </c>
      <c r="Z16" s="14">
        <v>0</v>
      </c>
      <c r="AA16" s="14" t="s">
        <v>35</v>
      </c>
      <c r="AB16" s="27">
        <f t="shared" si="11"/>
        <v>-0.69</v>
      </c>
      <c r="AC16" s="28">
        <v>0.34366944444444442</v>
      </c>
      <c r="AD16" s="25">
        <f t="shared" si="12"/>
        <v>-4.2683744999999993</v>
      </c>
      <c r="AE16" s="25">
        <v>-9.6</v>
      </c>
      <c r="AF16" s="25">
        <v>-32.06</v>
      </c>
      <c r="AG16" s="25">
        <v>0</v>
      </c>
    </row>
    <row r="17" spans="1:33" ht="15.75" customHeight="1">
      <c r="A17" s="14" t="s">
        <v>40</v>
      </c>
      <c r="B17" s="14" t="s">
        <v>887</v>
      </c>
      <c r="C17" s="15">
        <f t="shared" si="4"/>
        <v>67.95</v>
      </c>
      <c r="D17" s="16">
        <v>7</v>
      </c>
      <c r="E17" s="16">
        <v>1</v>
      </c>
      <c r="F17" s="17">
        <v>475.65</v>
      </c>
      <c r="G17" s="29">
        <v>0</v>
      </c>
      <c r="H17" s="18">
        <f t="shared" si="1"/>
        <v>0</v>
      </c>
      <c r="I17" s="18">
        <f t="shared" si="2"/>
        <v>0.22992253372577864</v>
      </c>
      <c r="J17" s="17">
        <f t="shared" si="5"/>
        <v>109.3626531666666</v>
      </c>
      <c r="K17" s="17">
        <f t="shared" si="3"/>
        <v>15.623236166666658</v>
      </c>
      <c r="L17" s="16">
        <v>28</v>
      </c>
      <c r="M17" s="19">
        <f t="shared" si="6"/>
        <v>0.25</v>
      </c>
      <c r="N17" s="16">
        <v>4</v>
      </c>
      <c r="O17" s="20">
        <f t="shared" ref="O17:P17" si="25">D17/7</f>
        <v>1</v>
      </c>
      <c r="P17" s="20">
        <f t="shared" si="25"/>
        <v>0.14285714285714285</v>
      </c>
      <c r="Q17" s="16">
        <f t="shared" si="8"/>
        <v>3</v>
      </c>
      <c r="R17" s="16"/>
      <c r="S17" s="21">
        <v>3.1470588235294099</v>
      </c>
      <c r="T17" s="14">
        <v>380</v>
      </c>
      <c r="U17" s="22">
        <v>120</v>
      </c>
      <c r="V17" s="23" t="s">
        <v>888</v>
      </c>
      <c r="W17" s="14">
        <v>0</v>
      </c>
      <c r="X17" s="24">
        <f t="shared" si="9"/>
        <v>0</v>
      </c>
      <c r="Y17" s="25">
        <f t="shared" si="10"/>
        <v>0</v>
      </c>
      <c r="Z17" s="14">
        <v>0</v>
      </c>
      <c r="AA17" s="14" t="s">
        <v>35</v>
      </c>
      <c r="AB17" s="27">
        <f t="shared" si="11"/>
        <v>-0.69</v>
      </c>
      <c r="AC17" s="28">
        <v>0.34366944444444442</v>
      </c>
      <c r="AD17" s="25">
        <f t="shared" si="12"/>
        <v>-3.3198468333333331</v>
      </c>
      <c r="AE17" s="25">
        <v>-9.6</v>
      </c>
      <c r="AF17" s="25">
        <v>-32.06</v>
      </c>
      <c r="AG17" s="25">
        <v>0</v>
      </c>
    </row>
    <row r="18" spans="1:33" ht="15.75" customHeight="1">
      <c r="A18" s="14" t="s">
        <v>42</v>
      </c>
      <c r="B18" s="14" t="s">
        <v>68</v>
      </c>
      <c r="C18" s="15">
        <f t="shared" si="4"/>
        <v>64.763333333333364</v>
      </c>
      <c r="D18" s="16">
        <v>30</v>
      </c>
      <c r="E18" s="16">
        <v>0</v>
      </c>
      <c r="F18" s="17">
        <v>1942.9000000000008</v>
      </c>
      <c r="G18" s="29">
        <v>0</v>
      </c>
      <c r="H18" s="18">
        <f t="shared" si="1"/>
        <v>0</v>
      </c>
      <c r="I18" s="18">
        <f t="shared" si="2"/>
        <v>0.19941174790261998</v>
      </c>
      <c r="J18" s="17">
        <f t="shared" si="5"/>
        <v>387.43708500000054</v>
      </c>
      <c r="K18" s="17">
        <f t="shared" si="3"/>
        <v>12.914569500000018</v>
      </c>
      <c r="L18" s="16">
        <v>45</v>
      </c>
      <c r="M18" s="19">
        <f t="shared" si="6"/>
        <v>0.66666666666666663</v>
      </c>
      <c r="N18" s="16">
        <v>275</v>
      </c>
      <c r="O18" s="20">
        <f t="shared" ref="O18:P18" si="26">D18/7</f>
        <v>4.2857142857142856</v>
      </c>
      <c r="P18" s="20">
        <f t="shared" si="26"/>
        <v>0</v>
      </c>
      <c r="Q18" s="16">
        <f t="shared" si="8"/>
        <v>64</v>
      </c>
      <c r="R18" s="16"/>
      <c r="S18" s="21">
        <v>1.17771883289124</v>
      </c>
      <c r="T18" s="14">
        <v>336</v>
      </c>
      <c r="U18" s="22">
        <v>0</v>
      </c>
      <c r="V18" s="23" t="s">
        <v>561</v>
      </c>
      <c r="W18" s="14">
        <v>0</v>
      </c>
      <c r="X18" s="24">
        <f t="shared" si="9"/>
        <v>0</v>
      </c>
      <c r="Y18" s="25">
        <f t="shared" si="10"/>
        <v>0</v>
      </c>
      <c r="Z18" s="14">
        <v>0</v>
      </c>
      <c r="AA18" s="14" t="s">
        <v>35</v>
      </c>
      <c r="AB18" s="27">
        <f t="shared" si="11"/>
        <v>-0.69</v>
      </c>
      <c r="AC18" s="28">
        <v>0.34366944444444442</v>
      </c>
      <c r="AD18" s="25">
        <f t="shared" si="12"/>
        <v>-14.227914999999998</v>
      </c>
      <c r="AE18" s="25">
        <v>-9.6</v>
      </c>
      <c r="AF18" s="25">
        <v>-32.06</v>
      </c>
      <c r="AG18" s="25">
        <v>0</v>
      </c>
    </row>
    <row r="19" spans="1:33" ht="15.75" customHeight="1">
      <c r="A19" s="14" t="s">
        <v>44</v>
      </c>
      <c r="B19" s="14" t="s">
        <v>889</v>
      </c>
      <c r="C19" s="15">
        <f t="shared" si="4"/>
        <v>66.26320000000004</v>
      </c>
      <c r="D19" s="16">
        <v>100</v>
      </c>
      <c r="E19" s="16">
        <v>0</v>
      </c>
      <c r="F19" s="17">
        <v>6626.3200000000033</v>
      </c>
      <c r="G19" s="29">
        <v>-0.02</v>
      </c>
      <c r="H19" s="18">
        <f t="shared" si="1"/>
        <v>3.0182665491554874E-6</v>
      </c>
      <c r="I19" s="18">
        <f t="shared" si="2"/>
        <v>0.19192789009082983</v>
      </c>
      <c r="J19" s="17">
        <f t="shared" si="5"/>
        <v>1271.7756166666682</v>
      </c>
      <c r="K19" s="17">
        <f t="shared" si="3"/>
        <v>12.717756166666682</v>
      </c>
      <c r="L19" s="16">
        <v>158</v>
      </c>
      <c r="M19" s="19">
        <f t="shared" si="6"/>
        <v>0.63291139240506333</v>
      </c>
      <c r="N19" s="16">
        <v>282</v>
      </c>
      <c r="O19" s="20">
        <f t="shared" ref="O19:P19" si="27">D19/7</f>
        <v>14.285714285714286</v>
      </c>
      <c r="P19" s="20">
        <f t="shared" si="27"/>
        <v>0</v>
      </c>
      <c r="Q19" s="16">
        <f t="shared" si="8"/>
        <v>19</v>
      </c>
      <c r="R19" s="16"/>
      <c r="S19" s="21">
        <v>1.66233766233766</v>
      </c>
      <c r="T19" s="14">
        <v>216</v>
      </c>
      <c r="U19" s="22" t="s">
        <v>34</v>
      </c>
      <c r="V19" s="23" t="s">
        <v>34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14" t="s">
        <v>35</v>
      </c>
      <c r="AB19" s="27">
        <f t="shared" si="11"/>
        <v>-0.69</v>
      </c>
      <c r="AC19" s="28">
        <v>0.34366944444444442</v>
      </c>
      <c r="AD19" s="25">
        <f t="shared" si="12"/>
        <v>-47.426383333333327</v>
      </c>
      <c r="AE19" s="25">
        <v>-9.6</v>
      </c>
      <c r="AF19" s="25">
        <v>-33.531500000000008</v>
      </c>
      <c r="AG19" s="25">
        <v>0</v>
      </c>
    </row>
    <row r="20" spans="1:33" ht="15.75" customHeight="1">
      <c r="A20" s="14" t="s">
        <v>46</v>
      </c>
      <c r="B20" s="14" t="s">
        <v>890</v>
      </c>
      <c r="C20" s="15">
        <f t="shared" si="4"/>
        <v>71.227901234567909</v>
      </c>
      <c r="D20" s="16">
        <v>81</v>
      </c>
      <c r="E20" s="16">
        <v>2</v>
      </c>
      <c r="F20" s="17">
        <v>5769.4600000000009</v>
      </c>
      <c r="G20" s="29">
        <v>-0.03</v>
      </c>
      <c r="H20" s="18">
        <f t="shared" si="1"/>
        <v>5.1997933948757763E-6</v>
      </c>
      <c r="I20" s="18">
        <f t="shared" si="2"/>
        <v>0.23245921273394748</v>
      </c>
      <c r="J20" s="17">
        <f t="shared" si="5"/>
        <v>1341.1641295000009</v>
      </c>
      <c r="K20" s="17">
        <f t="shared" si="3"/>
        <v>16.557581845679024</v>
      </c>
      <c r="L20" s="16">
        <v>94</v>
      </c>
      <c r="M20" s="19">
        <f t="shared" si="6"/>
        <v>0.86170212765957444</v>
      </c>
      <c r="N20" s="16">
        <v>219</v>
      </c>
      <c r="O20" s="20">
        <f t="shared" ref="O20:P20" si="28">D20/7</f>
        <v>11.571428571428571</v>
      </c>
      <c r="P20" s="20">
        <f t="shared" si="28"/>
        <v>0.2857142857142857</v>
      </c>
      <c r="Q20" s="16">
        <f t="shared" si="8"/>
        <v>18</v>
      </c>
      <c r="R20" s="16"/>
      <c r="S20" s="21">
        <v>3.7132616487455099</v>
      </c>
      <c r="T20" s="14">
        <v>216</v>
      </c>
      <c r="U20" s="22" t="s">
        <v>34</v>
      </c>
      <c r="V20" s="23" t="s">
        <v>34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14" t="s">
        <v>35</v>
      </c>
      <c r="AB20" s="27">
        <f t="shared" si="11"/>
        <v>-0.69</v>
      </c>
      <c r="AC20" s="28">
        <v>0.34366944444444442</v>
      </c>
      <c r="AD20" s="25">
        <f t="shared" si="12"/>
        <v>-38.415370499999995</v>
      </c>
      <c r="AE20" s="25">
        <v>-9.98</v>
      </c>
      <c r="AF20" s="25">
        <v>-33.531500000000008</v>
      </c>
      <c r="AG20" s="25">
        <v>0</v>
      </c>
    </row>
    <row r="21" spans="1:33" ht="15.75" customHeight="1">
      <c r="A21" s="14" t="s">
        <v>47</v>
      </c>
      <c r="B21" s="14" t="s">
        <v>891</v>
      </c>
      <c r="C21" s="15">
        <f t="shared" si="4"/>
        <v>79.455714285714294</v>
      </c>
      <c r="D21" s="16">
        <v>14</v>
      </c>
      <c r="E21" s="16">
        <v>3</v>
      </c>
      <c r="F21" s="17">
        <v>1112.3800000000001</v>
      </c>
      <c r="G21" s="29">
        <v>0</v>
      </c>
      <c r="H21" s="18">
        <f t="shared" si="1"/>
        <v>0</v>
      </c>
      <c r="I21" s="18">
        <f t="shared" si="2"/>
        <v>0.29641157368285398</v>
      </c>
      <c r="J21" s="17">
        <f t="shared" si="5"/>
        <v>329.72230633333317</v>
      </c>
      <c r="K21" s="17">
        <f t="shared" si="3"/>
        <v>23.551593309523799</v>
      </c>
      <c r="L21" s="16">
        <v>29</v>
      </c>
      <c r="M21" s="19">
        <f t="shared" si="6"/>
        <v>0.48275862068965519</v>
      </c>
      <c r="N21" s="16">
        <v>260</v>
      </c>
      <c r="O21" s="20">
        <f t="shared" ref="O21:P21" si="29">D21/7</f>
        <v>2</v>
      </c>
      <c r="P21" s="20">
        <f t="shared" si="29"/>
        <v>0.42857142857142855</v>
      </c>
      <c r="Q21" s="16">
        <f t="shared" si="8"/>
        <v>107</v>
      </c>
      <c r="R21" s="16"/>
      <c r="S21" s="21">
        <v>3.0588235294117601</v>
      </c>
      <c r="T21" s="14">
        <v>216</v>
      </c>
      <c r="U21" s="22" t="s">
        <v>34</v>
      </c>
      <c r="V21" s="23" t="s">
        <v>34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14" t="s">
        <v>35</v>
      </c>
      <c r="AB21" s="27">
        <f t="shared" si="11"/>
        <v>-0.69</v>
      </c>
      <c r="AC21" s="28">
        <v>0.34366944444444442</v>
      </c>
      <c r="AD21" s="25">
        <f t="shared" si="12"/>
        <v>-6.6396936666666662</v>
      </c>
      <c r="AE21" s="25">
        <v>-9.98</v>
      </c>
      <c r="AF21" s="25">
        <v>-33.531500000000008</v>
      </c>
      <c r="AG21" s="25">
        <v>0</v>
      </c>
    </row>
    <row r="22" spans="1:33" ht="15.75" customHeight="1">
      <c r="A22" s="14" t="s">
        <v>48</v>
      </c>
      <c r="B22" s="14" t="s">
        <v>892</v>
      </c>
      <c r="C22" s="15">
        <f t="shared" si="4"/>
        <v>83.204999999999998</v>
      </c>
      <c r="D22" s="16">
        <v>8</v>
      </c>
      <c r="E22" s="16">
        <v>0</v>
      </c>
      <c r="F22" s="29">
        <v>665.64</v>
      </c>
      <c r="G22" s="29">
        <v>0</v>
      </c>
      <c r="H22" s="18">
        <f t="shared" si="1"/>
        <v>0</v>
      </c>
      <c r="I22" s="18">
        <f t="shared" si="2"/>
        <v>0.32135672335396498</v>
      </c>
      <c r="J22" s="17">
        <f t="shared" si="5"/>
        <v>213.90788933333326</v>
      </c>
      <c r="K22" s="17">
        <f t="shared" si="3"/>
        <v>26.738486166666657</v>
      </c>
      <c r="L22" s="16">
        <v>34</v>
      </c>
      <c r="M22" s="19">
        <f t="shared" si="6"/>
        <v>0.23529411764705882</v>
      </c>
      <c r="N22" s="16">
        <v>251</v>
      </c>
      <c r="O22" s="20">
        <f t="shared" ref="O22:P22" si="30">D22/7</f>
        <v>1.1428571428571428</v>
      </c>
      <c r="P22" s="20">
        <f t="shared" si="30"/>
        <v>0</v>
      </c>
      <c r="Q22" s="16">
        <f t="shared" si="8"/>
        <v>219</v>
      </c>
      <c r="R22" s="16"/>
      <c r="S22" s="21">
        <v>1.728</v>
      </c>
      <c r="T22" s="14">
        <v>216</v>
      </c>
      <c r="U22" s="22" t="s">
        <v>34</v>
      </c>
      <c r="V22" s="23" t="s">
        <v>34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35</v>
      </c>
      <c r="AB22" s="27">
        <f t="shared" si="11"/>
        <v>-0.69</v>
      </c>
      <c r="AC22" s="28">
        <v>0.34366944444444442</v>
      </c>
      <c r="AD22" s="25">
        <f t="shared" si="12"/>
        <v>-3.7941106666666662</v>
      </c>
      <c r="AE22" s="25">
        <v>-9.98</v>
      </c>
      <c r="AF22" s="25">
        <v>-33.531500000000008</v>
      </c>
      <c r="AG22" s="25">
        <v>0</v>
      </c>
    </row>
    <row r="23" spans="1:33" ht="15.75" customHeight="1">
      <c r="A23" s="14" t="s">
        <v>49</v>
      </c>
      <c r="B23" s="14" t="s">
        <v>893</v>
      </c>
      <c r="C23" s="15">
        <f t="shared" si="4"/>
        <v>78.95</v>
      </c>
      <c r="D23" s="16">
        <v>5</v>
      </c>
      <c r="E23" s="16">
        <v>0</v>
      </c>
      <c r="F23" s="17">
        <v>394.75</v>
      </c>
      <c r="G23" s="29">
        <v>0</v>
      </c>
      <c r="H23" s="18">
        <f t="shared" si="1"/>
        <v>0</v>
      </c>
      <c r="I23" s="18">
        <f t="shared" si="2"/>
        <v>0.29286556259235785</v>
      </c>
      <c r="J23" s="17">
        <f t="shared" si="5"/>
        <v>115.60868083333327</v>
      </c>
      <c r="K23" s="17">
        <f t="shared" si="3"/>
        <v>23.121736166666654</v>
      </c>
      <c r="L23" s="16">
        <v>30</v>
      </c>
      <c r="M23" s="19">
        <f t="shared" si="6"/>
        <v>0.16666666666666666</v>
      </c>
      <c r="N23" s="16">
        <v>251</v>
      </c>
      <c r="O23" s="20">
        <f t="shared" ref="O23:P23" si="31">D23/7</f>
        <v>0.7142857142857143</v>
      </c>
      <c r="P23" s="20">
        <f t="shared" si="31"/>
        <v>0</v>
      </c>
      <c r="Q23" s="16">
        <f t="shared" si="8"/>
        <v>351</v>
      </c>
      <c r="R23" s="16"/>
      <c r="S23" s="21">
        <v>1.8637992831541199</v>
      </c>
      <c r="T23" s="14">
        <v>216</v>
      </c>
      <c r="U23" s="22" t="s">
        <v>34</v>
      </c>
      <c r="V23" s="23" t="s">
        <v>34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35</v>
      </c>
      <c r="AB23" s="27">
        <f t="shared" si="11"/>
        <v>-0.69</v>
      </c>
      <c r="AC23" s="28">
        <v>0.34366944444444442</v>
      </c>
      <c r="AD23" s="25">
        <f t="shared" si="12"/>
        <v>-2.3713191666666664</v>
      </c>
      <c r="AE23" s="25">
        <v>-9.98</v>
      </c>
      <c r="AF23" s="25">
        <v>-33.531500000000008</v>
      </c>
      <c r="AG23" s="25">
        <v>0</v>
      </c>
    </row>
    <row r="24" spans="1:33" ht="15.75" customHeight="1">
      <c r="A24" s="14" t="s">
        <v>50</v>
      </c>
      <c r="B24" s="14" t="s">
        <v>894</v>
      </c>
      <c r="C24" s="15">
        <f t="shared" si="4"/>
        <v>62.132045454545462</v>
      </c>
      <c r="D24" s="16">
        <v>44</v>
      </c>
      <c r="E24" s="16">
        <v>0</v>
      </c>
      <c r="F24" s="17">
        <v>2733.8100000000004</v>
      </c>
      <c r="G24" s="17">
        <v>0</v>
      </c>
      <c r="H24" s="18">
        <f t="shared" si="1"/>
        <v>0</v>
      </c>
      <c r="I24" s="18">
        <f t="shared" si="2"/>
        <v>0.14205994247344667</v>
      </c>
      <c r="J24" s="17">
        <f t="shared" si="5"/>
        <v>388.36489133333328</v>
      </c>
      <c r="K24" s="17">
        <f t="shared" si="3"/>
        <v>8.8264748030303011</v>
      </c>
      <c r="L24" s="16">
        <v>55</v>
      </c>
      <c r="M24" s="19">
        <f t="shared" si="6"/>
        <v>0.8</v>
      </c>
      <c r="N24" s="16">
        <v>213</v>
      </c>
      <c r="O24" s="20">
        <f t="shared" ref="O24:P24" si="32">D24/7</f>
        <v>6.2857142857142856</v>
      </c>
      <c r="P24" s="20">
        <f t="shared" si="32"/>
        <v>0</v>
      </c>
      <c r="Q24" s="16">
        <f t="shared" si="8"/>
        <v>33</v>
      </c>
      <c r="R24" s="16"/>
      <c r="S24" s="21">
        <v>1.7894736842105201</v>
      </c>
      <c r="T24" s="14">
        <v>216</v>
      </c>
      <c r="U24" s="22" t="s">
        <v>34</v>
      </c>
      <c r="V24" s="23" t="s">
        <v>34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14" t="s">
        <v>35</v>
      </c>
      <c r="AB24" s="27">
        <f t="shared" si="11"/>
        <v>-0.69</v>
      </c>
      <c r="AC24" s="28">
        <v>0.34366944444444442</v>
      </c>
      <c r="AD24" s="25">
        <f t="shared" si="12"/>
        <v>-20.867608666666666</v>
      </c>
      <c r="AE24" s="25">
        <v>-9.98</v>
      </c>
      <c r="AF24" s="25">
        <v>-33.531500000000008</v>
      </c>
      <c r="AG24" s="25">
        <v>0</v>
      </c>
    </row>
    <row r="25" spans="1:33" ht="15.75" customHeight="1">
      <c r="A25" s="14" t="s">
        <v>51</v>
      </c>
      <c r="B25" s="14" t="s">
        <v>895</v>
      </c>
      <c r="C25" s="15">
        <f t="shared" si="4"/>
        <v>61.522727272727273</v>
      </c>
      <c r="D25" s="16">
        <v>66</v>
      </c>
      <c r="E25" s="16">
        <v>0</v>
      </c>
      <c r="F25" s="17">
        <v>4060.5</v>
      </c>
      <c r="G25" s="17">
        <v>0</v>
      </c>
      <c r="H25" s="18">
        <f t="shared" si="1"/>
        <v>0</v>
      </c>
      <c r="I25" s="18">
        <f t="shared" si="2"/>
        <v>0.135072918852358</v>
      </c>
      <c r="J25" s="17">
        <f t="shared" si="5"/>
        <v>548.46358699999962</v>
      </c>
      <c r="K25" s="17">
        <f t="shared" si="3"/>
        <v>8.3100543484848419</v>
      </c>
      <c r="L25" s="16">
        <v>144</v>
      </c>
      <c r="M25" s="19">
        <f t="shared" si="6"/>
        <v>0.45833333333333331</v>
      </c>
      <c r="N25" s="16">
        <v>141</v>
      </c>
      <c r="O25" s="20">
        <f t="shared" ref="O25:P25" si="33">D25/7</f>
        <v>9.4285714285714288</v>
      </c>
      <c r="P25" s="20">
        <f t="shared" si="33"/>
        <v>0</v>
      </c>
      <c r="Q25" s="16">
        <f t="shared" si="8"/>
        <v>14</v>
      </c>
      <c r="R25" s="16"/>
      <c r="S25" s="21">
        <v>2.8126315789473679</v>
      </c>
      <c r="T25" s="14">
        <v>216</v>
      </c>
      <c r="U25" s="22" t="s">
        <v>34</v>
      </c>
      <c r="V25" s="23" t="s">
        <v>34</v>
      </c>
      <c r="W25" s="30">
        <v>0</v>
      </c>
      <c r="X25" s="24">
        <f t="shared" si="9"/>
        <v>0</v>
      </c>
      <c r="Y25" s="25">
        <f t="shared" si="10"/>
        <v>0</v>
      </c>
      <c r="Z25" s="30">
        <v>0</v>
      </c>
      <c r="AA25" s="14" t="s">
        <v>35</v>
      </c>
      <c r="AB25" s="27">
        <f t="shared" si="11"/>
        <v>-0.69</v>
      </c>
      <c r="AC25" s="28">
        <v>0.34366944444444442</v>
      </c>
      <c r="AD25" s="25">
        <f t="shared" si="12"/>
        <v>-31.301412999999997</v>
      </c>
      <c r="AE25" s="25">
        <v>-9.98</v>
      </c>
      <c r="AF25" s="25">
        <v>-33.53</v>
      </c>
      <c r="AG25" s="25">
        <v>0</v>
      </c>
    </row>
    <row r="26" spans="1:33" ht="15.75" customHeight="1">
      <c r="A26" s="14" t="s">
        <v>52</v>
      </c>
      <c r="B26" s="14" t="s">
        <v>896</v>
      </c>
      <c r="C26" s="15">
        <f t="shared" si="4"/>
        <v>62.513695652173915</v>
      </c>
      <c r="D26" s="16">
        <v>92</v>
      </c>
      <c r="E26" s="16">
        <v>3</v>
      </c>
      <c r="F26" s="17">
        <v>5751.26</v>
      </c>
      <c r="G26" s="17">
        <v>0</v>
      </c>
      <c r="H26" s="18">
        <f t="shared" si="1"/>
        <v>0</v>
      </c>
      <c r="I26" s="18">
        <f t="shared" si="2"/>
        <v>0.15757950906989654</v>
      </c>
      <c r="J26" s="17">
        <f t="shared" si="5"/>
        <v>906.28072733333318</v>
      </c>
      <c r="K26" s="17">
        <f t="shared" si="3"/>
        <v>9.8508774710144902</v>
      </c>
      <c r="L26" s="16">
        <v>150</v>
      </c>
      <c r="M26" s="19">
        <f t="shared" si="6"/>
        <v>0.61333333333333329</v>
      </c>
      <c r="N26" s="16">
        <v>75</v>
      </c>
      <c r="O26" s="20">
        <f t="shared" ref="O26:P26" si="34">D26/7</f>
        <v>13.142857142857142</v>
      </c>
      <c r="P26" s="20">
        <f t="shared" si="34"/>
        <v>0.42857142857142855</v>
      </c>
      <c r="Q26" s="16">
        <f t="shared" si="8"/>
        <v>5</v>
      </c>
      <c r="R26" s="16"/>
      <c r="S26" s="21">
        <v>2.608985024958403</v>
      </c>
      <c r="T26" s="14">
        <v>216</v>
      </c>
      <c r="U26" s="22" t="s">
        <v>34</v>
      </c>
      <c r="V26" s="23" t="s">
        <v>34</v>
      </c>
      <c r="W26" s="30">
        <v>0</v>
      </c>
      <c r="X26" s="24">
        <f t="shared" si="9"/>
        <v>0</v>
      </c>
      <c r="Y26" s="25">
        <f t="shared" si="10"/>
        <v>0</v>
      </c>
      <c r="Z26" s="30">
        <v>0</v>
      </c>
      <c r="AA26" s="14" t="s">
        <v>35</v>
      </c>
      <c r="AB26" s="27">
        <f t="shared" si="11"/>
        <v>-0.69</v>
      </c>
      <c r="AC26" s="28">
        <v>0.34366944444444442</v>
      </c>
      <c r="AD26" s="25">
        <f t="shared" si="12"/>
        <v>-43.632272666666658</v>
      </c>
      <c r="AE26" s="25">
        <v>-9.2799999999999994</v>
      </c>
      <c r="AF26" s="25">
        <v>-33.531500000000001</v>
      </c>
      <c r="AG26" s="25">
        <v>0</v>
      </c>
    </row>
    <row r="27" spans="1:33" ht="15.75" customHeight="1">
      <c r="A27" s="14" t="s">
        <v>53</v>
      </c>
      <c r="B27" s="14" t="s">
        <v>45</v>
      </c>
      <c r="C27" s="15">
        <f t="shared" si="4"/>
        <v>66.930217391304353</v>
      </c>
      <c r="D27" s="16">
        <v>46</v>
      </c>
      <c r="E27" s="16">
        <v>1</v>
      </c>
      <c r="F27" s="17">
        <v>3078.79</v>
      </c>
      <c r="G27" s="17">
        <v>0</v>
      </c>
      <c r="H27" s="18">
        <f t="shared" si="1"/>
        <v>0</v>
      </c>
      <c r="I27" s="18">
        <f t="shared" si="2"/>
        <v>0.20130550107888714</v>
      </c>
      <c r="J27" s="17">
        <f t="shared" si="5"/>
        <v>619.77736366666693</v>
      </c>
      <c r="K27" s="17">
        <f t="shared" si="3"/>
        <v>13.473420949275368</v>
      </c>
      <c r="L27" s="16">
        <v>100</v>
      </c>
      <c r="M27" s="19">
        <f t="shared" si="6"/>
        <v>0.46</v>
      </c>
      <c r="N27" s="16">
        <v>2</v>
      </c>
      <c r="O27" s="20">
        <f t="shared" ref="O27:P27" si="35">D27/7</f>
        <v>6.5714285714285712</v>
      </c>
      <c r="P27" s="20">
        <f t="shared" si="35"/>
        <v>0.14285714285714285</v>
      </c>
      <c r="Q27" s="16">
        <f t="shared" si="8"/>
        <v>0</v>
      </c>
      <c r="R27" s="16"/>
      <c r="S27" s="21">
        <v>3.5727440147329652</v>
      </c>
      <c r="T27" s="14">
        <v>216</v>
      </c>
      <c r="U27" s="22" t="s">
        <v>34</v>
      </c>
      <c r="V27" s="23" t="s">
        <v>34</v>
      </c>
      <c r="W27" s="30">
        <v>0</v>
      </c>
      <c r="X27" s="24">
        <f t="shared" si="9"/>
        <v>0</v>
      </c>
      <c r="Y27" s="25">
        <f t="shared" si="10"/>
        <v>0</v>
      </c>
      <c r="Z27" s="30">
        <v>0</v>
      </c>
      <c r="AA27" s="14" t="s">
        <v>35</v>
      </c>
      <c r="AB27" s="27">
        <f t="shared" si="11"/>
        <v>-0.69</v>
      </c>
      <c r="AC27" s="28">
        <v>0.34366944444444442</v>
      </c>
      <c r="AD27" s="25">
        <f t="shared" si="12"/>
        <v>-21.816136333333329</v>
      </c>
      <c r="AE27" s="25">
        <v>-9.2799999999999994</v>
      </c>
      <c r="AF27" s="25">
        <v>-33.662999999999997</v>
      </c>
      <c r="AG27" s="25">
        <v>0</v>
      </c>
    </row>
    <row r="28" spans="1:33" ht="15.75" customHeight="1">
      <c r="A28" s="14" t="s">
        <v>54</v>
      </c>
      <c r="B28" s="14" t="s">
        <v>45</v>
      </c>
      <c r="C28" s="15" t="str">
        <f t="shared" si="4"/>
        <v xml:space="preserve"> - </v>
      </c>
      <c r="D28" s="16">
        <v>0</v>
      </c>
      <c r="E28" s="16">
        <v>0</v>
      </c>
      <c r="F28" s="17">
        <v>0</v>
      </c>
      <c r="G28" s="17">
        <v>0</v>
      </c>
      <c r="H28" s="18" t="e">
        <f t="shared" si="1"/>
        <v>#DIV/0!</v>
      </c>
      <c r="I28" s="18" t="e">
        <f t="shared" si="2"/>
        <v>#DIV/0!</v>
      </c>
      <c r="J28" s="17">
        <f t="shared" si="5"/>
        <v>0</v>
      </c>
      <c r="K28" s="17" t="e">
        <f t="shared" si="3"/>
        <v>#DIV/0!</v>
      </c>
      <c r="L28" s="16">
        <v>0</v>
      </c>
      <c r="M28" s="19" t="str">
        <f t="shared" si="6"/>
        <v>-</v>
      </c>
      <c r="N28" s="16">
        <v>0</v>
      </c>
      <c r="O28" s="20">
        <f t="shared" ref="O28:P28" si="36">D28/7</f>
        <v>0</v>
      </c>
      <c r="P28" s="20">
        <f t="shared" si="36"/>
        <v>0</v>
      </c>
      <c r="Q28" s="16" t="e">
        <f t="shared" si="8"/>
        <v>#DIV/0!</v>
      </c>
      <c r="R28" s="16"/>
      <c r="S28" s="21">
        <v>0</v>
      </c>
      <c r="T28" s="14">
        <v>416</v>
      </c>
      <c r="U28" s="22">
        <v>44409</v>
      </c>
      <c r="V28" s="23" t="s">
        <v>897</v>
      </c>
      <c r="W28" s="30">
        <v>0</v>
      </c>
      <c r="X28" s="24">
        <f t="shared" si="9"/>
        <v>0</v>
      </c>
      <c r="Y28" s="25">
        <f t="shared" si="10"/>
        <v>0</v>
      </c>
      <c r="Z28" s="30">
        <v>0</v>
      </c>
      <c r="AA28" s="14" t="s">
        <v>35</v>
      </c>
      <c r="AB28" s="27">
        <f t="shared" si="11"/>
        <v>-0.69</v>
      </c>
      <c r="AC28" s="28">
        <v>0.34366944444444442</v>
      </c>
      <c r="AD28" s="25">
        <f t="shared" si="12"/>
        <v>0</v>
      </c>
      <c r="AE28" s="25">
        <v>-9.2799999999999994</v>
      </c>
      <c r="AF28" s="25">
        <v>-33.662999999999997</v>
      </c>
      <c r="AG28" s="25">
        <v>0</v>
      </c>
    </row>
    <row r="29" spans="1:33" ht="15.75" customHeight="1">
      <c r="A29" s="14" t="s">
        <v>55</v>
      </c>
      <c r="B29" s="14" t="s">
        <v>45</v>
      </c>
      <c r="C29" s="15">
        <f t="shared" si="4"/>
        <v>69.72</v>
      </c>
      <c r="D29" s="16">
        <v>2</v>
      </c>
      <c r="E29" s="16">
        <v>0</v>
      </c>
      <c r="F29" s="17">
        <v>139.44</v>
      </c>
      <c r="G29" s="17">
        <v>0</v>
      </c>
      <c r="H29" s="18">
        <f t="shared" si="1"/>
        <v>0</v>
      </c>
      <c r="I29" s="18">
        <f t="shared" si="2"/>
        <v>0.22726242350353801</v>
      </c>
      <c r="J29" s="17">
        <f t="shared" si="5"/>
        <v>31.689472333333338</v>
      </c>
      <c r="K29" s="17">
        <f t="shared" si="3"/>
        <v>15.844736166666669</v>
      </c>
      <c r="L29" s="16">
        <v>13</v>
      </c>
      <c r="M29" s="19">
        <f t="shared" si="6"/>
        <v>0.15384615384615385</v>
      </c>
      <c r="N29" s="16">
        <v>0</v>
      </c>
      <c r="O29" s="20">
        <f t="shared" ref="O29:P29" si="37">D29/7</f>
        <v>0.2857142857142857</v>
      </c>
      <c r="P29" s="20">
        <f t="shared" si="37"/>
        <v>0</v>
      </c>
      <c r="Q29" s="16">
        <f t="shared" si="8"/>
        <v>0</v>
      </c>
      <c r="R29" s="16"/>
      <c r="S29" s="21">
        <v>0</v>
      </c>
      <c r="T29" s="14">
        <v>416</v>
      </c>
      <c r="U29" s="22">
        <v>44409</v>
      </c>
      <c r="V29" s="23" t="s">
        <v>897</v>
      </c>
      <c r="W29" s="30">
        <v>0</v>
      </c>
      <c r="X29" s="24">
        <f t="shared" si="9"/>
        <v>0</v>
      </c>
      <c r="Y29" s="25">
        <f t="shared" si="10"/>
        <v>0</v>
      </c>
      <c r="Z29" s="30">
        <v>0</v>
      </c>
      <c r="AA29" s="14" t="s">
        <v>35</v>
      </c>
      <c r="AB29" s="27">
        <f t="shared" si="11"/>
        <v>-0.69</v>
      </c>
      <c r="AC29" s="28">
        <v>0.34366944444444442</v>
      </c>
      <c r="AD29" s="25">
        <f t="shared" si="12"/>
        <v>-0.94852766666666655</v>
      </c>
      <c r="AE29" s="25">
        <v>-9.2799999999999994</v>
      </c>
      <c r="AF29" s="25">
        <v>-33.662999999999997</v>
      </c>
      <c r="AG29" s="25">
        <v>0</v>
      </c>
    </row>
    <row r="30" spans="1:33" ht="15.75" customHeight="1">
      <c r="A30" s="14" t="s">
        <v>57</v>
      </c>
      <c r="B30" s="14" t="s">
        <v>45</v>
      </c>
      <c r="C30" s="15">
        <f t="shared" si="4"/>
        <v>66.95</v>
      </c>
      <c r="D30" s="16">
        <v>1</v>
      </c>
      <c r="E30" s="16">
        <v>0</v>
      </c>
      <c r="F30" s="17">
        <v>66.95</v>
      </c>
      <c r="G30" s="17">
        <v>0</v>
      </c>
      <c r="H30" s="18">
        <f t="shared" si="1"/>
        <v>0</v>
      </c>
      <c r="I30" s="18">
        <f t="shared" si="2"/>
        <v>0.20392394826985305</v>
      </c>
      <c r="J30" s="17">
        <f t="shared" si="5"/>
        <v>13.652708336666663</v>
      </c>
      <c r="K30" s="17">
        <f t="shared" si="3"/>
        <v>13.652708336666663</v>
      </c>
      <c r="L30" s="16">
        <v>7</v>
      </c>
      <c r="M30" s="19">
        <f t="shared" si="6"/>
        <v>0.14285714285714285</v>
      </c>
      <c r="N30" s="16">
        <v>0</v>
      </c>
      <c r="O30" s="20">
        <f t="shared" ref="O30:P30" si="38">D30/7</f>
        <v>0.14285714285714285</v>
      </c>
      <c r="P30" s="20">
        <f t="shared" si="38"/>
        <v>0</v>
      </c>
      <c r="Q30" s="16">
        <f t="shared" si="8"/>
        <v>0</v>
      </c>
      <c r="R30" s="16"/>
      <c r="S30" s="21">
        <v>0</v>
      </c>
      <c r="T30" s="14">
        <v>216</v>
      </c>
      <c r="U30" s="22">
        <v>140</v>
      </c>
      <c r="V30" s="23" t="s">
        <v>897</v>
      </c>
      <c r="W30" s="30">
        <v>0</v>
      </c>
      <c r="X30" s="24">
        <f t="shared" si="9"/>
        <v>0</v>
      </c>
      <c r="Y30" s="25">
        <f t="shared" si="10"/>
        <v>0</v>
      </c>
      <c r="Z30" s="30">
        <v>0</v>
      </c>
      <c r="AA30" s="14" t="s">
        <v>35</v>
      </c>
      <c r="AB30" s="27">
        <f t="shared" si="11"/>
        <v>-0.69</v>
      </c>
      <c r="AC30" s="28">
        <v>0.34366944444444442</v>
      </c>
      <c r="AD30" s="25">
        <f t="shared" si="12"/>
        <v>-0.47426383333333327</v>
      </c>
      <c r="AE30" s="25">
        <v>-9.2799999999999994</v>
      </c>
      <c r="AF30" s="25">
        <v>-33.500527830000003</v>
      </c>
      <c r="AG30" s="25">
        <v>0</v>
      </c>
    </row>
    <row r="31" spans="1:33" ht="15.75" customHeight="1">
      <c r="A31" s="14" t="s">
        <v>58</v>
      </c>
      <c r="B31" s="14" t="s">
        <v>45</v>
      </c>
      <c r="C31" s="15">
        <f t="shared" si="4"/>
        <v>66.95</v>
      </c>
      <c r="D31" s="16">
        <v>1</v>
      </c>
      <c r="E31" s="16">
        <v>0</v>
      </c>
      <c r="F31" s="17">
        <v>66.95</v>
      </c>
      <c r="G31" s="17">
        <v>0</v>
      </c>
      <c r="H31" s="18">
        <f t="shared" si="1"/>
        <v>0</v>
      </c>
      <c r="I31" s="18">
        <f t="shared" si="2"/>
        <v>0.20392394826985305</v>
      </c>
      <c r="J31" s="17">
        <f t="shared" si="5"/>
        <v>13.652708336666663</v>
      </c>
      <c r="K31" s="17">
        <f t="shared" si="3"/>
        <v>13.652708336666663</v>
      </c>
      <c r="L31" s="16">
        <v>9</v>
      </c>
      <c r="M31" s="19">
        <f t="shared" si="6"/>
        <v>0.1111111111111111</v>
      </c>
      <c r="N31" s="16">
        <v>1</v>
      </c>
      <c r="O31" s="20">
        <f t="shared" ref="O31:P31" si="39">D31/7</f>
        <v>0.14285714285714285</v>
      </c>
      <c r="P31" s="20">
        <f t="shared" si="39"/>
        <v>0</v>
      </c>
      <c r="Q31" s="16">
        <f t="shared" si="8"/>
        <v>7</v>
      </c>
      <c r="R31" s="16"/>
      <c r="S31" s="21" t="e">
        <v>#N/A</v>
      </c>
      <c r="T31" s="14" t="s">
        <v>34</v>
      </c>
      <c r="U31" s="22" t="s">
        <v>34</v>
      </c>
      <c r="V31" s="23" t="s">
        <v>898</v>
      </c>
      <c r="W31" s="30">
        <v>0</v>
      </c>
      <c r="X31" s="24">
        <f t="shared" si="9"/>
        <v>0</v>
      </c>
      <c r="Y31" s="25">
        <f t="shared" si="10"/>
        <v>0</v>
      </c>
      <c r="Z31" s="30">
        <v>0</v>
      </c>
      <c r="AA31" s="14" t="s">
        <v>35</v>
      </c>
      <c r="AB31" s="27">
        <f t="shared" si="11"/>
        <v>-0.69</v>
      </c>
      <c r="AC31" s="28">
        <v>0.34366944444444442</v>
      </c>
      <c r="AD31" s="25">
        <f t="shared" si="12"/>
        <v>-0.47426383333333327</v>
      </c>
      <c r="AE31" s="25">
        <v>-9.2799999999999994</v>
      </c>
      <c r="AF31" s="25">
        <v>-33.500527830000003</v>
      </c>
      <c r="AG31" s="25">
        <v>0</v>
      </c>
    </row>
    <row r="32" spans="1:33" ht="15.75" customHeight="1">
      <c r="A32" s="14" t="s">
        <v>60</v>
      </c>
      <c r="B32" s="14"/>
      <c r="C32" s="15">
        <f t="shared" si="4"/>
        <v>66.95</v>
      </c>
      <c r="D32" s="16">
        <v>1</v>
      </c>
      <c r="E32" s="16">
        <v>0</v>
      </c>
      <c r="F32" s="17">
        <v>66.95</v>
      </c>
      <c r="G32" s="17">
        <v>0</v>
      </c>
      <c r="H32" s="18">
        <f t="shared" si="1"/>
        <v>0</v>
      </c>
      <c r="I32" s="18">
        <f t="shared" si="2"/>
        <v>0.20392394826985305</v>
      </c>
      <c r="J32" s="17">
        <f t="shared" si="5"/>
        <v>13.652708336666663</v>
      </c>
      <c r="K32" s="17">
        <f t="shared" si="3"/>
        <v>13.652708336666663</v>
      </c>
      <c r="L32" s="16">
        <v>5</v>
      </c>
      <c r="M32" s="19">
        <f t="shared" si="6"/>
        <v>0.2</v>
      </c>
      <c r="N32" s="16">
        <v>1</v>
      </c>
      <c r="O32" s="20">
        <f t="shared" ref="O32:P32" si="40">D32/7</f>
        <v>0.14285714285714285</v>
      </c>
      <c r="P32" s="20">
        <f t="shared" si="40"/>
        <v>0</v>
      </c>
      <c r="Q32" s="16">
        <f t="shared" si="8"/>
        <v>7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0</v>
      </c>
      <c r="T32" s="14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2" s="22">
        <f ca="1">IFERROR(__xludf.DUMMYFUNCTION("IFERROR(VLOOKUP($B$2,IMPORTRANGE(""https://docs.google.com/spreadsheets/d/1KiWZV1ko8G7lnRucBRBd29jj3Be6ltMfljMDqzOkQmI/edit#gid=1381463014"",""Lookup!A:D""),3,FALSE),"""")"),140)</f>
        <v>140</v>
      </c>
      <c r="V32" s="23" t="str">
        <f ca="1">IFERROR(__xludf.DUMMYFUNCTION("IFERROR(VLOOKUP($B$2,IMPORTRANGE(""https://docs.google.com/spreadsheets/d/1KiWZV1ko8G7lnRucBRBd29jj3Be6ltMfljMDqzOkQmI/edit#gid=1381463014"",""Lookup!A:D""),2,FALSE),"""")"),"| 414  - 140 units 08/02")</f>
        <v>| 414  - 140 units 08/02</v>
      </c>
      <c r="W32" s="30">
        <v>0</v>
      </c>
      <c r="X32" s="24">
        <f t="shared" si="9"/>
        <v>0</v>
      </c>
      <c r="Y32" s="25">
        <f t="shared" si="10"/>
        <v>0</v>
      </c>
      <c r="Z32" s="30">
        <v>0</v>
      </c>
      <c r="AA32" s="14" t="s">
        <v>35</v>
      </c>
      <c r="AB32" s="27">
        <f t="shared" si="11"/>
        <v>-0.69</v>
      </c>
      <c r="AC32" s="28">
        <v>0.34366944444444442</v>
      </c>
      <c r="AD32" s="25">
        <f t="shared" si="12"/>
        <v>-0.47426383333333327</v>
      </c>
      <c r="AE32" s="25">
        <v>-9.2799999999999994</v>
      </c>
      <c r="AF32" s="25">
        <v>-33.500527830000003</v>
      </c>
      <c r="AG32" s="25">
        <v>0</v>
      </c>
    </row>
    <row r="33" spans="1:33" ht="15.75" customHeight="1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16"/>
      <c r="S33" s="21"/>
      <c r="T33" s="31"/>
      <c r="U33" s="36"/>
      <c r="V33" s="1"/>
      <c r="W33" s="31"/>
      <c r="X33" s="31"/>
      <c r="Y33" s="31"/>
      <c r="Z33" s="31"/>
      <c r="AA33" s="2"/>
      <c r="AB33" s="31"/>
      <c r="AC33" s="31"/>
      <c r="AD33" s="31"/>
      <c r="AE33" s="37"/>
      <c r="AF33" s="37"/>
      <c r="AG33" s="37"/>
    </row>
    <row r="34" spans="1:33" ht="15.75" customHeight="1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6"/>
      <c r="V34" s="1"/>
      <c r="W34" s="31"/>
      <c r="X34" s="31"/>
      <c r="Y34" s="31"/>
      <c r="Z34" s="31"/>
      <c r="AA34" s="2"/>
      <c r="AB34" s="31"/>
      <c r="AC34" s="31"/>
      <c r="AD34" s="31"/>
      <c r="AE34" s="37"/>
      <c r="AF34" s="37"/>
      <c r="AG34" s="37"/>
    </row>
    <row r="35" spans="1:33" ht="15.75" customHeight="1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6"/>
      <c r="V35" s="1"/>
      <c r="W35" s="31"/>
      <c r="X35" s="31"/>
      <c r="Y35" s="31"/>
      <c r="Z35" s="31"/>
      <c r="AA35" s="2"/>
      <c r="AB35" s="31"/>
      <c r="AC35" s="31"/>
      <c r="AD35" s="31"/>
      <c r="AE35" s="37"/>
      <c r="AF35" s="37"/>
      <c r="AG35" s="37"/>
    </row>
    <row r="36" spans="1:33" ht="15.75" customHeight="1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6"/>
      <c r="V36" s="1"/>
      <c r="W36" s="31"/>
      <c r="X36" s="31"/>
      <c r="Y36" s="31"/>
      <c r="Z36" s="31"/>
      <c r="AA36" s="2"/>
      <c r="AB36" s="31"/>
      <c r="AC36" s="31"/>
      <c r="AD36" s="31"/>
      <c r="AE36" s="37"/>
      <c r="AF36" s="37"/>
      <c r="AG36" s="37"/>
    </row>
    <row r="37" spans="1:33" ht="15.75" customHeight="1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6"/>
      <c r="V37" s="1"/>
      <c r="W37" s="31"/>
      <c r="X37" s="31"/>
      <c r="Y37" s="31"/>
      <c r="Z37" s="31"/>
      <c r="AA37" s="2"/>
      <c r="AB37" s="31"/>
      <c r="AC37" s="31"/>
      <c r="AD37" s="31"/>
      <c r="AE37" s="37"/>
      <c r="AF37" s="37"/>
      <c r="AG37" s="37"/>
    </row>
    <row r="38" spans="1:33" ht="15.75" customHeight="1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6"/>
      <c r="V38" s="1"/>
      <c r="W38" s="31"/>
      <c r="X38" s="31"/>
      <c r="Y38" s="31"/>
      <c r="Z38" s="31"/>
      <c r="AA38" s="2"/>
      <c r="AB38" s="31"/>
      <c r="AC38" s="31"/>
      <c r="AD38" s="31"/>
      <c r="AE38" s="37"/>
      <c r="AF38" s="37"/>
      <c r="AG38" s="37"/>
    </row>
    <row r="39" spans="1:33" ht="15.75" customHeight="1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6"/>
      <c r="V39" s="1"/>
      <c r="W39" s="31"/>
      <c r="X39" s="31"/>
      <c r="Y39" s="31"/>
      <c r="Z39" s="31"/>
      <c r="AA39" s="2"/>
      <c r="AB39" s="31"/>
      <c r="AC39" s="31"/>
      <c r="AD39" s="31"/>
      <c r="AE39" s="37"/>
      <c r="AF39" s="37"/>
      <c r="AG39" s="37"/>
    </row>
    <row r="40" spans="1:33" ht="15.75" customHeight="1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6"/>
      <c r="V40" s="1"/>
      <c r="W40" s="31"/>
      <c r="X40" s="31"/>
      <c r="Y40" s="31"/>
      <c r="Z40" s="31"/>
      <c r="AA40" s="2"/>
      <c r="AB40" s="31"/>
      <c r="AC40" s="31"/>
      <c r="AD40" s="31"/>
      <c r="AE40" s="37"/>
      <c r="AF40" s="37"/>
      <c r="AG40" s="37"/>
    </row>
    <row r="41" spans="1:33" ht="15.75" customHeight="1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6"/>
      <c r="V41" s="1"/>
      <c r="W41" s="31"/>
      <c r="X41" s="31"/>
      <c r="Y41" s="31"/>
      <c r="Z41" s="31"/>
      <c r="AA41" s="2"/>
      <c r="AB41" s="31"/>
      <c r="AC41" s="31"/>
      <c r="AD41" s="31"/>
      <c r="AE41" s="37"/>
      <c r="AF41" s="37"/>
      <c r="AG41" s="37"/>
    </row>
    <row r="42" spans="1:33" ht="15.75" customHeight="1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6"/>
      <c r="V42" s="1"/>
      <c r="W42" s="31"/>
      <c r="X42" s="31"/>
      <c r="Y42" s="31"/>
      <c r="Z42" s="31"/>
      <c r="AA42" s="2"/>
      <c r="AB42" s="31"/>
      <c r="AC42" s="31"/>
      <c r="AD42" s="31"/>
      <c r="AE42" s="37"/>
      <c r="AF42" s="37"/>
      <c r="AG42" s="37"/>
    </row>
    <row r="43" spans="1:33" ht="15.75" customHeight="1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6"/>
      <c r="V43" s="1"/>
      <c r="W43" s="31"/>
      <c r="X43" s="31"/>
      <c r="Y43" s="31"/>
      <c r="Z43" s="31"/>
      <c r="AA43" s="2"/>
      <c r="AB43" s="31"/>
      <c r="AC43" s="31"/>
      <c r="AD43" s="31"/>
      <c r="AE43" s="37"/>
      <c r="AF43" s="37"/>
      <c r="AG43" s="37"/>
    </row>
    <row r="44" spans="1:33" ht="15.75" customHeight="1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6"/>
      <c r="V44" s="1"/>
      <c r="W44" s="31"/>
      <c r="X44" s="31"/>
      <c r="Y44" s="31"/>
      <c r="Z44" s="31"/>
      <c r="AA44" s="2"/>
      <c r="AB44" s="31"/>
      <c r="AC44" s="31"/>
      <c r="AD44" s="31"/>
      <c r="AE44" s="37"/>
      <c r="AF44" s="37"/>
      <c r="AG44" s="37"/>
    </row>
    <row r="45" spans="1:33" ht="15.75" customHeight="1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6"/>
      <c r="V45" s="1"/>
      <c r="W45" s="31"/>
      <c r="X45" s="31"/>
      <c r="Y45" s="31"/>
      <c r="Z45" s="31"/>
      <c r="AA45" s="2"/>
      <c r="AB45" s="31"/>
      <c r="AC45" s="31"/>
      <c r="AD45" s="31"/>
      <c r="AE45" s="37"/>
      <c r="AF45" s="37"/>
      <c r="AG45" s="37"/>
    </row>
    <row r="46" spans="1:33" ht="15.75" customHeight="1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6"/>
      <c r="V46" s="1"/>
      <c r="W46" s="31"/>
      <c r="X46" s="31"/>
      <c r="Y46" s="31"/>
      <c r="Z46" s="31"/>
      <c r="AA46" s="2"/>
      <c r="AB46" s="31"/>
      <c r="AC46" s="31"/>
      <c r="AD46" s="31"/>
      <c r="AE46" s="37"/>
      <c r="AF46" s="37"/>
      <c r="AG46" s="37"/>
    </row>
    <row r="47" spans="1:33" ht="15.75" customHeight="1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6"/>
      <c r="V47" s="1"/>
      <c r="W47" s="31"/>
      <c r="X47" s="31"/>
      <c r="Y47" s="31"/>
      <c r="Z47" s="31"/>
      <c r="AA47" s="2"/>
      <c r="AB47" s="31"/>
      <c r="AC47" s="31"/>
      <c r="AD47" s="31"/>
      <c r="AE47" s="37"/>
      <c r="AF47" s="37"/>
      <c r="AG47" s="37"/>
    </row>
    <row r="48" spans="1:33" ht="15.75" customHeight="1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6"/>
      <c r="V48" s="1"/>
      <c r="W48" s="31"/>
      <c r="X48" s="31"/>
      <c r="Y48" s="31"/>
      <c r="Z48" s="31"/>
      <c r="AA48" s="2"/>
      <c r="AB48" s="31"/>
      <c r="AC48" s="31"/>
      <c r="AD48" s="31"/>
      <c r="AE48" s="37"/>
      <c r="AF48" s="37"/>
      <c r="AG48" s="37"/>
    </row>
    <row r="49" spans="1:33" ht="15.75" customHeight="1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6"/>
      <c r="V49" s="1"/>
      <c r="W49" s="31"/>
      <c r="X49" s="31"/>
      <c r="Y49" s="31"/>
      <c r="Z49" s="31"/>
      <c r="AA49" s="2"/>
      <c r="AB49" s="31"/>
      <c r="AC49" s="31"/>
      <c r="AD49" s="31"/>
      <c r="AE49" s="37"/>
      <c r="AF49" s="37"/>
      <c r="AG49" s="37"/>
    </row>
    <row r="50" spans="1:33" ht="15.75" customHeight="1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6"/>
      <c r="V50" s="1"/>
      <c r="W50" s="31"/>
      <c r="X50" s="31"/>
      <c r="Y50" s="31"/>
      <c r="Z50" s="31"/>
      <c r="AA50" s="2"/>
      <c r="AB50" s="31"/>
      <c r="AC50" s="31"/>
      <c r="AD50" s="31"/>
      <c r="AE50" s="37"/>
      <c r="AF50" s="37"/>
      <c r="AG50" s="37"/>
    </row>
    <row r="51" spans="1:33" ht="15.75" customHeight="1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6"/>
      <c r="V51" s="1"/>
      <c r="W51" s="31"/>
      <c r="X51" s="31"/>
      <c r="Y51" s="31"/>
      <c r="Z51" s="31"/>
      <c r="AA51" s="2"/>
      <c r="AB51" s="31"/>
      <c r="AC51" s="31"/>
      <c r="AD51" s="31"/>
      <c r="AE51" s="37"/>
      <c r="AF51" s="37"/>
      <c r="AG51" s="37"/>
    </row>
    <row r="52" spans="1:33" ht="15.75" customHeight="1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6"/>
      <c r="V52" s="1"/>
      <c r="W52" s="31"/>
      <c r="X52" s="31"/>
      <c r="Y52" s="31"/>
      <c r="Z52" s="31"/>
      <c r="AA52" s="2"/>
      <c r="AB52" s="31"/>
      <c r="AC52" s="31"/>
      <c r="AD52" s="31"/>
      <c r="AE52" s="37"/>
      <c r="AF52" s="37"/>
      <c r="AG52" s="37"/>
    </row>
    <row r="53" spans="1:33" ht="15.75" customHeight="1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6"/>
      <c r="V53" s="1"/>
      <c r="W53" s="31"/>
      <c r="X53" s="31"/>
      <c r="Y53" s="31"/>
      <c r="Z53" s="31"/>
      <c r="AA53" s="2"/>
      <c r="AB53" s="31"/>
      <c r="AC53" s="31"/>
      <c r="AD53" s="31"/>
      <c r="AE53" s="37"/>
      <c r="AF53" s="37"/>
      <c r="AG53" s="37"/>
    </row>
    <row r="54" spans="1:33" ht="15.75" customHeight="1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6"/>
      <c r="V54" s="1"/>
      <c r="W54" s="31"/>
      <c r="X54" s="31"/>
      <c r="Y54" s="31"/>
      <c r="Z54" s="31"/>
      <c r="AA54" s="2"/>
      <c r="AB54" s="31"/>
      <c r="AC54" s="31"/>
      <c r="AD54" s="31"/>
      <c r="AE54" s="37"/>
      <c r="AF54" s="37"/>
      <c r="AG54" s="37"/>
    </row>
    <row r="55" spans="1:33" ht="15.75" customHeight="1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6"/>
      <c r="V55" s="1"/>
      <c r="W55" s="31"/>
      <c r="X55" s="31"/>
      <c r="Y55" s="31"/>
      <c r="Z55" s="31"/>
      <c r="AA55" s="2"/>
      <c r="AB55" s="31"/>
      <c r="AC55" s="31"/>
      <c r="AD55" s="31"/>
      <c r="AE55" s="37"/>
      <c r="AF55" s="37"/>
      <c r="AG55" s="37"/>
    </row>
    <row r="56" spans="1:33" ht="15.75" customHeight="1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6"/>
      <c r="V56" s="1"/>
      <c r="W56" s="31"/>
      <c r="X56" s="31"/>
      <c r="Y56" s="31"/>
      <c r="Z56" s="31"/>
      <c r="AA56" s="2"/>
      <c r="AB56" s="31"/>
      <c r="AC56" s="31"/>
      <c r="AD56" s="31"/>
      <c r="AE56" s="37"/>
      <c r="AF56" s="37"/>
      <c r="AG56" s="37"/>
    </row>
    <row r="57" spans="1:33" ht="15.75" customHeight="1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6"/>
      <c r="V57" s="1"/>
      <c r="W57" s="31"/>
      <c r="X57" s="31"/>
      <c r="Y57" s="31"/>
      <c r="Z57" s="31"/>
      <c r="AA57" s="2"/>
      <c r="AB57" s="31"/>
      <c r="AC57" s="31"/>
      <c r="AD57" s="31"/>
      <c r="AE57" s="37"/>
      <c r="AF57" s="37"/>
      <c r="AG57" s="37"/>
    </row>
    <row r="58" spans="1:33" ht="15.75" customHeight="1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6"/>
      <c r="V58" s="1"/>
      <c r="W58" s="31"/>
      <c r="X58" s="31"/>
      <c r="Y58" s="31"/>
      <c r="Z58" s="31"/>
      <c r="AA58" s="2"/>
      <c r="AB58" s="31"/>
      <c r="AC58" s="31"/>
      <c r="AD58" s="31"/>
      <c r="AE58" s="37"/>
      <c r="AF58" s="37"/>
      <c r="AG58" s="37"/>
    </row>
    <row r="59" spans="1:33" ht="15.75" customHeight="1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6"/>
      <c r="V59" s="1"/>
      <c r="W59" s="31"/>
      <c r="X59" s="31"/>
      <c r="Y59" s="31"/>
      <c r="Z59" s="31"/>
      <c r="AA59" s="2"/>
      <c r="AB59" s="31"/>
      <c r="AC59" s="31"/>
      <c r="AD59" s="31"/>
      <c r="AE59" s="37"/>
      <c r="AF59" s="37"/>
      <c r="AG59" s="37"/>
    </row>
    <row r="60" spans="1:33" ht="15.75" customHeight="1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6"/>
      <c r="V60" s="1"/>
      <c r="W60" s="31"/>
      <c r="X60" s="31"/>
      <c r="Y60" s="31"/>
      <c r="Z60" s="31"/>
      <c r="AA60" s="2"/>
      <c r="AB60" s="31"/>
      <c r="AC60" s="31"/>
      <c r="AD60" s="31"/>
      <c r="AE60" s="37"/>
      <c r="AF60" s="37"/>
      <c r="AG60" s="37"/>
    </row>
    <row r="61" spans="1:33" ht="15.75" customHeight="1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6"/>
      <c r="V61" s="1"/>
      <c r="W61" s="31"/>
      <c r="X61" s="31"/>
      <c r="Y61" s="31"/>
      <c r="Z61" s="31"/>
      <c r="AA61" s="2"/>
      <c r="AB61" s="31"/>
      <c r="AC61" s="31"/>
      <c r="AD61" s="31"/>
      <c r="AE61" s="37"/>
      <c r="AF61" s="37"/>
      <c r="AG61" s="37"/>
    </row>
    <row r="62" spans="1:33" ht="15.75" customHeight="1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6"/>
      <c r="V62" s="1"/>
      <c r="W62" s="31"/>
      <c r="X62" s="31"/>
      <c r="Y62" s="31"/>
      <c r="Z62" s="31"/>
      <c r="AA62" s="2"/>
      <c r="AB62" s="31"/>
      <c r="AC62" s="31"/>
      <c r="AD62" s="31"/>
      <c r="AE62" s="37"/>
      <c r="AF62" s="37"/>
      <c r="AG62" s="37"/>
    </row>
    <row r="63" spans="1:33" ht="15.75" customHeight="1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6"/>
      <c r="V63" s="1"/>
      <c r="W63" s="31"/>
      <c r="X63" s="31"/>
      <c r="Y63" s="31"/>
      <c r="Z63" s="31"/>
      <c r="AA63" s="2"/>
      <c r="AB63" s="31"/>
      <c r="AC63" s="31"/>
      <c r="AD63" s="31"/>
      <c r="AE63" s="37"/>
      <c r="AF63" s="37"/>
      <c r="AG63" s="37"/>
    </row>
    <row r="64" spans="1:33" ht="15.75" customHeight="1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6"/>
      <c r="V64" s="1"/>
      <c r="W64" s="31"/>
      <c r="X64" s="31"/>
      <c r="Y64" s="31"/>
      <c r="Z64" s="31"/>
      <c r="AA64" s="2"/>
      <c r="AB64" s="31"/>
      <c r="AC64" s="31"/>
      <c r="AD64" s="31"/>
      <c r="AE64" s="37"/>
      <c r="AF64" s="37"/>
      <c r="AG64" s="37"/>
    </row>
    <row r="65" spans="1:33" ht="15.75" customHeight="1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6"/>
      <c r="V65" s="1"/>
      <c r="W65" s="31"/>
      <c r="X65" s="31"/>
      <c r="Y65" s="31"/>
      <c r="Z65" s="31"/>
      <c r="AA65" s="2"/>
      <c r="AB65" s="31"/>
      <c r="AC65" s="31"/>
      <c r="AD65" s="31"/>
      <c r="AE65" s="37"/>
      <c r="AF65" s="37"/>
      <c r="AG65" s="37"/>
    </row>
    <row r="66" spans="1:33" ht="15.75" customHeight="1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6"/>
      <c r="V66" s="1"/>
      <c r="W66" s="31"/>
      <c r="X66" s="31"/>
      <c r="Y66" s="31"/>
      <c r="Z66" s="31"/>
      <c r="AA66" s="2"/>
      <c r="AB66" s="31"/>
      <c r="AC66" s="31"/>
      <c r="AD66" s="31"/>
      <c r="AE66" s="37"/>
      <c r="AF66" s="37"/>
      <c r="AG66" s="37"/>
    </row>
    <row r="67" spans="1:33" ht="15.75" customHeight="1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6"/>
      <c r="V67" s="1"/>
      <c r="W67" s="31"/>
      <c r="X67" s="31"/>
      <c r="Y67" s="31"/>
      <c r="Z67" s="31"/>
      <c r="AA67" s="2"/>
      <c r="AB67" s="31"/>
      <c r="AC67" s="31"/>
      <c r="AD67" s="31"/>
      <c r="AE67" s="37"/>
      <c r="AF67" s="37"/>
      <c r="AG67" s="37"/>
    </row>
    <row r="68" spans="1:33" ht="15.75" customHeight="1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6"/>
      <c r="V68" s="1"/>
      <c r="W68" s="31"/>
      <c r="X68" s="31"/>
      <c r="Y68" s="31"/>
      <c r="Z68" s="31"/>
      <c r="AA68" s="2"/>
      <c r="AB68" s="31"/>
      <c r="AC68" s="31"/>
      <c r="AD68" s="31"/>
      <c r="AE68" s="37"/>
      <c r="AF68" s="37"/>
      <c r="AG68" s="37"/>
    </row>
    <row r="69" spans="1:33" ht="15.75" customHeight="1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6"/>
      <c r="V69" s="1"/>
      <c r="W69" s="31"/>
      <c r="X69" s="31"/>
      <c r="Y69" s="31"/>
      <c r="Z69" s="31"/>
      <c r="AA69" s="2"/>
      <c r="AB69" s="31"/>
      <c r="AC69" s="31"/>
      <c r="AD69" s="31"/>
      <c r="AE69" s="37"/>
      <c r="AF69" s="37"/>
      <c r="AG69" s="37"/>
    </row>
    <row r="70" spans="1:33" ht="15.75" customHeight="1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6"/>
      <c r="V70" s="1"/>
      <c r="W70" s="31"/>
      <c r="X70" s="31"/>
      <c r="Y70" s="31"/>
      <c r="Z70" s="31"/>
      <c r="AA70" s="2"/>
      <c r="AB70" s="31"/>
      <c r="AC70" s="31"/>
      <c r="AD70" s="31"/>
      <c r="AE70" s="37"/>
      <c r="AF70" s="37"/>
      <c r="AG70" s="37"/>
    </row>
    <row r="71" spans="1:33" ht="15.75" customHeight="1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6"/>
      <c r="V71" s="1"/>
      <c r="W71" s="31"/>
      <c r="X71" s="31"/>
      <c r="Y71" s="31"/>
      <c r="Z71" s="31"/>
      <c r="AA71" s="2"/>
      <c r="AB71" s="31"/>
      <c r="AC71" s="31"/>
      <c r="AD71" s="31"/>
      <c r="AE71" s="37"/>
      <c r="AF71" s="37"/>
      <c r="AG71" s="37"/>
    </row>
    <row r="72" spans="1:33" ht="15.75" customHeight="1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6"/>
      <c r="V72" s="1"/>
      <c r="W72" s="31"/>
      <c r="X72" s="31"/>
      <c r="Y72" s="31"/>
      <c r="Z72" s="31"/>
      <c r="AA72" s="2"/>
      <c r="AB72" s="31"/>
      <c r="AC72" s="31"/>
      <c r="AD72" s="31"/>
      <c r="AE72" s="37"/>
      <c r="AF72" s="37"/>
      <c r="AG72" s="37"/>
    </row>
    <row r="73" spans="1:33" ht="15.75" customHeight="1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6"/>
      <c r="V73" s="1"/>
      <c r="W73" s="31"/>
      <c r="X73" s="31"/>
      <c r="Y73" s="31"/>
      <c r="Z73" s="31"/>
      <c r="AA73" s="2"/>
      <c r="AB73" s="31"/>
      <c r="AC73" s="31"/>
      <c r="AD73" s="31"/>
      <c r="AE73" s="37"/>
      <c r="AF73" s="37"/>
      <c r="AG73" s="37"/>
    </row>
    <row r="74" spans="1:33" ht="15.75" customHeight="1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6"/>
      <c r="V74" s="1"/>
      <c r="W74" s="31"/>
      <c r="X74" s="31"/>
      <c r="Y74" s="31"/>
      <c r="Z74" s="31"/>
      <c r="AA74" s="2"/>
      <c r="AB74" s="31"/>
      <c r="AC74" s="31"/>
      <c r="AD74" s="31"/>
      <c r="AE74" s="37"/>
      <c r="AF74" s="37"/>
      <c r="AG74" s="37"/>
    </row>
    <row r="75" spans="1:33" ht="15.75" customHeight="1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6"/>
      <c r="V75" s="1"/>
      <c r="W75" s="31"/>
      <c r="X75" s="31"/>
      <c r="Y75" s="31"/>
      <c r="Z75" s="31"/>
      <c r="AA75" s="2"/>
      <c r="AB75" s="31"/>
      <c r="AC75" s="31"/>
      <c r="AD75" s="31"/>
      <c r="AE75" s="37"/>
      <c r="AF75" s="37"/>
      <c r="AG75" s="37"/>
    </row>
    <row r="76" spans="1:33" ht="15.75" customHeight="1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6"/>
      <c r="V76" s="1"/>
      <c r="W76" s="31"/>
      <c r="X76" s="31"/>
      <c r="Y76" s="31"/>
      <c r="Z76" s="31"/>
      <c r="AA76" s="2"/>
      <c r="AB76" s="31"/>
      <c r="AC76" s="31"/>
      <c r="AD76" s="31"/>
      <c r="AE76" s="37"/>
      <c r="AF76" s="37"/>
      <c r="AG76" s="37"/>
    </row>
    <row r="77" spans="1:33" ht="15.75" customHeight="1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6"/>
      <c r="V77" s="1"/>
      <c r="W77" s="31"/>
      <c r="X77" s="31"/>
      <c r="Y77" s="31"/>
      <c r="Z77" s="31"/>
      <c r="AA77" s="2"/>
      <c r="AB77" s="31"/>
      <c r="AC77" s="31"/>
      <c r="AD77" s="31"/>
      <c r="AE77" s="37"/>
      <c r="AF77" s="37"/>
      <c r="AG77" s="37"/>
    </row>
    <row r="78" spans="1:33" ht="15.75" customHeight="1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6"/>
      <c r="V78" s="1"/>
      <c r="W78" s="31"/>
      <c r="X78" s="31"/>
      <c r="Y78" s="31"/>
      <c r="Z78" s="31"/>
      <c r="AA78" s="2"/>
      <c r="AB78" s="31"/>
      <c r="AC78" s="31"/>
      <c r="AD78" s="31"/>
      <c r="AE78" s="37"/>
      <c r="AF78" s="37"/>
      <c r="AG78" s="37"/>
    </row>
    <row r="79" spans="1:33" ht="15.75" customHeight="1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6"/>
      <c r="V79" s="1"/>
      <c r="W79" s="31"/>
      <c r="X79" s="31"/>
      <c r="Y79" s="31"/>
      <c r="Z79" s="31"/>
      <c r="AA79" s="2"/>
      <c r="AB79" s="31"/>
      <c r="AC79" s="31"/>
      <c r="AD79" s="31"/>
      <c r="AE79" s="37"/>
      <c r="AF79" s="37"/>
      <c r="AG79" s="37"/>
    </row>
    <row r="80" spans="1:33" ht="15.75" customHeight="1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6"/>
      <c r="V80" s="1"/>
      <c r="W80" s="31"/>
      <c r="X80" s="31"/>
      <c r="Y80" s="31"/>
      <c r="Z80" s="31"/>
      <c r="AA80" s="2"/>
      <c r="AB80" s="31"/>
      <c r="AC80" s="31"/>
      <c r="AD80" s="31"/>
      <c r="AE80" s="37"/>
      <c r="AF80" s="37"/>
      <c r="AG80" s="37"/>
    </row>
    <row r="81" spans="1:33" ht="15.75" customHeight="1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6"/>
      <c r="V81" s="1"/>
      <c r="W81" s="31"/>
      <c r="X81" s="31"/>
      <c r="Y81" s="31"/>
      <c r="Z81" s="31"/>
      <c r="AA81" s="2"/>
      <c r="AB81" s="31"/>
      <c r="AC81" s="31"/>
      <c r="AD81" s="31"/>
      <c r="AE81" s="37"/>
      <c r="AF81" s="37"/>
      <c r="AG81" s="37"/>
    </row>
    <row r="82" spans="1:33" ht="15.75" customHeight="1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6"/>
      <c r="V82" s="1"/>
      <c r="W82" s="31"/>
      <c r="X82" s="31"/>
      <c r="Y82" s="31"/>
      <c r="Z82" s="31"/>
      <c r="AA82" s="2"/>
      <c r="AB82" s="31"/>
      <c r="AC82" s="31"/>
      <c r="AD82" s="31"/>
      <c r="AE82" s="37"/>
      <c r="AF82" s="37"/>
      <c r="AG82" s="37"/>
    </row>
    <row r="83" spans="1:33" ht="15.75" customHeight="1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6"/>
      <c r="V83" s="1"/>
      <c r="W83" s="31"/>
      <c r="X83" s="31"/>
      <c r="Y83" s="31"/>
      <c r="Z83" s="31"/>
      <c r="AA83" s="2"/>
      <c r="AB83" s="31"/>
      <c r="AC83" s="31"/>
      <c r="AD83" s="31"/>
      <c r="AE83" s="37"/>
      <c r="AF83" s="37"/>
      <c r="AG83" s="37"/>
    </row>
    <row r="84" spans="1:33" ht="15.75" customHeight="1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6"/>
      <c r="V84" s="1"/>
      <c r="W84" s="31"/>
      <c r="X84" s="31"/>
      <c r="Y84" s="31"/>
      <c r="Z84" s="31"/>
      <c r="AA84" s="2"/>
      <c r="AB84" s="31"/>
      <c r="AC84" s="31"/>
      <c r="AD84" s="31"/>
      <c r="AE84" s="37"/>
      <c r="AF84" s="37"/>
      <c r="AG84" s="37"/>
    </row>
    <row r="85" spans="1:33" ht="15.75" customHeight="1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6"/>
      <c r="V85" s="1"/>
      <c r="W85" s="31"/>
      <c r="X85" s="31"/>
      <c r="Y85" s="31"/>
      <c r="Z85" s="31"/>
      <c r="AA85" s="2"/>
      <c r="AB85" s="31"/>
      <c r="AC85" s="31"/>
      <c r="AD85" s="31"/>
      <c r="AE85" s="37"/>
      <c r="AF85" s="37"/>
      <c r="AG85" s="37"/>
    </row>
    <row r="86" spans="1:33" ht="15.75" customHeight="1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6"/>
      <c r="V86" s="1"/>
      <c r="W86" s="31"/>
      <c r="X86" s="31"/>
      <c r="Y86" s="31"/>
      <c r="Z86" s="31"/>
      <c r="AA86" s="2"/>
      <c r="AB86" s="31"/>
      <c r="AC86" s="31"/>
      <c r="AD86" s="31"/>
      <c r="AE86" s="37"/>
      <c r="AF86" s="37"/>
      <c r="AG86" s="37"/>
    </row>
    <row r="87" spans="1:33" ht="15.75" customHeight="1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6"/>
      <c r="V87" s="1"/>
      <c r="W87" s="31"/>
      <c r="X87" s="31"/>
      <c r="Y87" s="31"/>
      <c r="Z87" s="31"/>
      <c r="AA87" s="2"/>
      <c r="AB87" s="31"/>
      <c r="AC87" s="31"/>
      <c r="AD87" s="31"/>
      <c r="AE87" s="37"/>
      <c r="AF87" s="37"/>
      <c r="AG87" s="37"/>
    </row>
    <row r="88" spans="1:33" ht="15.75" customHeight="1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6"/>
      <c r="V88" s="1"/>
      <c r="W88" s="31"/>
      <c r="X88" s="31"/>
      <c r="Y88" s="31"/>
      <c r="Z88" s="31"/>
      <c r="AA88" s="2"/>
      <c r="AB88" s="31"/>
      <c r="AC88" s="31"/>
      <c r="AD88" s="31"/>
      <c r="AE88" s="37"/>
      <c r="AF88" s="37"/>
      <c r="AG88" s="37"/>
    </row>
    <row r="89" spans="1:33" ht="15.75" customHeight="1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6"/>
      <c r="V89" s="1"/>
      <c r="W89" s="31"/>
      <c r="X89" s="31"/>
      <c r="Y89" s="31"/>
      <c r="Z89" s="31"/>
      <c r="AA89" s="2"/>
      <c r="AB89" s="31"/>
      <c r="AC89" s="31"/>
      <c r="AD89" s="31"/>
      <c r="AE89" s="37"/>
      <c r="AF89" s="37"/>
      <c r="AG89" s="37"/>
    </row>
    <row r="90" spans="1:33" ht="15.75" customHeight="1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6"/>
      <c r="V90" s="1"/>
      <c r="W90" s="31"/>
      <c r="X90" s="31"/>
      <c r="Y90" s="31"/>
      <c r="Z90" s="31"/>
      <c r="AA90" s="2"/>
      <c r="AB90" s="31"/>
      <c r="AC90" s="31"/>
      <c r="AD90" s="31"/>
      <c r="AE90" s="37"/>
      <c r="AF90" s="37"/>
      <c r="AG90" s="37"/>
    </row>
    <row r="91" spans="1:33" ht="15.75" customHeight="1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6"/>
      <c r="V91" s="1"/>
      <c r="W91" s="31"/>
      <c r="X91" s="31"/>
      <c r="Y91" s="31"/>
      <c r="Z91" s="31"/>
      <c r="AA91" s="2"/>
      <c r="AB91" s="31"/>
      <c r="AC91" s="31"/>
      <c r="AD91" s="31"/>
      <c r="AE91" s="37"/>
      <c r="AF91" s="37"/>
      <c r="AG91" s="37"/>
    </row>
    <row r="92" spans="1:33" ht="15.75" customHeight="1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6"/>
      <c r="V92" s="1"/>
      <c r="W92" s="31"/>
      <c r="X92" s="31"/>
      <c r="Y92" s="31"/>
      <c r="Z92" s="31"/>
      <c r="AA92" s="2"/>
      <c r="AB92" s="31"/>
      <c r="AC92" s="31"/>
      <c r="AD92" s="31"/>
      <c r="AE92" s="37"/>
      <c r="AF92" s="37"/>
      <c r="AG92" s="37"/>
    </row>
    <row r="93" spans="1:33" ht="15.75" customHeight="1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6"/>
      <c r="V93" s="1"/>
      <c r="W93" s="31"/>
      <c r="X93" s="31"/>
      <c r="Y93" s="31"/>
      <c r="Z93" s="31"/>
      <c r="AA93" s="2"/>
      <c r="AB93" s="31"/>
      <c r="AC93" s="31"/>
      <c r="AD93" s="31"/>
      <c r="AE93" s="37"/>
      <c r="AF93" s="37"/>
      <c r="AG93" s="37"/>
    </row>
    <row r="94" spans="1:33" ht="15.75" customHeight="1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6"/>
      <c r="V94" s="1"/>
      <c r="W94" s="31"/>
      <c r="X94" s="31"/>
      <c r="Y94" s="31"/>
      <c r="Z94" s="31"/>
      <c r="AA94" s="2"/>
      <c r="AB94" s="31"/>
      <c r="AC94" s="31"/>
      <c r="AD94" s="31"/>
      <c r="AE94" s="37"/>
      <c r="AF94" s="37"/>
      <c r="AG94" s="37"/>
    </row>
    <row r="95" spans="1:33" ht="15.75" customHeight="1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6"/>
      <c r="V95" s="1"/>
      <c r="W95" s="31"/>
      <c r="X95" s="31"/>
      <c r="Y95" s="31"/>
      <c r="Z95" s="31"/>
      <c r="AA95" s="2"/>
      <c r="AB95" s="31"/>
      <c r="AC95" s="31"/>
      <c r="AD95" s="31"/>
      <c r="AE95" s="37"/>
      <c r="AF95" s="37"/>
      <c r="AG95" s="37"/>
    </row>
    <row r="96" spans="1:33" ht="15.75" customHeight="1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6"/>
      <c r="V96" s="1"/>
      <c r="W96" s="31"/>
      <c r="X96" s="31"/>
      <c r="Y96" s="31"/>
      <c r="Z96" s="31"/>
      <c r="AA96" s="2"/>
      <c r="AB96" s="31"/>
      <c r="AC96" s="31"/>
      <c r="AD96" s="31"/>
      <c r="AE96" s="37"/>
      <c r="AF96" s="37"/>
      <c r="AG96" s="37"/>
    </row>
    <row r="97" spans="1:33" ht="15.75" customHeight="1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8"/>
      <c r="R97" s="38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8"/>
      <c r="R98" s="38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8"/>
      <c r="R99" s="38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8"/>
      <c r="R100" s="38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8"/>
      <c r="R101" s="38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8"/>
      <c r="R102" s="38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8"/>
      <c r="R103" s="38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8"/>
      <c r="R104" s="38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8"/>
      <c r="R105" s="38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8"/>
      <c r="R106" s="38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8"/>
      <c r="R107" s="38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8"/>
      <c r="R108" s="38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8"/>
      <c r="R109" s="38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8"/>
      <c r="R110" s="38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8"/>
      <c r="R111" s="38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8"/>
      <c r="R112" s="38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8"/>
      <c r="R113" s="38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8"/>
      <c r="R114" s="38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>
      <c r="A115" s="31"/>
      <c r="B115" s="31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>
      <c r="A116" s="31"/>
      <c r="B116" s="31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>
      <c r="A117" s="31"/>
      <c r="B117" s="31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>
      <c r="A118" s="31"/>
      <c r="B118" s="31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>
      <c r="A119" s="31"/>
      <c r="B119" s="31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>
      <c r="A120" s="31"/>
      <c r="B120" s="31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>
      <c r="A121" s="31"/>
      <c r="B121" s="31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>
      <c r="A122" s="31"/>
      <c r="B122" s="31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>
      <c r="A123" s="31"/>
      <c r="B123" s="31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>
      <c r="A124" s="31"/>
      <c r="B124" s="31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>
      <c r="A125" s="31"/>
      <c r="B125" s="31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>
      <c r="A126" s="31"/>
      <c r="B126" s="31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>
      <c r="A127" s="31"/>
      <c r="B127" s="31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>
      <c r="A128" s="31"/>
      <c r="B128" s="31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>
      <c r="A129" s="31"/>
      <c r="B129" s="31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>
      <c r="A130" s="31"/>
      <c r="B130" s="31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>
      <c r="A131" s="31"/>
      <c r="B131" s="31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>
      <c r="A132" s="31"/>
      <c r="B132" s="31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>
      <c r="A133" s="31"/>
      <c r="B133" s="31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>
      <c r="A134" s="31"/>
      <c r="B134" s="31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>
      <c r="A135" s="31"/>
      <c r="B135" s="31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>
      <c r="A136" s="31"/>
      <c r="B136" s="31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>
      <c r="A137" s="31"/>
      <c r="B137" s="31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>
      <c r="A138" s="31"/>
      <c r="B138" s="31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>
      <c r="A139" s="31"/>
      <c r="B139" s="31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>
      <c r="A140" s="31"/>
      <c r="B140" s="31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>
      <c r="A141" s="31"/>
      <c r="B141" s="31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2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>
      <c r="A142" s="31"/>
      <c r="B142" s="31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2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>
      <c r="A143" s="31"/>
      <c r="B143" s="31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2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>
      <c r="A144" s="31"/>
      <c r="B144" s="31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2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>
      <c r="A145" s="31"/>
      <c r="B145" s="31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2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>
      <c r="A146" s="31"/>
      <c r="B146" s="31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2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>
      <c r="A147" s="31"/>
      <c r="B147" s="31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2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>
      <c r="A148" s="31"/>
      <c r="B148" s="31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2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</row>
    <row r="149" spans="1:33" ht="15.75" customHeight="1">
      <c r="A149" s="14"/>
      <c r="B149" s="14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>
      <c r="A150" s="14"/>
      <c r="B150" s="14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>
      <c r="A151" s="14"/>
      <c r="B151" s="14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>
      <c r="A152" s="14"/>
      <c r="B152" s="14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>
      <c r="A153" s="14"/>
      <c r="B153" s="14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>
      <c r="A154" s="14"/>
      <c r="B154" s="14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>
      <c r="A155" s="14"/>
      <c r="B155" s="14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>
      <c r="A156" s="14"/>
      <c r="B156" s="14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>
      <c r="A157" s="14"/>
      <c r="B157" s="14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>
      <c r="A158" s="14"/>
      <c r="B158" s="14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>
      <c r="A159" s="14"/>
      <c r="B159" s="14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>
      <c r="A160" s="14"/>
      <c r="B160" s="14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>
      <c r="A161" s="14"/>
      <c r="B161" s="14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>
      <c r="A162" s="14"/>
      <c r="B162" s="14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>
      <c r="A163" s="14"/>
      <c r="B163" s="14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>
      <c r="A164" s="14"/>
      <c r="B164" s="14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>
      <c r="A165" s="14"/>
      <c r="B165" s="14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>
      <c r="A166" s="14"/>
      <c r="B166" s="14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>
      <c r="A167" s="14"/>
      <c r="B167" s="14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>
      <c r="A168" s="14"/>
      <c r="B168" s="14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>
      <c r="A169" s="14"/>
      <c r="B169" s="14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>
      <c r="A170" s="14"/>
      <c r="B170" s="14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>
      <c r="A171" s="14"/>
      <c r="B171" s="14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>
      <c r="A172" s="14"/>
      <c r="B172" s="14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>
      <c r="A173" s="14"/>
      <c r="B173" s="14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>
      <c r="A174" s="14"/>
      <c r="B174" s="14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>
      <c r="A175" s="14"/>
      <c r="B175" s="14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>
      <c r="A176" s="14"/>
      <c r="B176" s="14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>
      <c r="A177" s="14"/>
      <c r="B177" s="14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>
      <c r="A178" s="14"/>
      <c r="B178" s="14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>
      <c r="A179" s="14"/>
      <c r="B179" s="14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>
      <c r="A180" s="14"/>
      <c r="B180" s="14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>
      <c r="A181" s="14"/>
      <c r="B181" s="14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>
      <c r="A182" s="14"/>
      <c r="B182" s="14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>
      <c r="A183" s="14"/>
      <c r="B183" s="14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>
      <c r="A184" s="14"/>
      <c r="B184" s="14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>
      <c r="A185" s="14"/>
      <c r="B185" s="14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>
      <c r="A186" s="14"/>
      <c r="B186" s="14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>
      <c r="A187" s="14"/>
      <c r="B187" s="14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>
      <c r="A188" s="14"/>
      <c r="B188" s="14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>
      <c r="A189" s="14"/>
      <c r="B189" s="14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>
      <c r="A190" s="14"/>
      <c r="B190" s="14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>
      <c r="A191" s="14"/>
      <c r="B191" s="14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>
      <c r="A192" s="14"/>
      <c r="B192" s="14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>
      <c r="A193" s="14"/>
      <c r="B193" s="14"/>
      <c r="C193" s="39"/>
      <c r="D193" s="39"/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>
      <c r="A194" s="14"/>
      <c r="B194" s="14"/>
      <c r="C194" s="39"/>
      <c r="D194" s="39"/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>
      <c r="A195" s="14"/>
      <c r="B195" s="14"/>
      <c r="C195" s="39"/>
      <c r="D195" s="39"/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>
      <c r="A196" s="14"/>
      <c r="B196" s="14"/>
      <c r="C196" s="39"/>
      <c r="D196" s="39"/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>
      <c r="A197" s="14"/>
      <c r="B197" s="14"/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>
      <c r="A198" s="14"/>
      <c r="B198" s="14"/>
      <c r="C198" s="39"/>
      <c r="D198" s="39"/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>
      <c r="A199" s="14"/>
      <c r="B199" s="14"/>
      <c r="C199" s="39"/>
      <c r="D199" s="39"/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>
      <c r="A200" s="14"/>
      <c r="B200" s="14"/>
      <c r="C200" s="39"/>
      <c r="D200" s="39"/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>
      <c r="A201" s="14"/>
      <c r="B201" s="14"/>
      <c r="C201" s="39"/>
      <c r="D201" s="39"/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>
      <c r="A202" s="14"/>
      <c r="B202" s="14"/>
      <c r="C202" s="39"/>
      <c r="D202" s="39"/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>
      <c r="A203" s="14"/>
      <c r="B203" s="14"/>
      <c r="C203" s="39"/>
      <c r="D203" s="39"/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>
      <c r="A204" s="14"/>
      <c r="B204" s="14"/>
      <c r="C204" s="39"/>
      <c r="D204" s="39"/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>
      <c r="A205" s="14"/>
      <c r="B205" s="14"/>
      <c r="C205" s="39"/>
      <c r="D205" s="39"/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>
      <c r="A206" s="14"/>
      <c r="B206" s="14"/>
      <c r="C206" s="39"/>
      <c r="D206" s="39"/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>
      <c r="A207" s="14"/>
      <c r="B207" s="14"/>
      <c r="C207" s="39"/>
      <c r="D207" s="39"/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>
      <c r="A208" s="14"/>
      <c r="B208" s="14"/>
      <c r="C208" s="39"/>
      <c r="D208" s="39"/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>
      <c r="A209" s="14"/>
      <c r="B209" s="14"/>
      <c r="C209" s="39"/>
      <c r="D209" s="39"/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>
      <c r="A210" s="14"/>
      <c r="B210" s="14"/>
      <c r="C210" s="39"/>
      <c r="D210" s="39"/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>
      <c r="A211" s="14"/>
      <c r="B211" s="14"/>
      <c r="C211" s="39"/>
      <c r="D211" s="39"/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>
      <c r="A212" s="14"/>
      <c r="B212" s="14"/>
      <c r="C212" s="39"/>
      <c r="D212" s="39"/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>
      <c r="A213" s="14"/>
      <c r="B213" s="14"/>
      <c r="C213" s="39"/>
      <c r="D213" s="39"/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>
      <c r="A214" s="14"/>
      <c r="B214" s="14"/>
      <c r="C214" s="39"/>
      <c r="D214" s="39"/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>
      <c r="A215" s="14"/>
      <c r="B215" s="14"/>
      <c r="C215" s="39"/>
      <c r="D215" s="39"/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>
      <c r="A216" s="14"/>
      <c r="B216" s="14"/>
      <c r="C216" s="39"/>
      <c r="D216" s="39"/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>
      <c r="A217" s="14"/>
      <c r="B217" s="14"/>
      <c r="C217" s="39"/>
      <c r="D217" s="39"/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>
      <c r="A218" s="14"/>
      <c r="B218" s="14"/>
      <c r="C218" s="39"/>
      <c r="D218" s="39"/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>
      <c r="A219" s="14"/>
      <c r="B219" s="14"/>
      <c r="C219" s="39"/>
      <c r="D219" s="39"/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>
      <c r="A220" s="14"/>
      <c r="B220" s="14"/>
      <c r="C220" s="39"/>
      <c r="D220" s="39"/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>
      <c r="R221" s="30"/>
      <c r="S221" s="40"/>
    </row>
    <row r="222" spans="1:33" ht="15.75" customHeight="1">
      <c r="R222" s="30"/>
      <c r="S222" s="40"/>
    </row>
    <row r="223" spans="1:33" ht="15.75" customHeight="1">
      <c r="R223" s="30"/>
      <c r="S223" s="40"/>
    </row>
    <row r="224" spans="1:33" ht="15.75" customHeight="1">
      <c r="R224" s="30"/>
      <c r="S224" s="40"/>
    </row>
    <row r="225" spans="18:18" ht="15.75" customHeight="1">
      <c r="R225" s="30"/>
    </row>
    <row r="226" spans="18:18" ht="15.75" customHeight="1">
      <c r="R226" s="30"/>
    </row>
    <row r="227" spans="18:18" ht="15.75" customHeight="1">
      <c r="R227" s="30"/>
    </row>
    <row r="228" spans="18:18" ht="15.75" customHeight="1">
      <c r="R228" s="30"/>
    </row>
    <row r="229" spans="18:18" ht="15.75" customHeight="1">
      <c r="R229" s="30"/>
    </row>
    <row r="230" spans="18:18" ht="15.75" customHeight="1">
      <c r="R230" s="30"/>
    </row>
    <row r="231" spans="18:18" ht="15.75" customHeight="1">
      <c r="R231" s="30"/>
    </row>
    <row r="232" spans="18:18" ht="15.75" customHeight="1">
      <c r="R232" s="30"/>
    </row>
    <row r="233" spans="18:18" ht="15.75" customHeight="1">
      <c r="R233" s="30"/>
    </row>
    <row r="234" spans="18:18" ht="15.75" customHeight="1">
      <c r="R234" s="30"/>
    </row>
    <row r="235" spans="18:18" ht="15.75" customHeight="1">
      <c r="R235" s="30"/>
    </row>
    <row r="236" spans="18:18" ht="15.75" customHeight="1">
      <c r="R236" s="30"/>
    </row>
    <row r="237" spans="18:18" ht="15.75" customHeight="1">
      <c r="R237" s="30"/>
    </row>
    <row r="238" spans="18:18" ht="15.75" customHeight="1">
      <c r="R238" s="30"/>
    </row>
    <row r="239" spans="18:18" ht="15.75" customHeight="1">
      <c r="R239" s="30"/>
    </row>
    <row r="240" spans="18:18" ht="15.75" customHeight="1">
      <c r="R240" s="30"/>
    </row>
    <row r="241" spans="18:18" ht="15.75" customHeight="1">
      <c r="R241" s="30"/>
    </row>
    <row r="242" spans="18:18" ht="15.75" customHeight="1">
      <c r="R242" s="30"/>
    </row>
    <row r="243" spans="18:18" ht="15.75" customHeight="1">
      <c r="R243" s="30"/>
    </row>
    <row r="244" spans="18:18" ht="15.75" customHeight="1">
      <c r="R244" s="30"/>
    </row>
    <row r="245" spans="18:18" ht="15.75" customHeight="1">
      <c r="R245" s="30"/>
    </row>
    <row r="246" spans="18:18" ht="15.75" customHeight="1">
      <c r="R246" s="30"/>
    </row>
    <row r="247" spans="18:18" ht="15.75" customHeight="1">
      <c r="R247" s="30"/>
    </row>
    <row r="248" spans="18:18" ht="15.75" customHeight="1">
      <c r="R248" s="30"/>
    </row>
    <row r="249" spans="18:18" ht="15.75" customHeight="1">
      <c r="R249" s="30"/>
    </row>
    <row r="250" spans="18:18" ht="15.75" customHeight="1">
      <c r="R250" s="30"/>
    </row>
    <row r="251" spans="18:18" ht="15.75" customHeight="1">
      <c r="R251" s="30"/>
    </row>
    <row r="252" spans="18:18" ht="15.75" customHeight="1">
      <c r="R252" s="30"/>
    </row>
    <row r="253" spans="18:18" ht="15.75" customHeight="1">
      <c r="R253" s="30"/>
    </row>
    <row r="254" spans="18:18" ht="15.75" customHeight="1">
      <c r="R254" s="30"/>
    </row>
    <row r="255" spans="18:18" ht="15.75" customHeight="1">
      <c r="R255" s="30"/>
    </row>
    <row r="256" spans="18:18" ht="15.75" customHeight="1">
      <c r="R256" s="30"/>
    </row>
    <row r="257" spans="18:18" ht="15.75" customHeight="1">
      <c r="R257" s="30"/>
    </row>
    <row r="258" spans="18:18" ht="15.75" customHeight="1">
      <c r="R258" s="30"/>
    </row>
    <row r="259" spans="18:18" ht="15.75" customHeight="1">
      <c r="R259" s="30"/>
    </row>
    <row r="260" spans="18:18" ht="15.75" customHeight="1">
      <c r="R260" s="30"/>
    </row>
    <row r="261" spans="18:18" ht="15.75" customHeight="1">
      <c r="R261" s="30"/>
    </row>
    <row r="262" spans="18:18" ht="15.75" customHeight="1">
      <c r="R262" s="30"/>
    </row>
    <row r="263" spans="18:18" ht="15.75" customHeight="1">
      <c r="R263" s="30"/>
    </row>
    <row r="264" spans="18:18" ht="15.75" customHeight="1">
      <c r="R264" s="30"/>
    </row>
    <row r="265" spans="18:18" ht="15.75" customHeight="1">
      <c r="R265" s="30"/>
    </row>
    <row r="266" spans="18:18" ht="15.75" customHeight="1">
      <c r="R266" s="30"/>
    </row>
    <row r="267" spans="18:18" ht="15.75" customHeight="1">
      <c r="R267" s="30"/>
    </row>
    <row r="268" spans="18:18" ht="15.75" customHeight="1">
      <c r="R268" s="30"/>
    </row>
    <row r="269" spans="18:18" ht="15.75" customHeight="1">
      <c r="R269" s="30"/>
    </row>
    <row r="270" spans="18:18" ht="15.75" customHeight="1">
      <c r="R270" s="30"/>
    </row>
    <row r="271" spans="18:18" ht="15.75" customHeight="1">
      <c r="R271" s="30"/>
    </row>
    <row r="272" spans="18:18" ht="15.75" customHeight="1">
      <c r="R272" s="30"/>
    </row>
    <row r="273" spans="18:18" ht="15.75" customHeight="1">
      <c r="R273" s="30"/>
    </row>
    <row r="274" spans="18:18" ht="15.75" customHeight="1">
      <c r="R274" s="30"/>
    </row>
    <row r="275" spans="18:18" ht="15.75" customHeight="1">
      <c r="R275" s="30"/>
    </row>
    <row r="276" spans="18:18" ht="15.75" customHeight="1">
      <c r="R276" s="30"/>
    </row>
    <row r="277" spans="18:18" ht="15.75" customHeight="1">
      <c r="R277" s="30"/>
    </row>
    <row r="278" spans="18:18" ht="15.75" customHeight="1">
      <c r="R278" s="30"/>
    </row>
    <row r="279" spans="18:18" ht="15.75" customHeight="1">
      <c r="R279" s="30"/>
    </row>
    <row r="280" spans="18:18" ht="15.75" customHeight="1">
      <c r="R280" s="30"/>
    </row>
    <row r="281" spans="18:18" ht="15.75" customHeight="1">
      <c r="R281" s="30"/>
    </row>
    <row r="282" spans="18:18" ht="15.75" customHeight="1">
      <c r="R282" s="30"/>
    </row>
    <row r="283" spans="18:18" ht="15.75" customHeight="1">
      <c r="R283" s="30"/>
    </row>
    <row r="284" spans="18:18" ht="15.75" customHeight="1">
      <c r="R284" s="30"/>
    </row>
    <row r="285" spans="18:18" ht="15.75" customHeight="1">
      <c r="R285" s="30"/>
    </row>
    <row r="286" spans="18:18" ht="15.75" customHeight="1">
      <c r="R286" s="30"/>
    </row>
    <row r="287" spans="18:18" ht="15.75" customHeight="1">
      <c r="R287" s="30"/>
    </row>
    <row r="288" spans="18:18" ht="15.75" customHeight="1">
      <c r="R288" s="30"/>
    </row>
    <row r="289" spans="18:18" ht="15.75" customHeight="1">
      <c r="R289" s="30"/>
    </row>
    <row r="290" spans="18:18" ht="15.75" customHeight="1">
      <c r="R290" s="30"/>
    </row>
    <row r="291" spans="18:18" ht="15.75" customHeight="1">
      <c r="R291" s="30"/>
    </row>
    <row r="292" spans="18:18" ht="15.75" customHeight="1">
      <c r="R292" s="30"/>
    </row>
    <row r="293" spans="18:18" ht="15.75" customHeight="1">
      <c r="R293" s="30"/>
    </row>
    <row r="294" spans="18:18" ht="15.75" customHeight="1">
      <c r="R294" s="30"/>
    </row>
    <row r="295" spans="18:18" ht="15.75" customHeight="1">
      <c r="R295" s="30"/>
    </row>
    <row r="296" spans="18:18" ht="15.75" customHeight="1">
      <c r="R296" s="30"/>
    </row>
    <row r="297" spans="18:18" ht="15.75" customHeight="1">
      <c r="R297" s="30"/>
    </row>
    <row r="298" spans="18:18" ht="15.75" customHeight="1">
      <c r="R298" s="30"/>
    </row>
    <row r="299" spans="18:18" ht="15.75" customHeight="1">
      <c r="R299" s="30"/>
    </row>
    <row r="300" spans="18:18" ht="15.75" customHeight="1">
      <c r="R300" s="30"/>
    </row>
    <row r="301" spans="18:18" ht="15.75" customHeight="1">
      <c r="R301" s="30"/>
    </row>
    <row r="302" spans="18:18" ht="15.75" customHeight="1">
      <c r="R302" s="30"/>
    </row>
    <row r="303" spans="18:18" ht="15.75" customHeight="1">
      <c r="R303" s="30"/>
    </row>
    <row r="304" spans="18:18" ht="15.75" customHeight="1">
      <c r="R304" s="30"/>
    </row>
    <row r="305" spans="18:18" ht="15.75" customHeight="1">
      <c r="R305" s="30"/>
    </row>
    <row r="306" spans="18:18" ht="15.75" customHeight="1">
      <c r="R306" s="30"/>
    </row>
    <row r="307" spans="18:18" ht="15.75" customHeight="1">
      <c r="R307" s="30"/>
    </row>
    <row r="308" spans="18:18" ht="15.75" customHeight="1">
      <c r="R308" s="30"/>
    </row>
    <row r="309" spans="18:18" ht="15.75" customHeight="1">
      <c r="R309" s="30"/>
    </row>
    <row r="310" spans="18:18" ht="15.75" customHeight="1">
      <c r="R310" s="30"/>
    </row>
    <row r="311" spans="18:18" ht="15.75" customHeight="1">
      <c r="R311" s="30"/>
    </row>
    <row r="312" spans="18:18" ht="15.75" customHeight="1">
      <c r="R312" s="30"/>
    </row>
    <row r="313" spans="18:18" ht="15.75" customHeight="1">
      <c r="R313" s="30"/>
    </row>
    <row r="314" spans="18:18" ht="15.75" customHeight="1">
      <c r="R314" s="30"/>
    </row>
    <row r="315" spans="18:18" ht="15.75" customHeight="1">
      <c r="R315" s="30"/>
    </row>
    <row r="316" spans="18:18" ht="15.75" customHeight="1">
      <c r="R316" s="30"/>
    </row>
    <row r="317" spans="18:18" ht="15.75" customHeight="1">
      <c r="R317" s="30"/>
    </row>
    <row r="318" spans="18:18" ht="15.75" customHeight="1">
      <c r="R318" s="30"/>
    </row>
    <row r="319" spans="18:18" ht="15.75" customHeight="1">
      <c r="R319" s="30"/>
    </row>
    <row r="320" spans="18:18" ht="15.75" customHeight="1">
      <c r="R320" s="30"/>
    </row>
    <row r="321" spans="18:18" ht="15.75" customHeight="1">
      <c r="R321" s="30"/>
    </row>
    <row r="322" spans="18:18" ht="15.75" customHeight="1">
      <c r="R322" s="30"/>
    </row>
    <row r="323" spans="18:18" ht="15.75" customHeight="1">
      <c r="R323" s="30"/>
    </row>
    <row r="324" spans="18:18" ht="15.75" customHeight="1">
      <c r="R324" s="30"/>
    </row>
    <row r="325" spans="18:18" ht="15.75" customHeight="1">
      <c r="R325" s="30"/>
    </row>
    <row r="326" spans="18:18" ht="15.75" customHeight="1">
      <c r="R326" s="30"/>
    </row>
    <row r="327" spans="18:18" ht="15.75" customHeight="1">
      <c r="R327" s="30"/>
    </row>
    <row r="328" spans="18:18" ht="15.75" customHeight="1">
      <c r="R328" s="30"/>
    </row>
    <row r="329" spans="18:18" ht="15.75" customHeight="1">
      <c r="R329" s="30"/>
    </row>
    <row r="330" spans="18:18" ht="15.75" customHeight="1">
      <c r="R330" s="30"/>
    </row>
    <row r="331" spans="18:18" ht="15.75" customHeight="1">
      <c r="R331" s="30"/>
    </row>
    <row r="332" spans="18:18" ht="15.75" customHeight="1">
      <c r="R332" s="30"/>
    </row>
    <row r="333" spans="18:18" ht="15.75" customHeight="1">
      <c r="R333" s="30"/>
    </row>
    <row r="334" spans="18:18" ht="15.75" customHeight="1">
      <c r="R334" s="30"/>
    </row>
    <row r="335" spans="18:18" ht="15.75" customHeight="1">
      <c r="R335" s="30"/>
    </row>
    <row r="336" spans="18:18" ht="15.75" customHeight="1">
      <c r="R336" s="30"/>
    </row>
    <row r="337" spans="18:18" ht="15.75" customHeight="1">
      <c r="R337" s="30"/>
    </row>
    <row r="338" spans="18:18" ht="15.75" customHeight="1">
      <c r="R338" s="30"/>
    </row>
    <row r="339" spans="18:18" ht="15.75" customHeight="1">
      <c r="R339" s="30"/>
    </row>
    <row r="340" spans="18:18" ht="15.75" customHeight="1">
      <c r="R340" s="30"/>
    </row>
    <row r="341" spans="18:18" ht="15.75" customHeight="1">
      <c r="R341" s="30"/>
    </row>
    <row r="342" spans="18:18" ht="15.75" customHeight="1">
      <c r="R342" s="30"/>
    </row>
    <row r="343" spans="18:18" ht="15.75" customHeight="1">
      <c r="R343" s="30"/>
    </row>
    <row r="344" spans="18:18" ht="15.75" customHeight="1">
      <c r="R344" s="30"/>
    </row>
    <row r="345" spans="18:18" ht="15.75" customHeight="1">
      <c r="R345" s="30"/>
    </row>
    <row r="346" spans="18:18" ht="15.75" customHeight="1">
      <c r="R346" s="30"/>
    </row>
    <row r="347" spans="18:18" ht="15.75" customHeight="1">
      <c r="R347" s="30"/>
    </row>
    <row r="348" spans="18:18" ht="15.75" customHeight="1">
      <c r="R348" s="30"/>
    </row>
    <row r="349" spans="18:18" ht="15.75" customHeight="1">
      <c r="R349" s="30"/>
    </row>
    <row r="350" spans="18:18" ht="15.75" customHeight="1">
      <c r="R350" s="30"/>
    </row>
    <row r="351" spans="18:18" ht="15.75" customHeight="1">
      <c r="R351" s="30"/>
    </row>
    <row r="352" spans="18:18" ht="15.75" customHeight="1">
      <c r="R352" s="30"/>
    </row>
    <row r="353" spans="18:18" ht="15.75" customHeight="1">
      <c r="R353" s="30"/>
    </row>
    <row r="354" spans="18:18" ht="15.75" customHeight="1">
      <c r="R354" s="30"/>
    </row>
    <row r="355" spans="18:18" ht="15.75" customHeight="1">
      <c r="R355" s="30"/>
    </row>
    <row r="356" spans="18:18" ht="15.75" customHeight="1">
      <c r="R356" s="30"/>
    </row>
    <row r="357" spans="18:18" ht="15.75" customHeight="1">
      <c r="R357" s="30"/>
    </row>
    <row r="358" spans="18:18" ht="15.75" customHeight="1">
      <c r="R358" s="30"/>
    </row>
    <row r="359" spans="18:18" ht="15.75" customHeight="1">
      <c r="R359" s="30"/>
    </row>
    <row r="360" spans="18:18" ht="15.75" customHeight="1">
      <c r="R360" s="30"/>
    </row>
    <row r="361" spans="18:18" ht="15.75" customHeight="1">
      <c r="R361" s="30"/>
    </row>
    <row r="362" spans="18:18" ht="15.75" customHeight="1">
      <c r="R362" s="30"/>
    </row>
    <row r="363" spans="18:18" ht="15.75" customHeight="1">
      <c r="R363" s="30"/>
    </row>
    <row r="364" spans="18:18" ht="15.75" customHeight="1">
      <c r="R364" s="30"/>
    </row>
    <row r="365" spans="18:18" ht="15.75" customHeight="1">
      <c r="R365" s="30"/>
    </row>
    <row r="366" spans="18:18" ht="15.75" customHeight="1">
      <c r="R366" s="30"/>
    </row>
    <row r="367" spans="18:18" ht="15.75" customHeight="1">
      <c r="R367" s="30"/>
    </row>
    <row r="368" spans="18:18" ht="15.75" customHeight="1">
      <c r="R368" s="30"/>
    </row>
    <row r="369" spans="18:18" ht="15.75" customHeight="1">
      <c r="R369" s="30"/>
    </row>
    <row r="370" spans="18:18" ht="15.75" customHeight="1">
      <c r="R370" s="30"/>
    </row>
    <row r="371" spans="18:18" ht="15.75" customHeight="1">
      <c r="R371" s="30"/>
    </row>
    <row r="372" spans="18:18" ht="15.75" customHeight="1">
      <c r="R372" s="30"/>
    </row>
    <row r="373" spans="18:18" ht="15.75" customHeight="1">
      <c r="R373" s="30"/>
    </row>
    <row r="374" spans="18:18" ht="15.75" customHeight="1">
      <c r="R374" s="30"/>
    </row>
    <row r="375" spans="18:18" ht="15.75" customHeight="1">
      <c r="R375" s="30"/>
    </row>
    <row r="376" spans="18:18" ht="15.75" customHeight="1">
      <c r="R376" s="30"/>
    </row>
    <row r="377" spans="18:18" ht="15.75" customHeight="1">
      <c r="R377" s="30"/>
    </row>
    <row r="378" spans="18:18" ht="15.75" customHeight="1">
      <c r="R378" s="30"/>
    </row>
    <row r="379" spans="18:18" ht="15.75" customHeight="1">
      <c r="R379" s="30"/>
    </row>
    <row r="380" spans="18:18" ht="15.75" customHeight="1">
      <c r="R380" s="30"/>
    </row>
    <row r="381" spans="18:18" ht="15.75" customHeight="1">
      <c r="R381" s="30"/>
    </row>
    <row r="382" spans="18:18" ht="15.75" customHeight="1">
      <c r="R382" s="30"/>
    </row>
    <row r="383" spans="18:18" ht="15.75" customHeight="1">
      <c r="R383" s="30"/>
    </row>
    <row r="384" spans="18:18" ht="15.75" customHeight="1">
      <c r="R384" s="30"/>
    </row>
    <row r="385" spans="18:18" ht="15.75" customHeight="1">
      <c r="R385" s="30"/>
    </row>
    <row r="386" spans="18:18" ht="15.75" customHeight="1">
      <c r="R386" s="30"/>
    </row>
    <row r="387" spans="18:18" ht="15.75" customHeight="1">
      <c r="R387" s="30"/>
    </row>
    <row r="388" spans="18:18" ht="15.75" customHeight="1">
      <c r="R388" s="30"/>
    </row>
    <row r="389" spans="18:18" ht="15.75" customHeight="1">
      <c r="R389" s="30"/>
    </row>
    <row r="390" spans="18:18" ht="15.75" customHeight="1">
      <c r="R390" s="30"/>
    </row>
    <row r="391" spans="18:18" ht="15.75" customHeight="1">
      <c r="R391" s="30"/>
    </row>
    <row r="392" spans="18:18" ht="15.75" customHeight="1">
      <c r="R392" s="30"/>
    </row>
    <row r="393" spans="18:18" ht="15.75" customHeight="1">
      <c r="R393" s="30"/>
    </row>
    <row r="394" spans="18:18" ht="15.75" customHeight="1">
      <c r="R394" s="30"/>
    </row>
    <row r="395" spans="18:18" ht="15.75" customHeight="1">
      <c r="R395" s="30"/>
    </row>
    <row r="396" spans="18:18" ht="15.75" customHeight="1">
      <c r="R396" s="30"/>
    </row>
    <row r="397" spans="18:18" ht="15.75" customHeight="1">
      <c r="R397" s="30"/>
    </row>
    <row r="398" spans="18:18" ht="15.75" customHeight="1">
      <c r="R398" s="30"/>
    </row>
    <row r="399" spans="18:18" ht="15.75" customHeight="1">
      <c r="R399" s="30"/>
    </row>
    <row r="400" spans="18:18" ht="15.75" customHeight="1">
      <c r="R400" s="30"/>
    </row>
    <row r="401" spans="18:18" ht="15.75" customHeight="1">
      <c r="R401" s="30"/>
    </row>
    <row r="402" spans="18:18" ht="15.75" customHeight="1">
      <c r="R402" s="30"/>
    </row>
    <row r="403" spans="18:18" ht="15.75" customHeight="1">
      <c r="R403" s="30"/>
    </row>
    <row r="404" spans="18:18" ht="15.75" customHeight="1">
      <c r="R404" s="30"/>
    </row>
    <row r="405" spans="18:18" ht="15.75" customHeight="1">
      <c r="R405" s="30"/>
    </row>
    <row r="406" spans="18:18" ht="15.75" customHeight="1">
      <c r="R406" s="30"/>
    </row>
    <row r="407" spans="18:18" ht="15.75" customHeight="1">
      <c r="R407" s="30"/>
    </row>
    <row r="408" spans="18:18" ht="15.75" customHeight="1">
      <c r="R408" s="30"/>
    </row>
    <row r="409" spans="18:18" ht="15.75" customHeight="1">
      <c r="R409" s="30"/>
    </row>
    <row r="410" spans="18:18" ht="15.75" customHeight="1">
      <c r="R410" s="30"/>
    </row>
    <row r="411" spans="18:18" ht="15.75" customHeight="1">
      <c r="R411" s="30"/>
    </row>
    <row r="412" spans="18:18" ht="15.75" customHeight="1">
      <c r="R412" s="30"/>
    </row>
    <row r="413" spans="18:18" ht="15.75" customHeight="1">
      <c r="R413" s="30"/>
    </row>
    <row r="414" spans="18:18" ht="15.75" customHeight="1">
      <c r="R414" s="30"/>
    </row>
    <row r="415" spans="18:18" ht="15.75" customHeight="1">
      <c r="R415" s="30"/>
    </row>
    <row r="416" spans="18:18" ht="15.75" customHeight="1">
      <c r="R416" s="30"/>
    </row>
    <row r="417" spans="18:18" ht="15.75" customHeight="1">
      <c r="R417" s="30"/>
    </row>
    <row r="418" spans="18:18" ht="15.75" customHeight="1">
      <c r="R418" s="30"/>
    </row>
    <row r="419" spans="18:18" ht="15.75" customHeight="1">
      <c r="R419" s="30"/>
    </row>
    <row r="420" spans="18:18" ht="15.75" customHeight="1">
      <c r="R420" s="30"/>
    </row>
    <row r="421" spans="18:18" ht="15.75" customHeight="1">
      <c r="R421" s="30"/>
    </row>
    <row r="422" spans="18:18" ht="15.75" customHeight="1">
      <c r="R422" s="30"/>
    </row>
    <row r="423" spans="18:18" ht="15.75" customHeight="1">
      <c r="R423" s="30"/>
    </row>
    <row r="424" spans="18:18" ht="15.75" customHeight="1">
      <c r="R424" s="30"/>
    </row>
    <row r="425" spans="18:18" ht="15.75" customHeight="1">
      <c r="R425" s="30"/>
    </row>
    <row r="426" spans="18:18" ht="15.75" customHeight="1">
      <c r="R426" s="30"/>
    </row>
    <row r="427" spans="18:18" ht="15.75" customHeight="1">
      <c r="R427" s="30"/>
    </row>
    <row r="428" spans="18:18" ht="15.75" customHeight="1">
      <c r="R428" s="30"/>
    </row>
    <row r="429" spans="18:18" ht="15.75" customHeight="1">
      <c r="R429" s="30"/>
    </row>
    <row r="430" spans="18:18" ht="15.75" customHeight="1">
      <c r="R430" s="30"/>
    </row>
    <row r="431" spans="18:18" ht="15.75" customHeight="1">
      <c r="R431" s="30"/>
    </row>
    <row r="432" spans="18:18" ht="15.75" customHeight="1">
      <c r="R432" s="30"/>
    </row>
    <row r="433" spans="18:18" ht="15.75" customHeight="1">
      <c r="R433" s="30"/>
    </row>
    <row r="434" spans="18:18" ht="15.75" customHeight="1">
      <c r="R434" s="30"/>
    </row>
    <row r="435" spans="18:18" ht="15.75" customHeight="1">
      <c r="R435" s="30"/>
    </row>
    <row r="436" spans="18:18" ht="15.75" customHeight="1">
      <c r="R436" s="30"/>
    </row>
    <row r="437" spans="18:18" ht="15.75" customHeight="1">
      <c r="R437" s="30"/>
    </row>
    <row r="438" spans="18:18" ht="15.75" customHeight="1">
      <c r="R438" s="30"/>
    </row>
    <row r="439" spans="18:18" ht="15.75" customHeight="1">
      <c r="R439" s="30"/>
    </row>
    <row r="440" spans="18:18" ht="15.75" customHeight="1">
      <c r="R440" s="30"/>
    </row>
    <row r="441" spans="18:18" ht="15.75" customHeight="1">
      <c r="R441" s="30"/>
    </row>
    <row r="442" spans="18:18" ht="15.75" customHeight="1">
      <c r="R442" s="30"/>
    </row>
    <row r="443" spans="18:18" ht="15.75" customHeight="1">
      <c r="R443" s="30"/>
    </row>
    <row r="444" spans="18:18" ht="15.75" customHeight="1">
      <c r="R444" s="30"/>
    </row>
    <row r="445" spans="18:18" ht="15.75" customHeight="1">
      <c r="R445" s="30"/>
    </row>
    <row r="446" spans="18:18" ht="15.75" customHeight="1">
      <c r="R446" s="30"/>
    </row>
    <row r="447" spans="18:18" ht="15.75" customHeight="1">
      <c r="R447" s="30"/>
    </row>
    <row r="448" spans="18:18" ht="15.75" customHeight="1">
      <c r="R448" s="30"/>
    </row>
    <row r="449" spans="18:18" ht="15.75" customHeight="1">
      <c r="R449" s="30"/>
    </row>
    <row r="450" spans="18:18" ht="15.75" customHeight="1">
      <c r="R450" s="30"/>
    </row>
    <row r="451" spans="18:18" ht="15.75" customHeight="1">
      <c r="R451" s="30"/>
    </row>
    <row r="452" spans="18:18" ht="15.75" customHeight="1">
      <c r="R452" s="30"/>
    </row>
    <row r="453" spans="18:18" ht="15.75" customHeight="1">
      <c r="R453" s="30"/>
    </row>
    <row r="454" spans="18:18" ht="15.75" customHeight="1">
      <c r="R454" s="30"/>
    </row>
    <row r="455" spans="18:18" ht="15.75" customHeight="1">
      <c r="R455" s="30"/>
    </row>
    <row r="456" spans="18:18" ht="15.75" customHeight="1">
      <c r="R456" s="30"/>
    </row>
    <row r="457" spans="18:18" ht="15.75" customHeight="1">
      <c r="R457" s="30"/>
    </row>
    <row r="458" spans="18:18" ht="15.75" customHeight="1">
      <c r="R458" s="30"/>
    </row>
    <row r="459" spans="18:18" ht="15.75" customHeight="1">
      <c r="R459" s="30"/>
    </row>
    <row r="460" spans="18:18" ht="15.75" customHeight="1">
      <c r="R460" s="30"/>
    </row>
    <row r="461" spans="18:18" ht="15.75" customHeight="1">
      <c r="R461" s="30"/>
    </row>
    <row r="462" spans="18:18" ht="15.75" customHeight="1">
      <c r="R462" s="30"/>
    </row>
    <row r="463" spans="18:18" ht="15.75" customHeight="1">
      <c r="R463" s="30"/>
    </row>
    <row r="464" spans="18:18" ht="15.75" customHeight="1">
      <c r="R464" s="30"/>
    </row>
    <row r="465" spans="18:18" ht="15.75" customHeight="1">
      <c r="R465" s="30"/>
    </row>
    <row r="466" spans="18:18" ht="15.75" customHeight="1">
      <c r="R466" s="30"/>
    </row>
    <row r="467" spans="18:18" ht="15.75" customHeight="1">
      <c r="R467" s="30"/>
    </row>
    <row r="468" spans="18:18" ht="15.75" customHeight="1">
      <c r="R468" s="30"/>
    </row>
    <row r="469" spans="18:18" ht="15.75" customHeight="1">
      <c r="R469" s="30"/>
    </row>
    <row r="470" spans="18:18" ht="15.75" customHeight="1">
      <c r="R470" s="30"/>
    </row>
    <row r="471" spans="18:18" ht="15.75" customHeight="1">
      <c r="R471" s="30"/>
    </row>
    <row r="472" spans="18:18" ht="15.75" customHeight="1">
      <c r="R472" s="30"/>
    </row>
    <row r="473" spans="18:18" ht="15.75" customHeight="1">
      <c r="R473" s="30"/>
    </row>
    <row r="474" spans="18:18" ht="15.75" customHeight="1">
      <c r="R474" s="30"/>
    </row>
    <row r="475" spans="18:18" ht="15.75" customHeight="1">
      <c r="R475" s="30"/>
    </row>
    <row r="476" spans="18:18" ht="15.75" customHeight="1">
      <c r="R476" s="30"/>
    </row>
    <row r="477" spans="18:18" ht="15.75" customHeight="1">
      <c r="R477" s="30"/>
    </row>
    <row r="478" spans="18:18" ht="15.75" customHeight="1">
      <c r="R478" s="30"/>
    </row>
    <row r="479" spans="18:18" ht="15.75" customHeight="1">
      <c r="R479" s="30"/>
    </row>
    <row r="480" spans="18:18" ht="15.75" customHeight="1">
      <c r="R480" s="30"/>
    </row>
    <row r="481" spans="18:18" ht="15.75" customHeight="1">
      <c r="R481" s="30"/>
    </row>
    <row r="482" spans="18:18" ht="15.75" customHeight="1">
      <c r="R482" s="30"/>
    </row>
    <row r="483" spans="18:18" ht="15.75" customHeight="1">
      <c r="R483" s="30"/>
    </row>
    <row r="484" spans="18:18" ht="15.75" customHeight="1">
      <c r="R484" s="30"/>
    </row>
    <row r="485" spans="18:18" ht="15.75" customHeight="1">
      <c r="R485" s="30"/>
    </row>
    <row r="486" spans="18:18" ht="15.75" customHeight="1">
      <c r="R486" s="30"/>
    </row>
    <row r="487" spans="18:18" ht="15.75" customHeight="1">
      <c r="R487" s="30"/>
    </row>
    <row r="488" spans="18:18" ht="15.75" customHeight="1">
      <c r="R488" s="30"/>
    </row>
    <row r="489" spans="18:18" ht="15.75" customHeight="1">
      <c r="R489" s="30"/>
    </row>
    <row r="490" spans="18:18" ht="15.75" customHeight="1">
      <c r="R490" s="30"/>
    </row>
    <row r="491" spans="18:18" ht="15.75" customHeight="1">
      <c r="R491" s="30"/>
    </row>
    <row r="492" spans="18:18" ht="15.75" customHeight="1">
      <c r="R492" s="30"/>
    </row>
    <row r="493" spans="18:18" ht="15.75" customHeight="1">
      <c r="R493" s="30"/>
    </row>
    <row r="494" spans="18:18" ht="15.75" customHeight="1">
      <c r="R494" s="30"/>
    </row>
    <row r="495" spans="18:18" ht="15.75" customHeight="1">
      <c r="R495" s="30"/>
    </row>
    <row r="496" spans="18:18" ht="15.75" customHeight="1">
      <c r="R496" s="30"/>
    </row>
    <row r="497" spans="18:18" ht="15.75" customHeight="1">
      <c r="R497" s="30"/>
    </row>
    <row r="498" spans="18:18" ht="15.75" customHeight="1">
      <c r="R498" s="30"/>
    </row>
    <row r="499" spans="18:18" ht="15.75" customHeight="1">
      <c r="R499" s="30"/>
    </row>
    <row r="500" spans="18:18" ht="15.75" customHeight="1">
      <c r="R500" s="30"/>
    </row>
    <row r="501" spans="18:18" ht="15.75" customHeight="1">
      <c r="R501" s="30"/>
    </row>
    <row r="502" spans="18:18" ht="15.75" customHeight="1">
      <c r="R502" s="30"/>
    </row>
    <row r="503" spans="18:18" ht="15.75" customHeight="1">
      <c r="R503" s="30"/>
    </row>
    <row r="504" spans="18:18" ht="15.75" customHeight="1">
      <c r="R504" s="30"/>
    </row>
    <row r="505" spans="18:18" ht="15.75" customHeight="1">
      <c r="R505" s="30"/>
    </row>
    <row r="506" spans="18:18" ht="15.75" customHeight="1">
      <c r="R506" s="30"/>
    </row>
    <row r="507" spans="18:18" ht="15.75" customHeight="1">
      <c r="R507" s="30"/>
    </row>
    <row r="508" spans="18:18" ht="15.75" customHeight="1">
      <c r="R508" s="30"/>
    </row>
    <row r="509" spans="18:18" ht="15.75" customHeight="1">
      <c r="R509" s="30"/>
    </row>
    <row r="510" spans="18:18" ht="15.75" customHeight="1">
      <c r="R510" s="30"/>
    </row>
    <row r="511" spans="18:18" ht="15.75" customHeight="1">
      <c r="R511" s="30"/>
    </row>
    <row r="512" spans="18:18" ht="15.75" customHeight="1">
      <c r="R512" s="30"/>
    </row>
    <row r="513" spans="18:18" ht="15.75" customHeight="1">
      <c r="R513" s="30"/>
    </row>
    <row r="514" spans="18:18" ht="15.75" customHeight="1">
      <c r="R514" s="30"/>
    </row>
    <row r="515" spans="18:18" ht="15.75" customHeight="1">
      <c r="R515" s="30"/>
    </row>
    <row r="516" spans="18:18" ht="15.75" customHeight="1">
      <c r="R516" s="30"/>
    </row>
    <row r="517" spans="18:18" ht="15.75" customHeight="1">
      <c r="R517" s="30"/>
    </row>
    <row r="518" spans="18:18" ht="15.75" customHeight="1">
      <c r="R518" s="30"/>
    </row>
    <row r="519" spans="18:18" ht="15.75" customHeight="1">
      <c r="R519" s="30"/>
    </row>
    <row r="520" spans="18:18" ht="15.75" customHeight="1">
      <c r="R520" s="30"/>
    </row>
    <row r="521" spans="18:18" ht="15.75" customHeight="1">
      <c r="R521" s="30"/>
    </row>
    <row r="522" spans="18:18" ht="15.75" customHeight="1">
      <c r="R522" s="30"/>
    </row>
    <row r="523" spans="18:18" ht="15.75" customHeight="1">
      <c r="R523" s="30"/>
    </row>
    <row r="524" spans="18:18" ht="15.75" customHeight="1">
      <c r="R524" s="30"/>
    </row>
    <row r="525" spans="18:18" ht="15.75" customHeight="1">
      <c r="R525" s="30"/>
    </row>
    <row r="526" spans="18:18" ht="15.75" customHeight="1">
      <c r="R526" s="30"/>
    </row>
    <row r="527" spans="18:18" ht="15.75" customHeight="1">
      <c r="R527" s="30"/>
    </row>
    <row r="528" spans="18:18" ht="15.75" customHeight="1">
      <c r="R528" s="30"/>
    </row>
    <row r="529" spans="18:18" ht="15.75" customHeight="1">
      <c r="R529" s="30"/>
    </row>
    <row r="530" spans="18:18" ht="15.75" customHeight="1">
      <c r="R530" s="30"/>
    </row>
    <row r="531" spans="18:18" ht="15.75" customHeight="1">
      <c r="R531" s="30"/>
    </row>
    <row r="532" spans="18:18" ht="15.75" customHeight="1">
      <c r="R532" s="30"/>
    </row>
    <row r="533" spans="18:18" ht="15.75" customHeight="1">
      <c r="R533" s="30"/>
    </row>
    <row r="534" spans="18:18" ht="15.75" customHeight="1">
      <c r="R534" s="30"/>
    </row>
    <row r="535" spans="18:18" ht="15.75" customHeight="1">
      <c r="R535" s="30"/>
    </row>
    <row r="536" spans="18:18" ht="15.75" customHeight="1">
      <c r="R536" s="30"/>
    </row>
    <row r="537" spans="18:18" ht="15.75" customHeight="1">
      <c r="R537" s="30"/>
    </row>
    <row r="538" spans="18:18" ht="15.75" customHeight="1">
      <c r="R538" s="30"/>
    </row>
    <row r="539" spans="18:18" ht="15.75" customHeight="1">
      <c r="R539" s="30"/>
    </row>
    <row r="540" spans="18:18" ht="15.75" customHeight="1">
      <c r="R540" s="30"/>
    </row>
    <row r="541" spans="18:18" ht="15.75" customHeight="1">
      <c r="R541" s="30"/>
    </row>
    <row r="542" spans="18:18" ht="15.75" customHeight="1">
      <c r="R542" s="30"/>
    </row>
    <row r="543" spans="18:18" ht="15.75" customHeight="1">
      <c r="R543" s="30"/>
    </row>
    <row r="544" spans="18:18" ht="15.75" customHeight="1">
      <c r="R544" s="30"/>
    </row>
    <row r="545" spans="18:18" ht="15.75" customHeight="1">
      <c r="R545" s="30"/>
    </row>
    <row r="546" spans="18:18" ht="15.75" customHeight="1">
      <c r="R546" s="30"/>
    </row>
    <row r="547" spans="18:18" ht="15.75" customHeight="1">
      <c r="R547" s="30"/>
    </row>
    <row r="548" spans="18:18" ht="15.75" customHeight="1">
      <c r="R548" s="30"/>
    </row>
    <row r="549" spans="18:18" ht="15.75" customHeight="1">
      <c r="R549" s="30"/>
    </row>
    <row r="550" spans="18:18" ht="15.75" customHeight="1">
      <c r="R550" s="30"/>
    </row>
    <row r="551" spans="18:18" ht="15.75" customHeight="1">
      <c r="R551" s="30"/>
    </row>
    <row r="552" spans="18:18" ht="15.75" customHeight="1">
      <c r="R552" s="30"/>
    </row>
    <row r="553" spans="18:18" ht="15.75" customHeight="1">
      <c r="R553" s="30"/>
    </row>
    <row r="554" spans="18:18" ht="15.75" customHeight="1">
      <c r="R554" s="30"/>
    </row>
    <row r="555" spans="18:18" ht="15.75" customHeight="1">
      <c r="R555" s="30"/>
    </row>
    <row r="556" spans="18:18" ht="15.75" customHeight="1">
      <c r="R556" s="30"/>
    </row>
    <row r="557" spans="18:18" ht="15.75" customHeight="1">
      <c r="R557" s="30"/>
    </row>
    <row r="558" spans="18:18" ht="15.75" customHeight="1">
      <c r="R558" s="30"/>
    </row>
    <row r="559" spans="18:18" ht="15.75" customHeight="1">
      <c r="R559" s="30"/>
    </row>
    <row r="560" spans="18:18" ht="15.75" customHeight="1">
      <c r="R560" s="30"/>
    </row>
    <row r="561" spans="18:18" ht="15.75" customHeight="1">
      <c r="R561" s="30"/>
    </row>
    <row r="562" spans="18:18" ht="15.75" customHeight="1">
      <c r="R562" s="30"/>
    </row>
    <row r="563" spans="18:18" ht="15.75" customHeight="1">
      <c r="R563" s="30"/>
    </row>
    <row r="564" spans="18:18" ht="15.75" customHeight="1">
      <c r="R564" s="30"/>
    </row>
    <row r="565" spans="18:18" ht="15.75" customHeight="1">
      <c r="R565" s="30"/>
    </row>
    <row r="566" spans="18:18" ht="15.75" customHeight="1">
      <c r="R566" s="30"/>
    </row>
    <row r="567" spans="18:18" ht="15.75" customHeight="1">
      <c r="R567" s="30"/>
    </row>
    <row r="568" spans="18:18" ht="15.75" customHeight="1">
      <c r="R568" s="30"/>
    </row>
    <row r="569" spans="18:18" ht="15.75" customHeight="1">
      <c r="R569" s="30"/>
    </row>
    <row r="570" spans="18:18" ht="15.75" customHeight="1">
      <c r="R570" s="30"/>
    </row>
    <row r="571" spans="18:18" ht="15.75" customHeight="1">
      <c r="R571" s="30"/>
    </row>
    <row r="572" spans="18:18" ht="15.75" customHeight="1">
      <c r="R572" s="30"/>
    </row>
    <row r="573" spans="18:18" ht="15.75" customHeight="1">
      <c r="R573" s="30"/>
    </row>
    <row r="574" spans="18:18" ht="15.75" customHeight="1">
      <c r="R574" s="30"/>
    </row>
    <row r="575" spans="18:18" ht="15.75" customHeight="1">
      <c r="R575" s="30"/>
    </row>
    <row r="576" spans="18:18" ht="15.75" customHeight="1">
      <c r="R576" s="30"/>
    </row>
    <row r="577" spans="18:18" ht="15.75" customHeight="1">
      <c r="R577" s="30"/>
    </row>
    <row r="578" spans="18:18" ht="15.75" customHeight="1">
      <c r="R578" s="30"/>
    </row>
    <row r="579" spans="18:18" ht="15.75" customHeight="1">
      <c r="R579" s="30"/>
    </row>
    <row r="580" spans="18:18" ht="15.75" customHeight="1">
      <c r="R580" s="30"/>
    </row>
    <row r="581" spans="18:18" ht="15.75" customHeight="1">
      <c r="R581" s="30"/>
    </row>
    <row r="582" spans="18:18" ht="15.75" customHeight="1">
      <c r="R582" s="30"/>
    </row>
    <row r="583" spans="18:18" ht="15.75" customHeight="1">
      <c r="R583" s="30"/>
    </row>
    <row r="584" spans="18:18" ht="15.75" customHeight="1">
      <c r="R584" s="30"/>
    </row>
    <row r="585" spans="18:18" ht="15.75" customHeight="1">
      <c r="R585" s="30"/>
    </row>
    <row r="586" spans="18:18" ht="15.75" customHeight="1">
      <c r="R586" s="30"/>
    </row>
    <row r="587" spans="18:18" ht="15.75" customHeight="1">
      <c r="R587" s="30"/>
    </row>
    <row r="588" spans="18:18" ht="15.75" customHeight="1">
      <c r="R588" s="30"/>
    </row>
    <row r="589" spans="18:18" ht="15.75" customHeight="1">
      <c r="R589" s="30"/>
    </row>
    <row r="590" spans="18:18" ht="15.75" customHeight="1">
      <c r="R590" s="30"/>
    </row>
    <row r="591" spans="18:18" ht="15.75" customHeight="1">
      <c r="R591" s="30"/>
    </row>
    <row r="592" spans="18:18" ht="15.75" customHeight="1">
      <c r="R592" s="30"/>
    </row>
    <row r="593" spans="18:18" ht="15.75" customHeight="1">
      <c r="R593" s="30"/>
    </row>
    <row r="594" spans="18:18" ht="15.75" customHeight="1">
      <c r="R594" s="30"/>
    </row>
    <row r="595" spans="18:18" ht="15.75" customHeight="1">
      <c r="R595" s="30"/>
    </row>
    <row r="596" spans="18:18" ht="15.75" customHeight="1">
      <c r="R596" s="30"/>
    </row>
    <row r="597" spans="18:18" ht="15.75" customHeight="1">
      <c r="R597" s="30"/>
    </row>
    <row r="598" spans="18:18" ht="15.75" customHeight="1">
      <c r="R598" s="30"/>
    </row>
    <row r="599" spans="18:18" ht="15.75" customHeight="1">
      <c r="R599" s="30"/>
    </row>
    <row r="600" spans="18:18" ht="15.75" customHeight="1">
      <c r="R600" s="30"/>
    </row>
    <row r="601" spans="18:18" ht="15.75" customHeight="1">
      <c r="R601" s="30"/>
    </row>
    <row r="602" spans="18:18" ht="15.75" customHeight="1">
      <c r="R602" s="30"/>
    </row>
    <row r="603" spans="18:18" ht="15.75" customHeight="1">
      <c r="R603" s="30"/>
    </row>
    <row r="604" spans="18:18" ht="15.75" customHeight="1">
      <c r="R604" s="30"/>
    </row>
    <row r="605" spans="18:18" ht="15.75" customHeight="1">
      <c r="R605" s="30"/>
    </row>
    <row r="606" spans="18:18" ht="15.75" customHeight="1">
      <c r="R606" s="30"/>
    </row>
    <row r="607" spans="18:18" ht="15.75" customHeight="1">
      <c r="R607" s="30"/>
    </row>
    <row r="608" spans="18:18" ht="15.75" customHeight="1">
      <c r="R608" s="30"/>
    </row>
    <row r="609" spans="18:18" ht="15.75" customHeight="1">
      <c r="R609" s="30"/>
    </row>
    <row r="610" spans="18:18" ht="15.75" customHeight="1">
      <c r="R610" s="30"/>
    </row>
    <row r="611" spans="18:18" ht="15.75" customHeight="1">
      <c r="R611" s="30"/>
    </row>
    <row r="612" spans="18:18" ht="15.75" customHeight="1">
      <c r="R612" s="30"/>
    </row>
    <row r="613" spans="18:18" ht="15.75" customHeight="1">
      <c r="R613" s="30"/>
    </row>
    <row r="614" spans="18:18" ht="15.75" customHeight="1">
      <c r="R614" s="30"/>
    </row>
    <row r="615" spans="18:18" ht="15.75" customHeight="1">
      <c r="R615" s="30"/>
    </row>
    <row r="616" spans="18:18" ht="15.75" customHeight="1">
      <c r="R616" s="30"/>
    </row>
    <row r="617" spans="18:18" ht="15.75" customHeight="1">
      <c r="R617" s="30"/>
    </row>
    <row r="618" spans="18:18" ht="15.75" customHeight="1">
      <c r="R618" s="30"/>
    </row>
    <row r="619" spans="18:18" ht="15.75" customHeight="1">
      <c r="R619" s="30"/>
    </row>
    <row r="620" spans="18:18" ht="15.75" customHeight="1">
      <c r="R620" s="30"/>
    </row>
    <row r="621" spans="18:18" ht="15.75" customHeight="1">
      <c r="R621" s="30"/>
    </row>
    <row r="622" spans="18:18" ht="15.75" customHeight="1">
      <c r="R622" s="30"/>
    </row>
    <row r="623" spans="18:18" ht="15.75" customHeight="1">
      <c r="R623" s="30"/>
    </row>
    <row r="624" spans="18:18" ht="15.75" customHeight="1">
      <c r="R624" s="30"/>
    </row>
    <row r="625" spans="18:18" ht="15.75" customHeight="1">
      <c r="R625" s="30"/>
    </row>
    <row r="626" spans="18:18" ht="15.75" customHeight="1">
      <c r="R626" s="30"/>
    </row>
    <row r="627" spans="18:18" ht="15.75" customHeight="1">
      <c r="R627" s="30"/>
    </row>
    <row r="628" spans="18:18" ht="15.75" customHeight="1">
      <c r="R628" s="30"/>
    </row>
    <row r="629" spans="18:18" ht="15.75" customHeight="1">
      <c r="R629" s="30"/>
    </row>
    <row r="630" spans="18:18" ht="15.75" customHeight="1">
      <c r="R630" s="30"/>
    </row>
    <row r="631" spans="18:18" ht="15.75" customHeight="1">
      <c r="R631" s="30"/>
    </row>
    <row r="632" spans="18:18" ht="15.75" customHeight="1">
      <c r="R632" s="30"/>
    </row>
    <row r="633" spans="18:18" ht="15.75" customHeight="1">
      <c r="R633" s="30"/>
    </row>
    <row r="634" spans="18:18" ht="15.75" customHeight="1">
      <c r="R634" s="30"/>
    </row>
    <row r="635" spans="18:18" ht="15.75" customHeight="1">
      <c r="R635" s="30"/>
    </row>
    <row r="636" spans="18:18" ht="15.75" customHeight="1">
      <c r="R636" s="30"/>
    </row>
    <row r="637" spans="18:18" ht="15.75" customHeight="1">
      <c r="R637" s="30"/>
    </row>
    <row r="638" spans="18:18" ht="15.75" customHeight="1">
      <c r="R638" s="30"/>
    </row>
    <row r="639" spans="18:18" ht="15.75" customHeight="1">
      <c r="R639" s="30"/>
    </row>
    <row r="640" spans="18:18" ht="15.75" customHeight="1">
      <c r="R640" s="30"/>
    </row>
    <row r="641" spans="18:18" ht="15.75" customHeight="1">
      <c r="R641" s="30"/>
    </row>
    <row r="642" spans="18:18" ht="15.75" customHeight="1">
      <c r="R642" s="30"/>
    </row>
    <row r="643" spans="18:18" ht="15.75" customHeight="1">
      <c r="R643" s="30"/>
    </row>
    <row r="644" spans="18:18" ht="15.75" customHeight="1">
      <c r="R644" s="30"/>
    </row>
    <row r="645" spans="18:18" ht="15.75" customHeight="1">
      <c r="R645" s="30"/>
    </row>
    <row r="646" spans="18:18" ht="15.75" customHeight="1">
      <c r="R646" s="30"/>
    </row>
    <row r="647" spans="18:18" ht="15.75" customHeight="1">
      <c r="R647" s="30"/>
    </row>
    <row r="648" spans="18:18" ht="15.75" customHeight="1">
      <c r="R648" s="30"/>
    </row>
    <row r="649" spans="18:18" ht="15.75" customHeight="1">
      <c r="R649" s="30"/>
    </row>
    <row r="650" spans="18:18" ht="15.75" customHeight="1">
      <c r="R650" s="30"/>
    </row>
    <row r="651" spans="18:18" ht="15.75" customHeight="1">
      <c r="R651" s="30"/>
    </row>
    <row r="652" spans="18:18" ht="15.75" customHeight="1">
      <c r="R652" s="30"/>
    </row>
    <row r="653" spans="18:18" ht="15.75" customHeight="1">
      <c r="R653" s="30"/>
    </row>
    <row r="654" spans="18:18" ht="15.75" customHeight="1">
      <c r="R654" s="30"/>
    </row>
    <row r="655" spans="18:18" ht="15.75" customHeight="1">
      <c r="R655" s="30"/>
    </row>
    <row r="656" spans="18:18" ht="15.75" customHeight="1">
      <c r="R656" s="30"/>
    </row>
    <row r="657" spans="18:18" ht="15.75" customHeight="1">
      <c r="R657" s="30"/>
    </row>
    <row r="658" spans="18:18" ht="15.75" customHeight="1">
      <c r="R658" s="30"/>
    </row>
    <row r="659" spans="18:18" ht="15.75" customHeight="1">
      <c r="R659" s="30"/>
    </row>
    <row r="660" spans="18:18" ht="15.75" customHeight="1">
      <c r="R660" s="30"/>
    </row>
    <row r="661" spans="18:18" ht="15.75" customHeight="1">
      <c r="R661" s="30"/>
    </row>
    <row r="662" spans="18:18" ht="15.75" customHeight="1">
      <c r="R662" s="30"/>
    </row>
    <row r="663" spans="18:18" ht="15.75" customHeight="1">
      <c r="R663" s="30"/>
    </row>
    <row r="664" spans="18:18" ht="15.75" customHeight="1">
      <c r="R664" s="30"/>
    </row>
    <row r="665" spans="18:18" ht="15.75" customHeight="1">
      <c r="R665" s="30"/>
    </row>
    <row r="666" spans="18:18" ht="15.75" customHeight="1">
      <c r="R666" s="30"/>
    </row>
    <row r="667" spans="18:18" ht="15.75" customHeight="1">
      <c r="R667" s="30"/>
    </row>
    <row r="668" spans="18:18" ht="15.75" customHeight="1">
      <c r="R668" s="30"/>
    </row>
    <row r="669" spans="18:18" ht="15.75" customHeight="1">
      <c r="R669" s="30"/>
    </row>
    <row r="670" spans="18:18" ht="15.75" customHeight="1">
      <c r="R670" s="30"/>
    </row>
    <row r="671" spans="18:18" ht="15.75" customHeight="1">
      <c r="R671" s="30"/>
    </row>
    <row r="672" spans="18:18" ht="15.75" customHeight="1">
      <c r="R672" s="30"/>
    </row>
    <row r="673" spans="18:18" ht="15.75" customHeight="1">
      <c r="R673" s="30"/>
    </row>
    <row r="674" spans="18:18" ht="15.75" customHeight="1">
      <c r="R674" s="30"/>
    </row>
    <row r="675" spans="18:18" ht="15.75" customHeight="1">
      <c r="R675" s="30"/>
    </row>
    <row r="676" spans="18:18" ht="15.75" customHeight="1">
      <c r="R676" s="30"/>
    </row>
    <row r="677" spans="18:18" ht="15.75" customHeight="1">
      <c r="R677" s="30"/>
    </row>
    <row r="678" spans="18:18" ht="15.75" customHeight="1">
      <c r="R678" s="30"/>
    </row>
    <row r="679" spans="18:18" ht="15.75" customHeight="1">
      <c r="R679" s="30"/>
    </row>
    <row r="680" spans="18:18" ht="15.75" customHeight="1">
      <c r="R680" s="30"/>
    </row>
    <row r="681" spans="18:18" ht="15.75" customHeight="1">
      <c r="R681" s="30"/>
    </row>
    <row r="682" spans="18:18" ht="15.75" customHeight="1">
      <c r="R682" s="30"/>
    </row>
    <row r="683" spans="18:18" ht="15.75" customHeight="1">
      <c r="R683" s="30"/>
    </row>
    <row r="684" spans="18:18" ht="15.75" customHeight="1">
      <c r="R684" s="30"/>
    </row>
    <row r="685" spans="18:18" ht="15.75" customHeight="1">
      <c r="R685" s="30"/>
    </row>
    <row r="686" spans="18:18" ht="15.75" customHeight="1">
      <c r="R686" s="30"/>
    </row>
    <row r="687" spans="18:18" ht="15.75" customHeight="1">
      <c r="R687" s="30"/>
    </row>
    <row r="688" spans="18:18" ht="15.75" customHeight="1">
      <c r="R688" s="30"/>
    </row>
    <row r="689" spans="18:18" ht="15.75" customHeight="1">
      <c r="R689" s="30"/>
    </row>
    <row r="690" spans="18:18" ht="15.75" customHeight="1">
      <c r="R690" s="30"/>
    </row>
    <row r="691" spans="18:18" ht="15.75" customHeight="1">
      <c r="R691" s="30"/>
    </row>
    <row r="692" spans="18:18" ht="15.75" customHeight="1">
      <c r="R692" s="30"/>
    </row>
    <row r="693" spans="18:18" ht="15.75" customHeight="1">
      <c r="R693" s="30"/>
    </row>
    <row r="694" spans="18:18" ht="15.75" customHeight="1">
      <c r="R694" s="30"/>
    </row>
    <row r="695" spans="18:18" ht="15.75" customHeight="1">
      <c r="R695" s="30"/>
    </row>
    <row r="696" spans="18:18" ht="15.75" customHeight="1">
      <c r="R696" s="30"/>
    </row>
    <row r="697" spans="18:18" ht="15.75" customHeight="1">
      <c r="R697" s="30"/>
    </row>
    <row r="698" spans="18:18" ht="15.75" customHeight="1">
      <c r="R698" s="30"/>
    </row>
    <row r="699" spans="18:18" ht="15.75" customHeight="1">
      <c r="R699" s="30"/>
    </row>
    <row r="700" spans="18:18" ht="15.75" customHeight="1">
      <c r="R700" s="30"/>
    </row>
    <row r="701" spans="18:18" ht="15.75" customHeight="1">
      <c r="R701" s="30"/>
    </row>
    <row r="702" spans="18:18" ht="15.75" customHeight="1">
      <c r="R702" s="30"/>
    </row>
    <row r="703" spans="18:18" ht="15.75" customHeight="1">
      <c r="R703" s="30"/>
    </row>
    <row r="704" spans="18:18" ht="15.75" customHeight="1">
      <c r="R704" s="30"/>
    </row>
    <row r="705" spans="18:18" ht="15.75" customHeight="1">
      <c r="R705" s="30"/>
    </row>
    <row r="706" spans="18:18" ht="15.75" customHeight="1">
      <c r="R706" s="30"/>
    </row>
    <row r="707" spans="18:18" ht="15.75" customHeight="1">
      <c r="R707" s="30"/>
    </row>
    <row r="708" spans="18:18" ht="15.75" customHeight="1">
      <c r="R708" s="30"/>
    </row>
    <row r="709" spans="18:18" ht="15.75" customHeight="1">
      <c r="R709" s="30"/>
    </row>
    <row r="710" spans="18:18" ht="15.75" customHeight="1">
      <c r="R710" s="30"/>
    </row>
    <row r="711" spans="18:18" ht="15.75" customHeight="1">
      <c r="R711" s="30"/>
    </row>
    <row r="712" spans="18:18" ht="15.75" customHeight="1">
      <c r="R712" s="30"/>
    </row>
    <row r="713" spans="18:18" ht="15.75" customHeight="1">
      <c r="R713" s="30"/>
    </row>
    <row r="714" spans="18:18" ht="15.75" customHeight="1">
      <c r="R714" s="30"/>
    </row>
    <row r="715" spans="18:18" ht="15.75" customHeight="1">
      <c r="R715" s="30"/>
    </row>
    <row r="716" spans="18:18" ht="15.75" customHeight="1">
      <c r="R716" s="30"/>
    </row>
    <row r="717" spans="18:18" ht="15.75" customHeight="1">
      <c r="R717" s="30"/>
    </row>
    <row r="718" spans="18:18" ht="15.75" customHeight="1">
      <c r="R718" s="30"/>
    </row>
    <row r="719" spans="18:18" ht="15.75" customHeight="1">
      <c r="R719" s="30"/>
    </row>
    <row r="720" spans="18:18" ht="15.75" customHeight="1">
      <c r="R720" s="30"/>
    </row>
    <row r="721" spans="18:18" ht="15.75" customHeight="1">
      <c r="R721" s="30"/>
    </row>
    <row r="722" spans="18:18" ht="15.75" customHeight="1">
      <c r="R722" s="30"/>
    </row>
    <row r="723" spans="18:18" ht="15.75" customHeight="1">
      <c r="R723" s="30"/>
    </row>
    <row r="724" spans="18:18" ht="15.75" customHeight="1">
      <c r="R724" s="30"/>
    </row>
    <row r="725" spans="18:18" ht="15.75" customHeight="1">
      <c r="R725" s="30"/>
    </row>
    <row r="726" spans="18:18" ht="15.75" customHeight="1">
      <c r="R726" s="30"/>
    </row>
    <row r="727" spans="18:18" ht="15.75" customHeight="1">
      <c r="R727" s="30"/>
    </row>
    <row r="728" spans="18:18" ht="15.75" customHeight="1">
      <c r="R728" s="30"/>
    </row>
    <row r="729" spans="18:18" ht="15.75" customHeight="1">
      <c r="R729" s="30"/>
    </row>
    <row r="730" spans="18:18" ht="15.75" customHeight="1">
      <c r="R730" s="30"/>
    </row>
    <row r="731" spans="18:18" ht="15.75" customHeight="1">
      <c r="R731" s="30"/>
    </row>
    <row r="732" spans="18:18" ht="15.75" customHeight="1">
      <c r="R732" s="30"/>
    </row>
    <row r="733" spans="18:18" ht="15.75" customHeight="1">
      <c r="R733" s="30"/>
    </row>
    <row r="734" spans="18:18" ht="15.75" customHeight="1">
      <c r="R734" s="30"/>
    </row>
    <row r="735" spans="18:18" ht="15.75" customHeight="1">
      <c r="R735" s="30"/>
    </row>
    <row r="736" spans="18:18" ht="15.75" customHeight="1">
      <c r="R736" s="30"/>
    </row>
    <row r="737" spans="18:18" ht="15.75" customHeight="1">
      <c r="R737" s="30"/>
    </row>
    <row r="738" spans="18:18" ht="15.75" customHeight="1">
      <c r="R738" s="30"/>
    </row>
    <row r="739" spans="18:18" ht="15.75" customHeight="1">
      <c r="R739" s="30"/>
    </row>
    <row r="740" spans="18:18" ht="15.75" customHeight="1">
      <c r="R740" s="30"/>
    </row>
    <row r="741" spans="18:18" ht="15.75" customHeight="1">
      <c r="R741" s="30"/>
    </row>
    <row r="742" spans="18:18" ht="15.75" customHeight="1">
      <c r="R742" s="30"/>
    </row>
    <row r="743" spans="18:18" ht="15.75" customHeight="1">
      <c r="R743" s="30"/>
    </row>
    <row r="744" spans="18:18" ht="15.75" customHeight="1">
      <c r="R744" s="30"/>
    </row>
    <row r="745" spans="18:18" ht="15.75" customHeight="1">
      <c r="R745" s="30"/>
    </row>
    <row r="746" spans="18:18" ht="15.75" customHeight="1">
      <c r="R746" s="30"/>
    </row>
    <row r="747" spans="18:18" ht="15.75" customHeight="1">
      <c r="R747" s="30"/>
    </row>
    <row r="748" spans="18:18" ht="15.75" customHeight="1">
      <c r="R748" s="30"/>
    </row>
    <row r="749" spans="18:18" ht="15.75" customHeight="1">
      <c r="R749" s="30"/>
    </row>
    <row r="750" spans="18:18" ht="15.75" customHeight="1">
      <c r="R750" s="30"/>
    </row>
    <row r="751" spans="18:18" ht="15.75" customHeight="1">
      <c r="R751" s="30"/>
    </row>
    <row r="752" spans="18:18" ht="15.75" customHeight="1">
      <c r="R752" s="30"/>
    </row>
    <row r="753" spans="18:18" ht="15.75" customHeight="1">
      <c r="R753" s="30"/>
    </row>
    <row r="754" spans="18:18" ht="15.75" customHeight="1">
      <c r="R754" s="30"/>
    </row>
    <row r="755" spans="18:18" ht="15.75" customHeight="1">
      <c r="R755" s="30"/>
    </row>
    <row r="756" spans="18:18" ht="15.75" customHeight="1">
      <c r="R756" s="30"/>
    </row>
    <row r="757" spans="18:18" ht="15.75" customHeight="1">
      <c r="R757" s="30"/>
    </row>
    <row r="758" spans="18:18" ht="15.75" customHeight="1">
      <c r="R758" s="30"/>
    </row>
    <row r="759" spans="18:18" ht="15.75" customHeight="1">
      <c r="R759" s="30"/>
    </row>
    <row r="760" spans="18:18" ht="15.75" customHeight="1">
      <c r="R760" s="30"/>
    </row>
    <row r="761" spans="18:18" ht="15.75" customHeight="1">
      <c r="R761" s="30"/>
    </row>
    <row r="762" spans="18:18" ht="15.75" customHeight="1">
      <c r="R762" s="30"/>
    </row>
    <row r="763" spans="18:18" ht="15.75" customHeight="1">
      <c r="R763" s="30"/>
    </row>
    <row r="764" spans="18:18" ht="15.75" customHeight="1">
      <c r="R764" s="30"/>
    </row>
    <row r="765" spans="18:18" ht="15.75" customHeight="1">
      <c r="R765" s="30"/>
    </row>
    <row r="766" spans="18:18" ht="15.75" customHeight="1">
      <c r="R766" s="30"/>
    </row>
    <row r="767" spans="18:18" ht="15.75" customHeight="1">
      <c r="R767" s="30"/>
    </row>
    <row r="768" spans="18:18" ht="15.75" customHeight="1">
      <c r="R768" s="30"/>
    </row>
    <row r="769" spans="18:18" ht="15.75" customHeight="1">
      <c r="R769" s="30"/>
    </row>
    <row r="770" spans="18:18" ht="15.75" customHeight="1">
      <c r="R770" s="30"/>
    </row>
    <row r="771" spans="18:18" ht="15.75" customHeight="1">
      <c r="R771" s="30"/>
    </row>
    <row r="772" spans="18:18" ht="15.75" customHeight="1">
      <c r="R772" s="30"/>
    </row>
    <row r="773" spans="18:18" ht="15.75" customHeight="1">
      <c r="R773" s="30"/>
    </row>
    <row r="774" spans="18:18" ht="15.75" customHeight="1">
      <c r="R774" s="30"/>
    </row>
    <row r="775" spans="18:18" ht="15.75" customHeight="1">
      <c r="R775" s="30"/>
    </row>
    <row r="776" spans="18:18" ht="15.75" customHeight="1">
      <c r="R776" s="30"/>
    </row>
    <row r="777" spans="18:18" ht="15.75" customHeight="1">
      <c r="R777" s="30"/>
    </row>
    <row r="778" spans="18:18" ht="15.75" customHeight="1">
      <c r="R778" s="30"/>
    </row>
    <row r="779" spans="18:18" ht="15.75" customHeight="1">
      <c r="R779" s="30"/>
    </row>
    <row r="780" spans="18:18" ht="15.75" customHeight="1">
      <c r="R780" s="30"/>
    </row>
    <row r="781" spans="18:18" ht="15.75" customHeight="1">
      <c r="R781" s="30"/>
    </row>
    <row r="782" spans="18:18" ht="15.75" customHeight="1">
      <c r="R782" s="30"/>
    </row>
    <row r="783" spans="18:18" ht="15.75" customHeight="1">
      <c r="R783" s="30"/>
    </row>
    <row r="784" spans="18:18" ht="15.75" customHeight="1">
      <c r="R784" s="30"/>
    </row>
    <row r="785" spans="18:18" ht="15.75" customHeight="1">
      <c r="R785" s="30"/>
    </row>
    <row r="786" spans="18:18" ht="15.75" customHeight="1">
      <c r="R786" s="30"/>
    </row>
    <row r="787" spans="18:18" ht="15.75" customHeight="1">
      <c r="R787" s="30"/>
    </row>
    <row r="788" spans="18:18" ht="15.75" customHeight="1">
      <c r="R788" s="30"/>
    </row>
    <row r="789" spans="18:18" ht="15.75" customHeight="1">
      <c r="R789" s="30"/>
    </row>
    <row r="790" spans="18:18" ht="15.75" customHeight="1">
      <c r="R790" s="30"/>
    </row>
    <row r="791" spans="18:18" ht="15.75" customHeight="1">
      <c r="R791" s="30"/>
    </row>
    <row r="792" spans="18:18" ht="15.75" customHeight="1">
      <c r="R792" s="30"/>
    </row>
    <row r="793" spans="18:18" ht="15.75" customHeight="1">
      <c r="R793" s="30"/>
    </row>
    <row r="794" spans="18:18" ht="15.75" customHeight="1">
      <c r="R794" s="30"/>
    </row>
    <row r="795" spans="18:18" ht="15.75" customHeight="1">
      <c r="R795" s="30"/>
    </row>
    <row r="796" spans="18:18" ht="15.75" customHeight="1">
      <c r="R796" s="30"/>
    </row>
    <row r="797" spans="18:18" ht="15.75" customHeight="1">
      <c r="R797" s="30"/>
    </row>
    <row r="798" spans="18:18" ht="15.75" customHeight="1">
      <c r="R798" s="30"/>
    </row>
    <row r="799" spans="18:18" ht="15.75" customHeight="1">
      <c r="R799" s="30"/>
    </row>
    <row r="800" spans="18:18" ht="15.75" customHeight="1">
      <c r="R800" s="30"/>
    </row>
    <row r="801" spans="18:18" ht="15.75" customHeight="1">
      <c r="R801" s="30"/>
    </row>
    <row r="802" spans="18:18" ht="15.75" customHeight="1">
      <c r="R802" s="30"/>
    </row>
    <row r="803" spans="18:18" ht="15.75" customHeight="1">
      <c r="R803" s="30"/>
    </row>
    <row r="804" spans="18:18" ht="15.75" customHeight="1">
      <c r="R804" s="30"/>
    </row>
    <row r="805" spans="18:18" ht="15.75" customHeight="1">
      <c r="R805" s="30"/>
    </row>
    <row r="806" spans="18:18" ht="15.75" customHeight="1">
      <c r="R806" s="30"/>
    </row>
    <row r="807" spans="18:18" ht="15.75" customHeight="1">
      <c r="R807" s="30"/>
    </row>
    <row r="808" spans="18:18" ht="15.75" customHeight="1">
      <c r="R808" s="30"/>
    </row>
    <row r="809" spans="18:18" ht="15.75" customHeight="1">
      <c r="R809" s="30"/>
    </row>
    <row r="810" spans="18:18" ht="15.75" customHeight="1">
      <c r="R810" s="30"/>
    </row>
    <row r="811" spans="18:18" ht="15.75" customHeight="1">
      <c r="R811" s="30"/>
    </row>
    <row r="812" spans="18:18" ht="15.75" customHeight="1">
      <c r="R812" s="30"/>
    </row>
    <row r="813" spans="18:18" ht="15.75" customHeight="1">
      <c r="R813" s="30"/>
    </row>
    <row r="814" spans="18:18" ht="15.75" customHeight="1">
      <c r="R814" s="30"/>
    </row>
    <row r="815" spans="18:18" ht="15.75" customHeight="1">
      <c r="R815" s="30"/>
    </row>
    <row r="816" spans="18:18" ht="15.75" customHeight="1">
      <c r="R816" s="30"/>
    </row>
    <row r="817" spans="18:18" ht="15.75" customHeight="1">
      <c r="R817" s="30"/>
    </row>
    <row r="818" spans="18:18" ht="15.75" customHeight="1">
      <c r="R818" s="30"/>
    </row>
    <row r="819" spans="18:18" ht="15.75" customHeight="1">
      <c r="R819" s="30"/>
    </row>
    <row r="820" spans="18:18" ht="15.75" customHeight="1">
      <c r="R820" s="30"/>
    </row>
    <row r="821" spans="18:18" ht="15.75" customHeight="1">
      <c r="R821" s="30"/>
    </row>
    <row r="822" spans="18:18" ht="15.75" customHeight="1">
      <c r="R822" s="30"/>
    </row>
    <row r="823" spans="18:18" ht="15.75" customHeight="1">
      <c r="R823" s="30"/>
    </row>
    <row r="824" spans="18:18" ht="15.75" customHeight="1">
      <c r="R824" s="30"/>
    </row>
    <row r="825" spans="18:18" ht="15.75" customHeight="1">
      <c r="R825" s="30"/>
    </row>
    <row r="826" spans="18:18" ht="15.75" customHeight="1">
      <c r="R826" s="30"/>
    </row>
    <row r="827" spans="18:18" ht="15.75" customHeight="1">
      <c r="R827" s="30"/>
    </row>
    <row r="828" spans="18:18" ht="15.75" customHeight="1">
      <c r="R828" s="30"/>
    </row>
    <row r="829" spans="18:18" ht="15.75" customHeight="1">
      <c r="R829" s="30"/>
    </row>
    <row r="830" spans="18:18" ht="15.75" customHeight="1">
      <c r="R830" s="30"/>
    </row>
    <row r="831" spans="18:18" ht="15.75" customHeight="1">
      <c r="R831" s="30"/>
    </row>
    <row r="832" spans="18:18" ht="15.75" customHeight="1">
      <c r="R832" s="30"/>
    </row>
    <row r="833" spans="18:18" ht="15.75" customHeight="1">
      <c r="R833" s="30"/>
    </row>
    <row r="834" spans="18:18" ht="15.75" customHeight="1">
      <c r="R834" s="30"/>
    </row>
    <row r="835" spans="18:18" ht="15.75" customHeight="1">
      <c r="R835" s="30"/>
    </row>
    <row r="836" spans="18:18" ht="15.75" customHeight="1">
      <c r="R836" s="30"/>
    </row>
    <row r="837" spans="18:18" ht="15.75" customHeight="1">
      <c r="R837" s="30"/>
    </row>
    <row r="838" spans="18:18" ht="15.75" customHeight="1">
      <c r="R838" s="30"/>
    </row>
    <row r="839" spans="18:18" ht="15.75" customHeight="1">
      <c r="R839" s="30"/>
    </row>
    <row r="840" spans="18:18" ht="15.75" customHeight="1">
      <c r="R840" s="30"/>
    </row>
    <row r="841" spans="18:18" ht="15.75" customHeight="1">
      <c r="R841" s="30"/>
    </row>
    <row r="842" spans="18:18" ht="15.75" customHeight="1">
      <c r="R842" s="30"/>
    </row>
    <row r="843" spans="18:18" ht="15.75" customHeight="1">
      <c r="R843" s="30"/>
    </row>
    <row r="844" spans="18:18" ht="15.75" customHeight="1">
      <c r="R844" s="30"/>
    </row>
    <row r="845" spans="18:18" ht="15.75" customHeight="1">
      <c r="R845" s="30"/>
    </row>
    <row r="846" spans="18:18" ht="15.75" customHeight="1">
      <c r="R846" s="30"/>
    </row>
    <row r="847" spans="18:18" ht="15.75" customHeight="1">
      <c r="R847" s="30"/>
    </row>
    <row r="848" spans="18:18" ht="15.75" customHeight="1">
      <c r="R848" s="30"/>
    </row>
    <row r="849" spans="18:18" ht="15.75" customHeight="1">
      <c r="R849" s="30"/>
    </row>
    <row r="850" spans="18:18" ht="15.75" customHeight="1">
      <c r="R850" s="30"/>
    </row>
    <row r="851" spans="18:18" ht="15.75" customHeight="1">
      <c r="R851" s="30"/>
    </row>
    <row r="852" spans="18:18" ht="15.75" customHeight="1">
      <c r="R852" s="30"/>
    </row>
    <row r="853" spans="18:18" ht="15.75" customHeight="1">
      <c r="R853" s="30"/>
    </row>
    <row r="854" spans="18:18" ht="15.75" customHeight="1">
      <c r="R854" s="30"/>
    </row>
    <row r="855" spans="18:18" ht="15.75" customHeight="1">
      <c r="R855" s="30"/>
    </row>
    <row r="856" spans="18:18" ht="15.75" customHeight="1">
      <c r="R856" s="30"/>
    </row>
    <row r="857" spans="18:18" ht="15.75" customHeight="1">
      <c r="R857" s="30"/>
    </row>
    <row r="858" spans="18:18" ht="15.75" customHeight="1">
      <c r="R858" s="30"/>
    </row>
    <row r="859" spans="18:18" ht="15.75" customHeight="1">
      <c r="R859" s="30"/>
    </row>
    <row r="860" spans="18:18" ht="15.75" customHeight="1">
      <c r="R860" s="30"/>
    </row>
    <row r="861" spans="18:18" ht="15.75" customHeight="1">
      <c r="R861" s="30"/>
    </row>
    <row r="862" spans="18:18" ht="15.75" customHeight="1">
      <c r="R862" s="30"/>
    </row>
    <row r="863" spans="18:18" ht="15.75" customHeight="1">
      <c r="R863" s="30"/>
    </row>
    <row r="864" spans="18:18" ht="15.75" customHeight="1">
      <c r="R864" s="30"/>
    </row>
    <row r="865" spans="18:18" ht="15.75" customHeight="1">
      <c r="R865" s="30"/>
    </row>
    <row r="866" spans="18:18" ht="15.75" customHeight="1">
      <c r="R866" s="30"/>
    </row>
    <row r="867" spans="18:18" ht="15.75" customHeight="1">
      <c r="R867" s="30"/>
    </row>
    <row r="868" spans="18:18" ht="15.75" customHeight="1">
      <c r="R868" s="30"/>
    </row>
    <row r="869" spans="18:18" ht="15.75" customHeight="1">
      <c r="R869" s="30"/>
    </row>
    <row r="870" spans="18:18" ht="15.75" customHeight="1">
      <c r="R870" s="30"/>
    </row>
    <row r="871" spans="18:18" ht="15.75" customHeight="1">
      <c r="R871" s="30"/>
    </row>
    <row r="872" spans="18:18" ht="15.75" customHeight="1">
      <c r="R872" s="30"/>
    </row>
    <row r="873" spans="18:18" ht="15.75" customHeight="1">
      <c r="R873" s="30"/>
    </row>
    <row r="874" spans="18:18" ht="15.75" customHeight="1">
      <c r="R874" s="30"/>
    </row>
    <row r="875" spans="18:18" ht="15.75" customHeight="1">
      <c r="R875" s="30"/>
    </row>
    <row r="876" spans="18:18" ht="15.75" customHeight="1">
      <c r="R876" s="30"/>
    </row>
    <row r="877" spans="18:18" ht="15.75" customHeight="1">
      <c r="R877" s="30"/>
    </row>
    <row r="878" spans="18:18" ht="15.75" customHeight="1">
      <c r="R878" s="30"/>
    </row>
    <row r="879" spans="18:18" ht="15.75" customHeight="1">
      <c r="R879" s="30"/>
    </row>
    <row r="880" spans="18:18" ht="15.75" customHeight="1">
      <c r="R880" s="30"/>
    </row>
    <row r="881" spans="18:18" ht="15.75" customHeight="1">
      <c r="R881" s="30"/>
    </row>
    <row r="882" spans="18:18" ht="15.75" customHeight="1">
      <c r="R882" s="30"/>
    </row>
    <row r="883" spans="18:18" ht="15.75" customHeight="1">
      <c r="R883" s="30"/>
    </row>
    <row r="884" spans="18:18" ht="15.75" customHeight="1">
      <c r="R884" s="30"/>
    </row>
    <row r="885" spans="18:18" ht="15.75" customHeight="1">
      <c r="R885" s="30"/>
    </row>
    <row r="886" spans="18:18" ht="15.75" customHeight="1">
      <c r="R886" s="30"/>
    </row>
    <row r="887" spans="18:18" ht="15.75" customHeight="1">
      <c r="R887" s="30"/>
    </row>
    <row r="888" spans="18:18" ht="15.75" customHeight="1">
      <c r="R888" s="30"/>
    </row>
    <row r="889" spans="18:18" ht="15.75" customHeight="1">
      <c r="R889" s="30"/>
    </row>
    <row r="890" spans="18:18" ht="15.75" customHeight="1">
      <c r="R890" s="30"/>
    </row>
    <row r="891" spans="18:18" ht="15.75" customHeight="1">
      <c r="R891" s="30"/>
    </row>
    <row r="892" spans="18:18" ht="15.75" customHeight="1">
      <c r="R892" s="30"/>
    </row>
    <row r="893" spans="18:18" ht="15.75" customHeight="1">
      <c r="R893" s="30"/>
    </row>
    <row r="894" spans="18:18" ht="15.75" customHeight="1">
      <c r="R894" s="30"/>
    </row>
    <row r="895" spans="18:18" ht="15.75" customHeight="1">
      <c r="R895" s="30"/>
    </row>
    <row r="896" spans="18:18" ht="15.75" customHeight="1">
      <c r="R896" s="30"/>
    </row>
    <row r="897" spans="18:18" ht="15.75" customHeight="1">
      <c r="R897" s="30"/>
    </row>
    <row r="898" spans="18:18" ht="15.75" customHeight="1">
      <c r="R898" s="30"/>
    </row>
    <row r="899" spans="18:18" ht="15.75" customHeight="1">
      <c r="R899" s="30"/>
    </row>
    <row r="900" spans="18:18" ht="15.75" customHeight="1">
      <c r="R900" s="30"/>
    </row>
    <row r="901" spans="18:18" ht="15.75" customHeight="1">
      <c r="R901" s="30"/>
    </row>
    <row r="902" spans="18:18" ht="15.75" customHeight="1">
      <c r="R902" s="30"/>
    </row>
    <row r="903" spans="18:18" ht="15.75" customHeight="1">
      <c r="R903" s="30"/>
    </row>
    <row r="904" spans="18:18" ht="15.75" customHeight="1">
      <c r="R904" s="30"/>
    </row>
    <row r="905" spans="18:18" ht="15.75" customHeight="1">
      <c r="R905" s="30"/>
    </row>
    <row r="906" spans="18:18" ht="15.75" customHeight="1">
      <c r="R906" s="30"/>
    </row>
    <row r="907" spans="18:18" ht="15.75" customHeight="1">
      <c r="R907" s="30"/>
    </row>
    <row r="908" spans="18:18" ht="15.75" customHeight="1">
      <c r="R908" s="30"/>
    </row>
    <row r="909" spans="18:18" ht="15.75" customHeight="1">
      <c r="R909" s="30"/>
    </row>
    <row r="910" spans="18:18" ht="15.75" customHeight="1">
      <c r="R910" s="30"/>
    </row>
    <row r="911" spans="18:18" ht="15.75" customHeight="1">
      <c r="R911" s="30"/>
    </row>
    <row r="912" spans="18:18" ht="15.75" customHeight="1">
      <c r="R912" s="30"/>
    </row>
    <row r="913" spans="18:18" ht="15.75" customHeight="1">
      <c r="R913" s="30"/>
    </row>
    <row r="914" spans="18:18" ht="15.75" customHeight="1">
      <c r="R914" s="30"/>
    </row>
    <row r="915" spans="18:18" ht="15.75" customHeight="1">
      <c r="R915" s="30"/>
    </row>
    <row r="916" spans="18:18" ht="15.75" customHeight="1">
      <c r="R916" s="30"/>
    </row>
    <row r="917" spans="18:18" ht="15.75" customHeight="1">
      <c r="R917" s="30"/>
    </row>
    <row r="918" spans="18:18" ht="15.75" customHeight="1">
      <c r="R918" s="30"/>
    </row>
    <row r="919" spans="18:18" ht="15.75" customHeight="1">
      <c r="R919" s="30"/>
    </row>
    <row r="920" spans="18:18" ht="15.75" customHeight="1">
      <c r="R920" s="30"/>
    </row>
    <row r="921" spans="18:18" ht="15.75" customHeight="1">
      <c r="R921" s="30"/>
    </row>
    <row r="922" spans="18:18" ht="15.75" customHeight="1">
      <c r="R922" s="30"/>
    </row>
    <row r="923" spans="18:18" ht="15.75" customHeight="1">
      <c r="R923" s="30"/>
    </row>
    <row r="924" spans="18:18" ht="15.75" customHeight="1">
      <c r="R924" s="30"/>
    </row>
    <row r="925" spans="18:18" ht="15.75" customHeight="1">
      <c r="R925" s="30"/>
    </row>
    <row r="926" spans="18:18" ht="15.75" customHeight="1">
      <c r="R926" s="30"/>
    </row>
    <row r="927" spans="18:18" ht="15.75" customHeight="1">
      <c r="R927" s="30"/>
    </row>
    <row r="928" spans="18:18" ht="15.75" customHeight="1">
      <c r="R928" s="30"/>
    </row>
    <row r="929" spans="18:18" ht="15.75" customHeight="1">
      <c r="R929" s="30"/>
    </row>
    <row r="930" spans="18:18" ht="15.75" customHeight="1">
      <c r="R930" s="30"/>
    </row>
    <row r="931" spans="18:18" ht="15.75" customHeight="1">
      <c r="R931" s="30"/>
    </row>
    <row r="932" spans="18:18" ht="15.75" customHeight="1">
      <c r="R932" s="30"/>
    </row>
    <row r="933" spans="18:18" ht="15.75" customHeight="1">
      <c r="R933" s="30"/>
    </row>
    <row r="934" spans="18:18" ht="15.75" customHeight="1">
      <c r="R934" s="30"/>
    </row>
    <row r="935" spans="18:18" ht="15.75" customHeight="1">
      <c r="R935" s="30"/>
    </row>
    <row r="936" spans="18:18" ht="15.75" customHeight="1">
      <c r="R936" s="30"/>
    </row>
    <row r="937" spans="18:18" ht="15.75" customHeight="1">
      <c r="R937" s="30"/>
    </row>
    <row r="938" spans="18:18" ht="15.75" customHeight="1">
      <c r="R938" s="30"/>
    </row>
    <row r="939" spans="18:18" ht="15.75" customHeight="1">
      <c r="R939" s="30"/>
    </row>
    <row r="940" spans="18:18" ht="15.75" customHeight="1">
      <c r="R940" s="30"/>
    </row>
    <row r="941" spans="18:18" ht="15.75" customHeight="1">
      <c r="R941" s="30"/>
    </row>
    <row r="942" spans="18:18" ht="15.75" customHeight="1">
      <c r="R942" s="30"/>
    </row>
    <row r="943" spans="18:18" ht="15.75" customHeight="1">
      <c r="R943" s="30"/>
    </row>
    <row r="944" spans="18:18" ht="15.75" customHeight="1">
      <c r="R944" s="30"/>
    </row>
    <row r="945" spans="18:18" ht="15.75" customHeight="1">
      <c r="R945" s="30"/>
    </row>
    <row r="946" spans="18:18" ht="15.75" customHeight="1">
      <c r="R946" s="30"/>
    </row>
    <row r="947" spans="18:18" ht="15.75" customHeight="1">
      <c r="R947" s="30"/>
    </row>
    <row r="948" spans="18:18" ht="15.75" customHeight="1">
      <c r="R948" s="30"/>
    </row>
    <row r="949" spans="18:18" ht="15.75" customHeight="1">
      <c r="R949" s="30"/>
    </row>
    <row r="950" spans="18:18" ht="15.75" customHeight="1">
      <c r="R950" s="30"/>
    </row>
    <row r="951" spans="18:18" ht="15.75" customHeight="1">
      <c r="R951" s="30"/>
    </row>
    <row r="952" spans="18:18" ht="15.75" customHeight="1">
      <c r="R952" s="30"/>
    </row>
    <row r="953" spans="18:18" ht="15.75" customHeight="1">
      <c r="R953" s="30"/>
    </row>
    <row r="954" spans="18:18" ht="15.75" customHeight="1">
      <c r="R954" s="30"/>
    </row>
    <row r="955" spans="18:18" ht="15.75" customHeight="1">
      <c r="R955" s="30"/>
    </row>
    <row r="956" spans="18:18" ht="15.75" customHeight="1">
      <c r="R956" s="30"/>
    </row>
    <row r="957" spans="18:18" ht="15.75" customHeight="1">
      <c r="R957" s="30"/>
    </row>
    <row r="958" spans="18:18" ht="15.75" customHeight="1">
      <c r="R958" s="30"/>
    </row>
    <row r="959" spans="18:18" ht="15.75" customHeight="1">
      <c r="R959" s="30"/>
    </row>
    <row r="960" spans="18:18" ht="15.75" customHeight="1">
      <c r="R960" s="30"/>
    </row>
    <row r="961" spans="18:18" ht="15.75" customHeight="1">
      <c r="R961" s="30"/>
    </row>
    <row r="962" spans="18:18" ht="15.75" customHeight="1">
      <c r="R962" s="30"/>
    </row>
    <row r="963" spans="18:18" ht="15.75" customHeight="1">
      <c r="R963" s="30"/>
    </row>
    <row r="964" spans="18:18" ht="15.75" customHeight="1">
      <c r="R964" s="30"/>
    </row>
    <row r="965" spans="18:18" ht="15.75" customHeight="1">
      <c r="R965" s="30"/>
    </row>
    <row r="966" spans="18:18" ht="15.75" customHeight="1">
      <c r="R966" s="30"/>
    </row>
    <row r="967" spans="18:18" ht="15.75" customHeight="1">
      <c r="R967" s="30"/>
    </row>
    <row r="968" spans="18:18" ht="15.75" customHeight="1">
      <c r="R968" s="30"/>
    </row>
    <row r="969" spans="18:18" ht="15.75" customHeight="1">
      <c r="R969" s="30"/>
    </row>
    <row r="970" spans="18:18" ht="15.75" customHeight="1">
      <c r="R970" s="30"/>
    </row>
    <row r="971" spans="18:18" ht="15.75" customHeight="1">
      <c r="R971" s="30"/>
    </row>
    <row r="972" spans="18:18" ht="15.75" customHeight="1">
      <c r="R972" s="30"/>
    </row>
    <row r="973" spans="18:18" ht="15.75" customHeight="1">
      <c r="R973" s="30"/>
    </row>
    <row r="974" spans="18:18" ht="15.75" customHeight="1">
      <c r="R974" s="30"/>
    </row>
    <row r="975" spans="18:18" ht="15.75" customHeight="1">
      <c r="R975" s="30"/>
    </row>
    <row r="976" spans="18:18" ht="15.75" customHeight="1">
      <c r="R976" s="30"/>
    </row>
    <row r="977" spans="18:18" ht="15.75" customHeight="1">
      <c r="R977" s="30"/>
    </row>
    <row r="978" spans="18:18" ht="15.75" customHeight="1">
      <c r="R978" s="30"/>
    </row>
    <row r="979" spans="18:18" ht="15.75" customHeight="1">
      <c r="R979" s="30"/>
    </row>
    <row r="980" spans="18:18" ht="15.75" customHeight="1">
      <c r="R980" s="30"/>
    </row>
    <row r="981" spans="18:18" ht="15.75" customHeight="1">
      <c r="R981" s="30"/>
    </row>
    <row r="982" spans="18:18" ht="15.75" customHeight="1">
      <c r="R982" s="30"/>
    </row>
    <row r="983" spans="18:18" ht="15.75" customHeight="1">
      <c r="R983" s="30"/>
    </row>
    <row r="984" spans="18:18" ht="15.75" customHeight="1">
      <c r="R984" s="30"/>
    </row>
    <row r="985" spans="18:18" ht="15.75" customHeight="1">
      <c r="R985" s="30"/>
    </row>
    <row r="986" spans="18:18" ht="15.75" customHeight="1">
      <c r="R986" s="30"/>
    </row>
    <row r="987" spans="18:18" ht="15.75" customHeight="1">
      <c r="R987" s="30"/>
    </row>
    <row r="988" spans="18:18" ht="15.75" customHeight="1">
      <c r="R988" s="30"/>
    </row>
    <row r="989" spans="18:18" ht="15.75" customHeight="1">
      <c r="R989" s="30"/>
    </row>
    <row r="990" spans="18:18" ht="15.75" customHeight="1">
      <c r="R990" s="30"/>
    </row>
    <row r="991" spans="18:18" ht="15.75" customHeight="1">
      <c r="R991" s="30"/>
    </row>
    <row r="992" spans="18:18" ht="15.75" customHeight="1">
      <c r="R992" s="30"/>
    </row>
    <row r="993" spans="18:18" ht="15.75" customHeight="1">
      <c r="R993" s="30"/>
    </row>
    <row r="994" spans="18:18" ht="15.75" customHeight="1">
      <c r="R994" s="30"/>
    </row>
    <row r="995" spans="18:18" ht="15.75" customHeight="1">
      <c r="R995" s="30"/>
    </row>
    <row r="996" spans="18:18" ht="15.75" customHeight="1">
      <c r="R996" s="30"/>
    </row>
    <row r="997" spans="18:18" ht="15.75" customHeight="1">
      <c r="R997" s="30"/>
    </row>
    <row r="998" spans="18:18" ht="15.75" customHeight="1">
      <c r="R998" s="30"/>
    </row>
    <row r="999" spans="18:18" ht="15.75" customHeight="1">
      <c r="R999" s="30"/>
    </row>
    <row r="1000" spans="18:18" ht="15.75" customHeight="1">
      <c r="R1000" s="3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2.6640625" defaultRowHeight="15" customHeight="1"/>
  <cols>
    <col min="1" max="1" width="13.33203125" customWidth="1"/>
    <col min="2" max="2" width="19.1640625" customWidth="1"/>
    <col min="3" max="3" width="8" customWidth="1"/>
    <col min="4" max="4" width="7" customWidth="1"/>
    <col min="5" max="5" width="8.6640625" customWidth="1"/>
    <col min="6" max="6" width="9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17.6640625" customWidth="1"/>
    <col min="16" max="16" width="10" customWidth="1"/>
    <col min="17" max="18" width="7.33203125" customWidth="1"/>
    <col min="19" max="19" width="7.1640625" customWidth="1"/>
    <col min="20" max="20" width="11.1640625" customWidth="1"/>
    <col min="21" max="21" width="17.1640625" customWidth="1"/>
    <col min="22" max="22" width="56.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6640625" customWidth="1"/>
    <col min="32" max="32" width="10.1640625" customWidth="1"/>
    <col min="33" max="33" width="8.83203125" customWidth="1"/>
  </cols>
  <sheetData>
    <row r="1" spans="1:33" ht="18.75" customHeight="1">
      <c r="A1" s="46" t="str">
        <f ca="1">IFERROR(__xludf.DUMMYFUNCTION("IFERROR(VLOOKUP(B2,IMPORTRANGE(""https://docs.google.com/spreadsheets/d/1x0DhHglkXKoEBOD2MBsuK_EyIr1ouxD2ftIpqOYFa-k/edit?usp=sharing"",""Ubiquitty-SKU-Specific Info!B1:BJ5000""),3,FALSE),"""")"),"25 Ft Lighted Outdoor Extension Cord - 12/3 SJTW Heavy Duty Yellow Extension Cable with 3 Prong Grounded Plug for Safety - Great for Garden &amp; Major Appliances")</f>
        <v>25 Ft Lighted Outdoor Extension Cord - 12/3 SJTW Heavy Duty Yellow Extension Cable with 3 Prong Grounded Plug for Safety - Great for Garden &amp; Major Appliances</v>
      </c>
      <c r="B1" s="47"/>
      <c r="C1" s="48" t="s">
        <v>0</v>
      </c>
      <c r="D1" s="50" t="s">
        <v>1</v>
      </c>
      <c r="E1" s="50" t="s">
        <v>2</v>
      </c>
      <c r="F1" s="52" t="s">
        <v>3</v>
      </c>
      <c r="G1" s="52" t="s">
        <v>4</v>
      </c>
      <c r="H1" s="53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58" t="s">
        <v>10</v>
      </c>
      <c r="N1" s="59" t="s">
        <v>11</v>
      </c>
      <c r="O1" s="50" t="s">
        <v>12</v>
      </c>
      <c r="P1" s="50" t="s">
        <v>13</v>
      </c>
      <c r="Q1" s="57" t="s">
        <v>14</v>
      </c>
      <c r="R1" s="57" t="s">
        <v>15</v>
      </c>
      <c r="S1" s="60" t="s">
        <v>16</v>
      </c>
      <c r="T1" s="62" t="s">
        <v>2006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Info!B1:BJ5000""),2,FALSE),"""")"),"B07Q4DVTZ5")</f>
        <v>B07Q4DVTZ5</v>
      </c>
      <c r="B2" s="3" t="s">
        <v>899</v>
      </c>
      <c r="C2" s="49"/>
      <c r="D2" s="49"/>
      <c r="E2" s="51"/>
      <c r="F2" s="49"/>
      <c r="G2" s="49"/>
      <c r="H2" s="54"/>
      <c r="I2" s="49"/>
      <c r="J2" s="49"/>
      <c r="K2" s="54"/>
      <c r="L2" s="54"/>
      <c r="M2" s="54"/>
      <c r="N2" s="49"/>
      <c r="O2" s="49"/>
      <c r="P2" s="51"/>
      <c r="Q2" s="49"/>
      <c r="R2" s="49"/>
      <c r="S2" s="61"/>
      <c r="T2" s="47"/>
      <c r="U2" s="63"/>
      <c r="V2" s="63"/>
      <c r="W2" s="47"/>
      <c r="X2" s="47"/>
      <c r="Y2" s="47"/>
      <c r="Z2" s="47"/>
      <c r="AA2" s="63"/>
      <c r="AB2" s="63"/>
      <c r="AC2" s="63"/>
      <c r="AD2" s="63"/>
      <c r="AE2" s="47"/>
      <c r="AF2" s="47"/>
      <c r="AG2" s="47"/>
    </row>
    <row r="3" spans="1:33" ht="129" customHeight="1">
      <c r="A3" s="55" t="s">
        <v>31</v>
      </c>
      <c r="B3" s="56"/>
      <c r="C3" s="4">
        <f>((AE32+AF32)/0.85)*-1</f>
        <v>20.404782602941175</v>
      </c>
      <c r="D3" s="5">
        <f>SUM(D4:D99765)</f>
        <v>121</v>
      </c>
      <c r="E3" s="5"/>
      <c r="F3" s="6">
        <f t="shared" ref="F3:G3" si="0">SUM(F4:F99765)</f>
        <v>3447.8499999999995</v>
      </c>
      <c r="G3" s="6">
        <f t="shared" si="0"/>
        <v>-95.899999999999991</v>
      </c>
      <c r="H3" s="7">
        <f t="shared" ref="H3:H32" si="1">G3/F3*-1</f>
        <v>2.7814435082732718E-2</v>
      </c>
      <c r="I3" s="8">
        <f t="shared" ref="I3:I32" si="2">J3/F3</f>
        <v>0.26915853566392156</v>
      </c>
      <c r="J3" s="6">
        <f>SUM(J4:J99765)</f>
        <v>928.01825718885175</v>
      </c>
      <c r="K3" s="6">
        <f t="shared" ref="K3:K32" si="3">J3/D3</f>
        <v>7.6695723734615848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Sheet!a1:g5000""),2,FALSE),"""")"),"1 - March
1 - April
1 - May
1 - June
1 - July
1 - Aug
1 - Sept
1.5 - Oct
4.5 - Nov
2 - Dec
1 - Jan
1 - Feb")</f>
        <v>1 - March
1 - April
1 - May
1 - June
1 - July
1 - Aug
1 - Sept
1.5 - Oct
4.5 - Nov
2 - Dec
1 - Jan
1 -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15</v>
      </c>
      <c r="X3" s="7">
        <f>W3/D3</f>
        <v>0.12396694214876033</v>
      </c>
      <c r="Y3" s="6"/>
      <c r="Z3" s="5"/>
      <c r="AA3" s="5"/>
      <c r="AB3" s="5"/>
      <c r="AC3" s="5"/>
      <c r="AD3" s="6">
        <f>SUM(AD4:AD99765)</f>
        <v>-15.342597956981461</v>
      </c>
      <c r="AE3" s="6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Info!B2:BZ3000""),37,FALSE)),"""")*-1"),-11.3640652125)</f>
        <v>-11.3640652125</v>
      </c>
      <c r="AG3" s="6">
        <f>SUM(AG4:AG99765)</f>
        <v>0</v>
      </c>
    </row>
    <row r="4" spans="1:33" ht="15.75" customHeight="1">
      <c r="A4" s="14" t="s">
        <v>181</v>
      </c>
      <c r="B4" s="14" t="s">
        <v>68</v>
      </c>
      <c r="C4" s="15">
        <f t="shared" ref="C4:C32" si="4">IFERROR(F4/D4," - ")</f>
        <v>32.756666666666668</v>
      </c>
      <c r="D4" s="16">
        <v>6</v>
      </c>
      <c r="E4" s="16">
        <v>0</v>
      </c>
      <c r="F4" s="17">
        <v>196.54</v>
      </c>
      <c r="G4" s="17">
        <v>0</v>
      </c>
      <c r="H4" s="18">
        <f t="shared" si="1"/>
        <v>0</v>
      </c>
      <c r="I4" s="18">
        <f t="shared" si="2"/>
        <v>0.41843782607376856</v>
      </c>
      <c r="J4" s="17">
        <f t="shared" ref="J4:J32" si="5">F4*0.85+G4+AF4*D4+D4*AE4+AG4+AD4</f>
        <v>82.23977033653847</v>
      </c>
      <c r="K4" s="17">
        <f t="shared" si="3"/>
        <v>13.706628389423079</v>
      </c>
      <c r="L4" s="16">
        <v>19</v>
      </c>
      <c r="M4" s="19">
        <f t="shared" ref="M4:M32" si="6">IFERROR(D4/L4,"-")</f>
        <v>0.31578947368421051</v>
      </c>
      <c r="N4" s="16">
        <v>24</v>
      </c>
      <c r="O4" s="20">
        <f t="shared" ref="O4:P4" si="7">D4/7</f>
        <v>0.8571428571428571</v>
      </c>
      <c r="P4" s="20">
        <f t="shared" si="7"/>
        <v>0</v>
      </c>
      <c r="Q4" s="16">
        <f t="shared" ref="Q4:Q32" si="8">ROUNDDOWN(N4/(O4+P4),0)</f>
        <v>28</v>
      </c>
      <c r="R4" s="16"/>
      <c r="S4" s="21">
        <v>3.5419847328244201</v>
      </c>
      <c r="T4" s="14">
        <v>60</v>
      </c>
      <c r="U4" s="22" t="s">
        <v>34</v>
      </c>
      <c r="V4" s="23" t="s">
        <v>34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26" t="s">
        <v>35</v>
      </c>
      <c r="AB4" s="27">
        <f t="shared" ref="AB4:AB32" si="11">IF(OR(AA4="UsLargeStandardSize",AA4="UsSmallStandardSize"),-0.69,-0.48)</f>
        <v>-0.69</v>
      </c>
      <c r="AC4" s="28">
        <v>9.1880208333333324E-2</v>
      </c>
      <c r="AD4" s="25">
        <f t="shared" ref="AD4:AD32" si="12">IFERROR(AB4*AC4*D4*2,0)</f>
        <v>-0.7607681249999998</v>
      </c>
      <c r="AE4" s="25">
        <v>-5.8</v>
      </c>
      <c r="AF4" s="25">
        <v>-8.2097435897435886</v>
      </c>
      <c r="AG4" s="25">
        <v>0</v>
      </c>
    </row>
    <row r="5" spans="1:33" ht="15.75" customHeight="1">
      <c r="A5" s="14" t="s">
        <v>183</v>
      </c>
      <c r="B5" s="14" t="s">
        <v>68</v>
      </c>
      <c r="C5" s="15">
        <f t="shared" si="4"/>
        <v>31.94</v>
      </c>
      <c r="D5" s="16">
        <v>3</v>
      </c>
      <c r="E5" s="16">
        <v>0</v>
      </c>
      <c r="F5" s="29">
        <v>95.820000000000007</v>
      </c>
      <c r="G5" s="29">
        <v>-0.08</v>
      </c>
      <c r="H5" s="18">
        <f t="shared" si="1"/>
        <v>8.3489876852431638E-4</v>
      </c>
      <c r="I5" s="18">
        <f t="shared" si="2"/>
        <v>0.40656381130022728</v>
      </c>
      <c r="J5" s="17">
        <f t="shared" si="5"/>
        <v>38.956944398787783</v>
      </c>
      <c r="K5" s="17">
        <f t="shared" si="3"/>
        <v>12.985648132929262</v>
      </c>
      <c r="L5" s="16">
        <v>42</v>
      </c>
      <c r="M5" s="19">
        <f t="shared" si="6"/>
        <v>7.1428571428571425E-2</v>
      </c>
      <c r="N5" s="16">
        <v>22</v>
      </c>
      <c r="O5" s="20">
        <f t="shared" ref="O5:P5" si="13">D5/7</f>
        <v>0.42857142857142855</v>
      </c>
      <c r="P5" s="20">
        <f t="shared" si="13"/>
        <v>0</v>
      </c>
      <c r="Q5" s="16">
        <f t="shared" si="8"/>
        <v>51</v>
      </c>
      <c r="R5" s="16"/>
      <c r="S5" s="21">
        <v>3.65758754863813</v>
      </c>
      <c r="T5" s="14">
        <v>60</v>
      </c>
      <c r="U5" s="22" t="s">
        <v>34</v>
      </c>
      <c r="V5" s="23" t="s">
        <v>34</v>
      </c>
      <c r="W5" s="14">
        <v>0</v>
      </c>
      <c r="X5" s="24">
        <f t="shared" si="9"/>
        <v>0</v>
      </c>
      <c r="Y5" s="25">
        <f t="shared" si="10"/>
        <v>0</v>
      </c>
      <c r="Z5" s="14">
        <v>0</v>
      </c>
      <c r="AA5" s="14" t="s">
        <v>35</v>
      </c>
      <c r="AB5" s="27">
        <f t="shared" si="11"/>
        <v>-0.69</v>
      </c>
      <c r="AC5" s="28">
        <v>9.1986674391657003E-2</v>
      </c>
      <c r="AD5" s="25">
        <f t="shared" si="12"/>
        <v>-0.38082483198145994</v>
      </c>
      <c r="AE5" s="25">
        <v>-5.8</v>
      </c>
      <c r="AF5" s="25">
        <v>-8.2097435897435886</v>
      </c>
      <c r="AG5" s="25">
        <v>0</v>
      </c>
    </row>
    <row r="6" spans="1:33" ht="15.75" customHeight="1">
      <c r="A6" s="14" t="s">
        <v>185</v>
      </c>
      <c r="B6" s="14" t="s">
        <v>900</v>
      </c>
      <c r="C6" s="15">
        <f t="shared" si="4"/>
        <v>31.94</v>
      </c>
      <c r="D6" s="16">
        <v>3</v>
      </c>
      <c r="E6" s="16">
        <v>0</v>
      </c>
      <c r="F6" s="29">
        <v>95.820000000000007</v>
      </c>
      <c r="G6" s="29">
        <v>0</v>
      </c>
      <c r="H6" s="18">
        <f t="shared" si="1"/>
        <v>0</v>
      </c>
      <c r="I6" s="18">
        <f t="shared" si="2"/>
        <v>0.40740331004246749</v>
      </c>
      <c r="J6" s="17">
        <f t="shared" si="5"/>
        <v>39.037385168269239</v>
      </c>
      <c r="K6" s="17">
        <f t="shared" si="3"/>
        <v>13.012461722756413</v>
      </c>
      <c r="L6" s="16">
        <v>26</v>
      </c>
      <c r="M6" s="19">
        <f t="shared" si="6"/>
        <v>0.11538461538461539</v>
      </c>
      <c r="N6" s="16">
        <v>19</v>
      </c>
      <c r="O6" s="20">
        <f t="shared" ref="O6:P6" si="14">D6/7</f>
        <v>0.42857142857142855</v>
      </c>
      <c r="P6" s="20">
        <f t="shared" si="14"/>
        <v>0</v>
      </c>
      <c r="Q6" s="16">
        <f t="shared" si="8"/>
        <v>44</v>
      </c>
      <c r="R6" s="16"/>
      <c r="S6" s="21">
        <v>4.23880597014925</v>
      </c>
      <c r="T6" s="14">
        <v>120</v>
      </c>
      <c r="U6" s="22">
        <v>60</v>
      </c>
      <c r="V6" s="23" t="s">
        <v>901</v>
      </c>
      <c r="W6" s="14">
        <v>0</v>
      </c>
      <c r="X6" s="24">
        <f t="shared" si="9"/>
        <v>0</v>
      </c>
      <c r="Y6" s="25">
        <f t="shared" si="10"/>
        <v>0</v>
      </c>
      <c r="Z6" s="14">
        <v>0</v>
      </c>
      <c r="AA6" s="14" t="s">
        <v>35</v>
      </c>
      <c r="AB6" s="27">
        <f t="shared" si="11"/>
        <v>-0.69</v>
      </c>
      <c r="AC6" s="28">
        <v>9.1880208333333324E-2</v>
      </c>
      <c r="AD6" s="25">
        <f t="shared" si="12"/>
        <v>-0.3803840624999999</v>
      </c>
      <c r="AE6" s="25">
        <v>-5.8</v>
      </c>
      <c r="AF6" s="25">
        <v>-8.2097435897435886</v>
      </c>
      <c r="AG6" s="25">
        <v>0</v>
      </c>
    </row>
    <row r="7" spans="1:33" ht="15.75" customHeight="1">
      <c r="A7" s="14" t="s">
        <v>187</v>
      </c>
      <c r="B7" s="14" t="s">
        <v>728</v>
      </c>
      <c r="C7" s="15">
        <f t="shared" si="4"/>
        <v>30.95</v>
      </c>
      <c r="D7" s="16">
        <v>8</v>
      </c>
      <c r="E7" s="16">
        <v>0</v>
      </c>
      <c r="F7" s="29">
        <v>247.6</v>
      </c>
      <c r="G7" s="29">
        <v>0</v>
      </c>
      <c r="H7" s="18">
        <f t="shared" si="1"/>
        <v>0</v>
      </c>
      <c r="I7" s="18">
        <f t="shared" si="2"/>
        <v>0.39324593611490816</v>
      </c>
      <c r="J7" s="17">
        <f t="shared" si="5"/>
        <v>97.367693782051262</v>
      </c>
      <c r="K7" s="17">
        <f t="shared" si="3"/>
        <v>12.170961722756408</v>
      </c>
      <c r="L7" s="16">
        <v>28</v>
      </c>
      <c r="M7" s="19">
        <f t="shared" si="6"/>
        <v>0.2857142857142857</v>
      </c>
      <c r="N7" s="16">
        <v>12</v>
      </c>
      <c r="O7" s="20">
        <f t="shared" ref="O7:P7" si="15">D7/7</f>
        <v>1.1428571428571428</v>
      </c>
      <c r="P7" s="20">
        <f t="shared" si="15"/>
        <v>0</v>
      </c>
      <c r="Q7" s="16">
        <f t="shared" si="8"/>
        <v>10</v>
      </c>
      <c r="R7" s="16"/>
      <c r="S7" s="21">
        <v>3.8532110091743101</v>
      </c>
      <c r="T7" s="14">
        <v>120</v>
      </c>
      <c r="U7" s="22">
        <v>60</v>
      </c>
      <c r="V7" s="23" t="s">
        <v>902</v>
      </c>
      <c r="W7" s="14">
        <v>0</v>
      </c>
      <c r="X7" s="24">
        <f t="shared" si="9"/>
        <v>0</v>
      </c>
      <c r="Y7" s="25">
        <f t="shared" si="10"/>
        <v>0</v>
      </c>
      <c r="Z7" s="14">
        <v>0</v>
      </c>
      <c r="AA7" s="14" t="s">
        <v>35</v>
      </c>
      <c r="AB7" s="27">
        <f t="shared" si="11"/>
        <v>-0.69</v>
      </c>
      <c r="AC7" s="28">
        <v>9.1880208333333324E-2</v>
      </c>
      <c r="AD7" s="25">
        <f t="shared" si="12"/>
        <v>-1.0143574999999998</v>
      </c>
      <c r="AE7" s="25">
        <v>-5.8</v>
      </c>
      <c r="AF7" s="25">
        <v>-8.2097435897435886</v>
      </c>
      <c r="AG7" s="25">
        <v>0</v>
      </c>
    </row>
    <row r="8" spans="1:33" ht="15.75" customHeight="1">
      <c r="A8" s="14" t="s">
        <v>189</v>
      </c>
      <c r="B8" s="14" t="s">
        <v>68</v>
      </c>
      <c r="C8" s="15">
        <f t="shared" si="4"/>
        <v>31.225000000000001</v>
      </c>
      <c r="D8" s="16">
        <v>4</v>
      </c>
      <c r="E8" s="16">
        <v>0</v>
      </c>
      <c r="F8" s="29">
        <v>124.9</v>
      </c>
      <c r="G8" s="29">
        <v>0</v>
      </c>
      <c r="H8" s="18">
        <f t="shared" si="1"/>
        <v>0</v>
      </c>
      <c r="I8" s="18">
        <f t="shared" si="2"/>
        <v>0.3972603783026421</v>
      </c>
      <c r="J8" s="17">
        <f t="shared" si="5"/>
        <v>49.617821249999999</v>
      </c>
      <c r="K8" s="17">
        <f t="shared" si="3"/>
        <v>12.4044553125</v>
      </c>
      <c r="L8" s="16">
        <v>21</v>
      </c>
      <c r="M8" s="19">
        <f t="shared" si="6"/>
        <v>0.19047619047619047</v>
      </c>
      <c r="N8" s="16">
        <v>12</v>
      </c>
      <c r="O8" s="20">
        <f t="shared" ref="O8:P8" si="16">D8/7</f>
        <v>0.5714285714285714</v>
      </c>
      <c r="P8" s="20">
        <f t="shared" si="16"/>
        <v>0</v>
      </c>
      <c r="Q8" s="16">
        <f t="shared" si="8"/>
        <v>21</v>
      </c>
      <c r="R8" s="16"/>
      <c r="S8" s="21">
        <v>2.8472222222222201</v>
      </c>
      <c r="T8" s="14">
        <v>120</v>
      </c>
      <c r="U8" s="22">
        <v>60</v>
      </c>
      <c r="V8" s="23" t="s">
        <v>903</v>
      </c>
      <c r="W8" s="14">
        <v>0</v>
      </c>
      <c r="X8" s="24">
        <f t="shared" si="9"/>
        <v>0</v>
      </c>
      <c r="Y8" s="25">
        <f t="shared" si="10"/>
        <v>0</v>
      </c>
      <c r="Z8" s="14">
        <v>0</v>
      </c>
      <c r="AA8" s="14" t="s">
        <v>35</v>
      </c>
      <c r="AB8" s="27">
        <f t="shared" si="11"/>
        <v>-0.69</v>
      </c>
      <c r="AC8" s="28">
        <v>9.1880208333333324E-2</v>
      </c>
      <c r="AD8" s="25">
        <f t="shared" si="12"/>
        <v>-0.5071787499999999</v>
      </c>
      <c r="AE8" s="25">
        <v>-5.8</v>
      </c>
      <c r="AF8" s="25">
        <v>-8.2100000000000009</v>
      </c>
      <c r="AG8" s="25">
        <v>0</v>
      </c>
    </row>
    <row r="9" spans="1:33" ht="15.75" customHeight="1">
      <c r="A9" s="14" t="s">
        <v>191</v>
      </c>
      <c r="B9" s="14" t="s">
        <v>904</v>
      </c>
      <c r="C9" s="15">
        <f t="shared" si="4"/>
        <v>31.5</v>
      </c>
      <c r="D9" s="16">
        <v>2</v>
      </c>
      <c r="E9" s="16">
        <v>0</v>
      </c>
      <c r="F9" s="29">
        <v>63</v>
      </c>
      <c r="G9" s="29">
        <v>0</v>
      </c>
      <c r="H9" s="18">
        <f t="shared" si="1"/>
        <v>0</v>
      </c>
      <c r="I9" s="18">
        <f t="shared" si="2"/>
        <v>0.39580790165852664</v>
      </c>
      <c r="J9" s="17">
        <f t="shared" si="5"/>
        <v>24.93589780448718</v>
      </c>
      <c r="K9" s="17">
        <f t="shared" si="3"/>
        <v>12.46794890224359</v>
      </c>
      <c r="L9" s="16">
        <v>31</v>
      </c>
      <c r="M9" s="19">
        <f t="shared" si="6"/>
        <v>6.4516129032258063E-2</v>
      </c>
      <c r="N9" s="16">
        <v>14</v>
      </c>
      <c r="O9" s="20">
        <f t="shared" ref="O9:P9" si="17">D9/7</f>
        <v>0.2857142857142857</v>
      </c>
      <c r="P9" s="20">
        <f t="shared" si="17"/>
        <v>0</v>
      </c>
      <c r="Q9" s="16">
        <f t="shared" si="8"/>
        <v>49</v>
      </c>
      <c r="R9" s="16"/>
      <c r="S9" s="21">
        <v>2.5759162303664902</v>
      </c>
      <c r="T9" s="14">
        <v>120</v>
      </c>
      <c r="U9" s="22">
        <v>60</v>
      </c>
      <c r="V9" s="23" t="s">
        <v>905</v>
      </c>
      <c r="W9" s="14">
        <v>0</v>
      </c>
      <c r="X9" s="24">
        <f t="shared" si="9"/>
        <v>0</v>
      </c>
      <c r="Y9" s="25">
        <f t="shared" si="10"/>
        <v>0</v>
      </c>
      <c r="Z9" s="14">
        <v>0</v>
      </c>
      <c r="AA9" s="14" t="s">
        <v>35</v>
      </c>
      <c r="AB9" s="27">
        <f t="shared" si="11"/>
        <v>-0.69</v>
      </c>
      <c r="AC9" s="28">
        <v>9.1880208333333324E-2</v>
      </c>
      <c r="AD9" s="25">
        <f t="shared" si="12"/>
        <v>-0.25358937499999995</v>
      </c>
      <c r="AE9" s="25">
        <v>-5.8</v>
      </c>
      <c r="AF9" s="25">
        <v>-8.3802564102564094</v>
      </c>
      <c r="AG9" s="25">
        <v>0</v>
      </c>
    </row>
    <row r="10" spans="1:33" ht="15.75" customHeight="1">
      <c r="A10" s="14" t="s">
        <v>192</v>
      </c>
      <c r="B10" s="14" t="s">
        <v>68</v>
      </c>
      <c r="C10" s="15">
        <f t="shared" si="4"/>
        <v>29.95</v>
      </c>
      <c r="D10" s="16">
        <v>2</v>
      </c>
      <c r="E10" s="16">
        <v>0</v>
      </c>
      <c r="F10" s="29">
        <v>59.9</v>
      </c>
      <c r="G10" s="29">
        <v>0</v>
      </c>
      <c r="H10" s="18">
        <f t="shared" si="1"/>
        <v>0</v>
      </c>
      <c r="I10" s="18">
        <f t="shared" si="2"/>
        <v>0.37230213363083764</v>
      </c>
      <c r="J10" s="17">
        <f t="shared" si="5"/>
        <v>22.300897804487175</v>
      </c>
      <c r="K10" s="17">
        <f t="shared" si="3"/>
        <v>11.150448902243587</v>
      </c>
      <c r="L10" s="16">
        <v>31</v>
      </c>
      <c r="M10" s="19">
        <f t="shared" si="6"/>
        <v>6.4516129032258063E-2</v>
      </c>
      <c r="N10" s="16">
        <v>12</v>
      </c>
      <c r="O10" s="20">
        <f t="shared" ref="O10:P10" si="18">D10/7</f>
        <v>0.2857142857142857</v>
      </c>
      <c r="P10" s="20">
        <f t="shared" si="18"/>
        <v>0</v>
      </c>
      <c r="Q10" s="16">
        <f t="shared" si="8"/>
        <v>42</v>
      </c>
      <c r="R10" s="16"/>
      <c r="S10" s="21">
        <v>2.8157894736842102</v>
      </c>
      <c r="T10" s="14">
        <v>120</v>
      </c>
      <c r="U10" s="22">
        <v>60</v>
      </c>
      <c r="V10" s="23" t="s">
        <v>906</v>
      </c>
      <c r="W10" s="14">
        <v>0</v>
      </c>
      <c r="X10" s="24">
        <f t="shared" si="9"/>
        <v>0</v>
      </c>
      <c r="Y10" s="25">
        <f t="shared" si="10"/>
        <v>0</v>
      </c>
      <c r="Z10" s="14">
        <v>0</v>
      </c>
      <c r="AA10" s="14" t="s">
        <v>35</v>
      </c>
      <c r="AB10" s="27">
        <f t="shared" si="11"/>
        <v>-0.69</v>
      </c>
      <c r="AC10" s="28">
        <v>9.1880208333333324E-2</v>
      </c>
      <c r="AD10" s="25">
        <f t="shared" si="12"/>
        <v>-0.25358937499999995</v>
      </c>
      <c r="AE10" s="25">
        <v>-5.8</v>
      </c>
      <c r="AF10" s="25">
        <v>-8.3802564102564094</v>
      </c>
      <c r="AG10" s="25">
        <v>0</v>
      </c>
    </row>
    <row r="11" spans="1:33" ht="15.75" customHeight="1">
      <c r="A11" s="14" t="s">
        <v>193</v>
      </c>
      <c r="B11" s="14" t="s">
        <v>68</v>
      </c>
      <c r="C11" s="15">
        <f t="shared" si="4"/>
        <v>29.95</v>
      </c>
      <c r="D11" s="16">
        <v>1</v>
      </c>
      <c r="E11" s="16">
        <v>1</v>
      </c>
      <c r="F11" s="29">
        <v>29.95</v>
      </c>
      <c r="G11" s="29">
        <v>0</v>
      </c>
      <c r="H11" s="18">
        <f t="shared" si="1"/>
        <v>0</v>
      </c>
      <c r="I11" s="18">
        <f t="shared" si="2"/>
        <v>0.37230213363083764</v>
      </c>
      <c r="J11" s="17">
        <f t="shared" si="5"/>
        <v>11.150448902243587</v>
      </c>
      <c r="K11" s="17">
        <f t="shared" si="3"/>
        <v>11.150448902243587</v>
      </c>
      <c r="L11" s="16">
        <v>21</v>
      </c>
      <c r="M11" s="19">
        <f t="shared" si="6"/>
        <v>4.7619047619047616E-2</v>
      </c>
      <c r="N11" s="16">
        <v>11</v>
      </c>
      <c r="O11" s="20">
        <f t="shared" ref="O11:P11" si="19">D11/7</f>
        <v>0.14285714285714285</v>
      </c>
      <c r="P11" s="20">
        <f t="shared" si="19"/>
        <v>0.14285714285714285</v>
      </c>
      <c r="Q11" s="16">
        <f t="shared" si="8"/>
        <v>38</v>
      </c>
      <c r="R11" s="16"/>
      <c r="S11" s="21">
        <v>2.1052631578947301</v>
      </c>
      <c r="T11" s="14">
        <v>162</v>
      </c>
      <c r="U11" s="22">
        <v>60</v>
      </c>
      <c r="V11" s="23" t="s">
        <v>907</v>
      </c>
      <c r="W11" s="14">
        <v>0</v>
      </c>
      <c r="X11" s="24">
        <f t="shared" si="9"/>
        <v>0</v>
      </c>
      <c r="Y11" s="25">
        <f t="shared" si="10"/>
        <v>0</v>
      </c>
      <c r="Z11" s="14">
        <v>0</v>
      </c>
      <c r="AA11" s="14" t="s">
        <v>35</v>
      </c>
      <c r="AB11" s="27">
        <f t="shared" si="11"/>
        <v>-0.69</v>
      </c>
      <c r="AC11" s="28">
        <v>9.1880208333333324E-2</v>
      </c>
      <c r="AD11" s="25">
        <f t="shared" si="12"/>
        <v>-0.12679468749999998</v>
      </c>
      <c r="AE11" s="25">
        <v>-5.8</v>
      </c>
      <c r="AF11" s="25">
        <v>-8.3802564102564094</v>
      </c>
      <c r="AG11" s="25">
        <v>0</v>
      </c>
    </row>
    <row r="12" spans="1:33" ht="15.75" customHeight="1">
      <c r="A12" s="14" t="s">
        <v>195</v>
      </c>
      <c r="B12" s="14" t="s">
        <v>68</v>
      </c>
      <c r="C12" s="15">
        <f t="shared" si="4"/>
        <v>29.95</v>
      </c>
      <c r="D12" s="16">
        <v>2</v>
      </c>
      <c r="E12" s="16">
        <v>0</v>
      </c>
      <c r="F12" s="29">
        <v>59.9</v>
      </c>
      <c r="G12" s="29">
        <v>0</v>
      </c>
      <c r="H12" s="18">
        <f t="shared" si="1"/>
        <v>0</v>
      </c>
      <c r="I12" s="18">
        <f t="shared" si="2"/>
        <v>0.37230213363083764</v>
      </c>
      <c r="J12" s="17">
        <f t="shared" si="5"/>
        <v>22.300897804487175</v>
      </c>
      <c r="K12" s="17">
        <f t="shared" si="3"/>
        <v>11.150448902243587</v>
      </c>
      <c r="L12" s="16">
        <v>9</v>
      </c>
      <c r="M12" s="19">
        <f t="shared" si="6"/>
        <v>0.22222222222222221</v>
      </c>
      <c r="N12" s="16">
        <v>9</v>
      </c>
      <c r="O12" s="20">
        <f t="shared" ref="O12:P12" si="20">D12/7</f>
        <v>0.2857142857142857</v>
      </c>
      <c r="P12" s="20">
        <f t="shared" si="20"/>
        <v>0</v>
      </c>
      <c r="Q12" s="16">
        <f t="shared" si="8"/>
        <v>31</v>
      </c>
      <c r="R12" s="16"/>
      <c r="S12" s="21">
        <v>2.0512820512820502</v>
      </c>
      <c r="T12" s="14">
        <v>162</v>
      </c>
      <c r="U12" s="22">
        <v>60</v>
      </c>
      <c r="V12" s="23" t="s">
        <v>908</v>
      </c>
      <c r="W12" s="14">
        <v>0</v>
      </c>
      <c r="X12" s="24">
        <f t="shared" si="9"/>
        <v>0</v>
      </c>
      <c r="Y12" s="25">
        <f t="shared" si="10"/>
        <v>0</v>
      </c>
      <c r="Z12" s="14">
        <v>0</v>
      </c>
      <c r="AA12" s="14" t="s">
        <v>35</v>
      </c>
      <c r="AB12" s="27">
        <f t="shared" si="11"/>
        <v>-0.69</v>
      </c>
      <c r="AC12" s="28">
        <v>9.1880208333333324E-2</v>
      </c>
      <c r="AD12" s="25">
        <f t="shared" si="12"/>
        <v>-0.25358937499999995</v>
      </c>
      <c r="AE12" s="25">
        <v>-5.8</v>
      </c>
      <c r="AF12" s="25">
        <v>-8.3802564102564094</v>
      </c>
      <c r="AG12" s="25">
        <v>0</v>
      </c>
    </row>
    <row r="13" spans="1:33" ht="15.75" customHeight="1">
      <c r="A13" s="14" t="s">
        <v>197</v>
      </c>
      <c r="B13" s="14" t="s">
        <v>202</v>
      </c>
      <c r="C13" s="15">
        <f t="shared" si="4"/>
        <v>29.95</v>
      </c>
      <c r="D13" s="16">
        <v>3</v>
      </c>
      <c r="E13" s="16">
        <v>0</v>
      </c>
      <c r="F13" s="17">
        <v>89.85</v>
      </c>
      <c r="G13" s="29">
        <v>0</v>
      </c>
      <c r="H13" s="18">
        <f t="shared" si="1"/>
        <v>0</v>
      </c>
      <c r="I13" s="18">
        <f t="shared" si="2"/>
        <v>0.36930568656093515</v>
      </c>
      <c r="J13" s="17">
        <f t="shared" si="5"/>
        <v>33.182115937500022</v>
      </c>
      <c r="K13" s="17">
        <f t="shared" si="3"/>
        <v>11.060705312500007</v>
      </c>
      <c r="L13" s="16">
        <v>10</v>
      </c>
      <c r="M13" s="19">
        <f t="shared" si="6"/>
        <v>0.3</v>
      </c>
      <c r="N13" s="16">
        <v>5</v>
      </c>
      <c r="O13" s="20">
        <f t="shared" ref="O13:P13" si="21">D13/7</f>
        <v>0.42857142857142855</v>
      </c>
      <c r="P13" s="20">
        <f t="shared" si="21"/>
        <v>0</v>
      </c>
      <c r="Q13" s="16">
        <f t="shared" si="8"/>
        <v>11</v>
      </c>
      <c r="R13" s="16"/>
      <c r="S13" s="21">
        <v>2.24817518248175</v>
      </c>
      <c r="T13" s="14">
        <v>162</v>
      </c>
      <c r="U13" s="22">
        <v>60</v>
      </c>
      <c r="V13" s="23" t="s">
        <v>908</v>
      </c>
      <c r="W13" s="14">
        <v>0</v>
      </c>
      <c r="X13" s="24">
        <f t="shared" si="9"/>
        <v>0</v>
      </c>
      <c r="Y13" s="25">
        <f t="shared" si="10"/>
        <v>0</v>
      </c>
      <c r="Z13" s="14">
        <v>0</v>
      </c>
      <c r="AA13" s="14" t="s">
        <v>35</v>
      </c>
      <c r="AB13" s="27">
        <f t="shared" si="11"/>
        <v>-0.69</v>
      </c>
      <c r="AC13" s="28">
        <v>9.1880208333333324E-2</v>
      </c>
      <c r="AD13" s="25">
        <f t="shared" si="12"/>
        <v>-0.3803840624999999</v>
      </c>
      <c r="AE13" s="25">
        <v>-5.8</v>
      </c>
      <c r="AF13" s="25">
        <v>-8.46999999999999</v>
      </c>
      <c r="AG13" s="25">
        <v>0</v>
      </c>
    </row>
    <row r="14" spans="1:33" ht="15.75" customHeight="1">
      <c r="A14" s="14" t="s">
        <v>32</v>
      </c>
      <c r="B14" s="14" t="s">
        <v>68</v>
      </c>
      <c r="C14" s="15">
        <f t="shared" si="4"/>
        <v>29.95</v>
      </c>
      <c r="D14" s="16">
        <v>1</v>
      </c>
      <c r="E14" s="16">
        <v>0</v>
      </c>
      <c r="F14" s="17">
        <v>29.95</v>
      </c>
      <c r="G14" s="29">
        <v>0</v>
      </c>
      <c r="H14" s="18">
        <f t="shared" si="1"/>
        <v>0</v>
      </c>
      <c r="I14" s="18">
        <f t="shared" si="2"/>
        <v>0.36930568656093526</v>
      </c>
      <c r="J14" s="17">
        <f t="shared" si="5"/>
        <v>11.06070531250001</v>
      </c>
      <c r="K14" s="17">
        <f t="shared" si="3"/>
        <v>11.06070531250001</v>
      </c>
      <c r="L14" s="16">
        <v>18</v>
      </c>
      <c r="M14" s="19">
        <f t="shared" si="6"/>
        <v>5.5555555555555552E-2</v>
      </c>
      <c r="N14" s="16">
        <v>3</v>
      </c>
      <c r="O14" s="20">
        <f t="shared" ref="O14:P14" si="22">D14/7</f>
        <v>0.14285714285714285</v>
      </c>
      <c r="P14" s="20">
        <f t="shared" si="22"/>
        <v>0</v>
      </c>
      <c r="Q14" s="16">
        <f t="shared" si="8"/>
        <v>21</v>
      </c>
      <c r="R14" s="16"/>
      <c r="S14" s="21">
        <v>1.8842975206611501</v>
      </c>
      <c r="T14" s="14">
        <v>102</v>
      </c>
      <c r="U14" s="22">
        <v>60</v>
      </c>
      <c r="V14" s="23" t="s">
        <v>908</v>
      </c>
      <c r="W14" s="14">
        <v>0</v>
      </c>
      <c r="X14" s="24">
        <f t="shared" si="9"/>
        <v>0</v>
      </c>
      <c r="Y14" s="25">
        <f t="shared" si="10"/>
        <v>0</v>
      </c>
      <c r="Z14" s="14">
        <v>0</v>
      </c>
      <c r="AA14" s="14" t="s">
        <v>35</v>
      </c>
      <c r="AB14" s="27">
        <f t="shared" si="11"/>
        <v>-0.69</v>
      </c>
      <c r="AC14" s="28">
        <v>9.1880208333333324E-2</v>
      </c>
      <c r="AD14" s="25">
        <f t="shared" si="12"/>
        <v>-0.12679468749999998</v>
      </c>
      <c r="AE14" s="25">
        <v>-5.8</v>
      </c>
      <c r="AF14" s="25">
        <v>-8.46999999999999</v>
      </c>
      <c r="AG14" s="25">
        <v>0</v>
      </c>
    </row>
    <row r="15" spans="1:33" ht="15.75" customHeight="1">
      <c r="A15" s="14" t="s">
        <v>36</v>
      </c>
      <c r="B15" s="14" t="s">
        <v>909</v>
      </c>
      <c r="C15" s="15" t="str">
        <f t="shared" si="4"/>
        <v xml:space="preserve"> - </v>
      </c>
      <c r="D15" s="16">
        <v>0</v>
      </c>
      <c r="E15" s="16">
        <v>0</v>
      </c>
      <c r="F15" s="17">
        <v>0</v>
      </c>
      <c r="G15" s="29">
        <v>0</v>
      </c>
      <c r="H15" s="18" t="e">
        <f t="shared" si="1"/>
        <v>#DIV/0!</v>
      </c>
      <c r="I15" s="18" t="e">
        <f t="shared" si="2"/>
        <v>#DIV/0!</v>
      </c>
      <c r="J15" s="17">
        <f t="shared" si="5"/>
        <v>0</v>
      </c>
      <c r="K15" s="17" t="e">
        <f t="shared" si="3"/>
        <v>#DIV/0!</v>
      </c>
      <c r="L15" s="16">
        <v>0</v>
      </c>
      <c r="M15" s="19" t="str">
        <f t="shared" si="6"/>
        <v>-</v>
      </c>
      <c r="N15" s="16">
        <v>3</v>
      </c>
      <c r="O15" s="20">
        <f t="shared" ref="O15:P15" si="23">D15/7</f>
        <v>0</v>
      </c>
      <c r="P15" s="20">
        <f t="shared" si="23"/>
        <v>0</v>
      </c>
      <c r="Q15" s="16" t="e">
        <f t="shared" si="8"/>
        <v>#DIV/0!</v>
      </c>
      <c r="R15" s="16"/>
      <c r="S15" s="21">
        <v>1.4736842105263099</v>
      </c>
      <c r="T15" s="14">
        <v>102</v>
      </c>
      <c r="U15" s="22">
        <v>60</v>
      </c>
      <c r="V15" s="23" t="s">
        <v>908</v>
      </c>
      <c r="W15" s="14">
        <v>0</v>
      </c>
      <c r="X15" s="24">
        <f t="shared" si="9"/>
        <v>0</v>
      </c>
      <c r="Y15" s="25">
        <f t="shared" si="10"/>
        <v>0</v>
      </c>
      <c r="Z15" s="14">
        <v>0</v>
      </c>
      <c r="AA15" s="14" t="s">
        <v>35</v>
      </c>
      <c r="AB15" s="27">
        <f t="shared" si="11"/>
        <v>-0.69</v>
      </c>
      <c r="AC15" s="28">
        <v>9.1880208333333324E-2</v>
      </c>
      <c r="AD15" s="25">
        <f t="shared" si="12"/>
        <v>0</v>
      </c>
      <c r="AE15" s="25">
        <v>-5.8</v>
      </c>
      <c r="AF15" s="25">
        <v>-9.3799999999999901</v>
      </c>
      <c r="AG15" s="25">
        <v>0</v>
      </c>
    </row>
    <row r="16" spans="1:33" ht="15.75" customHeight="1">
      <c r="A16" s="14" t="s">
        <v>38</v>
      </c>
      <c r="B16" s="14" t="s">
        <v>45</v>
      </c>
      <c r="C16" s="15">
        <f t="shared" si="4"/>
        <v>31.956666666666667</v>
      </c>
      <c r="D16" s="16">
        <v>3</v>
      </c>
      <c r="E16" s="16">
        <v>0</v>
      </c>
      <c r="F16" s="17">
        <v>95.87</v>
      </c>
      <c r="G16" s="29">
        <v>0</v>
      </c>
      <c r="H16" s="18">
        <f t="shared" si="1"/>
        <v>0</v>
      </c>
      <c r="I16" s="18">
        <f t="shared" si="2"/>
        <v>0.37101403919370018</v>
      </c>
      <c r="J16" s="17">
        <f t="shared" si="5"/>
        <v>35.569115937500037</v>
      </c>
      <c r="K16" s="17">
        <f t="shared" si="3"/>
        <v>11.85637197916668</v>
      </c>
      <c r="L16" s="16">
        <v>10</v>
      </c>
      <c r="M16" s="19">
        <f t="shared" si="6"/>
        <v>0.3</v>
      </c>
      <c r="N16" s="16">
        <v>0</v>
      </c>
      <c r="O16" s="20">
        <f t="shared" ref="O16:P16" si="24">D16/7</f>
        <v>0.42857142857142855</v>
      </c>
      <c r="P16" s="20">
        <f t="shared" si="24"/>
        <v>0</v>
      </c>
      <c r="Q16" s="16">
        <f t="shared" si="8"/>
        <v>0</v>
      </c>
      <c r="R16" s="16"/>
      <c r="S16" s="21">
        <v>1.6494845360824699</v>
      </c>
      <c r="T16" s="14">
        <v>102</v>
      </c>
      <c r="U16" s="22">
        <v>60</v>
      </c>
      <c r="V16" s="23" t="s">
        <v>910</v>
      </c>
      <c r="W16" s="14">
        <v>0</v>
      </c>
      <c r="X16" s="24">
        <f t="shared" si="9"/>
        <v>0</v>
      </c>
      <c r="Y16" s="25">
        <f t="shared" si="10"/>
        <v>0</v>
      </c>
      <c r="Z16" s="14">
        <v>0</v>
      </c>
      <c r="AA16" s="14" t="s">
        <v>35</v>
      </c>
      <c r="AB16" s="27">
        <f t="shared" si="11"/>
        <v>-0.69</v>
      </c>
      <c r="AC16" s="28">
        <v>9.1880208333333324E-2</v>
      </c>
      <c r="AD16" s="25">
        <f t="shared" si="12"/>
        <v>-0.3803840624999999</v>
      </c>
      <c r="AE16" s="25">
        <v>-5.8</v>
      </c>
      <c r="AF16" s="25">
        <v>-9.3799999999999901</v>
      </c>
      <c r="AG16" s="25">
        <v>0</v>
      </c>
    </row>
    <row r="17" spans="1:33" ht="15.75" customHeight="1">
      <c r="A17" s="14" t="s">
        <v>40</v>
      </c>
      <c r="B17" s="14"/>
      <c r="C17" s="15" t="str">
        <f t="shared" si="4"/>
        <v xml:space="preserve"> - </v>
      </c>
      <c r="D17" s="16">
        <v>0</v>
      </c>
      <c r="E17" s="16">
        <v>0</v>
      </c>
      <c r="F17" s="17">
        <v>0</v>
      </c>
      <c r="G17" s="29">
        <v>0</v>
      </c>
      <c r="H17" s="18" t="e">
        <f t="shared" si="1"/>
        <v>#DIV/0!</v>
      </c>
      <c r="I17" s="18" t="e">
        <f t="shared" si="2"/>
        <v>#DIV/0!</v>
      </c>
      <c r="J17" s="17">
        <f t="shared" si="5"/>
        <v>0</v>
      </c>
      <c r="K17" s="17" t="e">
        <f t="shared" si="3"/>
        <v>#DIV/0!</v>
      </c>
      <c r="L17" s="16">
        <v>0</v>
      </c>
      <c r="M17" s="19" t="str">
        <f t="shared" si="6"/>
        <v>-</v>
      </c>
      <c r="N17" s="16">
        <v>0</v>
      </c>
      <c r="O17" s="20">
        <f t="shared" ref="O17:P17" si="25">D17/7</f>
        <v>0</v>
      </c>
      <c r="P17" s="20">
        <f t="shared" si="25"/>
        <v>0</v>
      </c>
      <c r="Q17" s="16" t="e">
        <f t="shared" si="8"/>
        <v>#DIV/0!</v>
      </c>
      <c r="R17" s="16"/>
      <c r="S17" s="21" t="e">
        <v>#N/A</v>
      </c>
      <c r="T17" s="14">
        <v>42</v>
      </c>
      <c r="U17" s="22" t="s">
        <v>34</v>
      </c>
      <c r="V17" s="23" t="s">
        <v>34</v>
      </c>
      <c r="W17" s="14">
        <v>0</v>
      </c>
      <c r="X17" s="24">
        <f t="shared" si="9"/>
        <v>0</v>
      </c>
      <c r="Y17" s="25">
        <f t="shared" si="10"/>
        <v>0</v>
      </c>
      <c r="Z17" s="14">
        <v>0</v>
      </c>
      <c r="AA17" s="14" t="e">
        <v>#N/A</v>
      </c>
      <c r="AB17" s="27" t="e">
        <f t="shared" si="11"/>
        <v>#N/A</v>
      </c>
      <c r="AC17" s="28" t="e">
        <v>#N/A</v>
      </c>
      <c r="AD17" s="25">
        <f t="shared" si="12"/>
        <v>0</v>
      </c>
      <c r="AE17" s="25">
        <v>0</v>
      </c>
      <c r="AF17" s="25">
        <v>-9.3799999999999901</v>
      </c>
      <c r="AG17" s="25">
        <v>0</v>
      </c>
    </row>
    <row r="18" spans="1:33" ht="15.75" customHeight="1">
      <c r="A18" s="14" t="s">
        <v>42</v>
      </c>
      <c r="B18" s="14" t="s">
        <v>911</v>
      </c>
      <c r="C18" s="15">
        <f t="shared" si="4"/>
        <v>31.95</v>
      </c>
      <c r="D18" s="16">
        <v>3</v>
      </c>
      <c r="E18" s="16">
        <v>0</v>
      </c>
      <c r="F18" s="17">
        <v>95.85</v>
      </c>
      <c r="G18" s="29">
        <v>0</v>
      </c>
      <c r="H18" s="18">
        <f t="shared" si="1"/>
        <v>0</v>
      </c>
      <c r="I18" s="18">
        <f t="shared" si="2"/>
        <v>0.37091409428795025</v>
      </c>
      <c r="J18" s="17">
        <f t="shared" si="5"/>
        <v>35.552115937500027</v>
      </c>
      <c r="K18" s="17">
        <f t="shared" si="3"/>
        <v>11.850705312500009</v>
      </c>
      <c r="L18" s="16">
        <v>10</v>
      </c>
      <c r="M18" s="19">
        <f t="shared" si="6"/>
        <v>0.3</v>
      </c>
      <c r="N18" s="16">
        <v>57</v>
      </c>
      <c r="O18" s="20">
        <f t="shared" ref="O18:P18" si="26">D18/7</f>
        <v>0.42857142857142855</v>
      </c>
      <c r="P18" s="20">
        <f t="shared" si="26"/>
        <v>0</v>
      </c>
      <c r="Q18" s="16">
        <f t="shared" si="8"/>
        <v>133</v>
      </c>
      <c r="R18" s="16"/>
      <c r="S18" s="21">
        <v>0.86713286713286697</v>
      </c>
      <c r="T18" s="14">
        <v>102</v>
      </c>
      <c r="U18" s="22">
        <v>0</v>
      </c>
      <c r="V18" s="23" t="s">
        <v>912</v>
      </c>
      <c r="W18" s="14">
        <v>0</v>
      </c>
      <c r="X18" s="24">
        <f t="shared" si="9"/>
        <v>0</v>
      </c>
      <c r="Y18" s="25">
        <f t="shared" si="10"/>
        <v>0</v>
      </c>
      <c r="Z18" s="14">
        <v>0</v>
      </c>
      <c r="AA18" s="14" t="s">
        <v>35</v>
      </c>
      <c r="AB18" s="27">
        <f t="shared" si="11"/>
        <v>-0.69</v>
      </c>
      <c r="AC18" s="28">
        <v>9.1880208333333324E-2</v>
      </c>
      <c r="AD18" s="25">
        <f t="shared" si="12"/>
        <v>-0.3803840624999999</v>
      </c>
      <c r="AE18" s="25">
        <v>-5.8</v>
      </c>
      <c r="AF18" s="25">
        <v>-9.3799999999999901</v>
      </c>
      <c r="AG18" s="25">
        <v>0</v>
      </c>
    </row>
    <row r="19" spans="1:33" ht="15.75" customHeight="1">
      <c r="A19" s="14" t="s">
        <v>44</v>
      </c>
      <c r="B19" s="14" t="s">
        <v>64</v>
      </c>
      <c r="C19" s="15">
        <f t="shared" si="4"/>
        <v>26.87</v>
      </c>
      <c r="D19" s="16">
        <v>1</v>
      </c>
      <c r="E19" s="16">
        <v>0</v>
      </c>
      <c r="F19" s="17">
        <v>26.87</v>
      </c>
      <c r="G19" s="29">
        <v>0</v>
      </c>
      <c r="H19" s="18">
        <f t="shared" si="1"/>
        <v>0</v>
      </c>
      <c r="I19" s="18">
        <f t="shared" si="2"/>
        <v>0.26418702316710085</v>
      </c>
      <c r="J19" s="17">
        <f t="shared" si="5"/>
        <v>7.0987053125000008</v>
      </c>
      <c r="K19" s="17">
        <f t="shared" si="3"/>
        <v>7.0987053125000008</v>
      </c>
      <c r="L19" s="16">
        <v>0</v>
      </c>
      <c r="M19" s="19" t="str">
        <f t="shared" si="6"/>
        <v>-</v>
      </c>
      <c r="N19" s="16">
        <v>56</v>
      </c>
      <c r="O19" s="20">
        <f t="shared" ref="O19:P19" si="27">D19/7</f>
        <v>0.14285714285714285</v>
      </c>
      <c r="P19" s="20">
        <f t="shared" si="27"/>
        <v>0</v>
      </c>
      <c r="Q19" s="16">
        <f t="shared" si="8"/>
        <v>392</v>
      </c>
      <c r="R19" s="16"/>
      <c r="S19" s="21">
        <v>0.96350364963503599</v>
      </c>
      <c r="T19" s="14">
        <v>102</v>
      </c>
      <c r="U19" s="22">
        <v>60</v>
      </c>
      <c r="V19" s="23" t="s">
        <v>913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14" t="s">
        <v>35</v>
      </c>
      <c r="AB19" s="27">
        <f t="shared" si="11"/>
        <v>-0.69</v>
      </c>
      <c r="AC19" s="28">
        <v>9.1880208333333324E-2</v>
      </c>
      <c r="AD19" s="25">
        <f t="shared" si="12"/>
        <v>-0.12679468749999998</v>
      </c>
      <c r="AE19" s="25">
        <v>-5.8</v>
      </c>
      <c r="AF19" s="25">
        <v>-9.8140000000000001</v>
      </c>
      <c r="AG19" s="25">
        <v>0</v>
      </c>
    </row>
    <row r="20" spans="1:33" ht="15.75" customHeight="1">
      <c r="A20" s="14" t="s">
        <v>46</v>
      </c>
      <c r="B20" s="14" t="s">
        <v>66</v>
      </c>
      <c r="C20" s="15">
        <f t="shared" si="4"/>
        <v>24.65</v>
      </c>
      <c r="D20" s="16">
        <v>15</v>
      </c>
      <c r="E20" s="16">
        <v>0</v>
      </c>
      <c r="F20" s="17">
        <v>369.75</v>
      </c>
      <c r="G20" s="29">
        <v>-55.91</v>
      </c>
      <c r="H20" s="18">
        <f t="shared" si="1"/>
        <v>0.151210277214334</v>
      </c>
      <c r="I20" s="18">
        <f t="shared" si="2"/>
        <v>6.0217930189316926E-2</v>
      </c>
      <c r="J20" s="17">
        <f t="shared" si="5"/>
        <v>22.265579687499933</v>
      </c>
      <c r="K20" s="17">
        <f t="shared" si="3"/>
        <v>1.4843719791666623</v>
      </c>
      <c r="L20" s="16">
        <v>45</v>
      </c>
      <c r="M20" s="19">
        <f t="shared" si="6"/>
        <v>0.33333333333333331</v>
      </c>
      <c r="N20" s="16">
        <v>38</v>
      </c>
      <c r="O20" s="20">
        <f t="shared" ref="O20:P20" si="28">D20/7</f>
        <v>2.1428571428571428</v>
      </c>
      <c r="P20" s="20">
        <f t="shared" si="28"/>
        <v>0</v>
      </c>
      <c r="Q20" s="16">
        <f t="shared" si="8"/>
        <v>17</v>
      </c>
      <c r="R20" s="16"/>
      <c r="S20" s="21">
        <v>1.2</v>
      </c>
      <c r="T20" s="14">
        <v>102</v>
      </c>
      <c r="U20" s="22">
        <v>42</v>
      </c>
      <c r="V20" s="23" t="s">
        <v>914</v>
      </c>
      <c r="W20" s="14">
        <v>9</v>
      </c>
      <c r="X20" s="24">
        <f t="shared" si="9"/>
        <v>0.6</v>
      </c>
      <c r="Y20" s="25">
        <f t="shared" si="10"/>
        <v>2.7954999999999997</v>
      </c>
      <c r="Z20" s="14">
        <v>11</v>
      </c>
      <c r="AA20" s="14" t="s">
        <v>35</v>
      </c>
      <c r="AB20" s="27">
        <f t="shared" si="11"/>
        <v>-0.69</v>
      </c>
      <c r="AC20" s="28">
        <v>9.1880208333333324E-2</v>
      </c>
      <c r="AD20" s="25">
        <f t="shared" si="12"/>
        <v>-1.9019203124999997</v>
      </c>
      <c r="AE20" s="25">
        <v>-5.8</v>
      </c>
      <c r="AF20" s="25">
        <v>-9.8140000000000001</v>
      </c>
      <c r="AG20" s="25">
        <v>0</v>
      </c>
    </row>
    <row r="21" spans="1:33" ht="15.75" customHeight="1">
      <c r="A21" s="14" t="s">
        <v>47</v>
      </c>
      <c r="B21" s="14" t="s">
        <v>915</v>
      </c>
      <c r="C21" s="15">
        <f t="shared" si="4"/>
        <v>25.562999999999999</v>
      </c>
      <c r="D21" s="16">
        <v>10</v>
      </c>
      <c r="E21" s="16">
        <v>1</v>
      </c>
      <c r="F21" s="17">
        <v>255.63</v>
      </c>
      <c r="G21" s="29">
        <v>-11.36</v>
      </c>
      <c r="H21" s="18">
        <f t="shared" si="1"/>
        <v>4.4439228572546258E-2</v>
      </c>
      <c r="I21" s="18">
        <f t="shared" si="2"/>
        <v>0.18979600643508196</v>
      </c>
      <c r="J21" s="17">
        <f t="shared" si="5"/>
        <v>48.517553124999999</v>
      </c>
      <c r="K21" s="17">
        <f t="shared" si="3"/>
        <v>4.8517553124999999</v>
      </c>
      <c r="L21" s="16">
        <v>18</v>
      </c>
      <c r="M21" s="19">
        <f t="shared" si="6"/>
        <v>0.55555555555555558</v>
      </c>
      <c r="N21" s="16">
        <v>30</v>
      </c>
      <c r="O21" s="20">
        <f t="shared" ref="O21:P21" si="29">D21/7</f>
        <v>1.4285714285714286</v>
      </c>
      <c r="P21" s="20">
        <f t="shared" si="29"/>
        <v>0.14285714285714285</v>
      </c>
      <c r="Q21" s="16">
        <f t="shared" si="8"/>
        <v>19</v>
      </c>
      <c r="R21" s="16"/>
      <c r="S21" s="21">
        <v>1.89247311827957</v>
      </c>
      <c r="T21" s="14">
        <v>102</v>
      </c>
      <c r="U21" s="22">
        <v>42</v>
      </c>
      <c r="V21" s="23" t="s">
        <v>916</v>
      </c>
      <c r="W21" s="14">
        <v>2</v>
      </c>
      <c r="X21" s="24">
        <f t="shared" si="9"/>
        <v>0.2</v>
      </c>
      <c r="Y21" s="25">
        <f t="shared" si="10"/>
        <v>1.8933333333333333</v>
      </c>
      <c r="Z21" s="14">
        <v>4</v>
      </c>
      <c r="AA21" s="14" t="s">
        <v>35</v>
      </c>
      <c r="AB21" s="27">
        <f t="shared" si="11"/>
        <v>-0.69</v>
      </c>
      <c r="AC21" s="28">
        <v>9.1880208333333324E-2</v>
      </c>
      <c r="AD21" s="25">
        <f t="shared" si="12"/>
        <v>-1.2679468749999998</v>
      </c>
      <c r="AE21" s="25">
        <v>-5.8</v>
      </c>
      <c r="AF21" s="25">
        <v>-9.8140000000000001</v>
      </c>
      <c r="AG21" s="25">
        <v>0</v>
      </c>
    </row>
    <row r="22" spans="1:33" ht="15.75" customHeight="1">
      <c r="A22" s="14" t="s">
        <v>48</v>
      </c>
      <c r="B22" s="14" t="s">
        <v>917</v>
      </c>
      <c r="C22" s="15">
        <f t="shared" si="4"/>
        <v>24.974285714285713</v>
      </c>
      <c r="D22" s="16">
        <v>7</v>
      </c>
      <c r="E22" s="16">
        <v>1</v>
      </c>
      <c r="F22" s="29">
        <v>174.82</v>
      </c>
      <c r="G22" s="29">
        <v>0</v>
      </c>
      <c r="H22" s="18">
        <f t="shared" si="1"/>
        <v>0</v>
      </c>
      <c r="I22" s="18">
        <f t="shared" si="2"/>
        <v>0.21971992442226274</v>
      </c>
      <c r="J22" s="17">
        <f t="shared" si="5"/>
        <v>38.41143718749997</v>
      </c>
      <c r="K22" s="17">
        <f t="shared" si="3"/>
        <v>5.4873481696428525</v>
      </c>
      <c r="L22" s="16">
        <v>25</v>
      </c>
      <c r="M22" s="19">
        <f t="shared" si="6"/>
        <v>0.28000000000000003</v>
      </c>
      <c r="N22" s="16">
        <v>21</v>
      </c>
      <c r="O22" s="20">
        <f t="shared" ref="O22:P22" si="30">D22/7</f>
        <v>1</v>
      </c>
      <c r="P22" s="20">
        <f t="shared" si="30"/>
        <v>0.14285714285714285</v>
      </c>
      <c r="Q22" s="16">
        <f t="shared" si="8"/>
        <v>18</v>
      </c>
      <c r="R22" s="16"/>
      <c r="S22" s="21">
        <v>1.3684210526315701</v>
      </c>
      <c r="T22" s="14">
        <v>102</v>
      </c>
      <c r="U22" s="22">
        <v>42</v>
      </c>
      <c r="V22" s="23" t="s">
        <v>916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35</v>
      </c>
      <c r="AB22" s="27">
        <f t="shared" si="11"/>
        <v>-0.69</v>
      </c>
      <c r="AC22" s="28">
        <v>9.1880208333333324E-2</v>
      </c>
      <c r="AD22" s="25">
        <f t="shared" si="12"/>
        <v>-0.8875628124999998</v>
      </c>
      <c r="AE22" s="25">
        <v>-5.8</v>
      </c>
      <c r="AF22" s="25">
        <v>-9.8140000000000001</v>
      </c>
      <c r="AG22" s="25">
        <v>0</v>
      </c>
    </row>
    <row r="23" spans="1:33" ht="15.75" customHeight="1">
      <c r="A23" s="14" t="s">
        <v>49</v>
      </c>
      <c r="B23" s="14" t="s">
        <v>918</v>
      </c>
      <c r="C23" s="15">
        <f t="shared" si="4"/>
        <v>27.95</v>
      </c>
      <c r="D23" s="16">
        <v>5</v>
      </c>
      <c r="E23" s="16">
        <v>1</v>
      </c>
      <c r="F23" s="17">
        <v>139.75</v>
      </c>
      <c r="G23" s="29">
        <v>0</v>
      </c>
      <c r="H23" s="18">
        <f t="shared" si="1"/>
        <v>0</v>
      </c>
      <c r="I23" s="18">
        <f t="shared" si="2"/>
        <v>0.28682308810375667</v>
      </c>
      <c r="J23" s="17">
        <f t="shared" si="5"/>
        <v>40.083526562499998</v>
      </c>
      <c r="K23" s="17">
        <f t="shared" si="3"/>
        <v>8.0167053124999992</v>
      </c>
      <c r="L23" s="16">
        <v>15</v>
      </c>
      <c r="M23" s="19">
        <f t="shared" si="6"/>
        <v>0.33333333333333331</v>
      </c>
      <c r="N23" s="16">
        <v>17</v>
      </c>
      <c r="O23" s="20">
        <f t="shared" ref="O23:P23" si="31">D23/7</f>
        <v>0.7142857142857143</v>
      </c>
      <c r="P23" s="20">
        <f t="shared" si="31"/>
        <v>0.14285714285714285</v>
      </c>
      <c r="Q23" s="16">
        <f t="shared" si="8"/>
        <v>19</v>
      </c>
      <c r="R23" s="16"/>
      <c r="S23" s="21">
        <v>1.4054054054053999</v>
      </c>
      <c r="T23" s="14">
        <v>204</v>
      </c>
      <c r="U23" s="22">
        <v>42</v>
      </c>
      <c r="V23" s="23" t="s">
        <v>916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35</v>
      </c>
      <c r="AB23" s="27">
        <f t="shared" si="11"/>
        <v>-0.69</v>
      </c>
      <c r="AC23" s="28">
        <v>9.1880208333333324E-2</v>
      </c>
      <c r="AD23" s="25">
        <f t="shared" si="12"/>
        <v>-0.6339734374999999</v>
      </c>
      <c r="AE23" s="25">
        <v>-5.8</v>
      </c>
      <c r="AF23" s="25">
        <v>-9.8140000000000001</v>
      </c>
      <c r="AG23" s="25">
        <v>0</v>
      </c>
    </row>
    <row r="24" spans="1:33" ht="15.75" customHeight="1">
      <c r="A24" s="14" t="s">
        <v>50</v>
      </c>
      <c r="B24" s="14" t="s">
        <v>919</v>
      </c>
      <c r="C24" s="15">
        <f t="shared" si="4"/>
        <v>28.308333333333334</v>
      </c>
      <c r="D24" s="16">
        <v>6</v>
      </c>
      <c r="E24" s="16">
        <v>0</v>
      </c>
      <c r="F24" s="17">
        <v>169.85</v>
      </c>
      <c r="G24" s="17">
        <v>-0.05</v>
      </c>
      <c r="H24" s="18">
        <f t="shared" si="1"/>
        <v>2.9437739181630853E-4</v>
      </c>
      <c r="I24" s="18">
        <f t="shared" si="2"/>
        <v>0.2936575323815131</v>
      </c>
      <c r="J24" s="17">
        <f t="shared" si="5"/>
        <v>49.877731874999995</v>
      </c>
      <c r="K24" s="17">
        <f t="shared" si="3"/>
        <v>8.3129553124999997</v>
      </c>
      <c r="L24" s="16">
        <v>22</v>
      </c>
      <c r="M24" s="19">
        <f t="shared" si="6"/>
        <v>0.27272727272727271</v>
      </c>
      <c r="N24" s="16">
        <v>10</v>
      </c>
      <c r="O24" s="20">
        <f t="shared" ref="O24:P24" si="32">D24/7</f>
        <v>0.8571428571428571</v>
      </c>
      <c r="P24" s="20">
        <f t="shared" si="32"/>
        <v>0</v>
      </c>
      <c r="Q24" s="16">
        <f t="shared" si="8"/>
        <v>11</v>
      </c>
      <c r="R24" s="16"/>
      <c r="S24" s="21">
        <v>1.6842105263157801</v>
      </c>
      <c r="T24" s="14">
        <v>204</v>
      </c>
      <c r="U24" s="22">
        <v>42</v>
      </c>
      <c r="V24" s="23" t="s">
        <v>920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14" t="s">
        <v>35</v>
      </c>
      <c r="AB24" s="27">
        <f t="shared" si="11"/>
        <v>-0.69</v>
      </c>
      <c r="AC24" s="28">
        <v>9.1880208333333324E-2</v>
      </c>
      <c r="AD24" s="25">
        <f t="shared" si="12"/>
        <v>-0.7607681249999998</v>
      </c>
      <c r="AE24" s="25">
        <v>-5.8</v>
      </c>
      <c r="AF24" s="25">
        <v>-9.8140000000000001</v>
      </c>
      <c r="AG24" s="25">
        <v>0</v>
      </c>
    </row>
    <row r="25" spans="1:33" ht="15.75" customHeight="1">
      <c r="A25" s="14" t="s">
        <v>51</v>
      </c>
      <c r="B25" s="14"/>
      <c r="C25" s="15">
        <f t="shared" si="4"/>
        <v>29.95</v>
      </c>
      <c r="D25" s="16">
        <v>3</v>
      </c>
      <c r="E25" s="16">
        <v>0</v>
      </c>
      <c r="F25" s="17">
        <v>89.85</v>
      </c>
      <c r="G25" s="17">
        <v>0</v>
      </c>
      <c r="H25" s="18">
        <f t="shared" si="1"/>
        <v>0</v>
      </c>
      <c r="I25" s="18">
        <f t="shared" si="2"/>
        <v>0.32456445116861427</v>
      </c>
      <c r="J25" s="17">
        <f t="shared" si="5"/>
        <v>29.162115937499991</v>
      </c>
      <c r="K25" s="17">
        <f t="shared" si="3"/>
        <v>9.7207053124999963</v>
      </c>
      <c r="L25" s="16">
        <v>27</v>
      </c>
      <c r="M25" s="19">
        <f t="shared" si="6"/>
        <v>0.1111111111111111</v>
      </c>
      <c r="N25" s="16">
        <v>9</v>
      </c>
      <c r="O25" s="20">
        <f t="shared" ref="O25:P25" si="33">D25/7</f>
        <v>0.42857142857142855</v>
      </c>
      <c r="P25" s="20">
        <f t="shared" si="33"/>
        <v>0</v>
      </c>
      <c r="Q25" s="16">
        <f t="shared" si="8"/>
        <v>21</v>
      </c>
      <c r="R25" s="16"/>
      <c r="S25" s="21">
        <v>2.3762376237623761</v>
      </c>
      <c r="T25" s="14">
        <v>204</v>
      </c>
      <c r="U25" s="22">
        <v>42</v>
      </c>
      <c r="V25" s="23" t="s">
        <v>921</v>
      </c>
      <c r="W25" s="30">
        <v>0</v>
      </c>
      <c r="X25" s="24">
        <f t="shared" si="9"/>
        <v>0</v>
      </c>
      <c r="Y25" s="25">
        <f t="shared" si="10"/>
        <v>0</v>
      </c>
      <c r="Z25" s="30">
        <v>0</v>
      </c>
      <c r="AA25" s="14" t="s">
        <v>35</v>
      </c>
      <c r="AB25" s="27">
        <f t="shared" si="11"/>
        <v>-0.69</v>
      </c>
      <c r="AC25" s="28">
        <v>9.1880208333333324E-2</v>
      </c>
      <c r="AD25" s="25">
        <f t="shared" si="12"/>
        <v>-0.3803840624999999</v>
      </c>
      <c r="AE25" s="25">
        <v>-5.8</v>
      </c>
      <c r="AF25" s="25">
        <v>-9.81</v>
      </c>
      <c r="AG25" s="25">
        <v>0</v>
      </c>
    </row>
    <row r="26" spans="1:33" ht="15.75" customHeight="1">
      <c r="A26" s="14" t="s">
        <v>52</v>
      </c>
      <c r="B26" s="14" t="s">
        <v>922</v>
      </c>
      <c r="C26" s="15">
        <f t="shared" si="4"/>
        <v>32.950000000000003</v>
      </c>
      <c r="D26" s="16">
        <v>2</v>
      </c>
      <c r="E26" s="16">
        <v>0</v>
      </c>
      <c r="F26" s="17">
        <v>65.900000000000006</v>
      </c>
      <c r="G26" s="17">
        <v>-0.06</v>
      </c>
      <c r="H26" s="18">
        <f t="shared" si="1"/>
        <v>9.1047040971168421E-4</v>
      </c>
      <c r="I26" s="18">
        <f t="shared" si="2"/>
        <v>0.3659091141881638</v>
      </c>
      <c r="J26" s="17">
        <f t="shared" si="5"/>
        <v>24.113410624999997</v>
      </c>
      <c r="K26" s="17">
        <f t="shared" si="3"/>
        <v>12.056705312499998</v>
      </c>
      <c r="L26" s="16">
        <v>14</v>
      </c>
      <c r="M26" s="19">
        <f t="shared" si="6"/>
        <v>0.14285714285714285</v>
      </c>
      <c r="N26" s="16">
        <v>6</v>
      </c>
      <c r="O26" s="20">
        <f t="shared" ref="O26:P26" si="34">D26/7</f>
        <v>0.2857142857142857</v>
      </c>
      <c r="P26" s="20">
        <f t="shared" si="34"/>
        <v>0</v>
      </c>
      <c r="Q26" s="16">
        <f t="shared" si="8"/>
        <v>21</v>
      </c>
      <c r="R26" s="16"/>
      <c r="S26" s="21">
        <v>1.616438356164384</v>
      </c>
      <c r="T26" s="14">
        <v>204</v>
      </c>
      <c r="U26" s="22">
        <v>42</v>
      </c>
      <c r="V26" s="23" t="s">
        <v>923</v>
      </c>
      <c r="W26" s="30">
        <v>0</v>
      </c>
      <c r="X26" s="24">
        <f t="shared" si="9"/>
        <v>0</v>
      </c>
      <c r="Y26" s="25">
        <f t="shared" si="10"/>
        <v>0</v>
      </c>
      <c r="Z26" s="30">
        <v>0</v>
      </c>
      <c r="AA26" s="14" t="s">
        <v>35</v>
      </c>
      <c r="AB26" s="27">
        <f t="shared" si="11"/>
        <v>-0.69</v>
      </c>
      <c r="AC26" s="28">
        <v>9.1880208333333324E-2</v>
      </c>
      <c r="AD26" s="25">
        <f t="shared" si="12"/>
        <v>-0.25358937499999995</v>
      </c>
      <c r="AE26" s="25">
        <v>-5.98</v>
      </c>
      <c r="AF26" s="25">
        <v>-9.8140000000000001</v>
      </c>
      <c r="AG26" s="25">
        <v>0</v>
      </c>
    </row>
    <row r="27" spans="1:33" ht="15.75" customHeight="1">
      <c r="A27" s="14" t="s">
        <v>53</v>
      </c>
      <c r="B27" s="14" t="s">
        <v>443</v>
      </c>
      <c r="C27" s="15">
        <f t="shared" si="4"/>
        <v>30.345999999999997</v>
      </c>
      <c r="D27" s="16">
        <v>5</v>
      </c>
      <c r="E27" s="16">
        <v>0</v>
      </c>
      <c r="F27" s="17">
        <v>151.72999999999999</v>
      </c>
      <c r="G27" s="17">
        <v>0</v>
      </c>
      <c r="H27" s="18">
        <f t="shared" si="1"/>
        <v>0</v>
      </c>
      <c r="I27" s="18">
        <f t="shared" si="2"/>
        <v>0.26469074383773794</v>
      </c>
      <c r="J27" s="17">
        <f t="shared" si="5"/>
        <v>40.161526562499972</v>
      </c>
      <c r="K27" s="17">
        <f t="shared" si="3"/>
        <v>8.0323053124999948</v>
      </c>
      <c r="L27" s="16">
        <v>36</v>
      </c>
      <c r="M27" s="19">
        <f t="shared" si="6"/>
        <v>0.1388888888888889</v>
      </c>
      <c r="N27" s="16">
        <v>42</v>
      </c>
      <c r="O27" s="20">
        <f t="shared" ref="O27:P27" si="35">D27/7</f>
        <v>0.7142857142857143</v>
      </c>
      <c r="P27" s="20">
        <f t="shared" si="35"/>
        <v>0</v>
      </c>
      <c r="Q27" s="16">
        <f t="shared" si="8"/>
        <v>58</v>
      </c>
      <c r="R27" s="16"/>
      <c r="S27" s="21">
        <v>1.69047619047619</v>
      </c>
      <c r="T27" s="14">
        <v>162</v>
      </c>
      <c r="U27" s="22">
        <v>60</v>
      </c>
      <c r="V27" s="23" t="s">
        <v>924</v>
      </c>
      <c r="W27" s="30">
        <v>0</v>
      </c>
      <c r="X27" s="24">
        <f t="shared" si="9"/>
        <v>0</v>
      </c>
      <c r="Y27" s="25">
        <f t="shared" si="10"/>
        <v>0</v>
      </c>
      <c r="Z27" s="30">
        <v>0</v>
      </c>
      <c r="AA27" s="14" t="s">
        <v>35</v>
      </c>
      <c r="AB27" s="27">
        <f t="shared" si="11"/>
        <v>-0.69</v>
      </c>
      <c r="AC27" s="28">
        <v>9.1880208333333324E-2</v>
      </c>
      <c r="AD27" s="25">
        <f t="shared" si="12"/>
        <v>-0.6339734374999999</v>
      </c>
      <c r="AE27" s="25">
        <v>-5.98</v>
      </c>
      <c r="AF27" s="25">
        <v>-11.654999999999999</v>
      </c>
      <c r="AG27" s="25">
        <v>0</v>
      </c>
    </row>
    <row r="28" spans="1:33" ht="15.75" customHeight="1">
      <c r="A28" s="14" t="s">
        <v>54</v>
      </c>
      <c r="B28" s="14" t="s">
        <v>68</v>
      </c>
      <c r="C28" s="15">
        <f t="shared" si="4"/>
        <v>29.407142857142855</v>
      </c>
      <c r="D28" s="16">
        <v>7</v>
      </c>
      <c r="E28" s="16">
        <v>0</v>
      </c>
      <c r="F28" s="17">
        <v>205.85</v>
      </c>
      <c r="G28" s="17">
        <v>0</v>
      </c>
      <c r="H28" s="18">
        <f t="shared" si="1"/>
        <v>0</v>
      </c>
      <c r="I28" s="18">
        <f t="shared" si="2"/>
        <v>0.24600406697838234</v>
      </c>
      <c r="J28" s="17">
        <f t="shared" si="5"/>
        <v>50.639937187500003</v>
      </c>
      <c r="K28" s="17">
        <f t="shared" si="3"/>
        <v>7.2342767410714286</v>
      </c>
      <c r="L28" s="16">
        <v>27</v>
      </c>
      <c r="M28" s="19">
        <f t="shared" si="6"/>
        <v>0.25925925925925924</v>
      </c>
      <c r="N28" s="16">
        <v>38</v>
      </c>
      <c r="O28" s="20">
        <f t="shared" ref="O28:P28" si="36">D28/7</f>
        <v>1</v>
      </c>
      <c r="P28" s="20">
        <f t="shared" si="36"/>
        <v>0</v>
      </c>
      <c r="Q28" s="16">
        <f t="shared" si="8"/>
        <v>38</v>
      </c>
      <c r="R28" s="16"/>
      <c r="S28" s="21">
        <v>2.051948051948052</v>
      </c>
      <c r="T28" s="14">
        <v>162</v>
      </c>
      <c r="U28" s="22">
        <v>44392</v>
      </c>
      <c r="V28" s="23" t="s">
        <v>925</v>
      </c>
      <c r="W28" s="30">
        <v>0</v>
      </c>
      <c r="X28" s="24">
        <f t="shared" si="9"/>
        <v>0</v>
      </c>
      <c r="Y28" s="25">
        <f t="shared" si="10"/>
        <v>0</v>
      </c>
      <c r="Z28" s="30">
        <v>0</v>
      </c>
      <c r="AA28" s="14" t="s">
        <v>35</v>
      </c>
      <c r="AB28" s="27">
        <f t="shared" si="11"/>
        <v>-0.69</v>
      </c>
      <c r="AC28" s="28">
        <v>9.1880208333333324E-2</v>
      </c>
      <c r="AD28" s="25">
        <f t="shared" si="12"/>
        <v>-0.8875628124999998</v>
      </c>
      <c r="AE28" s="25">
        <v>-5.98</v>
      </c>
      <c r="AF28" s="25">
        <v>-11.654999999999999</v>
      </c>
      <c r="AG28" s="25">
        <v>0</v>
      </c>
    </row>
    <row r="29" spans="1:33" ht="15.75" customHeight="1">
      <c r="A29" s="14" t="s">
        <v>55</v>
      </c>
      <c r="B29" s="14" t="s">
        <v>926</v>
      </c>
      <c r="C29" s="15">
        <f t="shared" si="4"/>
        <v>29.135000000000002</v>
      </c>
      <c r="D29" s="16">
        <v>4</v>
      </c>
      <c r="E29" s="16">
        <v>0</v>
      </c>
      <c r="F29" s="17">
        <v>116.54</v>
      </c>
      <c r="G29" s="17">
        <v>-0.08</v>
      </c>
      <c r="H29" s="18">
        <f t="shared" si="1"/>
        <v>6.8645958469195126E-4</v>
      </c>
      <c r="I29" s="18">
        <f t="shared" si="2"/>
        <v>0.23967583018706021</v>
      </c>
      <c r="J29" s="17">
        <f t="shared" si="5"/>
        <v>27.931821249999999</v>
      </c>
      <c r="K29" s="17">
        <f t="shared" si="3"/>
        <v>6.9829553124999997</v>
      </c>
      <c r="L29" s="16">
        <v>45</v>
      </c>
      <c r="M29" s="19">
        <f t="shared" si="6"/>
        <v>8.8888888888888892E-2</v>
      </c>
      <c r="N29" s="16">
        <v>31</v>
      </c>
      <c r="O29" s="20">
        <f t="shared" ref="O29:P29" si="37">D29/7</f>
        <v>0.5714285714285714</v>
      </c>
      <c r="P29" s="20">
        <f t="shared" si="37"/>
        <v>0</v>
      </c>
      <c r="Q29" s="16">
        <f t="shared" si="8"/>
        <v>54</v>
      </c>
      <c r="R29" s="16"/>
      <c r="S29" s="21">
        <v>2.8099173553719008</v>
      </c>
      <c r="T29" s="14">
        <v>162</v>
      </c>
      <c r="U29" s="22">
        <v>44392</v>
      </c>
      <c r="V29" s="23" t="s">
        <v>925</v>
      </c>
      <c r="W29" s="30">
        <v>0</v>
      </c>
      <c r="X29" s="24">
        <f t="shared" si="9"/>
        <v>0</v>
      </c>
      <c r="Y29" s="25">
        <f t="shared" si="10"/>
        <v>0</v>
      </c>
      <c r="Z29" s="30">
        <v>0</v>
      </c>
      <c r="AA29" s="14" t="s">
        <v>35</v>
      </c>
      <c r="AB29" s="27">
        <f t="shared" si="11"/>
        <v>-0.69</v>
      </c>
      <c r="AC29" s="28">
        <v>9.1880208333333324E-2</v>
      </c>
      <c r="AD29" s="25">
        <f t="shared" si="12"/>
        <v>-0.5071787499999999</v>
      </c>
      <c r="AE29" s="25">
        <v>-5.98</v>
      </c>
      <c r="AF29" s="25">
        <v>-11.654999999999999</v>
      </c>
      <c r="AG29" s="25">
        <v>0</v>
      </c>
    </row>
    <row r="30" spans="1:33" ht="15.75" customHeight="1">
      <c r="A30" s="14" t="s">
        <v>57</v>
      </c>
      <c r="B30" s="14" t="s">
        <v>927</v>
      </c>
      <c r="C30" s="15">
        <f t="shared" si="4"/>
        <v>30.41</v>
      </c>
      <c r="D30" s="16">
        <v>1</v>
      </c>
      <c r="E30" s="16">
        <v>0</v>
      </c>
      <c r="F30" s="17">
        <v>30.41</v>
      </c>
      <c r="G30" s="17">
        <v>0</v>
      </c>
      <c r="H30" s="18">
        <f t="shared" si="1"/>
        <v>0</v>
      </c>
      <c r="I30" s="18">
        <f t="shared" si="2"/>
        <v>0.27548964485366645</v>
      </c>
      <c r="J30" s="17">
        <f t="shared" si="5"/>
        <v>8.3776400999999971</v>
      </c>
      <c r="K30" s="17">
        <f t="shared" si="3"/>
        <v>8.3776400999999971</v>
      </c>
      <c r="L30" s="16">
        <v>23</v>
      </c>
      <c r="M30" s="19">
        <f t="shared" si="6"/>
        <v>4.3478260869565216E-2</v>
      </c>
      <c r="N30" s="16">
        <v>30</v>
      </c>
      <c r="O30" s="20">
        <f t="shared" ref="O30:P30" si="38">D30/7</f>
        <v>0.14285714285714285</v>
      </c>
      <c r="P30" s="20">
        <f t="shared" si="38"/>
        <v>0</v>
      </c>
      <c r="Q30" s="16">
        <f t="shared" si="8"/>
        <v>210</v>
      </c>
      <c r="R30" s="16"/>
      <c r="S30" s="21">
        <v>3.0909090909090908</v>
      </c>
      <c r="T30" s="14">
        <v>162</v>
      </c>
      <c r="U30" s="22">
        <v>60</v>
      </c>
      <c r="V30" s="23" t="s">
        <v>925</v>
      </c>
      <c r="W30" s="30">
        <v>0</v>
      </c>
      <c r="X30" s="24">
        <f t="shared" si="9"/>
        <v>0</v>
      </c>
      <c r="Y30" s="25">
        <f t="shared" si="10"/>
        <v>0</v>
      </c>
      <c r="Z30" s="30">
        <v>0</v>
      </c>
      <c r="AA30" s="14" t="s">
        <v>35</v>
      </c>
      <c r="AB30" s="27">
        <f t="shared" si="11"/>
        <v>-0.69</v>
      </c>
      <c r="AC30" s="28">
        <v>9.1880208333333324E-2</v>
      </c>
      <c r="AD30" s="25">
        <f t="shared" si="12"/>
        <v>-0.12679468749999998</v>
      </c>
      <c r="AE30" s="25">
        <v>-5.98</v>
      </c>
      <c r="AF30" s="25">
        <v>-11.3640652125</v>
      </c>
      <c r="AG30" s="25">
        <v>0</v>
      </c>
    </row>
    <row r="31" spans="1:33" ht="15.75" customHeight="1">
      <c r="A31" s="14" t="s">
        <v>58</v>
      </c>
      <c r="B31" s="14" t="s">
        <v>66</v>
      </c>
      <c r="C31" s="15">
        <f t="shared" si="4"/>
        <v>26.391666666666666</v>
      </c>
      <c r="D31" s="16">
        <v>6</v>
      </c>
      <c r="E31" s="16">
        <v>0</v>
      </c>
      <c r="F31" s="17">
        <v>158.35</v>
      </c>
      <c r="G31" s="17">
        <v>-25.779999999999994</v>
      </c>
      <c r="H31" s="18">
        <f t="shared" si="1"/>
        <v>0.16280391537732866</v>
      </c>
      <c r="I31" s="18">
        <f t="shared" si="2"/>
        <v>2.5212128828544348E-2</v>
      </c>
      <c r="J31" s="17">
        <f t="shared" si="5"/>
        <v>3.9923405999999972</v>
      </c>
      <c r="K31" s="17">
        <f t="shared" si="3"/>
        <v>0.66539009999999954</v>
      </c>
      <c r="L31" s="16">
        <v>42</v>
      </c>
      <c r="M31" s="19">
        <f t="shared" si="6"/>
        <v>0.14285714285714285</v>
      </c>
      <c r="N31" s="16">
        <v>24</v>
      </c>
      <c r="O31" s="20">
        <f t="shared" ref="O31:P31" si="39">D31/7</f>
        <v>0.8571428571428571</v>
      </c>
      <c r="P31" s="20">
        <f t="shared" si="39"/>
        <v>0</v>
      </c>
      <c r="Q31" s="16">
        <f t="shared" si="8"/>
        <v>28</v>
      </c>
      <c r="R31" s="16"/>
      <c r="S31" s="21">
        <v>2.2222222222222201</v>
      </c>
      <c r="T31" s="14">
        <v>102</v>
      </c>
      <c r="U31" s="22" t="s">
        <v>34</v>
      </c>
      <c r="V31" s="23" t="s">
        <v>928</v>
      </c>
      <c r="W31" s="30">
        <v>4</v>
      </c>
      <c r="X31" s="24">
        <f t="shared" si="9"/>
        <v>0.66666666666666663</v>
      </c>
      <c r="Y31" s="25">
        <f t="shared" si="10"/>
        <v>3.6828571428571419</v>
      </c>
      <c r="Z31" s="30">
        <v>3</v>
      </c>
      <c r="AA31" s="14" t="s">
        <v>35</v>
      </c>
      <c r="AB31" s="27">
        <f t="shared" si="11"/>
        <v>-0.69</v>
      </c>
      <c r="AC31" s="28">
        <v>9.1880208333333324E-2</v>
      </c>
      <c r="AD31" s="25">
        <f t="shared" si="12"/>
        <v>-0.7607681249999998</v>
      </c>
      <c r="AE31" s="25">
        <v>-5.98</v>
      </c>
      <c r="AF31" s="25">
        <v>-11.3640652125</v>
      </c>
      <c r="AG31" s="25">
        <v>0</v>
      </c>
    </row>
    <row r="32" spans="1:33" ht="15.75" customHeight="1">
      <c r="A32" s="14" t="s">
        <v>60</v>
      </c>
      <c r="B32" s="14"/>
      <c r="C32" s="15">
        <f t="shared" si="4"/>
        <v>25.95</v>
      </c>
      <c r="D32" s="16">
        <v>8</v>
      </c>
      <c r="E32" s="16">
        <v>3</v>
      </c>
      <c r="F32" s="17">
        <v>207.6</v>
      </c>
      <c r="G32" s="17">
        <v>-2.58</v>
      </c>
      <c r="H32" s="18">
        <f t="shared" si="1"/>
        <v>1.2427745664739885E-2</v>
      </c>
      <c r="I32" s="18">
        <f t="shared" si="2"/>
        <v>0.16432139113680136</v>
      </c>
      <c r="J32" s="17">
        <f t="shared" si="5"/>
        <v>34.113120799999962</v>
      </c>
      <c r="K32" s="17">
        <f t="shared" si="3"/>
        <v>4.2641400999999952</v>
      </c>
      <c r="L32" s="16">
        <v>24</v>
      </c>
      <c r="M32" s="19">
        <f t="shared" si="6"/>
        <v>0.33333333333333331</v>
      </c>
      <c r="N32" s="16">
        <v>13</v>
      </c>
      <c r="O32" s="20">
        <f t="shared" ref="O32:P32" si="40">D32/7</f>
        <v>1.1428571428571428</v>
      </c>
      <c r="P32" s="20">
        <f t="shared" si="40"/>
        <v>0.42857142857142855</v>
      </c>
      <c r="Q32" s="16">
        <f t="shared" si="8"/>
        <v>8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2.3439490445859872</v>
      </c>
      <c r="T32" s="14">
        <f ca="1">IFERROR(__xludf.DUMMYFUNCTION("IFERROR(VLOOKUP($B$2,IMPORTRANGE(""https://docs.google.com/spreadsheets/d/1KiWZV1ko8G7lnRucBRBd29jj3Be6ltMfljMDqzOkQmI/edit#gid=1381463014"",""Lookup!A:D""),4,FALSE),"""")"),102)</f>
        <v>102</v>
      </c>
      <c r="U32" s="22">
        <f ca="1">IFERROR(__xludf.DUMMYFUNCTION("IFERROR(VLOOKUP($B$2,IMPORTRANGE(""https://docs.google.com/spreadsheets/d/1KiWZV1ko8G7lnRucBRBd29jj3Be6ltMfljMDqzOkQmI/edit#gid=1381463014"",""Lookup!A:D""),3,FALSE),"""")"),60)</f>
        <v>60</v>
      </c>
      <c r="V32" s="23" t="str">
        <f ca="1">IFERROR(__xludf.DUMMYFUNCTION("IFERROR(VLOOKUP($B$2,IMPORTRANGE(""https://docs.google.com/spreadsheets/d/1KiWZV1ko8G7lnRucBRBd29jj3Be6ltMfljMDqzOkQmI/edit#gid=1381463014"",""Lookup!A:D""),2,FALSE),"""")"),"| 408  - 60 units 07/19")</f>
        <v>| 408  - 60 units 07/19</v>
      </c>
      <c r="W32" s="30">
        <v>0</v>
      </c>
      <c r="X32" s="24">
        <f t="shared" si="9"/>
        <v>0</v>
      </c>
      <c r="Y32" s="25">
        <f t="shared" si="10"/>
        <v>0</v>
      </c>
      <c r="Z32" s="30">
        <v>0</v>
      </c>
      <c r="AA32" s="14" t="s">
        <v>35</v>
      </c>
      <c r="AB32" s="27">
        <f t="shared" si="11"/>
        <v>-0.69</v>
      </c>
      <c r="AC32" s="28">
        <v>9.1880208333333324E-2</v>
      </c>
      <c r="AD32" s="25">
        <f t="shared" si="12"/>
        <v>-1.0143574999999998</v>
      </c>
      <c r="AE32" s="25">
        <v>-5.98</v>
      </c>
      <c r="AF32" s="25">
        <v>-11.3640652125</v>
      </c>
      <c r="AG32" s="25">
        <v>0</v>
      </c>
    </row>
    <row r="33" spans="1:33" ht="15.75" customHeight="1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16"/>
      <c r="S33" s="21"/>
      <c r="T33" s="31"/>
      <c r="U33" s="36"/>
      <c r="V33" s="1"/>
      <c r="W33" s="31"/>
      <c r="X33" s="31"/>
      <c r="Y33" s="31"/>
      <c r="Z33" s="31"/>
      <c r="AA33" s="2"/>
      <c r="AB33" s="31"/>
      <c r="AC33" s="31"/>
      <c r="AD33" s="31"/>
      <c r="AE33" s="37"/>
      <c r="AF33" s="37"/>
      <c r="AG33" s="37"/>
    </row>
    <row r="34" spans="1:33" ht="15.75" customHeight="1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6"/>
      <c r="V34" s="1"/>
      <c r="W34" s="31"/>
      <c r="X34" s="31"/>
      <c r="Y34" s="31"/>
      <c r="Z34" s="31"/>
      <c r="AA34" s="2"/>
      <c r="AB34" s="31"/>
      <c r="AC34" s="31"/>
      <c r="AD34" s="31"/>
      <c r="AE34" s="37"/>
      <c r="AF34" s="37"/>
      <c r="AG34" s="37"/>
    </row>
    <row r="35" spans="1:33" ht="15.75" customHeight="1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6"/>
      <c r="V35" s="1"/>
      <c r="W35" s="31"/>
      <c r="X35" s="31"/>
      <c r="Y35" s="31"/>
      <c r="Z35" s="31"/>
      <c r="AA35" s="2"/>
      <c r="AB35" s="31"/>
      <c r="AC35" s="31"/>
      <c r="AD35" s="31"/>
      <c r="AE35" s="37"/>
      <c r="AF35" s="37"/>
      <c r="AG35" s="37"/>
    </row>
    <row r="36" spans="1:33" ht="15.75" customHeight="1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6"/>
      <c r="V36" s="1"/>
      <c r="W36" s="31"/>
      <c r="X36" s="31"/>
      <c r="Y36" s="31"/>
      <c r="Z36" s="31"/>
      <c r="AA36" s="2"/>
      <c r="AB36" s="31"/>
      <c r="AC36" s="31"/>
      <c r="AD36" s="31"/>
      <c r="AE36" s="37"/>
      <c r="AF36" s="37"/>
      <c r="AG36" s="37"/>
    </row>
    <row r="37" spans="1:33" ht="15.75" customHeight="1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6"/>
      <c r="V37" s="1"/>
      <c r="W37" s="31"/>
      <c r="X37" s="31"/>
      <c r="Y37" s="31"/>
      <c r="Z37" s="31"/>
      <c r="AA37" s="2"/>
      <c r="AB37" s="31"/>
      <c r="AC37" s="31"/>
      <c r="AD37" s="31"/>
      <c r="AE37" s="37"/>
      <c r="AF37" s="37"/>
      <c r="AG37" s="37"/>
    </row>
    <row r="38" spans="1:33" ht="15.75" customHeight="1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6"/>
      <c r="V38" s="1"/>
      <c r="W38" s="31"/>
      <c r="X38" s="31"/>
      <c r="Y38" s="31"/>
      <c r="Z38" s="31"/>
      <c r="AA38" s="2"/>
      <c r="AB38" s="31"/>
      <c r="AC38" s="31"/>
      <c r="AD38" s="31"/>
      <c r="AE38" s="37"/>
      <c r="AF38" s="37"/>
      <c r="AG38" s="37"/>
    </row>
    <row r="39" spans="1:33" ht="15.75" customHeight="1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6"/>
      <c r="V39" s="1"/>
      <c r="W39" s="31"/>
      <c r="X39" s="31"/>
      <c r="Y39" s="31"/>
      <c r="Z39" s="31"/>
      <c r="AA39" s="2"/>
      <c r="AB39" s="31"/>
      <c r="AC39" s="31"/>
      <c r="AD39" s="31"/>
      <c r="AE39" s="37"/>
      <c r="AF39" s="37"/>
      <c r="AG39" s="37"/>
    </row>
    <row r="40" spans="1:33" ht="15.75" customHeight="1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6"/>
      <c r="V40" s="1"/>
      <c r="W40" s="31"/>
      <c r="X40" s="31"/>
      <c r="Y40" s="31"/>
      <c r="Z40" s="31"/>
      <c r="AA40" s="2"/>
      <c r="AB40" s="31"/>
      <c r="AC40" s="31"/>
      <c r="AD40" s="31"/>
      <c r="AE40" s="37"/>
      <c r="AF40" s="37"/>
      <c r="AG40" s="37"/>
    </row>
    <row r="41" spans="1:33" ht="15.75" customHeight="1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6"/>
      <c r="V41" s="1"/>
      <c r="W41" s="31"/>
      <c r="X41" s="31"/>
      <c r="Y41" s="31"/>
      <c r="Z41" s="31"/>
      <c r="AA41" s="2"/>
      <c r="AB41" s="31"/>
      <c r="AC41" s="31"/>
      <c r="AD41" s="31"/>
      <c r="AE41" s="37"/>
      <c r="AF41" s="37"/>
      <c r="AG41" s="37"/>
    </row>
    <row r="42" spans="1:33" ht="15.75" customHeight="1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6"/>
      <c r="V42" s="1"/>
      <c r="W42" s="31"/>
      <c r="X42" s="31"/>
      <c r="Y42" s="31"/>
      <c r="Z42" s="31"/>
      <c r="AA42" s="2"/>
      <c r="AB42" s="31"/>
      <c r="AC42" s="31"/>
      <c r="AD42" s="31"/>
      <c r="AE42" s="37"/>
      <c r="AF42" s="37"/>
      <c r="AG42" s="37"/>
    </row>
    <row r="43" spans="1:33" ht="15.75" customHeight="1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6"/>
      <c r="V43" s="1"/>
      <c r="W43" s="31"/>
      <c r="X43" s="31"/>
      <c r="Y43" s="31"/>
      <c r="Z43" s="31"/>
      <c r="AA43" s="2"/>
      <c r="AB43" s="31"/>
      <c r="AC43" s="31"/>
      <c r="AD43" s="31"/>
      <c r="AE43" s="37"/>
      <c r="AF43" s="37"/>
      <c r="AG43" s="37"/>
    </row>
    <row r="44" spans="1:33" ht="15.75" customHeight="1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6"/>
      <c r="V44" s="1"/>
      <c r="W44" s="31"/>
      <c r="X44" s="31"/>
      <c r="Y44" s="31"/>
      <c r="Z44" s="31"/>
      <c r="AA44" s="2"/>
      <c r="AB44" s="31"/>
      <c r="AC44" s="31"/>
      <c r="AD44" s="31"/>
      <c r="AE44" s="37"/>
      <c r="AF44" s="37"/>
      <c r="AG44" s="37"/>
    </row>
    <row r="45" spans="1:33" ht="15.75" customHeight="1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6"/>
      <c r="V45" s="1"/>
      <c r="W45" s="31"/>
      <c r="X45" s="31"/>
      <c r="Y45" s="31"/>
      <c r="Z45" s="31"/>
      <c r="AA45" s="2"/>
      <c r="AB45" s="31"/>
      <c r="AC45" s="31"/>
      <c r="AD45" s="31"/>
      <c r="AE45" s="37"/>
      <c r="AF45" s="37"/>
      <c r="AG45" s="37"/>
    </row>
    <row r="46" spans="1:33" ht="15.75" customHeight="1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6"/>
      <c r="V46" s="1"/>
      <c r="W46" s="31"/>
      <c r="X46" s="31"/>
      <c r="Y46" s="31"/>
      <c r="Z46" s="31"/>
      <c r="AA46" s="2"/>
      <c r="AB46" s="31"/>
      <c r="AC46" s="31"/>
      <c r="AD46" s="31"/>
      <c r="AE46" s="37"/>
      <c r="AF46" s="37"/>
      <c r="AG46" s="37"/>
    </row>
    <row r="47" spans="1:33" ht="15.75" customHeight="1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6"/>
      <c r="V47" s="1"/>
      <c r="W47" s="31"/>
      <c r="X47" s="31"/>
      <c r="Y47" s="31"/>
      <c r="Z47" s="31"/>
      <c r="AA47" s="2"/>
      <c r="AB47" s="31"/>
      <c r="AC47" s="31"/>
      <c r="AD47" s="31"/>
      <c r="AE47" s="37"/>
      <c r="AF47" s="37"/>
      <c r="AG47" s="37"/>
    </row>
    <row r="48" spans="1:33" ht="15.75" customHeight="1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6"/>
      <c r="V48" s="1"/>
      <c r="W48" s="31"/>
      <c r="X48" s="31"/>
      <c r="Y48" s="31"/>
      <c r="Z48" s="31"/>
      <c r="AA48" s="2"/>
      <c r="AB48" s="31"/>
      <c r="AC48" s="31"/>
      <c r="AD48" s="31"/>
      <c r="AE48" s="37"/>
      <c r="AF48" s="37"/>
      <c r="AG48" s="37"/>
    </row>
    <row r="49" spans="1:33" ht="15.75" customHeight="1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6"/>
      <c r="V49" s="1"/>
      <c r="W49" s="31"/>
      <c r="X49" s="31"/>
      <c r="Y49" s="31"/>
      <c r="Z49" s="31"/>
      <c r="AA49" s="2"/>
      <c r="AB49" s="31"/>
      <c r="AC49" s="31"/>
      <c r="AD49" s="31"/>
      <c r="AE49" s="37"/>
      <c r="AF49" s="37"/>
      <c r="AG49" s="37"/>
    </row>
    <row r="50" spans="1:33" ht="15.75" customHeight="1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6"/>
      <c r="V50" s="1"/>
      <c r="W50" s="31"/>
      <c r="X50" s="31"/>
      <c r="Y50" s="31"/>
      <c r="Z50" s="31"/>
      <c r="AA50" s="2"/>
      <c r="AB50" s="31"/>
      <c r="AC50" s="31"/>
      <c r="AD50" s="31"/>
      <c r="AE50" s="37"/>
      <c r="AF50" s="37"/>
      <c r="AG50" s="37"/>
    </row>
    <row r="51" spans="1:33" ht="15.75" customHeight="1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6"/>
      <c r="V51" s="1"/>
      <c r="W51" s="31"/>
      <c r="X51" s="31"/>
      <c r="Y51" s="31"/>
      <c r="Z51" s="31"/>
      <c r="AA51" s="2"/>
      <c r="AB51" s="31"/>
      <c r="AC51" s="31"/>
      <c r="AD51" s="31"/>
      <c r="AE51" s="37"/>
      <c r="AF51" s="37"/>
      <c r="AG51" s="37"/>
    </row>
    <row r="52" spans="1:33" ht="15.75" customHeight="1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6"/>
      <c r="V52" s="1"/>
      <c r="W52" s="31"/>
      <c r="X52" s="31"/>
      <c r="Y52" s="31"/>
      <c r="Z52" s="31"/>
      <c r="AA52" s="2"/>
      <c r="AB52" s="31"/>
      <c r="AC52" s="31"/>
      <c r="AD52" s="31"/>
      <c r="AE52" s="37"/>
      <c r="AF52" s="37"/>
      <c r="AG52" s="37"/>
    </row>
    <row r="53" spans="1:33" ht="15.75" customHeight="1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6"/>
      <c r="V53" s="1"/>
      <c r="W53" s="31"/>
      <c r="X53" s="31"/>
      <c r="Y53" s="31"/>
      <c r="Z53" s="31"/>
      <c r="AA53" s="2"/>
      <c r="AB53" s="31"/>
      <c r="AC53" s="31"/>
      <c r="AD53" s="31"/>
      <c r="AE53" s="37"/>
      <c r="AF53" s="37"/>
      <c r="AG53" s="37"/>
    </row>
    <row r="54" spans="1:33" ht="15.75" customHeight="1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6"/>
      <c r="V54" s="1"/>
      <c r="W54" s="31"/>
      <c r="X54" s="31"/>
      <c r="Y54" s="31"/>
      <c r="Z54" s="31"/>
      <c r="AA54" s="2"/>
      <c r="AB54" s="31"/>
      <c r="AC54" s="31"/>
      <c r="AD54" s="31"/>
      <c r="AE54" s="37"/>
      <c r="AF54" s="37"/>
      <c r="AG54" s="37"/>
    </row>
    <row r="55" spans="1:33" ht="15.75" customHeight="1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6"/>
      <c r="V55" s="1"/>
      <c r="W55" s="31"/>
      <c r="X55" s="31"/>
      <c r="Y55" s="31"/>
      <c r="Z55" s="31"/>
      <c r="AA55" s="2"/>
      <c r="AB55" s="31"/>
      <c r="AC55" s="31"/>
      <c r="AD55" s="31"/>
      <c r="AE55" s="37"/>
      <c r="AF55" s="37"/>
      <c r="AG55" s="37"/>
    </row>
    <row r="56" spans="1:33" ht="15.75" customHeight="1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6"/>
      <c r="V56" s="1"/>
      <c r="W56" s="31"/>
      <c r="X56" s="31"/>
      <c r="Y56" s="31"/>
      <c r="Z56" s="31"/>
      <c r="AA56" s="2"/>
      <c r="AB56" s="31"/>
      <c r="AC56" s="31"/>
      <c r="AD56" s="31"/>
      <c r="AE56" s="37"/>
      <c r="AF56" s="37"/>
      <c r="AG56" s="37"/>
    </row>
    <row r="57" spans="1:33" ht="15.75" customHeight="1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6"/>
      <c r="V57" s="1"/>
      <c r="W57" s="31"/>
      <c r="X57" s="31"/>
      <c r="Y57" s="31"/>
      <c r="Z57" s="31"/>
      <c r="AA57" s="2"/>
      <c r="AB57" s="31"/>
      <c r="AC57" s="31"/>
      <c r="AD57" s="31"/>
      <c r="AE57" s="37"/>
      <c r="AF57" s="37"/>
      <c r="AG57" s="37"/>
    </row>
    <row r="58" spans="1:33" ht="15.75" customHeight="1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6"/>
      <c r="V58" s="1"/>
      <c r="W58" s="31"/>
      <c r="X58" s="31"/>
      <c r="Y58" s="31"/>
      <c r="Z58" s="31"/>
      <c r="AA58" s="2"/>
      <c r="AB58" s="31"/>
      <c r="AC58" s="31"/>
      <c r="AD58" s="31"/>
      <c r="AE58" s="37"/>
      <c r="AF58" s="37"/>
      <c r="AG58" s="37"/>
    </row>
    <row r="59" spans="1:33" ht="15.75" customHeight="1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6"/>
      <c r="V59" s="1"/>
      <c r="W59" s="31"/>
      <c r="X59" s="31"/>
      <c r="Y59" s="31"/>
      <c r="Z59" s="31"/>
      <c r="AA59" s="2"/>
      <c r="AB59" s="31"/>
      <c r="AC59" s="31"/>
      <c r="AD59" s="31"/>
      <c r="AE59" s="37"/>
      <c r="AF59" s="37"/>
      <c r="AG59" s="37"/>
    </row>
    <row r="60" spans="1:33" ht="15.75" customHeight="1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6"/>
      <c r="V60" s="1"/>
      <c r="W60" s="31"/>
      <c r="X60" s="31"/>
      <c r="Y60" s="31"/>
      <c r="Z60" s="31"/>
      <c r="AA60" s="2"/>
      <c r="AB60" s="31"/>
      <c r="AC60" s="31"/>
      <c r="AD60" s="31"/>
      <c r="AE60" s="37"/>
      <c r="AF60" s="37"/>
      <c r="AG60" s="37"/>
    </row>
    <row r="61" spans="1:33" ht="15.75" customHeight="1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6"/>
      <c r="V61" s="1"/>
      <c r="W61" s="31"/>
      <c r="X61" s="31"/>
      <c r="Y61" s="31"/>
      <c r="Z61" s="31"/>
      <c r="AA61" s="2"/>
      <c r="AB61" s="31"/>
      <c r="AC61" s="31"/>
      <c r="AD61" s="31"/>
      <c r="AE61" s="37"/>
      <c r="AF61" s="37"/>
      <c r="AG61" s="37"/>
    </row>
    <row r="62" spans="1:33" ht="15.75" customHeight="1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6"/>
      <c r="V62" s="1"/>
      <c r="W62" s="31"/>
      <c r="X62" s="31"/>
      <c r="Y62" s="31"/>
      <c r="Z62" s="31"/>
      <c r="AA62" s="2"/>
      <c r="AB62" s="31"/>
      <c r="AC62" s="31"/>
      <c r="AD62" s="31"/>
      <c r="AE62" s="37"/>
      <c r="AF62" s="37"/>
      <c r="AG62" s="37"/>
    </row>
    <row r="63" spans="1:33" ht="15.75" customHeight="1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6"/>
      <c r="V63" s="1"/>
      <c r="W63" s="31"/>
      <c r="X63" s="31"/>
      <c r="Y63" s="31"/>
      <c r="Z63" s="31"/>
      <c r="AA63" s="2"/>
      <c r="AB63" s="31"/>
      <c r="AC63" s="31"/>
      <c r="AD63" s="31"/>
      <c r="AE63" s="37"/>
      <c r="AF63" s="37"/>
      <c r="AG63" s="37"/>
    </row>
    <row r="64" spans="1:33" ht="15.75" customHeight="1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6"/>
      <c r="V64" s="1"/>
      <c r="W64" s="31"/>
      <c r="X64" s="31"/>
      <c r="Y64" s="31"/>
      <c r="Z64" s="31"/>
      <c r="AA64" s="2"/>
      <c r="AB64" s="31"/>
      <c r="AC64" s="31"/>
      <c r="AD64" s="31"/>
      <c r="AE64" s="37"/>
      <c r="AF64" s="37"/>
      <c r="AG64" s="37"/>
    </row>
    <row r="65" spans="1:33" ht="15.75" customHeight="1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6"/>
      <c r="V65" s="1"/>
      <c r="W65" s="31"/>
      <c r="X65" s="31"/>
      <c r="Y65" s="31"/>
      <c r="Z65" s="31"/>
      <c r="AA65" s="2"/>
      <c r="AB65" s="31"/>
      <c r="AC65" s="31"/>
      <c r="AD65" s="31"/>
      <c r="AE65" s="37"/>
      <c r="AF65" s="37"/>
      <c r="AG65" s="37"/>
    </row>
    <row r="66" spans="1:33" ht="15.75" customHeight="1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6"/>
      <c r="V66" s="1"/>
      <c r="W66" s="31"/>
      <c r="X66" s="31"/>
      <c r="Y66" s="31"/>
      <c r="Z66" s="31"/>
      <c r="AA66" s="2"/>
      <c r="AB66" s="31"/>
      <c r="AC66" s="31"/>
      <c r="AD66" s="31"/>
      <c r="AE66" s="37"/>
      <c r="AF66" s="37"/>
      <c r="AG66" s="37"/>
    </row>
    <row r="67" spans="1:33" ht="15.75" customHeight="1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6"/>
      <c r="V67" s="1"/>
      <c r="W67" s="31"/>
      <c r="X67" s="31"/>
      <c r="Y67" s="31"/>
      <c r="Z67" s="31"/>
      <c r="AA67" s="2"/>
      <c r="AB67" s="31"/>
      <c r="AC67" s="31"/>
      <c r="AD67" s="31"/>
      <c r="AE67" s="37"/>
      <c r="AF67" s="37"/>
      <c r="AG67" s="37"/>
    </row>
    <row r="68" spans="1:33" ht="15.75" customHeight="1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6"/>
      <c r="V68" s="1"/>
      <c r="W68" s="31"/>
      <c r="X68" s="31"/>
      <c r="Y68" s="31"/>
      <c r="Z68" s="31"/>
      <c r="AA68" s="2"/>
      <c r="AB68" s="31"/>
      <c r="AC68" s="31"/>
      <c r="AD68" s="31"/>
      <c r="AE68" s="37"/>
      <c r="AF68" s="37"/>
      <c r="AG68" s="37"/>
    </row>
    <row r="69" spans="1:33" ht="15.75" customHeight="1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6"/>
      <c r="V69" s="1"/>
      <c r="W69" s="31"/>
      <c r="X69" s="31"/>
      <c r="Y69" s="31"/>
      <c r="Z69" s="31"/>
      <c r="AA69" s="2"/>
      <c r="AB69" s="31"/>
      <c r="AC69" s="31"/>
      <c r="AD69" s="31"/>
      <c r="AE69" s="37"/>
      <c r="AF69" s="37"/>
      <c r="AG69" s="37"/>
    </row>
    <row r="70" spans="1:33" ht="15.75" customHeight="1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6"/>
      <c r="V70" s="1"/>
      <c r="W70" s="31"/>
      <c r="X70" s="31"/>
      <c r="Y70" s="31"/>
      <c r="Z70" s="31"/>
      <c r="AA70" s="2"/>
      <c r="AB70" s="31"/>
      <c r="AC70" s="31"/>
      <c r="AD70" s="31"/>
      <c r="AE70" s="37"/>
      <c r="AF70" s="37"/>
      <c r="AG70" s="37"/>
    </row>
    <row r="71" spans="1:33" ht="15.75" customHeight="1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6"/>
      <c r="V71" s="1"/>
      <c r="W71" s="31"/>
      <c r="X71" s="31"/>
      <c r="Y71" s="31"/>
      <c r="Z71" s="31"/>
      <c r="AA71" s="2"/>
      <c r="AB71" s="31"/>
      <c r="AC71" s="31"/>
      <c r="AD71" s="31"/>
      <c r="AE71" s="37"/>
      <c r="AF71" s="37"/>
      <c r="AG71" s="37"/>
    </row>
    <row r="72" spans="1:33" ht="15.75" customHeight="1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6"/>
      <c r="V72" s="1"/>
      <c r="W72" s="31"/>
      <c r="X72" s="31"/>
      <c r="Y72" s="31"/>
      <c r="Z72" s="31"/>
      <c r="AA72" s="2"/>
      <c r="AB72" s="31"/>
      <c r="AC72" s="31"/>
      <c r="AD72" s="31"/>
      <c r="AE72" s="37"/>
      <c r="AF72" s="37"/>
      <c r="AG72" s="37"/>
    </row>
    <row r="73" spans="1:33" ht="15.75" customHeight="1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6"/>
      <c r="V73" s="1"/>
      <c r="W73" s="31"/>
      <c r="X73" s="31"/>
      <c r="Y73" s="31"/>
      <c r="Z73" s="31"/>
      <c r="AA73" s="2"/>
      <c r="AB73" s="31"/>
      <c r="AC73" s="31"/>
      <c r="AD73" s="31"/>
      <c r="AE73" s="37"/>
      <c r="AF73" s="37"/>
      <c r="AG73" s="37"/>
    </row>
    <row r="74" spans="1:33" ht="15.75" customHeight="1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6"/>
      <c r="V74" s="1"/>
      <c r="W74" s="31"/>
      <c r="X74" s="31"/>
      <c r="Y74" s="31"/>
      <c r="Z74" s="31"/>
      <c r="AA74" s="2"/>
      <c r="AB74" s="31"/>
      <c r="AC74" s="31"/>
      <c r="AD74" s="31"/>
      <c r="AE74" s="37"/>
      <c r="AF74" s="37"/>
      <c r="AG74" s="37"/>
    </row>
    <row r="75" spans="1:33" ht="15.75" customHeight="1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6"/>
      <c r="V75" s="1"/>
      <c r="W75" s="31"/>
      <c r="X75" s="31"/>
      <c r="Y75" s="31"/>
      <c r="Z75" s="31"/>
      <c r="AA75" s="2"/>
      <c r="AB75" s="31"/>
      <c r="AC75" s="31"/>
      <c r="AD75" s="31"/>
      <c r="AE75" s="37"/>
      <c r="AF75" s="37"/>
      <c r="AG75" s="37"/>
    </row>
    <row r="76" spans="1:33" ht="15.75" customHeight="1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6"/>
      <c r="V76" s="1"/>
      <c r="W76" s="31"/>
      <c r="X76" s="31"/>
      <c r="Y76" s="31"/>
      <c r="Z76" s="31"/>
      <c r="AA76" s="2"/>
      <c r="AB76" s="31"/>
      <c r="AC76" s="31"/>
      <c r="AD76" s="31"/>
      <c r="AE76" s="37"/>
      <c r="AF76" s="37"/>
      <c r="AG76" s="37"/>
    </row>
    <row r="77" spans="1:33" ht="15.75" customHeight="1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6"/>
      <c r="V77" s="1"/>
      <c r="W77" s="31"/>
      <c r="X77" s="31"/>
      <c r="Y77" s="31"/>
      <c r="Z77" s="31"/>
      <c r="AA77" s="2"/>
      <c r="AB77" s="31"/>
      <c r="AC77" s="31"/>
      <c r="AD77" s="31"/>
      <c r="AE77" s="37"/>
      <c r="AF77" s="37"/>
      <c r="AG77" s="37"/>
    </row>
    <row r="78" spans="1:33" ht="15.75" customHeight="1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6"/>
      <c r="V78" s="1"/>
      <c r="W78" s="31"/>
      <c r="X78" s="31"/>
      <c r="Y78" s="31"/>
      <c r="Z78" s="31"/>
      <c r="AA78" s="2"/>
      <c r="AB78" s="31"/>
      <c r="AC78" s="31"/>
      <c r="AD78" s="31"/>
      <c r="AE78" s="37"/>
      <c r="AF78" s="37"/>
      <c r="AG78" s="37"/>
    </row>
    <row r="79" spans="1:33" ht="15.75" customHeight="1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6"/>
      <c r="V79" s="1"/>
      <c r="W79" s="31"/>
      <c r="X79" s="31"/>
      <c r="Y79" s="31"/>
      <c r="Z79" s="31"/>
      <c r="AA79" s="2"/>
      <c r="AB79" s="31"/>
      <c r="AC79" s="31"/>
      <c r="AD79" s="31"/>
      <c r="AE79" s="37"/>
      <c r="AF79" s="37"/>
      <c r="AG79" s="37"/>
    </row>
    <row r="80" spans="1:33" ht="15.75" customHeight="1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6"/>
      <c r="V80" s="1"/>
      <c r="W80" s="31"/>
      <c r="X80" s="31"/>
      <c r="Y80" s="31"/>
      <c r="Z80" s="31"/>
      <c r="AA80" s="2"/>
      <c r="AB80" s="31"/>
      <c r="AC80" s="31"/>
      <c r="AD80" s="31"/>
      <c r="AE80" s="37"/>
      <c r="AF80" s="37"/>
      <c r="AG80" s="37"/>
    </row>
    <row r="81" spans="1:33" ht="15.75" customHeight="1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6"/>
      <c r="V81" s="1"/>
      <c r="W81" s="31"/>
      <c r="X81" s="31"/>
      <c r="Y81" s="31"/>
      <c r="Z81" s="31"/>
      <c r="AA81" s="2"/>
      <c r="AB81" s="31"/>
      <c r="AC81" s="31"/>
      <c r="AD81" s="31"/>
      <c r="AE81" s="37"/>
      <c r="AF81" s="37"/>
      <c r="AG81" s="37"/>
    </row>
    <row r="82" spans="1:33" ht="15.75" customHeight="1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6"/>
      <c r="V82" s="1"/>
      <c r="W82" s="31"/>
      <c r="X82" s="31"/>
      <c r="Y82" s="31"/>
      <c r="Z82" s="31"/>
      <c r="AA82" s="2"/>
      <c r="AB82" s="31"/>
      <c r="AC82" s="31"/>
      <c r="AD82" s="31"/>
      <c r="AE82" s="37"/>
      <c r="AF82" s="37"/>
      <c r="AG82" s="37"/>
    </row>
    <row r="83" spans="1:33" ht="15.75" customHeight="1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6"/>
      <c r="V83" s="1"/>
      <c r="W83" s="31"/>
      <c r="X83" s="31"/>
      <c r="Y83" s="31"/>
      <c r="Z83" s="31"/>
      <c r="AA83" s="2"/>
      <c r="AB83" s="31"/>
      <c r="AC83" s="31"/>
      <c r="AD83" s="31"/>
      <c r="AE83" s="37"/>
      <c r="AF83" s="37"/>
      <c r="AG83" s="37"/>
    </row>
    <row r="84" spans="1:33" ht="15.75" customHeight="1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6"/>
      <c r="V84" s="1"/>
      <c r="W84" s="31"/>
      <c r="X84" s="31"/>
      <c r="Y84" s="31"/>
      <c r="Z84" s="31"/>
      <c r="AA84" s="2"/>
      <c r="AB84" s="31"/>
      <c r="AC84" s="31"/>
      <c r="AD84" s="31"/>
      <c r="AE84" s="37"/>
      <c r="AF84" s="37"/>
      <c r="AG84" s="37"/>
    </row>
    <row r="85" spans="1:33" ht="15.75" customHeight="1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6"/>
      <c r="V85" s="1"/>
      <c r="W85" s="31"/>
      <c r="X85" s="31"/>
      <c r="Y85" s="31"/>
      <c r="Z85" s="31"/>
      <c r="AA85" s="2"/>
      <c r="AB85" s="31"/>
      <c r="AC85" s="31"/>
      <c r="AD85" s="31"/>
      <c r="AE85" s="37"/>
      <c r="AF85" s="37"/>
      <c r="AG85" s="37"/>
    </row>
    <row r="86" spans="1:33" ht="15.75" customHeight="1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6"/>
      <c r="V86" s="1"/>
      <c r="W86" s="31"/>
      <c r="X86" s="31"/>
      <c r="Y86" s="31"/>
      <c r="Z86" s="31"/>
      <c r="AA86" s="2"/>
      <c r="AB86" s="31"/>
      <c r="AC86" s="31"/>
      <c r="AD86" s="31"/>
      <c r="AE86" s="37"/>
      <c r="AF86" s="37"/>
      <c r="AG86" s="37"/>
    </row>
    <row r="87" spans="1:33" ht="15.75" customHeight="1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6"/>
      <c r="V87" s="1"/>
      <c r="W87" s="31"/>
      <c r="X87" s="31"/>
      <c r="Y87" s="31"/>
      <c r="Z87" s="31"/>
      <c r="AA87" s="2"/>
      <c r="AB87" s="31"/>
      <c r="AC87" s="31"/>
      <c r="AD87" s="31"/>
      <c r="AE87" s="37"/>
      <c r="AF87" s="37"/>
      <c r="AG87" s="37"/>
    </row>
    <row r="88" spans="1:33" ht="15.75" customHeight="1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6"/>
      <c r="V88" s="1"/>
      <c r="W88" s="31"/>
      <c r="X88" s="31"/>
      <c r="Y88" s="31"/>
      <c r="Z88" s="31"/>
      <c r="AA88" s="2"/>
      <c r="AB88" s="31"/>
      <c r="AC88" s="31"/>
      <c r="AD88" s="31"/>
      <c r="AE88" s="37"/>
      <c r="AF88" s="37"/>
      <c r="AG88" s="37"/>
    </row>
    <row r="89" spans="1:33" ht="15.75" customHeight="1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6"/>
      <c r="V89" s="1"/>
      <c r="W89" s="31"/>
      <c r="X89" s="31"/>
      <c r="Y89" s="31"/>
      <c r="Z89" s="31"/>
      <c r="AA89" s="2"/>
      <c r="AB89" s="31"/>
      <c r="AC89" s="31"/>
      <c r="AD89" s="31"/>
      <c r="AE89" s="37"/>
      <c r="AF89" s="37"/>
      <c r="AG89" s="37"/>
    </row>
    <row r="90" spans="1:33" ht="15.75" customHeight="1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6"/>
      <c r="V90" s="1"/>
      <c r="W90" s="31"/>
      <c r="X90" s="31"/>
      <c r="Y90" s="31"/>
      <c r="Z90" s="31"/>
      <c r="AA90" s="2"/>
      <c r="AB90" s="31"/>
      <c r="AC90" s="31"/>
      <c r="AD90" s="31"/>
      <c r="AE90" s="37"/>
      <c r="AF90" s="37"/>
      <c r="AG90" s="37"/>
    </row>
    <row r="91" spans="1:33" ht="15.75" customHeight="1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6"/>
      <c r="V91" s="1"/>
      <c r="W91" s="31"/>
      <c r="X91" s="31"/>
      <c r="Y91" s="31"/>
      <c r="Z91" s="31"/>
      <c r="AA91" s="2"/>
      <c r="AB91" s="31"/>
      <c r="AC91" s="31"/>
      <c r="AD91" s="31"/>
      <c r="AE91" s="37"/>
      <c r="AF91" s="37"/>
      <c r="AG91" s="37"/>
    </row>
    <row r="92" spans="1:33" ht="15.75" customHeight="1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6"/>
      <c r="V92" s="1"/>
      <c r="W92" s="31"/>
      <c r="X92" s="31"/>
      <c r="Y92" s="31"/>
      <c r="Z92" s="31"/>
      <c r="AA92" s="2"/>
      <c r="AB92" s="31"/>
      <c r="AC92" s="31"/>
      <c r="AD92" s="31"/>
      <c r="AE92" s="37"/>
      <c r="AF92" s="37"/>
      <c r="AG92" s="37"/>
    </row>
    <row r="93" spans="1:33" ht="15.75" customHeight="1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6"/>
      <c r="V93" s="1"/>
      <c r="W93" s="31"/>
      <c r="X93" s="31"/>
      <c r="Y93" s="31"/>
      <c r="Z93" s="31"/>
      <c r="AA93" s="2"/>
      <c r="AB93" s="31"/>
      <c r="AC93" s="31"/>
      <c r="AD93" s="31"/>
      <c r="AE93" s="37"/>
      <c r="AF93" s="37"/>
      <c r="AG93" s="37"/>
    </row>
    <row r="94" spans="1:33" ht="15.75" customHeight="1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6"/>
      <c r="V94" s="1"/>
      <c r="W94" s="31"/>
      <c r="X94" s="31"/>
      <c r="Y94" s="31"/>
      <c r="Z94" s="31"/>
      <c r="AA94" s="2"/>
      <c r="AB94" s="31"/>
      <c r="AC94" s="31"/>
      <c r="AD94" s="31"/>
      <c r="AE94" s="37"/>
      <c r="AF94" s="37"/>
      <c r="AG94" s="37"/>
    </row>
    <row r="95" spans="1:33" ht="15.75" customHeight="1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6"/>
      <c r="V95" s="1"/>
      <c r="W95" s="31"/>
      <c r="X95" s="31"/>
      <c r="Y95" s="31"/>
      <c r="Z95" s="31"/>
      <c r="AA95" s="2"/>
      <c r="AB95" s="31"/>
      <c r="AC95" s="31"/>
      <c r="AD95" s="31"/>
      <c r="AE95" s="37"/>
      <c r="AF95" s="37"/>
      <c r="AG95" s="37"/>
    </row>
    <row r="96" spans="1:33" ht="15.75" customHeight="1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6"/>
      <c r="V96" s="1"/>
      <c r="W96" s="31"/>
      <c r="X96" s="31"/>
      <c r="Y96" s="31"/>
      <c r="Z96" s="31"/>
      <c r="AA96" s="2"/>
      <c r="AB96" s="31"/>
      <c r="AC96" s="31"/>
      <c r="AD96" s="31"/>
      <c r="AE96" s="37"/>
      <c r="AF96" s="37"/>
      <c r="AG96" s="37"/>
    </row>
    <row r="97" spans="1:33" ht="15.75" customHeight="1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8"/>
      <c r="R97" s="38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8"/>
      <c r="R98" s="38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8"/>
      <c r="R99" s="38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8"/>
      <c r="R100" s="38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8"/>
      <c r="R101" s="38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8"/>
      <c r="R102" s="38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8"/>
      <c r="R103" s="38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8"/>
      <c r="R104" s="38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8"/>
      <c r="R105" s="38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8"/>
      <c r="R106" s="38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8"/>
      <c r="R107" s="38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8"/>
      <c r="R108" s="38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8"/>
      <c r="R109" s="38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8"/>
      <c r="R110" s="38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8"/>
      <c r="R111" s="38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8"/>
      <c r="R112" s="38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8"/>
      <c r="R113" s="38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8"/>
      <c r="R114" s="38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>
      <c r="A115" s="31"/>
      <c r="B115" s="31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>
      <c r="A116" s="31"/>
      <c r="B116" s="31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>
      <c r="A117" s="31"/>
      <c r="B117" s="31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>
      <c r="A118" s="31"/>
      <c r="B118" s="31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>
      <c r="A119" s="31"/>
      <c r="B119" s="31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>
      <c r="A120" s="31"/>
      <c r="B120" s="31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>
      <c r="A121" s="31"/>
      <c r="B121" s="31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>
      <c r="A122" s="31"/>
      <c r="B122" s="31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>
      <c r="A123" s="31"/>
      <c r="B123" s="31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>
      <c r="A124" s="31"/>
      <c r="B124" s="31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>
      <c r="A125" s="31"/>
      <c r="B125" s="31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>
      <c r="A126" s="31"/>
      <c r="B126" s="31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>
      <c r="A127" s="31"/>
      <c r="B127" s="31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>
      <c r="A128" s="31"/>
      <c r="B128" s="31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>
      <c r="A129" s="31"/>
      <c r="B129" s="31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>
      <c r="A130" s="31"/>
      <c r="B130" s="31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>
      <c r="A131" s="31"/>
      <c r="B131" s="31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>
      <c r="A132" s="31"/>
      <c r="B132" s="31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>
      <c r="A133" s="31"/>
      <c r="B133" s="31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>
      <c r="A134" s="31"/>
      <c r="B134" s="31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>
      <c r="A135" s="31"/>
      <c r="B135" s="31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>
      <c r="A136" s="31"/>
      <c r="B136" s="31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>
      <c r="A137" s="31"/>
      <c r="B137" s="31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>
      <c r="A138" s="31"/>
      <c r="B138" s="31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>
      <c r="A139" s="31"/>
      <c r="B139" s="31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>
      <c r="A140" s="31"/>
      <c r="B140" s="31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>
      <c r="A141" s="31"/>
      <c r="B141" s="31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2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>
      <c r="A142" s="31"/>
      <c r="B142" s="31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2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>
      <c r="A143" s="31"/>
      <c r="B143" s="31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2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>
      <c r="A144" s="31"/>
      <c r="B144" s="31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2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>
      <c r="A145" s="31"/>
      <c r="B145" s="31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2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>
      <c r="A146" s="31"/>
      <c r="B146" s="31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2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>
      <c r="A147" s="31"/>
      <c r="B147" s="31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2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>
      <c r="A148" s="31"/>
      <c r="B148" s="31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2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</row>
    <row r="149" spans="1:33" ht="15.75" customHeight="1">
      <c r="A149" s="14"/>
      <c r="B149" s="14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>
      <c r="A150" s="14"/>
      <c r="B150" s="14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>
      <c r="A151" s="14"/>
      <c r="B151" s="14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>
      <c r="A152" s="14"/>
      <c r="B152" s="14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>
      <c r="A153" s="14"/>
      <c r="B153" s="14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>
      <c r="A154" s="14"/>
      <c r="B154" s="14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>
      <c r="A155" s="14"/>
      <c r="B155" s="14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>
      <c r="A156" s="14"/>
      <c r="B156" s="14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>
      <c r="A157" s="14"/>
      <c r="B157" s="14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>
      <c r="A158" s="14"/>
      <c r="B158" s="14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>
      <c r="A159" s="14"/>
      <c r="B159" s="14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>
      <c r="A160" s="14"/>
      <c r="B160" s="14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>
      <c r="A161" s="14"/>
      <c r="B161" s="14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>
      <c r="A162" s="14"/>
      <c r="B162" s="14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>
      <c r="A163" s="14"/>
      <c r="B163" s="14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>
      <c r="A164" s="14"/>
      <c r="B164" s="14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>
      <c r="A165" s="14"/>
      <c r="B165" s="14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>
      <c r="A166" s="14"/>
      <c r="B166" s="14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>
      <c r="A167" s="14"/>
      <c r="B167" s="14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>
      <c r="A168" s="14"/>
      <c r="B168" s="14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>
      <c r="A169" s="14"/>
      <c r="B169" s="14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>
      <c r="A170" s="14"/>
      <c r="B170" s="14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>
      <c r="A171" s="14"/>
      <c r="B171" s="14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>
      <c r="A172" s="14"/>
      <c r="B172" s="14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>
      <c r="A173" s="14"/>
      <c r="B173" s="14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>
      <c r="A174" s="14"/>
      <c r="B174" s="14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>
      <c r="A175" s="14"/>
      <c r="B175" s="14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>
      <c r="A176" s="14"/>
      <c r="B176" s="14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>
      <c r="A177" s="14"/>
      <c r="B177" s="14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>
      <c r="A178" s="14"/>
      <c r="B178" s="14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>
      <c r="A179" s="14"/>
      <c r="B179" s="14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>
      <c r="A180" s="14"/>
      <c r="B180" s="14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>
      <c r="A181" s="14"/>
      <c r="B181" s="14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>
      <c r="A182" s="14"/>
      <c r="B182" s="14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>
      <c r="A183" s="14"/>
      <c r="B183" s="14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>
      <c r="A184" s="14"/>
      <c r="B184" s="14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>
      <c r="A185" s="14"/>
      <c r="B185" s="14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>
      <c r="A186" s="14"/>
      <c r="B186" s="14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>
      <c r="A187" s="14"/>
      <c r="B187" s="14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>
      <c r="A188" s="14"/>
      <c r="B188" s="14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>
      <c r="A189" s="14"/>
      <c r="B189" s="14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>
      <c r="A190" s="14"/>
      <c r="B190" s="14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>
      <c r="A191" s="14"/>
      <c r="B191" s="14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>
      <c r="A192" s="14"/>
      <c r="B192" s="14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>
      <c r="A193" s="14"/>
      <c r="B193" s="14"/>
      <c r="C193" s="39"/>
      <c r="D193" s="39"/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>
      <c r="A194" s="14"/>
      <c r="B194" s="14"/>
      <c r="C194" s="39"/>
      <c r="D194" s="39"/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>
      <c r="A195" s="14"/>
      <c r="B195" s="14"/>
      <c r="C195" s="39"/>
      <c r="D195" s="39"/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>
      <c r="A196" s="14"/>
      <c r="B196" s="14"/>
      <c r="C196" s="39"/>
      <c r="D196" s="39"/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>
      <c r="A197" s="14"/>
      <c r="B197" s="14"/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>
      <c r="A198" s="14"/>
      <c r="B198" s="14"/>
      <c r="C198" s="39"/>
      <c r="D198" s="39"/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>
      <c r="A199" s="14"/>
      <c r="B199" s="14"/>
      <c r="C199" s="39"/>
      <c r="D199" s="39"/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>
      <c r="A200" s="14"/>
      <c r="B200" s="14"/>
      <c r="C200" s="39"/>
      <c r="D200" s="39"/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>
      <c r="A201" s="14"/>
      <c r="B201" s="14"/>
      <c r="C201" s="39"/>
      <c r="D201" s="39"/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>
      <c r="A202" s="14"/>
      <c r="B202" s="14"/>
      <c r="C202" s="39"/>
      <c r="D202" s="39"/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>
      <c r="A203" s="14"/>
      <c r="B203" s="14"/>
      <c r="C203" s="39"/>
      <c r="D203" s="39"/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>
      <c r="A204" s="14"/>
      <c r="B204" s="14"/>
      <c r="C204" s="39"/>
      <c r="D204" s="39"/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>
      <c r="A205" s="14"/>
      <c r="B205" s="14"/>
      <c r="C205" s="39"/>
      <c r="D205" s="39"/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>
      <c r="A206" s="14"/>
      <c r="B206" s="14"/>
      <c r="C206" s="39"/>
      <c r="D206" s="39"/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>
      <c r="A207" s="14"/>
      <c r="B207" s="14"/>
      <c r="C207" s="39"/>
      <c r="D207" s="39"/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>
      <c r="A208" s="14"/>
      <c r="B208" s="14"/>
      <c r="C208" s="39"/>
      <c r="D208" s="39"/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>
      <c r="A209" s="14"/>
      <c r="B209" s="14"/>
      <c r="C209" s="39"/>
      <c r="D209" s="39"/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>
      <c r="A210" s="14"/>
      <c r="B210" s="14"/>
      <c r="C210" s="39"/>
      <c r="D210" s="39"/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>
      <c r="A211" s="14"/>
      <c r="B211" s="14"/>
      <c r="C211" s="39"/>
      <c r="D211" s="39"/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>
      <c r="A212" s="14"/>
      <c r="B212" s="14"/>
      <c r="C212" s="39"/>
      <c r="D212" s="39"/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>
      <c r="A213" s="14"/>
      <c r="B213" s="14"/>
      <c r="C213" s="39"/>
      <c r="D213" s="39"/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>
      <c r="A214" s="14"/>
      <c r="B214" s="14"/>
      <c r="C214" s="39"/>
      <c r="D214" s="39"/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>
      <c r="A215" s="14"/>
      <c r="B215" s="14"/>
      <c r="C215" s="39"/>
      <c r="D215" s="39"/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>
      <c r="A216" s="14"/>
      <c r="B216" s="14"/>
      <c r="C216" s="39"/>
      <c r="D216" s="39"/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>
      <c r="A217" s="14"/>
      <c r="B217" s="14"/>
      <c r="C217" s="39"/>
      <c r="D217" s="39"/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>
      <c r="A218" s="14"/>
      <c r="B218" s="14"/>
      <c r="C218" s="39"/>
      <c r="D218" s="39"/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>
      <c r="A219" s="14"/>
      <c r="B219" s="14"/>
      <c r="C219" s="39"/>
      <c r="D219" s="39"/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>
      <c r="A220" s="14"/>
      <c r="B220" s="14"/>
      <c r="C220" s="39"/>
      <c r="D220" s="39"/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>
      <c r="R221" s="30"/>
      <c r="S221" s="40"/>
    </row>
    <row r="222" spans="1:33" ht="15.75" customHeight="1">
      <c r="R222" s="30"/>
      <c r="S222" s="40"/>
    </row>
    <row r="223" spans="1:33" ht="15.75" customHeight="1">
      <c r="R223" s="30"/>
      <c r="S223" s="40"/>
    </row>
    <row r="224" spans="1:33" ht="15.75" customHeight="1">
      <c r="R224" s="30"/>
      <c r="S224" s="40"/>
    </row>
    <row r="225" spans="18:18" ht="15.75" customHeight="1">
      <c r="R225" s="30"/>
    </row>
    <row r="226" spans="18:18" ht="15.75" customHeight="1">
      <c r="R226" s="30"/>
    </row>
    <row r="227" spans="18:18" ht="15.75" customHeight="1">
      <c r="R227" s="30"/>
    </row>
    <row r="228" spans="18:18" ht="15.75" customHeight="1">
      <c r="R228" s="30"/>
    </row>
    <row r="229" spans="18:18" ht="15.75" customHeight="1">
      <c r="R229" s="30"/>
    </row>
    <row r="230" spans="18:18" ht="15.75" customHeight="1">
      <c r="R230" s="30"/>
    </row>
    <row r="231" spans="18:18" ht="15.75" customHeight="1">
      <c r="R231" s="30"/>
    </row>
    <row r="232" spans="18:18" ht="15.75" customHeight="1">
      <c r="R232" s="30"/>
    </row>
    <row r="233" spans="18:18" ht="15.75" customHeight="1">
      <c r="R233" s="30"/>
    </row>
    <row r="234" spans="18:18" ht="15.75" customHeight="1">
      <c r="R234" s="30"/>
    </row>
    <row r="235" spans="18:18" ht="15.75" customHeight="1">
      <c r="R235" s="30"/>
    </row>
    <row r="236" spans="18:18" ht="15.75" customHeight="1">
      <c r="R236" s="30"/>
    </row>
    <row r="237" spans="18:18" ht="15.75" customHeight="1">
      <c r="R237" s="30"/>
    </row>
    <row r="238" spans="18:18" ht="15.75" customHeight="1">
      <c r="R238" s="30"/>
    </row>
    <row r="239" spans="18:18" ht="15.75" customHeight="1">
      <c r="R239" s="30"/>
    </row>
    <row r="240" spans="18:18" ht="15.75" customHeight="1">
      <c r="R240" s="30"/>
    </row>
    <row r="241" spans="18:18" ht="15.75" customHeight="1">
      <c r="R241" s="30"/>
    </row>
    <row r="242" spans="18:18" ht="15.75" customHeight="1">
      <c r="R242" s="30"/>
    </row>
    <row r="243" spans="18:18" ht="15.75" customHeight="1">
      <c r="R243" s="30"/>
    </row>
    <row r="244" spans="18:18" ht="15.75" customHeight="1">
      <c r="R244" s="30"/>
    </row>
    <row r="245" spans="18:18" ht="15.75" customHeight="1">
      <c r="R245" s="30"/>
    </row>
    <row r="246" spans="18:18" ht="15.75" customHeight="1">
      <c r="R246" s="30"/>
    </row>
    <row r="247" spans="18:18" ht="15.75" customHeight="1">
      <c r="R247" s="30"/>
    </row>
    <row r="248" spans="18:18" ht="15.75" customHeight="1">
      <c r="R248" s="30"/>
    </row>
    <row r="249" spans="18:18" ht="15.75" customHeight="1">
      <c r="R249" s="30"/>
    </row>
    <row r="250" spans="18:18" ht="15.75" customHeight="1">
      <c r="R250" s="30"/>
    </row>
    <row r="251" spans="18:18" ht="15.75" customHeight="1">
      <c r="R251" s="30"/>
    </row>
    <row r="252" spans="18:18" ht="15.75" customHeight="1">
      <c r="R252" s="30"/>
    </row>
    <row r="253" spans="18:18" ht="15.75" customHeight="1">
      <c r="R253" s="30"/>
    </row>
    <row r="254" spans="18:18" ht="15.75" customHeight="1">
      <c r="R254" s="30"/>
    </row>
    <row r="255" spans="18:18" ht="15.75" customHeight="1">
      <c r="R255" s="30"/>
    </row>
    <row r="256" spans="18:18" ht="15.75" customHeight="1">
      <c r="R256" s="30"/>
    </row>
    <row r="257" spans="18:18" ht="15.75" customHeight="1">
      <c r="R257" s="30"/>
    </row>
    <row r="258" spans="18:18" ht="15.75" customHeight="1">
      <c r="R258" s="30"/>
    </row>
    <row r="259" spans="18:18" ht="15.75" customHeight="1">
      <c r="R259" s="30"/>
    </row>
    <row r="260" spans="18:18" ht="15.75" customHeight="1">
      <c r="R260" s="30"/>
    </row>
    <row r="261" spans="18:18" ht="15.75" customHeight="1">
      <c r="R261" s="30"/>
    </row>
    <row r="262" spans="18:18" ht="15.75" customHeight="1">
      <c r="R262" s="30"/>
    </row>
    <row r="263" spans="18:18" ht="15.75" customHeight="1">
      <c r="R263" s="30"/>
    </row>
    <row r="264" spans="18:18" ht="15.75" customHeight="1">
      <c r="R264" s="30"/>
    </row>
    <row r="265" spans="18:18" ht="15.75" customHeight="1">
      <c r="R265" s="30"/>
    </row>
    <row r="266" spans="18:18" ht="15.75" customHeight="1">
      <c r="R266" s="30"/>
    </row>
    <row r="267" spans="18:18" ht="15.75" customHeight="1">
      <c r="R267" s="30"/>
    </row>
    <row r="268" spans="18:18" ht="15.75" customHeight="1">
      <c r="R268" s="30"/>
    </row>
    <row r="269" spans="18:18" ht="15.75" customHeight="1">
      <c r="R269" s="30"/>
    </row>
    <row r="270" spans="18:18" ht="15.75" customHeight="1">
      <c r="R270" s="30"/>
    </row>
    <row r="271" spans="18:18" ht="15.75" customHeight="1">
      <c r="R271" s="30"/>
    </row>
    <row r="272" spans="18:18" ht="15.75" customHeight="1">
      <c r="R272" s="30"/>
    </row>
    <row r="273" spans="18:18" ht="15.75" customHeight="1">
      <c r="R273" s="30"/>
    </row>
    <row r="274" spans="18:18" ht="15.75" customHeight="1">
      <c r="R274" s="30"/>
    </row>
    <row r="275" spans="18:18" ht="15.75" customHeight="1">
      <c r="R275" s="30"/>
    </row>
    <row r="276" spans="18:18" ht="15.75" customHeight="1">
      <c r="R276" s="30"/>
    </row>
    <row r="277" spans="18:18" ht="15.75" customHeight="1">
      <c r="R277" s="30"/>
    </row>
    <row r="278" spans="18:18" ht="15.75" customHeight="1">
      <c r="R278" s="30"/>
    </row>
    <row r="279" spans="18:18" ht="15.75" customHeight="1">
      <c r="R279" s="30"/>
    </row>
    <row r="280" spans="18:18" ht="15.75" customHeight="1">
      <c r="R280" s="30"/>
    </row>
    <row r="281" spans="18:18" ht="15.75" customHeight="1">
      <c r="R281" s="30"/>
    </row>
    <row r="282" spans="18:18" ht="15.75" customHeight="1">
      <c r="R282" s="30"/>
    </row>
    <row r="283" spans="18:18" ht="15.75" customHeight="1">
      <c r="R283" s="30"/>
    </row>
    <row r="284" spans="18:18" ht="15.75" customHeight="1">
      <c r="R284" s="30"/>
    </row>
    <row r="285" spans="18:18" ht="15.75" customHeight="1">
      <c r="R285" s="30"/>
    </row>
    <row r="286" spans="18:18" ht="15.75" customHeight="1">
      <c r="R286" s="30"/>
    </row>
    <row r="287" spans="18:18" ht="15.75" customHeight="1">
      <c r="R287" s="30"/>
    </row>
    <row r="288" spans="18:18" ht="15.75" customHeight="1">
      <c r="R288" s="30"/>
    </row>
    <row r="289" spans="18:18" ht="15.75" customHeight="1">
      <c r="R289" s="30"/>
    </row>
    <row r="290" spans="18:18" ht="15.75" customHeight="1">
      <c r="R290" s="30"/>
    </row>
    <row r="291" spans="18:18" ht="15.75" customHeight="1">
      <c r="R291" s="30"/>
    </row>
    <row r="292" spans="18:18" ht="15.75" customHeight="1">
      <c r="R292" s="30"/>
    </row>
    <row r="293" spans="18:18" ht="15.75" customHeight="1">
      <c r="R293" s="30"/>
    </row>
    <row r="294" spans="18:18" ht="15.75" customHeight="1">
      <c r="R294" s="30"/>
    </row>
    <row r="295" spans="18:18" ht="15.75" customHeight="1">
      <c r="R295" s="30"/>
    </row>
    <row r="296" spans="18:18" ht="15.75" customHeight="1">
      <c r="R296" s="30"/>
    </row>
    <row r="297" spans="18:18" ht="15.75" customHeight="1">
      <c r="R297" s="30"/>
    </row>
    <row r="298" spans="18:18" ht="15.75" customHeight="1">
      <c r="R298" s="30"/>
    </row>
    <row r="299" spans="18:18" ht="15.75" customHeight="1">
      <c r="R299" s="30"/>
    </row>
    <row r="300" spans="18:18" ht="15.75" customHeight="1">
      <c r="R300" s="30"/>
    </row>
    <row r="301" spans="18:18" ht="15.75" customHeight="1">
      <c r="R301" s="30"/>
    </row>
    <row r="302" spans="18:18" ht="15.75" customHeight="1">
      <c r="R302" s="30"/>
    </row>
    <row r="303" spans="18:18" ht="15.75" customHeight="1">
      <c r="R303" s="30"/>
    </row>
    <row r="304" spans="18:18" ht="15.75" customHeight="1">
      <c r="R304" s="30"/>
    </row>
    <row r="305" spans="18:18" ht="15.75" customHeight="1">
      <c r="R305" s="30"/>
    </row>
    <row r="306" spans="18:18" ht="15.75" customHeight="1">
      <c r="R306" s="30"/>
    </row>
    <row r="307" spans="18:18" ht="15.75" customHeight="1">
      <c r="R307" s="30"/>
    </row>
    <row r="308" spans="18:18" ht="15.75" customHeight="1">
      <c r="R308" s="30"/>
    </row>
    <row r="309" spans="18:18" ht="15.75" customHeight="1">
      <c r="R309" s="30"/>
    </row>
    <row r="310" spans="18:18" ht="15.75" customHeight="1">
      <c r="R310" s="30"/>
    </row>
    <row r="311" spans="18:18" ht="15.75" customHeight="1">
      <c r="R311" s="30"/>
    </row>
    <row r="312" spans="18:18" ht="15.75" customHeight="1">
      <c r="R312" s="30"/>
    </row>
    <row r="313" spans="18:18" ht="15.75" customHeight="1">
      <c r="R313" s="30"/>
    </row>
    <row r="314" spans="18:18" ht="15.75" customHeight="1">
      <c r="R314" s="30"/>
    </row>
    <row r="315" spans="18:18" ht="15.75" customHeight="1">
      <c r="R315" s="30"/>
    </row>
    <row r="316" spans="18:18" ht="15.75" customHeight="1">
      <c r="R316" s="30"/>
    </row>
    <row r="317" spans="18:18" ht="15.75" customHeight="1">
      <c r="R317" s="30"/>
    </row>
    <row r="318" spans="18:18" ht="15.75" customHeight="1">
      <c r="R318" s="30"/>
    </row>
    <row r="319" spans="18:18" ht="15.75" customHeight="1">
      <c r="R319" s="30"/>
    </row>
    <row r="320" spans="18:18" ht="15.75" customHeight="1">
      <c r="R320" s="30"/>
    </row>
    <row r="321" spans="18:18" ht="15.75" customHeight="1">
      <c r="R321" s="30"/>
    </row>
    <row r="322" spans="18:18" ht="15.75" customHeight="1">
      <c r="R322" s="30"/>
    </row>
    <row r="323" spans="18:18" ht="15.75" customHeight="1">
      <c r="R323" s="30"/>
    </row>
    <row r="324" spans="18:18" ht="15.75" customHeight="1">
      <c r="R324" s="30"/>
    </row>
    <row r="325" spans="18:18" ht="15.75" customHeight="1">
      <c r="R325" s="30"/>
    </row>
    <row r="326" spans="18:18" ht="15.75" customHeight="1">
      <c r="R326" s="30"/>
    </row>
    <row r="327" spans="18:18" ht="15.75" customHeight="1">
      <c r="R327" s="30"/>
    </row>
    <row r="328" spans="18:18" ht="15.75" customHeight="1">
      <c r="R328" s="30"/>
    </row>
    <row r="329" spans="18:18" ht="15.75" customHeight="1">
      <c r="R329" s="30"/>
    </row>
    <row r="330" spans="18:18" ht="15.75" customHeight="1">
      <c r="R330" s="30"/>
    </row>
    <row r="331" spans="18:18" ht="15.75" customHeight="1">
      <c r="R331" s="30"/>
    </row>
    <row r="332" spans="18:18" ht="15.75" customHeight="1">
      <c r="R332" s="30"/>
    </row>
    <row r="333" spans="18:18" ht="15.75" customHeight="1">
      <c r="R333" s="30"/>
    </row>
    <row r="334" spans="18:18" ht="15.75" customHeight="1">
      <c r="R334" s="30"/>
    </row>
    <row r="335" spans="18:18" ht="15.75" customHeight="1">
      <c r="R335" s="30"/>
    </row>
    <row r="336" spans="18:18" ht="15.75" customHeight="1">
      <c r="R336" s="30"/>
    </row>
    <row r="337" spans="18:18" ht="15.75" customHeight="1">
      <c r="R337" s="30"/>
    </row>
    <row r="338" spans="18:18" ht="15.75" customHeight="1">
      <c r="R338" s="30"/>
    </row>
    <row r="339" spans="18:18" ht="15.75" customHeight="1">
      <c r="R339" s="30"/>
    </row>
    <row r="340" spans="18:18" ht="15.75" customHeight="1">
      <c r="R340" s="30"/>
    </row>
    <row r="341" spans="18:18" ht="15.75" customHeight="1">
      <c r="R341" s="30"/>
    </row>
    <row r="342" spans="18:18" ht="15.75" customHeight="1">
      <c r="R342" s="30"/>
    </row>
    <row r="343" spans="18:18" ht="15.75" customHeight="1">
      <c r="R343" s="30"/>
    </row>
    <row r="344" spans="18:18" ht="15.75" customHeight="1">
      <c r="R344" s="30"/>
    </row>
    <row r="345" spans="18:18" ht="15.75" customHeight="1">
      <c r="R345" s="30"/>
    </row>
    <row r="346" spans="18:18" ht="15.75" customHeight="1">
      <c r="R346" s="30"/>
    </row>
    <row r="347" spans="18:18" ht="15.75" customHeight="1">
      <c r="R347" s="30"/>
    </row>
    <row r="348" spans="18:18" ht="15.75" customHeight="1">
      <c r="R348" s="30"/>
    </row>
    <row r="349" spans="18:18" ht="15.75" customHeight="1">
      <c r="R349" s="30"/>
    </row>
    <row r="350" spans="18:18" ht="15.75" customHeight="1">
      <c r="R350" s="30"/>
    </row>
    <row r="351" spans="18:18" ht="15.75" customHeight="1">
      <c r="R351" s="30"/>
    </row>
    <row r="352" spans="18:18" ht="15.75" customHeight="1">
      <c r="R352" s="30"/>
    </row>
    <row r="353" spans="18:18" ht="15.75" customHeight="1">
      <c r="R353" s="30"/>
    </row>
    <row r="354" spans="18:18" ht="15.75" customHeight="1">
      <c r="R354" s="30"/>
    </row>
    <row r="355" spans="18:18" ht="15.75" customHeight="1">
      <c r="R355" s="30"/>
    </row>
    <row r="356" spans="18:18" ht="15.75" customHeight="1">
      <c r="R356" s="30"/>
    </row>
    <row r="357" spans="18:18" ht="15.75" customHeight="1">
      <c r="R357" s="30"/>
    </row>
    <row r="358" spans="18:18" ht="15.75" customHeight="1">
      <c r="R358" s="30"/>
    </row>
    <row r="359" spans="18:18" ht="15.75" customHeight="1">
      <c r="R359" s="30"/>
    </row>
    <row r="360" spans="18:18" ht="15.75" customHeight="1">
      <c r="R360" s="30"/>
    </row>
    <row r="361" spans="18:18" ht="15.75" customHeight="1">
      <c r="R361" s="30"/>
    </row>
    <row r="362" spans="18:18" ht="15.75" customHeight="1">
      <c r="R362" s="30"/>
    </row>
    <row r="363" spans="18:18" ht="15.75" customHeight="1">
      <c r="R363" s="30"/>
    </row>
    <row r="364" spans="18:18" ht="15.75" customHeight="1">
      <c r="R364" s="30"/>
    </row>
    <row r="365" spans="18:18" ht="15.75" customHeight="1">
      <c r="R365" s="30"/>
    </row>
    <row r="366" spans="18:18" ht="15.75" customHeight="1">
      <c r="R366" s="30"/>
    </row>
    <row r="367" spans="18:18" ht="15.75" customHeight="1">
      <c r="R367" s="30"/>
    </row>
    <row r="368" spans="18:18" ht="15.75" customHeight="1">
      <c r="R368" s="30"/>
    </row>
    <row r="369" spans="18:18" ht="15.75" customHeight="1">
      <c r="R369" s="30"/>
    </row>
    <row r="370" spans="18:18" ht="15.75" customHeight="1">
      <c r="R370" s="30"/>
    </row>
    <row r="371" spans="18:18" ht="15.75" customHeight="1">
      <c r="R371" s="30"/>
    </row>
    <row r="372" spans="18:18" ht="15.75" customHeight="1">
      <c r="R372" s="30"/>
    </row>
    <row r="373" spans="18:18" ht="15.75" customHeight="1">
      <c r="R373" s="30"/>
    </row>
    <row r="374" spans="18:18" ht="15.75" customHeight="1">
      <c r="R374" s="30"/>
    </row>
    <row r="375" spans="18:18" ht="15.75" customHeight="1">
      <c r="R375" s="30"/>
    </row>
    <row r="376" spans="18:18" ht="15.75" customHeight="1">
      <c r="R376" s="30"/>
    </row>
    <row r="377" spans="18:18" ht="15.75" customHeight="1">
      <c r="R377" s="30"/>
    </row>
    <row r="378" spans="18:18" ht="15.75" customHeight="1">
      <c r="R378" s="30"/>
    </row>
    <row r="379" spans="18:18" ht="15.75" customHeight="1">
      <c r="R379" s="30"/>
    </row>
    <row r="380" spans="18:18" ht="15.75" customHeight="1">
      <c r="R380" s="30"/>
    </row>
    <row r="381" spans="18:18" ht="15.75" customHeight="1">
      <c r="R381" s="30"/>
    </row>
    <row r="382" spans="18:18" ht="15.75" customHeight="1">
      <c r="R382" s="30"/>
    </row>
    <row r="383" spans="18:18" ht="15.75" customHeight="1">
      <c r="R383" s="30"/>
    </row>
    <row r="384" spans="18:18" ht="15.75" customHeight="1">
      <c r="R384" s="30"/>
    </row>
    <row r="385" spans="18:18" ht="15.75" customHeight="1">
      <c r="R385" s="30"/>
    </row>
    <row r="386" spans="18:18" ht="15.75" customHeight="1">
      <c r="R386" s="30"/>
    </row>
    <row r="387" spans="18:18" ht="15.75" customHeight="1">
      <c r="R387" s="30"/>
    </row>
    <row r="388" spans="18:18" ht="15.75" customHeight="1">
      <c r="R388" s="30"/>
    </row>
    <row r="389" spans="18:18" ht="15.75" customHeight="1">
      <c r="R389" s="30"/>
    </row>
    <row r="390" spans="18:18" ht="15.75" customHeight="1">
      <c r="R390" s="30"/>
    </row>
    <row r="391" spans="18:18" ht="15.75" customHeight="1">
      <c r="R391" s="30"/>
    </row>
    <row r="392" spans="18:18" ht="15.75" customHeight="1">
      <c r="R392" s="30"/>
    </row>
    <row r="393" spans="18:18" ht="15.75" customHeight="1">
      <c r="R393" s="30"/>
    </row>
    <row r="394" spans="18:18" ht="15.75" customHeight="1">
      <c r="R394" s="30"/>
    </row>
    <row r="395" spans="18:18" ht="15.75" customHeight="1">
      <c r="R395" s="30"/>
    </row>
    <row r="396" spans="18:18" ht="15.75" customHeight="1">
      <c r="R396" s="30"/>
    </row>
    <row r="397" spans="18:18" ht="15.75" customHeight="1">
      <c r="R397" s="30"/>
    </row>
    <row r="398" spans="18:18" ht="15.75" customHeight="1">
      <c r="R398" s="30"/>
    </row>
    <row r="399" spans="18:18" ht="15.75" customHeight="1">
      <c r="R399" s="30"/>
    </row>
    <row r="400" spans="18:18" ht="15.75" customHeight="1">
      <c r="R400" s="30"/>
    </row>
    <row r="401" spans="18:18" ht="15.75" customHeight="1">
      <c r="R401" s="30"/>
    </row>
    <row r="402" spans="18:18" ht="15.75" customHeight="1">
      <c r="R402" s="30"/>
    </row>
    <row r="403" spans="18:18" ht="15.75" customHeight="1">
      <c r="R403" s="30"/>
    </row>
    <row r="404" spans="18:18" ht="15.75" customHeight="1">
      <c r="R404" s="30"/>
    </row>
    <row r="405" spans="18:18" ht="15.75" customHeight="1">
      <c r="R405" s="30"/>
    </row>
    <row r="406" spans="18:18" ht="15.75" customHeight="1">
      <c r="R406" s="30"/>
    </row>
    <row r="407" spans="18:18" ht="15.75" customHeight="1">
      <c r="R407" s="30"/>
    </row>
    <row r="408" spans="18:18" ht="15.75" customHeight="1">
      <c r="R408" s="30"/>
    </row>
    <row r="409" spans="18:18" ht="15.75" customHeight="1">
      <c r="R409" s="30"/>
    </row>
    <row r="410" spans="18:18" ht="15.75" customHeight="1">
      <c r="R410" s="30"/>
    </row>
    <row r="411" spans="18:18" ht="15.75" customHeight="1">
      <c r="R411" s="30"/>
    </row>
    <row r="412" spans="18:18" ht="15.75" customHeight="1">
      <c r="R412" s="30"/>
    </row>
    <row r="413" spans="18:18" ht="15.75" customHeight="1">
      <c r="R413" s="30"/>
    </row>
    <row r="414" spans="18:18" ht="15.75" customHeight="1">
      <c r="R414" s="30"/>
    </row>
    <row r="415" spans="18:18" ht="15.75" customHeight="1">
      <c r="R415" s="30"/>
    </row>
    <row r="416" spans="18:18" ht="15.75" customHeight="1">
      <c r="R416" s="30"/>
    </row>
    <row r="417" spans="18:18" ht="15.75" customHeight="1">
      <c r="R417" s="30"/>
    </row>
    <row r="418" spans="18:18" ht="15.75" customHeight="1">
      <c r="R418" s="30"/>
    </row>
    <row r="419" spans="18:18" ht="15.75" customHeight="1">
      <c r="R419" s="30"/>
    </row>
    <row r="420" spans="18:18" ht="15.75" customHeight="1">
      <c r="R420" s="30"/>
    </row>
    <row r="421" spans="18:18" ht="15.75" customHeight="1">
      <c r="R421" s="30"/>
    </row>
    <row r="422" spans="18:18" ht="15.75" customHeight="1">
      <c r="R422" s="30"/>
    </row>
    <row r="423" spans="18:18" ht="15.75" customHeight="1">
      <c r="R423" s="30"/>
    </row>
    <row r="424" spans="18:18" ht="15.75" customHeight="1">
      <c r="R424" s="30"/>
    </row>
    <row r="425" spans="18:18" ht="15.75" customHeight="1">
      <c r="R425" s="30"/>
    </row>
    <row r="426" spans="18:18" ht="15.75" customHeight="1">
      <c r="R426" s="30"/>
    </row>
    <row r="427" spans="18:18" ht="15.75" customHeight="1">
      <c r="R427" s="30"/>
    </row>
    <row r="428" spans="18:18" ht="15.75" customHeight="1">
      <c r="R428" s="30"/>
    </row>
    <row r="429" spans="18:18" ht="15.75" customHeight="1">
      <c r="R429" s="30"/>
    </row>
    <row r="430" spans="18:18" ht="15.75" customHeight="1">
      <c r="R430" s="30"/>
    </row>
    <row r="431" spans="18:18" ht="15.75" customHeight="1">
      <c r="R431" s="30"/>
    </row>
    <row r="432" spans="18:18" ht="15.75" customHeight="1">
      <c r="R432" s="30"/>
    </row>
    <row r="433" spans="18:18" ht="15.75" customHeight="1">
      <c r="R433" s="30"/>
    </row>
    <row r="434" spans="18:18" ht="15.75" customHeight="1">
      <c r="R434" s="30"/>
    </row>
    <row r="435" spans="18:18" ht="15.75" customHeight="1">
      <c r="R435" s="30"/>
    </row>
    <row r="436" spans="18:18" ht="15.75" customHeight="1">
      <c r="R436" s="30"/>
    </row>
    <row r="437" spans="18:18" ht="15.75" customHeight="1">
      <c r="R437" s="30"/>
    </row>
    <row r="438" spans="18:18" ht="15.75" customHeight="1">
      <c r="R438" s="30"/>
    </row>
    <row r="439" spans="18:18" ht="15.75" customHeight="1">
      <c r="R439" s="30"/>
    </row>
    <row r="440" spans="18:18" ht="15.75" customHeight="1">
      <c r="R440" s="30"/>
    </row>
    <row r="441" spans="18:18" ht="15.75" customHeight="1">
      <c r="R441" s="30"/>
    </row>
    <row r="442" spans="18:18" ht="15.75" customHeight="1">
      <c r="R442" s="30"/>
    </row>
    <row r="443" spans="18:18" ht="15.75" customHeight="1">
      <c r="R443" s="30"/>
    </row>
    <row r="444" spans="18:18" ht="15.75" customHeight="1">
      <c r="R444" s="30"/>
    </row>
    <row r="445" spans="18:18" ht="15.75" customHeight="1">
      <c r="R445" s="30"/>
    </row>
    <row r="446" spans="18:18" ht="15.75" customHeight="1">
      <c r="R446" s="30"/>
    </row>
    <row r="447" spans="18:18" ht="15.75" customHeight="1">
      <c r="R447" s="30"/>
    </row>
    <row r="448" spans="18:18" ht="15.75" customHeight="1">
      <c r="R448" s="30"/>
    </row>
    <row r="449" spans="18:18" ht="15.75" customHeight="1">
      <c r="R449" s="30"/>
    </row>
    <row r="450" spans="18:18" ht="15.75" customHeight="1">
      <c r="R450" s="30"/>
    </row>
    <row r="451" spans="18:18" ht="15.75" customHeight="1">
      <c r="R451" s="30"/>
    </row>
    <row r="452" spans="18:18" ht="15.75" customHeight="1">
      <c r="R452" s="30"/>
    </row>
    <row r="453" spans="18:18" ht="15.75" customHeight="1">
      <c r="R453" s="30"/>
    </row>
    <row r="454" spans="18:18" ht="15.75" customHeight="1">
      <c r="R454" s="30"/>
    </row>
    <row r="455" spans="18:18" ht="15.75" customHeight="1">
      <c r="R455" s="30"/>
    </row>
    <row r="456" spans="18:18" ht="15.75" customHeight="1">
      <c r="R456" s="30"/>
    </row>
    <row r="457" spans="18:18" ht="15.75" customHeight="1">
      <c r="R457" s="30"/>
    </row>
    <row r="458" spans="18:18" ht="15.75" customHeight="1">
      <c r="R458" s="30"/>
    </row>
    <row r="459" spans="18:18" ht="15.75" customHeight="1">
      <c r="R459" s="30"/>
    </row>
    <row r="460" spans="18:18" ht="15.75" customHeight="1">
      <c r="R460" s="30"/>
    </row>
    <row r="461" spans="18:18" ht="15.75" customHeight="1">
      <c r="R461" s="30"/>
    </row>
    <row r="462" spans="18:18" ht="15.75" customHeight="1">
      <c r="R462" s="30"/>
    </row>
    <row r="463" spans="18:18" ht="15.75" customHeight="1">
      <c r="R463" s="30"/>
    </row>
    <row r="464" spans="18:18" ht="15.75" customHeight="1">
      <c r="R464" s="30"/>
    </row>
    <row r="465" spans="18:18" ht="15.75" customHeight="1">
      <c r="R465" s="30"/>
    </row>
    <row r="466" spans="18:18" ht="15.75" customHeight="1">
      <c r="R466" s="30"/>
    </row>
    <row r="467" spans="18:18" ht="15.75" customHeight="1">
      <c r="R467" s="30"/>
    </row>
    <row r="468" spans="18:18" ht="15.75" customHeight="1">
      <c r="R468" s="30"/>
    </row>
    <row r="469" spans="18:18" ht="15.75" customHeight="1">
      <c r="R469" s="30"/>
    </row>
    <row r="470" spans="18:18" ht="15.75" customHeight="1">
      <c r="R470" s="30"/>
    </row>
    <row r="471" spans="18:18" ht="15.75" customHeight="1">
      <c r="R471" s="30"/>
    </row>
    <row r="472" spans="18:18" ht="15.75" customHeight="1">
      <c r="R472" s="30"/>
    </row>
    <row r="473" spans="18:18" ht="15.75" customHeight="1">
      <c r="R473" s="30"/>
    </row>
    <row r="474" spans="18:18" ht="15.75" customHeight="1">
      <c r="R474" s="30"/>
    </row>
    <row r="475" spans="18:18" ht="15.75" customHeight="1">
      <c r="R475" s="30"/>
    </row>
    <row r="476" spans="18:18" ht="15.75" customHeight="1">
      <c r="R476" s="30"/>
    </row>
    <row r="477" spans="18:18" ht="15.75" customHeight="1">
      <c r="R477" s="30"/>
    </row>
    <row r="478" spans="18:18" ht="15.75" customHeight="1">
      <c r="R478" s="30"/>
    </row>
    <row r="479" spans="18:18" ht="15.75" customHeight="1">
      <c r="R479" s="30"/>
    </row>
    <row r="480" spans="18:18" ht="15.75" customHeight="1">
      <c r="R480" s="30"/>
    </row>
    <row r="481" spans="18:18" ht="15.75" customHeight="1">
      <c r="R481" s="30"/>
    </row>
    <row r="482" spans="18:18" ht="15.75" customHeight="1">
      <c r="R482" s="30"/>
    </row>
    <row r="483" spans="18:18" ht="15.75" customHeight="1">
      <c r="R483" s="30"/>
    </row>
    <row r="484" spans="18:18" ht="15.75" customHeight="1">
      <c r="R484" s="30"/>
    </row>
    <row r="485" spans="18:18" ht="15.75" customHeight="1">
      <c r="R485" s="30"/>
    </row>
    <row r="486" spans="18:18" ht="15.75" customHeight="1">
      <c r="R486" s="30"/>
    </row>
    <row r="487" spans="18:18" ht="15.75" customHeight="1">
      <c r="R487" s="30"/>
    </row>
    <row r="488" spans="18:18" ht="15.75" customHeight="1">
      <c r="R488" s="30"/>
    </row>
    <row r="489" spans="18:18" ht="15.75" customHeight="1">
      <c r="R489" s="30"/>
    </row>
    <row r="490" spans="18:18" ht="15.75" customHeight="1">
      <c r="R490" s="30"/>
    </row>
    <row r="491" spans="18:18" ht="15.75" customHeight="1">
      <c r="R491" s="30"/>
    </row>
    <row r="492" spans="18:18" ht="15.75" customHeight="1">
      <c r="R492" s="30"/>
    </row>
    <row r="493" spans="18:18" ht="15.75" customHeight="1">
      <c r="R493" s="30"/>
    </row>
    <row r="494" spans="18:18" ht="15.75" customHeight="1">
      <c r="R494" s="30"/>
    </row>
    <row r="495" spans="18:18" ht="15.75" customHeight="1">
      <c r="R495" s="30"/>
    </row>
    <row r="496" spans="18:18" ht="15.75" customHeight="1">
      <c r="R496" s="30"/>
    </row>
    <row r="497" spans="18:18" ht="15.75" customHeight="1">
      <c r="R497" s="30"/>
    </row>
    <row r="498" spans="18:18" ht="15.75" customHeight="1">
      <c r="R498" s="30"/>
    </row>
    <row r="499" spans="18:18" ht="15.75" customHeight="1">
      <c r="R499" s="30"/>
    </row>
    <row r="500" spans="18:18" ht="15.75" customHeight="1">
      <c r="R500" s="30"/>
    </row>
    <row r="501" spans="18:18" ht="15.75" customHeight="1">
      <c r="R501" s="30"/>
    </row>
    <row r="502" spans="18:18" ht="15.75" customHeight="1">
      <c r="R502" s="30"/>
    </row>
    <row r="503" spans="18:18" ht="15.75" customHeight="1">
      <c r="R503" s="30"/>
    </row>
    <row r="504" spans="18:18" ht="15.75" customHeight="1">
      <c r="R504" s="30"/>
    </row>
    <row r="505" spans="18:18" ht="15.75" customHeight="1">
      <c r="R505" s="30"/>
    </row>
    <row r="506" spans="18:18" ht="15.75" customHeight="1">
      <c r="R506" s="30"/>
    </row>
    <row r="507" spans="18:18" ht="15.75" customHeight="1">
      <c r="R507" s="30"/>
    </row>
    <row r="508" spans="18:18" ht="15.75" customHeight="1">
      <c r="R508" s="30"/>
    </row>
    <row r="509" spans="18:18" ht="15.75" customHeight="1">
      <c r="R509" s="30"/>
    </row>
    <row r="510" spans="18:18" ht="15.75" customHeight="1">
      <c r="R510" s="30"/>
    </row>
    <row r="511" spans="18:18" ht="15.75" customHeight="1">
      <c r="R511" s="30"/>
    </row>
    <row r="512" spans="18:18" ht="15.75" customHeight="1">
      <c r="R512" s="30"/>
    </row>
    <row r="513" spans="18:18" ht="15.75" customHeight="1">
      <c r="R513" s="30"/>
    </row>
    <row r="514" spans="18:18" ht="15.75" customHeight="1">
      <c r="R514" s="30"/>
    </row>
    <row r="515" spans="18:18" ht="15.75" customHeight="1">
      <c r="R515" s="30"/>
    </row>
    <row r="516" spans="18:18" ht="15.75" customHeight="1">
      <c r="R516" s="30"/>
    </row>
    <row r="517" spans="18:18" ht="15.75" customHeight="1">
      <c r="R517" s="30"/>
    </row>
    <row r="518" spans="18:18" ht="15.75" customHeight="1">
      <c r="R518" s="30"/>
    </row>
    <row r="519" spans="18:18" ht="15.75" customHeight="1">
      <c r="R519" s="30"/>
    </row>
    <row r="520" spans="18:18" ht="15.75" customHeight="1">
      <c r="R520" s="30"/>
    </row>
    <row r="521" spans="18:18" ht="15.75" customHeight="1">
      <c r="R521" s="30"/>
    </row>
    <row r="522" spans="18:18" ht="15.75" customHeight="1">
      <c r="R522" s="30"/>
    </row>
    <row r="523" spans="18:18" ht="15.75" customHeight="1">
      <c r="R523" s="30"/>
    </row>
    <row r="524" spans="18:18" ht="15.75" customHeight="1">
      <c r="R524" s="30"/>
    </row>
    <row r="525" spans="18:18" ht="15.75" customHeight="1">
      <c r="R525" s="30"/>
    </row>
    <row r="526" spans="18:18" ht="15.75" customHeight="1">
      <c r="R526" s="30"/>
    </row>
    <row r="527" spans="18:18" ht="15.75" customHeight="1">
      <c r="R527" s="30"/>
    </row>
    <row r="528" spans="18:18" ht="15.75" customHeight="1">
      <c r="R528" s="30"/>
    </row>
    <row r="529" spans="18:18" ht="15.75" customHeight="1">
      <c r="R529" s="30"/>
    </row>
    <row r="530" spans="18:18" ht="15.75" customHeight="1">
      <c r="R530" s="30"/>
    </row>
    <row r="531" spans="18:18" ht="15.75" customHeight="1">
      <c r="R531" s="30"/>
    </row>
    <row r="532" spans="18:18" ht="15.75" customHeight="1">
      <c r="R532" s="30"/>
    </row>
    <row r="533" spans="18:18" ht="15.75" customHeight="1">
      <c r="R533" s="30"/>
    </row>
    <row r="534" spans="18:18" ht="15.75" customHeight="1">
      <c r="R534" s="30"/>
    </row>
    <row r="535" spans="18:18" ht="15.75" customHeight="1">
      <c r="R535" s="30"/>
    </row>
    <row r="536" spans="18:18" ht="15.75" customHeight="1">
      <c r="R536" s="30"/>
    </row>
    <row r="537" spans="18:18" ht="15.75" customHeight="1">
      <c r="R537" s="30"/>
    </row>
    <row r="538" spans="18:18" ht="15.75" customHeight="1">
      <c r="R538" s="30"/>
    </row>
    <row r="539" spans="18:18" ht="15.75" customHeight="1">
      <c r="R539" s="30"/>
    </row>
    <row r="540" spans="18:18" ht="15.75" customHeight="1">
      <c r="R540" s="30"/>
    </row>
    <row r="541" spans="18:18" ht="15.75" customHeight="1">
      <c r="R541" s="30"/>
    </row>
    <row r="542" spans="18:18" ht="15.75" customHeight="1">
      <c r="R542" s="30"/>
    </row>
    <row r="543" spans="18:18" ht="15.75" customHeight="1">
      <c r="R543" s="30"/>
    </row>
    <row r="544" spans="18:18" ht="15.75" customHeight="1">
      <c r="R544" s="30"/>
    </row>
    <row r="545" spans="18:18" ht="15.75" customHeight="1">
      <c r="R545" s="30"/>
    </row>
    <row r="546" spans="18:18" ht="15.75" customHeight="1">
      <c r="R546" s="30"/>
    </row>
    <row r="547" spans="18:18" ht="15.75" customHeight="1">
      <c r="R547" s="30"/>
    </row>
    <row r="548" spans="18:18" ht="15.75" customHeight="1">
      <c r="R548" s="30"/>
    </row>
    <row r="549" spans="18:18" ht="15.75" customHeight="1">
      <c r="R549" s="30"/>
    </row>
    <row r="550" spans="18:18" ht="15.75" customHeight="1">
      <c r="R550" s="30"/>
    </row>
    <row r="551" spans="18:18" ht="15.75" customHeight="1">
      <c r="R551" s="30"/>
    </row>
    <row r="552" spans="18:18" ht="15.75" customHeight="1">
      <c r="R552" s="30"/>
    </row>
    <row r="553" spans="18:18" ht="15.75" customHeight="1">
      <c r="R553" s="30"/>
    </row>
    <row r="554" spans="18:18" ht="15.75" customHeight="1">
      <c r="R554" s="30"/>
    </row>
    <row r="555" spans="18:18" ht="15.75" customHeight="1">
      <c r="R555" s="30"/>
    </row>
    <row r="556" spans="18:18" ht="15.75" customHeight="1">
      <c r="R556" s="30"/>
    </row>
    <row r="557" spans="18:18" ht="15.75" customHeight="1">
      <c r="R557" s="30"/>
    </row>
    <row r="558" spans="18:18" ht="15.75" customHeight="1">
      <c r="R558" s="30"/>
    </row>
    <row r="559" spans="18:18" ht="15.75" customHeight="1">
      <c r="R559" s="30"/>
    </row>
    <row r="560" spans="18:18" ht="15.75" customHeight="1">
      <c r="R560" s="30"/>
    </row>
    <row r="561" spans="18:18" ht="15.75" customHeight="1">
      <c r="R561" s="30"/>
    </row>
    <row r="562" spans="18:18" ht="15.75" customHeight="1">
      <c r="R562" s="30"/>
    </row>
    <row r="563" spans="18:18" ht="15.75" customHeight="1">
      <c r="R563" s="30"/>
    </row>
    <row r="564" spans="18:18" ht="15.75" customHeight="1">
      <c r="R564" s="30"/>
    </row>
    <row r="565" spans="18:18" ht="15.75" customHeight="1">
      <c r="R565" s="30"/>
    </row>
    <row r="566" spans="18:18" ht="15.75" customHeight="1">
      <c r="R566" s="30"/>
    </row>
    <row r="567" spans="18:18" ht="15.75" customHeight="1">
      <c r="R567" s="30"/>
    </row>
    <row r="568" spans="18:18" ht="15.75" customHeight="1">
      <c r="R568" s="30"/>
    </row>
    <row r="569" spans="18:18" ht="15.75" customHeight="1">
      <c r="R569" s="30"/>
    </row>
    <row r="570" spans="18:18" ht="15.75" customHeight="1">
      <c r="R570" s="30"/>
    </row>
    <row r="571" spans="18:18" ht="15.75" customHeight="1">
      <c r="R571" s="30"/>
    </row>
    <row r="572" spans="18:18" ht="15.75" customHeight="1">
      <c r="R572" s="30"/>
    </row>
    <row r="573" spans="18:18" ht="15.75" customHeight="1">
      <c r="R573" s="30"/>
    </row>
    <row r="574" spans="18:18" ht="15.75" customHeight="1">
      <c r="R574" s="30"/>
    </row>
    <row r="575" spans="18:18" ht="15.75" customHeight="1">
      <c r="R575" s="30"/>
    </row>
    <row r="576" spans="18:18" ht="15.75" customHeight="1">
      <c r="R576" s="30"/>
    </row>
    <row r="577" spans="18:18" ht="15.75" customHeight="1">
      <c r="R577" s="30"/>
    </row>
    <row r="578" spans="18:18" ht="15.75" customHeight="1">
      <c r="R578" s="30"/>
    </row>
    <row r="579" spans="18:18" ht="15.75" customHeight="1">
      <c r="R579" s="30"/>
    </row>
    <row r="580" spans="18:18" ht="15.75" customHeight="1">
      <c r="R580" s="30"/>
    </row>
    <row r="581" spans="18:18" ht="15.75" customHeight="1">
      <c r="R581" s="30"/>
    </row>
    <row r="582" spans="18:18" ht="15.75" customHeight="1">
      <c r="R582" s="30"/>
    </row>
    <row r="583" spans="18:18" ht="15.75" customHeight="1">
      <c r="R583" s="30"/>
    </row>
    <row r="584" spans="18:18" ht="15.75" customHeight="1">
      <c r="R584" s="30"/>
    </row>
    <row r="585" spans="18:18" ht="15.75" customHeight="1">
      <c r="R585" s="30"/>
    </row>
    <row r="586" spans="18:18" ht="15.75" customHeight="1">
      <c r="R586" s="30"/>
    </row>
    <row r="587" spans="18:18" ht="15.75" customHeight="1">
      <c r="R587" s="30"/>
    </row>
    <row r="588" spans="18:18" ht="15.75" customHeight="1">
      <c r="R588" s="30"/>
    </row>
    <row r="589" spans="18:18" ht="15.75" customHeight="1">
      <c r="R589" s="30"/>
    </row>
    <row r="590" spans="18:18" ht="15.75" customHeight="1">
      <c r="R590" s="30"/>
    </row>
    <row r="591" spans="18:18" ht="15.75" customHeight="1">
      <c r="R591" s="30"/>
    </row>
    <row r="592" spans="18:18" ht="15.75" customHeight="1">
      <c r="R592" s="30"/>
    </row>
    <row r="593" spans="18:18" ht="15.75" customHeight="1">
      <c r="R593" s="30"/>
    </row>
    <row r="594" spans="18:18" ht="15.75" customHeight="1">
      <c r="R594" s="30"/>
    </row>
    <row r="595" spans="18:18" ht="15.75" customHeight="1">
      <c r="R595" s="30"/>
    </row>
    <row r="596" spans="18:18" ht="15.75" customHeight="1">
      <c r="R596" s="30"/>
    </row>
    <row r="597" spans="18:18" ht="15.75" customHeight="1">
      <c r="R597" s="30"/>
    </row>
    <row r="598" spans="18:18" ht="15.75" customHeight="1">
      <c r="R598" s="30"/>
    </row>
    <row r="599" spans="18:18" ht="15.75" customHeight="1">
      <c r="R599" s="30"/>
    </row>
    <row r="600" spans="18:18" ht="15.75" customHeight="1">
      <c r="R600" s="30"/>
    </row>
    <row r="601" spans="18:18" ht="15.75" customHeight="1">
      <c r="R601" s="30"/>
    </row>
    <row r="602" spans="18:18" ht="15.75" customHeight="1">
      <c r="R602" s="30"/>
    </row>
    <row r="603" spans="18:18" ht="15.75" customHeight="1">
      <c r="R603" s="30"/>
    </row>
    <row r="604" spans="18:18" ht="15.75" customHeight="1">
      <c r="R604" s="30"/>
    </row>
    <row r="605" spans="18:18" ht="15.75" customHeight="1">
      <c r="R605" s="30"/>
    </row>
    <row r="606" spans="18:18" ht="15.75" customHeight="1">
      <c r="R606" s="30"/>
    </row>
    <row r="607" spans="18:18" ht="15.75" customHeight="1">
      <c r="R607" s="30"/>
    </row>
    <row r="608" spans="18:18" ht="15.75" customHeight="1">
      <c r="R608" s="30"/>
    </row>
    <row r="609" spans="18:18" ht="15.75" customHeight="1">
      <c r="R609" s="30"/>
    </row>
    <row r="610" spans="18:18" ht="15.75" customHeight="1">
      <c r="R610" s="30"/>
    </row>
    <row r="611" spans="18:18" ht="15.75" customHeight="1">
      <c r="R611" s="30"/>
    </row>
    <row r="612" spans="18:18" ht="15.75" customHeight="1">
      <c r="R612" s="30"/>
    </row>
    <row r="613" spans="18:18" ht="15.75" customHeight="1">
      <c r="R613" s="30"/>
    </row>
    <row r="614" spans="18:18" ht="15.75" customHeight="1">
      <c r="R614" s="30"/>
    </row>
    <row r="615" spans="18:18" ht="15.75" customHeight="1">
      <c r="R615" s="30"/>
    </row>
    <row r="616" spans="18:18" ht="15.75" customHeight="1">
      <c r="R616" s="30"/>
    </row>
    <row r="617" spans="18:18" ht="15.75" customHeight="1">
      <c r="R617" s="30"/>
    </row>
    <row r="618" spans="18:18" ht="15.75" customHeight="1">
      <c r="R618" s="30"/>
    </row>
    <row r="619" spans="18:18" ht="15.75" customHeight="1">
      <c r="R619" s="30"/>
    </row>
    <row r="620" spans="18:18" ht="15.75" customHeight="1">
      <c r="R620" s="30"/>
    </row>
    <row r="621" spans="18:18" ht="15.75" customHeight="1">
      <c r="R621" s="30"/>
    </row>
    <row r="622" spans="18:18" ht="15.75" customHeight="1">
      <c r="R622" s="30"/>
    </row>
    <row r="623" spans="18:18" ht="15.75" customHeight="1">
      <c r="R623" s="30"/>
    </row>
    <row r="624" spans="18:18" ht="15.75" customHeight="1">
      <c r="R624" s="30"/>
    </row>
    <row r="625" spans="18:18" ht="15.75" customHeight="1">
      <c r="R625" s="30"/>
    </row>
    <row r="626" spans="18:18" ht="15.75" customHeight="1">
      <c r="R626" s="30"/>
    </row>
    <row r="627" spans="18:18" ht="15.75" customHeight="1">
      <c r="R627" s="30"/>
    </row>
    <row r="628" spans="18:18" ht="15.75" customHeight="1">
      <c r="R628" s="30"/>
    </row>
    <row r="629" spans="18:18" ht="15.75" customHeight="1">
      <c r="R629" s="30"/>
    </row>
    <row r="630" spans="18:18" ht="15.75" customHeight="1">
      <c r="R630" s="30"/>
    </row>
    <row r="631" spans="18:18" ht="15.75" customHeight="1">
      <c r="R631" s="30"/>
    </row>
    <row r="632" spans="18:18" ht="15.75" customHeight="1">
      <c r="R632" s="30"/>
    </row>
    <row r="633" spans="18:18" ht="15.75" customHeight="1">
      <c r="R633" s="30"/>
    </row>
    <row r="634" spans="18:18" ht="15.75" customHeight="1">
      <c r="R634" s="30"/>
    </row>
    <row r="635" spans="18:18" ht="15.75" customHeight="1">
      <c r="R635" s="30"/>
    </row>
    <row r="636" spans="18:18" ht="15.75" customHeight="1">
      <c r="R636" s="30"/>
    </row>
    <row r="637" spans="18:18" ht="15.75" customHeight="1">
      <c r="R637" s="30"/>
    </row>
    <row r="638" spans="18:18" ht="15.75" customHeight="1">
      <c r="R638" s="30"/>
    </row>
    <row r="639" spans="18:18" ht="15.75" customHeight="1">
      <c r="R639" s="30"/>
    </row>
    <row r="640" spans="18:18" ht="15.75" customHeight="1">
      <c r="R640" s="30"/>
    </row>
    <row r="641" spans="18:18" ht="15.75" customHeight="1">
      <c r="R641" s="30"/>
    </row>
    <row r="642" spans="18:18" ht="15.75" customHeight="1">
      <c r="R642" s="30"/>
    </row>
    <row r="643" spans="18:18" ht="15.75" customHeight="1">
      <c r="R643" s="30"/>
    </row>
    <row r="644" spans="18:18" ht="15.75" customHeight="1">
      <c r="R644" s="30"/>
    </row>
    <row r="645" spans="18:18" ht="15.75" customHeight="1">
      <c r="R645" s="30"/>
    </row>
    <row r="646" spans="18:18" ht="15.75" customHeight="1">
      <c r="R646" s="30"/>
    </row>
    <row r="647" spans="18:18" ht="15.75" customHeight="1">
      <c r="R647" s="30"/>
    </row>
    <row r="648" spans="18:18" ht="15.75" customHeight="1">
      <c r="R648" s="30"/>
    </row>
    <row r="649" spans="18:18" ht="15.75" customHeight="1">
      <c r="R649" s="30"/>
    </row>
    <row r="650" spans="18:18" ht="15.75" customHeight="1">
      <c r="R650" s="30"/>
    </row>
    <row r="651" spans="18:18" ht="15.75" customHeight="1">
      <c r="R651" s="30"/>
    </row>
    <row r="652" spans="18:18" ht="15.75" customHeight="1">
      <c r="R652" s="30"/>
    </row>
    <row r="653" spans="18:18" ht="15.75" customHeight="1">
      <c r="R653" s="30"/>
    </row>
    <row r="654" spans="18:18" ht="15.75" customHeight="1">
      <c r="R654" s="30"/>
    </row>
    <row r="655" spans="18:18" ht="15.75" customHeight="1">
      <c r="R655" s="30"/>
    </row>
    <row r="656" spans="18:18" ht="15.75" customHeight="1">
      <c r="R656" s="30"/>
    </row>
    <row r="657" spans="18:18" ht="15.75" customHeight="1">
      <c r="R657" s="30"/>
    </row>
    <row r="658" spans="18:18" ht="15.75" customHeight="1">
      <c r="R658" s="30"/>
    </row>
    <row r="659" spans="18:18" ht="15.75" customHeight="1">
      <c r="R659" s="30"/>
    </row>
    <row r="660" spans="18:18" ht="15.75" customHeight="1">
      <c r="R660" s="30"/>
    </row>
    <row r="661" spans="18:18" ht="15.75" customHeight="1">
      <c r="R661" s="30"/>
    </row>
    <row r="662" spans="18:18" ht="15.75" customHeight="1">
      <c r="R662" s="30"/>
    </row>
    <row r="663" spans="18:18" ht="15.75" customHeight="1">
      <c r="R663" s="30"/>
    </row>
    <row r="664" spans="18:18" ht="15.75" customHeight="1">
      <c r="R664" s="30"/>
    </row>
    <row r="665" spans="18:18" ht="15.75" customHeight="1">
      <c r="R665" s="30"/>
    </row>
    <row r="666" spans="18:18" ht="15.75" customHeight="1">
      <c r="R666" s="30"/>
    </row>
    <row r="667" spans="18:18" ht="15.75" customHeight="1">
      <c r="R667" s="30"/>
    </row>
    <row r="668" spans="18:18" ht="15.75" customHeight="1">
      <c r="R668" s="30"/>
    </row>
    <row r="669" spans="18:18" ht="15.75" customHeight="1">
      <c r="R669" s="30"/>
    </row>
    <row r="670" spans="18:18" ht="15.75" customHeight="1">
      <c r="R670" s="30"/>
    </row>
    <row r="671" spans="18:18" ht="15.75" customHeight="1">
      <c r="R671" s="30"/>
    </row>
    <row r="672" spans="18:18" ht="15.75" customHeight="1">
      <c r="R672" s="30"/>
    </row>
    <row r="673" spans="18:18" ht="15.75" customHeight="1">
      <c r="R673" s="30"/>
    </row>
    <row r="674" spans="18:18" ht="15.75" customHeight="1">
      <c r="R674" s="30"/>
    </row>
    <row r="675" spans="18:18" ht="15.75" customHeight="1">
      <c r="R675" s="30"/>
    </row>
    <row r="676" spans="18:18" ht="15.75" customHeight="1">
      <c r="R676" s="30"/>
    </row>
    <row r="677" spans="18:18" ht="15.75" customHeight="1">
      <c r="R677" s="30"/>
    </row>
    <row r="678" spans="18:18" ht="15.75" customHeight="1">
      <c r="R678" s="30"/>
    </row>
    <row r="679" spans="18:18" ht="15.75" customHeight="1">
      <c r="R679" s="30"/>
    </row>
    <row r="680" spans="18:18" ht="15.75" customHeight="1">
      <c r="R680" s="30"/>
    </row>
    <row r="681" spans="18:18" ht="15.75" customHeight="1">
      <c r="R681" s="30"/>
    </row>
    <row r="682" spans="18:18" ht="15.75" customHeight="1">
      <c r="R682" s="30"/>
    </row>
    <row r="683" spans="18:18" ht="15.75" customHeight="1">
      <c r="R683" s="30"/>
    </row>
    <row r="684" spans="18:18" ht="15.75" customHeight="1">
      <c r="R684" s="30"/>
    </row>
    <row r="685" spans="18:18" ht="15.75" customHeight="1">
      <c r="R685" s="30"/>
    </row>
    <row r="686" spans="18:18" ht="15.75" customHeight="1">
      <c r="R686" s="30"/>
    </row>
    <row r="687" spans="18:18" ht="15.75" customHeight="1">
      <c r="R687" s="30"/>
    </row>
    <row r="688" spans="18:18" ht="15.75" customHeight="1">
      <c r="R688" s="30"/>
    </row>
    <row r="689" spans="18:18" ht="15.75" customHeight="1">
      <c r="R689" s="30"/>
    </row>
    <row r="690" spans="18:18" ht="15.75" customHeight="1">
      <c r="R690" s="30"/>
    </row>
    <row r="691" spans="18:18" ht="15.75" customHeight="1">
      <c r="R691" s="30"/>
    </row>
    <row r="692" spans="18:18" ht="15.75" customHeight="1">
      <c r="R692" s="30"/>
    </row>
    <row r="693" spans="18:18" ht="15.75" customHeight="1">
      <c r="R693" s="30"/>
    </row>
    <row r="694" spans="18:18" ht="15.75" customHeight="1">
      <c r="R694" s="30"/>
    </row>
    <row r="695" spans="18:18" ht="15.75" customHeight="1">
      <c r="R695" s="30"/>
    </row>
    <row r="696" spans="18:18" ht="15.75" customHeight="1">
      <c r="R696" s="30"/>
    </row>
    <row r="697" spans="18:18" ht="15.75" customHeight="1">
      <c r="R697" s="30"/>
    </row>
    <row r="698" spans="18:18" ht="15.75" customHeight="1">
      <c r="R698" s="30"/>
    </row>
    <row r="699" spans="18:18" ht="15.75" customHeight="1">
      <c r="R699" s="30"/>
    </row>
    <row r="700" spans="18:18" ht="15.75" customHeight="1">
      <c r="R700" s="30"/>
    </row>
    <row r="701" spans="18:18" ht="15.75" customHeight="1">
      <c r="R701" s="30"/>
    </row>
    <row r="702" spans="18:18" ht="15.75" customHeight="1">
      <c r="R702" s="30"/>
    </row>
    <row r="703" spans="18:18" ht="15.75" customHeight="1">
      <c r="R703" s="30"/>
    </row>
    <row r="704" spans="18:18" ht="15.75" customHeight="1">
      <c r="R704" s="30"/>
    </row>
    <row r="705" spans="18:18" ht="15.75" customHeight="1">
      <c r="R705" s="30"/>
    </row>
    <row r="706" spans="18:18" ht="15.75" customHeight="1">
      <c r="R706" s="30"/>
    </row>
    <row r="707" spans="18:18" ht="15.75" customHeight="1">
      <c r="R707" s="30"/>
    </row>
    <row r="708" spans="18:18" ht="15.75" customHeight="1">
      <c r="R708" s="30"/>
    </row>
    <row r="709" spans="18:18" ht="15.75" customHeight="1">
      <c r="R709" s="30"/>
    </row>
    <row r="710" spans="18:18" ht="15.75" customHeight="1">
      <c r="R710" s="30"/>
    </row>
    <row r="711" spans="18:18" ht="15.75" customHeight="1">
      <c r="R711" s="30"/>
    </row>
    <row r="712" spans="18:18" ht="15.75" customHeight="1">
      <c r="R712" s="30"/>
    </row>
    <row r="713" spans="18:18" ht="15.75" customHeight="1">
      <c r="R713" s="30"/>
    </row>
    <row r="714" spans="18:18" ht="15.75" customHeight="1">
      <c r="R714" s="30"/>
    </row>
    <row r="715" spans="18:18" ht="15.75" customHeight="1">
      <c r="R715" s="30"/>
    </row>
    <row r="716" spans="18:18" ht="15.75" customHeight="1">
      <c r="R716" s="30"/>
    </row>
    <row r="717" spans="18:18" ht="15.75" customHeight="1">
      <c r="R717" s="30"/>
    </row>
    <row r="718" spans="18:18" ht="15.75" customHeight="1">
      <c r="R718" s="30"/>
    </row>
    <row r="719" spans="18:18" ht="15.75" customHeight="1">
      <c r="R719" s="30"/>
    </row>
    <row r="720" spans="18:18" ht="15.75" customHeight="1">
      <c r="R720" s="30"/>
    </row>
    <row r="721" spans="18:18" ht="15.75" customHeight="1">
      <c r="R721" s="30"/>
    </row>
    <row r="722" spans="18:18" ht="15.75" customHeight="1">
      <c r="R722" s="30"/>
    </row>
    <row r="723" spans="18:18" ht="15.75" customHeight="1">
      <c r="R723" s="30"/>
    </row>
    <row r="724" spans="18:18" ht="15.75" customHeight="1">
      <c r="R724" s="30"/>
    </row>
    <row r="725" spans="18:18" ht="15.75" customHeight="1">
      <c r="R725" s="30"/>
    </row>
    <row r="726" spans="18:18" ht="15.75" customHeight="1">
      <c r="R726" s="30"/>
    </row>
    <row r="727" spans="18:18" ht="15.75" customHeight="1">
      <c r="R727" s="30"/>
    </row>
    <row r="728" spans="18:18" ht="15.75" customHeight="1">
      <c r="R728" s="30"/>
    </row>
    <row r="729" spans="18:18" ht="15.75" customHeight="1">
      <c r="R729" s="30"/>
    </row>
    <row r="730" spans="18:18" ht="15.75" customHeight="1">
      <c r="R730" s="30"/>
    </row>
    <row r="731" spans="18:18" ht="15.75" customHeight="1">
      <c r="R731" s="30"/>
    </row>
    <row r="732" spans="18:18" ht="15.75" customHeight="1">
      <c r="R732" s="30"/>
    </row>
    <row r="733" spans="18:18" ht="15.75" customHeight="1">
      <c r="R733" s="30"/>
    </row>
    <row r="734" spans="18:18" ht="15.75" customHeight="1">
      <c r="R734" s="30"/>
    </row>
    <row r="735" spans="18:18" ht="15.75" customHeight="1">
      <c r="R735" s="30"/>
    </row>
    <row r="736" spans="18:18" ht="15.75" customHeight="1">
      <c r="R736" s="30"/>
    </row>
    <row r="737" spans="18:18" ht="15.75" customHeight="1">
      <c r="R737" s="30"/>
    </row>
    <row r="738" spans="18:18" ht="15.75" customHeight="1">
      <c r="R738" s="30"/>
    </row>
    <row r="739" spans="18:18" ht="15.75" customHeight="1">
      <c r="R739" s="30"/>
    </row>
    <row r="740" spans="18:18" ht="15.75" customHeight="1">
      <c r="R740" s="30"/>
    </row>
    <row r="741" spans="18:18" ht="15.75" customHeight="1">
      <c r="R741" s="30"/>
    </row>
    <row r="742" spans="18:18" ht="15.75" customHeight="1">
      <c r="R742" s="30"/>
    </row>
    <row r="743" spans="18:18" ht="15.75" customHeight="1">
      <c r="R743" s="30"/>
    </row>
    <row r="744" spans="18:18" ht="15.75" customHeight="1">
      <c r="R744" s="30"/>
    </row>
    <row r="745" spans="18:18" ht="15.75" customHeight="1">
      <c r="R745" s="30"/>
    </row>
    <row r="746" spans="18:18" ht="15.75" customHeight="1">
      <c r="R746" s="30"/>
    </row>
    <row r="747" spans="18:18" ht="15.75" customHeight="1">
      <c r="R747" s="30"/>
    </row>
    <row r="748" spans="18:18" ht="15.75" customHeight="1">
      <c r="R748" s="30"/>
    </row>
    <row r="749" spans="18:18" ht="15.75" customHeight="1">
      <c r="R749" s="30"/>
    </row>
    <row r="750" spans="18:18" ht="15.75" customHeight="1">
      <c r="R750" s="30"/>
    </row>
    <row r="751" spans="18:18" ht="15.75" customHeight="1">
      <c r="R751" s="30"/>
    </row>
    <row r="752" spans="18:18" ht="15.75" customHeight="1">
      <c r="R752" s="30"/>
    </row>
    <row r="753" spans="18:18" ht="15.75" customHeight="1">
      <c r="R753" s="30"/>
    </row>
    <row r="754" spans="18:18" ht="15.75" customHeight="1">
      <c r="R754" s="30"/>
    </row>
    <row r="755" spans="18:18" ht="15.75" customHeight="1">
      <c r="R755" s="30"/>
    </row>
    <row r="756" spans="18:18" ht="15.75" customHeight="1">
      <c r="R756" s="30"/>
    </row>
    <row r="757" spans="18:18" ht="15.75" customHeight="1">
      <c r="R757" s="30"/>
    </row>
    <row r="758" spans="18:18" ht="15.75" customHeight="1">
      <c r="R758" s="30"/>
    </row>
    <row r="759" spans="18:18" ht="15.75" customHeight="1">
      <c r="R759" s="30"/>
    </row>
    <row r="760" spans="18:18" ht="15.75" customHeight="1">
      <c r="R760" s="30"/>
    </row>
    <row r="761" spans="18:18" ht="15.75" customHeight="1">
      <c r="R761" s="30"/>
    </row>
    <row r="762" spans="18:18" ht="15.75" customHeight="1">
      <c r="R762" s="30"/>
    </row>
    <row r="763" spans="18:18" ht="15.75" customHeight="1">
      <c r="R763" s="30"/>
    </row>
    <row r="764" spans="18:18" ht="15.75" customHeight="1">
      <c r="R764" s="30"/>
    </row>
    <row r="765" spans="18:18" ht="15.75" customHeight="1">
      <c r="R765" s="30"/>
    </row>
    <row r="766" spans="18:18" ht="15.75" customHeight="1">
      <c r="R766" s="30"/>
    </row>
    <row r="767" spans="18:18" ht="15.75" customHeight="1">
      <c r="R767" s="30"/>
    </row>
    <row r="768" spans="18:18" ht="15.75" customHeight="1">
      <c r="R768" s="30"/>
    </row>
    <row r="769" spans="18:18" ht="15.75" customHeight="1">
      <c r="R769" s="30"/>
    </row>
    <row r="770" spans="18:18" ht="15.75" customHeight="1">
      <c r="R770" s="30"/>
    </row>
    <row r="771" spans="18:18" ht="15.75" customHeight="1">
      <c r="R771" s="30"/>
    </row>
    <row r="772" spans="18:18" ht="15.75" customHeight="1">
      <c r="R772" s="30"/>
    </row>
    <row r="773" spans="18:18" ht="15.75" customHeight="1">
      <c r="R773" s="30"/>
    </row>
    <row r="774" spans="18:18" ht="15.75" customHeight="1">
      <c r="R774" s="30"/>
    </row>
    <row r="775" spans="18:18" ht="15.75" customHeight="1">
      <c r="R775" s="30"/>
    </row>
    <row r="776" spans="18:18" ht="15.75" customHeight="1">
      <c r="R776" s="30"/>
    </row>
    <row r="777" spans="18:18" ht="15.75" customHeight="1">
      <c r="R777" s="30"/>
    </row>
    <row r="778" spans="18:18" ht="15.75" customHeight="1">
      <c r="R778" s="30"/>
    </row>
    <row r="779" spans="18:18" ht="15.75" customHeight="1">
      <c r="R779" s="30"/>
    </row>
    <row r="780" spans="18:18" ht="15.75" customHeight="1">
      <c r="R780" s="30"/>
    </row>
    <row r="781" spans="18:18" ht="15.75" customHeight="1">
      <c r="R781" s="30"/>
    </row>
    <row r="782" spans="18:18" ht="15.75" customHeight="1">
      <c r="R782" s="30"/>
    </row>
    <row r="783" spans="18:18" ht="15.75" customHeight="1">
      <c r="R783" s="30"/>
    </row>
    <row r="784" spans="18:18" ht="15.75" customHeight="1">
      <c r="R784" s="30"/>
    </row>
    <row r="785" spans="18:18" ht="15.75" customHeight="1">
      <c r="R785" s="30"/>
    </row>
    <row r="786" spans="18:18" ht="15.75" customHeight="1">
      <c r="R786" s="30"/>
    </row>
    <row r="787" spans="18:18" ht="15.75" customHeight="1">
      <c r="R787" s="30"/>
    </row>
    <row r="788" spans="18:18" ht="15.75" customHeight="1">
      <c r="R788" s="30"/>
    </row>
    <row r="789" spans="18:18" ht="15.75" customHeight="1">
      <c r="R789" s="30"/>
    </row>
    <row r="790" spans="18:18" ht="15.75" customHeight="1">
      <c r="R790" s="30"/>
    </row>
    <row r="791" spans="18:18" ht="15.75" customHeight="1">
      <c r="R791" s="30"/>
    </row>
    <row r="792" spans="18:18" ht="15.75" customHeight="1">
      <c r="R792" s="30"/>
    </row>
    <row r="793" spans="18:18" ht="15.75" customHeight="1">
      <c r="R793" s="30"/>
    </row>
    <row r="794" spans="18:18" ht="15.75" customHeight="1">
      <c r="R794" s="30"/>
    </row>
    <row r="795" spans="18:18" ht="15.75" customHeight="1">
      <c r="R795" s="30"/>
    </row>
    <row r="796" spans="18:18" ht="15.75" customHeight="1">
      <c r="R796" s="30"/>
    </row>
    <row r="797" spans="18:18" ht="15.75" customHeight="1">
      <c r="R797" s="30"/>
    </row>
    <row r="798" spans="18:18" ht="15.75" customHeight="1">
      <c r="R798" s="30"/>
    </row>
    <row r="799" spans="18:18" ht="15.75" customHeight="1">
      <c r="R799" s="30"/>
    </row>
    <row r="800" spans="18:18" ht="15.75" customHeight="1">
      <c r="R800" s="30"/>
    </row>
    <row r="801" spans="18:18" ht="15.75" customHeight="1">
      <c r="R801" s="30"/>
    </row>
    <row r="802" spans="18:18" ht="15.75" customHeight="1">
      <c r="R802" s="30"/>
    </row>
    <row r="803" spans="18:18" ht="15.75" customHeight="1">
      <c r="R803" s="30"/>
    </row>
    <row r="804" spans="18:18" ht="15.75" customHeight="1">
      <c r="R804" s="30"/>
    </row>
    <row r="805" spans="18:18" ht="15.75" customHeight="1">
      <c r="R805" s="30"/>
    </row>
    <row r="806" spans="18:18" ht="15.75" customHeight="1">
      <c r="R806" s="30"/>
    </row>
    <row r="807" spans="18:18" ht="15.75" customHeight="1">
      <c r="R807" s="30"/>
    </row>
    <row r="808" spans="18:18" ht="15.75" customHeight="1">
      <c r="R808" s="30"/>
    </row>
    <row r="809" spans="18:18" ht="15.75" customHeight="1">
      <c r="R809" s="30"/>
    </row>
    <row r="810" spans="18:18" ht="15.75" customHeight="1">
      <c r="R810" s="30"/>
    </row>
    <row r="811" spans="18:18" ht="15.75" customHeight="1">
      <c r="R811" s="30"/>
    </row>
    <row r="812" spans="18:18" ht="15.75" customHeight="1">
      <c r="R812" s="30"/>
    </row>
    <row r="813" spans="18:18" ht="15.75" customHeight="1">
      <c r="R813" s="30"/>
    </row>
    <row r="814" spans="18:18" ht="15.75" customHeight="1">
      <c r="R814" s="30"/>
    </row>
    <row r="815" spans="18:18" ht="15.75" customHeight="1">
      <c r="R815" s="30"/>
    </row>
    <row r="816" spans="18:18" ht="15.75" customHeight="1">
      <c r="R816" s="30"/>
    </row>
    <row r="817" spans="18:18" ht="15.75" customHeight="1">
      <c r="R817" s="30"/>
    </row>
    <row r="818" spans="18:18" ht="15.75" customHeight="1">
      <c r="R818" s="30"/>
    </row>
    <row r="819" spans="18:18" ht="15.75" customHeight="1">
      <c r="R819" s="30"/>
    </row>
    <row r="820" spans="18:18" ht="15.75" customHeight="1">
      <c r="R820" s="30"/>
    </row>
    <row r="821" spans="18:18" ht="15.75" customHeight="1">
      <c r="R821" s="30"/>
    </row>
    <row r="822" spans="18:18" ht="15.75" customHeight="1">
      <c r="R822" s="30"/>
    </row>
    <row r="823" spans="18:18" ht="15.75" customHeight="1">
      <c r="R823" s="30"/>
    </row>
    <row r="824" spans="18:18" ht="15.75" customHeight="1">
      <c r="R824" s="30"/>
    </row>
    <row r="825" spans="18:18" ht="15.75" customHeight="1">
      <c r="R825" s="30"/>
    </row>
    <row r="826" spans="18:18" ht="15.75" customHeight="1">
      <c r="R826" s="30"/>
    </row>
    <row r="827" spans="18:18" ht="15.75" customHeight="1">
      <c r="R827" s="30"/>
    </row>
    <row r="828" spans="18:18" ht="15.75" customHeight="1">
      <c r="R828" s="30"/>
    </row>
    <row r="829" spans="18:18" ht="15.75" customHeight="1">
      <c r="R829" s="30"/>
    </row>
    <row r="830" spans="18:18" ht="15.75" customHeight="1">
      <c r="R830" s="30"/>
    </row>
    <row r="831" spans="18:18" ht="15.75" customHeight="1">
      <c r="R831" s="30"/>
    </row>
    <row r="832" spans="18:18" ht="15.75" customHeight="1">
      <c r="R832" s="30"/>
    </row>
    <row r="833" spans="18:18" ht="15.75" customHeight="1">
      <c r="R833" s="30"/>
    </row>
    <row r="834" spans="18:18" ht="15.75" customHeight="1">
      <c r="R834" s="30"/>
    </row>
    <row r="835" spans="18:18" ht="15.75" customHeight="1">
      <c r="R835" s="30"/>
    </row>
    <row r="836" spans="18:18" ht="15.75" customHeight="1">
      <c r="R836" s="30"/>
    </row>
    <row r="837" spans="18:18" ht="15.75" customHeight="1">
      <c r="R837" s="30"/>
    </row>
    <row r="838" spans="18:18" ht="15.75" customHeight="1">
      <c r="R838" s="30"/>
    </row>
    <row r="839" spans="18:18" ht="15.75" customHeight="1">
      <c r="R839" s="30"/>
    </row>
    <row r="840" spans="18:18" ht="15.75" customHeight="1">
      <c r="R840" s="30"/>
    </row>
    <row r="841" spans="18:18" ht="15.75" customHeight="1">
      <c r="R841" s="30"/>
    </row>
    <row r="842" spans="18:18" ht="15.75" customHeight="1">
      <c r="R842" s="30"/>
    </row>
    <row r="843" spans="18:18" ht="15.75" customHeight="1">
      <c r="R843" s="30"/>
    </row>
    <row r="844" spans="18:18" ht="15.75" customHeight="1">
      <c r="R844" s="30"/>
    </row>
    <row r="845" spans="18:18" ht="15.75" customHeight="1">
      <c r="R845" s="30"/>
    </row>
    <row r="846" spans="18:18" ht="15.75" customHeight="1">
      <c r="R846" s="30"/>
    </row>
    <row r="847" spans="18:18" ht="15.75" customHeight="1">
      <c r="R847" s="30"/>
    </row>
    <row r="848" spans="18:18" ht="15.75" customHeight="1">
      <c r="R848" s="30"/>
    </row>
    <row r="849" spans="18:18" ht="15.75" customHeight="1">
      <c r="R849" s="30"/>
    </row>
    <row r="850" spans="18:18" ht="15.75" customHeight="1">
      <c r="R850" s="30"/>
    </row>
    <row r="851" spans="18:18" ht="15.75" customHeight="1">
      <c r="R851" s="30"/>
    </row>
    <row r="852" spans="18:18" ht="15.75" customHeight="1">
      <c r="R852" s="30"/>
    </row>
    <row r="853" spans="18:18" ht="15.75" customHeight="1">
      <c r="R853" s="30"/>
    </row>
    <row r="854" spans="18:18" ht="15.75" customHeight="1">
      <c r="R854" s="30"/>
    </row>
    <row r="855" spans="18:18" ht="15.75" customHeight="1">
      <c r="R855" s="30"/>
    </row>
    <row r="856" spans="18:18" ht="15.75" customHeight="1">
      <c r="R856" s="30"/>
    </row>
    <row r="857" spans="18:18" ht="15.75" customHeight="1">
      <c r="R857" s="30"/>
    </row>
    <row r="858" spans="18:18" ht="15.75" customHeight="1">
      <c r="R858" s="30"/>
    </row>
    <row r="859" spans="18:18" ht="15.75" customHeight="1">
      <c r="R859" s="30"/>
    </row>
    <row r="860" spans="18:18" ht="15.75" customHeight="1">
      <c r="R860" s="30"/>
    </row>
    <row r="861" spans="18:18" ht="15.75" customHeight="1">
      <c r="R861" s="30"/>
    </row>
    <row r="862" spans="18:18" ht="15.75" customHeight="1">
      <c r="R862" s="30"/>
    </row>
    <row r="863" spans="18:18" ht="15.75" customHeight="1">
      <c r="R863" s="30"/>
    </row>
    <row r="864" spans="18:18" ht="15.75" customHeight="1">
      <c r="R864" s="30"/>
    </row>
    <row r="865" spans="18:18" ht="15.75" customHeight="1">
      <c r="R865" s="30"/>
    </row>
    <row r="866" spans="18:18" ht="15.75" customHeight="1">
      <c r="R866" s="30"/>
    </row>
    <row r="867" spans="18:18" ht="15.75" customHeight="1">
      <c r="R867" s="30"/>
    </row>
    <row r="868" spans="18:18" ht="15.75" customHeight="1">
      <c r="R868" s="30"/>
    </row>
    <row r="869" spans="18:18" ht="15.75" customHeight="1">
      <c r="R869" s="30"/>
    </row>
    <row r="870" spans="18:18" ht="15.75" customHeight="1">
      <c r="R870" s="30"/>
    </row>
    <row r="871" spans="18:18" ht="15.75" customHeight="1">
      <c r="R871" s="30"/>
    </row>
    <row r="872" spans="18:18" ht="15.75" customHeight="1">
      <c r="R872" s="30"/>
    </row>
    <row r="873" spans="18:18" ht="15.75" customHeight="1">
      <c r="R873" s="30"/>
    </row>
    <row r="874" spans="18:18" ht="15.75" customHeight="1">
      <c r="R874" s="30"/>
    </row>
    <row r="875" spans="18:18" ht="15.75" customHeight="1">
      <c r="R875" s="30"/>
    </row>
    <row r="876" spans="18:18" ht="15.75" customHeight="1">
      <c r="R876" s="30"/>
    </row>
    <row r="877" spans="18:18" ht="15.75" customHeight="1">
      <c r="R877" s="30"/>
    </row>
    <row r="878" spans="18:18" ht="15.75" customHeight="1">
      <c r="R878" s="30"/>
    </row>
    <row r="879" spans="18:18" ht="15.75" customHeight="1">
      <c r="R879" s="30"/>
    </row>
    <row r="880" spans="18:18" ht="15.75" customHeight="1">
      <c r="R880" s="30"/>
    </row>
    <row r="881" spans="18:18" ht="15.75" customHeight="1">
      <c r="R881" s="30"/>
    </row>
    <row r="882" spans="18:18" ht="15.75" customHeight="1">
      <c r="R882" s="30"/>
    </row>
    <row r="883" spans="18:18" ht="15.75" customHeight="1">
      <c r="R883" s="30"/>
    </row>
    <row r="884" spans="18:18" ht="15.75" customHeight="1">
      <c r="R884" s="30"/>
    </row>
    <row r="885" spans="18:18" ht="15.75" customHeight="1">
      <c r="R885" s="30"/>
    </row>
    <row r="886" spans="18:18" ht="15.75" customHeight="1">
      <c r="R886" s="30"/>
    </row>
    <row r="887" spans="18:18" ht="15.75" customHeight="1">
      <c r="R887" s="30"/>
    </row>
    <row r="888" spans="18:18" ht="15.75" customHeight="1">
      <c r="R888" s="30"/>
    </row>
    <row r="889" spans="18:18" ht="15.75" customHeight="1">
      <c r="R889" s="30"/>
    </row>
    <row r="890" spans="18:18" ht="15.75" customHeight="1">
      <c r="R890" s="30"/>
    </row>
    <row r="891" spans="18:18" ht="15.75" customHeight="1">
      <c r="R891" s="30"/>
    </row>
    <row r="892" spans="18:18" ht="15.75" customHeight="1">
      <c r="R892" s="30"/>
    </row>
    <row r="893" spans="18:18" ht="15.75" customHeight="1">
      <c r="R893" s="30"/>
    </row>
    <row r="894" spans="18:18" ht="15.75" customHeight="1">
      <c r="R894" s="30"/>
    </row>
    <row r="895" spans="18:18" ht="15.75" customHeight="1">
      <c r="R895" s="30"/>
    </row>
    <row r="896" spans="18:18" ht="15.75" customHeight="1">
      <c r="R896" s="30"/>
    </row>
    <row r="897" spans="18:18" ht="15.75" customHeight="1">
      <c r="R897" s="30"/>
    </row>
    <row r="898" spans="18:18" ht="15.75" customHeight="1">
      <c r="R898" s="30"/>
    </row>
    <row r="899" spans="18:18" ht="15.75" customHeight="1">
      <c r="R899" s="30"/>
    </row>
    <row r="900" spans="18:18" ht="15.75" customHeight="1">
      <c r="R900" s="30"/>
    </row>
    <row r="901" spans="18:18" ht="15.75" customHeight="1">
      <c r="R901" s="30"/>
    </row>
    <row r="902" spans="18:18" ht="15.75" customHeight="1">
      <c r="R902" s="30"/>
    </row>
    <row r="903" spans="18:18" ht="15.75" customHeight="1">
      <c r="R903" s="30"/>
    </row>
    <row r="904" spans="18:18" ht="15.75" customHeight="1">
      <c r="R904" s="30"/>
    </row>
    <row r="905" spans="18:18" ht="15.75" customHeight="1">
      <c r="R905" s="30"/>
    </row>
    <row r="906" spans="18:18" ht="15.75" customHeight="1">
      <c r="R906" s="30"/>
    </row>
    <row r="907" spans="18:18" ht="15.75" customHeight="1">
      <c r="R907" s="30"/>
    </row>
    <row r="908" spans="18:18" ht="15.75" customHeight="1">
      <c r="R908" s="30"/>
    </row>
    <row r="909" spans="18:18" ht="15.75" customHeight="1">
      <c r="R909" s="30"/>
    </row>
    <row r="910" spans="18:18" ht="15.75" customHeight="1">
      <c r="R910" s="30"/>
    </row>
    <row r="911" spans="18:18" ht="15.75" customHeight="1">
      <c r="R911" s="30"/>
    </row>
    <row r="912" spans="18:18" ht="15.75" customHeight="1">
      <c r="R912" s="30"/>
    </row>
    <row r="913" spans="18:18" ht="15.75" customHeight="1">
      <c r="R913" s="30"/>
    </row>
    <row r="914" spans="18:18" ht="15.75" customHeight="1">
      <c r="R914" s="30"/>
    </row>
    <row r="915" spans="18:18" ht="15.75" customHeight="1">
      <c r="R915" s="30"/>
    </row>
    <row r="916" spans="18:18" ht="15.75" customHeight="1">
      <c r="R916" s="30"/>
    </row>
    <row r="917" spans="18:18" ht="15.75" customHeight="1">
      <c r="R917" s="30"/>
    </row>
    <row r="918" spans="18:18" ht="15.75" customHeight="1">
      <c r="R918" s="30"/>
    </row>
    <row r="919" spans="18:18" ht="15.75" customHeight="1">
      <c r="R919" s="30"/>
    </row>
    <row r="920" spans="18:18" ht="15.75" customHeight="1">
      <c r="R920" s="30"/>
    </row>
    <row r="921" spans="18:18" ht="15.75" customHeight="1">
      <c r="R921" s="30"/>
    </row>
    <row r="922" spans="18:18" ht="15.75" customHeight="1">
      <c r="R922" s="30"/>
    </row>
    <row r="923" spans="18:18" ht="15.75" customHeight="1">
      <c r="R923" s="30"/>
    </row>
    <row r="924" spans="18:18" ht="15.75" customHeight="1">
      <c r="R924" s="30"/>
    </row>
    <row r="925" spans="18:18" ht="15.75" customHeight="1">
      <c r="R925" s="30"/>
    </row>
    <row r="926" spans="18:18" ht="15.75" customHeight="1">
      <c r="R926" s="30"/>
    </row>
    <row r="927" spans="18:18" ht="15.75" customHeight="1">
      <c r="R927" s="30"/>
    </row>
    <row r="928" spans="18:18" ht="15.75" customHeight="1">
      <c r="R928" s="30"/>
    </row>
    <row r="929" spans="18:18" ht="15.75" customHeight="1">
      <c r="R929" s="30"/>
    </row>
    <row r="930" spans="18:18" ht="15.75" customHeight="1">
      <c r="R930" s="30"/>
    </row>
    <row r="931" spans="18:18" ht="15.75" customHeight="1">
      <c r="R931" s="30"/>
    </row>
    <row r="932" spans="18:18" ht="15.75" customHeight="1">
      <c r="R932" s="30"/>
    </row>
    <row r="933" spans="18:18" ht="15.75" customHeight="1">
      <c r="R933" s="30"/>
    </row>
    <row r="934" spans="18:18" ht="15.75" customHeight="1">
      <c r="R934" s="30"/>
    </row>
    <row r="935" spans="18:18" ht="15.75" customHeight="1">
      <c r="R935" s="30"/>
    </row>
    <row r="936" spans="18:18" ht="15.75" customHeight="1">
      <c r="R936" s="30"/>
    </row>
    <row r="937" spans="18:18" ht="15.75" customHeight="1">
      <c r="R937" s="30"/>
    </row>
    <row r="938" spans="18:18" ht="15.75" customHeight="1">
      <c r="R938" s="30"/>
    </row>
    <row r="939" spans="18:18" ht="15.75" customHeight="1">
      <c r="R939" s="30"/>
    </row>
    <row r="940" spans="18:18" ht="15.75" customHeight="1">
      <c r="R940" s="30"/>
    </row>
    <row r="941" spans="18:18" ht="15.75" customHeight="1">
      <c r="R941" s="30"/>
    </row>
    <row r="942" spans="18:18" ht="15.75" customHeight="1">
      <c r="R942" s="30"/>
    </row>
    <row r="943" spans="18:18" ht="15.75" customHeight="1">
      <c r="R943" s="30"/>
    </row>
    <row r="944" spans="18:18" ht="15.75" customHeight="1">
      <c r="R944" s="30"/>
    </row>
    <row r="945" spans="18:18" ht="15.75" customHeight="1">
      <c r="R945" s="30"/>
    </row>
    <row r="946" spans="18:18" ht="15.75" customHeight="1">
      <c r="R946" s="30"/>
    </row>
    <row r="947" spans="18:18" ht="15.75" customHeight="1">
      <c r="R947" s="30"/>
    </row>
    <row r="948" spans="18:18" ht="15.75" customHeight="1">
      <c r="R948" s="30"/>
    </row>
    <row r="949" spans="18:18" ht="15.75" customHeight="1">
      <c r="R949" s="30"/>
    </row>
    <row r="950" spans="18:18" ht="15.75" customHeight="1">
      <c r="R950" s="30"/>
    </row>
    <row r="951" spans="18:18" ht="15.75" customHeight="1">
      <c r="R951" s="30"/>
    </row>
    <row r="952" spans="18:18" ht="15.75" customHeight="1">
      <c r="R952" s="30"/>
    </row>
    <row r="953" spans="18:18" ht="15.75" customHeight="1">
      <c r="R953" s="30"/>
    </row>
    <row r="954" spans="18:18" ht="15.75" customHeight="1">
      <c r="R954" s="30"/>
    </row>
    <row r="955" spans="18:18" ht="15.75" customHeight="1">
      <c r="R955" s="30"/>
    </row>
    <row r="956" spans="18:18" ht="15.75" customHeight="1">
      <c r="R956" s="30"/>
    </row>
    <row r="957" spans="18:18" ht="15.75" customHeight="1">
      <c r="R957" s="30"/>
    </row>
    <row r="958" spans="18:18" ht="15.75" customHeight="1">
      <c r="R958" s="30"/>
    </row>
    <row r="959" spans="18:18" ht="15.75" customHeight="1">
      <c r="R959" s="30"/>
    </row>
    <row r="960" spans="18:18" ht="15.75" customHeight="1">
      <c r="R960" s="30"/>
    </row>
    <row r="961" spans="18:18" ht="15.75" customHeight="1">
      <c r="R961" s="30"/>
    </row>
    <row r="962" spans="18:18" ht="15.75" customHeight="1">
      <c r="R962" s="30"/>
    </row>
    <row r="963" spans="18:18" ht="15.75" customHeight="1">
      <c r="R963" s="30"/>
    </row>
    <row r="964" spans="18:18" ht="15.75" customHeight="1">
      <c r="R964" s="30"/>
    </row>
    <row r="965" spans="18:18" ht="15.75" customHeight="1">
      <c r="R965" s="30"/>
    </row>
    <row r="966" spans="18:18" ht="15.75" customHeight="1">
      <c r="R966" s="30"/>
    </row>
    <row r="967" spans="18:18" ht="15.75" customHeight="1">
      <c r="R967" s="30"/>
    </row>
    <row r="968" spans="18:18" ht="15.75" customHeight="1">
      <c r="R968" s="30"/>
    </row>
    <row r="969" spans="18:18" ht="15.75" customHeight="1">
      <c r="R969" s="30"/>
    </row>
    <row r="970" spans="18:18" ht="15.75" customHeight="1">
      <c r="R970" s="30"/>
    </row>
    <row r="971" spans="18:18" ht="15.75" customHeight="1">
      <c r="R971" s="30"/>
    </row>
    <row r="972" spans="18:18" ht="15.75" customHeight="1">
      <c r="R972" s="30"/>
    </row>
    <row r="973" spans="18:18" ht="15.75" customHeight="1">
      <c r="R973" s="30"/>
    </row>
    <row r="974" spans="18:18" ht="15.75" customHeight="1">
      <c r="R974" s="30"/>
    </row>
    <row r="975" spans="18:18" ht="15.75" customHeight="1">
      <c r="R975" s="30"/>
    </row>
    <row r="976" spans="18:18" ht="15.75" customHeight="1">
      <c r="R976" s="30"/>
    </row>
    <row r="977" spans="18:18" ht="15.75" customHeight="1">
      <c r="R977" s="30"/>
    </row>
    <row r="978" spans="18:18" ht="15.75" customHeight="1">
      <c r="R978" s="30"/>
    </row>
    <row r="979" spans="18:18" ht="15.75" customHeight="1">
      <c r="R979" s="30"/>
    </row>
    <row r="980" spans="18:18" ht="15.75" customHeight="1">
      <c r="R980" s="30"/>
    </row>
    <row r="981" spans="18:18" ht="15.75" customHeight="1">
      <c r="R981" s="30"/>
    </row>
    <row r="982" spans="18:18" ht="15.75" customHeight="1">
      <c r="R982" s="30"/>
    </row>
    <row r="983" spans="18:18" ht="15.75" customHeight="1">
      <c r="R983" s="30"/>
    </row>
    <row r="984" spans="18:18" ht="15.75" customHeight="1">
      <c r="R984" s="30"/>
    </row>
    <row r="985" spans="18:18" ht="15.75" customHeight="1">
      <c r="R985" s="30"/>
    </row>
    <row r="986" spans="18:18" ht="15.75" customHeight="1">
      <c r="R986" s="30"/>
    </row>
    <row r="987" spans="18:18" ht="15.75" customHeight="1">
      <c r="R987" s="30"/>
    </row>
    <row r="988" spans="18:18" ht="15.75" customHeight="1">
      <c r="R988" s="30"/>
    </row>
    <row r="989" spans="18:18" ht="15.75" customHeight="1">
      <c r="R989" s="30"/>
    </row>
    <row r="990" spans="18:18" ht="15.75" customHeight="1">
      <c r="R990" s="30"/>
    </row>
    <row r="991" spans="18:18" ht="15.75" customHeight="1">
      <c r="R991" s="30"/>
    </row>
    <row r="992" spans="18:18" ht="15.75" customHeight="1">
      <c r="R992" s="30"/>
    </row>
    <row r="993" spans="18:18" ht="15.75" customHeight="1">
      <c r="R993" s="30"/>
    </row>
    <row r="994" spans="18:18" ht="15.75" customHeight="1">
      <c r="R994" s="30"/>
    </row>
    <row r="995" spans="18:18" ht="15.75" customHeight="1">
      <c r="R995" s="30"/>
    </row>
    <row r="996" spans="18:18" ht="15.75" customHeight="1">
      <c r="R996" s="30"/>
    </row>
    <row r="997" spans="18:18" ht="15.75" customHeight="1">
      <c r="R997" s="30"/>
    </row>
    <row r="998" spans="18:18" ht="15.75" customHeight="1">
      <c r="R998" s="30"/>
    </row>
    <row r="999" spans="18:18" ht="15.75" customHeight="1">
      <c r="R999" s="30"/>
    </row>
    <row r="1000" spans="18:18" ht="15.75" customHeight="1">
      <c r="R1000" s="3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2.6640625" defaultRowHeight="15" customHeight="1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8.6640625" customWidth="1"/>
    <col min="6" max="6" width="9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15.5" customWidth="1"/>
    <col min="16" max="16" width="10" customWidth="1"/>
    <col min="17" max="18" width="7.33203125" customWidth="1"/>
    <col min="19" max="19" width="7.1640625" customWidth="1"/>
    <col min="20" max="20" width="11.1640625" customWidth="1"/>
    <col min="21" max="21" width="19.1640625" customWidth="1"/>
    <col min="22" max="22" width="65.164062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6640625" customWidth="1"/>
    <col min="32" max="32" width="10.1640625" customWidth="1"/>
    <col min="33" max="33" width="8.83203125" customWidth="1"/>
  </cols>
  <sheetData>
    <row r="1" spans="1:33" ht="18.75" customHeight="1">
      <c r="A1" s="46" t="str">
        <f ca="1">IFERROR(__xludf.DUMMYFUNCTION("IFERROR(VLOOKUP(B2,IMPORTRANGE(""https://docs.google.com/spreadsheets/d/1x0DhHglkXKoEBOD2MBsuK_EyIr1ouxD2ftIpqOYFa-k/edit?usp=sharing"",""Ubiquitty-SKU-Specific Info!B1:BJ5000""),3,FALSE),"""")"),"Iron Forge Cable 12/3 Gauge ORANGE Lighted 50ft Extension Cord…")</f>
        <v>Iron Forge Cable 12/3 Gauge ORANGE Lighted 50ft Extension Cord…</v>
      </c>
      <c r="B1" s="47"/>
      <c r="C1" s="48" t="s">
        <v>0</v>
      </c>
      <c r="D1" s="50" t="s">
        <v>1</v>
      </c>
      <c r="E1" s="50" t="s">
        <v>2</v>
      </c>
      <c r="F1" s="52" t="s">
        <v>3</v>
      </c>
      <c r="G1" s="52" t="s">
        <v>4</v>
      </c>
      <c r="H1" s="53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58" t="s">
        <v>10</v>
      </c>
      <c r="N1" s="59" t="s">
        <v>11</v>
      </c>
      <c r="O1" s="50" t="s">
        <v>12</v>
      </c>
      <c r="P1" s="50" t="s">
        <v>13</v>
      </c>
      <c r="Q1" s="57" t="s">
        <v>14</v>
      </c>
      <c r="R1" s="57" t="s">
        <v>15</v>
      </c>
      <c r="S1" s="60" t="s">
        <v>16</v>
      </c>
      <c r="T1" s="62" t="s">
        <v>2006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Info!B1:BJ5000""),2,FALSE),"""")"),"B01DDV8ASG")</f>
        <v>B01DDV8ASG</v>
      </c>
      <c r="B2" s="3" t="s">
        <v>929</v>
      </c>
      <c r="C2" s="49"/>
      <c r="D2" s="49"/>
      <c r="E2" s="51"/>
      <c r="F2" s="49"/>
      <c r="G2" s="49"/>
      <c r="H2" s="54"/>
      <c r="I2" s="49"/>
      <c r="J2" s="49"/>
      <c r="K2" s="54"/>
      <c r="L2" s="54"/>
      <c r="M2" s="54"/>
      <c r="N2" s="49"/>
      <c r="O2" s="49"/>
      <c r="P2" s="51"/>
      <c r="Q2" s="49"/>
      <c r="R2" s="49"/>
      <c r="S2" s="61"/>
      <c r="T2" s="47"/>
      <c r="U2" s="63"/>
      <c r="V2" s="63"/>
      <c r="W2" s="47"/>
      <c r="X2" s="47"/>
      <c r="Y2" s="47"/>
      <c r="Z2" s="47"/>
      <c r="AA2" s="63"/>
      <c r="AB2" s="63"/>
      <c r="AC2" s="63"/>
      <c r="AD2" s="63"/>
      <c r="AE2" s="47"/>
      <c r="AF2" s="47"/>
      <c r="AG2" s="47"/>
    </row>
    <row r="3" spans="1:33" ht="155.25" customHeight="1">
      <c r="A3" s="55" t="s">
        <v>31</v>
      </c>
      <c r="B3" s="56"/>
      <c r="C3" s="4">
        <f>((AE32+AF32)/0.85)*-1</f>
        <v>27.642164797794116</v>
      </c>
      <c r="D3" s="5">
        <f>SUM(D4:D99765)</f>
        <v>430</v>
      </c>
      <c r="E3" s="5"/>
      <c r="F3" s="6">
        <f t="shared" ref="F3:G3" si="0">SUM(F4:F99765)</f>
        <v>17818.22</v>
      </c>
      <c r="G3" s="6">
        <f t="shared" si="0"/>
        <v>-4.0900000000000007</v>
      </c>
      <c r="H3" s="7">
        <f t="shared" ref="H3:H32" si="1">G3/F3*-1</f>
        <v>2.2954032445440681E-4</v>
      </c>
      <c r="I3" s="8">
        <f t="shared" ref="I3:I32" si="2">J3/F3</f>
        <v>0.26766921953830114</v>
      </c>
      <c r="J3" s="6">
        <f>SUM(J4:J99765)</f>
        <v>4769.3890409617488</v>
      </c>
      <c r="K3" s="6">
        <f t="shared" ref="K3:K32" si="3">J3/D3</f>
        <v>11.091602420841276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Sheet!a1:g5000""),2,FALSE),"""")"),"2 - March
2 - April
5 - May
5 - June
5 - July
3 - Aug
2 - Sept
3 - Oct
4.5 - Nov
5 - Dec
2 - Jan
2 - Feb")</f>
        <v>2 - March
2 - April
5 - May
5 - June
5 - July
3 - Aug
2 - Sept
3 - Oct
4.5 - Nov
5 - Dec
2 - Jan
2 -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QTY-1")</f>
        <v>Del QTY-1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QTY-0")</f>
        <v>US QTY-0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12</v>
      </c>
      <c r="X3" s="7">
        <f>W3/D3</f>
        <v>2.7906976744186046E-2</v>
      </c>
      <c r="Y3" s="6"/>
      <c r="Z3" s="5"/>
      <c r="AA3" s="5"/>
      <c r="AB3" s="5"/>
      <c r="AC3" s="5"/>
      <c r="AD3" s="6">
        <f>SUM(AD4:AD99765)</f>
        <v>-112.02638943221322</v>
      </c>
      <c r="AE3" s="6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Info!B2:BZ3000""),37,FALSE)),"""")*-1"),-16.315840078125)</f>
        <v>-16.315840078124999</v>
      </c>
      <c r="AG3" s="6">
        <f>SUM(AG4:AG99765)</f>
        <v>0</v>
      </c>
    </row>
    <row r="4" spans="1:33" ht="15.75" customHeight="1">
      <c r="A4" s="14" t="s">
        <v>181</v>
      </c>
      <c r="B4" s="14" t="s">
        <v>68</v>
      </c>
      <c r="C4" s="15">
        <f t="shared" ref="C4:C32" si="4">IFERROR(F4/D4," - ")</f>
        <v>42.821666666666665</v>
      </c>
      <c r="D4" s="16">
        <v>12</v>
      </c>
      <c r="E4" s="16">
        <v>0</v>
      </c>
      <c r="F4" s="17">
        <v>513.86</v>
      </c>
      <c r="G4" s="17">
        <v>-0.08</v>
      </c>
      <c r="H4" s="18">
        <f t="shared" si="1"/>
        <v>1.5568442766512281E-4</v>
      </c>
      <c r="I4" s="18">
        <f t="shared" si="2"/>
        <v>0.26704948517355331</v>
      </c>
      <c r="J4" s="17">
        <f t="shared" ref="J4:J32" si="5">F4*0.85+G4+AF4*D4+D4*AE4+AG4+AD4</f>
        <v>137.22604845128211</v>
      </c>
      <c r="K4" s="17">
        <f t="shared" si="3"/>
        <v>11.435504037606842</v>
      </c>
      <c r="L4" s="16">
        <v>52</v>
      </c>
      <c r="M4" s="19">
        <f t="shared" ref="M4:M32" si="6">IFERROR(D4/L4,"-")</f>
        <v>0.23076923076923078</v>
      </c>
      <c r="N4" s="16">
        <v>88</v>
      </c>
      <c r="O4" s="20">
        <f t="shared" ref="O4:P4" si="7">D4/7</f>
        <v>1.7142857142857142</v>
      </c>
      <c r="P4" s="20">
        <f t="shared" si="7"/>
        <v>0</v>
      </c>
      <c r="Q4" s="16">
        <f t="shared" ref="Q4:Q32" si="8">ROUNDDOWN(N4/(O4+P4),0)</f>
        <v>51</v>
      </c>
      <c r="R4" s="16"/>
      <c r="S4" s="21">
        <v>1.59313725490196</v>
      </c>
      <c r="T4" s="14">
        <v>204</v>
      </c>
      <c r="U4" s="22" t="s">
        <v>34</v>
      </c>
      <c r="V4" s="23" t="s">
        <v>34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26" t="s">
        <v>35</v>
      </c>
      <c r="AB4" s="27">
        <f t="shared" ref="AB4:AB32" si="11">IF(OR(AA4="UsLargeStandardSize",AA4="UsSmallStandardSize"),-0.69,-0.48)</f>
        <v>-0.69</v>
      </c>
      <c r="AC4" s="28">
        <v>0.18878222222222224</v>
      </c>
      <c r="AD4" s="25">
        <f t="shared" ref="AD4:AD32" si="12">IFERROR(AB4*AC4*D4*2,0)</f>
        <v>-3.1262335999999999</v>
      </c>
      <c r="AE4" s="25">
        <v>-7.32</v>
      </c>
      <c r="AF4" s="25">
        <v>-17.375726495726493</v>
      </c>
      <c r="AG4" s="25">
        <v>0</v>
      </c>
    </row>
    <row r="5" spans="1:33" ht="15.75" customHeight="1">
      <c r="A5" s="14" t="s">
        <v>183</v>
      </c>
      <c r="B5" s="14" t="s">
        <v>68</v>
      </c>
      <c r="C5" s="15">
        <f t="shared" si="4"/>
        <v>43.137999999999998</v>
      </c>
      <c r="D5" s="16">
        <v>10</v>
      </c>
      <c r="E5" s="16">
        <v>0</v>
      </c>
      <c r="F5" s="29">
        <v>431.38</v>
      </c>
      <c r="G5" s="29">
        <v>-0.03</v>
      </c>
      <c r="H5" s="18">
        <f t="shared" si="1"/>
        <v>6.9544253326533453E-5</v>
      </c>
      <c r="I5" s="18">
        <f t="shared" si="2"/>
        <v>0.27140229405749428</v>
      </c>
      <c r="J5" s="17">
        <f t="shared" si="5"/>
        <v>117.07752161052188</v>
      </c>
      <c r="K5" s="17">
        <f t="shared" si="3"/>
        <v>11.707752161052188</v>
      </c>
      <c r="L5" s="16">
        <v>64</v>
      </c>
      <c r="M5" s="19">
        <f t="shared" si="6"/>
        <v>0.15625</v>
      </c>
      <c r="N5" s="16">
        <v>85</v>
      </c>
      <c r="O5" s="20">
        <f t="shared" ref="O5:P5" si="13">D5/7</f>
        <v>1.4285714285714286</v>
      </c>
      <c r="P5" s="20">
        <f t="shared" si="13"/>
        <v>0</v>
      </c>
      <c r="Q5" s="16">
        <f t="shared" si="8"/>
        <v>59</v>
      </c>
      <c r="R5" s="16"/>
      <c r="S5" s="21">
        <v>1.2964824120603</v>
      </c>
      <c r="T5" s="14">
        <v>204</v>
      </c>
      <c r="U5" s="22" t="s">
        <v>34</v>
      </c>
      <c r="V5" s="23" t="s">
        <v>34</v>
      </c>
      <c r="W5" s="14">
        <v>0</v>
      </c>
      <c r="X5" s="24">
        <f t="shared" si="9"/>
        <v>0</v>
      </c>
      <c r="Y5" s="25">
        <f t="shared" si="10"/>
        <v>0</v>
      </c>
      <c r="Z5" s="14">
        <v>0</v>
      </c>
      <c r="AA5" s="14" t="s">
        <v>35</v>
      </c>
      <c r="AB5" s="27">
        <f t="shared" si="11"/>
        <v>-0.69</v>
      </c>
      <c r="AC5" s="28">
        <v>0.18900097334878332</v>
      </c>
      <c r="AD5" s="25">
        <f t="shared" si="12"/>
        <v>-2.6082134322132093</v>
      </c>
      <c r="AE5" s="25">
        <v>-7.32</v>
      </c>
      <c r="AF5" s="25">
        <v>-17.375726495726493</v>
      </c>
      <c r="AG5" s="25">
        <v>0</v>
      </c>
    </row>
    <row r="6" spans="1:33" ht="15.75" customHeight="1">
      <c r="A6" s="14" t="s">
        <v>185</v>
      </c>
      <c r="B6" s="14" t="s">
        <v>930</v>
      </c>
      <c r="C6" s="15">
        <f t="shared" si="4"/>
        <v>42.177692307692311</v>
      </c>
      <c r="D6" s="16">
        <v>13</v>
      </c>
      <c r="E6" s="16">
        <v>0</v>
      </c>
      <c r="F6" s="29">
        <v>548.31000000000006</v>
      </c>
      <c r="G6" s="29">
        <v>-0.22000000000000003</v>
      </c>
      <c r="H6" s="18">
        <f t="shared" si="1"/>
        <v>4.0123287921066549E-4</v>
      </c>
      <c r="I6" s="18">
        <f t="shared" si="2"/>
        <v>0.25790575128830212</v>
      </c>
      <c r="J6" s="17">
        <f t="shared" si="5"/>
        <v>141.41230248888894</v>
      </c>
      <c r="K6" s="17">
        <f t="shared" si="3"/>
        <v>10.877869422222226</v>
      </c>
      <c r="L6" s="16">
        <v>53</v>
      </c>
      <c r="M6" s="19">
        <f t="shared" si="6"/>
        <v>0.24528301886792453</v>
      </c>
      <c r="N6" s="16">
        <v>74</v>
      </c>
      <c r="O6" s="20">
        <f t="shared" ref="O6:P6" si="14">D6/7</f>
        <v>1.8571428571428572</v>
      </c>
      <c r="P6" s="20">
        <f t="shared" si="14"/>
        <v>0</v>
      </c>
      <c r="Q6" s="16">
        <f t="shared" si="8"/>
        <v>39</v>
      </c>
      <c r="R6" s="16"/>
      <c r="S6" s="21">
        <v>1.26417370325693</v>
      </c>
      <c r="T6" s="14">
        <v>520</v>
      </c>
      <c r="U6" s="22">
        <v>124</v>
      </c>
      <c r="V6" s="23" t="s">
        <v>931</v>
      </c>
      <c r="W6" s="14">
        <v>2</v>
      </c>
      <c r="X6" s="24">
        <f t="shared" si="9"/>
        <v>0.15384615384615385</v>
      </c>
      <c r="Y6" s="25">
        <f t="shared" si="10"/>
        <v>0.11000000000000001</v>
      </c>
      <c r="Z6" s="14">
        <v>0</v>
      </c>
      <c r="AA6" s="14" t="s">
        <v>35</v>
      </c>
      <c r="AB6" s="27">
        <f t="shared" si="11"/>
        <v>-0.69</v>
      </c>
      <c r="AC6" s="28">
        <v>0.18878222222222224</v>
      </c>
      <c r="AD6" s="25">
        <f t="shared" si="12"/>
        <v>-3.3867530666666665</v>
      </c>
      <c r="AE6" s="25">
        <v>-7.32</v>
      </c>
      <c r="AF6" s="25">
        <v>-17.375726495726493</v>
      </c>
      <c r="AG6" s="25">
        <v>0</v>
      </c>
    </row>
    <row r="7" spans="1:33" ht="15.75" customHeight="1">
      <c r="A7" s="14" t="s">
        <v>187</v>
      </c>
      <c r="B7" s="14" t="s">
        <v>932</v>
      </c>
      <c r="C7" s="15">
        <f t="shared" si="4"/>
        <v>43.630909090909093</v>
      </c>
      <c r="D7" s="16">
        <v>11</v>
      </c>
      <c r="E7" s="16">
        <v>0</v>
      </c>
      <c r="F7" s="29">
        <v>479.94000000000005</v>
      </c>
      <c r="G7" s="29">
        <v>-7.0000000000000007E-2</v>
      </c>
      <c r="H7" s="18">
        <f t="shared" si="1"/>
        <v>1.4585156477893069E-4</v>
      </c>
      <c r="I7" s="18">
        <f t="shared" si="2"/>
        <v>0.27786868028019174</v>
      </c>
      <c r="J7" s="17">
        <f t="shared" si="5"/>
        <v>133.36029441367523</v>
      </c>
      <c r="K7" s="17">
        <f t="shared" si="3"/>
        <v>12.123663128515931</v>
      </c>
      <c r="L7" s="16">
        <v>65</v>
      </c>
      <c r="M7" s="19">
        <f t="shared" si="6"/>
        <v>0.16923076923076924</v>
      </c>
      <c r="N7" s="16">
        <v>61</v>
      </c>
      <c r="O7" s="20">
        <f t="shared" ref="O7:P7" si="15">D7/7</f>
        <v>1.5714285714285714</v>
      </c>
      <c r="P7" s="20">
        <f t="shared" si="15"/>
        <v>0</v>
      </c>
      <c r="Q7" s="16">
        <f t="shared" si="8"/>
        <v>38</v>
      </c>
      <c r="R7" s="16"/>
      <c r="S7" s="21">
        <v>1.3641025641025599</v>
      </c>
      <c r="T7" s="14">
        <v>606</v>
      </c>
      <c r="U7" s="22">
        <v>124</v>
      </c>
      <c r="V7" s="23" t="s">
        <v>933</v>
      </c>
      <c r="W7" s="14">
        <v>0</v>
      </c>
      <c r="X7" s="24">
        <f t="shared" si="9"/>
        <v>0</v>
      </c>
      <c r="Y7" s="25">
        <f t="shared" si="10"/>
        <v>0</v>
      </c>
      <c r="Z7" s="14">
        <v>0</v>
      </c>
      <c r="AA7" s="14" t="s">
        <v>35</v>
      </c>
      <c r="AB7" s="27">
        <f t="shared" si="11"/>
        <v>-0.69</v>
      </c>
      <c r="AC7" s="28">
        <v>0.18878222222222224</v>
      </c>
      <c r="AD7" s="25">
        <f t="shared" si="12"/>
        <v>-2.8657141333333329</v>
      </c>
      <c r="AE7" s="25">
        <v>-7.32</v>
      </c>
      <c r="AF7" s="25">
        <v>-17.375726495726493</v>
      </c>
      <c r="AG7" s="25">
        <v>0</v>
      </c>
    </row>
    <row r="8" spans="1:33" ht="15.75" customHeight="1">
      <c r="A8" s="14" t="s">
        <v>189</v>
      </c>
      <c r="B8" s="14" t="s">
        <v>68</v>
      </c>
      <c r="C8" s="15">
        <f t="shared" si="4"/>
        <v>42.658750000000005</v>
      </c>
      <c r="D8" s="16">
        <v>16</v>
      </c>
      <c r="E8" s="16">
        <v>0</v>
      </c>
      <c r="F8" s="29">
        <v>682.54000000000008</v>
      </c>
      <c r="G8" s="29">
        <v>-7.0000000000000007E-2</v>
      </c>
      <c r="H8" s="18">
        <f t="shared" si="1"/>
        <v>1.0255809183344566E-4</v>
      </c>
      <c r="I8" s="18">
        <f t="shared" si="2"/>
        <v>0.26477669958293049</v>
      </c>
      <c r="J8" s="17">
        <f t="shared" si="5"/>
        <v>180.7206885333334</v>
      </c>
      <c r="K8" s="17">
        <f t="shared" si="3"/>
        <v>11.295043033333338</v>
      </c>
      <c r="L8" s="16">
        <v>53</v>
      </c>
      <c r="M8" s="19">
        <f t="shared" si="6"/>
        <v>0.30188679245283018</v>
      </c>
      <c r="N8" s="16">
        <v>47</v>
      </c>
      <c r="O8" s="20">
        <f t="shared" ref="O8:P8" si="16">D8/7</f>
        <v>2.2857142857142856</v>
      </c>
      <c r="P8" s="20">
        <f t="shared" si="16"/>
        <v>0</v>
      </c>
      <c r="Q8" s="16">
        <f t="shared" si="8"/>
        <v>20</v>
      </c>
      <c r="R8" s="16"/>
      <c r="S8" s="21">
        <v>1.55555555555555</v>
      </c>
      <c r="T8" s="14">
        <v>606</v>
      </c>
      <c r="U8" s="22">
        <v>124</v>
      </c>
      <c r="V8" s="23" t="s">
        <v>934</v>
      </c>
      <c r="W8" s="14">
        <v>0</v>
      </c>
      <c r="X8" s="24">
        <f t="shared" si="9"/>
        <v>0</v>
      </c>
      <c r="Y8" s="25">
        <f t="shared" si="10"/>
        <v>0</v>
      </c>
      <c r="Z8" s="14">
        <v>0</v>
      </c>
      <c r="AA8" s="14" t="s">
        <v>35</v>
      </c>
      <c r="AB8" s="27">
        <f t="shared" si="11"/>
        <v>-0.69</v>
      </c>
      <c r="AC8" s="28">
        <v>0.18878222222222224</v>
      </c>
      <c r="AD8" s="25">
        <f t="shared" si="12"/>
        <v>-4.1683114666666663</v>
      </c>
      <c r="AE8" s="25">
        <v>-7.32</v>
      </c>
      <c r="AF8" s="25">
        <v>-17.38</v>
      </c>
      <c r="AG8" s="25">
        <v>0</v>
      </c>
    </row>
    <row r="9" spans="1:33" ht="15.75" customHeight="1">
      <c r="A9" s="14" t="s">
        <v>191</v>
      </c>
      <c r="B9" s="14" t="s">
        <v>935</v>
      </c>
      <c r="C9" s="15">
        <f t="shared" si="4"/>
        <v>42.364615384615384</v>
      </c>
      <c r="D9" s="16">
        <v>13</v>
      </c>
      <c r="E9" s="16">
        <v>0</v>
      </c>
      <c r="F9" s="29">
        <v>550.74</v>
      </c>
      <c r="G9" s="29">
        <v>-0.06</v>
      </c>
      <c r="H9" s="18">
        <f t="shared" si="1"/>
        <v>1.0894432944765224E-4</v>
      </c>
      <c r="I9" s="18">
        <f t="shared" si="2"/>
        <v>0.25352560441910493</v>
      </c>
      <c r="J9" s="17">
        <f t="shared" si="5"/>
        <v>139.62669137777786</v>
      </c>
      <c r="K9" s="17">
        <f t="shared" si="3"/>
        <v>10.740514721367528</v>
      </c>
      <c r="L9" s="16">
        <v>77</v>
      </c>
      <c r="M9" s="19">
        <f t="shared" si="6"/>
        <v>0.16883116883116883</v>
      </c>
      <c r="N9" s="16">
        <v>32</v>
      </c>
      <c r="O9" s="20">
        <f t="shared" ref="O9:P9" si="17">D9/7</f>
        <v>1.8571428571428572</v>
      </c>
      <c r="P9" s="20">
        <f t="shared" si="17"/>
        <v>0</v>
      </c>
      <c r="Q9" s="16">
        <f t="shared" si="8"/>
        <v>17</v>
      </c>
      <c r="R9" s="16"/>
      <c r="S9" s="21">
        <v>1.79870129870129</v>
      </c>
      <c r="T9" s="14">
        <v>606</v>
      </c>
      <c r="U9" s="22">
        <v>124</v>
      </c>
      <c r="V9" s="23" t="s">
        <v>936</v>
      </c>
      <c r="W9" s="14">
        <v>1</v>
      </c>
      <c r="X9" s="24">
        <f t="shared" si="9"/>
        <v>7.6923076923076927E-2</v>
      </c>
      <c r="Y9" s="25">
        <f t="shared" si="10"/>
        <v>0.06</v>
      </c>
      <c r="Z9" s="14">
        <v>0</v>
      </c>
      <c r="AA9" s="14" t="s">
        <v>35</v>
      </c>
      <c r="AB9" s="27">
        <f t="shared" si="11"/>
        <v>-0.69</v>
      </c>
      <c r="AC9" s="28">
        <v>0.18878222222222224</v>
      </c>
      <c r="AD9" s="25">
        <f t="shared" si="12"/>
        <v>-3.3867530666666665</v>
      </c>
      <c r="AE9" s="25">
        <v>-7.32</v>
      </c>
      <c r="AF9" s="25">
        <v>-17.684273504273499</v>
      </c>
      <c r="AG9" s="25">
        <v>0</v>
      </c>
    </row>
    <row r="10" spans="1:33" ht="15.75" customHeight="1">
      <c r="A10" s="14" t="s">
        <v>192</v>
      </c>
      <c r="B10" s="14" t="s">
        <v>937</v>
      </c>
      <c r="C10" s="15">
        <f t="shared" si="4"/>
        <v>41.561111111111117</v>
      </c>
      <c r="D10" s="16">
        <v>18</v>
      </c>
      <c r="E10" s="16">
        <v>0</v>
      </c>
      <c r="F10" s="29">
        <v>748.10000000000014</v>
      </c>
      <c r="G10" s="29">
        <v>-0.2</v>
      </c>
      <c r="H10" s="18">
        <f t="shared" si="1"/>
        <v>2.6734393797620638E-4</v>
      </c>
      <c r="I10" s="18">
        <f t="shared" si="2"/>
        <v>0.24183762401159878</v>
      </c>
      <c r="J10" s="17">
        <f t="shared" si="5"/>
        <v>180.91872652307708</v>
      </c>
      <c r="K10" s="17">
        <f t="shared" si="3"/>
        <v>10.051040362393172</v>
      </c>
      <c r="L10" s="16">
        <v>81</v>
      </c>
      <c r="M10" s="19">
        <f t="shared" si="6"/>
        <v>0.22222222222222221</v>
      </c>
      <c r="N10" s="16">
        <v>19</v>
      </c>
      <c r="O10" s="20">
        <f t="shared" ref="O10:P10" si="18">D10/7</f>
        <v>2.5714285714285716</v>
      </c>
      <c r="P10" s="20">
        <f t="shared" si="18"/>
        <v>0</v>
      </c>
      <c r="Q10" s="16">
        <f t="shared" si="8"/>
        <v>7</v>
      </c>
      <c r="R10" s="16"/>
      <c r="S10" s="21">
        <v>1.9778597785977801</v>
      </c>
      <c r="T10" s="14">
        <v>606</v>
      </c>
      <c r="U10" s="22">
        <v>124</v>
      </c>
      <c r="V10" s="23" t="s">
        <v>938</v>
      </c>
      <c r="W10" s="14">
        <v>0</v>
      </c>
      <c r="X10" s="24">
        <f t="shared" si="9"/>
        <v>0</v>
      </c>
      <c r="Y10" s="25">
        <f t="shared" si="10"/>
        <v>0</v>
      </c>
      <c r="Z10" s="14">
        <v>0</v>
      </c>
      <c r="AA10" s="14" t="s">
        <v>35</v>
      </c>
      <c r="AB10" s="27">
        <f t="shared" si="11"/>
        <v>-0.69</v>
      </c>
      <c r="AC10" s="28">
        <v>0.18878222222222224</v>
      </c>
      <c r="AD10" s="25">
        <f t="shared" si="12"/>
        <v>-4.6893503999999995</v>
      </c>
      <c r="AE10" s="25">
        <v>-7.32</v>
      </c>
      <c r="AF10" s="25">
        <v>-17.684273504273499</v>
      </c>
      <c r="AG10" s="25">
        <v>0</v>
      </c>
    </row>
    <row r="11" spans="1:33" ht="15.75" customHeight="1">
      <c r="A11" s="14" t="s">
        <v>193</v>
      </c>
      <c r="B11" s="14" t="s">
        <v>939</v>
      </c>
      <c r="C11" s="15">
        <f t="shared" si="4"/>
        <v>45.859000000000002</v>
      </c>
      <c r="D11" s="16">
        <v>10</v>
      </c>
      <c r="E11" s="16">
        <v>0</v>
      </c>
      <c r="F11" s="29">
        <v>458.59000000000003</v>
      </c>
      <c r="G11" s="29">
        <v>-0.38</v>
      </c>
      <c r="H11" s="18">
        <f t="shared" si="1"/>
        <v>8.2862687803920705E-4</v>
      </c>
      <c r="I11" s="18">
        <f t="shared" si="2"/>
        <v>0.2982480435478278</v>
      </c>
      <c r="J11" s="17">
        <f t="shared" si="5"/>
        <v>136.77357029059837</v>
      </c>
      <c r="K11" s="17">
        <f t="shared" si="3"/>
        <v>13.677357029059838</v>
      </c>
      <c r="L11" s="16">
        <v>72</v>
      </c>
      <c r="M11" s="19">
        <f t="shared" si="6"/>
        <v>0.1388888888888889</v>
      </c>
      <c r="N11" s="16">
        <v>5</v>
      </c>
      <c r="O11" s="20">
        <f t="shared" ref="O11:P11" si="19">D11/7</f>
        <v>1.4285714285714286</v>
      </c>
      <c r="P11" s="20">
        <f t="shared" si="19"/>
        <v>0</v>
      </c>
      <c r="Q11" s="16">
        <f t="shared" si="8"/>
        <v>3</v>
      </c>
      <c r="R11" s="16"/>
      <c r="S11" s="21">
        <v>2.0928270042194002</v>
      </c>
      <c r="T11" s="14">
        <v>606</v>
      </c>
      <c r="U11" s="22">
        <v>124</v>
      </c>
      <c r="V11" s="23" t="s">
        <v>940</v>
      </c>
      <c r="W11" s="14">
        <v>0</v>
      </c>
      <c r="X11" s="24">
        <f t="shared" si="9"/>
        <v>0</v>
      </c>
      <c r="Y11" s="25">
        <f t="shared" si="10"/>
        <v>0</v>
      </c>
      <c r="Z11" s="14">
        <v>0</v>
      </c>
      <c r="AA11" s="14" t="s">
        <v>35</v>
      </c>
      <c r="AB11" s="27">
        <f t="shared" si="11"/>
        <v>-0.69</v>
      </c>
      <c r="AC11" s="28">
        <v>0.18878222222222224</v>
      </c>
      <c r="AD11" s="25">
        <f t="shared" si="12"/>
        <v>-2.6051946666666663</v>
      </c>
      <c r="AE11" s="25">
        <v>-7.32</v>
      </c>
      <c r="AF11" s="25">
        <v>-17.684273504273499</v>
      </c>
      <c r="AG11" s="25">
        <v>0</v>
      </c>
    </row>
    <row r="12" spans="1:33" ht="15.75" customHeight="1">
      <c r="A12" s="14" t="s">
        <v>195</v>
      </c>
      <c r="B12" s="14" t="s">
        <v>941</v>
      </c>
      <c r="C12" s="15">
        <f t="shared" si="4"/>
        <v>50.24</v>
      </c>
      <c r="D12" s="16">
        <v>3</v>
      </c>
      <c r="E12" s="16">
        <v>0</v>
      </c>
      <c r="F12" s="29">
        <v>150.72</v>
      </c>
      <c r="G12" s="29">
        <v>-0.14000000000000001</v>
      </c>
      <c r="H12" s="18">
        <f t="shared" si="1"/>
        <v>9.288747346072188E-4</v>
      </c>
      <c r="I12" s="18">
        <f t="shared" si="2"/>
        <v>0.34618909956992761</v>
      </c>
      <c r="J12" s="17">
        <f t="shared" si="5"/>
        <v>52.177621087179489</v>
      </c>
      <c r="K12" s="17">
        <f t="shared" si="3"/>
        <v>17.392540362393163</v>
      </c>
      <c r="L12" s="16">
        <v>37</v>
      </c>
      <c r="M12" s="19">
        <f t="shared" si="6"/>
        <v>8.1081081081081086E-2</v>
      </c>
      <c r="N12" s="16">
        <v>3</v>
      </c>
      <c r="O12" s="20">
        <f t="shared" ref="O12:P12" si="20">D12/7</f>
        <v>0.42857142857142855</v>
      </c>
      <c r="P12" s="20">
        <f t="shared" si="20"/>
        <v>0</v>
      </c>
      <c r="Q12" s="16">
        <f t="shared" si="8"/>
        <v>7</v>
      </c>
      <c r="R12" s="16"/>
      <c r="S12" s="21">
        <v>2.2536585365853599</v>
      </c>
      <c r="T12" s="14">
        <v>606</v>
      </c>
      <c r="U12" s="22">
        <v>124</v>
      </c>
      <c r="V12" s="23" t="s">
        <v>942</v>
      </c>
      <c r="W12" s="14">
        <v>0</v>
      </c>
      <c r="X12" s="24">
        <f t="shared" si="9"/>
        <v>0</v>
      </c>
      <c r="Y12" s="25">
        <f t="shared" si="10"/>
        <v>0</v>
      </c>
      <c r="Z12" s="14">
        <v>0</v>
      </c>
      <c r="AA12" s="14" t="s">
        <v>35</v>
      </c>
      <c r="AB12" s="27">
        <f t="shared" si="11"/>
        <v>-0.69</v>
      </c>
      <c r="AC12" s="28">
        <v>0.18878222222222224</v>
      </c>
      <c r="AD12" s="25">
        <f t="shared" si="12"/>
        <v>-0.78155839999999999</v>
      </c>
      <c r="AE12" s="25">
        <v>-7.32</v>
      </c>
      <c r="AF12" s="25">
        <v>-17.684273504273499</v>
      </c>
      <c r="AG12" s="25">
        <v>0</v>
      </c>
    </row>
    <row r="13" spans="1:33" ht="15.75" customHeight="1">
      <c r="A13" s="14" t="s">
        <v>197</v>
      </c>
      <c r="B13" s="14" t="s">
        <v>68</v>
      </c>
      <c r="C13" s="15">
        <f t="shared" si="4"/>
        <v>55.26</v>
      </c>
      <c r="D13" s="16">
        <v>1</v>
      </c>
      <c r="E13" s="16">
        <v>0</v>
      </c>
      <c r="F13" s="17">
        <v>55.26</v>
      </c>
      <c r="G13" s="29">
        <v>-0.14000000000000001</v>
      </c>
      <c r="H13" s="18">
        <f t="shared" si="1"/>
        <v>2.5334781035106771E-3</v>
      </c>
      <c r="I13" s="18">
        <f t="shared" si="2"/>
        <v>0.38732924116298822</v>
      </c>
      <c r="J13" s="17">
        <f t="shared" si="5"/>
        <v>21.403813866666727</v>
      </c>
      <c r="K13" s="17">
        <f t="shared" si="3"/>
        <v>21.403813866666727</v>
      </c>
      <c r="L13" s="16">
        <v>36</v>
      </c>
      <c r="M13" s="19">
        <f t="shared" si="6"/>
        <v>2.7777777777777776E-2</v>
      </c>
      <c r="N13" s="16">
        <v>2</v>
      </c>
      <c r="O13" s="20">
        <f t="shared" ref="O13:P13" si="21">D13/7</f>
        <v>0.14285714285714285</v>
      </c>
      <c r="P13" s="20">
        <f t="shared" si="21"/>
        <v>0</v>
      </c>
      <c r="Q13" s="16">
        <f t="shared" si="8"/>
        <v>14</v>
      </c>
      <c r="R13" s="16"/>
      <c r="S13" s="21">
        <v>2.25</v>
      </c>
      <c r="T13" s="14">
        <v>606</v>
      </c>
      <c r="U13" s="22">
        <v>124</v>
      </c>
      <c r="V13" s="23" t="s">
        <v>942</v>
      </c>
      <c r="W13" s="14">
        <v>0</v>
      </c>
      <c r="X13" s="24">
        <f t="shared" si="9"/>
        <v>0</v>
      </c>
      <c r="Y13" s="25">
        <f t="shared" si="10"/>
        <v>0</v>
      </c>
      <c r="Z13" s="14">
        <v>0</v>
      </c>
      <c r="AA13" s="14" t="s">
        <v>35</v>
      </c>
      <c r="AB13" s="27">
        <f t="shared" si="11"/>
        <v>-0.69</v>
      </c>
      <c r="AC13" s="28">
        <v>0.18878222222222224</v>
      </c>
      <c r="AD13" s="25">
        <f t="shared" si="12"/>
        <v>-0.26051946666666664</v>
      </c>
      <c r="AE13" s="25">
        <v>-7.32</v>
      </c>
      <c r="AF13" s="25">
        <v>-17.8466666666666</v>
      </c>
      <c r="AG13" s="25">
        <v>0</v>
      </c>
    </row>
    <row r="14" spans="1:33" ht="15.75" customHeight="1">
      <c r="A14" s="14" t="s">
        <v>32</v>
      </c>
      <c r="B14" s="14" t="s">
        <v>343</v>
      </c>
      <c r="C14" s="15">
        <f t="shared" si="4"/>
        <v>58.68</v>
      </c>
      <c r="D14" s="16">
        <v>2</v>
      </c>
      <c r="E14" s="16">
        <v>0</v>
      </c>
      <c r="F14" s="17">
        <v>117.36</v>
      </c>
      <c r="G14" s="29">
        <v>-7.0000000000000007E-2</v>
      </c>
      <c r="H14" s="18">
        <f t="shared" si="1"/>
        <v>5.9645535105657809E-4</v>
      </c>
      <c r="I14" s="18">
        <f t="shared" si="2"/>
        <v>0.41608408089070781</v>
      </c>
      <c r="J14" s="17">
        <f t="shared" si="5"/>
        <v>48.83162773333347</v>
      </c>
      <c r="K14" s="17">
        <f t="shared" si="3"/>
        <v>24.415813866666735</v>
      </c>
      <c r="L14" s="16">
        <v>39</v>
      </c>
      <c r="M14" s="19">
        <f t="shared" si="6"/>
        <v>5.128205128205128E-2</v>
      </c>
      <c r="N14" s="16">
        <v>0</v>
      </c>
      <c r="O14" s="20">
        <f t="shared" ref="O14:P14" si="22">D14/7</f>
        <v>0.2857142857142857</v>
      </c>
      <c r="P14" s="20">
        <f t="shared" si="22"/>
        <v>0</v>
      </c>
      <c r="Q14" s="16">
        <f t="shared" si="8"/>
        <v>0</v>
      </c>
      <c r="R14" s="16"/>
      <c r="S14" s="21" t="e">
        <v>#N/A</v>
      </c>
      <c r="T14" s="14">
        <v>606</v>
      </c>
      <c r="U14" s="22">
        <v>124</v>
      </c>
      <c r="V14" s="23" t="s">
        <v>942</v>
      </c>
      <c r="W14" s="14">
        <v>0</v>
      </c>
      <c r="X14" s="24">
        <f t="shared" si="9"/>
        <v>0</v>
      </c>
      <c r="Y14" s="25">
        <f t="shared" si="10"/>
        <v>0</v>
      </c>
      <c r="Z14" s="14">
        <v>0</v>
      </c>
      <c r="AA14" s="14" t="s">
        <v>35</v>
      </c>
      <c r="AB14" s="27">
        <f t="shared" si="11"/>
        <v>-0.69</v>
      </c>
      <c r="AC14" s="28">
        <v>0.18878222222222224</v>
      </c>
      <c r="AD14" s="25">
        <f t="shared" si="12"/>
        <v>-0.52103893333333329</v>
      </c>
      <c r="AE14" s="25">
        <v>-7.32</v>
      </c>
      <c r="AF14" s="25">
        <v>-17.8466666666666</v>
      </c>
      <c r="AG14" s="25">
        <v>0</v>
      </c>
    </row>
    <row r="15" spans="1:33" ht="15.75" customHeight="1">
      <c r="A15" s="14" t="s">
        <v>36</v>
      </c>
      <c r="B15" s="14"/>
      <c r="C15" s="15" t="str">
        <f t="shared" si="4"/>
        <v xml:space="preserve"> - </v>
      </c>
      <c r="D15" s="16">
        <v>0</v>
      </c>
      <c r="E15" s="16">
        <v>0</v>
      </c>
      <c r="F15" s="17">
        <v>0</v>
      </c>
      <c r="G15" s="29">
        <v>0</v>
      </c>
      <c r="H15" s="18" t="e">
        <f t="shared" si="1"/>
        <v>#DIV/0!</v>
      </c>
      <c r="I15" s="18" t="e">
        <f t="shared" si="2"/>
        <v>#DIV/0!</v>
      </c>
      <c r="J15" s="17">
        <f t="shared" si="5"/>
        <v>0</v>
      </c>
      <c r="K15" s="17" t="e">
        <f t="shared" si="3"/>
        <v>#DIV/0!</v>
      </c>
      <c r="L15" s="16">
        <v>0</v>
      </c>
      <c r="M15" s="19" t="str">
        <f t="shared" si="6"/>
        <v>-</v>
      </c>
      <c r="N15" s="16">
        <v>0</v>
      </c>
      <c r="O15" s="20">
        <f t="shared" ref="O15:P15" si="23">D15/7</f>
        <v>0</v>
      </c>
      <c r="P15" s="20">
        <f t="shared" si="23"/>
        <v>0</v>
      </c>
      <c r="Q15" s="16" t="e">
        <f t="shared" si="8"/>
        <v>#DIV/0!</v>
      </c>
      <c r="R15" s="16"/>
      <c r="S15" s="21" t="e">
        <v>#N/A</v>
      </c>
      <c r="T15" s="14">
        <v>606</v>
      </c>
      <c r="U15" s="22">
        <v>124</v>
      </c>
      <c r="V15" s="23" t="s">
        <v>943</v>
      </c>
      <c r="W15" s="14">
        <v>0</v>
      </c>
      <c r="X15" s="24">
        <f t="shared" si="9"/>
        <v>0</v>
      </c>
      <c r="Y15" s="25">
        <f t="shared" si="10"/>
        <v>0</v>
      </c>
      <c r="Z15" s="14">
        <v>0</v>
      </c>
      <c r="AA15" s="14" t="e">
        <v>#N/A</v>
      </c>
      <c r="AB15" s="27" t="e">
        <f t="shared" si="11"/>
        <v>#N/A</v>
      </c>
      <c r="AC15" s="28" t="e">
        <v>#N/A</v>
      </c>
      <c r="AD15" s="25">
        <f t="shared" si="12"/>
        <v>0</v>
      </c>
      <c r="AE15" s="25">
        <v>0</v>
      </c>
      <c r="AF15" s="25">
        <v>-15.456666666666599</v>
      </c>
      <c r="AG15" s="25">
        <v>0</v>
      </c>
    </row>
    <row r="16" spans="1:33" ht="15.75" customHeight="1">
      <c r="A16" s="14" t="s">
        <v>38</v>
      </c>
      <c r="B16" s="14"/>
      <c r="C16" s="15" t="str">
        <f t="shared" si="4"/>
        <v xml:space="preserve"> - </v>
      </c>
      <c r="D16" s="16">
        <v>0</v>
      </c>
      <c r="E16" s="16">
        <v>0</v>
      </c>
      <c r="F16" s="17">
        <v>0</v>
      </c>
      <c r="G16" s="29">
        <v>0</v>
      </c>
      <c r="H16" s="18" t="e">
        <f t="shared" si="1"/>
        <v>#DIV/0!</v>
      </c>
      <c r="I16" s="18" t="e">
        <f t="shared" si="2"/>
        <v>#DIV/0!</v>
      </c>
      <c r="J16" s="17">
        <f t="shared" si="5"/>
        <v>0</v>
      </c>
      <c r="K16" s="17" t="e">
        <f t="shared" si="3"/>
        <v>#DIV/0!</v>
      </c>
      <c r="L16" s="16">
        <v>0</v>
      </c>
      <c r="M16" s="19" t="str">
        <f t="shared" si="6"/>
        <v>-</v>
      </c>
      <c r="N16" s="16">
        <v>0</v>
      </c>
      <c r="O16" s="20">
        <f t="shared" ref="O16:P16" si="24">D16/7</f>
        <v>0</v>
      </c>
      <c r="P16" s="20">
        <f t="shared" si="24"/>
        <v>0</v>
      </c>
      <c r="Q16" s="16" t="e">
        <f t="shared" si="8"/>
        <v>#DIV/0!</v>
      </c>
      <c r="R16" s="16"/>
      <c r="S16" s="21" t="e">
        <v>#N/A</v>
      </c>
      <c r="T16" s="14">
        <v>606</v>
      </c>
      <c r="U16" s="22">
        <v>124</v>
      </c>
      <c r="V16" s="23" t="s">
        <v>944</v>
      </c>
      <c r="W16" s="14">
        <v>0</v>
      </c>
      <c r="X16" s="24">
        <f t="shared" si="9"/>
        <v>0</v>
      </c>
      <c r="Y16" s="25">
        <f t="shared" si="10"/>
        <v>0</v>
      </c>
      <c r="Z16" s="14">
        <v>0</v>
      </c>
      <c r="AA16" s="14" t="e">
        <v>#N/A</v>
      </c>
      <c r="AB16" s="27" t="e">
        <f t="shared" si="11"/>
        <v>#N/A</v>
      </c>
      <c r="AC16" s="28" t="e">
        <v>#N/A</v>
      </c>
      <c r="AD16" s="25">
        <f t="shared" si="12"/>
        <v>0</v>
      </c>
      <c r="AE16" s="25">
        <v>0</v>
      </c>
      <c r="AF16" s="25">
        <v>-15.456666666666599</v>
      </c>
      <c r="AG16" s="25">
        <v>0</v>
      </c>
    </row>
    <row r="17" spans="1:33" ht="15.75" customHeight="1">
      <c r="A17" s="14" t="s">
        <v>40</v>
      </c>
      <c r="B17" s="14" t="s">
        <v>945</v>
      </c>
      <c r="C17" s="15" t="str">
        <f t="shared" si="4"/>
        <v xml:space="preserve"> - </v>
      </c>
      <c r="D17" s="16">
        <v>0</v>
      </c>
      <c r="E17" s="16">
        <v>0</v>
      </c>
      <c r="F17" s="17">
        <v>0</v>
      </c>
      <c r="G17" s="29">
        <v>0</v>
      </c>
      <c r="H17" s="18" t="e">
        <f t="shared" si="1"/>
        <v>#DIV/0!</v>
      </c>
      <c r="I17" s="18" t="e">
        <f t="shared" si="2"/>
        <v>#DIV/0!</v>
      </c>
      <c r="J17" s="17">
        <f t="shared" si="5"/>
        <v>0</v>
      </c>
      <c r="K17" s="17" t="e">
        <f t="shared" si="3"/>
        <v>#DIV/0!</v>
      </c>
      <c r="L17" s="16">
        <v>0</v>
      </c>
      <c r="M17" s="19" t="str">
        <f t="shared" si="6"/>
        <v>-</v>
      </c>
      <c r="N17" s="16">
        <v>0</v>
      </c>
      <c r="O17" s="20">
        <f t="shared" ref="O17:P17" si="25">D17/7</f>
        <v>0</v>
      </c>
      <c r="P17" s="20">
        <f t="shared" si="25"/>
        <v>0</v>
      </c>
      <c r="Q17" s="16" t="e">
        <f t="shared" si="8"/>
        <v>#DIV/0!</v>
      </c>
      <c r="R17" s="16"/>
      <c r="S17" s="21" t="e">
        <v>#N/A</v>
      </c>
      <c r="T17" s="14">
        <v>482</v>
      </c>
      <c r="U17" s="22">
        <v>84</v>
      </c>
      <c r="V17" s="23" t="s">
        <v>946</v>
      </c>
      <c r="W17" s="14">
        <v>0</v>
      </c>
      <c r="X17" s="24">
        <f t="shared" si="9"/>
        <v>0</v>
      </c>
      <c r="Y17" s="25">
        <f t="shared" si="10"/>
        <v>0</v>
      </c>
      <c r="Z17" s="14">
        <v>0</v>
      </c>
      <c r="AA17" s="14" t="e">
        <v>#N/A</v>
      </c>
      <c r="AB17" s="27" t="e">
        <f t="shared" si="11"/>
        <v>#N/A</v>
      </c>
      <c r="AC17" s="28" t="e">
        <v>#N/A</v>
      </c>
      <c r="AD17" s="25">
        <f t="shared" si="12"/>
        <v>0</v>
      </c>
      <c r="AE17" s="25">
        <v>0</v>
      </c>
      <c r="AF17" s="25">
        <v>-15.456666666666599</v>
      </c>
      <c r="AG17" s="25">
        <v>0</v>
      </c>
    </row>
    <row r="18" spans="1:33" ht="15.75" customHeight="1">
      <c r="A18" s="14" t="s">
        <v>42</v>
      </c>
      <c r="B18" s="14" t="s">
        <v>947</v>
      </c>
      <c r="C18" s="15" t="str">
        <f t="shared" si="4"/>
        <v xml:space="preserve"> - </v>
      </c>
      <c r="D18" s="16">
        <v>0</v>
      </c>
      <c r="E18" s="16">
        <v>0</v>
      </c>
      <c r="F18" s="17">
        <v>0</v>
      </c>
      <c r="G18" s="29">
        <v>0</v>
      </c>
      <c r="H18" s="18" t="e">
        <f t="shared" si="1"/>
        <v>#DIV/0!</v>
      </c>
      <c r="I18" s="18" t="e">
        <f t="shared" si="2"/>
        <v>#DIV/0!</v>
      </c>
      <c r="J18" s="17">
        <f t="shared" si="5"/>
        <v>0</v>
      </c>
      <c r="K18" s="17" t="e">
        <f t="shared" si="3"/>
        <v>#DIV/0!</v>
      </c>
      <c r="L18" s="16">
        <v>0</v>
      </c>
      <c r="M18" s="19" t="str">
        <f t="shared" si="6"/>
        <v>-</v>
      </c>
      <c r="N18" s="16">
        <v>123</v>
      </c>
      <c r="O18" s="20">
        <f t="shared" ref="O18:P18" si="26">D18/7</f>
        <v>0</v>
      </c>
      <c r="P18" s="20">
        <f t="shared" si="26"/>
        <v>0</v>
      </c>
      <c r="Q18" s="16" t="e">
        <f t="shared" si="8"/>
        <v>#DIV/0!</v>
      </c>
      <c r="R18" s="16"/>
      <c r="S18" s="21">
        <v>1.39393939393939</v>
      </c>
      <c r="T18" s="14">
        <v>290</v>
      </c>
      <c r="U18" s="22">
        <v>0</v>
      </c>
      <c r="V18" s="23" t="s">
        <v>948</v>
      </c>
      <c r="W18" s="14">
        <v>0</v>
      </c>
      <c r="X18" s="24">
        <f t="shared" si="9"/>
        <v>0</v>
      </c>
      <c r="Y18" s="25">
        <f t="shared" si="10"/>
        <v>0</v>
      </c>
      <c r="Z18" s="14">
        <v>0</v>
      </c>
      <c r="AA18" s="14" t="s">
        <v>35</v>
      </c>
      <c r="AB18" s="27">
        <f t="shared" si="11"/>
        <v>-0.69</v>
      </c>
      <c r="AC18" s="28">
        <v>0.18878222222222224</v>
      </c>
      <c r="AD18" s="25">
        <f t="shared" si="12"/>
        <v>0</v>
      </c>
      <c r="AE18" s="25">
        <v>-7.32</v>
      </c>
      <c r="AF18" s="25">
        <v>-15.456666666666599</v>
      </c>
      <c r="AG18" s="25">
        <v>0</v>
      </c>
    </row>
    <row r="19" spans="1:33" ht="15.75" customHeight="1">
      <c r="A19" s="14" t="s">
        <v>44</v>
      </c>
      <c r="B19" s="14" t="s">
        <v>68</v>
      </c>
      <c r="C19" s="15">
        <f t="shared" si="4"/>
        <v>39.786842105263162</v>
      </c>
      <c r="D19" s="16">
        <v>19</v>
      </c>
      <c r="E19" s="16">
        <v>1</v>
      </c>
      <c r="F19" s="17">
        <v>755.95</v>
      </c>
      <c r="G19" s="29">
        <v>-0.44000000000000006</v>
      </c>
      <c r="H19" s="18">
        <f t="shared" si="1"/>
        <v>5.8204907731992863E-4</v>
      </c>
      <c r="I19" s="18">
        <f t="shared" si="2"/>
        <v>0.25257022748418084</v>
      </c>
      <c r="J19" s="17">
        <f t="shared" si="5"/>
        <v>190.93046346666654</v>
      </c>
      <c r="K19" s="17">
        <f t="shared" si="3"/>
        <v>10.048971761403502</v>
      </c>
      <c r="L19" s="16">
        <v>65</v>
      </c>
      <c r="M19" s="19">
        <f t="shared" si="6"/>
        <v>0.29230769230769232</v>
      </c>
      <c r="N19" s="16">
        <v>205</v>
      </c>
      <c r="O19" s="20">
        <f t="shared" ref="O19:P19" si="27">D19/7</f>
        <v>2.7142857142857144</v>
      </c>
      <c r="P19" s="20">
        <f t="shared" si="27"/>
        <v>0.14285714285714285</v>
      </c>
      <c r="Q19" s="16">
        <f t="shared" si="8"/>
        <v>71</v>
      </c>
      <c r="R19" s="16"/>
      <c r="S19" s="21">
        <v>1.05993690851735</v>
      </c>
      <c r="T19" s="14">
        <v>206</v>
      </c>
      <c r="U19" s="22">
        <v>42</v>
      </c>
      <c r="V19" s="23" t="s">
        <v>949</v>
      </c>
      <c r="W19" s="14">
        <v>3</v>
      </c>
      <c r="X19" s="24">
        <f t="shared" si="9"/>
        <v>0.15789473684210525</v>
      </c>
      <c r="Y19" s="25">
        <f t="shared" si="10"/>
        <v>0.11000000000000001</v>
      </c>
      <c r="Z19" s="14">
        <v>1</v>
      </c>
      <c r="AA19" s="14" t="s">
        <v>35</v>
      </c>
      <c r="AB19" s="27">
        <f t="shared" si="11"/>
        <v>-0.69</v>
      </c>
      <c r="AC19" s="28">
        <v>0.18878222222222224</v>
      </c>
      <c r="AD19" s="25">
        <f t="shared" si="12"/>
        <v>-4.9498698666666661</v>
      </c>
      <c r="AE19" s="25">
        <v>-7.32</v>
      </c>
      <c r="AF19" s="25">
        <v>-16.166166666666669</v>
      </c>
      <c r="AG19" s="25">
        <v>0</v>
      </c>
    </row>
    <row r="20" spans="1:33" ht="15.75" customHeight="1">
      <c r="A20" s="14" t="s">
        <v>46</v>
      </c>
      <c r="B20" s="14" t="s">
        <v>143</v>
      </c>
      <c r="C20" s="15">
        <f t="shared" si="4"/>
        <v>38.83370967741935</v>
      </c>
      <c r="D20" s="16">
        <v>62</v>
      </c>
      <c r="E20" s="16">
        <v>0</v>
      </c>
      <c r="F20" s="17">
        <v>2407.6899999999996</v>
      </c>
      <c r="G20" s="29">
        <v>-0.41000000000000003</v>
      </c>
      <c r="H20" s="18">
        <f t="shared" si="1"/>
        <v>1.7028770315115322E-4</v>
      </c>
      <c r="I20" s="18">
        <f t="shared" si="2"/>
        <v>0.23833299126271773</v>
      </c>
      <c r="J20" s="17">
        <f t="shared" si="5"/>
        <v>573.83195973333272</v>
      </c>
      <c r="K20" s="17">
        <f t="shared" si="3"/>
        <v>9.2553541892473028</v>
      </c>
      <c r="L20" s="16">
        <v>64</v>
      </c>
      <c r="M20" s="19">
        <f t="shared" si="6"/>
        <v>0.96875</v>
      </c>
      <c r="N20" s="16">
        <v>116</v>
      </c>
      <c r="O20" s="20">
        <f t="shared" ref="O20:P20" si="28">D20/7</f>
        <v>8.8571428571428577</v>
      </c>
      <c r="P20" s="20">
        <f t="shared" si="28"/>
        <v>0</v>
      </c>
      <c r="Q20" s="16">
        <f t="shared" si="8"/>
        <v>13</v>
      </c>
      <c r="R20" s="16"/>
      <c r="S20" s="21">
        <v>1.95670995670995</v>
      </c>
      <c r="T20" s="14">
        <v>206</v>
      </c>
      <c r="U20" s="22">
        <v>42</v>
      </c>
      <c r="V20" s="23" t="s">
        <v>949</v>
      </c>
      <c r="W20" s="14">
        <v>2</v>
      </c>
      <c r="X20" s="24">
        <f t="shared" si="9"/>
        <v>3.2258064516129031E-2</v>
      </c>
      <c r="Y20" s="25">
        <f t="shared" si="10"/>
        <v>0.20500000000000002</v>
      </c>
      <c r="Z20" s="14">
        <v>0</v>
      </c>
      <c r="AA20" s="14" t="s">
        <v>35</v>
      </c>
      <c r="AB20" s="27">
        <f t="shared" si="11"/>
        <v>-0.69</v>
      </c>
      <c r="AC20" s="28">
        <v>0.18878222222222224</v>
      </c>
      <c r="AD20" s="25">
        <f t="shared" si="12"/>
        <v>-16.152206933333332</v>
      </c>
      <c r="AE20" s="25">
        <v>-7.32</v>
      </c>
      <c r="AF20" s="25">
        <v>-16.166166666666669</v>
      </c>
      <c r="AG20" s="25">
        <v>0</v>
      </c>
    </row>
    <row r="21" spans="1:33" ht="15.75" customHeight="1">
      <c r="A21" s="14" t="s">
        <v>47</v>
      </c>
      <c r="B21" s="14" t="s">
        <v>68</v>
      </c>
      <c r="C21" s="15">
        <f t="shared" si="4"/>
        <v>39.856956521739129</v>
      </c>
      <c r="D21" s="16">
        <v>23</v>
      </c>
      <c r="E21" s="16">
        <v>1</v>
      </c>
      <c r="F21" s="17">
        <v>916.71</v>
      </c>
      <c r="G21" s="29">
        <v>-0.06</v>
      </c>
      <c r="H21" s="18">
        <f t="shared" si="1"/>
        <v>6.5451451385934483E-5</v>
      </c>
      <c r="I21" s="18">
        <f t="shared" si="2"/>
        <v>0.2541367705526647</v>
      </c>
      <c r="J21" s="17">
        <f t="shared" si="5"/>
        <v>232.96971893333327</v>
      </c>
      <c r="K21" s="17">
        <f t="shared" si="3"/>
        <v>10.129118214492751</v>
      </c>
      <c r="L21" s="16">
        <v>44</v>
      </c>
      <c r="M21" s="19">
        <f t="shared" si="6"/>
        <v>0.52272727272727271</v>
      </c>
      <c r="N21" s="16">
        <v>156</v>
      </c>
      <c r="O21" s="20">
        <f t="shared" ref="O21:P21" si="29">D21/7</f>
        <v>3.2857142857142856</v>
      </c>
      <c r="P21" s="20">
        <f t="shared" si="29"/>
        <v>0.14285714285714285</v>
      </c>
      <c r="Q21" s="16">
        <f t="shared" si="8"/>
        <v>45</v>
      </c>
      <c r="R21" s="16"/>
      <c r="S21" s="21">
        <v>2.63793103448275</v>
      </c>
      <c r="T21" s="14">
        <v>206</v>
      </c>
      <c r="U21" s="22">
        <v>42</v>
      </c>
      <c r="V21" s="23" t="s">
        <v>950</v>
      </c>
      <c r="W21" s="14">
        <v>1</v>
      </c>
      <c r="X21" s="24">
        <f t="shared" si="9"/>
        <v>4.3478260869565216E-2</v>
      </c>
      <c r="Y21" s="25">
        <f t="shared" si="10"/>
        <v>0.06</v>
      </c>
      <c r="Z21" s="14">
        <v>0</v>
      </c>
      <c r="AA21" s="14" t="s">
        <v>35</v>
      </c>
      <c r="AB21" s="27">
        <f t="shared" si="11"/>
        <v>-0.69</v>
      </c>
      <c r="AC21" s="28">
        <v>0.18878222222222224</v>
      </c>
      <c r="AD21" s="25">
        <f t="shared" si="12"/>
        <v>-5.9919477333333324</v>
      </c>
      <c r="AE21" s="25">
        <v>-7.32</v>
      </c>
      <c r="AF21" s="25">
        <v>-16.166166666666669</v>
      </c>
      <c r="AG21" s="25">
        <v>0</v>
      </c>
    </row>
    <row r="22" spans="1:33" ht="15.75" customHeight="1">
      <c r="A22" s="14" t="s">
        <v>48</v>
      </c>
      <c r="B22" s="14" t="s">
        <v>951</v>
      </c>
      <c r="C22" s="15">
        <f t="shared" si="4"/>
        <v>41.627499999999991</v>
      </c>
      <c r="D22" s="16">
        <v>28</v>
      </c>
      <c r="E22" s="16">
        <v>0</v>
      </c>
      <c r="F22" s="29">
        <v>1165.5699999999997</v>
      </c>
      <c r="G22" s="29">
        <v>-0.47000000000000003</v>
      </c>
      <c r="H22" s="18">
        <f t="shared" si="1"/>
        <v>4.0323618487092164E-4</v>
      </c>
      <c r="I22" s="18">
        <f t="shared" si="2"/>
        <v>0.27914006732042373</v>
      </c>
      <c r="J22" s="17">
        <f t="shared" si="5"/>
        <v>325.35728826666622</v>
      </c>
      <c r="K22" s="17">
        <f t="shared" si="3"/>
        <v>11.619903152380937</v>
      </c>
      <c r="L22" s="16">
        <v>80</v>
      </c>
      <c r="M22" s="19">
        <f t="shared" si="6"/>
        <v>0.35</v>
      </c>
      <c r="N22" s="16">
        <v>109</v>
      </c>
      <c r="O22" s="20">
        <f t="shared" ref="O22:P22" si="30">D22/7</f>
        <v>4</v>
      </c>
      <c r="P22" s="20">
        <f t="shared" si="30"/>
        <v>0</v>
      </c>
      <c r="Q22" s="16">
        <f t="shared" si="8"/>
        <v>27</v>
      </c>
      <c r="R22" s="16"/>
      <c r="S22" s="21">
        <v>2.33103448275862</v>
      </c>
      <c r="T22" s="14">
        <v>206</v>
      </c>
      <c r="U22" s="22">
        <v>42</v>
      </c>
      <c r="V22" s="23" t="s">
        <v>950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35</v>
      </c>
      <c r="AB22" s="27">
        <f t="shared" si="11"/>
        <v>-0.69</v>
      </c>
      <c r="AC22" s="28">
        <v>0.18878222222222224</v>
      </c>
      <c r="AD22" s="25">
        <f t="shared" si="12"/>
        <v>-7.2945450666666662</v>
      </c>
      <c r="AE22" s="25">
        <v>-7.32</v>
      </c>
      <c r="AF22" s="25">
        <v>-16.166166666666669</v>
      </c>
      <c r="AG22" s="25">
        <v>0</v>
      </c>
    </row>
    <row r="23" spans="1:33" ht="15.75" customHeight="1">
      <c r="A23" s="14" t="s">
        <v>49</v>
      </c>
      <c r="B23" s="14" t="s">
        <v>68</v>
      </c>
      <c r="C23" s="15">
        <f t="shared" si="4"/>
        <v>41.156666666666659</v>
      </c>
      <c r="D23" s="16">
        <v>27</v>
      </c>
      <c r="E23" s="16">
        <v>0</v>
      </c>
      <c r="F23" s="17">
        <v>1111.2299999999998</v>
      </c>
      <c r="G23" s="29">
        <v>-0.2</v>
      </c>
      <c r="H23" s="18">
        <f t="shared" si="1"/>
        <v>1.7998074206059957E-4</v>
      </c>
      <c r="I23" s="18">
        <f t="shared" si="2"/>
        <v>0.27283728337067914</v>
      </c>
      <c r="J23" s="17">
        <f t="shared" si="5"/>
        <v>303.1849743999997</v>
      </c>
      <c r="K23" s="17">
        <f t="shared" si="3"/>
        <v>11.229073125925915</v>
      </c>
      <c r="L23" s="16">
        <v>69</v>
      </c>
      <c r="M23" s="19">
        <f t="shared" si="6"/>
        <v>0.39130434782608697</v>
      </c>
      <c r="N23" s="16">
        <v>98</v>
      </c>
      <c r="O23" s="20">
        <f t="shared" ref="O23:P23" si="31">D23/7</f>
        <v>3.8571428571428572</v>
      </c>
      <c r="P23" s="20">
        <f t="shared" si="31"/>
        <v>0</v>
      </c>
      <c r="Q23" s="16">
        <f t="shared" si="8"/>
        <v>25</v>
      </c>
      <c r="R23" s="16"/>
      <c r="S23" s="21">
        <v>2.4680851063829699</v>
      </c>
      <c r="T23" s="14">
        <v>206</v>
      </c>
      <c r="U23" s="22">
        <v>42</v>
      </c>
      <c r="V23" s="23" t="s">
        <v>950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35</v>
      </c>
      <c r="AB23" s="27">
        <f t="shared" si="11"/>
        <v>-0.69</v>
      </c>
      <c r="AC23" s="28">
        <v>0.18878222222222224</v>
      </c>
      <c r="AD23" s="25">
        <f t="shared" si="12"/>
        <v>-7.0340255999999997</v>
      </c>
      <c r="AE23" s="25">
        <v>-7.32</v>
      </c>
      <c r="AF23" s="25">
        <v>-16.166166666666669</v>
      </c>
      <c r="AG23" s="25">
        <v>0</v>
      </c>
    </row>
    <row r="24" spans="1:33" ht="15.75" customHeight="1">
      <c r="A24" s="14" t="s">
        <v>50</v>
      </c>
      <c r="B24" s="14" t="s">
        <v>952</v>
      </c>
      <c r="C24" s="15">
        <f t="shared" si="4"/>
        <v>40.266136363636363</v>
      </c>
      <c r="D24" s="16">
        <v>44</v>
      </c>
      <c r="E24" s="16">
        <v>0</v>
      </c>
      <c r="F24" s="17">
        <v>1771.71</v>
      </c>
      <c r="G24" s="17">
        <v>-0.24</v>
      </c>
      <c r="H24" s="18">
        <f t="shared" si="1"/>
        <v>1.3546234993311546E-4</v>
      </c>
      <c r="I24" s="18">
        <f t="shared" si="2"/>
        <v>0.26012118808006574</v>
      </c>
      <c r="J24" s="17">
        <f t="shared" si="5"/>
        <v>460.85931013333328</v>
      </c>
      <c r="K24" s="17">
        <f t="shared" si="3"/>
        <v>10.474075230303029</v>
      </c>
      <c r="L24" s="16">
        <v>113</v>
      </c>
      <c r="M24" s="19">
        <f t="shared" si="6"/>
        <v>0.38938053097345132</v>
      </c>
      <c r="N24" s="16">
        <v>59</v>
      </c>
      <c r="O24" s="20">
        <f t="shared" ref="O24:P24" si="32">D24/7</f>
        <v>6.2857142857142856</v>
      </c>
      <c r="P24" s="20">
        <f t="shared" si="32"/>
        <v>0</v>
      </c>
      <c r="Q24" s="16">
        <f t="shared" si="8"/>
        <v>9</v>
      </c>
      <c r="R24" s="16"/>
      <c r="S24" s="21">
        <v>2.8805970149253701</v>
      </c>
      <c r="T24" s="14">
        <v>206</v>
      </c>
      <c r="U24" s="22">
        <v>42</v>
      </c>
      <c r="V24" s="23" t="s">
        <v>953</v>
      </c>
      <c r="W24" s="14">
        <v>1</v>
      </c>
      <c r="X24" s="24">
        <f t="shared" si="9"/>
        <v>2.2727272727272728E-2</v>
      </c>
      <c r="Y24" s="25">
        <f t="shared" si="10"/>
        <v>0.24</v>
      </c>
      <c r="Z24" s="14">
        <v>0</v>
      </c>
      <c r="AA24" s="14" t="s">
        <v>35</v>
      </c>
      <c r="AB24" s="27">
        <f t="shared" si="11"/>
        <v>-0.69</v>
      </c>
      <c r="AC24" s="28">
        <v>0.18878222222222224</v>
      </c>
      <c r="AD24" s="25">
        <f t="shared" si="12"/>
        <v>-11.462856533333332</v>
      </c>
      <c r="AE24" s="25">
        <v>-7.32</v>
      </c>
      <c r="AF24" s="25">
        <v>-16.166166666666669</v>
      </c>
      <c r="AG24" s="25">
        <v>0</v>
      </c>
    </row>
    <row r="25" spans="1:33" ht="15.75" customHeight="1">
      <c r="A25" s="14" t="s">
        <v>51</v>
      </c>
      <c r="B25" s="14"/>
      <c r="C25" s="15">
        <f t="shared" si="4"/>
        <v>44.241956521739134</v>
      </c>
      <c r="D25" s="16">
        <v>46</v>
      </c>
      <c r="E25" s="16">
        <v>0</v>
      </c>
      <c r="F25" s="17">
        <v>2035.13</v>
      </c>
      <c r="G25" s="17">
        <v>-0.06</v>
      </c>
      <c r="H25" s="18">
        <f t="shared" si="1"/>
        <v>2.9482146103688704E-5</v>
      </c>
      <c r="I25" s="18">
        <f t="shared" si="2"/>
        <v>0.31313803272190632</v>
      </c>
      <c r="J25" s="17">
        <f t="shared" si="5"/>
        <v>637.27660453333328</v>
      </c>
      <c r="K25" s="17">
        <f t="shared" si="3"/>
        <v>13.853839228985507</v>
      </c>
      <c r="L25" s="16">
        <v>88</v>
      </c>
      <c r="M25" s="19">
        <f t="shared" si="6"/>
        <v>0.52272727272727271</v>
      </c>
      <c r="N25" s="16">
        <v>11</v>
      </c>
      <c r="O25" s="20">
        <f t="shared" ref="O25:P25" si="33">D25/7</f>
        <v>6.5714285714285712</v>
      </c>
      <c r="P25" s="20">
        <f t="shared" si="33"/>
        <v>0</v>
      </c>
      <c r="Q25" s="16">
        <f t="shared" si="8"/>
        <v>1</v>
      </c>
      <c r="R25" s="16"/>
      <c r="S25" s="21">
        <v>6.1891891891891886</v>
      </c>
      <c r="T25" s="14">
        <v>206</v>
      </c>
      <c r="U25" s="22">
        <v>42</v>
      </c>
      <c r="V25" s="23" t="s">
        <v>953</v>
      </c>
      <c r="W25" s="30">
        <v>0</v>
      </c>
      <c r="X25" s="24">
        <f t="shared" si="9"/>
        <v>0</v>
      </c>
      <c r="Y25" s="25">
        <f t="shared" si="10"/>
        <v>0</v>
      </c>
      <c r="Z25" s="30">
        <v>0</v>
      </c>
      <c r="AA25" s="14" t="s">
        <v>35</v>
      </c>
      <c r="AB25" s="27">
        <f t="shared" si="11"/>
        <v>-0.69</v>
      </c>
      <c r="AC25" s="28">
        <v>0.18878222222222224</v>
      </c>
      <c r="AD25" s="25">
        <f t="shared" si="12"/>
        <v>-11.983895466666665</v>
      </c>
      <c r="AE25" s="25">
        <v>-7.32</v>
      </c>
      <c r="AF25" s="25">
        <v>-16.170000000000002</v>
      </c>
      <c r="AG25" s="25">
        <v>0</v>
      </c>
    </row>
    <row r="26" spans="1:33" ht="15.75" customHeight="1">
      <c r="A26" s="14" t="s">
        <v>52</v>
      </c>
      <c r="B26" s="14" t="s">
        <v>68</v>
      </c>
      <c r="C26" s="15">
        <f t="shared" si="4"/>
        <v>44.49</v>
      </c>
      <c r="D26" s="16">
        <v>6</v>
      </c>
      <c r="E26" s="16">
        <v>0</v>
      </c>
      <c r="F26" s="17">
        <v>266.94</v>
      </c>
      <c r="G26" s="17">
        <v>-0.03</v>
      </c>
      <c r="H26" s="18">
        <f t="shared" si="1"/>
        <v>1.1238480557428635E-4</v>
      </c>
      <c r="I26" s="18">
        <f t="shared" si="2"/>
        <v>0.31928104892485348</v>
      </c>
      <c r="J26" s="17">
        <f t="shared" si="5"/>
        <v>85.228883200000382</v>
      </c>
      <c r="K26" s="17">
        <f t="shared" si="3"/>
        <v>14.204813866666731</v>
      </c>
      <c r="L26" s="16">
        <v>63</v>
      </c>
      <c r="M26" s="19">
        <f t="shared" si="6"/>
        <v>9.5238095238095233E-2</v>
      </c>
      <c r="N26" s="16">
        <v>4</v>
      </c>
      <c r="O26" s="20">
        <f t="shared" ref="O26:P26" si="34">D26/7</f>
        <v>0.8571428571428571</v>
      </c>
      <c r="P26" s="20">
        <f t="shared" si="34"/>
        <v>0</v>
      </c>
      <c r="Q26" s="16">
        <f t="shared" si="8"/>
        <v>4</v>
      </c>
      <c r="R26" s="16"/>
      <c r="S26" s="21">
        <v>3.9248120300751879</v>
      </c>
      <c r="T26" s="14">
        <v>206</v>
      </c>
      <c r="U26" s="22">
        <v>42</v>
      </c>
      <c r="V26" s="23" t="s">
        <v>954</v>
      </c>
      <c r="W26" s="30">
        <v>0</v>
      </c>
      <c r="X26" s="24">
        <f t="shared" si="9"/>
        <v>0</v>
      </c>
      <c r="Y26" s="25">
        <f t="shared" si="10"/>
        <v>0</v>
      </c>
      <c r="Z26" s="30">
        <v>0</v>
      </c>
      <c r="AA26" s="14" t="s">
        <v>35</v>
      </c>
      <c r="AB26" s="27">
        <f t="shared" si="11"/>
        <v>-0.69</v>
      </c>
      <c r="AC26" s="28">
        <v>0.18878222222222224</v>
      </c>
      <c r="AD26" s="25">
        <f t="shared" si="12"/>
        <v>-1.5631168</v>
      </c>
      <c r="AE26" s="25">
        <v>-7.18</v>
      </c>
      <c r="AF26" s="25">
        <v>-16.166166666666602</v>
      </c>
      <c r="AG26" s="25">
        <v>0</v>
      </c>
    </row>
    <row r="27" spans="1:33" ht="15.75" customHeight="1">
      <c r="A27" s="14" t="s">
        <v>53</v>
      </c>
      <c r="B27" s="41" t="s">
        <v>45</v>
      </c>
      <c r="C27" s="15">
        <f t="shared" si="4"/>
        <v>44.489999999999995</v>
      </c>
      <c r="D27" s="16">
        <v>10</v>
      </c>
      <c r="E27" s="16">
        <v>0</v>
      </c>
      <c r="F27" s="17">
        <v>444.9</v>
      </c>
      <c r="G27" s="17">
        <v>-0.19</v>
      </c>
      <c r="H27" s="18">
        <f t="shared" si="1"/>
        <v>4.2706226118228817E-4</v>
      </c>
      <c r="I27" s="18">
        <f t="shared" si="2"/>
        <v>0.30243831272945221</v>
      </c>
      <c r="J27" s="17">
        <f t="shared" si="5"/>
        <v>134.55480533333329</v>
      </c>
      <c r="K27" s="17">
        <f t="shared" si="3"/>
        <v>13.455480533333329</v>
      </c>
      <c r="L27" s="16">
        <v>73</v>
      </c>
      <c r="M27" s="19">
        <f t="shared" si="6"/>
        <v>0.13698630136986301</v>
      </c>
      <c r="N27" s="16">
        <v>2</v>
      </c>
      <c r="O27" s="20">
        <f t="shared" ref="O27:P27" si="35">D27/7</f>
        <v>1.4285714285714286</v>
      </c>
      <c r="P27" s="20">
        <f t="shared" si="35"/>
        <v>0</v>
      </c>
      <c r="Q27" s="16">
        <f t="shared" si="8"/>
        <v>1</v>
      </c>
      <c r="R27" s="16"/>
      <c r="S27" s="21">
        <v>4.219607843137255</v>
      </c>
      <c r="T27" s="14">
        <v>164</v>
      </c>
      <c r="U27" s="22" t="s">
        <v>34</v>
      </c>
      <c r="V27" s="23" t="s">
        <v>34</v>
      </c>
      <c r="W27" s="30">
        <v>1</v>
      </c>
      <c r="X27" s="24">
        <f t="shared" si="9"/>
        <v>0.1</v>
      </c>
      <c r="Y27" s="25">
        <f t="shared" si="10"/>
        <v>0.19</v>
      </c>
      <c r="Z27" s="30">
        <v>0</v>
      </c>
      <c r="AA27" s="14" t="s">
        <v>35</v>
      </c>
      <c r="AB27" s="27">
        <f t="shared" si="11"/>
        <v>-0.69</v>
      </c>
      <c r="AC27" s="28">
        <v>0.18878222222222224</v>
      </c>
      <c r="AD27" s="25">
        <f t="shared" si="12"/>
        <v>-2.6051946666666663</v>
      </c>
      <c r="AE27" s="25">
        <v>-7.18</v>
      </c>
      <c r="AF27" s="25">
        <v>-16.901499999999999</v>
      </c>
      <c r="AG27" s="25">
        <v>0</v>
      </c>
    </row>
    <row r="28" spans="1:33" ht="15.75" customHeight="1">
      <c r="A28" s="14" t="s">
        <v>54</v>
      </c>
      <c r="B28" s="41" t="s">
        <v>955</v>
      </c>
      <c r="C28" s="15" t="str">
        <f t="shared" si="4"/>
        <v xml:space="preserve"> - </v>
      </c>
      <c r="D28" s="16">
        <v>0</v>
      </c>
      <c r="E28" s="16">
        <v>0</v>
      </c>
      <c r="F28" s="17">
        <v>0</v>
      </c>
      <c r="G28" s="17">
        <v>0</v>
      </c>
      <c r="H28" s="18" t="e">
        <f t="shared" si="1"/>
        <v>#DIV/0!</v>
      </c>
      <c r="I28" s="18" t="e">
        <f t="shared" si="2"/>
        <v>#DIV/0!</v>
      </c>
      <c r="J28" s="17">
        <f t="shared" si="5"/>
        <v>0</v>
      </c>
      <c r="K28" s="17" t="e">
        <f t="shared" si="3"/>
        <v>#DIV/0!</v>
      </c>
      <c r="L28" s="16">
        <v>0</v>
      </c>
      <c r="M28" s="19" t="str">
        <f t="shared" si="6"/>
        <v>-</v>
      </c>
      <c r="N28" s="16">
        <v>44</v>
      </c>
      <c r="O28" s="20">
        <f t="shared" ref="O28:P28" si="36">D28/7</f>
        <v>0</v>
      </c>
      <c r="P28" s="20">
        <f t="shared" si="36"/>
        <v>0</v>
      </c>
      <c r="Q28" s="16" t="e">
        <f t="shared" si="8"/>
        <v>#DIV/0!</v>
      </c>
      <c r="R28" s="16"/>
      <c r="S28" s="21">
        <v>3.274924471299093</v>
      </c>
      <c r="T28" s="14">
        <v>2</v>
      </c>
      <c r="U28" s="22" t="s">
        <v>34</v>
      </c>
      <c r="V28" s="23" t="s">
        <v>34</v>
      </c>
      <c r="W28" s="30">
        <v>0</v>
      </c>
      <c r="X28" s="24">
        <f t="shared" si="9"/>
        <v>0</v>
      </c>
      <c r="Y28" s="25">
        <f t="shared" si="10"/>
        <v>0</v>
      </c>
      <c r="Z28" s="30">
        <v>0</v>
      </c>
      <c r="AA28" s="14" t="s">
        <v>35</v>
      </c>
      <c r="AB28" s="27">
        <f t="shared" si="11"/>
        <v>-0.69</v>
      </c>
      <c r="AC28" s="28">
        <v>0.18878222222222224</v>
      </c>
      <c r="AD28" s="25">
        <f t="shared" si="12"/>
        <v>0</v>
      </c>
      <c r="AE28" s="25">
        <v>-7.18</v>
      </c>
      <c r="AF28" s="25">
        <v>-16.901499999999999</v>
      </c>
      <c r="AG28" s="25">
        <v>0</v>
      </c>
    </row>
    <row r="29" spans="1:33" ht="15.75" customHeight="1">
      <c r="A29" s="14" t="s">
        <v>55</v>
      </c>
      <c r="B29" s="41" t="s">
        <v>45</v>
      </c>
      <c r="C29" s="15">
        <f t="shared" si="4"/>
        <v>39.115000000000002</v>
      </c>
      <c r="D29" s="16">
        <v>14</v>
      </c>
      <c r="E29" s="16">
        <v>0</v>
      </c>
      <c r="F29" s="17">
        <v>547.61</v>
      </c>
      <c r="G29" s="17">
        <v>-0.11</v>
      </c>
      <c r="H29" s="18">
        <f t="shared" si="1"/>
        <v>2.008728839867789E-4</v>
      </c>
      <c r="I29" s="18">
        <f t="shared" si="2"/>
        <v>0.22747982591016724</v>
      </c>
      <c r="J29" s="17">
        <f t="shared" si="5"/>
        <v>124.57022746666669</v>
      </c>
      <c r="K29" s="17">
        <f t="shared" si="3"/>
        <v>8.8978733904761924</v>
      </c>
      <c r="L29" s="16">
        <v>106</v>
      </c>
      <c r="M29" s="19">
        <f t="shared" si="6"/>
        <v>0.13207547169811321</v>
      </c>
      <c r="N29" s="16">
        <v>39</v>
      </c>
      <c r="O29" s="20">
        <f t="shared" ref="O29:P29" si="37">D29/7</f>
        <v>2</v>
      </c>
      <c r="P29" s="20">
        <f t="shared" si="37"/>
        <v>0</v>
      </c>
      <c r="Q29" s="16">
        <f t="shared" si="8"/>
        <v>19</v>
      </c>
      <c r="R29" s="16"/>
      <c r="S29" s="21">
        <v>5.2173913043478262</v>
      </c>
      <c r="T29" s="14">
        <v>2</v>
      </c>
      <c r="U29" s="22" t="s">
        <v>34</v>
      </c>
      <c r="V29" s="23" t="s">
        <v>34</v>
      </c>
      <c r="W29" s="30">
        <v>0</v>
      </c>
      <c r="X29" s="24">
        <f t="shared" si="9"/>
        <v>0</v>
      </c>
      <c r="Y29" s="25">
        <f t="shared" si="10"/>
        <v>0</v>
      </c>
      <c r="Z29" s="30">
        <v>0</v>
      </c>
      <c r="AA29" s="14" t="s">
        <v>35</v>
      </c>
      <c r="AB29" s="27">
        <f t="shared" si="11"/>
        <v>-0.69</v>
      </c>
      <c r="AC29" s="28">
        <v>0.18878222222222224</v>
      </c>
      <c r="AD29" s="25">
        <f t="shared" si="12"/>
        <v>-3.6472725333333331</v>
      </c>
      <c r="AE29" s="25">
        <v>-7.18</v>
      </c>
      <c r="AF29" s="25">
        <v>-16.901499999999999</v>
      </c>
      <c r="AG29" s="25">
        <v>0</v>
      </c>
    </row>
    <row r="30" spans="1:33" ht="15.75" customHeight="1">
      <c r="A30" s="14" t="s">
        <v>57</v>
      </c>
      <c r="B30" s="41" t="s">
        <v>956</v>
      </c>
      <c r="C30" s="15">
        <f t="shared" si="4"/>
        <v>39.393103448275866</v>
      </c>
      <c r="D30" s="16">
        <v>29</v>
      </c>
      <c r="E30" s="16">
        <v>0</v>
      </c>
      <c r="F30" s="17">
        <v>1142.4000000000001</v>
      </c>
      <c r="G30" s="17">
        <v>-0.25</v>
      </c>
      <c r="H30" s="18">
        <f t="shared" si="1"/>
        <v>2.1883753501400558E-4</v>
      </c>
      <c r="I30" s="18">
        <f t="shared" si="2"/>
        <v>0.24672231547710236</v>
      </c>
      <c r="J30" s="17">
        <f t="shared" si="5"/>
        <v>281.85557320104175</v>
      </c>
      <c r="K30" s="17">
        <f t="shared" si="3"/>
        <v>9.7191576965876472</v>
      </c>
      <c r="L30" s="16">
        <v>90</v>
      </c>
      <c r="M30" s="19">
        <f t="shared" si="6"/>
        <v>0.32222222222222224</v>
      </c>
      <c r="N30" s="16">
        <v>11</v>
      </c>
      <c r="O30" s="20">
        <f t="shared" ref="O30:P30" si="38">D30/7</f>
        <v>4.1428571428571432</v>
      </c>
      <c r="P30" s="20">
        <f t="shared" si="38"/>
        <v>0</v>
      </c>
      <c r="Q30" s="16">
        <f t="shared" si="8"/>
        <v>2</v>
      </c>
      <c r="R30" s="16"/>
      <c r="S30" s="21">
        <v>4.8403361344537812</v>
      </c>
      <c r="T30" s="14">
        <v>164</v>
      </c>
      <c r="U30" s="22" t="s">
        <v>34</v>
      </c>
      <c r="V30" s="23" t="s">
        <v>34</v>
      </c>
      <c r="W30" s="30">
        <v>1</v>
      </c>
      <c r="X30" s="24">
        <f t="shared" si="9"/>
        <v>3.4482758620689655E-2</v>
      </c>
      <c r="Y30" s="25">
        <f t="shared" si="10"/>
        <v>0.25</v>
      </c>
      <c r="Z30" s="30">
        <v>0</v>
      </c>
      <c r="AA30" s="14" t="s">
        <v>35</v>
      </c>
      <c r="AB30" s="27">
        <f t="shared" si="11"/>
        <v>-0.69</v>
      </c>
      <c r="AC30" s="28">
        <v>0.18878222222222224</v>
      </c>
      <c r="AD30" s="25">
        <f t="shared" si="12"/>
        <v>-7.5550645333333328</v>
      </c>
      <c r="AE30" s="25">
        <v>-7.18</v>
      </c>
      <c r="AF30" s="25">
        <v>-16.315840078124999</v>
      </c>
      <c r="AG30" s="25">
        <v>0</v>
      </c>
    </row>
    <row r="31" spans="1:33" ht="15.75" customHeight="1">
      <c r="A31" s="14" t="s">
        <v>58</v>
      </c>
      <c r="B31" s="41" t="s">
        <v>45</v>
      </c>
      <c r="C31" s="15">
        <f t="shared" si="4"/>
        <v>39.93</v>
      </c>
      <c r="D31" s="16">
        <v>8</v>
      </c>
      <c r="E31" s="16">
        <v>1</v>
      </c>
      <c r="F31" s="17">
        <v>319.44</v>
      </c>
      <c r="G31" s="17">
        <v>0</v>
      </c>
      <c r="H31" s="18">
        <f t="shared" si="1"/>
        <v>0</v>
      </c>
      <c r="I31" s="18">
        <f t="shared" si="2"/>
        <v>0.25504984861528512</v>
      </c>
      <c r="J31" s="17">
        <f t="shared" si="5"/>
        <v>81.473123641666675</v>
      </c>
      <c r="K31" s="17">
        <f t="shared" si="3"/>
        <v>10.184140455208334</v>
      </c>
      <c r="L31" s="16">
        <v>50</v>
      </c>
      <c r="M31" s="19">
        <f t="shared" si="6"/>
        <v>0.16</v>
      </c>
      <c r="N31" s="16">
        <v>0</v>
      </c>
      <c r="O31" s="20">
        <f t="shared" ref="O31:P31" si="39">D31/7</f>
        <v>1.1428571428571428</v>
      </c>
      <c r="P31" s="20">
        <f t="shared" si="39"/>
        <v>0.14285714285714285</v>
      </c>
      <c r="Q31" s="16">
        <f t="shared" si="8"/>
        <v>0</v>
      </c>
      <c r="R31" s="16"/>
      <c r="S31" s="21">
        <v>5.1129032258064502</v>
      </c>
      <c r="T31" s="14">
        <v>164</v>
      </c>
      <c r="U31" s="22" t="s">
        <v>34</v>
      </c>
      <c r="V31" s="23" t="s">
        <v>957</v>
      </c>
      <c r="W31" s="30">
        <v>0</v>
      </c>
      <c r="X31" s="24">
        <f t="shared" si="9"/>
        <v>0</v>
      </c>
      <c r="Y31" s="25">
        <f t="shared" si="10"/>
        <v>0</v>
      </c>
      <c r="Z31" s="30">
        <v>0</v>
      </c>
      <c r="AA31" s="14" t="s">
        <v>35</v>
      </c>
      <c r="AB31" s="27">
        <f t="shared" si="11"/>
        <v>-0.69</v>
      </c>
      <c r="AC31" s="28">
        <v>0.18878222222222224</v>
      </c>
      <c r="AD31" s="25">
        <f t="shared" si="12"/>
        <v>-2.0841557333333331</v>
      </c>
      <c r="AE31" s="25">
        <v>-7.18</v>
      </c>
      <c r="AF31" s="25">
        <v>-16.315840078124999</v>
      </c>
      <c r="AG31" s="25">
        <v>0</v>
      </c>
    </row>
    <row r="32" spans="1:33" ht="15.75" customHeight="1">
      <c r="A32" s="14" t="s">
        <v>60</v>
      </c>
      <c r="B32" s="41"/>
      <c r="C32" s="15">
        <f t="shared" si="4"/>
        <v>39.227999999999994</v>
      </c>
      <c r="D32" s="16">
        <v>5</v>
      </c>
      <c r="E32" s="16">
        <v>0</v>
      </c>
      <c r="F32" s="17">
        <v>196.14</v>
      </c>
      <c r="G32" s="17">
        <v>-0.17</v>
      </c>
      <c r="H32" s="18">
        <f t="shared" si="1"/>
        <v>8.6672784745589894E-4</v>
      </c>
      <c r="I32" s="18">
        <f t="shared" si="2"/>
        <v>0.2435362612217889</v>
      </c>
      <c r="J32" s="17">
        <f t="shared" si="5"/>
        <v>47.767202276041672</v>
      </c>
      <c r="K32" s="17">
        <f t="shared" si="3"/>
        <v>9.5534404552083352</v>
      </c>
      <c r="L32" s="16">
        <v>59</v>
      </c>
      <c r="M32" s="19">
        <f t="shared" si="6"/>
        <v>8.4745762711864403E-2</v>
      </c>
      <c r="N32" s="16">
        <v>5</v>
      </c>
      <c r="O32" s="20">
        <f t="shared" ref="O32:P32" si="40">D32/7</f>
        <v>0.7142857142857143</v>
      </c>
      <c r="P32" s="20">
        <f t="shared" si="40"/>
        <v>0</v>
      </c>
      <c r="Q32" s="16">
        <f t="shared" si="8"/>
        <v>7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3.8509316770186341</v>
      </c>
      <c r="T32" s="14">
        <f ca="1">IFERROR(__xludf.DUMMYFUNCTION("IFERROR(VLOOKUP($B$2,IMPORTRANGE(""https://docs.google.com/spreadsheets/d/1KiWZV1ko8G7lnRucBRBd29jj3Be6ltMfljMDqzOkQmI/edit#gid=1381463014"",""Lookup!A:D""),4,FALSE),"""")"),164)</f>
        <v>164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23" t="str">
        <f ca="1">IFERROR(__xludf.DUMMYFUNCTION("IFERROR(VLOOKUP($B$2,IMPORTRANGE(""https://docs.google.com/spreadsheets/d/1KiWZV1ko8G7lnRucBRBd29jj3Be6ltMfljMDqzOkQmI/edit#gid=1381463014"",""Lookup!A:D""),2,FALSE),"""")"),"No Transit, But 164 At Factory 50-75 days from Earliest Arrival")</f>
        <v>No Transit, But 164 At Factory 50-75 days from Earliest Arrival</v>
      </c>
      <c r="W32" s="30">
        <v>0</v>
      </c>
      <c r="X32" s="24">
        <f t="shared" si="9"/>
        <v>0</v>
      </c>
      <c r="Y32" s="25">
        <f t="shared" si="10"/>
        <v>0</v>
      </c>
      <c r="Z32" s="30">
        <v>0</v>
      </c>
      <c r="AA32" s="14" t="s">
        <v>35</v>
      </c>
      <c r="AB32" s="27">
        <f t="shared" si="11"/>
        <v>-0.69</v>
      </c>
      <c r="AC32" s="28">
        <v>0.18878222222222224</v>
      </c>
      <c r="AD32" s="25">
        <f t="shared" si="12"/>
        <v>-1.3025973333333332</v>
      </c>
      <c r="AE32" s="25">
        <v>-7.18</v>
      </c>
      <c r="AF32" s="25">
        <v>-16.315840078124999</v>
      </c>
      <c r="AG32" s="25">
        <v>0</v>
      </c>
    </row>
    <row r="33" spans="1:33" ht="15.75" customHeight="1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16"/>
      <c r="S33" s="21"/>
      <c r="T33" s="31"/>
      <c r="U33" s="36"/>
      <c r="V33" s="1"/>
      <c r="W33" s="31"/>
      <c r="X33" s="31"/>
      <c r="Y33" s="31"/>
      <c r="Z33" s="31"/>
      <c r="AA33" s="2"/>
      <c r="AB33" s="31"/>
      <c r="AC33" s="31"/>
      <c r="AD33" s="31"/>
      <c r="AE33" s="37"/>
      <c r="AF33" s="37"/>
      <c r="AG33" s="37"/>
    </row>
    <row r="34" spans="1:33" ht="15.75" customHeight="1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6"/>
      <c r="V34" s="1"/>
      <c r="W34" s="31"/>
      <c r="X34" s="31"/>
      <c r="Y34" s="31"/>
      <c r="Z34" s="31"/>
      <c r="AA34" s="2"/>
      <c r="AB34" s="31"/>
      <c r="AC34" s="31"/>
      <c r="AD34" s="31"/>
      <c r="AE34" s="37"/>
      <c r="AF34" s="37"/>
      <c r="AG34" s="37"/>
    </row>
    <row r="35" spans="1:33" ht="15.75" customHeight="1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6"/>
      <c r="V35" s="1"/>
      <c r="W35" s="31"/>
      <c r="X35" s="31"/>
      <c r="Y35" s="31"/>
      <c r="Z35" s="31"/>
      <c r="AA35" s="2"/>
      <c r="AB35" s="31"/>
      <c r="AC35" s="31"/>
      <c r="AD35" s="31"/>
      <c r="AE35" s="37"/>
      <c r="AF35" s="37"/>
      <c r="AG35" s="37"/>
    </row>
    <row r="36" spans="1:33" ht="15.75" customHeight="1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6"/>
      <c r="V36" s="1"/>
      <c r="W36" s="31"/>
      <c r="X36" s="31"/>
      <c r="Y36" s="31"/>
      <c r="Z36" s="31"/>
      <c r="AA36" s="2"/>
      <c r="AB36" s="31"/>
      <c r="AC36" s="31"/>
      <c r="AD36" s="31"/>
      <c r="AE36" s="37"/>
      <c r="AF36" s="37"/>
      <c r="AG36" s="37"/>
    </row>
    <row r="37" spans="1:33" ht="15.75" customHeight="1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6"/>
      <c r="V37" s="1"/>
      <c r="W37" s="31"/>
      <c r="X37" s="31"/>
      <c r="Y37" s="31"/>
      <c r="Z37" s="31"/>
      <c r="AA37" s="2"/>
      <c r="AB37" s="31"/>
      <c r="AC37" s="31"/>
      <c r="AD37" s="31"/>
      <c r="AE37" s="37"/>
      <c r="AF37" s="37"/>
      <c r="AG37" s="37"/>
    </row>
    <row r="38" spans="1:33" ht="15.75" customHeight="1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6"/>
      <c r="V38" s="1"/>
      <c r="W38" s="31"/>
      <c r="X38" s="31"/>
      <c r="Y38" s="31"/>
      <c r="Z38" s="31"/>
      <c r="AA38" s="2"/>
      <c r="AB38" s="31"/>
      <c r="AC38" s="31"/>
      <c r="AD38" s="31"/>
      <c r="AE38" s="37"/>
      <c r="AF38" s="37"/>
      <c r="AG38" s="37"/>
    </row>
    <row r="39" spans="1:33" ht="15.75" customHeight="1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6"/>
      <c r="V39" s="1"/>
      <c r="W39" s="31"/>
      <c r="X39" s="31"/>
      <c r="Y39" s="31"/>
      <c r="Z39" s="31"/>
      <c r="AA39" s="2"/>
      <c r="AB39" s="31"/>
      <c r="AC39" s="31"/>
      <c r="AD39" s="31"/>
      <c r="AE39" s="37"/>
      <c r="AF39" s="37"/>
      <c r="AG39" s="37"/>
    </row>
    <row r="40" spans="1:33" ht="15.75" customHeight="1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6"/>
      <c r="V40" s="1"/>
      <c r="W40" s="31"/>
      <c r="X40" s="31"/>
      <c r="Y40" s="31"/>
      <c r="Z40" s="31"/>
      <c r="AA40" s="2"/>
      <c r="AB40" s="31"/>
      <c r="AC40" s="31"/>
      <c r="AD40" s="31"/>
      <c r="AE40" s="37"/>
      <c r="AF40" s="37"/>
      <c r="AG40" s="37"/>
    </row>
    <row r="41" spans="1:33" ht="15.75" customHeight="1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6"/>
      <c r="V41" s="1"/>
      <c r="W41" s="31"/>
      <c r="X41" s="31"/>
      <c r="Y41" s="31"/>
      <c r="Z41" s="31"/>
      <c r="AA41" s="2"/>
      <c r="AB41" s="31"/>
      <c r="AC41" s="31"/>
      <c r="AD41" s="31"/>
      <c r="AE41" s="37"/>
      <c r="AF41" s="37"/>
      <c r="AG41" s="37"/>
    </row>
    <row r="42" spans="1:33" ht="15.75" customHeight="1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6"/>
      <c r="V42" s="1"/>
      <c r="W42" s="31"/>
      <c r="X42" s="31"/>
      <c r="Y42" s="31"/>
      <c r="Z42" s="31"/>
      <c r="AA42" s="2"/>
      <c r="AB42" s="31"/>
      <c r="AC42" s="31"/>
      <c r="AD42" s="31"/>
      <c r="AE42" s="37"/>
      <c r="AF42" s="37"/>
      <c r="AG42" s="37"/>
    </row>
    <row r="43" spans="1:33" ht="15.75" customHeight="1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6"/>
      <c r="V43" s="1"/>
      <c r="W43" s="31"/>
      <c r="X43" s="31"/>
      <c r="Y43" s="31"/>
      <c r="Z43" s="31"/>
      <c r="AA43" s="2"/>
      <c r="AB43" s="31"/>
      <c r="AC43" s="31"/>
      <c r="AD43" s="31"/>
      <c r="AE43" s="37"/>
      <c r="AF43" s="37"/>
      <c r="AG43" s="37"/>
    </row>
    <row r="44" spans="1:33" ht="15.75" customHeight="1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6"/>
      <c r="V44" s="1"/>
      <c r="W44" s="31"/>
      <c r="X44" s="31"/>
      <c r="Y44" s="31"/>
      <c r="Z44" s="31"/>
      <c r="AA44" s="2"/>
      <c r="AB44" s="31"/>
      <c r="AC44" s="31"/>
      <c r="AD44" s="31"/>
      <c r="AE44" s="37"/>
      <c r="AF44" s="37"/>
      <c r="AG44" s="37"/>
    </row>
    <row r="45" spans="1:33" ht="15.75" customHeight="1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6"/>
      <c r="V45" s="1"/>
      <c r="W45" s="31"/>
      <c r="X45" s="31"/>
      <c r="Y45" s="31"/>
      <c r="Z45" s="31"/>
      <c r="AA45" s="2"/>
      <c r="AB45" s="31"/>
      <c r="AC45" s="31"/>
      <c r="AD45" s="31"/>
      <c r="AE45" s="37"/>
      <c r="AF45" s="37"/>
      <c r="AG45" s="37"/>
    </row>
    <row r="46" spans="1:33" ht="15.75" customHeight="1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6"/>
      <c r="V46" s="1"/>
      <c r="W46" s="31"/>
      <c r="X46" s="31"/>
      <c r="Y46" s="31"/>
      <c r="Z46" s="31"/>
      <c r="AA46" s="2"/>
      <c r="AB46" s="31"/>
      <c r="AC46" s="31"/>
      <c r="AD46" s="31"/>
      <c r="AE46" s="37"/>
      <c r="AF46" s="37"/>
      <c r="AG46" s="37"/>
    </row>
    <row r="47" spans="1:33" ht="15.75" customHeight="1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6"/>
      <c r="V47" s="1"/>
      <c r="W47" s="31"/>
      <c r="X47" s="31"/>
      <c r="Y47" s="31"/>
      <c r="Z47" s="31"/>
      <c r="AA47" s="2"/>
      <c r="AB47" s="31"/>
      <c r="AC47" s="31"/>
      <c r="AD47" s="31"/>
      <c r="AE47" s="37"/>
      <c r="AF47" s="37"/>
      <c r="AG47" s="37"/>
    </row>
    <row r="48" spans="1:33" ht="15.75" customHeight="1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6"/>
      <c r="V48" s="1"/>
      <c r="W48" s="31"/>
      <c r="X48" s="31"/>
      <c r="Y48" s="31"/>
      <c r="Z48" s="31"/>
      <c r="AA48" s="2"/>
      <c r="AB48" s="31"/>
      <c r="AC48" s="31"/>
      <c r="AD48" s="31"/>
      <c r="AE48" s="37"/>
      <c r="AF48" s="37"/>
      <c r="AG48" s="37"/>
    </row>
    <row r="49" spans="1:33" ht="15.75" customHeight="1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6"/>
      <c r="V49" s="1"/>
      <c r="W49" s="31"/>
      <c r="X49" s="31"/>
      <c r="Y49" s="31"/>
      <c r="Z49" s="31"/>
      <c r="AA49" s="2"/>
      <c r="AB49" s="31"/>
      <c r="AC49" s="31"/>
      <c r="AD49" s="31"/>
      <c r="AE49" s="37"/>
      <c r="AF49" s="37"/>
      <c r="AG49" s="37"/>
    </row>
    <row r="50" spans="1:33" ht="15.75" customHeight="1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6"/>
      <c r="V50" s="1"/>
      <c r="W50" s="31"/>
      <c r="X50" s="31"/>
      <c r="Y50" s="31"/>
      <c r="Z50" s="31"/>
      <c r="AA50" s="2"/>
      <c r="AB50" s="31"/>
      <c r="AC50" s="31"/>
      <c r="AD50" s="31"/>
      <c r="AE50" s="37"/>
      <c r="AF50" s="37"/>
      <c r="AG50" s="37"/>
    </row>
    <row r="51" spans="1:33" ht="15.75" customHeight="1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6"/>
      <c r="V51" s="1"/>
      <c r="W51" s="31"/>
      <c r="X51" s="31"/>
      <c r="Y51" s="31"/>
      <c r="Z51" s="31"/>
      <c r="AA51" s="2"/>
      <c r="AB51" s="31"/>
      <c r="AC51" s="31"/>
      <c r="AD51" s="31"/>
      <c r="AE51" s="37"/>
      <c r="AF51" s="37"/>
      <c r="AG51" s="37"/>
    </row>
    <row r="52" spans="1:33" ht="15.75" customHeight="1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6"/>
      <c r="V52" s="1"/>
      <c r="W52" s="31"/>
      <c r="X52" s="31"/>
      <c r="Y52" s="31"/>
      <c r="Z52" s="31"/>
      <c r="AA52" s="2"/>
      <c r="AB52" s="31"/>
      <c r="AC52" s="31"/>
      <c r="AD52" s="31"/>
      <c r="AE52" s="37"/>
      <c r="AF52" s="37"/>
      <c r="AG52" s="37"/>
    </row>
    <row r="53" spans="1:33" ht="15.75" customHeight="1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6"/>
      <c r="V53" s="1"/>
      <c r="W53" s="31"/>
      <c r="X53" s="31"/>
      <c r="Y53" s="31"/>
      <c r="Z53" s="31"/>
      <c r="AA53" s="2"/>
      <c r="AB53" s="31"/>
      <c r="AC53" s="31"/>
      <c r="AD53" s="31"/>
      <c r="AE53" s="37"/>
      <c r="AF53" s="37"/>
      <c r="AG53" s="37"/>
    </row>
    <row r="54" spans="1:33" ht="15.75" customHeight="1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6"/>
      <c r="V54" s="1"/>
      <c r="W54" s="31"/>
      <c r="X54" s="31"/>
      <c r="Y54" s="31"/>
      <c r="Z54" s="31"/>
      <c r="AA54" s="2"/>
      <c r="AB54" s="31"/>
      <c r="AC54" s="31"/>
      <c r="AD54" s="31"/>
      <c r="AE54" s="37"/>
      <c r="AF54" s="37"/>
      <c r="AG54" s="37"/>
    </row>
    <row r="55" spans="1:33" ht="15.75" customHeight="1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6"/>
      <c r="V55" s="1"/>
      <c r="W55" s="31"/>
      <c r="X55" s="31"/>
      <c r="Y55" s="31"/>
      <c r="Z55" s="31"/>
      <c r="AA55" s="2"/>
      <c r="AB55" s="31"/>
      <c r="AC55" s="31"/>
      <c r="AD55" s="31"/>
      <c r="AE55" s="37"/>
      <c r="AF55" s="37"/>
      <c r="AG55" s="37"/>
    </row>
    <row r="56" spans="1:33" ht="15.75" customHeight="1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6"/>
      <c r="V56" s="1"/>
      <c r="W56" s="31"/>
      <c r="X56" s="31"/>
      <c r="Y56" s="31"/>
      <c r="Z56" s="31"/>
      <c r="AA56" s="2"/>
      <c r="AB56" s="31"/>
      <c r="AC56" s="31"/>
      <c r="AD56" s="31"/>
      <c r="AE56" s="37"/>
      <c r="AF56" s="37"/>
      <c r="AG56" s="37"/>
    </row>
    <row r="57" spans="1:33" ht="15.75" customHeight="1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6"/>
      <c r="V57" s="1"/>
      <c r="W57" s="31"/>
      <c r="X57" s="31"/>
      <c r="Y57" s="31"/>
      <c r="Z57" s="31"/>
      <c r="AA57" s="2"/>
      <c r="AB57" s="31"/>
      <c r="AC57" s="31"/>
      <c r="AD57" s="31"/>
      <c r="AE57" s="37"/>
      <c r="AF57" s="37"/>
      <c r="AG57" s="37"/>
    </row>
    <row r="58" spans="1:33" ht="15.75" customHeight="1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6"/>
      <c r="V58" s="1"/>
      <c r="W58" s="31"/>
      <c r="X58" s="31"/>
      <c r="Y58" s="31"/>
      <c r="Z58" s="31"/>
      <c r="AA58" s="2"/>
      <c r="AB58" s="31"/>
      <c r="AC58" s="31"/>
      <c r="AD58" s="31"/>
      <c r="AE58" s="37"/>
      <c r="AF58" s="37"/>
      <c r="AG58" s="37"/>
    </row>
    <row r="59" spans="1:33" ht="15.75" customHeight="1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6"/>
      <c r="V59" s="1"/>
      <c r="W59" s="31"/>
      <c r="X59" s="31"/>
      <c r="Y59" s="31"/>
      <c r="Z59" s="31"/>
      <c r="AA59" s="2"/>
      <c r="AB59" s="31"/>
      <c r="AC59" s="31"/>
      <c r="AD59" s="31"/>
      <c r="AE59" s="37"/>
      <c r="AF59" s="37"/>
      <c r="AG59" s="37"/>
    </row>
    <row r="60" spans="1:33" ht="15.75" customHeight="1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6"/>
      <c r="V60" s="1"/>
      <c r="W60" s="31"/>
      <c r="X60" s="31"/>
      <c r="Y60" s="31"/>
      <c r="Z60" s="31"/>
      <c r="AA60" s="2"/>
      <c r="AB60" s="31"/>
      <c r="AC60" s="31"/>
      <c r="AD60" s="31"/>
      <c r="AE60" s="37"/>
      <c r="AF60" s="37"/>
      <c r="AG60" s="37"/>
    </row>
    <row r="61" spans="1:33" ht="15.75" customHeight="1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6"/>
      <c r="V61" s="1"/>
      <c r="W61" s="31"/>
      <c r="X61" s="31"/>
      <c r="Y61" s="31"/>
      <c r="Z61" s="31"/>
      <c r="AA61" s="2"/>
      <c r="AB61" s="31"/>
      <c r="AC61" s="31"/>
      <c r="AD61" s="31"/>
      <c r="AE61" s="37"/>
      <c r="AF61" s="37"/>
      <c r="AG61" s="37"/>
    </row>
    <row r="62" spans="1:33" ht="15.75" customHeight="1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6"/>
      <c r="V62" s="1"/>
      <c r="W62" s="31"/>
      <c r="X62" s="31"/>
      <c r="Y62" s="31"/>
      <c r="Z62" s="31"/>
      <c r="AA62" s="2"/>
      <c r="AB62" s="31"/>
      <c r="AC62" s="31"/>
      <c r="AD62" s="31"/>
      <c r="AE62" s="37"/>
      <c r="AF62" s="37"/>
      <c r="AG62" s="37"/>
    </row>
    <row r="63" spans="1:33" ht="15.75" customHeight="1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6"/>
      <c r="V63" s="1"/>
      <c r="W63" s="31"/>
      <c r="X63" s="31"/>
      <c r="Y63" s="31"/>
      <c r="Z63" s="31"/>
      <c r="AA63" s="2"/>
      <c r="AB63" s="31"/>
      <c r="AC63" s="31"/>
      <c r="AD63" s="31"/>
      <c r="AE63" s="37"/>
      <c r="AF63" s="37"/>
      <c r="AG63" s="37"/>
    </row>
    <row r="64" spans="1:33" ht="15.75" customHeight="1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6"/>
      <c r="V64" s="1"/>
      <c r="W64" s="31"/>
      <c r="X64" s="31"/>
      <c r="Y64" s="31"/>
      <c r="Z64" s="31"/>
      <c r="AA64" s="2"/>
      <c r="AB64" s="31"/>
      <c r="AC64" s="31"/>
      <c r="AD64" s="31"/>
      <c r="AE64" s="37"/>
      <c r="AF64" s="37"/>
      <c r="AG64" s="37"/>
    </row>
    <row r="65" spans="1:33" ht="15.75" customHeight="1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6"/>
      <c r="V65" s="1"/>
      <c r="W65" s="31"/>
      <c r="X65" s="31"/>
      <c r="Y65" s="31"/>
      <c r="Z65" s="31"/>
      <c r="AA65" s="2"/>
      <c r="AB65" s="31"/>
      <c r="AC65" s="31"/>
      <c r="AD65" s="31"/>
      <c r="AE65" s="37"/>
      <c r="AF65" s="37"/>
      <c r="AG65" s="37"/>
    </row>
    <row r="66" spans="1:33" ht="15.75" customHeight="1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6"/>
      <c r="V66" s="1"/>
      <c r="W66" s="31"/>
      <c r="X66" s="31"/>
      <c r="Y66" s="31"/>
      <c r="Z66" s="31"/>
      <c r="AA66" s="2"/>
      <c r="AB66" s="31"/>
      <c r="AC66" s="31"/>
      <c r="AD66" s="31"/>
      <c r="AE66" s="37"/>
      <c r="AF66" s="37"/>
      <c r="AG66" s="37"/>
    </row>
    <row r="67" spans="1:33" ht="15.75" customHeight="1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6"/>
      <c r="V67" s="1"/>
      <c r="W67" s="31"/>
      <c r="X67" s="31"/>
      <c r="Y67" s="31"/>
      <c r="Z67" s="31"/>
      <c r="AA67" s="2"/>
      <c r="AB67" s="31"/>
      <c r="AC67" s="31"/>
      <c r="AD67" s="31"/>
      <c r="AE67" s="37"/>
      <c r="AF67" s="37"/>
      <c r="AG67" s="37"/>
    </row>
    <row r="68" spans="1:33" ht="15.75" customHeight="1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6"/>
      <c r="V68" s="1"/>
      <c r="W68" s="31"/>
      <c r="X68" s="31"/>
      <c r="Y68" s="31"/>
      <c r="Z68" s="31"/>
      <c r="AA68" s="2"/>
      <c r="AB68" s="31"/>
      <c r="AC68" s="31"/>
      <c r="AD68" s="31"/>
      <c r="AE68" s="37"/>
      <c r="AF68" s="37"/>
      <c r="AG68" s="37"/>
    </row>
    <row r="69" spans="1:33" ht="15.75" customHeight="1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6"/>
      <c r="V69" s="1"/>
      <c r="W69" s="31"/>
      <c r="X69" s="31"/>
      <c r="Y69" s="31"/>
      <c r="Z69" s="31"/>
      <c r="AA69" s="2"/>
      <c r="AB69" s="31"/>
      <c r="AC69" s="31"/>
      <c r="AD69" s="31"/>
      <c r="AE69" s="37"/>
      <c r="AF69" s="37"/>
      <c r="AG69" s="37"/>
    </row>
    <row r="70" spans="1:33" ht="15.75" customHeight="1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6"/>
      <c r="V70" s="1"/>
      <c r="W70" s="31"/>
      <c r="X70" s="31"/>
      <c r="Y70" s="31"/>
      <c r="Z70" s="31"/>
      <c r="AA70" s="2"/>
      <c r="AB70" s="31"/>
      <c r="AC70" s="31"/>
      <c r="AD70" s="31"/>
      <c r="AE70" s="37"/>
      <c r="AF70" s="37"/>
      <c r="AG70" s="37"/>
    </row>
    <row r="71" spans="1:33" ht="15.75" customHeight="1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6"/>
      <c r="V71" s="1"/>
      <c r="W71" s="31"/>
      <c r="X71" s="31"/>
      <c r="Y71" s="31"/>
      <c r="Z71" s="31"/>
      <c r="AA71" s="2"/>
      <c r="AB71" s="31"/>
      <c r="AC71" s="31"/>
      <c r="AD71" s="31"/>
      <c r="AE71" s="37"/>
      <c r="AF71" s="37"/>
      <c r="AG71" s="37"/>
    </row>
    <row r="72" spans="1:33" ht="15.75" customHeight="1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6"/>
      <c r="V72" s="1"/>
      <c r="W72" s="31"/>
      <c r="X72" s="31"/>
      <c r="Y72" s="31"/>
      <c r="Z72" s="31"/>
      <c r="AA72" s="2"/>
      <c r="AB72" s="31"/>
      <c r="AC72" s="31"/>
      <c r="AD72" s="31"/>
      <c r="AE72" s="37"/>
      <c r="AF72" s="37"/>
      <c r="AG72" s="37"/>
    </row>
    <row r="73" spans="1:33" ht="15.75" customHeight="1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6"/>
      <c r="V73" s="1"/>
      <c r="W73" s="31"/>
      <c r="X73" s="31"/>
      <c r="Y73" s="31"/>
      <c r="Z73" s="31"/>
      <c r="AA73" s="2"/>
      <c r="AB73" s="31"/>
      <c r="AC73" s="31"/>
      <c r="AD73" s="31"/>
      <c r="AE73" s="37"/>
      <c r="AF73" s="37"/>
      <c r="AG73" s="37"/>
    </row>
    <row r="74" spans="1:33" ht="15.75" customHeight="1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6"/>
      <c r="V74" s="1"/>
      <c r="W74" s="31"/>
      <c r="X74" s="31"/>
      <c r="Y74" s="31"/>
      <c r="Z74" s="31"/>
      <c r="AA74" s="2"/>
      <c r="AB74" s="31"/>
      <c r="AC74" s="31"/>
      <c r="AD74" s="31"/>
      <c r="AE74" s="37"/>
      <c r="AF74" s="37"/>
      <c r="AG74" s="37"/>
    </row>
    <row r="75" spans="1:33" ht="15.75" customHeight="1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6"/>
      <c r="V75" s="1"/>
      <c r="W75" s="31"/>
      <c r="X75" s="31"/>
      <c r="Y75" s="31"/>
      <c r="Z75" s="31"/>
      <c r="AA75" s="2"/>
      <c r="AB75" s="31"/>
      <c r="AC75" s="31"/>
      <c r="AD75" s="31"/>
      <c r="AE75" s="37"/>
      <c r="AF75" s="37"/>
      <c r="AG75" s="37"/>
    </row>
    <row r="76" spans="1:33" ht="15.75" customHeight="1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6"/>
      <c r="V76" s="1"/>
      <c r="W76" s="31"/>
      <c r="X76" s="31"/>
      <c r="Y76" s="31"/>
      <c r="Z76" s="31"/>
      <c r="AA76" s="2"/>
      <c r="AB76" s="31"/>
      <c r="AC76" s="31"/>
      <c r="AD76" s="31"/>
      <c r="AE76" s="37"/>
      <c r="AF76" s="37"/>
      <c r="AG76" s="37"/>
    </row>
    <row r="77" spans="1:33" ht="15.75" customHeight="1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6"/>
      <c r="V77" s="1"/>
      <c r="W77" s="31"/>
      <c r="X77" s="31"/>
      <c r="Y77" s="31"/>
      <c r="Z77" s="31"/>
      <c r="AA77" s="2"/>
      <c r="AB77" s="31"/>
      <c r="AC77" s="31"/>
      <c r="AD77" s="31"/>
      <c r="AE77" s="37"/>
      <c r="AF77" s="37"/>
      <c r="AG77" s="37"/>
    </row>
    <row r="78" spans="1:33" ht="15.75" customHeight="1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6"/>
      <c r="V78" s="1"/>
      <c r="W78" s="31"/>
      <c r="X78" s="31"/>
      <c r="Y78" s="31"/>
      <c r="Z78" s="31"/>
      <c r="AA78" s="2"/>
      <c r="AB78" s="31"/>
      <c r="AC78" s="31"/>
      <c r="AD78" s="31"/>
      <c r="AE78" s="37"/>
      <c r="AF78" s="37"/>
      <c r="AG78" s="37"/>
    </row>
    <row r="79" spans="1:33" ht="15.75" customHeight="1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6"/>
      <c r="V79" s="1"/>
      <c r="W79" s="31"/>
      <c r="X79" s="31"/>
      <c r="Y79" s="31"/>
      <c r="Z79" s="31"/>
      <c r="AA79" s="2"/>
      <c r="AB79" s="31"/>
      <c r="AC79" s="31"/>
      <c r="AD79" s="31"/>
      <c r="AE79" s="37"/>
      <c r="AF79" s="37"/>
      <c r="AG79" s="37"/>
    </row>
    <row r="80" spans="1:33" ht="15.75" customHeight="1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6"/>
      <c r="V80" s="1"/>
      <c r="W80" s="31"/>
      <c r="X80" s="31"/>
      <c r="Y80" s="31"/>
      <c r="Z80" s="31"/>
      <c r="AA80" s="2"/>
      <c r="AB80" s="31"/>
      <c r="AC80" s="31"/>
      <c r="AD80" s="31"/>
      <c r="AE80" s="37"/>
      <c r="AF80" s="37"/>
      <c r="AG80" s="37"/>
    </row>
    <row r="81" spans="1:33" ht="15.75" customHeight="1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6"/>
      <c r="V81" s="1"/>
      <c r="W81" s="31"/>
      <c r="X81" s="31"/>
      <c r="Y81" s="31"/>
      <c r="Z81" s="31"/>
      <c r="AA81" s="2"/>
      <c r="AB81" s="31"/>
      <c r="AC81" s="31"/>
      <c r="AD81" s="31"/>
      <c r="AE81" s="37"/>
      <c r="AF81" s="37"/>
      <c r="AG81" s="37"/>
    </row>
    <row r="82" spans="1:33" ht="15.75" customHeight="1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6"/>
      <c r="V82" s="1"/>
      <c r="W82" s="31"/>
      <c r="X82" s="31"/>
      <c r="Y82" s="31"/>
      <c r="Z82" s="31"/>
      <c r="AA82" s="2"/>
      <c r="AB82" s="31"/>
      <c r="AC82" s="31"/>
      <c r="AD82" s="31"/>
      <c r="AE82" s="37"/>
      <c r="AF82" s="37"/>
      <c r="AG82" s="37"/>
    </row>
    <row r="83" spans="1:33" ht="15.75" customHeight="1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6"/>
      <c r="V83" s="1"/>
      <c r="W83" s="31"/>
      <c r="X83" s="31"/>
      <c r="Y83" s="31"/>
      <c r="Z83" s="31"/>
      <c r="AA83" s="2"/>
      <c r="AB83" s="31"/>
      <c r="AC83" s="31"/>
      <c r="AD83" s="31"/>
      <c r="AE83" s="37"/>
      <c r="AF83" s="37"/>
      <c r="AG83" s="37"/>
    </row>
    <row r="84" spans="1:33" ht="15.75" customHeight="1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6"/>
      <c r="V84" s="1"/>
      <c r="W84" s="31"/>
      <c r="X84" s="31"/>
      <c r="Y84" s="31"/>
      <c r="Z84" s="31"/>
      <c r="AA84" s="2"/>
      <c r="AB84" s="31"/>
      <c r="AC84" s="31"/>
      <c r="AD84" s="31"/>
      <c r="AE84" s="37"/>
      <c r="AF84" s="37"/>
      <c r="AG84" s="37"/>
    </row>
    <row r="85" spans="1:33" ht="15.75" customHeight="1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6"/>
      <c r="V85" s="1"/>
      <c r="W85" s="31"/>
      <c r="X85" s="31"/>
      <c r="Y85" s="31"/>
      <c r="Z85" s="31"/>
      <c r="AA85" s="2"/>
      <c r="AB85" s="31"/>
      <c r="AC85" s="31"/>
      <c r="AD85" s="31"/>
      <c r="AE85" s="37"/>
      <c r="AF85" s="37"/>
      <c r="AG85" s="37"/>
    </row>
    <row r="86" spans="1:33" ht="15.75" customHeight="1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6"/>
      <c r="V86" s="1"/>
      <c r="W86" s="31"/>
      <c r="X86" s="31"/>
      <c r="Y86" s="31"/>
      <c r="Z86" s="31"/>
      <c r="AA86" s="2"/>
      <c r="AB86" s="31"/>
      <c r="AC86" s="31"/>
      <c r="AD86" s="31"/>
      <c r="AE86" s="37"/>
      <c r="AF86" s="37"/>
      <c r="AG86" s="37"/>
    </row>
    <row r="87" spans="1:33" ht="15.75" customHeight="1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6"/>
      <c r="V87" s="1"/>
      <c r="W87" s="31"/>
      <c r="X87" s="31"/>
      <c r="Y87" s="31"/>
      <c r="Z87" s="31"/>
      <c r="AA87" s="2"/>
      <c r="AB87" s="31"/>
      <c r="AC87" s="31"/>
      <c r="AD87" s="31"/>
      <c r="AE87" s="37"/>
      <c r="AF87" s="37"/>
      <c r="AG87" s="37"/>
    </row>
    <row r="88" spans="1:33" ht="15.75" customHeight="1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6"/>
      <c r="V88" s="1"/>
      <c r="W88" s="31"/>
      <c r="X88" s="31"/>
      <c r="Y88" s="31"/>
      <c r="Z88" s="31"/>
      <c r="AA88" s="2"/>
      <c r="AB88" s="31"/>
      <c r="AC88" s="31"/>
      <c r="AD88" s="31"/>
      <c r="AE88" s="37"/>
      <c r="AF88" s="37"/>
      <c r="AG88" s="37"/>
    </row>
    <row r="89" spans="1:33" ht="15.75" customHeight="1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6"/>
      <c r="V89" s="1"/>
      <c r="W89" s="31"/>
      <c r="X89" s="31"/>
      <c r="Y89" s="31"/>
      <c r="Z89" s="31"/>
      <c r="AA89" s="2"/>
      <c r="AB89" s="31"/>
      <c r="AC89" s="31"/>
      <c r="AD89" s="31"/>
      <c r="AE89" s="37"/>
      <c r="AF89" s="37"/>
      <c r="AG89" s="37"/>
    </row>
    <row r="90" spans="1:33" ht="15.75" customHeight="1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6"/>
      <c r="V90" s="1"/>
      <c r="W90" s="31"/>
      <c r="X90" s="31"/>
      <c r="Y90" s="31"/>
      <c r="Z90" s="31"/>
      <c r="AA90" s="2"/>
      <c r="AB90" s="31"/>
      <c r="AC90" s="31"/>
      <c r="AD90" s="31"/>
      <c r="AE90" s="37"/>
      <c r="AF90" s="37"/>
      <c r="AG90" s="37"/>
    </row>
    <row r="91" spans="1:33" ht="15.75" customHeight="1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6"/>
      <c r="V91" s="1"/>
      <c r="W91" s="31"/>
      <c r="X91" s="31"/>
      <c r="Y91" s="31"/>
      <c r="Z91" s="31"/>
      <c r="AA91" s="2"/>
      <c r="AB91" s="31"/>
      <c r="AC91" s="31"/>
      <c r="AD91" s="31"/>
      <c r="AE91" s="37"/>
      <c r="AF91" s="37"/>
      <c r="AG91" s="37"/>
    </row>
    <row r="92" spans="1:33" ht="15.75" customHeight="1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6"/>
      <c r="V92" s="1"/>
      <c r="W92" s="31"/>
      <c r="X92" s="31"/>
      <c r="Y92" s="31"/>
      <c r="Z92" s="31"/>
      <c r="AA92" s="2"/>
      <c r="AB92" s="31"/>
      <c r="AC92" s="31"/>
      <c r="AD92" s="31"/>
      <c r="AE92" s="37"/>
      <c r="AF92" s="37"/>
      <c r="AG92" s="37"/>
    </row>
    <row r="93" spans="1:33" ht="15.75" customHeight="1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6"/>
      <c r="V93" s="1"/>
      <c r="W93" s="31"/>
      <c r="X93" s="31"/>
      <c r="Y93" s="31"/>
      <c r="Z93" s="31"/>
      <c r="AA93" s="2"/>
      <c r="AB93" s="31"/>
      <c r="AC93" s="31"/>
      <c r="AD93" s="31"/>
      <c r="AE93" s="37"/>
      <c r="AF93" s="37"/>
      <c r="AG93" s="37"/>
    </row>
    <row r="94" spans="1:33" ht="15.75" customHeight="1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6"/>
      <c r="V94" s="1"/>
      <c r="W94" s="31"/>
      <c r="X94" s="31"/>
      <c r="Y94" s="31"/>
      <c r="Z94" s="31"/>
      <c r="AA94" s="2"/>
      <c r="AB94" s="31"/>
      <c r="AC94" s="31"/>
      <c r="AD94" s="31"/>
      <c r="AE94" s="37"/>
      <c r="AF94" s="37"/>
      <c r="AG94" s="37"/>
    </row>
    <row r="95" spans="1:33" ht="15.75" customHeight="1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6"/>
      <c r="V95" s="1"/>
      <c r="W95" s="31"/>
      <c r="X95" s="31"/>
      <c r="Y95" s="31"/>
      <c r="Z95" s="31"/>
      <c r="AA95" s="2"/>
      <c r="AB95" s="31"/>
      <c r="AC95" s="31"/>
      <c r="AD95" s="31"/>
      <c r="AE95" s="37"/>
      <c r="AF95" s="37"/>
      <c r="AG95" s="37"/>
    </row>
    <row r="96" spans="1:33" ht="15.75" customHeight="1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6"/>
      <c r="V96" s="1"/>
      <c r="W96" s="31"/>
      <c r="X96" s="31"/>
      <c r="Y96" s="31"/>
      <c r="Z96" s="31"/>
      <c r="AA96" s="2"/>
      <c r="AB96" s="31"/>
      <c r="AC96" s="31"/>
      <c r="AD96" s="31"/>
      <c r="AE96" s="37"/>
      <c r="AF96" s="37"/>
      <c r="AG96" s="37"/>
    </row>
    <row r="97" spans="1:33" ht="15.75" customHeight="1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8"/>
      <c r="R97" s="38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8"/>
      <c r="R98" s="38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8"/>
      <c r="R99" s="38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8"/>
      <c r="R100" s="38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8"/>
      <c r="R101" s="38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8"/>
      <c r="R102" s="38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8"/>
      <c r="R103" s="38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8"/>
      <c r="R104" s="38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8"/>
      <c r="R105" s="38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8"/>
      <c r="R106" s="38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8"/>
      <c r="R107" s="38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8"/>
      <c r="R108" s="38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8"/>
      <c r="R109" s="38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8"/>
      <c r="R110" s="38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8"/>
      <c r="R111" s="38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8"/>
      <c r="R112" s="38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8"/>
      <c r="R113" s="38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8"/>
      <c r="R114" s="38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>
      <c r="A115" s="31"/>
      <c r="B115" s="31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>
      <c r="A116" s="31"/>
      <c r="B116" s="31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>
      <c r="A117" s="31"/>
      <c r="B117" s="31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>
      <c r="A118" s="31"/>
      <c r="B118" s="31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>
      <c r="A119" s="31"/>
      <c r="B119" s="31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>
      <c r="A120" s="31"/>
      <c r="B120" s="31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>
      <c r="A121" s="31"/>
      <c r="B121" s="31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>
      <c r="A122" s="31"/>
      <c r="B122" s="31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>
      <c r="A123" s="31"/>
      <c r="B123" s="31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>
      <c r="A124" s="31"/>
      <c r="B124" s="31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>
      <c r="A125" s="31"/>
      <c r="B125" s="31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>
      <c r="A126" s="31"/>
      <c r="B126" s="31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>
      <c r="A127" s="31"/>
      <c r="B127" s="31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>
      <c r="A128" s="31"/>
      <c r="B128" s="31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>
      <c r="A129" s="31"/>
      <c r="B129" s="31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>
      <c r="A130" s="31"/>
      <c r="B130" s="31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>
      <c r="A131" s="31"/>
      <c r="B131" s="31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>
      <c r="A132" s="31"/>
      <c r="B132" s="31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>
      <c r="A133" s="31"/>
      <c r="B133" s="31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>
      <c r="A134" s="31"/>
      <c r="B134" s="31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>
      <c r="A135" s="31"/>
      <c r="B135" s="31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>
      <c r="A136" s="31"/>
      <c r="B136" s="31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>
      <c r="A137" s="31"/>
      <c r="B137" s="31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>
      <c r="A138" s="31"/>
      <c r="B138" s="31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>
      <c r="A139" s="31"/>
      <c r="B139" s="31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>
      <c r="A140" s="31"/>
      <c r="B140" s="31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>
      <c r="A141" s="31"/>
      <c r="B141" s="31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2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>
      <c r="A142" s="31"/>
      <c r="B142" s="31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2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>
      <c r="A143" s="31"/>
      <c r="B143" s="31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2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>
      <c r="A144" s="31"/>
      <c r="B144" s="31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2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>
      <c r="A145" s="31"/>
      <c r="B145" s="31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2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>
      <c r="A146" s="31"/>
      <c r="B146" s="31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2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>
      <c r="A147" s="31"/>
      <c r="B147" s="31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2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>
      <c r="A148" s="31"/>
      <c r="B148" s="31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2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</row>
    <row r="149" spans="1:33" ht="15.75" customHeight="1">
      <c r="A149" s="14"/>
      <c r="B149" s="14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>
      <c r="A150" s="14"/>
      <c r="B150" s="14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>
      <c r="A151" s="14"/>
      <c r="B151" s="14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>
      <c r="A152" s="14"/>
      <c r="B152" s="14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>
      <c r="A153" s="14"/>
      <c r="B153" s="14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>
      <c r="A154" s="14"/>
      <c r="B154" s="14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>
      <c r="A155" s="14"/>
      <c r="B155" s="14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>
      <c r="A156" s="14"/>
      <c r="B156" s="14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>
      <c r="A157" s="14"/>
      <c r="B157" s="14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>
      <c r="A158" s="14"/>
      <c r="B158" s="14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>
      <c r="A159" s="14"/>
      <c r="B159" s="14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>
      <c r="A160" s="14"/>
      <c r="B160" s="14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>
      <c r="A161" s="14"/>
      <c r="B161" s="14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>
      <c r="A162" s="14"/>
      <c r="B162" s="14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>
      <c r="A163" s="14"/>
      <c r="B163" s="14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>
      <c r="A164" s="14"/>
      <c r="B164" s="14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>
      <c r="A165" s="14"/>
      <c r="B165" s="14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>
      <c r="A166" s="14"/>
      <c r="B166" s="14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>
      <c r="A167" s="14"/>
      <c r="B167" s="14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>
      <c r="A168" s="14"/>
      <c r="B168" s="14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>
      <c r="A169" s="14"/>
      <c r="B169" s="14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>
      <c r="A170" s="14"/>
      <c r="B170" s="14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>
      <c r="A171" s="14"/>
      <c r="B171" s="14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>
      <c r="A172" s="14"/>
      <c r="B172" s="14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>
      <c r="A173" s="14"/>
      <c r="B173" s="14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>
      <c r="A174" s="14"/>
      <c r="B174" s="14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>
      <c r="A175" s="14"/>
      <c r="B175" s="14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>
      <c r="A176" s="14"/>
      <c r="B176" s="14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>
      <c r="A177" s="14"/>
      <c r="B177" s="14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>
      <c r="A178" s="14"/>
      <c r="B178" s="14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>
      <c r="A179" s="14"/>
      <c r="B179" s="14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>
      <c r="A180" s="14"/>
      <c r="B180" s="14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>
      <c r="A181" s="14"/>
      <c r="B181" s="14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>
      <c r="A182" s="14"/>
      <c r="B182" s="14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>
      <c r="A183" s="14"/>
      <c r="B183" s="14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>
      <c r="A184" s="14"/>
      <c r="B184" s="14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>
      <c r="A185" s="14"/>
      <c r="B185" s="14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>
      <c r="A186" s="14"/>
      <c r="B186" s="14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>
      <c r="A187" s="14"/>
      <c r="B187" s="14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>
      <c r="A188" s="14"/>
      <c r="B188" s="14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>
      <c r="A189" s="14"/>
      <c r="B189" s="14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>
      <c r="A190" s="14"/>
      <c r="B190" s="14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>
      <c r="A191" s="14"/>
      <c r="B191" s="14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>
      <c r="A192" s="14"/>
      <c r="B192" s="14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>
      <c r="A193" s="14"/>
      <c r="B193" s="14"/>
      <c r="C193" s="39"/>
      <c r="D193" s="39"/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>
      <c r="A194" s="14"/>
      <c r="B194" s="14"/>
      <c r="C194" s="39"/>
      <c r="D194" s="39"/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>
      <c r="A195" s="14"/>
      <c r="B195" s="14"/>
      <c r="C195" s="39"/>
      <c r="D195" s="39"/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>
      <c r="A196" s="14"/>
      <c r="B196" s="14"/>
      <c r="C196" s="39"/>
      <c r="D196" s="39"/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>
      <c r="A197" s="14"/>
      <c r="B197" s="14"/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>
      <c r="A198" s="14"/>
      <c r="B198" s="14"/>
      <c r="C198" s="39"/>
      <c r="D198" s="39"/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>
      <c r="A199" s="14"/>
      <c r="B199" s="14"/>
      <c r="C199" s="39"/>
      <c r="D199" s="39"/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>
      <c r="A200" s="14"/>
      <c r="B200" s="14"/>
      <c r="C200" s="39"/>
      <c r="D200" s="39"/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>
      <c r="A201" s="14"/>
      <c r="B201" s="14"/>
      <c r="C201" s="39"/>
      <c r="D201" s="39"/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>
      <c r="A202" s="14"/>
      <c r="B202" s="14"/>
      <c r="C202" s="39"/>
      <c r="D202" s="39"/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>
      <c r="A203" s="14"/>
      <c r="B203" s="14"/>
      <c r="C203" s="39"/>
      <c r="D203" s="39"/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>
      <c r="A204" s="14"/>
      <c r="B204" s="14"/>
      <c r="C204" s="39"/>
      <c r="D204" s="39"/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>
      <c r="A205" s="14"/>
      <c r="B205" s="14"/>
      <c r="C205" s="39"/>
      <c r="D205" s="39"/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>
      <c r="A206" s="14"/>
      <c r="B206" s="14"/>
      <c r="C206" s="39"/>
      <c r="D206" s="39"/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>
      <c r="A207" s="14"/>
      <c r="B207" s="14"/>
      <c r="C207" s="39"/>
      <c r="D207" s="39"/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>
      <c r="A208" s="14"/>
      <c r="B208" s="14"/>
      <c r="C208" s="39"/>
      <c r="D208" s="39"/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>
      <c r="A209" s="14"/>
      <c r="B209" s="14"/>
      <c r="C209" s="39"/>
      <c r="D209" s="39"/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>
      <c r="A210" s="14"/>
      <c r="B210" s="14"/>
      <c r="C210" s="39"/>
      <c r="D210" s="39"/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>
      <c r="A211" s="14"/>
      <c r="B211" s="14"/>
      <c r="C211" s="39"/>
      <c r="D211" s="39"/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>
      <c r="A212" s="14"/>
      <c r="B212" s="14"/>
      <c r="C212" s="39"/>
      <c r="D212" s="39"/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>
      <c r="A213" s="14"/>
      <c r="B213" s="14"/>
      <c r="C213" s="39"/>
      <c r="D213" s="39"/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>
      <c r="A214" s="14"/>
      <c r="B214" s="14"/>
      <c r="C214" s="39"/>
      <c r="D214" s="39"/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>
      <c r="A215" s="14"/>
      <c r="B215" s="14"/>
      <c r="C215" s="39"/>
      <c r="D215" s="39"/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>
      <c r="A216" s="14"/>
      <c r="B216" s="14"/>
      <c r="C216" s="39"/>
      <c r="D216" s="39"/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>
      <c r="A217" s="14"/>
      <c r="B217" s="14"/>
      <c r="C217" s="39"/>
      <c r="D217" s="39"/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>
      <c r="A218" s="14"/>
      <c r="B218" s="14"/>
      <c r="C218" s="39"/>
      <c r="D218" s="39"/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>
      <c r="A219" s="14"/>
      <c r="B219" s="14"/>
      <c r="C219" s="39"/>
      <c r="D219" s="39"/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>
      <c r="A220" s="14"/>
      <c r="B220" s="14"/>
      <c r="C220" s="39"/>
      <c r="D220" s="39"/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>
      <c r="R221" s="30"/>
      <c r="S221" s="40"/>
    </row>
    <row r="222" spans="1:33" ht="15.75" customHeight="1">
      <c r="R222" s="30"/>
      <c r="S222" s="40"/>
    </row>
    <row r="223" spans="1:33" ht="15.75" customHeight="1">
      <c r="R223" s="30"/>
      <c r="S223" s="40"/>
    </row>
    <row r="224" spans="1:33" ht="15.75" customHeight="1">
      <c r="R224" s="30"/>
      <c r="S224" s="40"/>
    </row>
    <row r="225" spans="18:18" ht="15.75" customHeight="1">
      <c r="R225" s="30"/>
    </row>
    <row r="226" spans="18:18" ht="15.75" customHeight="1">
      <c r="R226" s="30"/>
    </row>
    <row r="227" spans="18:18" ht="15.75" customHeight="1">
      <c r="R227" s="30"/>
    </row>
    <row r="228" spans="18:18" ht="15.75" customHeight="1">
      <c r="R228" s="30"/>
    </row>
    <row r="229" spans="18:18" ht="15.75" customHeight="1">
      <c r="R229" s="30"/>
    </row>
    <row r="230" spans="18:18" ht="15.75" customHeight="1">
      <c r="R230" s="30"/>
    </row>
    <row r="231" spans="18:18" ht="15.75" customHeight="1">
      <c r="R231" s="30"/>
    </row>
    <row r="232" spans="18:18" ht="15.75" customHeight="1">
      <c r="R232" s="30"/>
    </row>
    <row r="233" spans="18:18" ht="15.75" customHeight="1">
      <c r="R233" s="30"/>
    </row>
    <row r="234" spans="18:18" ht="15.75" customHeight="1">
      <c r="R234" s="30"/>
    </row>
    <row r="235" spans="18:18" ht="15.75" customHeight="1">
      <c r="R235" s="30"/>
    </row>
    <row r="236" spans="18:18" ht="15.75" customHeight="1">
      <c r="R236" s="30"/>
    </row>
    <row r="237" spans="18:18" ht="15.75" customHeight="1">
      <c r="R237" s="30"/>
    </row>
    <row r="238" spans="18:18" ht="15.75" customHeight="1">
      <c r="R238" s="30"/>
    </row>
    <row r="239" spans="18:18" ht="15.75" customHeight="1">
      <c r="R239" s="30"/>
    </row>
    <row r="240" spans="18:18" ht="15.75" customHeight="1">
      <c r="R240" s="30"/>
    </row>
    <row r="241" spans="18:18" ht="15.75" customHeight="1">
      <c r="R241" s="30"/>
    </row>
    <row r="242" spans="18:18" ht="15.75" customHeight="1">
      <c r="R242" s="30"/>
    </row>
    <row r="243" spans="18:18" ht="15.75" customHeight="1">
      <c r="R243" s="30"/>
    </row>
    <row r="244" spans="18:18" ht="15.75" customHeight="1">
      <c r="R244" s="30"/>
    </row>
    <row r="245" spans="18:18" ht="15.75" customHeight="1">
      <c r="R245" s="30"/>
    </row>
    <row r="246" spans="18:18" ht="15.75" customHeight="1">
      <c r="R246" s="30"/>
    </row>
    <row r="247" spans="18:18" ht="15.75" customHeight="1">
      <c r="R247" s="30"/>
    </row>
    <row r="248" spans="18:18" ht="15.75" customHeight="1">
      <c r="R248" s="30"/>
    </row>
    <row r="249" spans="18:18" ht="15.75" customHeight="1">
      <c r="R249" s="30"/>
    </row>
    <row r="250" spans="18:18" ht="15.75" customHeight="1">
      <c r="R250" s="30"/>
    </row>
    <row r="251" spans="18:18" ht="15.75" customHeight="1">
      <c r="R251" s="30"/>
    </row>
    <row r="252" spans="18:18" ht="15.75" customHeight="1">
      <c r="R252" s="30"/>
    </row>
    <row r="253" spans="18:18" ht="15.75" customHeight="1">
      <c r="R253" s="30"/>
    </row>
    <row r="254" spans="18:18" ht="15.75" customHeight="1">
      <c r="R254" s="30"/>
    </row>
    <row r="255" spans="18:18" ht="15.75" customHeight="1">
      <c r="R255" s="30"/>
    </row>
    <row r="256" spans="18:18" ht="15.75" customHeight="1">
      <c r="R256" s="30"/>
    </row>
    <row r="257" spans="18:18" ht="15.75" customHeight="1">
      <c r="R257" s="30"/>
    </row>
    <row r="258" spans="18:18" ht="15.75" customHeight="1">
      <c r="R258" s="30"/>
    </row>
    <row r="259" spans="18:18" ht="15.75" customHeight="1">
      <c r="R259" s="30"/>
    </row>
    <row r="260" spans="18:18" ht="15.75" customHeight="1">
      <c r="R260" s="30"/>
    </row>
    <row r="261" spans="18:18" ht="15.75" customHeight="1">
      <c r="R261" s="30"/>
    </row>
    <row r="262" spans="18:18" ht="15.75" customHeight="1">
      <c r="R262" s="30"/>
    </row>
    <row r="263" spans="18:18" ht="15.75" customHeight="1">
      <c r="R263" s="30"/>
    </row>
    <row r="264" spans="18:18" ht="15.75" customHeight="1">
      <c r="R264" s="30"/>
    </row>
    <row r="265" spans="18:18" ht="15.75" customHeight="1">
      <c r="R265" s="30"/>
    </row>
    <row r="266" spans="18:18" ht="15.75" customHeight="1">
      <c r="R266" s="30"/>
    </row>
    <row r="267" spans="18:18" ht="15.75" customHeight="1">
      <c r="R267" s="30"/>
    </row>
    <row r="268" spans="18:18" ht="15.75" customHeight="1">
      <c r="R268" s="30"/>
    </row>
    <row r="269" spans="18:18" ht="15.75" customHeight="1">
      <c r="R269" s="30"/>
    </row>
    <row r="270" spans="18:18" ht="15.75" customHeight="1">
      <c r="R270" s="30"/>
    </row>
    <row r="271" spans="18:18" ht="15.75" customHeight="1">
      <c r="R271" s="30"/>
    </row>
    <row r="272" spans="18:18" ht="15.75" customHeight="1">
      <c r="R272" s="30"/>
    </row>
    <row r="273" spans="18:18" ht="15.75" customHeight="1">
      <c r="R273" s="30"/>
    </row>
    <row r="274" spans="18:18" ht="15.75" customHeight="1">
      <c r="R274" s="30"/>
    </row>
    <row r="275" spans="18:18" ht="15.75" customHeight="1">
      <c r="R275" s="30"/>
    </row>
    <row r="276" spans="18:18" ht="15.75" customHeight="1">
      <c r="R276" s="30"/>
    </row>
    <row r="277" spans="18:18" ht="15.75" customHeight="1">
      <c r="R277" s="30"/>
    </row>
    <row r="278" spans="18:18" ht="15.75" customHeight="1">
      <c r="R278" s="30"/>
    </row>
    <row r="279" spans="18:18" ht="15.75" customHeight="1">
      <c r="R279" s="30"/>
    </row>
    <row r="280" spans="18:18" ht="15.75" customHeight="1">
      <c r="R280" s="30"/>
    </row>
    <row r="281" spans="18:18" ht="15.75" customHeight="1">
      <c r="R281" s="30"/>
    </row>
    <row r="282" spans="18:18" ht="15.75" customHeight="1">
      <c r="R282" s="30"/>
    </row>
    <row r="283" spans="18:18" ht="15.75" customHeight="1">
      <c r="R283" s="30"/>
    </row>
    <row r="284" spans="18:18" ht="15.75" customHeight="1">
      <c r="R284" s="30"/>
    </row>
    <row r="285" spans="18:18" ht="15.75" customHeight="1">
      <c r="R285" s="30"/>
    </row>
    <row r="286" spans="18:18" ht="15.75" customHeight="1">
      <c r="R286" s="30"/>
    </row>
    <row r="287" spans="18:18" ht="15.75" customHeight="1">
      <c r="R287" s="30"/>
    </row>
    <row r="288" spans="18:18" ht="15.75" customHeight="1">
      <c r="R288" s="30"/>
    </row>
    <row r="289" spans="18:18" ht="15.75" customHeight="1">
      <c r="R289" s="30"/>
    </row>
    <row r="290" spans="18:18" ht="15.75" customHeight="1">
      <c r="R290" s="30"/>
    </row>
    <row r="291" spans="18:18" ht="15.75" customHeight="1">
      <c r="R291" s="30"/>
    </row>
    <row r="292" spans="18:18" ht="15.75" customHeight="1">
      <c r="R292" s="30"/>
    </row>
    <row r="293" spans="18:18" ht="15.75" customHeight="1">
      <c r="R293" s="30"/>
    </row>
    <row r="294" spans="18:18" ht="15.75" customHeight="1">
      <c r="R294" s="30"/>
    </row>
    <row r="295" spans="18:18" ht="15.75" customHeight="1">
      <c r="R295" s="30"/>
    </row>
    <row r="296" spans="18:18" ht="15.75" customHeight="1">
      <c r="R296" s="30"/>
    </row>
    <row r="297" spans="18:18" ht="15.75" customHeight="1">
      <c r="R297" s="30"/>
    </row>
    <row r="298" spans="18:18" ht="15.75" customHeight="1">
      <c r="R298" s="30"/>
    </row>
    <row r="299" spans="18:18" ht="15.75" customHeight="1">
      <c r="R299" s="30"/>
    </row>
    <row r="300" spans="18:18" ht="15.75" customHeight="1">
      <c r="R300" s="30"/>
    </row>
    <row r="301" spans="18:18" ht="15.75" customHeight="1">
      <c r="R301" s="30"/>
    </row>
    <row r="302" spans="18:18" ht="15.75" customHeight="1">
      <c r="R302" s="30"/>
    </row>
    <row r="303" spans="18:18" ht="15.75" customHeight="1">
      <c r="R303" s="30"/>
    </row>
    <row r="304" spans="18:18" ht="15.75" customHeight="1">
      <c r="R304" s="30"/>
    </row>
    <row r="305" spans="18:18" ht="15.75" customHeight="1">
      <c r="R305" s="30"/>
    </row>
    <row r="306" spans="18:18" ht="15.75" customHeight="1">
      <c r="R306" s="30"/>
    </row>
    <row r="307" spans="18:18" ht="15.75" customHeight="1">
      <c r="R307" s="30"/>
    </row>
    <row r="308" spans="18:18" ht="15.75" customHeight="1">
      <c r="R308" s="30"/>
    </row>
    <row r="309" spans="18:18" ht="15.75" customHeight="1">
      <c r="R309" s="30"/>
    </row>
    <row r="310" spans="18:18" ht="15.75" customHeight="1">
      <c r="R310" s="30"/>
    </row>
    <row r="311" spans="18:18" ht="15.75" customHeight="1">
      <c r="R311" s="30"/>
    </row>
    <row r="312" spans="18:18" ht="15.75" customHeight="1">
      <c r="R312" s="30"/>
    </row>
    <row r="313" spans="18:18" ht="15.75" customHeight="1">
      <c r="R313" s="30"/>
    </row>
    <row r="314" spans="18:18" ht="15.75" customHeight="1">
      <c r="R314" s="30"/>
    </row>
    <row r="315" spans="18:18" ht="15.75" customHeight="1">
      <c r="R315" s="30"/>
    </row>
    <row r="316" spans="18:18" ht="15.75" customHeight="1">
      <c r="R316" s="30"/>
    </row>
    <row r="317" spans="18:18" ht="15.75" customHeight="1">
      <c r="R317" s="30"/>
    </row>
    <row r="318" spans="18:18" ht="15.75" customHeight="1">
      <c r="R318" s="30"/>
    </row>
    <row r="319" spans="18:18" ht="15.75" customHeight="1">
      <c r="R319" s="30"/>
    </row>
    <row r="320" spans="18:18" ht="15.75" customHeight="1">
      <c r="R320" s="30"/>
    </row>
    <row r="321" spans="18:18" ht="15.75" customHeight="1">
      <c r="R321" s="30"/>
    </row>
    <row r="322" spans="18:18" ht="15.75" customHeight="1">
      <c r="R322" s="30"/>
    </row>
    <row r="323" spans="18:18" ht="15.75" customHeight="1">
      <c r="R323" s="30"/>
    </row>
    <row r="324" spans="18:18" ht="15.75" customHeight="1">
      <c r="R324" s="30"/>
    </row>
    <row r="325" spans="18:18" ht="15.75" customHeight="1">
      <c r="R325" s="30"/>
    </row>
    <row r="326" spans="18:18" ht="15.75" customHeight="1">
      <c r="R326" s="30"/>
    </row>
    <row r="327" spans="18:18" ht="15.75" customHeight="1">
      <c r="R327" s="30"/>
    </row>
    <row r="328" spans="18:18" ht="15.75" customHeight="1">
      <c r="R328" s="30"/>
    </row>
    <row r="329" spans="18:18" ht="15.75" customHeight="1">
      <c r="R329" s="30"/>
    </row>
    <row r="330" spans="18:18" ht="15.75" customHeight="1">
      <c r="R330" s="30"/>
    </row>
    <row r="331" spans="18:18" ht="15.75" customHeight="1">
      <c r="R331" s="30"/>
    </row>
    <row r="332" spans="18:18" ht="15.75" customHeight="1">
      <c r="R332" s="30"/>
    </row>
    <row r="333" spans="18:18" ht="15.75" customHeight="1">
      <c r="R333" s="30"/>
    </row>
    <row r="334" spans="18:18" ht="15.75" customHeight="1">
      <c r="R334" s="30"/>
    </row>
    <row r="335" spans="18:18" ht="15.75" customHeight="1">
      <c r="R335" s="30"/>
    </row>
    <row r="336" spans="18:18" ht="15.75" customHeight="1">
      <c r="R336" s="30"/>
    </row>
    <row r="337" spans="18:18" ht="15.75" customHeight="1">
      <c r="R337" s="30"/>
    </row>
    <row r="338" spans="18:18" ht="15.75" customHeight="1">
      <c r="R338" s="30"/>
    </row>
    <row r="339" spans="18:18" ht="15.75" customHeight="1">
      <c r="R339" s="30"/>
    </row>
    <row r="340" spans="18:18" ht="15.75" customHeight="1">
      <c r="R340" s="30"/>
    </row>
    <row r="341" spans="18:18" ht="15.75" customHeight="1">
      <c r="R341" s="30"/>
    </row>
    <row r="342" spans="18:18" ht="15.75" customHeight="1">
      <c r="R342" s="30"/>
    </row>
    <row r="343" spans="18:18" ht="15.75" customHeight="1">
      <c r="R343" s="30"/>
    </row>
    <row r="344" spans="18:18" ht="15.75" customHeight="1">
      <c r="R344" s="30"/>
    </row>
    <row r="345" spans="18:18" ht="15.75" customHeight="1">
      <c r="R345" s="30"/>
    </row>
    <row r="346" spans="18:18" ht="15.75" customHeight="1">
      <c r="R346" s="30"/>
    </row>
    <row r="347" spans="18:18" ht="15.75" customHeight="1">
      <c r="R347" s="30"/>
    </row>
    <row r="348" spans="18:18" ht="15.75" customHeight="1">
      <c r="R348" s="30"/>
    </row>
    <row r="349" spans="18:18" ht="15.75" customHeight="1">
      <c r="R349" s="30"/>
    </row>
    <row r="350" spans="18:18" ht="15.75" customHeight="1">
      <c r="R350" s="30"/>
    </row>
    <row r="351" spans="18:18" ht="15.75" customHeight="1">
      <c r="R351" s="30"/>
    </row>
    <row r="352" spans="18:18" ht="15.75" customHeight="1">
      <c r="R352" s="30"/>
    </row>
    <row r="353" spans="18:18" ht="15.75" customHeight="1">
      <c r="R353" s="30"/>
    </row>
    <row r="354" spans="18:18" ht="15.75" customHeight="1">
      <c r="R354" s="30"/>
    </row>
    <row r="355" spans="18:18" ht="15.75" customHeight="1">
      <c r="R355" s="30"/>
    </row>
    <row r="356" spans="18:18" ht="15.75" customHeight="1">
      <c r="R356" s="30"/>
    </row>
    <row r="357" spans="18:18" ht="15.75" customHeight="1">
      <c r="R357" s="30"/>
    </row>
    <row r="358" spans="18:18" ht="15.75" customHeight="1">
      <c r="R358" s="30"/>
    </row>
    <row r="359" spans="18:18" ht="15.75" customHeight="1">
      <c r="R359" s="30"/>
    </row>
    <row r="360" spans="18:18" ht="15.75" customHeight="1">
      <c r="R360" s="30"/>
    </row>
    <row r="361" spans="18:18" ht="15.75" customHeight="1">
      <c r="R361" s="30"/>
    </row>
    <row r="362" spans="18:18" ht="15.75" customHeight="1">
      <c r="R362" s="30"/>
    </row>
    <row r="363" spans="18:18" ht="15.75" customHeight="1">
      <c r="R363" s="30"/>
    </row>
    <row r="364" spans="18:18" ht="15.75" customHeight="1">
      <c r="R364" s="30"/>
    </row>
    <row r="365" spans="18:18" ht="15.75" customHeight="1">
      <c r="R365" s="30"/>
    </row>
    <row r="366" spans="18:18" ht="15.75" customHeight="1">
      <c r="R366" s="30"/>
    </row>
    <row r="367" spans="18:18" ht="15.75" customHeight="1">
      <c r="R367" s="30"/>
    </row>
    <row r="368" spans="18:18" ht="15.75" customHeight="1">
      <c r="R368" s="30"/>
    </row>
    <row r="369" spans="18:18" ht="15.75" customHeight="1">
      <c r="R369" s="30"/>
    </row>
    <row r="370" spans="18:18" ht="15.75" customHeight="1">
      <c r="R370" s="30"/>
    </row>
    <row r="371" spans="18:18" ht="15.75" customHeight="1">
      <c r="R371" s="30"/>
    </row>
    <row r="372" spans="18:18" ht="15.75" customHeight="1">
      <c r="R372" s="30"/>
    </row>
    <row r="373" spans="18:18" ht="15.75" customHeight="1">
      <c r="R373" s="30"/>
    </row>
    <row r="374" spans="18:18" ht="15.75" customHeight="1">
      <c r="R374" s="30"/>
    </row>
    <row r="375" spans="18:18" ht="15.75" customHeight="1">
      <c r="R375" s="30"/>
    </row>
    <row r="376" spans="18:18" ht="15.75" customHeight="1">
      <c r="R376" s="30"/>
    </row>
    <row r="377" spans="18:18" ht="15.75" customHeight="1">
      <c r="R377" s="30"/>
    </row>
    <row r="378" spans="18:18" ht="15.75" customHeight="1">
      <c r="R378" s="30"/>
    </row>
    <row r="379" spans="18:18" ht="15.75" customHeight="1">
      <c r="R379" s="30"/>
    </row>
    <row r="380" spans="18:18" ht="15.75" customHeight="1">
      <c r="R380" s="30"/>
    </row>
    <row r="381" spans="18:18" ht="15.75" customHeight="1">
      <c r="R381" s="30"/>
    </row>
    <row r="382" spans="18:18" ht="15.75" customHeight="1">
      <c r="R382" s="30"/>
    </row>
    <row r="383" spans="18:18" ht="15.75" customHeight="1">
      <c r="R383" s="30"/>
    </row>
    <row r="384" spans="18:18" ht="15.75" customHeight="1">
      <c r="R384" s="30"/>
    </row>
    <row r="385" spans="18:18" ht="15.75" customHeight="1">
      <c r="R385" s="30"/>
    </row>
    <row r="386" spans="18:18" ht="15.75" customHeight="1">
      <c r="R386" s="30"/>
    </row>
    <row r="387" spans="18:18" ht="15.75" customHeight="1">
      <c r="R387" s="30"/>
    </row>
    <row r="388" spans="18:18" ht="15.75" customHeight="1">
      <c r="R388" s="30"/>
    </row>
    <row r="389" spans="18:18" ht="15.75" customHeight="1">
      <c r="R389" s="30"/>
    </row>
    <row r="390" spans="18:18" ht="15.75" customHeight="1">
      <c r="R390" s="30"/>
    </row>
    <row r="391" spans="18:18" ht="15.75" customHeight="1">
      <c r="R391" s="30"/>
    </row>
    <row r="392" spans="18:18" ht="15.75" customHeight="1">
      <c r="R392" s="30"/>
    </row>
    <row r="393" spans="18:18" ht="15.75" customHeight="1">
      <c r="R393" s="30"/>
    </row>
    <row r="394" spans="18:18" ht="15.75" customHeight="1">
      <c r="R394" s="30"/>
    </row>
    <row r="395" spans="18:18" ht="15.75" customHeight="1">
      <c r="R395" s="30"/>
    </row>
    <row r="396" spans="18:18" ht="15.75" customHeight="1">
      <c r="R396" s="30"/>
    </row>
    <row r="397" spans="18:18" ht="15.75" customHeight="1">
      <c r="R397" s="30"/>
    </row>
    <row r="398" spans="18:18" ht="15.75" customHeight="1">
      <c r="R398" s="30"/>
    </row>
    <row r="399" spans="18:18" ht="15.75" customHeight="1">
      <c r="R399" s="30"/>
    </row>
    <row r="400" spans="18:18" ht="15.75" customHeight="1">
      <c r="R400" s="30"/>
    </row>
    <row r="401" spans="18:18" ht="15.75" customHeight="1">
      <c r="R401" s="30"/>
    </row>
    <row r="402" spans="18:18" ht="15.75" customHeight="1">
      <c r="R402" s="30"/>
    </row>
    <row r="403" spans="18:18" ht="15.75" customHeight="1">
      <c r="R403" s="30"/>
    </row>
    <row r="404" spans="18:18" ht="15.75" customHeight="1">
      <c r="R404" s="30"/>
    </row>
    <row r="405" spans="18:18" ht="15.75" customHeight="1">
      <c r="R405" s="30"/>
    </row>
    <row r="406" spans="18:18" ht="15.75" customHeight="1">
      <c r="R406" s="30"/>
    </row>
    <row r="407" spans="18:18" ht="15.75" customHeight="1">
      <c r="R407" s="30"/>
    </row>
    <row r="408" spans="18:18" ht="15.75" customHeight="1">
      <c r="R408" s="30"/>
    </row>
    <row r="409" spans="18:18" ht="15.75" customHeight="1">
      <c r="R409" s="30"/>
    </row>
    <row r="410" spans="18:18" ht="15.75" customHeight="1">
      <c r="R410" s="30"/>
    </row>
    <row r="411" spans="18:18" ht="15.75" customHeight="1">
      <c r="R411" s="30"/>
    </row>
    <row r="412" spans="18:18" ht="15.75" customHeight="1">
      <c r="R412" s="30"/>
    </row>
    <row r="413" spans="18:18" ht="15.75" customHeight="1">
      <c r="R413" s="30"/>
    </row>
    <row r="414" spans="18:18" ht="15.75" customHeight="1">
      <c r="R414" s="30"/>
    </row>
    <row r="415" spans="18:18" ht="15.75" customHeight="1">
      <c r="R415" s="30"/>
    </row>
    <row r="416" spans="18:18" ht="15.75" customHeight="1">
      <c r="R416" s="30"/>
    </row>
    <row r="417" spans="18:18" ht="15.75" customHeight="1">
      <c r="R417" s="30"/>
    </row>
    <row r="418" spans="18:18" ht="15.75" customHeight="1">
      <c r="R418" s="30"/>
    </row>
    <row r="419" spans="18:18" ht="15.75" customHeight="1">
      <c r="R419" s="30"/>
    </row>
    <row r="420" spans="18:18" ht="15.75" customHeight="1">
      <c r="R420" s="30"/>
    </row>
    <row r="421" spans="18:18" ht="15.75" customHeight="1">
      <c r="R421" s="30"/>
    </row>
    <row r="422" spans="18:18" ht="15.75" customHeight="1">
      <c r="R422" s="30"/>
    </row>
    <row r="423" spans="18:18" ht="15.75" customHeight="1">
      <c r="R423" s="30"/>
    </row>
    <row r="424" spans="18:18" ht="15.75" customHeight="1">
      <c r="R424" s="30"/>
    </row>
    <row r="425" spans="18:18" ht="15.75" customHeight="1">
      <c r="R425" s="30"/>
    </row>
    <row r="426" spans="18:18" ht="15.75" customHeight="1">
      <c r="R426" s="30"/>
    </row>
    <row r="427" spans="18:18" ht="15.75" customHeight="1">
      <c r="R427" s="30"/>
    </row>
    <row r="428" spans="18:18" ht="15.75" customHeight="1">
      <c r="R428" s="30"/>
    </row>
    <row r="429" spans="18:18" ht="15.75" customHeight="1">
      <c r="R429" s="30"/>
    </row>
    <row r="430" spans="18:18" ht="15.75" customHeight="1">
      <c r="R430" s="30"/>
    </row>
    <row r="431" spans="18:18" ht="15.75" customHeight="1">
      <c r="R431" s="30"/>
    </row>
    <row r="432" spans="18:18" ht="15.75" customHeight="1">
      <c r="R432" s="30"/>
    </row>
    <row r="433" spans="18:18" ht="15.75" customHeight="1">
      <c r="R433" s="30"/>
    </row>
    <row r="434" spans="18:18" ht="15.75" customHeight="1">
      <c r="R434" s="30"/>
    </row>
    <row r="435" spans="18:18" ht="15.75" customHeight="1">
      <c r="R435" s="30"/>
    </row>
    <row r="436" spans="18:18" ht="15.75" customHeight="1">
      <c r="R436" s="30"/>
    </row>
    <row r="437" spans="18:18" ht="15.75" customHeight="1">
      <c r="R437" s="30"/>
    </row>
    <row r="438" spans="18:18" ht="15.75" customHeight="1">
      <c r="R438" s="30"/>
    </row>
    <row r="439" spans="18:18" ht="15.75" customHeight="1">
      <c r="R439" s="30"/>
    </row>
    <row r="440" spans="18:18" ht="15.75" customHeight="1">
      <c r="R440" s="30"/>
    </row>
    <row r="441" spans="18:18" ht="15.75" customHeight="1">
      <c r="R441" s="30"/>
    </row>
    <row r="442" spans="18:18" ht="15.75" customHeight="1">
      <c r="R442" s="30"/>
    </row>
    <row r="443" spans="18:18" ht="15.75" customHeight="1">
      <c r="R443" s="30"/>
    </row>
    <row r="444" spans="18:18" ht="15.75" customHeight="1">
      <c r="R444" s="30"/>
    </row>
    <row r="445" spans="18:18" ht="15.75" customHeight="1">
      <c r="R445" s="30"/>
    </row>
    <row r="446" spans="18:18" ht="15.75" customHeight="1">
      <c r="R446" s="30"/>
    </row>
    <row r="447" spans="18:18" ht="15.75" customHeight="1">
      <c r="R447" s="30"/>
    </row>
    <row r="448" spans="18:18" ht="15.75" customHeight="1">
      <c r="R448" s="30"/>
    </row>
    <row r="449" spans="18:18" ht="15.75" customHeight="1">
      <c r="R449" s="30"/>
    </row>
    <row r="450" spans="18:18" ht="15.75" customHeight="1">
      <c r="R450" s="30"/>
    </row>
    <row r="451" spans="18:18" ht="15.75" customHeight="1">
      <c r="R451" s="30"/>
    </row>
    <row r="452" spans="18:18" ht="15.75" customHeight="1">
      <c r="R452" s="30"/>
    </row>
    <row r="453" spans="18:18" ht="15.75" customHeight="1">
      <c r="R453" s="30"/>
    </row>
    <row r="454" spans="18:18" ht="15.75" customHeight="1">
      <c r="R454" s="30"/>
    </row>
    <row r="455" spans="18:18" ht="15.75" customHeight="1">
      <c r="R455" s="30"/>
    </row>
    <row r="456" spans="18:18" ht="15.75" customHeight="1">
      <c r="R456" s="30"/>
    </row>
    <row r="457" spans="18:18" ht="15.75" customHeight="1">
      <c r="R457" s="30"/>
    </row>
    <row r="458" spans="18:18" ht="15.75" customHeight="1">
      <c r="R458" s="30"/>
    </row>
    <row r="459" spans="18:18" ht="15.75" customHeight="1">
      <c r="R459" s="30"/>
    </row>
    <row r="460" spans="18:18" ht="15.75" customHeight="1">
      <c r="R460" s="30"/>
    </row>
    <row r="461" spans="18:18" ht="15.75" customHeight="1">
      <c r="R461" s="30"/>
    </row>
    <row r="462" spans="18:18" ht="15.75" customHeight="1">
      <c r="R462" s="30"/>
    </row>
    <row r="463" spans="18:18" ht="15.75" customHeight="1">
      <c r="R463" s="30"/>
    </row>
    <row r="464" spans="18:18" ht="15.75" customHeight="1">
      <c r="R464" s="30"/>
    </row>
    <row r="465" spans="18:18" ht="15.75" customHeight="1">
      <c r="R465" s="30"/>
    </row>
    <row r="466" spans="18:18" ht="15.75" customHeight="1">
      <c r="R466" s="30"/>
    </row>
    <row r="467" spans="18:18" ht="15.75" customHeight="1">
      <c r="R467" s="30"/>
    </row>
    <row r="468" spans="18:18" ht="15.75" customHeight="1">
      <c r="R468" s="30"/>
    </row>
    <row r="469" spans="18:18" ht="15.75" customHeight="1">
      <c r="R469" s="30"/>
    </row>
    <row r="470" spans="18:18" ht="15.75" customHeight="1">
      <c r="R470" s="30"/>
    </row>
    <row r="471" spans="18:18" ht="15.75" customHeight="1">
      <c r="R471" s="30"/>
    </row>
    <row r="472" spans="18:18" ht="15.75" customHeight="1">
      <c r="R472" s="30"/>
    </row>
    <row r="473" spans="18:18" ht="15.75" customHeight="1">
      <c r="R473" s="30"/>
    </row>
    <row r="474" spans="18:18" ht="15.75" customHeight="1">
      <c r="R474" s="30"/>
    </row>
    <row r="475" spans="18:18" ht="15.75" customHeight="1">
      <c r="R475" s="30"/>
    </row>
    <row r="476" spans="18:18" ht="15.75" customHeight="1">
      <c r="R476" s="30"/>
    </row>
    <row r="477" spans="18:18" ht="15.75" customHeight="1">
      <c r="R477" s="30"/>
    </row>
    <row r="478" spans="18:18" ht="15.75" customHeight="1">
      <c r="R478" s="30"/>
    </row>
    <row r="479" spans="18:18" ht="15.75" customHeight="1">
      <c r="R479" s="30"/>
    </row>
    <row r="480" spans="18:18" ht="15.75" customHeight="1">
      <c r="R480" s="30"/>
    </row>
    <row r="481" spans="18:18" ht="15.75" customHeight="1">
      <c r="R481" s="30"/>
    </row>
    <row r="482" spans="18:18" ht="15.75" customHeight="1">
      <c r="R482" s="30"/>
    </row>
    <row r="483" spans="18:18" ht="15.75" customHeight="1">
      <c r="R483" s="30"/>
    </row>
    <row r="484" spans="18:18" ht="15.75" customHeight="1">
      <c r="R484" s="30"/>
    </row>
    <row r="485" spans="18:18" ht="15.75" customHeight="1">
      <c r="R485" s="30"/>
    </row>
    <row r="486" spans="18:18" ht="15.75" customHeight="1">
      <c r="R486" s="30"/>
    </row>
    <row r="487" spans="18:18" ht="15.75" customHeight="1">
      <c r="R487" s="30"/>
    </row>
    <row r="488" spans="18:18" ht="15.75" customHeight="1">
      <c r="R488" s="30"/>
    </row>
    <row r="489" spans="18:18" ht="15.75" customHeight="1">
      <c r="R489" s="30"/>
    </row>
    <row r="490" spans="18:18" ht="15.75" customHeight="1">
      <c r="R490" s="30"/>
    </row>
    <row r="491" spans="18:18" ht="15.75" customHeight="1">
      <c r="R491" s="30"/>
    </row>
    <row r="492" spans="18:18" ht="15.75" customHeight="1">
      <c r="R492" s="30"/>
    </row>
    <row r="493" spans="18:18" ht="15.75" customHeight="1">
      <c r="R493" s="30"/>
    </row>
    <row r="494" spans="18:18" ht="15.75" customHeight="1">
      <c r="R494" s="30"/>
    </row>
    <row r="495" spans="18:18" ht="15.75" customHeight="1">
      <c r="R495" s="30"/>
    </row>
    <row r="496" spans="18:18" ht="15.75" customHeight="1">
      <c r="R496" s="30"/>
    </row>
    <row r="497" spans="18:18" ht="15.75" customHeight="1">
      <c r="R497" s="30"/>
    </row>
    <row r="498" spans="18:18" ht="15.75" customHeight="1">
      <c r="R498" s="30"/>
    </row>
    <row r="499" spans="18:18" ht="15.75" customHeight="1">
      <c r="R499" s="30"/>
    </row>
    <row r="500" spans="18:18" ht="15.75" customHeight="1">
      <c r="R500" s="30"/>
    </row>
    <row r="501" spans="18:18" ht="15.75" customHeight="1">
      <c r="R501" s="30"/>
    </row>
    <row r="502" spans="18:18" ht="15.75" customHeight="1">
      <c r="R502" s="30"/>
    </row>
    <row r="503" spans="18:18" ht="15.75" customHeight="1">
      <c r="R503" s="30"/>
    </row>
    <row r="504" spans="18:18" ht="15.75" customHeight="1">
      <c r="R504" s="30"/>
    </row>
    <row r="505" spans="18:18" ht="15.75" customHeight="1">
      <c r="R505" s="30"/>
    </row>
    <row r="506" spans="18:18" ht="15.75" customHeight="1">
      <c r="R506" s="30"/>
    </row>
    <row r="507" spans="18:18" ht="15.75" customHeight="1">
      <c r="R507" s="30"/>
    </row>
    <row r="508" spans="18:18" ht="15.75" customHeight="1">
      <c r="R508" s="30"/>
    </row>
    <row r="509" spans="18:18" ht="15.75" customHeight="1">
      <c r="R509" s="30"/>
    </row>
    <row r="510" spans="18:18" ht="15.75" customHeight="1">
      <c r="R510" s="30"/>
    </row>
    <row r="511" spans="18:18" ht="15.75" customHeight="1">
      <c r="R511" s="30"/>
    </row>
    <row r="512" spans="18:18" ht="15.75" customHeight="1">
      <c r="R512" s="30"/>
    </row>
    <row r="513" spans="18:18" ht="15.75" customHeight="1">
      <c r="R513" s="30"/>
    </row>
    <row r="514" spans="18:18" ht="15.75" customHeight="1">
      <c r="R514" s="30"/>
    </row>
    <row r="515" spans="18:18" ht="15.75" customHeight="1">
      <c r="R515" s="30"/>
    </row>
    <row r="516" spans="18:18" ht="15.75" customHeight="1">
      <c r="R516" s="30"/>
    </row>
    <row r="517" spans="18:18" ht="15.75" customHeight="1">
      <c r="R517" s="30"/>
    </row>
    <row r="518" spans="18:18" ht="15.75" customHeight="1">
      <c r="R518" s="30"/>
    </row>
    <row r="519" spans="18:18" ht="15.75" customHeight="1">
      <c r="R519" s="30"/>
    </row>
    <row r="520" spans="18:18" ht="15.75" customHeight="1">
      <c r="R520" s="30"/>
    </row>
    <row r="521" spans="18:18" ht="15.75" customHeight="1">
      <c r="R521" s="30"/>
    </row>
    <row r="522" spans="18:18" ht="15.75" customHeight="1">
      <c r="R522" s="30"/>
    </row>
    <row r="523" spans="18:18" ht="15.75" customHeight="1">
      <c r="R523" s="30"/>
    </row>
    <row r="524" spans="18:18" ht="15.75" customHeight="1">
      <c r="R524" s="30"/>
    </row>
    <row r="525" spans="18:18" ht="15.75" customHeight="1">
      <c r="R525" s="30"/>
    </row>
    <row r="526" spans="18:18" ht="15.75" customHeight="1">
      <c r="R526" s="30"/>
    </row>
    <row r="527" spans="18:18" ht="15.75" customHeight="1">
      <c r="R527" s="30"/>
    </row>
    <row r="528" spans="18:18" ht="15.75" customHeight="1">
      <c r="R528" s="30"/>
    </row>
    <row r="529" spans="18:18" ht="15.75" customHeight="1">
      <c r="R529" s="30"/>
    </row>
    <row r="530" spans="18:18" ht="15.75" customHeight="1">
      <c r="R530" s="30"/>
    </row>
    <row r="531" spans="18:18" ht="15.75" customHeight="1">
      <c r="R531" s="30"/>
    </row>
    <row r="532" spans="18:18" ht="15.75" customHeight="1">
      <c r="R532" s="30"/>
    </row>
    <row r="533" spans="18:18" ht="15.75" customHeight="1">
      <c r="R533" s="30"/>
    </row>
    <row r="534" spans="18:18" ht="15.75" customHeight="1">
      <c r="R534" s="30"/>
    </row>
    <row r="535" spans="18:18" ht="15.75" customHeight="1">
      <c r="R535" s="30"/>
    </row>
    <row r="536" spans="18:18" ht="15.75" customHeight="1">
      <c r="R536" s="30"/>
    </row>
    <row r="537" spans="18:18" ht="15.75" customHeight="1">
      <c r="R537" s="30"/>
    </row>
    <row r="538" spans="18:18" ht="15.75" customHeight="1">
      <c r="R538" s="30"/>
    </row>
    <row r="539" spans="18:18" ht="15.75" customHeight="1">
      <c r="R539" s="30"/>
    </row>
    <row r="540" spans="18:18" ht="15.75" customHeight="1">
      <c r="R540" s="30"/>
    </row>
    <row r="541" spans="18:18" ht="15.75" customHeight="1">
      <c r="R541" s="30"/>
    </row>
    <row r="542" spans="18:18" ht="15.75" customHeight="1">
      <c r="R542" s="30"/>
    </row>
    <row r="543" spans="18:18" ht="15.75" customHeight="1">
      <c r="R543" s="30"/>
    </row>
    <row r="544" spans="18:18" ht="15.75" customHeight="1">
      <c r="R544" s="30"/>
    </row>
    <row r="545" spans="18:18" ht="15.75" customHeight="1">
      <c r="R545" s="30"/>
    </row>
    <row r="546" spans="18:18" ht="15.75" customHeight="1">
      <c r="R546" s="30"/>
    </row>
    <row r="547" spans="18:18" ht="15.75" customHeight="1">
      <c r="R547" s="30"/>
    </row>
    <row r="548" spans="18:18" ht="15.75" customHeight="1">
      <c r="R548" s="30"/>
    </row>
    <row r="549" spans="18:18" ht="15.75" customHeight="1">
      <c r="R549" s="30"/>
    </row>
    <row r="550" spans="18:18" ht="15.75" customHeight="1">
      <c r="R550" s="30"/>
    </row>
    <row r="551" spans="18:18" ht="15.75" customHeight="1">
      <c r="R551" s="30"/>
    </row>
    <row r="552" spans="18:18" ht="15.75" customHeight="1">
      <c r="R552" s="30"/>
    </row>
    <row r="553" spans="18:18" ht="15.75" customHeight="1">
      <c r="R553" s="30"/>
    </row>
    <row r="554" spans="18:18" ht="15.75" customHeight="1">
      <c r="R554" s="30"/>
    </row>
    <row r="555" spans="18:18" ht="15.75" customHeight="1">
      <c r="R555" s="30"/>
    </row>
    <row r="556" spans="18:18" ht="15.75" customHeight="1">
      <c r="R556" s="30"/>
    </row>
    <row r="557" spans="18:18" ht="15.75" customHeight="1">
      <c r="R557" s="30"/>
    </row>
    <row r="558" spans="18:18" ht="15.75" customHeight="1">
      <c r="R558" s="30"/>
    </row>
    <row r="559" spans="18:18" ht="15.75" customHeight="1">
      <c r="R559" s="30"/>
    </row>
    <row r="560" spans="18:18" ht="15.75" customHeight="1">
      <c r="R560" s="30"/>
    </row>
    <row r="561" spans="18:18" ht="15.75" customHeight="1">
      <c r="R561" s="30"/>
    </row>
    <row r="562" spans="18:18" ht="15.75" customHeight="1">
      <c r="R562" s="30"/>
    </row>
    <row r="563" spans="18:18" ht="15.75" customHeight="1">
      <c r="R563" s="30"/>
    </row>
    <row r="564" spans="18:18" ht="15.75" customHeight="1">
      <c r="R564" s="30"/>
    </row>
    <row r="565" spans="18:18" ht="15.75" customHeight="1">
      <c r="R565" s="30"/>
    </row>
    <row r="566" spans="18:18" ht="15.75" customHeight="1">
      <c r="R566" s="30"/>
    </row>
    <row r="567" spans="18:18" ht="15.75" customHeight="1">
      <c r="R567" s="30"/>
    </row>
    <row r="568" spans="18:18" ht="15.75" customHeight="1">
      <c r="R568" s="30"/>
    </row>
    <row r="569" spans="18:18" ht="15.75" customHeight="1">
      <c r="R569" s="30"/>
    </row>
    <row r="570" spans="18:18" ht="15.75" customHeight="1">
      <c r="R570" s="30"/>
    </row>
    <row r="571" spans="18:18" ht="15.75" customHeight="1">
      <c r="R571" s="30"/>
    </row>
    <row r="572" spans="18:18" ht="15.75" customHeight="1">
      <c r="R572" s="30"/>
    </row>
    <row r="573" spans="18:18" ht="15.75" customHeight="1">
      <c r="R573" s="30"/>
    </row>
    <row r="574" spans="18:18" ht="15.75" customHeight="1">
      <c r="R574" s="30"/>
    </row>
    <row r="575" spans="18:18" ht="15.75" customHeight="1">
      <c r="R575" s="30"/>
    </row>
    <row r="576" spans="18:18" ht="15.75" customHeight="1">
      <c r="R576" s="30"/>
    </row>
    <row r="577" spans="18:18" ht="15.75" customHeight="1">
      <c r="R577" s="30"/>
    </row>
    <row r="578" spans="18:18" ht="15.75" customHeight="1">
      <c r="R578" s="30"/>
    </row>
    <row r="579" spans="18:18" ht="15.75" customHeight="1">
      <c r="R579" s="30"/>
    </row>
    <row r="580" spans="18:18" ht="15.75" customHeight="1">
      <c r="R580" s="30"/>
    </row>
    <row r="581" spans="18:18" ht="15.75" customHeight="1">
      <c r="R581" s="30"/>
    </row>
    <row r="582" spans="18:18" ht="15.75" customHeight="1">
      <c r="R582" s="30"/>
    </row>
    <row r="583" spans="18:18" ht="15.75" customHeight="1">
      <c r="R583" s="30"/>
    </row>
    <row r="584" spans="18:18" ht="15.75" customHeight="1">
      <c r="R584" s="30"/>
    </row>
    <row r="585" spans="18:18" ht="15.75" customHeight="1">
      <c r="R585" s="30"/>
    </row>
    <row r="586" spans="18:18" ht="15.75" customHeight="1">
      <c r="R586" s="30"/>
    </row>
    <row r="587" spans="18:18" ht="15.75" customHeight="1">
      <c r="R587" s="30"/>
    </row>
    <row r="588" spans="18:18" ht="15.75" customHeight="1">
      <c r="R588" s="30"/>
    </row>
    <row r="589" spans="18:18" ht="15.75" customHeight="1">
      <c r="R589" s="30"/>
    </row>
    <row r="590" spans="18:18" ht="15.75" customHeight="1">
      <c r="R590" s="30"/>
    </row>
    <row r="591" spans="18:18" ht="15.75" customHeight="1">
      <c r="R591" s="30"/>
    </row>
    <row r="592" spans="18:18" ht="15.75" customHeight="1">
      <c r="R592" s="30"/>
    </row>
    <row r="593" spans="18:18" ht="15.75" customHeight="1">
      <c r="R593" s="30"/>
    </row>
    <row r="594" spans="18:18" ht="15.75" customHeight="1">
      <c r="R594" s="30"/>
    </row>
    <row r="595" spans="18:18" ht="15.75" customHeight="1">
      <c r="R595" s="30"/>
    </row>
    <row r="596" spans="18:18" ht="15.75" customHeight="1">
      <c r="R596" s="30"/>
    </row>
    <row r="597" spans="18:18" ht="15.75" customHeight="1">
      <c r="R597" s="30"/>
    </row>
    <row r="598" spans="18:18" ht="15.75" customHeight="1">
      <c r="R598" s="30"/>
    </row>
    <row r="599" spans="18:18" ht="15.75" customHeight="1">
      <c r="R599" s="30"/>
    </row>
    <row r="600" spans="18:18" ht="15.75" customHeight="1">
      <c r="R600" s="30"/>
    </row>
    <row r="601" spans="18:18" ht="15.75" customHeight="1">
      <c r="R601" s="30"/>
    </row>
    <row r="602" spans="18:18" ht="15.75" customHeight="1">
      <c r="R602" s="30"/>
    </row>
    <row r="603" spans="18:18" ht="15.75" customHeight="1">
      <c r="R603" s="30"/>
    </row>
    <row r="604" spans="18:18" ht="15.75" customHeight="1">
      <c r="R604" s="30"/>
    </row>
    <row r="605" spans="18:18" ht="15.75" customHeight="1">
      <c r="R605" s="30"/>
    </row>
    <row r="606" spans="18:18" ht="15.75" customHeight="1">
      <c r="R606" s="30"/>
    </row>
    <row r="607" spans="18:18" ht="15.75" customHeight="1">
      <c r="R607" s="30"/>
    </row>
    <row r="608" spans="18:18" ht="15.75" customHeight="1">
      <c r="R608" s="30"/>
    </row>
    <row r="609" spans="18:18" ht="15.75" customHeight="1">
      <c r="R609" s="30"/>
    </row>
    <row r="610" spans="18:18" ht="15.75" customHeight="1">
      <c r="R610" s="30"/>
    </row>
    <row r="611" spans="18:18" ht="15.75" customHeight="1">
      <c r="R611" s="30"/>
    </row>
    <row r="612" spans="18:18" ht="15.75" customHeight="1">
      <c r="R612" s="30"/>
    </row>
    <row r="613" spans="18:18" ht="15.75" customHeight="1">
      <c r="R613" s="30"/>
    </row>
    <row r="614" spans="18:18" ht="15.75" customHeight="1">
      <c r="R614" s="30"/>
    </row>
    <row r="615" spans="18:18" ht="15.75" customHeight="1">
      <c r="R615" s="30"/>
    </row>
    <row r="616" spans="18:18" ht="15.75" customHeight="1">
      <c r="R616" s="30"/>
    </row>
    <row r="617" spans="18:18" ht="15.75" customHeight="1">
      <c r="R617" s="30"/>
    </row>
    <row r="618" spans="18:18" ht="15.75" customHeight="1">
      <c r="R618" s="30"/>
    </row>
    <row r="619" spans="18:18" ht="15.75" customHeight="1">
      <c r="R619" s="30"/>
    </row>
    <row r="620" spans="18:18" ht="15.75" customHeight="1">
      <c r="R620" s="30"/>
    </row>
    <row r="621" spans="18:18" ht="15.75" customHeight="1">
      <c r="R621" s="30"/>
    </row>
    <row r="622" spans="18:18" ht="15.75" customHeight="1">
      <c r="R622" s="30"/>
    </row>
    <row r="623" spans="18:18" ht="15.75" customHeight="1">
      <c r="R623" s="30"/>
    </row>
    <row r="624" spans="18:18" ht="15.75" customHeight="1">
      <c r="R624" s="30"/>
    </row>
    <row r="625" spans="18:18" ht="15.75" customHeight="1">
      <c r="R625" s="30"/>
    </row>
    <row r="626" spans="18:18" ht="15.75" customHeight="1">
      <c r="R626" s="30"/>
    </row>
    <row r="627" spans="18:18" ht="15.75" customHeight="1">
      <c r="R627" s="30"/>
    </row>
    <row r="628" spans="18:18" ht="15.75" customHeight="1">
      <c r="R628" s="30"/>
    </row>
    <row r="629" spans="18:18" ht="15.75" customHeight="1">
      <c r="R629" s="30"/>
    </row>
    <row r="630" spans="18:18" ht="15.75" customHeight="1">
      <c r="R630" s="30"/>
    </row>
    <row r="631" spans="18:18" ht="15.75" customHeight="1">
      <c r="R631" s="30"/>
    </row>
    <row r="632" spans="18:18" ht="15.75" customHeight="1">
      <c r="R632" s="30"/>
    </row>
    <row r="633" spans="18:18" ht="15.75" customHeight="1">
      <c r="R633" s="30"/>
    </row>
    <row r="634" spans="18:18" ht="15.75" customHeight="1">
      <c r="R634" s="30"/>
    </row>
    <row r="635" spans="18:18" ht="15.75" customHeight="1">
      <c r="R635" s="30"/>
    </row>
    <row r="636" spans="18:18" ht="15.75" customHeight="1">
      <c r="R636" s="30"/>
    </row>
    <row r="637" spans="18:18" ht="15.75" customHeight="1">
      <c r="R637" s="30"/>
    </row>
    <row r="638" spans="18:18" ht="15.75" customHeight="1">
      <c r="R638" s="30"/>
    </row>
    <row r="639" spans="18:18" ht="15.75" customHeight="1">
      <c r="R639" s="30"/>
    </row>
    <row r="640" spans="18:18" ht="15.75" customHeight="1">
      <c r="R640" s="30"/>
    </row>
    <row r="641" spans="18:18" ht="15.75" customHeight="1">
      <c r="R641" s="30"/>
    </row>
    <row r="642" spans="18:18" ht="15.75" customHeight="1">
      <c r="R642" s="30"/>
    </row>
    <row r="643" spans="18:18" ht="15.75" customHeight="1">
      <c r="R643" s="30"/>
    </row>
    <row r="644" spans="18:18" ht="15.75" customHeight="1">
      <c r="R644" s="30"/>
    </row>
    <row r="645" spans="18:18" ht="15.75" customHeight="1">
      <c r="R645" s="30"/>
    </row>
    <row r="646" spans="18:18" ht="15.75" customHeight="1">
      <c r="R646" s="30"/>
    </row>
    <row r="647" spans="18:18" ht="15.75" customHeight="1">
      <c r="R647" s="30"/>
    </row>
    <row r="648" spans="18:18" ht="15.75" customHeight="1">
      <c r="R648" s="30"/>
    </row>
    <row r="649" spans="18:18" ht="15.75" customHeight="1">
      <c r="R649" s="30"/>
    </row>
    <row r="650" spans="18:18" ht="15.75" customHeight="1">
      <c r="R650" s="30"/>
    </row>
    <row r="651" spans="18:18" ht="15.75" customHeight="1">
      <c r="R651" s="30"/>
    </row>
    <row r="652" spans="18:18" ht="15.75" customHeight="1">
      <c r="R652" s="30"/>
    </row>
    <row r="653" spans="18:18" ht="15.75" customHeight="1">
      <c r="R653" s="30"/>
    </row>
    <row r="654" spans="18:18" ht="15.75" customHeight="1">
      <c r="R654" s="30"/>
    </row>
    <row r="655" spans="18:18" ht="15.75" customHeight="1">
      <c r="R655" s="30"/>
    </row>
    <row r="656" spans="18:18" ht="15.75" customHeight="1">
      <c r="R656" s="30"/>
    </row>
    <row r="657" spans="18:18" ht="15.75" customHeight="1">
      <c r="R657" s="30"/>
    </row>
    <row r="658" spans="18:18" ht="15.75" customHeight="1">
      <c r="R658" s="30"/>
    </row>
    <row r="659" spans="18:18" ht="15.75" customHeight="1">
      <c r="R659" s="30"/>
    </row>
    <row r="660" spans="18:18" ht="15.75" customHeight="1">
      <c r="R660" s="30"/>
    </row>
    <row r="661" spans="18:18" ht="15.75" customHeight="1">
      <c r="R661" s="30"/>
    </row>
    <row r="662" spans="18:18" ht="15.75" customHeight="1">
      <c r="R662" s="30"/>
    </row>
    <row r="663" spans="18:18" ht="15.75" customHeight="1">
      <c r="R663" s="30"/>
    </row>
    <row r="664" spans="18:18" ht="15.75" customHeight="1">
      <c r="R664" s="30"/>
    </row>
    <row r="665" spans="18:18" ht="15.75" customHeight="1">
      <c r="R665" s="30"/>
    </row>
    <row r="666" spans="18:18" ht="15.75" customHeight="1">
      <c r="R666" s="30"/>
    </row>
    <row r="667" spans="18:18" ht="15.75" customHeight="1">
      <c r="R667" s="30"/>
    </row>
    <row r="668" spans="18:18" ht="15.75" customHeight="1">
      <c r="R668" s="30"/>
    </row>
    <row r="669" spans="18:18" ht="15.75" customHeight="1">
      <c r="R669" s="30"/>
    </row>
    <row r="670" spans="18:18" ht="15.75" customHeight="1">
      <c r="R670" s="30"/>
    </row>
    <row r="671" spans="18:18" ht="15.75" customHeight="1">
      <c r="R671" s="30"/>
    </row>
    <row r="672" spans="18:18" ht="15.75" customHeight="1">
      <c r="R672" s="30"/>
    </row>
    <row r="673" spans="18:18" ht="15.75" customHeight="1">
      <c r="R673" s="30"/>
    </row>
    <row r="674" spans="18:18" ht="15.75" customHeight="1">
      <c r="R674" s="30"/>
    </row>
    <row r="675" spans="18:18" ht="15.75" customHeight="1">
      <c r="R675" s="30"/>
    </row>
    <row r="676" spans="18:18" ht="15.75" customHeight="1">
      <c r="R676" s="30"/>
    </row>
    <row r="677" spans="18:18" ht="15.75" customHeight="1">
      <c r="R677" s="30"/>
    </row>
    <row r="678" spans="18:18" ht="15.75" customHeight="1">
      <c r="R678" s="30"/>
    </row>
    <row r="679" spans="18:18" ht="15.75" customHeight="1">
      <c r="R679" s="30"/>
    </row>
    <row r="680" spans="18:18" ht="15.75" customHeight="1">
      <c r="R680" s="30"/>
    </row>
    <row r="681" spans="18:18" ht="15.75" customHeight="1">
      <c r="R681" s="30"/>
    </row>
    <row r="682" spans="18:18" ht="15.75" customHeight="1">
      <c r="R682" s="30"/>
    </row>
    <row r="683" spans="18:18" ht="15.75" customHeight="1">
      <c r="R683" s="30"/>
    </row>
    <row r="684" spans="18:18" ht="15.75" customHeight="1">
      <c r="R684" s="30"/>
    </row>
    <row r="685" spans="18:18" ht="15.75" customHeight="1">
      <c r="R685" s="30"/>
    </row>
    <row r="686" spans="18:18" ht="15.75" customHeight="1">
      <c r="R686" s="30"/>
    </row>
    <row r="687" spans="18:18" ht="15.75" customHeight="1">
      <c r="R687" s="30"/>
    </row>
    <row r="688" spans="18:18" ht="15.75" customHeight="1">
      <c r="R688" s="30"/>
    </row>
    <row r="689" spans="18:18" ht="15.75" customHeight="1">
      <c r="R689" s="30"/>
    </row>
    <row r="690" spans="18:18" ht="15.75" customHeight="1">
      <c r="R690" s="30"/>
    </row>
    <row r="691" spans="18:18" ht="15.75" customHeight="1">
      <c r="R691" s="30"/>
    </row>
    <row r="692" spans="18:18" ht="15.75" customHeight="1">
      <c r="R692" s="30"/>
    </row>
    <row r="693" spans="18:18" ht="15.75" customHeight="1">
      <c r="R693" s="30"/>
    </row>
    <row r="694" spans="18:18" ht="15.75" customHeight="1">
      <c r="R694" s="30"/>
    </row>
    <row r="695" spans="18:18" ht="15.75" customHeight="1">
      <c r="R695" s="30"/>
    </row>
    <row r="696" spans="18:18" ht="15.75" customHeight="1">
      <c r="R696" s="30"/>
    </row>
    <row r="697" spans="18:18" ht="15.75" customHeight="1">
      <c r="R697" s="30"/>
    </row>
    <row r="698" spans="18:18" ht="15.75" customHeight="1">
      <c r="R698" s="30"/>
    </row>
    <row r="699" spans="18:18" ht="15.75" customHeight="1">
      <c r="R699" s="30"/>
    </row>
    <row r="700" spans="18:18" ht="15.75" customHeight="1">
      <c r="R700" s="30"/>
    </row>
    <row r="701" spans="18:18" ht="15.75" customHeight="1">
      <c r="R701" s="30"/>
    </row>
    <row r="702" spans="18:18" ht="15.75" customHeight="1">
      <c r="R702" s="30"/>
    </row>
    <row r="703" spans="18:18" ht="15.75" customHeight="1">
      <c r="R703" s="30"/>
    </row>
    <row r="704" spans="18:18" ht="15.75" customHeight="1">
      <c r="R704" s="30"/>
    </row>
    <row r="705" spans="18:18" ht="15.75" customHeight="1">
      <c r="R705" s="30"/>
    </row>
    <row r="706" spans="18:18" ht="15.75" customHeight="1">
      <c r="R706" s="30"/>
    </row>
    <row r="707" spans="18:18" ht="15.75" customHeight="1">
      <c r="R707" s="30"/>
    </row>
    <row r="708" spans="18:18" ht="15.75" customHeight="1">
      <c r="R708" s="30"/>
    </row>
    <row r="709" spans="18:18" ht="15.75" customHeight="1">
      <c r="R709" s="30"/>
    </row>
    <row r="710" spans="18:18" ht="15.75" customHeight="1">
      <c r="R710" s="30"/>
    </row>
    <row r="711" spans="18:18" ht="15.75" customHeight="1">
      <c r="R711" s="30"/>
    </row>
    <row r="712" spans="18:18" ht="15.75" customHeight="1">
      <c r="R712" s="30"/>
    </row>
    <row r="713" spans="18:18" ht="15.75" customHeight="1">
      <c r="R713" s="30"/>
    </row>
    <row r="714" spans="18:18" ht="15.75" customHeight="1">
      <c r="R714" s="30"/>
    </row>
    <row r="715" spans="18:18" ht="15.75" customHeight="1">
      <c r="R715" s="30"/>
    </row>
    <row r="716" spans="18:18" ht="15.75" customHeight="1">
      <c r="R716" s="30"/>
    </row>
    <row r="717" spans="18:18" ht="15.75" customHeight="1">
      <c r="R717" s="30"/>
    </row>
    <row r="718" spans="18:18" ht="15.75" customHeight="1">
      <c r="R718" s="30"/>
    </row>
    <row r="719" spans="18:18" ht="15.75" customHeight="1">
      <c r="R719" s="30"/>
    </row>
    <row r="720" spans="18:18" ht="15.75" customHeight="1">
      <c r="R720" s="30"/>
    </row>
    <row r="721" spans="18:18" ht="15.75" customHeight="1">
      <c r="R721" s="30"/>
    </row>
    <row r="722" spans="18:18" ht="15.75" customHeight="1">
      <c r="R722" s="30"/>
    </row>
    <row r="723" spans="18:18" ht="15.75" customHeight="1">
      <c r="R723" s="30"/>
    </row>
    <row r="724" spans="18:18" ht="15.75" customHeight="1">
      <c r="R724" s="30"/>
    </row>
    <row r="725" spans="18:18" ht="15.75" customHeight="1">
      <c r="R725" s="30"/>
    </row>
    <row r="726" spans="18:18" ht="15.75" customHeight="1">
      <c r="R726" s="30"/>
    </row>
    <row r="727" spans="18:18" ht="15.75" customHeight="1">
      <c r="R727" s="30"/>
    </row>
    <row r="728" spans="18:18" ht="15.75" customHeight="1">
      <c r="R728" s="30"/>
    </row>
    <row r="729" spans="18:18" ht="15.75" customHeight="1">
      <c r="R729" s="30"/>
    </row>
    <row r="730" spans="18:18" ht="15.75" customHeight="1">
      <c r="R730" s="30"/>
    </row>
    <row r="731" spans="18:18" ht="15.75" customHeight="1">
      <c r="R731" s="30"/>
    </row>
    <row r="732" spans="18:18" ht="15.75" customHeight="1">
      <c r="R732" s="30"/>
    </row>
    <row r="733" spans="18:18" ht="15.75" customHeight="1">
      <c r="R733" s="30"/>
    </row>
    <row r="734" spans="18:18" ht="15.75" customHeight="1">
      <c r="R734" s="30"/>
    </row>
    <row r="735" spans="18:18" ht="15.75" customHeight="1">
      <c r="R735" s="30"/>
    </row>
    <row r="736" spans="18:18" ht="15.75" customHeight="1">
      <c r="R736" s="30"/>
    </row>
    <row r="737" spans="18:18" ht="15.75" customHeight="1">
      <c r="R737" s="30"/>
    </row>
    <row r="738" spans="18:18" ht="15.75" customHeight="1">
      <c r="R738" s="30"/>
    </row>
    <row r="739" spans="18:18" ht="15.75" customHeight="1">
      <c r="R739" s="30"/>
    </row>
    <row r="740" spans="18:18" ht="15.75" customHeight="1">
      <c r="R740" s="30"/>
    </row>
    <row r="741" spans="18:18" ht="15.75" customHeight="1">
      <c r="R741" s="30"/>
    </row>
    <row r="742" spans="18:18" ht="15.75" customHeight="1">
      <c r="R742" s="30"/>
    </row>
    <row r="743" spans="18:18" ht="15.75" customHeight="1">
      <c r="R743" s="30"/>
    </row>
    <row r="744" spans="18:18" ht="15.75" customHeight="1">
      <c r="R744" s="30"/>
    </row>
    <row r="745" spans="18:18" ht="15.75" customHeight="1">
      <c r="R745" s="30"/>
    </row>
    <row r="746" spans="18:18" ht="15.75" customHeight="1">
      <c r="R746" s="30"/>
    </row>
    <row r="747" spans="18:18" ht="15.75" customHeight="1">
      <c r="R747" s="30"/>
    </row>
    <row r="748" spans="18:18" ht="15.75" customHeight="1">
      <c r="R748" s="30"/>
    </row>
    <row r="749" spans="18:18" ht="15.75" customHeight="1">
      <c r="R749" s="30"/>
    </row>
    <row r="750" spans="18:18" ht="15.75" customHeight="1">
      <c r="R750" s="30"/>
    </row>
    <row r="751" spans="18:18" ht="15.75" customHeight="1">
      <c r="R751" s="30"/>
    </row>
    <row r="752" spans="18:18" ht="15.75" customHeight="1">
      <c r="R752" s="30"/>
    </row>
    <row r="753" spans="18:18" ht="15.75" customHeight="1">
      <c r="R753" s="30"/>
    </row>
    <row r="754" spans="18:18" ht="15.75" customHeight="1">
      <c r="R754" s="30"/>
    </row>
    <row r="755" spans="18:18" ht="15.75" customHeight="1">
      <c r="R755" s="30"/>
    </row>
    <row r="756" spans="18:18" ht="15.75" customHeight="1">
      <c r="R756" s="30"/>
    </row>
    <row r="757" spans="18:18" ht="15.75" customHeight="1">
      <c r="R757" s="30"/>
    </row>
    <row r="758" spans="18:18" ht="15.75" customHeight="1">
      <c r="R758" s="30"/>
    </row>
    <row r="759" spans="18:18" ht="15.75" customHeight="1">
      <c r="R759" s="30"/>
    </row>
    <row r="760" spans="18:18" ht="15.75" customHeight="1">
      <c r="R760" s="30"/>
    </row>
    <row r="761" spans="18:18" ht="15.75" customHeight="1">
      <c r="R761" s="30"/>
    </row>
    <row r="762" spans="18:18" ht="15.75" customHeight="1">
      <c r="R762" s="30"/>
    </row>
    <row r="763" spans="18:18" ht="15.75" customHeight="1">
      <c r="R763" s="30"/>
    </row>
    <row r="764" spans="18:18" ht="15.75" customHeight="1">
      <c r="R764" s="30"/>
    </row>
    <row r="765" spans="18:18" ht="15.75" customHeight="1">
      <c r="R765" s="30"/>
    </row>
    <row r="766" spans="18:18" ht="15.75" customHeight="1">
      <c r="R766" s="30"/>
    </row>
    <row r="767" spans="18:18" ht="15.75" customHeight="1">
      <c r="R767" s="30"/>
    </row>
    <row r="768" spans="18:18" ht="15.75" customHeight="1">
      <c r="R768" s="30"/>
    </row>
    <row r="769" spans="18:18" ht="15.75" customHeight="1">
      <c r="R769" s="30"/>
    </row>
    <row r="770" spans="18:18" ht="15.75" customHeight="1">
      <c r="R770" s="30"/>
    </row>
    <row r="771" spans="18:18" ht="15.75" customHeight="1">
      <c r="R771" s="30"/>
    </row>
    <row r="772" spans="18:18" ht="15.75" customHeight="1">
      <c r="R772" s="30"/>
    </row>
    <row r="773" spans="18:18" ht="15.75" customHeight="1">
      <c r="R773" s="30"/>
    </row>
    <row r="774" spans="18:18" ht="15.75" customHeight="1">
      <c r="R774" s="30"/>
    </row>
    <row r="775" spans="18:18" ht="15.75" customHeight="1">
      <c r="R775" s="30"/>
    </row>
    <row r="776" spans="18:18" ht="15.75" customHeight="1">
      <c r="R776" s="30"/>
    </row>
    <row r="777" spans="18:18" ht="15.75" customHeight="1">
      <c r="R777" s="30"/>
    </row>
    <row r="778" spans="18:18" ht="15.75" customHeight="1">
      <c r="R778" s="30"/>
    </row>
    <row r="779" spans="18:18" ht="15.75" customHeight="1">
      <c r="R779" s="30"/>
    </row>
    <row r="780" spans="18:18" ht="15.75" customHeight="1">
      <c r="R780" s="30"/>
    </row>
    <row r="781" spans="18:18" ht="15.75" customHeight="1">
      <c r="R781" s="30"/>
    </row>
    <row r="782" spans="18:18" ht="15.75" customHeight="1">
      <c r="R782" s="30"/>
    </row>
    <row r="783" spans="18:18" ht="15.75" customHeight="1">
      <c r="R783" s="30"/>
    </row>
    <row r="784" spans="18:18" ht="15.75" customHeight="1">
      <c r="R784" s="30"/>
    </row>
    <row r="785" spans="18:18" ht="15.75" customHeight="1">
      <c r="R785" s="30"/>
    </row>
    <row r="786" spans="18:18" ht="15.75" customHeight="1">
      <c r="R786" s="30"/>
    </row>
    <row r="787" spans="18:18" ht="15.75" customHeight="1">
      <c r="R787" s="30"/>
    </row>
    <row r="788" spans="18:18" ht="15.75" customHeight="1">
      <c r="R788" s="30"/>
    </row>
    <row r="789" spans="18:18" ht="15.75" customHeight="1">
      <c r="R789" s="30"/>
    </row>
    <row r="790" spans="18:18" ht="15.75" customHeight="1">
      <c r="R790" s="30"/>
    </row>
    <row r="791" spans="18:18" ht="15.75" customHeight="1">
      <c r="R791" s="30"/>
    </row>
    <row r="792" spans="18:18" ht="15.75" customHeight="1">
      <c r="R792" s="30"/>
    </row>
    <row r="793" spans="18:18" ht="15.75" customHeight="1">
      <c r="R793" s="30"/>
    </row>
    <row r="794" spans="18:18" ht="15.75" customHeight="1">
      <c r="R794" s="30"/>
    </row>
    <row r="795" spans="18:18" ht="15.75" customHeight="1">
      <c r="R795" s="30"/>
    </row>
    <row r="796" spans="18:18" ht="15.75" customHeight="1">
      <c r="R796" s="30"/>
    </row>
    <row r="797" spans="18:18" ht="15.75" customHeight="1">
      <c r="R797" s="30"/>
    </row>
    <row r="798" spans="18:18" ht="15.75" customHeight="1">
      <c r="R798" s="30"/>
    </row>
    <row r="799" spans="18:18" ht="15.75" customHeight="1">
      <c r="R799" s="30"/>
    </row>
    <row r="800" spans="18:18" ht="15.75" customHeight="1">
      <c r="R800" s="30"/>
    </row>
    <row r="801" spans="18:18" ht="15.75" customHeight="1">
      <c r="R801" s="30"/>
    </row>
    <row r="802" spans="18:18" ht="15.75" customHeight="1">
      <c r="R802" s="30"/>
    </row>
    <row r="803" spans="18:18" ht="15.75" customHeight="1">
      <c r="R803" s="30"/>
    </row>
    <row r="804" spans="18:18" ht="15.75" customHeight="1">
      <c r="R804" s="30"/>
    </row>
    <row r="805" spans="18:18" ht="15.75" customHeight="1">
      <c r="R805" s="30"/>
    </row>
    <row r="806" spans="18:18" ht="15.75" customHeight="1">
      <c r="R806" s="30"/>
    </row>
    <row r="807" spans="18:18" ht="15.75" customHeight="1">
      <c r="R807" s="30"/>
    </row>
    <row r="808" spans="18:18" ht="15.75" customHeight="1">
      <c r="R808" s="30"/>
    </row>
    <row r="809" spans="18:18" ht="15.75" customHeight="1">
      <c r="R809" s="30"/>
    </row>
    <row r="810" spans="18:18" ht="15.75" customHeight="1">
      <c r="R810" s="30"/>
    </row>
    <row r="811" spans="18:18" ht="15.75" customHeight="1">
      <c r="R811" s="30"/>
    </row>
    <row r="812" spans="18:18" ht="15.75" customHeight="1">
      <c r="R812" s="30"/>
    </row>
    <row r="813" spans="18:18" ht="15.75" customHeight="1">
      <c r="R813" s="30"/>
    </row>
    <row r="814" spans="18:18" ht="15.75" customHeight="1">
      <c r="R814" s="30"/>
    </row>
    <row r="815" spans="18:18" ht="15.75" customHeight="1">
      <c r="R815" s="30"/>
    </row>
    <row r="816" spans="18:18" ht="15.75" customHeight="1">
      <c r="R816" s="30"/>
    </row>
    <row r="817" spans="18:18" ht="15.75" customHeight="1">
      <c r="R817" s="30"/>
    </row>
    <row r="818" spans="18:18" ht="15.75" customHeight="1">
      <c r="R818" s="30"/>
    </row>
    <row r="819" spans="18:18" ht="15.75" customHeight="1">
      <c r="R819" s="30"/>
    </row>
    <row r="820" spans="18:18" ht="15.75" customHeight="1">
      <c r="R820" s="30"/>
    </row>
    <row r="821" spans="18:18" ht="15.75" customHeight="1">
      <c r="R821" s="30"/>
    </row>
    <row r="822" spans="18:18" ht="15.75" customHeight="1">
      <c r="R822" s="30"/>
    </row>
    <row r="823" spans="18:18" ht="15.75" customHeight="1">
      <c r="R823" s="30"/>
    </row>
    <row r="824" spans="18:18" ht="15.75" customHeight="1">
      <c r="R824" s="30"/>
    </row>
    <row r="825" spans="18:18" ht="15.75" customHeight="1">
      <c r="R825" s="30"/>
    </row>
    <row r="826" spans="18:18" ht="15.75" customHeight="1">
      <c r="R826" s="30"/>
    </row>
    <row r="827" spans="18:18" ht="15.75" customHeight="1">
      <c r="R827" s="30"/>
    </row>
    <row r="828" spans="18:18" ht="15.75" customHeight="1">
      <c r="R828" s="30"/>
    </row>
    <row r="829" spans="18:18" ht="15.75" customHeight="1">
      <c r="R829" s="30"/>
    </row>
    <row r="830" spans="18:18" ht="15.75" customHeight="1">
      <c r="R830" s="30"/>
    </row>
    <row r="831" spans="18:18" ht="15.75" customHeight="1">
      <c r="R831" s="30"/>
    </row>
    <row r="832" spans="18:18" ht="15.75" customHeight="1">
      <c r="R832" s="30"/>
    </row>
    <row r="833" spans="18:18" ht="15.75" customHeight="1">
      <c r="R833" s="30"/>
    </row>
    <row r="834" spans="18:18" ht="15.75" customHeight="1">
      <c r="R834" s="30"/>
    </row>
    <row r="835" spans="18:18" ht="15.75" customHeight="1">
      <c r="R835" s="30"/>
    </row>
    <row r="836" spans="18:18" ht="15.75" customHeight="1">
      <c r="R836" s="30"/>
    </row>
    <row r="837" spans="18:18" ht="15.75" customHeight="1">
      <c r="R837" s="30"/>
    </row>
    <row r="838" spans="18:18" ht="15.75" customHeight="1">
      <c r="R838" s="30"/>
    </row>
    <row r="839" spans="18:18" ht="15.75" customHeight="1">
      <c r="R839" s="30"/>
    </row>
    <row r="840" spans="18:18" ht="15.75" customHeight="1">
      <c r="R840" s="30"/>
    </row>
    <row r="841" spans="18:18" ht="15.75" customHeight="1">
      <c r="R841" s="30"/>
    </row>
    <row r="842" spans="18:18" ht="15.75" customHeight="1">
      <c r="R842" s="30"/>
    </row>
    <row r="843" spans="18:18" ht="15.75" customHeight="1">
      <c r="R843" s="30"/>
    </row>
    <row r="844" spans="18:18" ht="15.75" customHeight="1">
      <c r="R844" s="30"/>
    </row>
    <row r="845" spans="18:18" ht="15.75" customHeight="1">
      <c r="R845" s="30"/>
    </row>
    <row r="846" spans="18:18" ht="15.75" customHeight="1">
      <c r="R846" s="30"/>
    </row>
    <row r="847" spans="18:18" ht="15.75" customHeight="1">
      <c r="R847" s="30"/>
    </row>
    <row r="848" spans="18:18" ht="15.75" customHeight="1">
      <c r="R848" s="30"/>
    </row>
    <row r="849" spans="18:18" ht="15.75" customHeight="1">
      <c r="R849" s="30"/>
    </row>
    <row r="850" spans="18:18" ht="15.75" customHeight="1">
      <c r="R850" s="30"/>
    </row>
    <row r="851" spans="18:18" ht="15.75" customHeight="1">
      <c r="R851" s="30"/>
    </row>
    <row r="852" spans="18:18" ht="15.75" customHeight="1">
      <c r="R852" s="30"/>
    </row>
    <row r="853" spans="18:18" ht="15.75" customHeight="1">
      <c r="R853" s="30"/>
    </row>
    <row r="854" spans="18:18" ht="15.75" customHeight="1">
      <c r="R854" s="30"/>
    </row>
    <row r="855" spans="18:18" ht="15.75" customHeight="1">
      <c r="R855" s="30"/>
    </row>
    <row r="856" spans="18:18" ht="15.75" customHeight="1">
      <c r="R856" s="30"/>
    </row>
    <row r="857" spans="18:18" ht="15.75" customHeight="1">
      <c r="R857" s="30"/>
    </row>
    <row r="858" spans="18:18" ht="15.75" customHeight="1">
      <c r="R858" s="30"/>
    </row>
    <row r="859" spans="18:18" ht="15.75" customHeight="1">
      <c r="R859" s="30"/>
    </row>
    <row r="860" spans="18:18" ht="15.75" customHeight="1">
      <c r="R860" s="30"/>
    </row>
    <row r="861" spans="18:18" ht="15.75" customHeight="1">
      <c r="R861" s="30"/>
    </row>
    <row r="862" spans="18:18" ht="15.75" customHeight="1">
      <c r="R862" s="30"/>
    </row>
    <row r="863" spans="18:18" ht="15.75" customHeight="1">
      <c r="R863" s="30"/>
    </row>
    <row r="864" spans="18:18" ht="15.75" customHeight="1">
      <c r="R864" s="30"/>
    </row>
    <row r="865" spans="18:18" ht="15.75" customHeight="1">
      <c r="R865" s="30"/>
    </row>
    <row r="866" spans="18:18" ht="15.75" customHeight="1">
      <c r="R866" s="30"/>
    </row>
    <row r="867" spans="18:18" ht="15.75" customHeight="1">
      <c r="R867" s="30"/>
    </row>
    <row r="868" spans="18:18" ht="15.75" customHeight="1">
      <c r="R868" s="30"/>
    </row>
    <row r="869" spans="18:18" ht="15.75" customHeight="1">
      <c r="R869" s="30"/>
    </row>
    <row r="870" spans="18:18" ht="15.75" customHeight="1">
      <c r="R870" s="30"/>
    </row>
    <row r="871" spans="18:18" ht="15.75" customHeight="1">
      <c r="R871" s="30"/>
    </row>
    <row r="872" spans="18:18" ht="15.75" customHeight="1">
      <c r="R872" s="30"/>
    </row>
    <row r="873" spans="18:18" ht="15.75" customHeight="1">
      <c r="R873" s="30"/>
    </row>
    <row r="874" spans="18:18" ht="15.75" customHeight="1">
      <c r="R874" s="30"/>
    </row>
    <row r="875" spans="18:18" ht="15.75" customHeight="1">
      <c r="R875" s="30"/>
    </row>
    <row r="876" spans="18:18" ht="15.75" customHeight="1">
      <c r="R876" s="30"/>
    </row>
    <row r="877" spans="18:18" ht="15.75" customHeight="1">
      <c r="R877" s="30"/>
    </row>
    <row r="878" spans="18:18" ht="15.75" customHeight="1">
      <c r="R878" s="30"/>
    </row>
    <row r="879" spans="18:18" ht="15.75" customHeight="1">
      <c r="R879" s="30"/>
    </row>
    <row r="880" spans="18:18" ht="15.75" customHeight="1">
      <c r="R880" s="30"/>
    </row>
    <row r="881" spans="18:18" ht="15.75" customHeight="1">
      <c r="R881" s="30"/>
    </row>
    <row r="882" spans="18:18" ht="15.75" customHeight="1">
      <c r="R882" s="30"/>
    </row>
    <row r="883" spans="18:18" ht="15.75" customHeight="1">
      <c r="R883" s="30"/>
    </row>
    <row r="884" spans="18:18" ht="15.75" customHeight="1">
      <c r="R884" s="30"/>
    </row>
    <row r="885" spans="18:18" ht="15.75" customHeight="1">
      <c r="R885" s="30"/>
    </row>
    <row r="886" spans="18:18" ht="15.75" customHeight="1">
      <c r="R886" s="30"/>
    </row>
    <row r="887" spans="18:18" ht="15.75" customHeight="1">
      <c r="R887" s="30"/>
    </row>
    <row r="888" spans="18:18" ht="15.75" customHeight="1">
      <c r="R888" s="30"/>
    </row>
    <row r="889" spans="18:18" ht="15.75" customHeight="1">
      <c r="R889" s="30"/>
    </row>
    <row r="890" spans="18:18" ht="15.75" customHeight="1">
      <c r="R890" s="30"/>
    </row>
    <row r="891" spans="18:18" ht="15.75" customHeight="1">
      <c r="R891" s="30"/>
    </row>
    <row r="892" spans="18:18" ht="15.75" customHeight="1">
      <c r="R892" s="30"/>
    </row>
    <row r="893" spans="18:18" ht="15.75" customHeight="1">
      <c r="R893" s="30"/>
    </row>
    <row r="894" spans="18:18" ht="15.75" customHeight="1">
      <c r="R894" s="30"/>
    </row>
    <row r="895" spans="18:18" ht="15.75" customHeight="1">
      <c r="R895" s="30"/>
    </row>
    <row r="896" spans="18:18" ht="15.75" customHeight="1">
      <c r="R896" s="30"/>
    </row>
    <row r="897" spans="18:18" ht="15.75" customHeight="1">
      <c r="R897" s="30"/>
    </row>
    <row r="898" spans="18:18" ht="15.75" customHeight="1">
      <c r="R898" s="30"/>
    </row>
    <row r="899" spans="18:18" ht="15.75" customHeight="1">
      <c r="R899" s="30"/>
    </row>
    <row r="900" spans="18:18" ht="15.75" customHeight="1">
      <c r="R900" s="30"/>
    </row>
    <row r="901" spans="18:18" ht="15.75" customHeight="1">
      <c r="R901" s="30"/>
    </row>
    <row r="902" spans="18:18" ht="15.75" customHeight="1">
      <c r="R902" s="30"/>
    </row>
    <row r="903" spans="18:18" ht="15.75" customHeight="1">
      <c r="R903" s="30"/>
    </row>
    <row r="904" spans="18:18" ht="15.75" customHeight="1">
      <c r="R904" s="30"/>
    </row>
    <row r="905" spans="18:18" ht="15.75" customHeight="1">
      <c r="R905" s="30"/>
    </row>
    <row r="906" spans="18:18" ht="15.75" customHeight="1">
      <c r="R906" s="30"/>
    </row>
    <row r="907" spans="18:18" ht="15.75" customHeight="1">
      <c r="R907" s="30"/>
    </row>
    <row r="908" spans="18:18" ht="15.75" customHeight="1">
      <c r="R908" s="30"/>
    </row>
    <row r="909" spans="18:18" ht="15.75" customHeight="1">
      <c r="R909" s="30"/>
    </row>
    <row r="910" spans="18:18" ht="15.75" customHeight="1">
      <c r="R910" s="30"/>
    </row>
    <row r="911" spans="18:18" ht="15.75" customHeight="1">
      <c r="R911" s="30"/>
    </row>
    <row r="912" spans="18:18" ht="15.75" customHeight="1">
      <c r="R912" s="30"/>
    </row>
    <row r="913" spans="18:18" ht="15.75" customHeight="1">
      <c r="R913" s="30"/>
    </row>
    <row r="914" spans="18:18" ht="15.75" customHeight="1">
      <c r="R914" s="30"/>
    </row>
    <row r="915" spans="18:18" ht="15.75" customHeight="1">
      <c r="R915" s="30"/>
    </row>
    <row r="916" spans="18:18" ht="15.75" customHeight="1">
      <c r="R916" s="30"/>
    </row>
    <row r="917" spans="18:18" ht="15.75" customHeight="1">
      <c r="R917" s="30"/>
    </row>
    <row r="918" spans="18:18" ht="15.75" customHeight="1">
      <c r="R918" s="30"/>
    </row>
    <row r="919" spans="18:18" ht="15.75" customHeight="1">
      <c r="R919" s="30"/>
    </row>
    <row r="920" spans="18:18" ht="15.75" customHeight="1">
      <c r="R920" s="30"/>
    </row>
    <row r="921" spans="18:18" ht="15.75" customHeight="1">
      <c r="R921" s="30"/>
    </row>
    <row r="922" spans="18:18" ht="15.75" customHeight="1">
      <c r="R922" s="30"/>
    </row>
    <row r="923" spans="18:18" ht="15.75" customHeight="1">
      <c r="R923" s="30"/>
    </row>
    <row r="924" spans="18:18" ht="15.75" customHeight="1">
      <c r="R924" s="30"/>
    </row>
    <row r="925" spans="18:18" ht="15.75" customHeight="1">
      <c r="R925" s="30"/>
    </row>
    <row r="926" spans="18:18" ht="15.75" customHeight="1">
      <c r="R926" s="30"/>
    </row>
    <row r="927" spans="18:18" ht="15.75" customHeight="1">
      <c r="R927" s="30"/>
    </row>
    <row r="928" spans="18:18" ht="15.75" customHeight="1">
      <c r="R928" s="30"/>
    </row>
    <row r="929" spans="18:18" ht="15.75" customHeight="1">
      <c r="R929" s="30"/>
    </row>
    <row r="930" spans="18:18" ht="15.75" customHeight="1">
      <c r="R930" s="30"/>
    </row>
    <row r="931" spans="18:18" ht="15.75" customHeight="1">
      <c r="R931" s="30"/>
    </row>
    <row r="932" spans="18:18" ht="15.75" customHeight="1">
      <c r="R932" s="30"/>
    </row>
    <row r="933" spans="18:18" ht="15.75" customHeight="1">
      <c r="R933" s="30"/>
    </row>
    <row r="934" spans="18:18" ht="15.75" customHeight="1">
      <c r="R934" s="30"/>
    </row>
    <row r="935" spans="18:18" ht="15.75" customHeight="1">
      <c r="R935" s="30"/>
    </row>
    <row r="936" spans="18:18" ht="15.75" customHeight="1">
      <c r="R936" s="30"/>
    </row>
    <row r="937" spans="18:18" ht="15.75" customHeight="1">
      <c r="R937" s="30"/>
    </row>
    <row r="938" spans="18:18" ht="15.75" customHeight="1">
      <c r="R938" s="30"/>
    </row>
    <row r="939" spans="18:18" ht="15.75" customHeight="1">
      <c r="R939" s="30"/>
    </row>
    <row r="940" spans="18:18" ht="15.75" customHeight="1">
      <c r="R940" s="30"/>
    </row>
    <row r="941" spans="18:18" ht="15.75" customHeight="1">
      <c r="R941" s="30"/>
    </row>
    <row r="942" spans="18:18" ht="15.75" customHeight="1">
      <c r="R942" s="30"/>
    </row>
    <row r="943" spans="18:18" ht="15.75" customHeight="1">
      <c r="R943" s="30"/>
    </row>
    <row r="944" spans="18:18" ht="15.75" customHeight="1">
      <c r="R944" s="30"/>
    </row>
    <row r="945" spans="18:18" ht="15.75" customHeight="1">
      <c r="R945" s="30"/>
    </row>
    <row r="946" spans="18:18" ht="15.75" customHeight="1">
      <c r="R946" s="30"/>
    </row>
    <row r="947" spans="18:18" ht="15.75" customHeight="1">
      <c r="R947" s="30"/>
    </row>
    <row r="948" spans="18:18" ht="15.75" customHeight="1">
      <c r="R948" s="30"/>
    </row>
    <row r="949" spans="18:18" ht="15.75" customHeight="1">
      <c r="R949" s="30"/>
    </row>
    <row r="950" spans="18:18" ht="15.75" customHeight="1">
      <c r="R950" s="30"/>
    </row>
    <row r="951" spans="18:18" ht="15.75" customHeight="1">
      <c r="R951" s="30"/>
    </row>
    <row r="952" spans="18:18" ht="15.75" customHeight="1">
      <c r="R952" s="30"/>
    </row>
    <row r="953" spans="18:18" ht="15.75" customHeight="1">
      <c r="R953" s="30"/>
    </row>
    <row r="954" spans="18:18" ht="15.75" customHeight="1">
      <c r="R954" s="30"/>
    </row>
    <row r="955" spans="18:18" ht="15.75" customHeight="1">
      <c r="R955" s="30"/>
    </row>
    <row r="956" spans="18:18" ht="15.75" customHeight="1">
      <c r="R956" s="30"/>
    </row>
    <row r="957" spans="18:18" ht="15.75" customHeight="1">
      <c r="R957" s="30"/>
    </row>
    <row r="958" spans="18:18" ht="15.75" customHeight="1">
      <c r="R958" s="30"/>
    </row>
    <row r="959" spans="18:18" ht="15.75" customHeight="1">
      <c r="R959" s="30"/>
    </row>
    <row r="960" spans="18:18" ht="15.75" customHeight="1">
      <c r="R960" s="30"/>
    </row>
    <row r="961" spans="18:18" ht="15.75" customHeight="1">
      <c r="R961" s="30"/>
    </row>
    <row r="962" spans="18:18" ht="15.75" customHeight="1">
      <c r="R962" s="30"/>
    </row>
    <row r="963" spans="18:18" ht="15.75" customHeight="1">
      <c r="R963" s="30"/>
    </row>
    <row r="964" spans="18:18" ht="15.75" customHeight="1">
      <c r="R964" s="30"/>
    </row>
    <row r="965" spans="18:18" ht="15.75" customHeight="1">
      <c r="R965" s="30"/>
    </row>
    <row r="966" spans="18:18" ht="15.75" customHeight="1">
      <c r="R966" s="30"/>
    </row>
    <row r="967" spans="18:18" ht="15.75" customHeight="1">
      <c r="R967" s="30"/>
    </row>
    <row r="968" spans="18:18" ht="15.75" customHeight="1">
      <c r="R968" s="30"/>
    </row>
    <row r="969" spans="18:18" ht="15.75" customHeight="1">
      <c r="R969" s="30"/>
    </row>
    <row r="970" spans="18:18" ht="15.75" customHeight="1">
      <c r="R970" s="30"/>
    </row>
    <row r="971" spans="18:18" ht="15.75" customHeight="1">
      <c r="R971" s="30"/>
    </row>
    <row r="972" spans="18:18" ht="15.75" customHeight="1">
      <c r="R972" s="30"/>
    </row>
    <row r="973" spans="18:18" ht="15.75" customHeight="1">
      <c r="R973" s="30"/>
    </row>
    <row r="974" spans="18:18" ht="15.75" customHeight="1">
      <c r="R974" s="30"/>
    </row>
    <row r="975" spans="18:18" ht="15.75" customHeight="1">
      <c r="R975" s="30"/>
    </row>
    <row r="976" spans="18:18" ht="15.75" customHeight="1">
      <c r="R976" s="30"/>
    </row>
    <row r="977" spans="18:18" ht="15.75" customHeight="1">
      <c r="R977" s="30"/>
    </row>
    <row r="978" spans="18:18" ht="15.75" customHeight="1">
      <c r="R978" s="30"/>
    </row>
    <row r="979" spans="18:18" ht="15.75" customHeight="1">
      <c r="R979" s="30"/>
    </row>
    <row r="980" spans="18:18" ht="15.75" customHeight="1">
      <c r="R980" s="30"/>
    </row>
    <row r="981" spans="18:18" ht="15.75" customHeight="1">
      <c r="R981" s="30"/>
    </row>
    <row r="982" spans="18:18" ht="15.75" customHeight="1">
      <c r="R982" s="30"/>
    </row>
    <row r="983" spans="18:18" ht="15.75" customHeight="1">
      <c r="R983" s="30"/>
    </row>
    <row r="984" spans="18:18" ht="15.75" customHeight="1">
      <c r="R984" s="30"/>
    </row>
    <row r="985" spans="18:18" ht="15.75" customHeight="1">
      <c r="R985" s="30"/>
    </row>
    <row r="986" spans="18:18" ht="15.75" customHeight="1">
      <c r="R986" s="30"/>
    </row>
    <row r="987" spans="18:18" ht="15.75" customHeight="1">
      <c r="R987" s="30"/>
    </row>
    <row r="988" spans="18:18" ht="15.75" customHeight="1">
      <c r="R988" s="30"/>
    </row>
    <row r="989" spans="18:18" ht="15.75" customHeight="1">
      <c r="R989" s="30"/>
    </row>
    <row r="990" spans="18:18" ht="15.75" customHeight="1">
      <c r="R990" s="30"/>
    </row>
    <row r="991" spans="18:18" ht="15.75" customHeight="1">
      <c r="R991" s="30"/>
    </row>
    <row r="992" spans="18:18" ht="15.75" customHeight="1">
      <c r="R992" s="30"/>
    </row>
    <row r="993" spans="18:18" ht="15.75" customHeight="1">
      <c r="R993" s="30"/>
    </row>
    <row r="994" spans="18:18" ht="15.75" customHeight="1">
      <c r="R994" s="30"/>
    </row>
    <row r="995" spans="18:18" ht="15.75" customHeight="1">
      <c r="R995" s="30"/>
    </row>
    <row r="996" spans="18:18" ht="15.75" customHeight="1">
      <c r="R996" s="30"/>
    </row>
    <row r="997" spans="18:18" ht="15.75" customHeight="1">
      <c r="R997" s="30"/>
    </row>
    <row r="998" spans="18:18" ht="15.75" customHeight="1">
      <c r="R998" s="30"/>
    </row>
    <row r="999" spans="18:18" ht="15.75" customHeight="1">
      <c r="R999" s="30"/>
    </row>
    <row r="1000" spans="18:18" ht="15.75" customHeight="1">
      <c r="R1000" s="3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2.6640625" defaultRowHeight="15" customHeight="1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8.6640625" customWidth="1"/>
    <col min="6" max="6" width="9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16.33203125" customWidth="1"/>
    <col min="16" max="16" width="10" customWidth="1"/>
    <col min="17" max="18" width="7.33203125" customWidth="1"/>
    <col min="19" max="19" width="7.1640625" customWidth="1"/>
    <col min="20" max="20" width="15.33203125" customWidth="1"/>
    <col min="21" max="21" width="18" customWidth="1"/>
    <col min="22" max="22" width="108.664062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6640625" customWidth="1"/>
    <col min="32" max="32" width="10.1640625" customWidth="1"/>
    <col min="33" max="33" width="8.83203125" customWidth="1"/>
  </cols>
  <sheetData>
    <row r="1" spans="1:33" ht="18.75" customHeight="1">
      <c r="A1" s="46" t="str">
        <f ca="1">IFERROR(__xludf.DUMMYFUNCTION("IFERROR(VLOOKUP(B2,IMPORTRANGE(""https://docs.google.com/spreadsheets/d/1x0DhHglkXKoEBOD2MBsuK_EyIr1ouxD2ftIpqOYFa-k/edit?usp=sharing"",""Ubiquitty-SKU-Specific Info!B1:BJ5000""),3,FALSE),"""")"),"6 Ft Lighted Outdoor Extension Cord - 12/3 SJTW Heavy Duty Red Cable with 3 Prong Grounded Plug for Safety")</f>
        <v>6 Ft Lighted Outdoor Extension Cord - 12/3 SJTW Heavy Duty Red Cable with 3 Prong Grounded Plug for Safety</v>
      </c>
      <c r="B1" s="47"/>
      <c r="C1" s="48" t="s">
        <v>0</v>
      </c>
      <c r="D1" s="50" t="s">
        <v>1</v>
      </c>
      <c r="E1" s="50" t="s">
        <v>2</v>
      </c>
      <c r="F1" s="52" t="s">
        <v>3</v>
      </c>
      <c r="G1" s="52" t="s">
        <v>4</v>
      </c>
      <c r="H1" s="53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58" t="s">
        <v>10</v>
      </c>
      <c r="N1" s="59" t="s">
        <v>11</v>
      </c>
      <c r="O1" s="50" t="s">
        <v>12</v>
      </c>
      <c r="P1" s="50" t="s">
        <v>13</v>
      </c>
      <c r="Q1" s="57" t="s">
        <v>14</v>
      </c>
      <c r="R1" s="57" t="s">
        <v>15</v>
      </c>
      <c r="S1" s="60" t="s">
        <v>16</v>
      </c>
      <c r="T1" s="62" t="s">
        <v>2006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Info!B1:BJ5000""),2,FALSE),"""")"),"B08NFGS1V3")</f>
        <v>B08NFGS1V3</v>
      </c>
      <c r="B2" s="3" t="s">
        <v>958</v>
      </c>
      <c r="C2" s="49"/>
      <c r="D2" s="49"/>
      <c r="E2" s="51"/>
      <c r="F2" s="49"/>
      <c r="G2" s="49"/>
      <c r="H2" s="54"/>
      <c r="I2" s="49"/>
      <c r="J2" s="49"/>
      <c r="K2" s="54"/>
      <c r="L2" s="54"/>
      <c r="M2" s="54"/>
      <c r="N2" s="49"/>
      <c r="O2" s="49"/>
      <c r="P2" s="51"/>
      <c r="Q2" s="49"/>
      <c r="R2" s="49"/>
      <c r="S2" s="61"/>
      <c r="T2" s="47"/>
      <c r="U2" s="63"/>
      <c r="V2" s="63"/>
      <c r="W2" s="47"/>
      <c r="X2" s="47"/>
      <c r="Y2" s="47"/>
      <c r="Z2" s="47"/>
      <c r="AA2" s="63"/>
      <c r="AB2" s="63"/>
      <c r="AC2" s="63"/>
      <c r="AD2" s="63"/>
      <c r="AE2" s="47"/>
      <c r="AF2" s="47"/>
      <c r="AG2" s="47"/>
    </row>
    <row r="3" spans="1:33" ht="211.5" customHeight="1">
      <c r="A3" s="55" t="s">
        <v>31</v>
      </c>
      <c r="B3" s="56"/>
      <c r="C3" s="4">
        <f>((AE32+AF32)/0.85)*-1</f>
        <v>8.8051345961176466</v>
      </c>
      <c r="D3" s="5">
        <f>SUM(D4:D99765)</f>
        <v>217</v>
      </c>
      <c r="E3" s="5"/>
      <c r="F3" s="6">
        <f t="shared" ref="F3:G3" si="0">SUM(F4:F99765)</f>
        <v>3136.0400000000009</v>
      </c>
      <c r="G3" s="6">
        <f t="shared" si="0"/>
        <v>-129.27999999999997</v>
      </c>
      <c r="H3" s="7">
        <f>G3/F3*-1</f>
        <v>4.1223963980051258E-2</v>
      </c>
      <c r="I3" s="8">
        <f>J3/F3</f>
        <v>0.24852427333848309</v>
      </c>
      <c r="J3" s="6">
        <f>SUM(J4:J99765)</f>
        <v>779.38206216041669</v>
      </c>
      <c r="K3" s="6">
        <f>J3/D3</f>
        <v>3.5916224062692015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1 - April
1 - May
2 - June
2 - July
2 - Aug
2 - Sept
2 - Oct
2 - Nov
2 - Dec
 - Jan
 - Feb")</f>
        <v xml:space="preserve"> - March
1 - April
1 - May
2 - June
2 - July
2 - Aug
2 - Sept
2 - Oct
2 - Nov
2 -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QTY-40")</f>
        <v>US QTY-40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20</v>
      </c>
      <c r="X3" s="7">
        <f>W3/D3</f>
        <v>9.2165898617511524E-2</v>
      </c>
      <c r="Y3" s="6"/>
      <c r="Z3" s="5"/>
      <c r="AA3" s="5"/>
      <c r="AB3" s="5"/>
      <c r="AC3" s="5"/>
      <c r="AD3" s="6">
        <f>SUM(AD4:AD99765)</f>
        <v>-8.6312378395833314</v>
      </c>
      <c r="AE3" s="6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Info!B2:BZ3000""),37,FALSE)),"""")*-1"),-3.2343644067)</f>
        <v>-3.2343644067000001</v>
      </c>
      <c r="AG3" s="6">
        <f>SUM(AG4:AG99765)</f>
        <v>0</v>
      </c>
    </row>
    <row r="4" spans="1:33" ht="15.75" hidden="1" customHeight="1">
      <c r="A4" s="14"/>
      <c r="B4" s="14"/>
      <c r="C4" s="15"/>
      <c r="D4" s="16"/>
      <c r="E4" s="16"/>
      <c r="F4" s="17"/>
      <c r="G4" s="17"/>
      <c r="H4" s="18"/>
      <c r="I4" s="18"/>
      <c r="J4" s="17"/>
      <c r="K4" s="17"/>
      <c r="L4" s="16"/>
      <c r="M4" s="19"/>
      <c r="N4" s="16"/>
      <c r="O4" s="20"/>
      <c r="P4" s="20"/>
      <c r="Q4" s="16"/>
      <c r="R4" s="16"/>
      <c r="S4" s="21"/>
      <c r="T4" s="14"/>
      <c r="U4" s="22"/>
      <c r="V4" s="23"/>
      <c r="W4" s="14"/>
      <c r="X4" s="24"/>
      <c r="Y4" s="25"/>
      <c r="Z4" s="14"/>
      <c r="AA4" s="26"/>
      <c r="AB4" s="27"/>
      <c r="AC4" s="28"/>
      <c r="AD4" s="25"/>
      <c r="AE4" s="25"/>
      <c r="AF4" s="25"/>
      <c r="AG4" s="25"/>
    </row>
    <row r="5" spans="1:33" ht="15.75" hidden="1" customHeight="1">
      <c r="A5" s="14"/>
      <c r="B5" s="14"/>
      <c r="C5" s="15"/>
      <c r="D5" s="16"/>
      <c r="E5" s="16"/>
      <c r="F5" s="29"/>
      <c r="G5" s="29"/>
      <c r="H5" s="18"/>
      <c r="I5" s="18"/>
      <c r="J5" s="17"/>
      <c r="K5" s="17"/>
      <c r="L5" s="16"/>
      <c r="M5" s="19"/>
      <c r="N5" s="16"/>
      <c r="O5" s="20"/>
      <c r="P5" s="20"/>
      <c r="Q5" s="16"/>
      <c r="R5" s="16"/>
      <c r="S5" s="21"/>
      <c r="T5" s="14"/>
      <c r="U5" s="22"/>
      <c r="V5" s="23"/>
      <c r="W5" s="14"/>
      <c r="X5" s="24"/>
      <c r="Y5" s="25"/>
      <c r="Z5" s="14"/>
      <c r="AA5" s="14"/>
      <c r="AB5" s="27"/>
      <c r="AC5" s="28"/>
      <c r="AD5" s="25"/>
      <c r="AE5" s="25"/>
      <c r="AF5" s="25"/>
      <c r="AG5" s="25"/>
    </row>
    <row r="6" spans="1:33" ht="15.75" hidden="1" customHeight="1">
      <c r="A6" s="14"/>
      <c r="B6" s="14"/>
      <c r="C6" s="15"/>
      <c r="D6" s="16"/>
      <c r="E6" s="16"/>
      <c r="F6" s="29"/>
      <c r="G6" s="29"/>
      <c r="H6" s="18"/>
      <c r="I6" s="18"/>
      <c r="J6" s="17"/>
      <c r="K6" s="17"/>
      <c r="L6" s="16"/>
      <c r="M6" s="19"/>
      <c r="N6" s="16"/>
      <c r="O6" s="20"/>
      <c r="P6" s="20"/>
      <c r="Q6" s="16"/>
      <c r="R6" s="16"/>
      <c r="S6" s="21"/>
      <c r="T6" s="14"/>
      <c r="U6" s="22"/>
      <c r="V6" s="23"/>
      <c r="W6" s="14"/>
      <c r="X6" s="24"/>
      <c r="Y6" s="25"/>
      <c r="Z6" s="14"/>
      <c r="AA6" s="14"/>
      <c r="AB6" s="27"/>
      <c r="AC6" s="28"/>
      <c r="AD6" s="25"/>
      <c r="AE6" s="25"/>
      <c r="AF6" s="25"/>
      <c r="AG6" s="25"/>
    </row>
    <row r="7" spans="1:33" ht="15.75" hidden="1" customHeight="1">
      <c r="A7" s="14"/>
      <c r="B7" s="14"/>
      <c r="C7" s="15"/>
      <c r="D7" s="16"/>
      <c r="E7" s="16"/>
      <c r="F7" s="29"/>
      <c r="G7" s="29"/>
      <c r="H7" s="18"/>
      <c r="I7" s="18"/>
      <c r="J7" s="17"/>
      <c r="K7" s="17"/>
      <c r="L7" s="16"/>
      <c r="M7" s="19"/>
      <c r="N7" s="16"/>
      <c r="O7" s="20"/>
      <c r="P7" s="20"/>
      <c r="Q7" s="16"/>
      <c r="R7" s="16"/>
      <c r="S7" s="21"/>
      <c r="T7" s="14"/>
      <c r="U7" s="22"/>
      <c r="V7" s="23"/>
      <c r="W7" s="14"/>
      <c r="X7" s="24"/>
      <c r="Y7" s="25"/>
      <c r="Z7" s="14"/>
      <c r="AA7" s="14"/>
      <c r="AB7" s="27"/>
      <c r="AC7" s="28"/>
      <c r="AD7" s="25"/>
      <c r="AE7" s="25"/>
      <c r="AF7" s="25"/>
      <c r="AG7" s="25"/>
    </row>
    <row r="8" spans="1:33" ht="15.75" hidden="1" customHeight="1">
      <c r="A8" s="14"/>
      <c r="B8" s="14"/>
      <c r="C8" s="15"/>
      <c r="D8" s="16"/>
      <c r="E8" s="16"/>
      <c r="F8" s="29"/>
      <c r="G8" s="29"/>
      <c r="H8" s="18"/>
      <c r="I8" s="18"/>
      <c r="J8" s="17"/>
      <c r="K8" s="17"/>
      <c r="L8" s="16"/>
      <c r="M8" s="19"/>
      <c r="N8" s="16"/>
      <c r="O8" s="20"/>
      <c r="P8" s="20"/>
      <c r="Q8" s="16"/>
      <c r="R8" s="16"/>
      <c r="S8" s="21"/>
      <c r="T8" s="14"/>
      <c r="U8" s="22"/>
      <c r="V8" s="23"/>
      <c r="W8" s="14"/>
      <c r="X8" s="24"/>
      <c r="Y8" s="25"/>
      <c r="Z8" s="14"/>
      <c r="AA8" s="14"/>
      <c r="AB8" s="27"/>
      <c r="AC8" s="28"/>
      <c r="AD8" s="25"/>
      <c r="AE8" s="25"/>
      <c r="AF8" s="25"/>
      <c r="AG8" s="25"/>
    </row>
    <row r="9" spans="1:33" ht="15.75" hidden="1" customHeight="1">
      <c r="A9" s="14"/>
      <c r="B9" s="14"/>
      <c r="C9" s="15"/>
      <c r="D9" s="16"/>
      <c r="E9" s="16"/>
      <c r="F9" s="29"/>
      <c r="G9" s="29"/>
      <c r="H9" s="18"/>
      <c r="I9" s="18"/>
      <c r="J9" s="17"/>
      <c r="K9" s="17"/>
      <c r="L9" s="16"/>
      <c r="M9" s="19"/>
      <c r="N9" s="16"/>
      <c r="O9" s="20"/>
      <c r="P9" s="20"/>
      <c r="Q9" s="16"/>
      <c r="R9" s="16"/>
      <c r="S9" s="21"/>
      <c r="T9" s="14"/>
      <c r="U9" s="22"/>
      <c r="V9" s="23"/>
      <c r="W9" s="14"/>
      <c r="X9" s="24"/>
      <c r="Y9" s="25"/>
      <c r="Z9" s="14"/>
      <c r="AA9" s="14"/>
      <c r="AB9" s="27"/>
      <c r="AC9" s="28"/>
      <c r="AD9" s="25"/>
      <c r="AE9" s="25"/>
      <c r="AF9" s="25"/>
      <c r="AG9" s="25"/>
    </row>
    <row r="10" spans="1:33" ht="15.75" hidden="1" customHeight="1">
      <c r="A10" s="14"/>
      <c r="B10" s="14"/>
      <c r="C10" s="15"/>
      <c r="D10" s="16"/>
      <c r="E10" s="16"/>
      <c r="F10" s="29"/>
      <c r="G10" s="29"/>
      <c r="H10" s="18"/>
      <c r="I10" s="18"/>
      <c r="J10" s="17"/>
      <c r="K10" s="17"/>
      <c r="L10" s="16"/>
      <c r="M10" s="19"/>
      <c r="N10" s="16"/>
      <c r="O10" s="20"/>
      <c r="P10" s="20"/>
      <c r="Q10" s="16"/>
      <c r="R10" s="16"/>
      <c r="S10" s="21"/>
      <c r="T10" s="14"/>
      <c r="U10" s="22"/>
      <c r="V10" s="23"/>
      <c r="W10" s="14"/>
      <c r="X10" s="24"/>
      <c r="Y10" s="25"/>
      <c r="Z10" s="14"/>
      <c r="AA10" s="14"/>
      <c r="AB10" s="27"/>
      <c r="AC10" s="28"/>
      <c r="AD10" s="25"/>
      <c r="AE10" s="25"/>
      <c r="AF10" s="25"/>
      <c r="AG10" s="25"/>
    </row>
    <row r="11" spans="1:33" ht="15.75" hidden="1" customHeight="1">
      <c r="A11" s="14"/>
      <c r="B11" s="14"/>
      <c r="C11" s="15"/>
      <c r="D11" s="16"/>
      <c r="E11" s="16"/>
      <c r="F11" s="29"/>
      <c r="G11" s="29"/>
      <c r="H11" s="18"/>
      <c r="I11" s="18"/>
      <c r="J11" s="17"/>
      <c r="K11" s="17"/>
      <c r="L11" s="16"/>
      <c r="M11" s="19"/>
      <c r="N11" s="16"/>
      <c r="O11" s="20"/>
      <c r="P11" s="20"/>
      <c r="Q11" s="16"/>
      <c r="R11" s="16"/>
      <c r="S11" s="21"/>
      <c r="T11" s="14"/>
      <c r="U11" s="22"/>
      <c r="V11" s="23"/>
      <c r="W11" s="14"/>
      <c r="X11" s="24"/>
      <c r="Y11" s="25"/>
      <c r="Z11" s="14"/>
      <c r="AA11" s="14"/>
      <c r="AB11" s="27"/>
      <c r="AC11" s="28"/>
      <c r="AD11" s="25"/>
      <c r="AE11" s="25"/>
      <c r="AF11" s="25"/>
      <c r="AG11" s="25"/>
    </row>
    <row r="12" spans="1:33" ht="15.75" hidden="1" customHeight="1">
      <c r="A12" s="14"/>
      <c r="B12" s="14"/>
      <c r="C12" s="15"/>
      <c r="D12" s="16"/>
      <c r="E12" s="16"/>
      <c r="F12" s="29"/>
      <c r="G12" s="29"/>
      <c r="H12" s="18"/>
      <c r="I12" s="18"/>
      <c r="J12" s="17"/>
      <c r="K12" s="17"/>
      <c r="L12" s="16"/>
      <c r="M12" s="19"/>
      <c r="N12" s="16"/>
      <c r="O12" s="20"/>
      <c r="P12" s="20"/>
      <c r="Q12" s="16"/>
      <c r="R12" s="16"/>
      <c r="S12" s="21"/>
      <c r="T12" s="14"/>
      <c r="U12" s="22"/>
      <c r="V12" s="23"/>
      <c r="W12" s="14"/>
      <c r="X12" s="24"/>
      <c r="Y12" s="25"/>
      <c r="Z12" s="14"/>
      <c r="AA12" s="14"/>
      <c r="AB12" s="27"/>
      <c r="AC12" s="28"/>
      <c r="AD12" s="25"/>
      <c r="AE12" s="25"/>
      <c r="AF12" s="25"/>
      <c r="AG12" s="25"/>
    </row>
    <row r="13" spans="1:33" ht="15.75" hidden="1" customHeight="1">
      <c r="A13" s="14"/>
      <c r="B13" s="14"/>
      <c r="C13" s="15"/>
      <c r="D13" s="16"/>
      <c r="E13" s="16"/>
      <c r="F13" s="17"/>
      <c r="G13" s="29"/>
      <c r="H13" s="18"/>
      <c r="I13" s="18"/>
      <c r="J13" s="17"/>
      <c r="K13" s="17"/>
      <c r="L13" s="16"/>
      <c r="M13" s="19"/>
      <c r="N13" s="16"/>
      <c r="O13" s="20"/>
      <c r="P13" s="20"/>
      <c r="Q13" s="16"/>
      <c r="R13" s="16"/>
      <c r="S13" s="21"/>
      <c r="T13" s="14"/>
      <c r="U13" s="22"/>
      <c r="V13" s="23"/>
      <c r="W13" s="14"/>
      <c r="X13" s="24"/>
      <c r="Y13" s="25"/>
      <c r="Z13" s="14"/>
      <c r="AA13" s="14"/>
      <c r="AB13" s="27"/>
      <c r="AC13" s="28"/>
      <c r="AD13" s="25"/>
      <c r="AE13" s="25"/>
      <c r="AF13" s="25"/>
      <c r="AG13" s="25"/>
    </row>
    <row r="14" spans="1:33" ht="15.75" hidden="1" customHeight="1">
      <c r="A14" s="14"/>
      <c r="B14" s="14"/>
      <c r="C14" s="15"/>
      <c r="D14" s="16"/>
      <c r="E14" s="16"/>
      <c r="F14" s="17"/>
      <c r="G14" s="29"/>
      <c r="H14" s="18"/>
      <c r="I14" s="18"/>
      <c r="J14" s="17"/>
      <c r="K14" s="17"/>
      <c r="L14" s="16"/>
      <c r="M14" s="19"/>
      <c r="N14" s="16"/>
      <c r="O14" s="20"/>
      <c r="P14" s="20"/>
      <c r="Q14" s="16"/>
      <c r="R14" s="16"/>
      <c r="S14" s="21"/>
      <c r="T14" s="14"/>
      <c r="U14" s="22"/>
      <c r="V14" s="23"/>
      <c r="W14" s="14"/>
      <c r="X14" s="24"/>
      <c r="Y14" s="25"/>
      <c r="Z14" s="14"/>
      <c r="AA14" s="14"/>
      <c r="AB14" s="27"/>
      <c r="AC14" s="28"/>
      <c r="AD14" s="25"/>
      <c r="AE14" s="25"/>
      <c r="AF14" s="25"/>
      <c r="AG14" s="25"/>
    </row>
    <row r="15" spans="1:33" ht="15.75" hidden="1" customHeight="1">
      <c r="A15" s="14"/>
      <c r="B15" s="14"/>
      <c r="C15" s="15"/>
      <c r="D15" s="16"/>
      <c r="E15" s="16"/>
      <c r="F15" s="17"/>
      <c r="G15" s="29"/>
      <c r="H15" s="18"/>
      <c r="I15" s="18"/>
      <c r="J15" s="17"/>
      <c r="K15" s="17"/>
      <c r="L15" s="16"/>
      <c r="M15" s="19"/>
      <c r="N15" s="16"/>
      <c r="O15" s="20"/>
      <c r="P15" s="20"/>
      <c r="Q15" s="16"/>
      <c r="R15" s="16"/>
      <c r="S15" s="21"/>
      <c r="T15" s="14"/>
      <c r="U15" s="22"/>
      <c r="V15" s="23"/>
      <c r="W15" s="14"/>
      <c r="X15" s="24"/>
      <c r="Y15" s="25"/>
      <c r="Z15" s="14"/>
      <c r="AA15" s="14"/>
      <c r="AB15" s="27"/>
      <c r="AC15" s="28"/>
      <c r="AD15" s="25"/>
      <c r="AE15" s="25"/>
      <c r="AF15" s="25"/>
      <c r="AG15" s="25"/>
    </row>
    <row r="16" spans="1:33" ht="15.75" customHeight="1">
      <c r="A16" s="14" t="s">
        <v>38</v>
      </c>
      <c r="B16" s="14" t="s">
        <v>959</v>
      </c>
      <c r="C16" s="15">
        <f t="shared" ref="C16:C32" si="1">IFERROR(F16/D16," - ")</f>
        <v>14.990000000000002</v>
      </c>
      <c r="D16" s="16">
        <v>18</v>
      </c>
      <c r="E16" s="16">
        <v>0</v>
      </c>
      <c r="F16" s="17">
        <v>269.82000000000005</v>
      </c>
      <c r="G16" s="29">
        <v>-59.289999999999985</v>
      </c>
      <c r="H16" s="18">
        <f t="shared" ref="H16:H32" si="2">G16/F16*-1</f>
        <v>0.21973908531613659</v>
      </c>
      <c r="I16" s="18">
        <f t="shared" ref="I16:I32" si="3">J16/F16</f>
        <v>8.5112463077236813E-2</v>
      </c>
      <c r="J16" s="17">
        <f t="shared" ref="J16:J32" si="4">F16*0.85+G16+AF16*D16+D16*AE16+AG16+AD16</f>
        <v>22.965044787500041</v>
      </c>
      <c r="K16" s="17">
        <f t="shared" ref="K16:K32" si="5">J16/D16</f>
        <v>1.2758358215277801</v>
      </c>
      <c r="L16" s="16">
        <v>35</v>
      </c>
      <c r="M16" s="19">
        <f t="shared" ref="M16:M32" si="6">IFERROR(D16/L16,"-")</f>
        <v>0.51428571428571423</v>
      </c>
      <c r="N16" s="16">
        <v>181</v>
      </c>
      <c r="O16" s="20">
        <f t="shared" ref="O16:P16" si="7">D16/7</f>
        <v>2.5714285714285716</v>
      </c>
      <c r="P16" s="20">
        <f t="shared" si="7"/>
        <v>0</v>
      </c>
      <c r="Q16" s="16">
        <f t="shared" ref="Q16:Q32" si="8">ROUNDDOWN(N16/(O16+P16),0)</f>
        <v>70</v>
      </c>
      <c r="R16" s="16"/>
      <c r="S16" s="21">
        <v>0.17460317460317401</v>
      </c>
      <c r="T16" s="14">
        <v>80</v>
      </c>
      <c r="U16" s="22">
        <v>80</v>
      </c>
      <c r="V16" s="23" t="s">
        <v>960</v>
      </c>
      <c r="W16" s="14">
        <v>10</v>
      </c>
      <c r="X16" s="24">
        <f t="shared" ref="X16:X32" si="9">IFERROR(W16/D16,0)</f>
        <v>0.55555555555555558</v>
      </c>
      <c r="Y16" s="25">
        <f t="shared" ref="Y16:Y32" si="10">IFERROR(G16/(W16+Z16)*-1,0)</f>
        <v>3.9526666666666657</v>
      </c>
      <c r="Z16" s="14">
        <v>5</v>
      </c>
      <c r="AA16" s="14" t="s">
        <v>35</v>
      </c>
      <c r="AB16" s="27">
        <f t="shared" ref="AB16:AB32" si="11">IF(OR(AA16="UsLargeStandardSize",AA16="UsSmallStandardSize"),-0.69,-0.48)</f>
        <v>-0.69</v>
      </c>
      <c r="AC16" s="28">
        <v>2.8822673611111113E-2</v>
      </c>
      <c r="AD16" s="25">
        <f t="shared" ref="AD16:AD32" si="12">IFERROR(AB16*AC16*D16*2,0)</f>
        <v>-0.71595521249999994</v>
      </c>
      <c r="AE16" s="25">
        <v>-4.9000000000000004</v>
      </c>
      <c r="AF16" s="25">
        <v>-3.2320000000000002</v>
      </c>
      <c r="AG16" s="25">
        <v>0</v>
      </c>
    </row>
    <row r="17" spans="1:33" ht="15.75" customHeight="1">
      <c r="A17" s="14" t="s">
        <v>40</v>
      </c>
      <c r="B17" s="14" t="s">
        <v>961</v>
      </c>
      <c r="C17" s="15">
        <f t="shared" si="1"/>
        <v>15.39</v>
      </c>
      <c r="D17" s="16">
        <v>5</v>
      </c>
      <c r="E17" s="16">
        <v>1</v>
      </c>
      <c r="F17" s="17">
        <v>76.95</v>
      </c>
      <c r="G17" s="29">
        <v>-10.299999999999999</v>
      </c>
      <c r="H17" s="18">
        <f t="shared" si="2"/>
        <v>0.13385315139701104</v>
      </c>
      <c r="I17" s="18">
        <f t="shared" si="3"/>
        <v>0.18516729762291539</v>
      </c>
      <c r="J17" s="17">
        <f t="shared" si="4"/>
        <v>14.248623552083339</v>
      </c>
      <c r="K17" s="17">
        <f t="shared" si="5"/>
        <v>2.8497247104166679</v>
      </c>
      <c r="L17" s="16">
        <v>16</v>
      </c>
      <c r="M17" s="19">
        <f t="shared" si="6"/>
        <v>0.3125</v>
      </c>
      <c r="N17" s="16">
        <v>173</v>
      </c>
      <c r="O17" s="20">
        <f t="shared" ref="O17:P17" si="13">D17/7</f>
        <v>0.7142857142857143</v>
      </c>
      <c r="P17" s="20">
        <f t="shared" si="13"/>
        <v>0.14285714285714285</v>
      </c>
      <c r="Q17" s="16">
        <f t="shared" si="8"/>
        <v>201</v>
      </c>
      <c r="R17" s="16"/>
      <c r="S17" s="21">
        <v>0.46820809248554901</v>
      </c>
      <c r="T17" s="14">
        <v>80</v>
      </c>
      <c r="U17" s="22">
        <v>80</v>
      </c>
      <c r="V17" s="23" t="s">
        <v>962</v>
      </c>
      <c r="W17" s="14">
        <v>2</v>
      </c>
      <c r="X17" s="24">
        <f t="shared" si="9"/>
        <v>0.4</v>
      </c>
      <c r="Y17" s="25">
        <f t="shared" si="10"/>
        <v>3.4333333333333331</v>
      </c>
      <c r="Z17" s="14">
        <v>1</v>
      </c>
      <c r="AA17" s="14" t="s">
        <v>35</v>
      </c>
      <c r="AB17" s="27">
        <f t="shared" si="11"/>
        <v>-0.69</v>
      </c>
      <c r="AC17" s="28">
        <v>2.8822673611111113E-2</v>
      </c>
      <c r="AD17" s="25">
        <f t="shared" si="12"/>
        <v>-0.19887644791666664</v>
      </c>
      <c r="AE17" s="25">
        <v>-4.9000000000000004</v>
      </c>
      <c r="AF17" s="25">
        <v>-3.2320000000000002</v>
      </c>
      <c r="AG17" s="25">
        <v>0</v>
      </c>
    </row>
    <row r="18" spans="1:33" ht="15.75" customHeight="1">
      <c r="A18" s="14" t="s">
        <v>42</v>
      </c>
      <c r="B18" s="14" t="s">
        <v>64</v>
      </c>
      <c r="C18" s="15">
        <f t="shared" si="1"/>
        <v>15.094999999999999</v>
      </c>
      <c r="D18" s="16">
        <v>2</v>
      </c>
      <c r="E18" s="16">
        <v>0</v>
      </c>
      <c r="F18" s="17">
        <v>30.189999999999998</v>
      </c>
      <c r="G18" s="29">
        <v>0</v>
      </c>
      <c r="H18" s="18">
        <f t="shared" si="2"/>
        <v>0</v>
      </c>
      <c r="I18" s="18">
        <f t="shared" si="3"/>
        <v>0.30864357140885501</v>
      </c>
      <c r="J18" s="17">
        <f t="shared" si="4"/>
        <v>9.3179494208333313</v>
      </c>
      <c r="K18" s="17">
        <f t="shared" si="5"/>
        <v>4.6589747104166657</v>
      </c>
      <c r="L18" s="16">
        <v>17</v>
      </c>
      <c r="M18" s="19">
        <f t="shared" si="6"/>
        <v>0.11764705882352941</v>
      </c>
      <c r="N18" s="16">
        <v>171</v>
      </c>
      <c r="O18" s="20">
        <f t="shared" ref="O18:P18" si="14">D18/7</f>
        <v>0.2857142857142857</v>
      </c>
      <c r="P18" s="20">
        <f t="shared" si="14"/>
        <v>0</v>
      </c>
      <c r="Q18" s="16">
        <f t="shared" si="8"/>
        <v>598</v>
      </c>
      <c r="R18" s="16"/>
      <c r="S18" s="21">
        <v>0.24715909090909</v>
      </c>
      <c r="T18" s="14">
        <v>0</v>
      </c>
      <c r="U18" s="22">
        <v>0</v>
      </c>
      <c r="V18" s="23" t="s">
        <v>34</v>
      </c>
      <c r="W18" s="14">
        <v>0</v>
      </c>
      <c r="X18" s="24">
        <f t="shared" si="9"/>
        <v>0</v>
      </c>
      <c r="Y18" s="25">
        <f t="shared" si="10"/>
        <v>0</v>
      </c>
      <c r="Z18" s="14">
        <v>0</v>
      </c>
      <c r="AA18" s="14" t="s">
        <v>35</v>
      </c>
      <c r="AB18" s="27">
        <f t="shared" si="11"/>
        <v>-0.69</v>
      </c>
      <c r="AC18" s="28">
        <v>2.8822673611111113E-2</v>
      </c>
      <c r="AD18" s="25">
        <f t="shared" si="12"/>
        <v>-7.9550579166666663E-2</v>
      </c>
      <c r="AE18" s="25">
        <v>-4.9000000000000004</v>
      </c>
      <c r="AF18" s="25">
        <v>-3.2320000000000002</v>
      </c>
      <c r="AG18" s="25">
        <v>0</v>
      </c>
    </row>
    <row r="19" spans="1:33" ht="15.75" customHeight="1">
      <c r="A19" s="14" t="s">
        <v>44</v>
      </c>
      <c r="B19" s="14" t="s">
        <v>963</v>
      </c>
      <c r="C19" s="15">
        <f t="shared" si="1"/>
        <v>12.618823529411765</v>
      </c>
      <c r="D19" s="16">
        <v>17</v>
      </c>
      <c r="E19" s="16">
        <v>0</v>
      </c>
      <c r="F19" s="17">
        <v>214.52</v>
      </c>
      <c r="G19" s="29">
        <v>-47.839999999999996</v>
      </c>
      <c r="H19" s="18">
        <f t="shared" si="2"/>
        <v>0.22300950960283419</v>
      </c>
      <c r="I19" s="18">
        <f t="shared" si="3"/>
        <v>-3.2284541874495053E-2</v>
      </c>
      <c r="J19" s="17">
        <f t="shared" si="4"/>
        <v>-6.9256799229166788</v>
      </c>
      <c r="K19" s="17">
        <f t="shared" si="5"/>
        <v>-0.40739293664215759</v>
      </c>
      <c r="L19" s="16">
        <v>50</v>
      </c>
      <c r="M19" s="19">
        <f t="shared" si="6"/>
        <v>0.34</v>
      </c>
      <c r="N19" s="16">
        <v>156</v>
      </c>
      <c r="O19" s="20">
        <f t="shared" ref="O19:P19" si="15">D19/7</f>
        <v>2.4285714285714284</v>
      </c>
      <c r="P19" s="20">
        <f t="shared" si="15"/>
        <v>0</v>
      </c>
      <c r="Q19" s="16">
        <f t="shared" si="8"/>
        <v>64</v>
      </c>
      <c r="R19" s="16"/>
      <c r="S19" s="21">
        <v>0.27123287671232799</v>
      </c>
      <c r="T19" s="14">
        <v>0</v>
      </c>
      <c r="U19" s="22" t="s">
        <v>34</v>
      </c>
      <c r="V19" s="23" t="s">
        <v>34</v>
      </c>
      <c r="W19" s="14">
        <v>7</v>
      </c>
      <c r="X19" s="24">
        <f t="shared" si="9"/>
        <v>0.41176470588235292</v>
      </c>
      <c r="Y19" s="25">
        <f t="shared" si="10"/>
        <v>4.3490909090909087</v>
      </c>
      <c r="Z19" s="14">
        <v>4</v>
      </c>
      <c r="AA19" s="14" t="s">
        <v>35</v>
      </c>
      <c r="AB19" s="27">
        <f t="shared" si="11"/>
        <v>-0.69</v>
      </c>
      <c r="AC19" s="28">
        <v>2.8822673611111113E-2</v>
      </c>
      <c r="AD19" s="25">
        <f t="shared" si="12"/>
        <v>-0.67617992291666662</v>
      </c>
      <c r="AE19" s="25">
        <v>-4.9000000000000004</v>
      </c>
      <c r="AF19" s="25">
        <v>-3.3795000000000002</v>
      </c>
      <c r="AG19" s="25">
        <v>0</v>
      </c>
    </row>
    <row r="20" spans="1:33" ht="15.75" customHeight="1">
      <c r="A20" s="14" t="s">
        <v>46</v>
      </c>
      <c r="B20" s="14" t="s">
        <v>964</v>
      </c>
      <c r="C20" s="15">
        <f t="shared" si="1"/>
        <v>13.075263157894739</v>
      </c>
      <c r="D20" s="16">
        <v>38</v>
      </c>
      <c r="E20" s="16">
        <v>0</v>
      </c>
      <c r="F20" s="17">
        <v>496.86000000000007</v>
      </c>
      <c r="G20" s="29">
        <v>-11.780000000000001</v>
      </c>
      <c r="H20" s="18">
        <f t="shared" si="2"/>
        <v>2.3708891840759971E-2</v>
      </c>
      <c r="I20" s="18">
        <f t="shared" si="3"/>
        <v>0.19003046933911638</v>
      </c>
      <c r="J20" s="17">
        <f t="shared" si="4"/>
        <v>94.418538995833373</v>
      </c>
      <c r="K20" s="17">
        <f t="shared" si="5"/>
        <v>2.4846983946271939</v>
      </c>
      <c r="L20" s="16">
        <v>62</v>
      </c>
      <c r="M20" s="19">
        <f t="shared" si="6"/>
        <v>0.61290322580645162</v>
      </c>
      <c r="N20" s="16">
        <v>122</v>
      </c>
      <c r="O20" s="20">
        <f t="shared" ref="O20:P20" si="16">D20/7</f>
        <v>5.4285714285714288</v>
      </c>
      <c r="P20" s="20">
        <f t="shared" si="16"/>
        <v>0</v>
      </c>
      <c r="Q20" s="16">
        <f t="shared" si="8"/>
        <v>22</v>
      </c>
      <c r="R20" s="16"/>
      <c r="S20" s="21">
        <v>0.85</v>
      </c>
      <c r="T20" s="14">
        <v>0</v>
      </c>
      <c r="U20" s="22" t="s">
        <v>34</v>
      </c>
      <c r="V20" s="23" t="s">
        <v>34</v>
      </c>
      <c r="W20" s="14">
        <v>1</v>
      </c>
      <c r="X20" s="24">
        <f t="shared" si="9"/>
        <v>2.6315789473684209E-2</v>
      </c>
      <c r="Y20" s="25">
        <f t="shared" si="10"/>
        <v>3.9266666666666672</v>
      </c>
      <c r="Z20" s="14">
        <v>2</v>
      </c>
      <c r="AA20" s="14" t="s">
        <v>35</v>
      </c>
      <c r="AB20" s="27">
        <f t="shared" si="11"/>
        <v>-0.69</v>
      </c>
      <c r="AC20" s="28">
        <v>2.8822673611111113E-2</v>
      </c>
      <c r="AD20" s="25">
        <f t="shared" si="12"/>
        <v>-1.5114610041666665</v>
      </c>
      <c r="AE20" s="25">
        <v>-4.9000000000000004</v>
      </c>
      <c r="AF20" s="25">
        <v>-3.3795000000000002</v>
      </c>
      <c r="AG20" s="25">
        <v>0</v>
      </c>
    </row>
    <row r="21" spans="1:33" ht="15.75" customHeight="1">
      <c r="A21" s="14" t="s">
        <v>47</v>
      </c>
      <c r="B21" s="14" t="s">
        <v>965</v>
      </c>
      <c r="C21" s="15">
        <f t="shared" si="1"/>
        <v>14.643000000000001</v>
      </c>
      <c r="D21" s="16">
        <v>20</v>
      </c>
      <c r="E21" s="16">
        <v>0</v>
      </c>
      <c r="F21" s="17">
        <v>292.86</v>
      </c>
      <c r="G21" s="29">
        <v>0</v>
      </c>
      <c r="H21" s="18">
        <f t="shared" si="2"/>
        <v>0</v>
      </c>
      <c r="I21" s="18">
        <f t="shared" si="3"/>
        <v>0.28185991329759386</v>
      </c>
      <c r="J21" s="17">
        <f t="shared" si="4"/>
        <v>82.545494208333338</v>
      </c>
      <c r="K21" s="17">
        <f t="shared" si="5"/>
        <v>4.1272747104166667</v>
      </c>
      <c r="L21" s="16">
        <v>26</v>
      </c>
      <c r="M21" s="19">
        <f t="shared" si="6"/>
        <v>0.76923076923076927</v>
      </c>
      <c r="N21" s="16">
        <v>99</v>
      </c>
      <c r="O21" s="20">
        <f t="shared" ref="O21:P21" si="17">D21/7</f>
        <v>2.8571428571428572</v>
      </c>
      <c r="P21" s="20">
        <f t="shared" si="17"/>
        <v>0</v>
      </c>
      <c r="Q21" s="16">
        <f t="shared" si="8"/>
        <v>34</v>
      </c>
      <c r="R21" s="16"/>
      <c r="S21" s="21">
        <v>1.47445255474452</v>
      </c>
      <c r="T21" s="14">
        <v>0</v>
      </c>
      <c r="U21" s="22" t="s">
        <v>34</v>
      </c>
      <c r="V21" s="23" t="s">
        <v>34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14" t="s">
        <v>35</v>
      </c>
      <c r="AB21" s="27">
        <f t="shared" si="11"/>
        <v>-0.69</v>
      </c>
      <c r="AC21" s="28">
        <v>2.8822673611111113E-2</v>
      </c>
      <c r="AD21" s="25">
        <f t="shared" si="12"/>
        <v>-0.79550579166666657</v>
      </c>
      <c r="AE21" s="25">
        <v>-4.9000000000000004</v>
      </c>
      <c r="AF21" s="25">
        <v>-3.3795000000000002</v>
      </c>
      <c r="AG21" s="25">
        <v>0</v>
      </c>
    </row>
    <row r="22" spans="1:33" ht="15.75" customHeight="1">
      <c r="A22" s="14" t="s">
        <v>48</v>
      </c>
      <c r="B22" s="14" t="s">
        <v>68</v>
      </c>
      <c r="C22" s="15">
        <f t="shared" si="1"/>
        <v>16.717000000000002</v>
      </c>
      <c r="D22" s="16">
        <v>10</v>
      </c>
      <c r="E22" s="16">
        <v>1</v>
      </c>
      <c r="F22" s="29">
        <v>167.17000000000002</v>
      </c>
      <c r="G22" s="29">
        <v>0</v>
      </c>
      <c r="H22" s="18">
        <f t="shared" si="2"/>
        <v>0</v>
      </c>
      <c r="I22" s="18">
        <f t="shared" si="3"/>
        <v>0.35234639650754723</v>
      </c>
      <c r="J22" s="17">
        <f t="shared" si="4"/>
        <v>58.901747104166674</v>
      </c>
      <c r="K22" s="17">
        <f t="shared" si="5"/>
        <v>5.8901747104166677</v>
      </c>
      <c r="L22" s="16">
        <v>31</v>
      </c>
      <c r="M22" s="19">
        <f t="shared" si="6"/>
        <v>0.32258064516129031</v>
      </c>
      <c r="N22" s="16">
        <v>87</v>
      </c>
      <c r="O22" s="20">
        <f t="shared" ref="O22:P22" si="18">D22/7</f>
        <v>1.4285714285714286</v>
      </c>
      <c r="P22" s="20">
        <f t="shared" si="18"/>
        <v>0.14285714285714285</v>
      </c>
      <c r="Q22" s="16">
        <f t="shared" si="8"/>
        <v>55</v>
      </c>
      <c r="R22" s="16"/>
      <c r="S22" s="21">
        <v>1.7760617760617701</v>
      </c>
      <c r="T22" s="14">
        <v>200</v>
      </c>
      <c r="U22" s="22" t="s">
        <v>34</v>
      </c>
      <c r="V22" s="23" t="s">
        <v>34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35</v>
      </c>
      <c r="AB22" s="27">
        <f t="shared" si="11"/>
        <v>-0.69</v>
      </c>
      <c r="AC22" s="28">
        <v>2.8822673611111113E-2</v>
      </c>
      <c r="AD22" s="25">
        <f t="shared" si="12"/>
        <v>-0.39775289583333329</v>
      </c>
      <c r="AE22" s="25">
        <v>-4.9000000000000004</v>
      </c>
      <c r="AF22" s="25">
        <v>-3.3795000000000002</v>
      </c>
      <c r="AG22" s="25">
        <v>0</v>
      </c>
    </row>
    <row r="23" spans="1:33" ht="15.75" customHeight="1">
      <c r="A23" s="14" t="s">
        <v>49</v>
      </c>
      <c r="B23" s="14" t="s">
        <v>68</v>
      </c>
      <c r="C23" s="15">
        <f t="shared" si="1"/>
        <v>17.620000000000005</v>
      </c>
      <c r="D23" s="16">
        <v>19</v>
      </c>
      <c r="E23" s="16">
        <v>1</v>
      </c>
      <c r="F23" s="17">
        <v>334.78000000000009</v>
      </c>
      <c r="G23" s="29">
        <v>0</v>
      </c>
      <c r="H23" s="18">
        <f t="shared" si="2"/>
        <v>0</v>
      </c>
      <c r="I23" s="18">
        <f t="shared" si="3"/>
        <v>0.37785043759458947</v>
      </c>
      <c r="J23" s="17">
        <f t="shared" si="4"/>
        <v>126.4967694979167</v>
      </c>
      <c r="K23" s="17">
        <f t="shared" si="5"/>
        <v>6.6577247104166686</v>
      </c>
      <c r="L23" s="16">
        <v>33</v>
      </c>
      <c r="M23" s="19">
        <f t="shared" si="6"/>
        <v>0.5757575757575758</v>
      </c>
      <c r="N23" s="16">
        <v>70</v>
      </c>
      <c r="O23" s="20">
        <f t="shared" ref="O23:P23" si="19">D23/7</f>
        <v>2.7142857142857144</v>
      </c>
      <c r="P23" s="20">
        <f t="shared" si="19"/>
        <v>0.14285714285714285</v>
      </c>
      <c r="Q23" s="16">
        <f t="shared" si="8"/>
        <v>24</v>
      </c>
      <c r="R23" s="16"/>
      <c r="S23" s="21">
        <v>1.1160714285714199</v>
      </c>
      <c r="T23" s="14">
        <v>200</v>
      </c>
      <c r="U23" s="22" t="s">
        <v>34</v>
      </c>
      <c r="V23" s="23" t="s">
        <v>34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35</v>
      </c>
      <c r="AB23" s="27">
        <f t="shared" si="11"/>
        <v>-0.69</v>
      </c>
      <c r="AC23" s="28">
        <v>2.8822673611111113E-2</v>
      </c>
      <c r="AD23" s="25">
        <f t="shared" si="12"/>
        <v>-0.75573050208333326</v>
      </c>
      <c r="AE23" s="25">
        <v>-4.9000000000000004</v>
      </c>
      <c r="AF23" s="25">
        <v>-3.3795000000000002</v>
      </c>
      <c r="AG23" s="25">
        <v>0</v>
      </c>
    </row>
    <row r="24" spans="1:33" ht="15.75" customHeight="1">
      <c r="A24" s="14" t="s">
        <v>50</v>
      </c>
      <c r="B24" s="14" t="s">
        <v>68</v>
      </c>
      <c r="C24" s="15">
        <f t="shared" si="1"/>
        <v>17.596153846153847</v>
      </c>
      <c r="D24" s="16">
        <v>13</v>
      </c>
      <c r="E24" s="16">
        <v>0</v>
      </c>
      <c r="F24" s="17">
        <v>228.75000000000003</v>
      </c>
      <c r="G24" s="17">
        <v>0</v>
      </c>
      <c r="H24" s="18">
        <f t="shared" si="2"/>
        <v>0</v>
      </c>
      <c r="I24" s="18">
        <f t="shared" si="3"/>
        <v>0.37721058463570128</v>
      </c>
      <c r="J24" s="17">
        <f t="shared" si="4"/>
        <v>86.286921235416685</v>
      </c>
      <c r="K24" s="17">
        <f t="shared" si="5"/>
        <v>6.6374554796474374</v>
      </c>
      <c r="L24" s="16">
        <v>35</v>
      </c>
      <c r="M24" s="19">
        <f t="shared" si="6"/>
        <v>0.37142857142857144</v>
      </c>
      <c r="N24" s="16">
        <v>58</v>
      </c>
      <c r="O24" s="20">
        <f t="shared" ref="O24:P24" si="20">D24/7</f>
        <v>1.8571428571428572</v>
      </c>
      <c r="P24" s="20">
        <f t="shared" si="20"/>
        <v>0</v>
      </c>
      <c r="Q24" s="16">
        <f t="shared" si="8"/>
        <v>31</v>
      </c>
      <c r="R24" s="16"/>
      <c r="S24" s="21">
        <v>1.3236714975845401</v>
      </c>
      <c r="T24" s="14">
        <v>200</v>
      </c>
      <c r="U24" s="22" t="s">
        <v>34</v>
      </c>
      <c r="V24" s="23" t="s">
        <v>34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14" t="s">
        <v>35</v>
      </c>
      <c r="AB24" s="27">
        <f t="shared" si="11"/>
        <v>-0.69</v>
      </c>
      <c r="AC24" s="28">
        <v>2.8822673611111113E-2</v>
      </c>
      <c r="AD24" s="25">
        <f t="shared" si="12"/>
        <v>-0.51707876458333335</v>
      </c>
      <c r="AE24" s="25">
        <v>-4.9000000000000004</v>
      </c>
      <c r="AF24" s="25">
        <v>-3.3795000000000002</v>
      </c>
      <c r="AG24" s="25">
        <v>0</v>
      </c>
    </row>
    <row r="25" spans="1:33" ht="15.75" customHeight="1">
      <c r="A25" s="14" t="s">
        <v>51</v>
      </c>
      <c r="B25" s="14" t="s">
        <v>966</v>
      </c>
      <c r="C25" s="15">
        <f t="shared" si="1"/>
        <v>17.821999999999999</v>
      </c>
      <c r="D25" s="16">
        <v>5</v>
      </c>
      <c r="E25" s="16">
        <v>0</v>
      </c>
      <c r="F25" s="17">
        <v>89.11</v>
      </c>
      <c r="G25" s="17">
        <v>0</v>
      </c>
      <c r="H25" s="18">
        <f t="shared" si="2"/>
        <v>0</v>
      </c>
      <c r="I25" s="18">
        <f t="shared" si="3"/>
        <v>0.38317386995941344</v>
      </c>
      <c r="J25" s="17">
        <f t="shared" si="4"/>
        <v>34.144623552083331</v>
      </c>
      <c r="K25" s="17">
        <f t="shared" si="5"/>
        <v>6.8289247104166666</v>
      </c>
      <c r="L25" s="16">
        <v>31</v>
      </c>
      <c r="M25" s="19">
        <f t="shared" si="6"/>
        <v>0.16129032258064516</v>
      </c>
      <c r="N25" s="16">
        <v>69</v>
      </c>
      <c r="O25" s="20">
        <f t="shared" ref="O25:P25" si="21">D25/7</f>
        <v>0.7142857142857143</v>
      </c>
      <c r="P25" s="20">
        <f t="shared" si="21"/>
        <v>0</v>
      </c>
      <c r="Q25" s="16">
        <f t="shared" si="8"/>
        <v>96</v>
      </c>
      <c r="R25" s="16"/>
      <c r="S25" s="21">
        <v>1.707865168539326</v>
      </c>
      <c r="T25" s="14">
        <v>400</v>
      </c>
      <c r="U25" s="22" t="s">
        <v>34</v>
      </c>
      <c r="V25" s="23" t="s">
        <v>34</v>
      </c>
      <c r="W25" s="30">
        <v>0</v>
      </c>
      <c r="X25" s="24">
        <f t="shared" si="9"/>
        <v>0</v>
      </c>
      <c r="Y25" s="25">
        <f t="shared" si="10"/>
        <v>0</v>
      </c>
      <c r="Z25" s="30">
        <v>0</v>
      </c>
      <c r="AA25" s="14" t="s">
        <v>35</v>
      </c>
      <c r="AB25" s="27">
        <f t="shared" si="11"/>
        <v>-0.69</v>
      </c>
      <c r="AC25" s="28">
        <v>2.8822673611111113E-2</v>
      </c>
      <c r="AD25" s="25">
        <f t="shared" si="12"/>
        <v>-0.19887644791666664</v>
      </c>
      <c r="AE25" s="25">
        <v>-4.9000000000000004</v>
      </c>
      <c r="AF25" s="25">
        <v>-3.38</v>
      </c>
      <c r="AG25" s="25">
        <v>0</v>
      </c>
    </row>
    <row r="26" spans="1:33" ht="15.75" customHeight="1">
      <c r="A26" s="14" t="s">
        <v>52</v>
      </c>
      <c r="B26" s="14" t="s">
        <v>967</v>
      </c>
      <c r="C26" s="15">
        <f t="shared" si="1"/>
        <v>17.141249999999999</v>
      </c>
      <c r="D26" s="16">
        <v>8</v>
      </c>
      <c r="E26" s="16">
        <v>0</v>
      </c>
      <c r="F26" s="17">
        <v>137.13</v>
      </c>
      <c r="G26" s="17">
        <v>0</v>
      </c>
      <c r="H26" s="18">
        <f t="shared" si="2"/>
        <v>0</v>
      </c>
      <c r="I26" s="18">
        <f t="shared" si="3"/>
        <v>0.40258366282602881</v>
      </c>
      <c r="J26" s="17">
        <f t="shared" si="4"/>
        <v>55.206297683333325</v>
      </c>
      <c r="K26" s="17">
        <f t="shared" si="5"/>
        <v>6.9007872104166657</v>
      </c>
      <c r="L26" s="16">
        <v>22</v>
      </c>
      <c r="M26" s="19">
        <f t="shared" si="6"/>
        <v>0.36363636363636365</v>
      </c>
      <c r="N26" s="16">
        <v>63</v>
      </c>
      <c r="O26" s="20">
        <f t="shared" ref="O26:P26" si="22">D26/7</f>
        <v>1.1428571428571428</v>
      </c>
      <c r="P26" s="20">
        <f t="shared" si="22"/>
        <v>0</v>
      </c>
      <c r="Q26" s="16">
        <f t="shared" si="8"/>
        <v>55</v>
      </c>
      <c r="R26" s="16"/>
      <c r="S26" s="21">
        <v>1.880239520958084</v>
      </c>
      <c r="T26" s="14">
        <v>400</v>
      </c>
      <c r="U26" s="22" t="s">
        <v>34</v>
      </c>
      <c r="V26" s="23" t="s">
        <v>34</v>
      </c>
      <c r="W26" s="30">
        <v>0</v>
      </c>
      <c r="X26" s="24">
        <f t="shared" si="9"/>
        <v>0</v>
      </c>
      <c r="Y26" s="25">
        <f t="shared" si="10"/>
        <v>0</v>
      </c>
      <c r="Z26" s="30">
        <v>0</v>
      </c>
      <c r="AA26" s="14" t="s">
        <v>35</v>
      </c>
      <c r="AB26" s="27">
        <f t="shared" si="11"/>
        <v>-0.69</v>
      </c>
      <c r="AC26" s="28">
        <v>2.8822673611111113E-2</v>
      </c>
      <c r="AD26" s="25">
        <f t="shared" si="12"/>
        <v>-0.31820231666666665</v>
      </c>
      <c r="AE26" s="25">
        <v>-4.25</v>
      </c>
      <c r="AF26" s="25">
        <v>-3.3795000000000002</v>
      </c>
      <c r="AG26" s="25">
        <v>0</v>
      </c>
    </row>
    <row r="27" spans="1:33" ht="15.75" customHeight="1">
      <c r="A27" s="14" t="s">
        <v>53</v>
      </c>
      <c r="B27" s="14" t="s">
        <v>68</v>
      </c>
      <c r="C27" s="15">
        <f t="shared" si="1"/>
        <v>13.253103448275862</v>
      </c>
      <c r="D27" s="16">
        <v>29</v>
      </c>
      <c r="E27" s="16">
        <v>0</v>
      </c>
      <c r="F27" s="17">
        <v>384.34</v>
      </c>
      <c r="G27" s="17">
        <v>0</v>
      </c>
      <c r="H27" s="18">
        <f t="shared" si="2"/>
        <v>0</v>
      </c>
      <c r="I27" s="18">
        <f t="shared" si="3"/>
        <v>0.27025840818567753</v>
      </c>
      <c r="J27" s="17">
        <f t="shared" si="4"/>
        <v>103.87111660208329</v>
      </c>
      <c r="K27" s="17">
        <f t="shared" si="5"/>
        <v>3.5817626414511481</v>
      </c>
      <c r="L27" s="16">
        <v>62</v>
      </c>
      <c r="M27" s="19">
        <f t="shared" si="6"/>
        <v>0.46774193548387094</v>
      </c>
      <c r="N27" s="16">
        <v>36</v>
      </c>
      <c r="O27" s="20">
        <f t="shared" ref="O27:P27" si="23">D27/7</f>
        <v>4.1428571428571432</v>
      </c>
      <c r="P27" s="20">
        <f t="shared" si="23"/>
        <v>0</v>
      </c>
      <c r="Q27" s="16">
        <f t="shared" si="8"/>
        <v>8</v>
      </c>
      <c r="R27" s="16"/>
      <c r="S27" s="21">
        <v>1.460446247464503</v>
      </c>
      <c r="T27" s="14">
        <v>400</v>
      </c>
      <c r="U27" s="22" t="s">
        <v>34</v>
      </c>
      <c r="V27" s="23" t="s">
        <v>34</v>
      </c>
      <c r="W27" s="30">
        <v>0</v>
      </c>
      <c r="X27" s="24">
        <f t="shared" si="9"/>
        <v>0</v>
      </c>
      <c r="Y27" s="25">
        <f t="shared" si="10"/>
        <v>0</v>
      </c>
      <c r="Z27" s="30">
        <v>0</v>
      </c>
      <c r="AA27" s="14" t="s">
        <v>35</v>
      </c>
      <c r="AB27" s="27">
        <f t="shared" si="11"/>
        <v>-0.69</v>
      </c>
      <c r="AC27" s="28">
        <v>2.8822673611111113E-2</v>
      </c>
      <c r="AD27" s="25">
        <f t="shared" si="12"/>
        <v>-1.1534833979166665</v>
      </c>
      <c r="AE27" s="25">
        <v>-4.25</v>
      </c>
      <c r="AF27" s="25">
        <v>-3.3936000000000002</v>
      </c>
      <c r="AG27" s="25">
        <v>0</v>
      </c>
    </row>
    <row r="28" spans="1:33" ht="15.75" customHeight="1">
      <c r="A28" s="14" t="s">
        <v>54</v>
      </c>
      <c r="B28" s="14" t="s">
        <v>68</v>
      </c>
      <c r="C28" s="15">
        <f t="shared" si="1"/>
        <v>12.553000000000001</v>
      </c>
      <c r="D28" s="16">
        <v>20</v>
      </c>
      <c r="E28" s="16">
        <v>1</v>
      </c>
      <c r="F28" s="17">
        <v>251.06</v>
      </c>
      <c r="G28" s="17">
        <v>-7.0000000000000007E-2</v>
      </c>
      <c r="H28" s="18">
        <f t="shared" si="2"/>
        <v>2.7881781247510558E-4</v>
      </c>
      <c r="I28" s="18">
        <f t="shared" si="3"/>
        <v>0.23764635628269473</v>
      </c>
      <c r="J28" s="17">
        <f t="shared" si="4"/>
        <v>59.66349420833334</v>
      </c>
      <c r="K28" s="17">
        <f t="shared" si="5"/>
        <v>2.9831747104166668</v>
      </c>
      <c r="L28" s="16">
        <v>41</v>
      </c>
      <c r="M28" s="19">
        <f t="shared" si="6"/>
        <v>0.48780487804878048</v>
      </c>
      <c r="N28" s="16">
        <v>15</v>
      </c>
      <c r="O28" s="20">
        <f t="shared" ref="O28:P28" si="24">D28/7</f>
        <v>2.8571428571428572</v>
      </c>
      <c r="P28" s="20">
        <f t="shared" si="24"/>
        <v>0.14285714285714285</v>
      </c>
      <c r="Q28" s="16">
        <f t="shared" si="8"/>
        <v>5</v>
      </c>
      <c r="R28" s="16"/>
      <c r="S28" s="21">
        <v>1.82392776523702</v>
      </c>
      <c r="T28" s="14">
        <v>400</v>
      </c>
      <c r="U28" s="22" t="s">
        <v>34</v>
      </c>
      <c r="V28" s="23" t="s">
        <v>34</v>
      </c>
      <c r="W28" s="30">
        <v>0</v>
      </c>
      <c r="X28" s="24">
        <f t="shared" si="9"/>
        <v>0</v>
      </c>
      <c r="Y28" s="25">
        <f t="shared" si="10"/>
        <v>0</v>
      </c>
      <c r="Z28" s="30">
        <v>0</v>
      </c>
      <c r="AA28" s="14" t="s">
        <v>35</v>
      </c>
      <c r="AB28" s="27">
        <f t="shared" si="11"/>
        <v>-0.69</v>
      </c>
      <c r="AC28" s="28">
        <v>2.8822673611111113E-2</v>
      </c>
      <c r="AD28" s="25">
        <f t="shared" si="12"/>
        <v>-0.79550579166666657</v>
      </c>
      <c r="AE28" s="25">
        <v>-4.25</v>
      </c>
      <c r="AF28" s="25">
        <v>-3.3936000000000002</v>
      </c>
      <c r="AG28" s="25">
        <v>0</v>
      </c>
    </row>
    <row r="29" spans="1:33" ht="15.75" customHeight="1">
      <c r="A29" s="14" t="s">
        <v>55</v>
      </c>
      <c r="B29" s="14" t="s">
        <v>45</v>
      </c>
      <c r="C29" s="15">
        <f t="shared" si="1"/>
        <v>12.5</v>
      </c>
      <c r="D29" s="16">
        <v>13</v>
      </c>
      <c r="E29" s="16">
        <v>0</v>
      </c>
      <c r="F29" s="17">
        <v>162.5</v>
      </c>
      <c r="G29" s="17">
        <v>0</v>
      </c>
      <c r="H29" s="18">
        <f t="shared" si="2"/>
        <v>0</v>
      </c>
      <c r="I29" s="18">
        <f t="shared" si="3"/>
        <v>0.23532997683333326</v>
      </c>
      <c r="J29" s="17">
        <f t="shared" si="4"/>
        <v>38.241121235416657</v>
      </c>
      <c r="K29" s="17">
        <f t="shared" si="5"/>
        <v>2.941624710416666</v>
      </c>
      <c r="L29" s="16">
        <v>27</v>
      </c>
      <c r="M29" s="19">
        <f t="shared" si="6"/>
        <v>0.48148148148148145</v>
      </c>
      <c r="N29" s="16">
        <v>0</v>
      </c>
      <c r="O29" s="20">
        <f t="shared" ref="O29:P29" si="25">D29/7</f>
        <v>1.8571428571428572</v>
      </c>
      <c r="P29" s="20">
        <f t="shared" si="25"/>
        <v>0</v>
      </c>
      <c r="Q29" s="16">
        <f t="shared" si="8"/>
        <v>0</v>
      </c>
      <c r="R29" s="16"/>
      <c r="S29" s="21">
        <v>0</v>
      </c>
      <c r="T29" s="14">
        <v>400</v>
      </c>
      <c r="U29" s="22" t="s">
        <v>34</v>
      </c>
      <c r="V29" s="23" t="s">
        <v>34</v>
      </c>
      <c r="W29" s="30">
        <v>0</v>
      </c>
      <c r="X29" s="24">
        <f t="shared" si="9"/>
        <v>0</v>
      </c>
      <c r="Y29" s="25">
        <f t="shared" si="10"/>
        <v>0</v>
      </c>
      <c r="Z29" s="30">
        <v>0</v>
      </c>
      <c r="AA29" s="14" t="s">
        <v>35</v>
      </c>
      <c r="AB29" s="27">
        <f t="shared" si="11"/>
        <v>-0.69</v>
      </c>
      <c r="AC29" s="28">
        <v>2.8822673611111113E-2</v>
      </c>
      <c r="AD29" s="25">
        <f t="shared" si="12"/>
        <v>-0.51707876458333335</v>
      </c>
      <c r="AE29" s="25">
        <v>-4.25</v>
      </c>
      <c r="AF29" s="25">
        <v>-3.3936000000000002</v>
      </c>
      <c r="AG29" s="25">
        <v>0</v>
      </c>
    </row>
    <row r="30" spans="1:33" ht="15.75" customHeight="1">
      <c r="A30" s="14" t="s">
        <v>57</v>
      </c>
      <c r="B30" s="14"/>
      <c r="C30" s="15" t="str">
        <f t="shared" si="1"/>
        <v xml:space="preserve"> - </v>
      </c>
      <c r="D30" s="16">
        <v>0</v>
      </c>
      <c r="E30" s="16">
        <v>0</v>
      </c>
      <c r="F30" s="17">
        <v>0</v>
      </c>
      <c r="G30" s="17">
        <v>0</v>
      </c>
      <c r="H30" s="18" t="e">
        <f t="shared" si="2"/>
        <v>#DIV/0!</v>
      </c>
      <c r="I30" s="18" t="e">
        <f t="shared" si="3"/>
        <v>#DIV/0!</v>
      </c>
      <c r="J30" s="17">
        <f t="shared" si="4"/>
        <v>0</v>
      </c>
      <c r="K30" s="17" t="e">
        <f t="shared" si="5"/>
        <v>#DIV/0!</v>
      </c>
      <c r="L30" s="16">
        <v>0</v>
      </c>
      <c r="M30" s="19" t="str">
        <f t="shared" si="6"/>
        <v>-</v>
      </c>
      <c r="N30" s="16">
        <v>0</v>
      </c>
      <c r="O30" s="20">
        <f t="shared" ref="O30:P30" si="26">D30/7</f>
        <v>0</v>
      </c>
      <c r="P30" s="20">
        <f t="shared" si="26"/>
        <v>0</v>
      </c>
      <c r="Q30" s="16" t="e">
        <f t="shared" si="8"/>
        <v>#DIV/0!</v>
      </c>
      <c r="R30" s="16"/>
      <c r="S30" s="21">
        <v>0</v>
      </c>
      <c r="T30" s="14">
        <v>200</v>
      </c>
      <c r="U30" s="22" t="s">
        <v>34</v>
      </c>
      <c r="V30" s="23" t="s">
        <v>34</v>
      </c>
      <c r="W30" s="30">
        <v>0</v>
      </c>
      <c r="X30" s="24">
        <f t="shared" si="9"/>
        <v>0</v>
      </c>
      <c r="Y30" s="25">
        <f t="shared" si="10"/>
        <v>0</v>
      </c>
      <c r="Z30" s="30">
        <v>0</v>
      </c>
      <c r="AA30" s="14" t="s">
        <v>35</v>
      </c>
      <c r="AB30" s="27">
        <f t="shared" si="11"/>
        <v>-0.69</v>
      </c>
      <c r="AC30" s="28">
        <v>2.8822673611111113E-2</v>
      </c>
      <c r="AD30" s="25">
        <f t="shared" si="12"/>
        <v>0</v>
      </c>
      <c r="AE30" s="25">
        <v>-4.25</v>
      </c>
      <c r="AF30" s="25">
        <v>-3.2343644067000001</v>
      </c>
      <c r="AG30" s="25">
        <v>0</v>
      </c>
    </row>
    <row r="31" spans="1:33" ht="15.75" customHeight="1">
      <c r="A31" s="14" t="s">
        <v>58</v>
      </c>
      <c r="B31" s="14"/>
      <c r="C31" s="15" t="str">
        <f t="shared" si="1"/>
        <v xml:space="preserve"> - </v>
      </c>
      <c r="D31" s="16">
        <v>0</v>
      </c>
      <c r="E31" s="16">
        <v>0</v>
      </c>
      <c r="F31" s="17">
        <v>0</v>
      </c>
      <c r="G31" s="17">
        <v>0</v>
      </c>
      <c r="H31" s="18" t="e">
        <f t="shared" si="2"/>
        <v>#DIV/0!</v>
      </c>
      <c r="I31" s="18" t="e">
        <f t="shared" si="3"/>
        <v>#DIV/0!</v>
      </c>
      <c r="J31" s="17">
        <f t="shared" si="4"/>
        <v>0</v>
      </c>
      <c r="K31" s="17" t="e">
        <f t="shared" si="5"/>
        <v>#DIV/0!</v>
      </c>
      <c r="L31" s="16">
        <v>0</v>
      </c>
      <c r="M31" s="19" t="str">
        <f t="shared" si="6"/>
        <v>-</v>
      </c>
      <c r="N31" s="16">
        <v>0</v>
      </c>
      <c r="O31" s="20">
        <f t="shared" ref="O31:P31" si="27">D31/7</f>
        <v>0</v>
      </c>
      <c r="P31" s="20">
        <f t="shared" si="27"/>
        <v>0</v>
      </c>
      <c r="Q31" s="16" t="e">
        <f t="shared" si="8"/>
        <v>#DIV/0!</v>
      </c>
      <c r="R31" s="16"/>
      <c r="S31" s="21" t="e">
        <v>#N/A</v>
      </c>
      <c r="T31" s="14">
        <v>200</v>
      </c>
      <c r="U31" s="22" t="s">
        <v>34</v>
      </c>
      <c r="V31" s="23" t="s">
        <v>84</v>
      </c>
      <c r="W31" s="30">
        <v>0</v>
      </c>
      <c r="X31" s="24">
        <f t="shared" si="9"/>
        <v>0</v>
      </c>
      <c r="Y31" s="25">
        <f t="shared" si="10"/>
        <v>0</v>
      </c>
      <c r="Z31" s="30">
        <v>0</v>
      </c>
      <c r="AA31" s="14" t="s">
        <v>35</v>
      </c>
      <c r="AB31" s="27">
        <f t="shared" si="11"/>
        <v>-0.69</v>
      </c>
      <c r="AC31" s="28">
        <v>2.8822673611111113E-2</v>
      </c>
      <c r="AD31" s="25">
        <f t="shared" si="12"/>
        <v>0</v>
      </c>
      <c r="AE31" s="25">
        <v>-4.25</v>
      </c>
      <c r="AF31" s="25">
        <v>-3.2343644067000001</v>
      </c>
      <c r="AG31" s="25">
        <v>0</v>
      </c>
    </row>
    <row r="32" spans="1:33" ht="15.75" customHeight="1">
      <c r="A32" s="14" t="s">
        <v>60</v>
      </c>
      <c r="B32" s="14"/>
      <c r="C32" s="15" t="str">
        <f t="shared" si="1"/>
        <v xml:space="preserve"> - </v>
      </c>
      <c r="D32" s="16">
        <v>0</v>
      </c>
      <c r="E32" s="16">
        <v>0</v>
      </c>
      <c r="F32" s="17">
        <v>0</v>
      </c>
      <c r="G32" s="17">
        <v>0</v>
      </c>
      <c r="H32" s="18" t="e">
        <f t="shared" si="2"/>
        <v>#DIV/0!</v>
      </c>
      <c r="I32" s="18" t="e">
        <f t="shared" si="3"/>
        <v>#DIV/0!</v>
      </c>
      <c r="J32" s="17">
        <f t="shared" si="4"/>
        <v>0</v>
      </c>
      <c r="K32" s="17" t="e">
        <f t="shared" si="5"/>
        <v>#DIV/0!</v>
      </c>
      <c r="L32" s="16">
        <v>0</v>
      </c>
      <c r="M32" s="19" t="str">
        <f t="shared" si="6"/>
        <v>-</v>
      </c>
      <c r="N32" s="16">
        <v>0</v>
      </c>
      <c r="O32" s="20">
        <f t="shared" ref="O32:P32" si="28">D32/7</f>
        <v>0</v>
      </c>
      <c r="P32" s="20">
        <f t="shared" si="28"/>
        <v>0</v>
      </c>
      <c r="Q32" s="16" t="e">
        <f t="shared" si="8"/>
        <v>#DIV/0!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0</v>
      </c>
      <c r="T32" s="14">
        <f ca="1">IFERROR(__xludf.DUMMYFUNCTION("IFERROR(VLOOKUP($B$2,IMPORTRANGE(""https://docs.google.com/spreadsheets/d/1KiWZV1ko8G7lnRucBRBd29jj3Be6ltMfljMDqzOkQmI/edit#gid=1381463014"",""Lookup!A:D""),4,FALSE),"""")"),200)</f>
        <v>200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23" t="str">
        <f ca="1">IFERROR(__xludf.DUMMYFUNCTION("IFERROR(VLOOKUP($B$2,IMPORTRANGE(""https://docs.google.com/spreadsheets/d/1KiWZV1ko8G7lnRucBRBd29jj3Be6ltMfljMDqzOkQmI/edit#gid=1381463014"",""Lookup!A:D""),2,FALSE),"""")"),"No Transit, But 200 At Factory 50-75 days from Earliest Arrival")</f>
        <v>No Transit, But 200 At Factory 50-75 days from Earliest Arrival</v>
      </c>
      <c r="W32" s="30">
        <v>0</v>
      </c>
      <c r="X32" s="24">
        <f t="shared" si="9"/>
        <v>0</v>
      </c>
      <c r="Y32" s="25">
        <f t="shared" si="10"/>
        <v>0</v>
      </c>
      <c r="Z32" s="30">
        <v>0</v>
      </c>
      <c r="AA32" s="14" t="s">
        <v>35</v>
      </c>
      <c r="AB32" s="27">
        <f t="shared" si="11"/>
        <v>-0.69</v>
      </c>
      <c r="AC32" s="28">
        <v>2.8822673611111113E-2</v>
      </c>
      <c r="AD32" s="25">
        <f t="shared" si="12"/>
        <v>0</v>
      </c>
      <c r="AE32" s="25">
        <v>-4.25</v>
      </c>
      <c r="AF32" s="25">
        <v>-3.2343644067000001</v>
      </c>
      <c r="AG32" s="25">
        <v>0</v>
      </c>
    </row>
    <row r="33" spans="1:33" ht="15.75" customHeight="1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16"/>
      <c r="S33" s="21"/>
      <c r="T33" s="31"/>
      <c r="U33" s="36"/>
      <c r="V33" s="1"/>
      <c r="W33" s="31"/>
      <c r="X33" s="31"/>
      <c r="Y33" s="31"/>
      <c r="Z33" s="31"/>
      <c r="AA33" s="2"/>
      <c r="AB33" s="31"/>
      <c r="AC33" s="31"/>
      <c r="AD33" s="31"/>
      <c r="AE33" s="37"/>
      <c r="AF33" s="37"/>
      <c r="AG33" s="37"/>
    </row>
    <row r="34" spans="1:33" ht="15.75" customHeight="1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6"/>
      <c r="V34" s="1"/>
      <c r="W34" s="31"/>
      <c r="X34" s="31"/>
      <c r="Y34" s="31"/>
      <c r="Z34" s="31"/>
      <c r="AA34" s="2"/>
      <c r="AB34" s="31"/>
      <c r="AC34" s="31"/>
      <c r="AD34" s="31"/>
      <c r="AE34" s="37"/>
      <c r="AF34" s="37"/>
      <c r="AG34" s="37"/>
    </row>
    <row r="35" spans="1:33" ht="15.75" customHeight="1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6"/>
      <c r="V35" s="1"/>
      <c r="W35" s="31"/>
      <c r="X35" s="31"/>
      <c r="Y35" s="31"/>
      <c r="Z35" s="31"/>
      <c r="AA35" s="2"/>
      <c r="AB35" s="31"/>
      <c r="AC35" s="31"/>
      <c r="AD35" s="31"/>
      <c r="AE35" s="37"/>
      <c r="AF35" s="37"/>
      <c r="AG35" s="37"/>
    </row>
    <row r="36" spans="1:33" ht="15.75" customHeight="1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6"/>
      <c r="V36" s="1"/>
      <c r="W36" s="31"/>
      <c r="X36" s="31"/>
      <c r="Y36" s="31"/>
      <c r="Z36" s="31"/>
      <c r="AA36" s="2"/>
      <c r="AB36" s="31"/>
      <c r="AC36" s="31"/>
      <c r="AD36" s="31"/>
      <c r="AE36" s="37"/>
      <c r="AF36" s="37"/>
      <c r="AG36" s="37"/>
    </row>
    <row r="37" spans="1:33" ht="15.75" customHeight="1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6"/>
      <c r="V37" s="1"/>
      <c r="W37" s="31"/>
      <c r="X37" s="31"/>
      <c r="Y37" s="31"/>
      <c r="Z37" s="31"/>
      <c r="AA37" s="2"/>
      <c r="AB37" s="31"/>
      <c r="AC37" s="31"/>
      <c r="AD37" s="31"/>
      <c r="AE37" s="37"/>
      <c r="AF37" s="37"/>
      <c r="AG37" s="37"/>
    </row>
    <row r="38" spans="1:33" ht="15.75" customHeight="1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6"/>
      <c r="V38" s="1"/>
      <c r="W38" s="31"/>
      <c r="X38" s="31"/>
      <c r="Y38" s="31"/>
      <c r="Z38" s="31"/>
      <c r="AA38" s="2"/>
      <c r="AB38" s="31"/>
      <c r="AC38" s="31"/>
      <c r="AD38" s="31"/>
      <c r="AE38" s="37"/>
      <c r="AF38" s="37"/>
      <c r="AG38" s="37"/>
    </row>
    <row r="39" spans="1:33" ht="15.75" customHeight="1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6"/>
      <c r="V39" s="1"/>
      <c r="W39" s="31"/>
      <c r="X39" s="31"/>
      <c r="Y39" s="31"/>
      <c r="Z39" s="31"/>
      <c r="AA39" s="2"/>
      <c r="AB39" s="31"/>
      <c r="AC39" s="31"/>
      <c r="AD39" s="31"/>
      <c r="AE39" s="37"/>
      <c r="AF39" s="37"/>
      <c r="AG39" s="37"/>
    </row>
    <row r="40" spans="1:33" ht="15.75" customHeight="1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6"/>
      <c r="V40" s="1"/>
      <c r="W40" s="31"/>
      <c r="X40" s="31"/>
      <c r="Y40" s="31"/>
      <c r="Z40" s="31"/>
      <c r="AA40" s="2"/>
      <c r="AB40" s="31"/>
      <c r="AC40" s="31"/>
      <c r="AD40" s="31"/>
      <c r="AE40" s="37"/>
      <c r="AF40" s="37"/>
      <c r="AG40" s="37"/>
    </row>
    <row r="41" spans="1:33" ht="15.75" customHeight="1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6"/>
      <c r="V41" s="1"/>
      <c r="W41" s="31"/>
      <c r="X41" s="31"/>
      <c r="Y41" s="31"/>
      <c r="Z41" s="31"/>
      <c r="AA41" s="2"/>
      <c r="AB41" s="31"/>
      <c r="AC41" s="31"/>
      <c r="AD41" s="31"/>
      <c r="AE41" s="37"/>
      <c r="AF41" s="37"/>
      <c r="AG41" s="37"/>
    </row>
    <row r="42" spans="1:33" ht="15.75" customHeight="1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6"/>
      <c r="V42" s="1"/>
      <c r="W42" s="31"/>
      <c r="X42" s="31"/>
      <c r="Y42" s="31"/>
      <c r="Z42" s="31"/>
      <c r="AA42" s="2"/>
      <c r="AB42" s="31"/>
      <c r="AC42" s="31"/>
      <c r="AD42" s="31"/>
      <c r="AE42" s="37"/>
      <c r="AF42" s="37"/>
      <c r="AG42" s="37"/>
    </row>
    <row r="43" spans="1:33" ht="15.75" customHeight="1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6"/>
      <c r="V43" s="1"/>
      <c r="W43" s="31"/>
      <c r="X43" s="31"/>
      <c r="Y43" s="31"/>
      <c r="Z43" s="31"/>
      <c r="AA43" s="2"/>
      <c r="AB43" s="31"/>
      <c r="AC43" s="31"/>
      <c r="AD43" s="31"/>
      <c r="AE43" s="37"/>
      <c r="AF43" s="37"/>
      <c r="AG43" s="37"/>
    </row>
    <row r="44" spans="1:33" ht="15.75" customHeight="1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6"/>
      <c r="V44" s="1"/>
      <c r="W44" s="31"/>
      <c r="X44" s="31"/>
      <c r="Y44" s="31"/>
      <c r="Z44" s="31"/>
      <c r="AA44" s="2"/>
      <c r="AB44" s="31"/>
      <c r="AC44" s="31"/>
      <c r="AD44" s="31"/>
      <c r="AE44" s="37"/>
      <c r="AF44" s="37"/>
      <c r="AG44" s="37"/>
    </row>
    <row r="45" spans="1:33" ht="15.75" customHeight="1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6"/>
      <c r="V45" s="1"/>
      <c r="W45" s="31"/>
      <c r="X45" s="31"/>
      <c r="Y45" s="31"/>
      <c r="Z45" s="31"/>
      <c r="AA45" s="2"/>
      <c r="AB45" s="31"/>
      <c r="AC45" s="31"/>
      <c r="AD45" s="31"/>
      <c r="AE45" s="37"/>
      <c r="AF45" s="37"/>
      <c r="AG45" s="37"/>
    </row>
    <row r="46" spans="1:33" ht="15.75" customHeight="1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6"/>
      <c r="V46" s="1"/>
      <c r="W46" s="31"/>
      <c r="X46" s="31"/>
      <c r="Y46" s="31"/>
      <c r="Z46" s="31"/>
      <c r="AA46" s="2"/>
      <c r="AB46" s="31"/>
      <c r="AC46" s="31"/>
      <c r="AD46" s="31"/>
      <c r="AE46" s="37"/>
      <c r="AF46" s="37"/>
      <c r="AG46" s="37"/>
    </row>
    <row r="47" spans="1:33" ht="15.75" customHeight="1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6"/>
      <c r="V47" s="1"/>
      <c r="W47" s="31"/>
      <c r="X47" s="31"/>
      <c r="Y47" s="31"/>
      <c r="Z47" s="31"/>
      <c r="AA47" s="2"/>
      <c r="AB47" s="31"/>
      <c r="AC47" s="31"/>
      <c r="AD47" s="31"/>
      <c r="AE47" s="37"/>
      <c r="AF47" s="37"/>
      <c r="AG47" s="37"/>
    </row>
    <row r="48" spans="1:33" ht="15.75" customHeight="1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6"/>
      <c r="V48" s="1"/>
      <c r="W48" s="31"/>
      <c r="X48" s="31"/>
      <c r="Y48" s="31"/>
      <c r="Z48" s="31"/>
      <c r="AA48" s="2"/>
      <c r="AB48" s="31"/>
      <c r="AC48" s="31"/>
      <c r="AD48" s="31"/>
      <c r="AE48" s="37"/>
      <c r="AF48" s="37"/>
      <c r="AG48" s="37"/>
    </row>
    <row r="49" spans="1:33" ht="15.75" customHeight="1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6"/>
      <c r="V49" s="1"/>
      <c r="W49" s="31"/>
      <c r="X49" s="31"/>
      <c r="Y49" s="31"/>
      <c r="Z49" s="31"/>
      <c r="AA49" s="2"/>
      <c r="AB49" s="31"/>
      <c r="AC49" s="31"/>
      <c r="AD49" s="31"/>
      <c r="AE49" s="37"/>
      <c r="AF49" s="37"/>
      <c r="AG49" s="37"/>
    </row>
    <row r="50" spans="1:33" ht="15.75" customHeight="1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6"/>
      <c r="V50" s="1"/>
      <c r="W50" s="31"/>
      <c r="X50" s="31"/>
      <c r="Y50" s="31"/>
      <c r="Z50" s="31"/>
      <c r="AA50" s="2"/>
      <c r="AB50" s="31"/>
      <c r="AC50" s="31"/>
      <c r="AD50" s="31"/>
      <c r="AE50" s="37"/>
      <c r="AF50" s="37"/>
      <c r="AG50" s="37"/>
    </row>
    <row r="51" spans="1:33" ht="15.75" customHeight="1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6"/>
      <c r="V51" s="1"/>
      <c r="W51" s="31"/>
      <c r="X51" s="31"/>
      <c r="Y51" s="31"/>
      <c r="Z51" s="31"/>
      <c r="AA51" s="2"/>
      <c r="AB51" s="31"/>
      <c r="AC51" s="31"/>
      <c r="AD51" s="31"/>
      <c r="AE51" s="37"/>
      <c r="AF51" s="37"/>
      <c r="AG51" s="37"/>
    </row>
    <row r="52" spans="1:33" ht="15.75" customHeight="1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6"/>
      <c r="V52" s="1"/>
      <c r="W52" s="31"/>
      <c r="X52" s="31"/>
      <c r="Y52" s="31"/>
      <c r="Z52" s="31"/>
      <c r="AA52" s="2"/>
      <c r="AB52" s="31"/>
      <c r="AC52" s="31"/>
      <c r="AD52" s="31"/>
      <c r="AE52" s="37"/>
      <c r="AF52" s="37"/>
      <c r="AG52" s="37"/>
    </row>
    <row r="53" spans="1:33" ht="15.75" customHeight="1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6"/>
      <c r="V53" s="1"/>
      <c r="W53" s="31"/>
      <c r="X53" s="31"/>
      <c r="Y53" s="31"/>
      <c r="Z53" s="31"/>
      <c r="AA53" s="2"/>
      <c r="AB53" s="31"/>
      <c r="AC53" s="31"/>
      <c r="AD53" s="31"/>
      <c r="AE53" s="37"/>
      <c r="AF53" s="37"/>
      <c r="AG53" s="37"/>
    </row>
    <row r="54" spans="1:33" ht="15.75" customHeight="1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6"/>
      <c r="V54" s="1"/>
      <c r="W54" s="31"/>
      <c r="X54" s="31"/>
      <c r="Y54" s="31"/>
      <c r="Z54" s="31"/>
      <c r="AA54" s="2"/>
      <c r="AB54" s="31"/>
      <c r="AC54" s="31"/>
      <c r="AD54" s="31"/>
      <c r="AE54" s="37"/>
      <c r="AF54" s="37"/>
      <c r="AG54" s="37"/>
    </row>
    <row r="55" spans="1:33" ht="15.75" customHeight="1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6"/>
      <c r="V55" s="1"/>
      <c r="W55" s="31"/>
      <c r="X55" s="31"/>
      <c r="Y55" s="31"/>
      <c r="Z55" s="31"/>
      <c r="AA55" s="2"/>
      <c r="AB55" s="31"/>
      <c r="AC55" s="31"/>
      <c r="AD55" s="31"/>
      <c r="AE55" s="37"/>
      <c r="AF55" s="37"/>
      <c r="AG55" s="37"/>
    </row>
    <row r="56" spans="1:33" ht="15.75" customHeight="1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6"/>
      <c r="V56" s="1"/>
      <c r="W56" s="31"/>
      <c r="X56" s="31"/>
      <c r="Y56" s="31"/>
      <c r="Z56" s="31"/>
      <c r="AA56" s="2"/>
      <c r="AB56" s="31"/>
      <c r="AC56" s="31"/>
      <c r="AD56" s="31"/>
      <c r="AE56" s="37"/>
      <c r="AF56" s="37"/>
      <c r="AG56" s="37"/>
    </row>
    <row r="57" spans="1:33" ht="15.75" customHeight="1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6"/>
      <c r="V57" s="1"/>
      <c r="W57" s="31"/>
      <c r="X57" s="31"/>
      <c r="Y57" s="31"/>
      <c r="Z57" s="31"/>
      <c r="AA57" s="2"/>
      <c r="AB57" s="31"/>
      <c r="AC57" s="31"/>
      <c r="AD57" s="31"/>
      <c r="AE57" s="37"/>
      <c r="AF57" s="37"/>
      <c r="AG57" s="37"/>
    </row>
    <row r="58" spans="1:33" ht="15.75" customHeight="1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6"/>
      <c r="V58" s="1"/>
      <c r="W58" s="31"/>
      <c r="X58" s="31"/>
      <c r="Y58" s="31"/>
      <c r="Z58" s="31"/>
      <c r="AA58" s="2"/>
      <c r="AB58" s="31"/>
      <c r="AC58" s="31"/>
      <c r="AD58" s="31"/>
      <c r="AE58" s="37"/>
      <c r="AF58" s="37"/>
      <c r="AG58" s="37"/>
    </row>
    <row r="59" spans="1:33" ht="15.75" customHeight="1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6"/>
      <c r="V59" s="1"/>
      <c r="W59" s="31"/>
      <c r="X59" s="31"/>
      <c r="Y59" s="31"/>
      <c r="Z59" s="31"/>
      <c r="AA59" s="2"/>
      <c r="AB59" s="31"/>
      <c r="AC59" s="31"/>
      <c r="AD59" s="31"/>
      <c r="AE59" s="37"/>
      <c r="AF59" s="37"/>
      <c r="AG59" s="37"/>
    </row>
    <row r="60" spans="1:33" ht="15.75" customHeight="1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6"/>
      <c r="V60" s="1"/>
      <c r="W60" s="31"/>
      <c r="X60" s="31"/>
      <c r="Y60" s="31"/>
      <c r="Z60" s="31"/>
      <c r="AA60" s="2"/>
      <c r="AB60" s="31"/>
      <c r="AC60" s="31"/>
      <c r="AD60" s="31"/>
      <c r="AE60" s="37"/>
      <c r="AF60" s="37"/>
      <c r="AG60" s="37"/>
    </row>
    <row r="61" spans="1:33" ht="15.75" customHeight="1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6"/>
      <c r="V61" s="1"/>
      <c r="W61" s="31"/>
      <c r="X61" s="31"/>
      <c r="Y61" s="31"/>
      <c r="Z61" s="31"/>
      <c r="AA61" s="2"/>
      <c r="AB61" s="31"/>
      <c r="AC61" s="31"/>
      <c r="AD61" s="31"/>
      <c r="AE61" s="37"/>
      <c r="AF61" s="37"/>
      <c r="AG61" s="37"/>
    </row>
    <row r="62" spans="1:33" ht="15.75" customHeight="1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6"/>
      <c r="V62" s="1"/>
      <c r="W62" s="31"/>
      <c r="X62" s="31"/>
      <c r="Y62" s="31"/>
      <c r="Z62" s="31"/>
      <c r="AA62" s="2"/>
      <c r="AB62" s="31"/>
      <c r="AC62" s="31"/>
      <c r="AD62" s="31"/>
      <c r="AE62" s="37"/>
      <c r="AF62" s="37"/>
      <c r="AG62" s="37"/>
    </row>
    <row r="63" spans="1:33" ht="15.75" customHeight="1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6"/>
      <c r="V63" s="1"/>
      <c r="W63" s="31"/>
      <c r="X63" s="31"/>
      <c r="Y63" s="31"/>
      <c r="Z63" s="31"/>
      <c r="AA63" s="2"/>
      <c r="AB63" s="31"/>
      <c r="AC63" s="31"/>
      <c r="AD63" s="31"/>
      <c r="AE63" s="37"/>
      <c r="AF63" s="37"/>
      <c r="AG63" s="37"/>
    </row>
    <row r="64" spans="1:33" ht="15.75" customHeight="1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6"/>
      <c r="V64" s="1"/>
      <c r="W64" s="31"/>
      <c r="X64" s="31"/>
      <c r="Y64" s="31"/>
      <c r="Z64" s="31"/>
      <c r="AA64" s="2"/>
      <c r="AB64" s="31"/>
      <c r="AC64" s="31"/>
      <c r="AD64" s="31"/>
      <c r="AE64" s="37"/>
      <c r="AF64" s="37"/>
      <c r="AG64" s="37"/>
    </row>
    <row r="65" spans="1:33" ht="15.75" customHeight="1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6"/>
      <c r="V65" s="1"/>
      <c r="W65" s="31"/>
      <c r="X65" s="31"/>
      <c r="Y65" s="31"/>
      <c r="Z65" s="31"/>
      <c r="AA65" s="2"/>
      <c r="AB65" s="31"/>
      <c r="AC65" s="31"/>
      <c r="AD65" s="31"/>
      <c r="AE65" s="37"/>
      <c r="AF65" s="37"/>
      <c r="AG65" s="37"/>
    </row>
    <row r="66" spans="1:33" ht="15.75" customHeight="1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6"/>
      <c r="V66" s="1"/>
      <c r="W66" s="31"/>
      <c r="X66" s="31"/>
      <c r="Y66" s="31"/>
      <c r="Z66" s="31"/>
      <c r="AA66" s="2"/>
      <c r="AB66" s="31"/>
      <c r="AC66" s="31"/>
      <c r="AD66" s="31"/>
      <c r="AE66" s="37"/>
      <c r="AF66" s="37"/>
      <c r="AG66" s="37"/>
    </row>
    <row r="67" spans="1:33" ht="15.75" customHeight="1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6"/>
      <c r="V67" s="1"/>
      <c r="W67" s="31"/>
      <c r="X67" s="31"/>
      <c r="Y67" s="31"/>
      <c r="Z67" s="31"/>
      <c r="AA67" s="2"/>
      <c r="AB67" s="31"/>
      <c r="AC67" s="31"/>
      <c r="AD67" s="31"/>
      <c r="AE67" s="37"/>
      <c r="AF67" s="37"/>
      <c r="AG67" s="37"/>
    </row>
    <row r="68" spans="1:33" ht="15.75" customHeight="1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6"/>
      <c r="V68" s="1"/>
      <c r="W68" s="31"/>
      <c r="X68" s="31"/>
      <c r="Y68" s="31"/>
      <c r="Z68" s="31"/>
      <c r="AA68" s="2"/>
      <c r="AB68" s="31"/>
      <c r="AC68" s="31"/>
      <c r="AD68" s="31"/>
      <c r="AE68" s="37"/>
      <c r="AF68" s="37"/>
      <c r="AG68" s="37"/>
    </row>
    <row r="69" spans="1:33" ht="15.75" customHeight="1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6"/>
      <c r="V69" s="1"/>
      <c r="W69" s="31"/>
      <c r="X69" s="31"/>
      <c r="Y69" s="31"/>
      <c r="Z69" s="31"/>
      <c r="AA69" s="2"/>
      <c r="AB69" s="31"/>
      <c r="AC69" s="31"/>
      <c r="AD69" s="31"/>
      <c r="AE69" s="37"/>
      <c r="AF69" s="37"/>
      <c r="AG69" s="37"/>
    </row>
    <row r="70" spans="1:33" ht="15.75" customHeight="1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6"/>
      <c r="V70" s="1"/>
      <c r="W70" s="31"/>
      <c r="X70" s="31"/>
      <c r="Y70" s="31"/>
      <c r="Z70" s="31"/>
      <c r="AA70" s="2"/>
      <c r="AB70" s="31"/>
      <c r="AC70" s="31"/>
      <c r="AD70" s="31"/>
      <c r="AE70" s="37"/>
      <c r="AF70" s="37"/>
      <c r="AG70" s="37"/>
    </row>
    <row r="71" spans="1:33" ht="15.75" customHeight="1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6"/>
      <c r="V71" s="1"/>
      <c r="W71" s="31"/>
      <c r="X71" s="31"/>
      <c r="Y71" s="31"/>
      <c r="Z71" s="31"/>
      <c r="AA71" s="2"/>
      <c r="AB71" s="31"/>
      <c r="AC71" s="31"/>
      <c r="AD71" s="31"/>
      <c r="AE71" s="37"/>
      <c r="AF71" s="37"/>
      <c r="AG71" s="37"/>
    </row>
    <row r="72" spans="1:33" ht="15.75" customHeight="1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6"/>
      <c r="V72" s="1"/>
      <c r="W72" s="31"/>
      <c r="X72" s="31"/>
      <c r="Y72" s="31"/>
      <c r="Z72" s="31"/>
      <c r="AA72" s="2"/>
      <c r="AB72" s="31"/>
      <c r="AC72" s="31"/>
      <c r="AD72" s="31"/>
      <c r="AE72" s="37"/>
      <c r="AF72" s="37"/>
      <c r="AG72" s="37"/>
    </row>
    <row r="73" spans="1:33" ht="15.75" customHeight="1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6"/>
      <c r="V73" s="1"/>
      <c r="W73" s="31"/>
      <c r="X73" s="31"/>
      <c r="Y73" s="31"/>
      <c r="Z73" s="31"/>
      <c r="AA73" s="2"/>
      <c r="AB73" s="31"/>
      <c r="AC73" s="31"/>
      <c r="AD73" s="31"/>
      <c r="AE73" s="37"/>
      <c r="AF73" s="37"/>
      <c r="AG73" s="37"/>
    </row>
    <row r="74" spans="1:33" ht="15.75" customHeight="1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6"/>
      <c r="V74" s="1"/>
      <c r="W74" s="31"/>
      <c r="X74" s="31"/>
      <c r="Y74" s="31"/>
      <c r="Z74" s="31"/>
      <c r="AA74" s="2"/>
      <c r="AB74" s="31"/>
      <c r="AC74" s="31"/>
      <c r="AD74" s="31"/>
      <c r="AE74" s="37"/>
      <c r="AF74" s="37"/>
      <c r="AG74" s="37"/>
    </row>
    <row r="75" spans="1:33" ht="15.75" customHeight="1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6"/>
      <c r="V75" s="1"/>
      <c r="W75" s="31"/>
      <c r="X75" s="31"/>
      <c r="Y75" s="31"/>
      <c r="Z75" s="31"/>
      <c r="AA75" s="2"/>
      <c r="AB75" s="31"/>
      <c r="AC75" s="31"/>
      <c r="AD75" s="31"/>
      <c r="AE75" s="37"/>
      <c r="AF75" s="37"/>
      <c r="AG75" s="37"/>
    </row>
    <row r="76" spans="1:33" ht="15.75" customHeight="1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6"/>
      <c r="V76" s="1"/>
      <c r="W76" s="31"/>
      <c r="X76" s="31"/>
      <c r="Y76" s="31"/>
      <c r="Z76" s="31"/>
      <c r="AA76" s="2"/>
      <c r="AB76" s="31"/>
      <c r="AC76" s="31"/>
      <c r="AD76" s="31"/>
      <c r="AE76" s="37"/>
      <c r="AF76" s="37"/>
      <c r="AG76" s="37"/>
    </row>
    <row r="77" spans="1:33" ht="15.75" customHeight="1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6"/>
      <c r="V77" s="1"/>
      <c r="W77" s="31"/>
      <c r="X77" s="31"/>
      <c r="Y77" s="31"/>
      <c r="Z77" s="31"/>
      <c r="AA77" s="2"/>
      <c r="AB77" s="31"/>
      <c r="AC77" s="31"/>
      <c r="AD77" s="31"/>
      <c r="AE77" s="37"/>
      <c r="AF77" s="37"/>
      <c r="AG77" s="37"/>
    </row>
    <row r="78" spans="1:33" ht="15.75" customHeight="1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6"/>
      <c r="V78" s="1"/>
      <c r="W78" s="31"/>
      <c r="X78" s="31"/>
      <c r="Y78" s="31"/>
      <c r="Z78" s="31"/>
      <c r="AA78" s="2"/>
      <c r="AB78" s="31"/>
      <c r="AC78" s="31"/>
      <c r="AD78" s="31"/>
      <c r="AE78" s="37"/>
      <c r="AF78" s="37"/>
      <c r="AG78" s="37"/>
    </row>
    <row r="79" spans="1:33" ht="15.75" customHeight="1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6"/>
      <c r="V79" s="1"/>
      <c r="W79" s="31"/>
      <c r="X79" s="31"/>
      <c r="Y79" s="31"/>
      <c r="Z79" s="31"/>
      <c r="AA79" s="2"/>
      <c r="AB79" s="31"/>
      <c r="AC79" s="31"/>
      <c r="AD79" s="31"/>
      <c r="AE79" s="37"/>
      <c r="AF79" s="37"/>
      <c r="AG79" s="37"/>
    </row>
    <row r="80" spans="1:33" ht="15.75" customHeight="1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6"/>
      <c r="V80" s="1"/>
      <c r="W80" s="31"/>
      <c r="X80" s="31"/>
      <c r="Y80" s="31"/>
      <c r="Z80" s="31"/>
      <c r="AA80" s="2"/>
      <c r="AB80" s="31"/>
      <c r="AC80" s="31"/>
      <c r="AD80" s="31"/>
      <c r="AE80" s="37"/>
      <c r="AF80" s="37"/>
      <c r="AG80" s="37"/>
    </row>
    <row r="81" spans="1:33" ht="15.75" customHeight="1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6"/>
      <c r="V81" s="1"/>
      <c r="W81" s="31"/>
      <c r="X81" s="31"/>
      <c r="Y81" s="31"/>
      <c r="Z81" s="31"/>
      <c r="AA81" s="2"/>
      <c r="AB81" s="31"/>
      <c r="AC81" s="31"/>
      <c r="AD81" s="31"/>
      <c r="AE81" s="37"/>
      <c r="AF81" s="37"/>
      <c r="AG81" s="37"/>
    </row>
    <row r="82" spans="1:33" ht="15.75" customHeight="1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6"/>
      <c r="V82" s="1"/>
      <c r="W82" s="31"/>
      <c r="X82" s="31"/>
      <c r="Y82" s="31"/>
      <c r="Z82" s="31"/>
      <c r="AA82" s="2"/>
      <c r="AB82" s="31"/>
      <c r="AC82" s="31"/>
      <c r="AD82" s="31"/>
      <c r="AE82" s="37"/>
      <c r="AF82" s="37"/>
      <c r="AG82" s="37"/>
    </row>
    <row r="83" spans="1:33" ht="15.75" customHeight="1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6"/>
      <c r="V83" s="1"/>
      <c r="W83" s="31"/>
      <c r="X83" s="31"/>
      <c r="Y83" s="31"/>
      <c r="Z83" s="31"/>
      <c r="AA83" s="2"/>
      <c r="AB83" s="31"/>
      <c r="AC83" s="31"/>
      <c r="AD83" s="31"/>
      <c r="AE83" s="37"/>
      <c r="AF83" s="37"/>
      <c r="AG83" s="37"/>
    </row>
    <row r="84" spans="1:33" ht="15.75" customHeight="1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6"/>
      <c r="V84" s="1"/>
      <c r="W84" s="31"/>
      <c r="X84" s="31"/>
      <c r="Y84" s="31"/>
      <c r="Z84" s="31"/>
      <c r="AA84" s="2"/>
      <c r="AB84" s="31"/>
      <c r="AC84" s="31"/>
      <c r="AD84" s="31"/>
      <c r="AE84" s="37"/>
      <c r="AF84" s="37"/>
      <c r="AG84" s="37"/>
    </row>
    <row r="85" spans="1:33" ht="15.75" customHeight="1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6"/>
      <c r="V85" s="1"/>
      <c r="W85" s="31"/>
      <c r="X85" s="31"/>
      <c r="Y85" s="31"/>
      <c r="Z85" s="31"/>
      <c r="AA85" s="2"/>
      <c r="AB85" s="31"/>
      <c r="AC85" s="31"/>
      <c r="AD85" s="31"/>
      <c r="AE85" s="37"/>
      <c r="AF85" s="37"/>
      <c r="AG85" s="37"/>
    </row>
    <row r="86" spans="1:33" ht="15.75" customHeight="1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6"/>
      <c r="V86" s="1"/>
      <c r="W86" s="31"/>
      <c r="X86" s="31"/>
      <c r="Y86" s="31"/>
      <c r="Z86" s="31"/>
      <c r="AA86" s="2"/>
      <c r="AB86" s="31"/>
      <c r="AC86" s="31"/>
      <c r="AD86" s="31"/>
      <c r="AE86" s="37"/>
      <c r="AF86" s="37"/>
      <c r="AG86" s="37"/>
    </row>
    <row r="87" spans="1:33" ht="15.75" customHeight="1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6"/>
      <c r="V87" s="1"/>
      <c r="W87" s="31"/>
      <c r="X87" s="31"/>
      <c r="Y87" s="31"/>
      <c r="Z87" s="31"/>
      <c r="AA87" s="2"/>
      <c r="AB87" s="31"/>
      <c r="AC87" s="31"/>
      <c r="AD87" s="31"/>
      <c r="AE87" s="37"/>
      <c r="AF87" s="37"/>
      <c r="AG87" s="37"/>
    </row>
    <row r="88" spans="1:33" ht="15.75" customHeight="1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6"/>
      <c r="V88" s="1"/>
      <c r="W88" s="31"/>
      <c r="X88" s="31"/>
      <c r="Y88" s="31"/>
      <c r="Z88" s="31"/>
      <c r="AA88" s="2"/>
      <c r="AB88" s="31"/>
      <c r="AC88" s="31"/>
      <c r="AD88" s="31"/>
      <c r="AE88" s="37"/>
      <c r="AF88" s="37"/>
      <c r="AG88" s="37"/>
    </row>
    <row r="89" spans="1:33" ht="15.75" customHeight="1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6"/>
      <c r="V89" s="1"/>
      <c r="W89" s="31"/>
      <c r="X89" s="31"/>
      <c r="Y89" s="31"/>
      <c r="Z89" s="31"/>
      <c r="AA89" s="2"/>
      <c r="AB89" s="31"/>
      <c r="AC89" s="31"/>
      <c r="AD89" s="31"/>
      <c r="AE89" s="37"/>
      <c r="AF89" s="37"/>
      <c r="AG89" s="37"/>
    </row>
    <row r="90" spans="1:33" ht="15.75" customHeight="1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6"/>
      <c r="V90" s="1"/>
      <c r="W90" s="31"/>
      <c r="X90" s="31"/>
      <c r="Y90" s="31"/>
      <c r="Z90" s="31"/>
      <c r="AA90" s="2"/>
      <c r="AB90" s="31"/>
      <c r="AC90" s="31"/>
      <c r="AD90" s="31"/>
      <c r="AE90" s="37"/>
      <c r="AF90" s="37"/>
      <c r="AG90" s="37"/>
    </row>
    <row r="91" spans="1:33" ht="15.75" customHeight="1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6"/>
      <c r="V91" s="1"/>
      <c r="W91" s="31"/>
      <c r="X91" s="31"/>
      <c r="Y91" s="31"/>
      <c r="Z91" s="31"/>
      <c r="AA91" s="2"/>
      <c r="AB91" s="31"/>
      <c r="AC91" s="31"/>
      <c r="AD91" s="31"/>
      <c r="AE91" s="37"/>
      <c r="AF91" s="37"/>
      <c r="AG91" s="37"/>
    </row>
    <row r="92" spans="1:33" ht="15.75" customHeight="1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6"/>
      <c r="V92" s="1"/>
      <c r="W92" s="31"/>
      <c r="X92" s="31"/>
      <c r="Y92" s="31"/>
      <c r="Z92" s="31"/>
      <c r="AA92" s="2"/>
      <c r="AB92" s="31"/>
      <c r="AC92" s="31"/>
      <c r="AD92" s="31"/>
      <c r="AE92" s="37"/>
      <c r="AF92" s="37"/>
      <c r="AG92" s="37"/>
    </row>
    <row r="93" spans="1:33" ht="15.75" customHeight="1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6"/>
      <c r="V93" s="1"/>
      <c r="W93" s="31"/>
      <c r="X93" s="31"/>
      <c r="Y93" s="31"/>
      <c r="Z93" s="31"/>
      <c r="AA93" s="2"/>
      <c r="AB93" s="31"/>
      <c r="AC93" s="31"/>
      <c r="AD93" s="31"/>
      <c r="AE93" s="37"/>
      <c r="AF93" s="37"/>
      <c r="AG93" s="37"/>
    </row>
    <row r="94" spans="1:33" ht="15.75" customHeight="1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6"/>
      <c r="V94" s="1"/>
      <c r="W94" s="31"/>
      <c r="X94" s="31"/>
      <c r="Y94" s="31"/>
      <c r="Z94" s="31"/>
      <c r="AA94" s="2"/>
      <c r="AB94" s="31"/>
      <c r="AC94" s="31"/>
      <c r="AD94" s="31"/>
      <c r="AE94" s="37"/>
      <c r="AF94" s="37"/>
      <c r="AG94" s="37"/>
    </row>
    <row r="95" spans="1:33" ht="15.75" customHeight="1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6"/>
      <c r="V95" s="1"/>
      <c r="W95" s="31"/>
      <c r="X95" s="31"/>
      <c r="Y95" s="31"/>
      <c r="Z95" s="31"/>
      <c r="AA95" s="2"/>
      <c r="AB95" s="31"/>
      <c r="AC95" s="31"/>
      <c r="AD95" s="31"/>
      <c r="AE95" s="37"/>
      <c r="AF95" s="37"/>
      <c r="AG95" s="37"/>
    </row>
    <row r="96" spans="1:33" ht="15.75" customHeight="1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6"/>
      <c r="V96" s="1"/>
      <c r="W96" s="31"/>
      <c r="X96" s="31"/>
      <c r="Y96" s="31"/>
      <c r="Z96" s="31"/>
      <c r="AA96" s="2"/>
      <c r="AB96" s="31"/>
      <c r="AC96" s="31"/>
      <c r="AD96" s="31"/>
      <c r="AE96" s="37"/>
      <c r="AF96" s="37"/>
      <c r="AG96" s="37"/>
    </row>
    <row r="97" spans="1:33" ht="15.75" customHeight="1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8"/>
      <c r="R97" s="38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8"/>
      <c r="R98" s="38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8"/>
      <c r="R99" s="38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8"/>
      <c r="R100" s="38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8"/>
      <c r="R101" s="38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8"/>
      <c r="R102" s="38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8"/>
      <c r="R103" s="38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8"/>
      <c r="R104" s="38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8"/>
      <c r="R105" s="38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8"/>
      <c r="R106" s="38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8"/>
      <c r="R107" s="38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8"/>
      <c r="R108" s="38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8"/>
      <c r="R109" s="38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8"/>
      <c r="R110" s="38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8"/>
      <c r="R111" s="38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8"/>
      <c r="R112" s="38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8"/>
      <c r="R113" s="38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8"/>
      <c r="R114" s="38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>
      <c r="A115" s="31"/>
      <c r="B115" s="31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>
      <c r="A116" s="31"/>
      <c r="B116" s="31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>
      <c r="A117" s="31"/>
      <c r="B117" s="31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>
      <c r="A118" s="31"/>
      <c r="B118" s="31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>
      <c r="A119" s="31"/>
      <c r="B119" s="31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>
      <c r="A120" s="31"/>
      <c r="B120" s="31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>
      <c r="A121" s="31"/>
      <c r="B121" s="31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>
      <c r="A122" s="31"/>
      <c r="B122" s="31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>
      <c r="A123" s="31"/>
      <c r="B123" s="31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>
      <c r="A124" s="31"/>
      <c r="B124" s="31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>
      <c r="A125" s="31"/>
      <c r="B125" s="31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>
      <c r="A126" s="31"/>
      <c r="B126" s="31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>
      <c r="A127" s="31"/>
      <c r="B127" s="31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>
      <c r="A128" s="31"/>
      <c r="B128" s="31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>
      <c r="A129" s="31"/>
      <c r="B129" s="31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>
      <c r="A130" s="31"/>
      <c r="B130" s="31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>
      <c r="A131" s="31"/>
      <c r="B131" s="31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>
      <c r="A132" s="31"/>
      <c r="B132" s="31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>
      <c r="A133" s="31"/>
      <c r="B133" s="31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>
      <c r="A134" s="31"/>
      <c r="B134" s="31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>
      <c r="A135" s="31"/>
      <c r="B135" s="31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>
      <c r="A136" s="31"/>
      <c r="B136" s="31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>
      <c r="A137" s="31"/>
      <c r="B137" s="31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>
      <c r="A138" s="31"/>
      <c r="B138" s="31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>
      <c r="A139" s="31"/>
      <c r="B139" s="31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>
      <c r="A140" s="31"/>
      <c r="B140" s="31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>
      <c r="A141" s="31"/>
      <c r="B141" s="31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2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>
      <c r="A142" s="31"/>
      <c r="B142" s="31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2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>
      <c r="A143" s="31"/>
      <c r="B143" s="31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2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>
      <c r="A144" s="31"/>
      <c r="B144" s="31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2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>
      <c r="A145" s="31"/>
      <c r="B145" s="31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2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>
      <c r="A146" s="31"/>
      <c r="B146" s="31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2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>
      <c r="A147" s="31"/>
      <c r="B147" s="31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2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>
      <c r="A148" s="31"/>
      <c r="B148" s="31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2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</row>
    <row r="149" spans="1:33" ht="15.75" customHeight="1">
      <c r="A149" s="14"/>
      <c r="B149" s="14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>
      <c r="A150" s="14"/>
      <c r="B150" s="14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>
      <c r="A151" s="14"/>
      <c r="B151" s="14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>
      <c r="A152" s="14"/>
      <c r="B152" s="14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>
      <c r="A153" s="14"/>
      <c r="B153" s="14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>
      <c r="A154" s="14"/>
      <c r="B154" s="14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>
      <c r="A155" s="14"/>
      <c r="B155" s="14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>
      <c r="A156" s="14"/>
      <c r="B156" s="14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>
      <c r="A157" s="14"/>
      <c r="B157" s="14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>
      <c r="A158" s="14"/>
      <c r="B158" s="14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>
      <c r="A159" s="14"/>
      <c r="B159" s="14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>
      <c r="A160" s="14"/>
      <c r="B160" s="14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>
      <c r="A161" s="14"/>
      <c r="B161" s="14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>
      <c r="A162" s="14"/>
      <c r="B162" s="14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>
      <c r="A163" s="14"/>
      <c r="B163" s="14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>
      <c r="A164" s="14"/>
      <c r="B164" s="14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>
      <c r="A165" s="14"/>
      <c r="B165" s="14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>
      <c r="A166" s="14"/>
      <c r="B166" s="14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>
      <c r="A167" s="14"/>
      <c r="B167" s="14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>
      <c r="A168" s="14"/>
      <c r="B168" s="14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>
      <c r="A169" s="14"/>
      <c r="B169" s="14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>
      <c r="A170" s="14"/>
      <c r="B170" s="14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>
      <c r="A171" s="14"/>
      <c r="B171" s="14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>
      <c r="A172" s="14"/>
      <c r="B172" s="14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>
      <c r="A173" s="14"/>
      <c r="B173" s="14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>
      <c r="A174" s="14"/>
      <c r="B174" s="14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>
      <c r="A175" s="14"/>
      <c r="B175" s="14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>
      <c r="A176" s="14"/>
      <c r="B176" s="14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>
      <c r="A177" s="14"/>
      <c r="B177" s="14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>
      <c r="A178" s="14"/>
      <c r="B178" s="14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>
      <c r="A179" s="14"/>
      <c r="B179" s="14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>
      <c r="A180" s="14"/>
      <c r="B180" s="14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>
      <c r="A181" s="14"/>
      <c r="B181" s="14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>
      <c r="A182" s="14"/>
      <c r="B182" s="14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>
      <c r="A183" s="14"/>
      <c r="B183" s="14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>
      <c r="A184" s="14"/>
      <c r="B184" s="14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>
      <c r="A185" s="14"/>
      <c r="B185" s="14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>
      <c r="A186" s="14"/>
      <c r="B186" s="14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>
      <c r="A187" s="14"/>
      <c r="B187" s="14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>
      <c r="A188" s="14"/>
      <c r="B188" s="14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>
      <c r="A189" s="14"/>
      <c r="B189" s="14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>
      <c r="A190" s="14"/>
      <c r="B190" s="14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>
      <c r="A191" s="14"/>
      <c r="B191" s="14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>
      <c r="A192" s="14"/>
      <c r="B192" s="14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>
      <c r="A193" s="14"/>
      <c r="B193" s="14"/>
      <c r="C193" s="39"/>
      <c r="D193" s="39"/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>
      <c r="A194" s="14"/>
      <c r="B194" s="14"/>
      <c r="C194" s="39"/>
      <c r="D194" s="39"/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>
      <c r="A195" s="14"/>
      <c r="B195" s="14"/>
      <c r="C195" s="39"/>
      <c r="D195" s="39"/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>
      <c r="A196" s="14"/>
      <c r="B196" s="14"/>
      <c r="C196" s="39"/>
      <c r="D196" s="39"/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>
      <c r="A197" s="14"/>
      <c r="B197" s="14"/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>
      <c r="A198" s="14"/>
      <c r="B198" s="14"/>
      <c r="C198" s="39"/>
      <c r="D198" s="39"/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>
      <c r="A199" s="14"/>
      <c r="B199" s="14"/>
      <c r="C199" s="39"/>
      <c r="D199" s="39"/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>
      <c r="A200" s="14"/>
      <c r="B200" s="14"/>
      <c r="C200" s="39"/>
      <c r="D200" s="39"/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>
      <c r="A201" s="14"/>
      <c r="B201" s="14"/>
      <c r="C201" s="39"/>
      <c r="D201" s="39"/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>
      <c r="A202" s="14"/>
      <c r="B202" s="14"/>
      <c r="C202" s="39"/>
      <c r="D202" s="39"/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>
      <c r="A203" s="14"/>
      <c r="B203" s="14"/>
      <c r="C203" s="39"/>
      <c r="D203" s="39"/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>
      <c r="A204" s="14"/>
      <c r="B204" s="14"/>
      <c r="C204" s="39"/>
      <c r="D204" s="39"/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>
      <c r="A205" s="14"/>
      <c r="B205" s="14"/>
      <c r="C205" s="39"/>
      <c r="D205" s="39"/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>
      <c r="A206" s="14"/>
      <c r="B206" s="14"/>
      <c r="C206" s="39"/>
      <c r="D206" s="39"/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>
      <c r="A207" s="14"/>
      <c r="B207" s="14"/>
      <c r="C207" s="39"/>
      <c r="D207" s="39"/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>
      <c r="A208" s="14"/>
      <c r="B208" s="14"/>
      <c r="C208" s="39"/>
      <c r="D208" s="39"/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>
      <c r="A209" s="14"/>
      <c r="B209" s="14"/>
      <c r="C209" s="39"/>
      <c r="D209" s="39"/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>
      <c r="A210" s="14"/>
      <c r="B210" s="14"/>
      <c r="C210" s="39"/>
      <c r="D210" s="39"/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>
      <c r="A211" s="14"/>
      <c r="B211" s="14"/>
      <c r="C211" s="39"/>
      <c r="D211" s="39"/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>
      <c r="A212" s="14"/>
      <c r="B212" s="14"/>
      <c r="C212" s="39"/>
      <c r="D212" s="39"/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>
      <c r="A213" s="14"/>
      <c r="B213" s="14"/>
      <c r="C213" s="39"/>
      <c r="D213" s="39"/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>
      <c r="A214" s="14"/>
      <c r="B214" s="14"/>
      <c r="C214" s="39"/>
      <c r="D214" s="39"/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>
      <c r="A215" s="14"/>
      <c r="B215" s="14"/>
      <c r="C215" s="39"/>
      <c r="D215" s="39"/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>
      <c r="A216" s="14"/>
      <c r="B216" s="14"/>
      <c r="C216" s="39"/>
      <c r="D216" s="39"/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>
      <c r="A217" s="14"/>
      <c r="B217" s="14"/>
      <c r="C217" s="39"/>
      <c r="D217" s="39"/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>
      <c r="A218" s="14"/>
      <c r="B218" s="14"/>
      <c r="C218" s="39"/>
      <c r="D218" s="39"/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>
      <c r="A219" s="14"/>
      <c r="B219" s="14"/>
      <c r="C219" s="39"/>
      <c r="D219" s="39"/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>
      <c r="A220" s="14"/>
      <c r="B220" s="14"/>
      <c r="C220" s="39"/>
      <c r="D220" s="39"/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>
      <c r="R221" s="30"/>
      <c r="S221" s="40"/>
    </row>
    <row r="222" spans="1:33" ht="15.75" customHeight="1">
      <c r="R222" s="30"/>
      <c r="S222" s="40"/>
    </row>
    <row r="223" spans="1:33" ht="15.75" customHeight="1">
      <c r="R223" s="30"/>
      <c r="S223" s="40"/>
    </row>
    <row r="224" spans="1:33" ht="15.75" customHeight="1">
      <c r="R224" s="30"/>
      <c r="S224" s="40"/>
    </row>
    <row r="225" spans="18:18" ht="15.75" customHeight="1">
      <c r="R225" s="30"/>
    </row>
    <row r="226" spans="18:18" ht="15.75" customHeight="1">
      <c r="R226" s="30"/>
    </row>
    <row r="227" spans="18:18" ht="15.75" customHeight="1">
      <c r="R227" s="30"/>
    </row>
    <row r="228" spans="18:18" ht="15.75" customHeight="1">
      <c r="R228" s="30"/>
    </row>
    <row r="229" spans="18:18" ht="15.75" customHeight="1">
      <c r="R229" s="30"/>
    </row>
    <row r="230" spans="18:18" ht="15.75" customHeight="1">
      <c r="R230" s="30"/>
    </row>
    <row r="231" spans="18:18" ht="15.75" customHeight="1">
      <c r="R231" s="30"/>
    </row>
    <row r="232" spans="18:18" ht="15.75" customHeight="1">
      <c r="R232" s="30"/>
    </row>
    <row r="233" spans="18:18" ht="15.75" customHeight="1">
      <c r="R233" s="30"/>
    </row>
    <row r="234" spans="18:18" ht="15.75" customHeight="1">
      <c r="R234" s="30"/>
    </row>
    <row r="235" spans="18:18" ht="15.75" customHeight="1">
      <c r="R235" s="30"/>
    </row>
    <row r="236" spans="18:18" ht="15.75" customHeight="1">
      <c r="R236" s="30"/>
    </row>
    <row r="237" spans="18:18" ht="15.75" customHeight="1">
      <c r="R237" s="30"/>
    </row>
    <row r="238" spans="18:18" ht="15.75" customHeight="1">
      <c r="R238" s="30"/>
    </row>
    <row r="239" spans="18:18" ht="15.75" customHeight="1">
      <c r="R239" s="30"/>
    </row>
    <row r="240" spans="18:18" ht="15.75" customHeight="1">
      <c r="R240" s="30"/>
    </row>
    <row r="241" spans="18:18" ht="15.75" customHeight="1">
      <c r="R241" s="30"/>
    </row>
    <row r="242" spans="18:18" ht="15.75" customHeight="1">
      <c r="R242" s="30"/>
    </row>
    <row r="243" spans="18:18" ht="15.75" customHeight="1">
      <c r="R243" s="30"/>
    </row>
    <row r="244" spans="18:18" ht="15.75" customHeight="1">
      <c r="R244" s="30"/>
    </row>
    <row r="245" spans="18:18" ht="15.75" customHeight="1">
      <c r="R245" s="30"/>
    </row>
    <row r="246" spans="18:18" ht="15.75" customHeight="1">
      <c r="R246" s="30"/>
    </row>
    <row r="247" spans="18:18" ht="15.75" customHeight="1">
      <c r="R247" s="30"/>
    </row>
    <row r="248" spans="18:18" ht="15.75" customHeight="1">
      <c r="R248" s="30"/>
    </row>
    <row r="249" spans="18:18" ht="15.75" customHeight="1">
      <c r="R249" s="30"/>
    </row>
    <row r="250" spans="18:18" ht="15.75" customHeight="1">
      <c r="R250" s="30"/>
    </row>
    <row r="251" spans="18:18" ht="15.75" customHeight="1">
      <c r="R251" s="30"/>
    </row>
    <row r="252" spans="18:18" ht="15.75" customHeight="1">
      <c r="R252" s="30"/>
    </row>
    <row r="253" spans="18:18" ht="15.75" customHeight="1">
      <c r="R253" s="30"/>
    </row>
    <row r="254" spans="18:18" ht="15.75" customHeight="1">
      <c r="R254" s="30"/>
    </row>
    <row r="255" spans="18:18" ht="15.75" customHeight="1">
      <c r="R255" s="30"/>
    </row>
    <row r="256" spans="18:18" ht="15.75" customHeight="1">
      <c r="R256" s="30"/>
    </row>
    <row r="257" spans="18:18" ht="15.75" customHeight="1">
      <c r="R257" s="30"/>
    </row>
    <row r="258" spans="18:18" ht="15.75" customHeight="1">
      <c r="R258" s="30"/>
    </row>
    <row r="259" spans="18:18" ht="15.75" customHeight="1">
      <c r="R259" s="30"/>
    </row>
    <row r="260" spans="18:18" ht="15.75" customHeight="1">
      <c r="R260" s="30"/>
    </row>
    <row r="261" spans="18:18" ht="15.75" customHeight="1">
      <c r="R261" s="30"/>
    </row>
    <row r="262" spans="18:18" ht="15.75" customHeight="1">
      <c r="R262" s="30"/>
    </row>
    <row r="263" spans="18:18" ht="15.75" customHeight="1">
      <c r="R263" s="30"/>
    </row>
    <row r="264" spans="18:18" ht="15.75" customHeight="1">
      <c r="R264" s="30"/>
    </row>
    <row r="265" spans="18:18" ht="15.75" customHeight="1">
      <c r="R265" s="30"/>
    </row>
    <row r="266" spans="18:18" ht="15.75" customHeight="1">
      <c r="R266" s="30"/>
    </row>
    <row r="267" spans="18:18" ht="15.75" customHeight="1">
      <c r="R267" s="30"/>
    </row>
    <row r="268" spans="18:18" ht="15.75" customHeight="1">
      <c r="R268" s="30"/>
    </row>
    <row r="269" spans="18:18" ht="15.75" customHeight="1">
      <c r="R269" s="30"/>
    </row>
    <row r="270" spans="18:18" ht="15.75" customHeight="1">
      <c r="R270" s="30"/>
    </row>
    <row r="271" spans="18:18" ht="15.75" customHeight="1">
      <c r="R271" s="30"/>
    </row>
    <row r="272" spans="18:18" ht="15.75" customHeight="1">
      <c r="R272" s="30"/>
    </row>
    <row r="273" spans="18:18" ht="15.75" customHeight="1">
      <c r="R273" s="30"/>
    </row>
    <row r="274" spans="18:18" ht="15.75" customHeight="1">
      <c r="R274" s="30"/>
    </row>
    <row r="275" spans="18:18" ht="15.75" customHeight="1">
      <c r="R275" s="30"/>
    </row>
    <row r="276" spans="18:18" ht="15.75" customHeight="1">
      <c r="R276" s="30"/>
    </row>
    <row r="277" spans="18:18" ht="15.75" customHeight="1">
      <c r="R277" s="30"/>
    </row>
    <row r="278" spans="18:18" ht="15.75" customHeight="1">
      <c r="R278" s="30"/>
    </row>
    <row r="279" spans="18:18" ht="15.75" customHeight="1">
      <c r="R279" s="30"/>
    </row>
    <row r="280" spans="18:18" ht="15.75" customHeight="1">
      <c r="R280" s="30"/>
    </row>
    <row r="281" spans="18:18" ht="15.75" customHeight="1">
      <c r="R281" s="30"/>
    </row>
    <row r="282" spans="18:18" ht="15.75" customHeight="1">
      <c r="R282" s="30"/>
    </row>
    <row r="283" spans="18:18" ht="15.75" customHeight="1">
      <c r="R283" s="30"/>
    </row>
    <row r="284" spans="18:18" ht="15.75" customHeight="1">
      <c r="R284" s="30"/>
    </row>
    <row r="285" spans="18:18" ht="15.75" customHeight="1">
      <c r="R285" s="30"/>
    </row>
    <row r="286" spans="18:18" ht="15.75" customHeight="1">
      <c r="R286" s="30"/>
    </row>
    <row r="287" spans="18:18" ht="15.75" customHeight="1">
      <c r="R287" s="30"/>
    </row>
    <row r="288" spans="18:18" ht="15.75" customHeight="1">
      <c r="R288" s="30"/>
    </row>
    <row r="289" spans="18:18" ht="15.75" customHeight="1">
      <c r="R289" s="30"/>
    </row>
    <row r="290" spans="18:18" ht="15.75" customHeight="1">
      <c r="R290" s="30"/>
    </row>
    <row r="291" spans="18:18" ht="15.75" customHeight="1">
      <c r="R291" s="30"/>
    </row>
    <row r="292" spans="18:18" ht="15.75" customHeight="1">
      <c r="R292" s="30"/>
    </row>
    <row r="293" spans="18:18" ht="15.75" customHeight="1">
      <c r="R293" s="30"/>
    </row>
    <row r="294" spans="18:18" ht="15.75" customHeight="1">
      <c r="R294" s="30"/>
    </row>
    <row r="295" spans="18:18" ht="15.75" customHeight="1">
      <c r="R295" s="30"/>
    </row>
    <row r="296" spans="18:18" ht="15.75" customHeight="1">
      <c r="R296" s="30"/>
    </row>
    <row r="297" spans="18:18" ht="15.75" customHeight="1">
      <c r="R297" s="30"/>
    </row>
    <row r="298" spans="18:18" ht="15.75" customHeight="1">
      <c r="R298" s="30"/>
    </row>
    <row r="299" spans="18:18" ht="15.75" customHeight="1">
      <c r="R299" s="30"/>
    </row>
    <row r="300" spans="18:18" ht="15.75" customHeight="1">
      <c r="R300" s="30"/>
    </row>
    <row r="301" spans="18:18" ht="15.75" customHeight="1">
      <c r="R301" s="30"/>
    </row>
    <row r="302" spans="18:18" ht="15.75" customHeight="1">
      <c r="R302" s="30"/>
    </row>
    <row r="303" spans="18:18" ht="15.75" customHeight="1">
      <c r="R303" s="30"/>
    </row>
    <row r="304" spans="18:18" ht="15.75" customHeight="1">
      <c r="R304" s="30"/>
    </row>
    <row r="305" spans="18:18" ht="15.75" customHeight="1">
      <c r="R305" s="30"/>
    </row>
    <row r="306" spans="18:18" ht="15.75" customHeight="1">
      <c r="R306" s="30"/>
    </row>
    <row r="307" spans="18:18" ht="15.75" customHeight="1">
      <c r="R307" s="30"/>
    </row>
    <row r="308" spans="18:18" ht="15.75" customHeight="1">
      <c r="R308" s="30"/>
    </row>
    <row r="309" spans="18:18" ht="15.75" customHeight="1">
      <c r="R309" s="30"/>
    </row>
    <row r="310" spans="18:18" ht="15.75" customHeight="1">
      <c r="R310" s="30"/>
    </row>
    <row r="311" spans="18:18" ht="15.75" customHeight="1">
      <c r="R311" s="30"/>
    </row>
    <row r="312" spans="18:18" ht="15.75" customHeight="1">
      <c r="R312" s="30"/>
    </row>
    <row r="313" spans="18:18" ht="15.75" customHeight="1">
      <c r="R313" s="30"/>
    </row>
    <row r="314" spans="18:18" ht="15.75" customHeight="1">
      <c r="R314" s="30"/>
    </row>
    <row r="315" spans="18:18" ht="15.75" customHeight="1">
      <c r="R315" s="30"/>
    </row>
    <row r="316" spans="18:18" ht="15.75" customHeight="1">
      <c r="R316" s="30"/>
    </row>
    <row r="317" spans="18:18" ht="15.75" customHeight="1">
      <c r="R317" s="30"/>
    </row>
    <row r="318" spans="18:18" ht="15.75" customHeight="1">
      <c r="R318" s="30"/>
    </row>
    <row r="319" spans="18:18" ht="15.75" customHeight="1">
      <c r="R319" s="30"/>
    </row>
    <row r="320" spans="18:18" ht="15.75" customHeight="1">
      <c r="R320" s="30"/>
    </row>
    <row r="321" spans="18:18" ht="15.75" customHeight="1">
      <c r="R321" s="30"/>
    </row>
    <row r="322" spans="18:18" ht="15.75" customHeight="1">
      <c r="R322" s="30"/>
    </row>
    <row r="323" spans="18:18" ht="15.75" customHeight="1">
      <c r="R323" s="30"/>
    </row>
    <row r="324" spans="18:18" ht="15.75" customHeight="1">
      <c r="R324" s="30"/>
    </row>
    <row r="325" spans="18:18" ht="15.75" customHeight="1">
      <c r="R325" s="30"/>
    </row>
    <row r="326" spans="18:18" ht="15.75" customHeight="1">
      <c r="R326" s="30"/>
    </row>
    <row r="327" spans="18:18" ht="15.75" customHeight="1">
      <c r="R327" s="30"/>
    </row>
    <row r="328" spans="18:18" ht="15.75" customHeight="1">
      <c r="R328" s="30"/>
    </row>
    <row r="329" spans="18:18" ht="15.75" customHeight="1">
      <c r="R329" s="30"/>
    </row>
    <row r="330" spans="18:18" ht="15.75" customHeight="1">
      <c r="R330" s="30"/>
    </row>
    <row r="331" spans="18:18" ht="15.75" customHeight="1">
      <c r="R331" s="30"/>
    </row>
    <row r="332" spans="18:18" ht="15.75" customHeight="1">
      <c r="R332" s="30"/>
    </row>
    <row r="333" spans="18:18" ht="15.75" customHeight="1">
      <c r="R333" s="30"/>
    </row>
    <row r="334" spans="18:18" ht="15.75" customHeight="1">
      <c r="R334" s="30"/>
    </row>
    <row r="335" spans="18:18" ht="15.75" customHeight="1">
      <c r="R335" s="30"/>
    </row>
    <row r="336" spans="18:18" ht="15.75" customHeight="1">
      <c r="R336" s="30"/>
    </row>
    <row r="337" spans="18:18" ht="15.75" customHeight="1">
      <c r="R337" s="30"/>
    </row>
    <row r="338" spans="18:18" ht="15.75" customHeight="1">
      <c r="R338" s="30"/>
    </row>
    <row r="339" spans="18:18" ht="15.75" customHeight="1">
      <c r="R339" s="30"/>
    </row>
    <row r="340" spans="18:18" ht="15.75" customHeight="1">
      <c r="R340" s="30"/>
    </row>
    <row r="341" spans="18:18" ht="15.75" customHeight="1">
      <c r="R341" s="30"/>
    </row>
    <row r="342" spans="18:18" ht="15.75" customHeight="1">
      <c r="R342" s="30"/>
    </row>
    <row r="343" spans="18:18" ht="15.75" customHeight="1">
      <c r="R343" s="30"/>
    </row>
    <row r="344" spans="18:18" ht="15.75" customHeight="1">
      <c r="R344" s="30"/>
    </row>
    <row r="345" spans="18:18" ht="15.75" customHeight="1">
      <c r="R345" s="30"/>
    </row>
    <row r="346" spans="18:18" ht="15.75" customHeight="1">
      <c r="R346" s="30"/>
    </row>
    <row r="347" spans="18:18" ht="15.75" customHeight="1">
      <c r="R347" s="30"/>
    </row>
    <row r="348" spans="18:18" ht="15.75" customHeight="1">
      <c r="R348" s="30"/>
    </row>
    <row r="349" spans="18:18" ht="15.75" customHeight="1">
      <c r="R349" s="30"/>
    </row>
    <row r="350" spans="18:18" ht="15.75" customHeight="1">
      <c r="R350" s="30"/>
    </row>
    <row r="351" spans="18:18" ht="15.75" customHeight="1">
      <c r="R351" s="30"/>
    </row>
    <row r="352" spans="18:18" ht="15.75" customHeight="1">
      <c r="R352" s="30"/>
    </row>
    <row r="353" spans="18:18" ht="15.75" customHeight="1">
      <c r="R353" s="30"/>
    </row>
    <row r="354" spans="18:18" ht="15.75" customHeight="1">
      <c r="R354" s="30"/>
    </row>
    <row r="355" spans="18:18" ht="15.75" customHeight="1">
      <c r="R355" s="30"/>
    </row>
    <row r="356" spans="18:18" ht="15.75" customHeight="1">
      <c r="R356" s="30"/>
    </row>
    <row r="357" spans="18:18" ht="15.75" customHeight="1">
      <c r="R357" s="30"/>
    </row>
    <row r="358" spans="18:18" ht="15.75" customHeight="1">
      <c r="R358" s="30"/>
    </row>
    <row r="359" spans="18:18" ht="15.75" customHeight="1">
      <c r="R359" s="30"/>
    </row>
    <row r="360" spans="18:18" ht="15.75" customHeight="1">
      <c r="R360" s="30"/>
    </row>
    <row r="361" spans="18:18" ht="15.75" customHeight="1">
      <c r="R361" s="30"/>
    </row>
    <row r="362" spans="18:18" ht="15.75" customHeight="1">
      <c r="R362" s="30"/>
    </row>
    <row r="363" spans="18:18" ht="15.75" customHeight="1">
      <c r="R363" s="30"/>
    </row>
    <row r="364" spans="18:18" ht="15.75" customHeight="1">
      <c r="R364" s="30"/>
    </row>
    <row r="365" spans="18:18" ht="15.75" customHeight="1">
      <c r="R365" s="30"/>
    </row>
    <row r="366" spans="18:18" ht="15.75" customHeight="1">
      <c r="R366" s="30"/>
    </row>
    <row r="367" spans="18:18" ht="15.75" customHeight="1">
      <c r="R367" s="30"/>
    </row>
    <row r="368" spans="18:18" ht="15.75" customHeight="1">
      <c r="R368" s="30"/>
    </row>
    <row r="369" spans="18:18" ht="15.75" customHeight="1">
      <c r="R369" s="30"/>
    </row>
    <row r="370" spans="18:18" ht="15.75" customHeight="1">
      <c r="R370" s="30"/>
    </row>
    <row r="371" spans="18:18" ht="15.75" customHeight="1">
      <c r="R371" s="30"/>
    </row>
    <row r="372" spans="18:18" ht="15.75" customHeight="1">
      <c r="R372" s="30"/>
    </row>
    <row r="373" spans="18:18" ht="15.75" customHeight="1">
      <c r="R373" s="30"/>
    </row>
    <row r="374" spans="18:18" ht="15.75" customHeight="1">
      <c r="R374" s="30"/>
    </row>
    <row r="375" spans="18:18" ht="15.75" customHeight="1">
      <c r="R375" s="30"/>
    </row>
    <row r="376" spans="18:18" ht="15.75" customHeight="1">
      <c r="R376" s="30"/>
    </row>
    <row r="377" spans="18:18" ht="15.75" customHeight="1">
      <c r="R377" s="30"/>
    </row>
    <row r="378" spans="18:18" ht="15.75" customHeight="1">
      <c r="R378" s="30"/>
    </row>
    <row r="379" spans="18:18" ht="15.75" customHeight="1">
      <c r="R379" s="30"/>
    </row>
    <row r="380" spans="18:18" ht="15.75" customHeight="1">
      <c r="R380" s="30"/>
    </row>
    <row r="381" spans="18:18" ht="15.75" customHeight="1">
      <c r="R381" s="30"/>
    </row>
    <row r="382" spans="18:18" ht="15.75" customHeight="1">
      <c r="R382" s="30"/>
    </row>
    <row r="383" spans="18:18" ht="15.75" customHeight="1">
      <c r="R383" s="30"/>
    </row>
    <row r="384" spans="18:18" ht="15.75" customHeight="1">
      <c r="R384" s="30"/>
    </row>
    <row r="385" spans="18:18" ht="15.75" customHeight="1">
      <c r="R385" s="30"/>
    </row>
    <row r="386" spans="18:18" ht="15.75" customHeight="1">
      <c r="R386" s="30"/>
    </row>
    <row r="387" spans="18:18" ht="15.75" customHeight="1">
      <c r="R387" s="30"/>
    </row>
    <row r="388" spans="18:18" ht="15.75" customHeight="1">
      <c r="R388" s="30"/>
    </row>
    <row r="389" spans="18:18" ht="15.75" customHeight="1">
      <c r="R389" s="30"/>
    </row>
    <row r="390" spans="18:18" ht="15.75" customHeight="1">
      <c r="R390" s="30"/>
    </row>
    <row r="391" spans="18:18" ht="15.75" customHeight="1">
      <c r="R391" s="30"/>
    </row>
    <row r="392" spans="18:18" ht="15.75" customHeight="1">
      <c r="R392" s="30"/>
    </row>
    <row r="393" spans="18:18" ht="15.75" customHeight="1">
      <c r="R393" s="30"/>
    </row>
    <row r="394" spans="18:18" ht="15.75" customHeight="1">
      <c r="R394" s="30"/>
    </row>
    <row r="395" spans="18:18" ht="15.75" customHeight="1">
      <c r="R395" s="30"/>
    </row>
    <row r="396" spans="18:18" ht="15.75" customHeight="1">
      <c r="R396" s="30"/>
    </row>
    <row r="397" spans="18:18" ht="15.75" customHeight="1">
      <c r="R397" s="30"/>
    </row>
    <row r="398" spans="18:18" ht="15.75" customHeight="1">
      <c r="R398" s="30"/>
    </row>
    <row r="399" spans="18:18" ht="15.75" customHeight="1">
      <c r="R399" s="30"/>
    </row>
    <row r="400" spans="18:18" ht="15.75" customHeight="1">
      <c r="R400" s="30"/>
    </row>
    <row r="401" spans="18:18" ht="15.75" customHeight="1">
      <c r="R401" s="30"/>
    </row>
    <row r="402" spans="18:18" ht="15.75" customHeight="1">
      <c r="R402" s="30"/>
    </row>
    <row r="403" spans="18:18" ht="15.75" customHeight="1">
      <c r="R403" s="30"/>
    </row>
    <row r="404" spans="18:18" ht="15.75" customHeight="1">
      <c r="R404" s="30"/>
    </row>
    <row r="405" spans="18:18" ht="15.75" customHeight="1">
      <c r="R405" s="30"/>
    </row>
    <row r="406" spans="18:18" ht="15.75" customHeight="1">
      <c r="R406" s="30"/>
    </row>
    <row r="407" spans="18:18" ht="15.75" customHeight="1">
      <c r="R407" s="30"/>
    </row>
    <row r="408" spans="18:18" ht="15.75" customHeight="1">
      <c r="R408" s="30"/>
    </row>
    <row r="409" spans="18:18" ht="15.75" customHeight="1">
      <c r="R409" s="30"/>
    </row>
    <row r="410" spans="18:18" ht="15.75" customHeight="1">
      <c r="R410" s="30"/>
    </row>
    <row r="411" spans="18:18" ht="15.75" customHeight="1">
      <c r="R411" s="30"/>
    </row>
    <row r="412" spans="18:18" ht="15.75" customHeight="1">
      <c r="R412" s="30"/>
    </row>
    <row r="413" spans="18:18" ht="15.75" customHeight="1">
      <c r="R413" s="30"/>
    </row>
    <row r="414" spans="18:18" ht="15.75" customHeight="1">
      <c r="R414" s="30"/>
    </row>
    <row r="415" spans="18:18" ht="15.75" customHeight="1">
      <c r="R415" s="30"/>
    </row>
    <row r="416" spans="18:18" ht="15.75" customHeight="1">
      <c r="R416" s="30"/>
    </row>
    <row r="417" spans="18:18" ht="15.75" customHeight="1">
      <c r="R417" s="30"/>
    </row>
    <row r="418" spans="18:18" ht="15.75" customHeight="1">
      <c r="R418" s="30"/>
    </row>
    <row r="419" spans="18:18" ht="15.75" customHeight="1">
      <c r="R419" s="30"/>
    </row>
    <row r="420" spans="18:18" ht="15.75" customHeight="1">
      <c r="R420" s="30"/>
    </row>
    <row r="421" spans="18:18" ht="15.75" customHeight="1">
      <c r="R421" s="30"/>
    </row>
    <row r="422" spans="18:18" ht="15.75" customHeight="1">
      <c r="R422" s="30"/>
    </row>
    <row r="423" spans="18:18" ht="15.75" customHeight="1">
      <c r="R423" s="30"/>
    </row>
    <row r="424" spans="18:18" ht="15.75" customHeight="1">
      <c r="R424" s="30"/>
    </row>
    <row r="425" spans="18:18" ht="15.75" customHeight="1">
      <c r="R425" s="30"/>
    </row>
    <row r="426" spans="18:18" ht="15.75" customHeight="1">
      <c r="R426" s="30"/>
    </row>
    <row r="427" spans="18:18" ht="15.75" customHeight="1">
      <c r="R427" s="30"/>
    </row>
    <row r="428" spans="18:18" ht="15.75" customHeight="1">
      <c r="R428" s="30"/>
    </row>
    <row r="429" spans="18:18" ht="15.75" customHeight="1">
      <c r="R429" s="30"/>
    </row>
    <row r="430" spans="18:18" ht="15.75" customHeight="1">
      <c r="R430" s="30"/>
    </row>
    <row r="431" spans="18:18" ht="15.75" customHeight="1">
      <c r="R431" s="30"/>
    </row>
    <row r="432" spans="18:18" ht="15.75" customHeight="1">
      <c r="R432" s="30"/>
    </row>
    <row r="433" spans="18:18" ht="15.75" customHeight="1">
      <c r="R433" s="30"/>
    </row>
    <row r="434" spans="18:18" ht="15.75" customHeight="1">
      <c r="R434" s="30"/>
    </row>
    <row r="435" spans="18:18" ht="15.75" customHeight="1">
      <c r="R435" s="30"/>
    </row>
    <row r="436" spans="18:18" ht="15.75" customHeight="1">
      <c r="R436" s="30"/>
    </row>
    <row r="437" spans="18:18" ht="15.75" customHeight="1">
      <c r="R437" s="30"/>
    </row>
    <row r="438" spans="18:18" ht="15.75" customHeight="1">
      <c r="R438" s="30"/>
    </row>
    <row r="439" spans="18:18" ht="15.75" customHeight="1">
      <c r="R439" s="30"/>
    </row>
    <row r="440" spans="18:18" ht="15.75" customHeight="1">
      <c r="R440" s="30"/>
    </row>
    <row r="441" spans="18:18" ht="15.75" customHeight="1">
      <c r="R441" s="30"/>
    </row>
    <row r="442" spans="18:18" ht="15.75" customHeight="1">
      <c r="R442" s="30"/>
    </row>
    <row r="443" spans="18:18" ht="15.75" customHeight="1">
      <c r="R443" s="30"/>
    </row>
    <row r="444" spans="18:18" ht="15.75" customHeight="1">
      <c r="R444" s="30"/>
    </row>
    <row r="445" spans="18:18" ht="15.75" customHeight="1">
      <c r="R445" s="30"/>
    </row>
    <row r="446" spans="18:18" ht="15.75" customHeight="1">
      <c r="R446" s="30"/>
    </row>
    <row r="447" spans="18:18" ht="15.75" customHeight="1">
      <c r="R447" s="30"/>
    </row>
    <row r="448" spans="18:18" ht="15.75" customHeight="1">
      <c r="R448" s="30"/>
    </row>
    <row r="449" spans="18:18" ht="15.75" customHeight="1">
      <c r="R449" s="30"/>
    </row>
    <row r="450" spans="18:18" ht="15.75" customHeight="1">
      <c r="R450" s="30"/>
    </row>
    <row r="451" spans="18:18" ht="15.75" customHeight="1">
      <c r="R451" s="30"/>
    </row>
    <row r="452" spans="18:18" ht="15.75" customHeight="1">
      <c r="R452" s="30"/>
    </row>
    <row r="453" spans="18:18" ht="15.75" customHeight="1">
      <c r="R453" s="30"/>
    </row>
    <row r="454" spans="18:18" ht="15.75" customHeight="1">
      <c r="R454" s="30"/>
    </row>
    <row r="455" spans="18:18" ht="15.75" customHeight="1">
      <c r="R455" s="30"/>
    </row>
    <row r="456" spans="18:18" ht="15.75" customHeight="1">
      <c r="R456" s="30"/>
    </row>
    <row r="457" spans="18:18" ht="15.75" customHeight="1">
      <c r="R457" s="30"/>
    </row>
    <row r="458" spans="18:18" ht="15.75" customHeight="1">
      <c r="R458" s="30"/>
    </row>
    <row r="459" spans="18:18" ht="15.75" customHeight="1">
      <c r="R459" s="30"/>
    </row>
    <row r="460" spans="18:18" ht="15.75" customHeight="1">
      <c r="R460" s="30"/>
    </row>
    <row r="461" spans="18:18" ht="15.75" customHeight="1">
      <c r="R461" s="30"/>
    </row>
    <row r="462" spans="18:18" ht="15.75" customHeight="1">
      <c r="R462" s="30"/>
    </row>
    <row r="463" spans="18:18" ht="15.75" customHeight="1">
      <c r="R463" s="30"/>
    </row>
    <row r="464" spans="18:18" ht="15.75" customHeight="1">
      <c r="R464" s="30"/>
    </row>
    <row r="465" spans="18:18" ht="15.75" customHeight="1">
      <c r="R465" s="30"/>
    </row>
    <row r="466" spans="18:18" ht="15.75" customHeight="1">
      <c r="R466" s="30"/>
    </row>
    <row r="467" spans="18:18" ht="15.75" customHeight="1">
      <c r="R467" s="30"/>
    </row>
    <row r="468" spans="18:18" ht="15.75" customHeight="1">
      <c r="R468" s="30"/>
    </row>
    <row r="469" spans="18:18" ht="15.75" customHeight="1">
      <c r="R469" s="30"/>
    </row>
    <row r="470" spans="18:18" ht="15.75" customHeight="1">
      <c r="R470" s="30"/>
    </row>
    <row r="471" spans="18:18" ht="15.75" customHeight="1">
      <c r="R471" s="30"/>
    </row>
    <row r="472" spans="18:18" ht="15.75" customHeight="1">
      <c r="R472" s="30"/>
    </row>
    <row r="473" spans="18:18" ht="15.75" customHeight="1">
      <c r="R473" s="30"/>
    </row>
    <row r="474" spans="18:18" ht="15.75" customHeight="1">
      <c r="R474" s="30"/>
    </row>
    <row r="475" spans="18:18" ht="15.75" customHeight="1">
      <c r="R475" s="30"/>
    </row>
    <row r="476" spans="18:18" ht="15.75" customHeight="1">
      <c r="R476" s="30"/>
    </row>
    <row r="477" spans="18:18" ht="15.75" customHeight="1">
      <c r="R477" s="30"/>
    </row>
    <row r="478" spans="18:18" ht="15.75" customHeight="1">
      <c r="R478" s="30"/>
    </row>
    <row r="479" spans="18:18" ht="15.75" customHeight="1">
      <c r="R479" s="30"/>
    </row>
    <row r="480" spans="18:18" ht="15.75" customHeight="1">
      <c r="R480" s="30"/>
    </row>
    <row r="481" spans="18:18" ht="15.75" customHeight="1">
      <c r="R481" s="30"/>
    </row>
    <row r="482" spans="18:18" ht="15.75" customHeight="1">
      <c r="R482" s="30"/>
    </row>
    <row r="483" spans="18:18" ht="15.75" customHeight="1">
      <c r="R483" s="30"/>
    </row>
    <row r="484" spans="18:18" ht="15.75" customHeight="1">
      <c r="R484" s="30"/>
    </row>
    <row r="485" spans="18:18" ht="15.75" customHeight="1">
      <c r="R485" s="30"/>
    </row>
    <row r="486" spans="18:18" ht="15.75" customHeight="1">
      <c r="R486" s="30"/>
    </row>
    <row r="487" spans="18:18" ht="15.75" customHeight="1">
      <c r="R487" s="30"/>
    </row>
    <row r="488" spans="18:18" ht="15.75" customHeight="1">
      <c r="R488" s="30"/>
    </row>
    <row r="489" spans="18:18" ht="15.75" customHeight="1">
      <c r="R489" s="30"/>
    </row>
    <row r="490" spans="18:18" ht="15.75" customHeight="1">
      <c r="R490" s="30"/>
    </row>
    <row r="491" spans="18:18" ht="15.75" customHeight="1">
      <c r="R491" s="30"/>
    </row>
    <row r="492" spans="18:18" ht="15.75" customHeight="1">
      <c r="R492" s="30"/>
    </row>
    <row r="493" spans="18:18" ht="15.75" customHeight="1">
      <c r="R493" s="30"/>
    </row>
    <row r="494" spans="18:18" ht="15.75" customHeight="1">
      <c r="R494" s="30"/>
    </row>
    <row r="495" spans="18:18" ht="15.75" customHeight="1">
      <c r="R495" s="30"/>
    </row>
    <row r="496" spans="18:18" ht="15.75" customHeight="1">
      <c r="R496" s="30"/>
    </row>
    <row r="497" spans="18:18" ht="15.75" customHeight="1">
      <c r="R497" s="30"/>
    </row>
    <row r="498" spans="18:18" ht="15.75" customHeight="1">
      <c r="R498" s="30"/>
    </row>
    <row r="499" spans="18:18" ht="15.75" customHeight="1">
      <c r="R499" s="30"/>
    </row>
    <row r="500" spans="18:18" ht="15.75" customHeight="1">
      <c r="R500" s="30"/>
    </row>
    <row r="501" spans="18:18" ht="15.75" customHeight="1">
      <c r="R501" s="30"/>
    </row>
    <row r="502" spans="18:18" ht="15.75" customHeight="1">
      <c r="R502" s="30"/>
    </row>
    <row r="503" spans="18:18" ht="15.75" customHeight="1">
      <c r="R503" s="30"/>
    </row>
    <row r="504" spans="18:18" ht="15.75" customHeight="1">
      <c r="R504" s="30"/>
    </row>
    <row r="505" spans="18:18" ht="15.75" customHeight="1">
      <c r="R505" s="30"/>
    </row>
    <row r="506" spans="18:18" ht="15.75" customHeight="1">
      <c r="R506" s="30"/>
    </row>
    <row r="507" spans="18:18" ht="15.75" customHeight="1">
      <c r="R507" s="30"/>
    </row>
    <row r="508" spans="18:18" ht="15.75" customHeight="1">
      <c r="R508" s="30"/>
    </row>
    <row r="509" spans="18:18" ht="15.75" customHeight="1">
      <c r="R509" s="30"/>
    </row>
    <row r="510" spans="18:18" ht="15.75" customHeight="1">
      <c r="R510" s="30"/>
    </row>
    <row r="511" spans="18:18" ht="15.75" customHeight="1">
      <c r="R511" s="30"/>
    </row>
    <row r="512" spans="18:18" ht="15.75" customHeight="1">
      <c r="R512" s="30"/>
    </row>
    <row r="513" spans="18:18" ht="15.75" customHeight="1">
      <c r="R513" s="30"/>
    </row>
    <row r="514" spans="18:18" ht="15.75" customHeight="1">
      <c r="R514" s="30"/>
    </row>
    <row r="515" spans="18:18" ht="15.75" customHeight="1">
      <c r="R515" s="30"/>
    </row>
    <row r="516" spans="18:18" ht="15.75" customHeight="1">
      <c r="R516" s="30"/>
    </row>
    <row r="517" spans="18:18" ht="15.75" customHeight="1">
      <c r="R517" s="30"/>
    </row>
    <row r="518" spans="18:18" ht="15.75" customHeight="1">
      <c r="R518" s="30"/>
    </row>
    <row r="519" spans="18:18" ht="15.75" customHeight="1">
      <c r="R519" s="30"/>
    </row>
    <row r="520" spans="18:18" ht="15.75" customHeight="1">
      <c r="R520" s="30"/>
    </row>
    <row r="521" spans="18:18" ht="15.75" customHeight="1">
      <c r="R521" s="30"/>
    </row>
    <row r="522" spans="18:18" ht="15.75" customHeight="1">
      <c r="R522" s="30"/>
    </row>
    <row r="523" spans="18:18" ht="15.75" customHeight="1">
      <c r="R523" s="30"/>
    </row>
    <row r="524" spans="18:18" ht="15.75" customHeight="1">
      <c r="R524" s="30"/>
    </row>
    <row r="525" spans="18:18" ht="15.75" customHeight="1">
      <c r="R525" s="30"/>
    </row>
    <row r="526" spans="18:18" ht="15.75" customHeight="1">
      <c r="R526" s="30"/>
    </row>
    <row r="527" spans="18:18" ht="15.75" customHeight="1">
      <c r="R527" s="30"/>
    </row>
    <row r="528" spans="18:18" ht="15.75" customHeight="1">
      <c r="R528" s="30"/>
    </row>
    <row r="529" spans="18:18" ht="15.75" customHeight="1">
      <c r="R529" s="30"/>
    </row>
    <row r="530" spans="18:18" ht="15.75" customHeight="1">
      <c r="R530" s="30"/>
    </row>
    <row r="531" spans="18:18" ht="15.75" customHeight="1">
      <c r="R531" s="30"/>
    </row>
    <row r="532" spans="18:18" ht="15.75" customHeight="1">
      <c r="R532" s="30"/>
    </row>
    <row r="533" spans="18:18" ht="15.75" customHeight="1">
      <c r="R533" s="30"/>
    </row>
    <row r="534" spans="18:18" ht="15.75" customHeight="1">
      <c r="R534" s="30"/>
    </row>
    <row r="535" spans="18:18" ht="15.75" customHeight="1">
      <c r="R535" s="30"/>
    </row>
    <row r="536" spans="18:18" ht="15.75" customHeight="1">
      <c r="R536" s="30"/>
    </row>
    <row r="537" spans="18:18" ht="15.75" customHeight="1">
      <c r="R537" s="30"/>
    </row>
    <row r="538" spans="18:18" ht="15.75" customHeight="1">
      <c r="R538" s="30"/>
    </row>
    <row r="539" spans="18:18" ht="15.75" customHeight="1">
      <c r="R539" s="30"/>
    </row>
    <row r="540" spans="18:18" ht="15.75" customHeight="1">
      <c r="R540" s="30"/>
    </row>
    <row r="541" spans="18:18" ht="15.75" customHeight="1">
      <c r="R541" s="30"/>
    </row>
    <row r="542" spans="18:18" ht="15.75" customHeight="1">
      <c r="R542" s="30"/>
    </row>
    <row r="543" spans="18:18" ht="15.75" customHeight="1">
      <c r="R543" s="30"/>
    </row>
    <row r="544" spans="18:18" ht="15.75" customHeight="1">
      <c r="R544" s="30"/>
    </row>
    <row r="545" spans="18:18" ht="15.75" customHeight="1">
      <c r="R545" s="30"/>
    </row>
    <row r="546" spans="18:18" ht="15.75" customHeight="1">
      <c r="R546" s="30"/>
    </row>
    <row r="547" spans="18:18" ht="15.75" customHeight="1">
      <c r="R547" s="30"/>
    </row>
    <row r="548" spans="18:18" ht="15.75" customHeight="1">
      <c r="R548" s="30"/>
    </row>
    <row r="549" spans="18:18" ht="15.75" customHeight="1">
      <c r="R549" s="30"/>
    </row>
    <row r="550" spans="18:18" ht="15.75" customHeight="1">
      <c r="R550" s="30"/>
    </row>
    <row r="551" spans="18:18" ht="15.75" customHeight="1">
      <c r="R551" s="30"/>
    </row>
    <row r="552" spans="18:18" ht="15.75" customHeight="1">
      <c r="R552" s="30"/>
    </row>
    <row r="553" spans="18:18" ht="15.75" customHeight="1">
      <c r="R553" s="30"/>
    </row>
    <row r="554" spans="18:18" ht="15.75" customHeight="1">
      <c r="R554" s="30"/>
    </row>
    <row r="555" spans="18:18" ht="15.75" customHeight="1">
      <c r="R555" s="30"/>
    </row>
    <row r="556" spans="18:18" ht="15.75" customHeight="1">
      <c r="R556" s="30"/>
    </row>
    <row r="557" spans="18:18" ht="15.75" customHeight="1">
      <c r="R557" s="30"/>
    </row>
    <row r="558" spans="18:18" ht="15.75" customHeight="1">
      <c r="R558" s="30"/>
    </row>
    <row r="559" spans="18:18" ht="15.75" customHeight="1">
      <c r="R559" s="30"/>
    </row>
    <row r="560" spans="18:18" ht="15.75" customHeight="1">
      <c r="R560" s="30"/>
    </row>
    <row r="561" spans="18:18" ht="15.75" customHeight="1">
      <c r="R561" s="30"/>
    </row>
    <row r="562" spans="18:18" ht="15.75" customHeight="1">
      <c r="R562" s="30"/>
    </row>
    <row r="563" spans="18:18" ht="15.75" customHeight="1">
      <c r="R563" s="30"/>
    </row>
    <row r="564" spans="18:18" ht="15.75" customHeight="1">
      <c r="R564" s="30"/>
    </row>
    <row r="565" spans="18:18" ht="15.75" customHeight="1">
      <c r="R565" s="30"/>
    </row>
    <row r="566" spans="18:18" ht="15.75" customHeight="1">
      <c r="R566" s="30"/>
    </row>
    <row r="567" spans="18:18" ht="15.75" customHeight="1">
      <c r="R567" s="30"/>
    </row>
    <row r="568" spans="18:18" ht="15.75" customHeight="1">
      <c r="R568" s="30"/>
    </row>
    <row r="569" spans="18:18" ht="15.75" customHeight="1">
      <c r="R569" s="30"/>
    </row>
    <row r="570" spans="18:18" ht="15.75" customHeight="1">
      <c r="R570" s="30"/>
    </row>
    <row r="571" spans="18:18" ht="15.75" customHeight="1">
      <c r="R571" s="30"/>
    </row>
    <row r="572" spans="18:18" ht="15.75" customHeight="1">
      <c r="R572" s="30"/>
    </row>
    <row r="573" spans="18:18" ht="15.75" customHeight="1">
      <c r="R573" s="30"/>
    </row>
    <row r="574" spans="18:18" ht="15.75" customHeight="1">
      <c r="R574" s="30"/>
    </row>
    <row r="575" spans="18:18" ht="15.75" customHeight="1">
      <c r="R575" s="30"/>
    </row>
    <row r="576" spans="18:18" ht="15.75" customHeight="1">
      <c r="R576" s="30"/>
    </row>
    <row r="577" spans="18:18" ht="15.75" customHeight="1">
      <c r="R577" s="30"/>
    </row>
    <row r="578" spans="18:18" ht="15.75" customHeight="1">
      <c r="R578" s="30"/>
    </row>
    <row r="579" spans="18:18" ht="15.75" customHeight="1">
      <c r="R579" s="30"/>
    </row>
    <row r="580" spans="18:18" ht="15.75" customHeight="1">
      <c r="R580" s="30"/>
    </row>
    <row r="581" spans="18:18" ht="15.75" customHeight="1">
      <c r="R581" s="30"/>
    </row>
    <row r="582" spans="18:18" ht="15.75" customHeight="1">
      <c r="R582" s="30"/>
    </row>
    <row r="583" spans="18:18" ht="15.75" customHeight="1">
      <c r="R583" s="30"/>
    </row>
    <row r="584" spans="18:18" ht="15.75" customHeight="1">
      <c r="R584" s="30"/>
    </row>
    <row r="585" spans="18:18" ht="15.75" customHeight="1">
      <c r="R585" s="30"/>
    </row>
    <row r="586" spans="18:18" ht="15.75" customHeight="1">
      <c r="R586" s="30"/>
    </row>
    <row r="587" spans="18:18" ht="15.75" customHeight="1">
      <c r="R587" s="30"/>
    </row>
    <row r="588" spans="18:18" ht="15.75" customHeight="1">
      <c r="R588" s="30"/>
    </row>
    <row r="589" spans="18:18" ht="15.75" customHeight="1">
      <c r="R589" s="30"/>
    </row>
    <row r="590" spans="18:18" ht="15.75" customHeight="1">
      <c r="R590" s="30"/>
    </row>
    <row r="591" spans="18:18" ht="15.75" customHeight="1">
      <c r="R591" s="30"/>
    </row>
    <row r="592" spans="18:18" ht="15.75" customHeight="1">
      <c r="R592" s="30"/>
    </row>
    <row r="593" spans="18:18" ht="15.75" customHeight="1">
      <c r="R593" s="30"/>
    </row>
    <row r="594" spans="18:18" ht="15.75" customHeight="1">
      <c r="R594" s="30"/>
    </row>
    <row r="595" spans="18:18" ht="15.75" customHeight="1">
      <c r="R595" s="30"/>
    </row>
    <row r="596" spans="18:18" ht="15.75" customHeight="1">
      <c r="R596" s="30"/>
    </row>
    <row r="597" spans="18:18" ht="15.75" customHeight="1">
      <c r="R597" s="30"/>
    </row>
    <row r="598" spans="18:18" ht="15.75" customHeight="1">
      <c r="R598" s="30"/>
    </row>
    <row r="599" spans="18:18" ht="15.75" customHeight="1">
      <c r="R599" s="30"/>
    </row>
    <row r="600" spans="18:18" ht="15.75" customHeight="1">
      <c r="R600" s="30"/>
    </row>
    <row r="601" spans="18:18" ht="15.75" customHeight="1">
      <c r="R601" s="30"/>
    </row>
    <row r="602" spans="18:18" ht="15.75" customHeight="1">
      <c r="R602" s="30"/>
    </row>
    <row r="603" spans="18:18" ht="15.75" customHeight="1">
      <c r="R603" s="30"/>
    </row>
    <row r="604" spans="18:18" ht="15.75" customHeight="1">
      <c r="R604" s="30"/>
    </row>
    <row r="605" spans="18:18" ht="15.75" customHeight="1">
      <c r="R605" s="30"/>
    </row>
    <row r="606" spans="18:18" ht="15.75" customHeight="1">
      <c r="R606" s="30"/>
    </row>
    <row r="607" spans="18:18" ht="15.75" customHeight="1">
      <c r="R607" s="30"/>
    </row>
    <row r="608" spans="18:18" ht="15.75" customHeight="1">
      <c r="R608" s="30"/>
    </row>
    <row r="609" spans="18:18" ht="15.75" customHeight="1">
      <c r="R609" s="30"/>
    </row>
    <row r="610" spans="18:18" ht="15.75" customHeight="1">
      <c r="R610" s="30"/>
    </row>
    <row r="611" spans="18:18" ht="15.75" customHeight="1">
      <c r="R611" s="30"/>
    </row>
    <row r="612" spans="18:18" ht="15.75" customHeight="1">
      <c r="R612" s="30"/>
    </row>
    <row r="613" spans="18:18" ht="15.75" customHeight="1">
      <c r="R613" s="30"/>
    </row>
    <row r="614" spans="18:18" ht="15.75" customHeight="1">
      <c r="R614" s="30"/>
    </row>
    <row r="615" spans="18:18" ht="15.75" customHeight="1">
      <c r="R615" s="30"/>
    </row>
    <row r="616" spans="18:18" ht="15.75" customHeight="1">
      <c r="R616" s="30"/>
    </row>
    <row r="617" spans="18:18" ht="15.75" customHeight="1">
      <c r="R617" s="30"/>
    </row>
    <row r="618" spans="18:18" ht="15.75" customHeight="1">
      <c r="R618" s="30"/>
    </row>
    <row r="619" spans="18:18" ht="15.75" customHeight="1">
      <c r="R619" s="30"/>
    </row>
    <row r="620" spans="18:18" ht="15.75" customHeight="1">
      <c r="R620" s="30"/>
    </row>
    <row r="621" spans="18:18" ht="15.75" customHeight="1">
      <c r="R621" s="30"/>
    </row>
    <row r="622" spans="18:18" ht="15.75" customHeight="1">
      <c r="R622" s="30"/>
    </row>
    <row r="623" spans="18:18" ht="15.75" customHeight="1">
      <c r="R623" s="30"/>
    </row>
    <row r="624" spans="18:18" ht="15.75" customHeight="1">
      <c r="R624" s="30"/>
    </row>
    <row r="625" spans="18:18" ht="15.75" customHeight="1">
      <c r="R625" s="30"/>
    </row>
    <row r="626" spans="18:18" ht="15.75" customHeight="1">
      <c r="R626" s="30"/>
    </row>
    <row r="627" spans="18:18" ht="15.75" customHeight="1">
      <c r="R627" s="30"/>
    </row>
    <row r="628" spans="18:18" ht="15.75" customHeight="1">
      <c r="R628" s="30"/>
    </row>
    <row r="629" spans="18:18" ht="15.75" customHeight="1">
      <c r="R629" s="30"/>
    </row>
    <row r="630" spans="18:18" ht="15.75" customHeight="1">
      <c r="R630" s="30"/>
    </row>
    <row r="631" spans="18:18" ht="15.75" customHeight="1">
      <c r="R631" s="30"/>
    </row>
    <row r="632" spans="18:18" ht="15.75" customHeight="1">
      <c r="R632" s="30"/>
    </row>
    <row r="633" spans="18:18" ht="15.75" customHeight="1">
      <c r="R633" s="30"/>
    </row>
    <row r="634" spans="18:18" ht="15.75" customHeight="1">
      <c r="R634" s="30"/>
    </row>
    <row r="635" spans="18:18" ht="15.75" customHeight="1">
      <c r="R635" s="30"/>
    </row>
    <row r="636" spans="18:18" ht="15.75" customHeight="1">
      <c r="R636" s="30"/>
    </row>
    <row r="637" spans="18:18" ht="15.75" customHeight="1">
      <c r="R637" s="30"/>
    </row>
    <row r="638" spans="18:18" ht="15.75" customHeight="1">
      <c r="R638" s="30"/>
    </row>
    <row r="639" spans="18:18" ht="15.75" customHeight="1">
      <c r="R639" s="30"/>
    </row>
    <row r="640" spans="18:18" ht="15.75" customHeight="1">
      <c r="R640" s="30"/>
    </row>
    <row r="641" spans="18:18" ht="15.75" customHeight="1">
      <c r="R641" s="30"/>
    </row>
    <row r="642" spans="18:18" ht="15.75" customHeight="1">
      <c r="R642" s="30"/>
    </row>
    <row r="643" spans="18:18" ht="15.75" customHeight="1">
      <c r="R643" s="30"/>
    </row>
    <row r="644" spans="18:18" ht="15.75" customHeight="1">
      <c r="R644" s="30"/>
    </row>
    <row r="645" spans="18:18" ht="15.75" customHeight="1">
      <c r="R645" s="30"/>
    </row>
    <row r="646" spans="18:18" ht="15.75" customHeight="1">
      <c r="R646" s="30"/>
    </row>
    <row r="647" spans="18:18" ht="15.75" customHeight="1">
      <c r="R647" s="30"/>
    </row>
    <row r="648" spans="18:18" ht="15.75" customHeight="1">
      <c r="R648" s="30"/>
    </row>
    <row r="649" spans="18:18" ht="15.75" customHeight="1">
      <c r="R649" s="30"/>
    </row>
    <row r="650" spans="18:18" ht="15.75" customHeight="1">
      <c r="R650" s="30"/>
    </row>
    <row r="651" spans="18:18" ht="15.75" customHeight="1">
      <c r="R651" s="30"/>
    </row>
    <row r="652" spans="18:18" ht="15.75" customHeight="1">
      <c r="R652" s="30"/>
    </row>
    <row r="653" spans="18:18" ht="15.75" customHeight="1">
      <c r="R653" s="30"/>
    </row>
    <row r="654" spans="18:18" ht="15.75" customHeight="1">
      <c r="R654" s="30"/>
    </row>
    <row r="655" spans="18:18" ht="15.75" customHeight="1">
      <c r="R655" s="30"/>
    </row>
    <row r="656" spans="18:18" ht="15.75" customHeight="1">
      <c r="R656" s="30"/>
    </row>
    <row r="657" spans="18:18" ht="15.75" customHeight="1">
      <c r="R657" s="30"/>
    </row>
    <row r="658" spans="18:18" ht="15.75" customHeight="1">
      <c r="R658" s="30"/>
    </row>
    <row r="659" spans="18:18" ht="15.75" customHeight="1">
      <c r="R659" s="30"/>
    </row>
    <row r="660" spans="18:18" ht="15.75" customHeight="1">
      <c r="R660" s="30"/>
    </row>
    <row r="661" spans="18:18" ht="15.75" customHeight="1">
      <c r="R661" s="30"/>
    </row>
    <row r="662" spans="18:18" ht="15.75" customHeight="1">
      <c r="R662" s="30"/>
    </row>
    <row r="663" spans="18:18" ht="15.75" customHeight="1">
      <c r="R663" s="30"/>
    </row>
    <row r="664" spans="18:18" ht="15.75" customHeight="1">
      <c r="R664" s="30"/>
    </row>
    <row r="665" spans="18:18" ht="15.75" customHeight="1">
      <c r="R665" s="30"/>
    </row>
    <row r="666" spans="18:18" ht="15.75" customHeight="1">
      <c r="R666" s="30"/>
    </row>
    <row r="667" spans="18:18" ht="15.75" customHeight="1">
      <c r="R667" s="30"/>
    </row>
    <row r="668" spans="18:18" ht="15.75" customHeight="1">
      <c r="R668" s="30"/>
    </row>
    <row r="669" spans="18:18" ht="15.75" customHeight="1">
      <c r="R669" s="30"/>
    </row>
    <row r="670" spans="18:18" ht="15.75" customHeight="1">
      <c r="R670" s="30"/>
    </row>
    <row r="671" spans="18:18" ht="15.75" customHeight="1">
      <c r="R671" s="30"/>
    </row>
    <row r="672" spans="18:18" ht="15.75" customHeight="1">
      <c r="R672" s="30"/>
    </row>
    <row r="673" spans="18:18" ht="15.75" customHeight="1">
      <c r="R673" s="30"/>
    </row>
    <row r="674" spans="18:18" ht="15.75" customHeight="1">
      <c r="R674" s="30"/>
    </row>
    <row r="675" spans="18:18" ht="15.75" customHeight="1">
      <c r="R675" s="30"/>
    </row>
    <row r="676" spans="18:18" ht="15.75" customHeight="1">
      <c r="R676" s="30"/>
    </row>
    <row r="677" spans="18:18" ht="15.75" customHeight="1">
      <c r="R677" s="30"/>
    </row>
    <row r="678" spans="18:18" ht="15.75" customHeight="1">
      <c r="R678" s="30"/>
    </row>
    <row r="679" spans="18:18" ht="15.75" customHeight="1">
      <c r="R679" s="30"/>
    </row>
    <row r="680" spans="18:18" ht="15.75" customHeight="1">
      <c r="R680" s="30"/>
    </row>
    <row r="681" spans="18:18" ht="15.75" customHeight="1">
      <c r="R681" s="30"/>
    </row>
    <row r="682" spans="18:18" ht="15.75" customHeight="1">
      <c r="R682" s="30"/>
    </row>
    <row r="683" spans="18:18" ht="15.75" customHeight="1">
      <c r="R683" s="30"/>
    </row>
    <row r="684" spans="18:18" ht="15.75" customHeight="1">
      <c r="R684" s="30"/>
    </row>
    <row r="685" spans="18:18" ht="15.75" customHeight="1">
      <c r="R685" s="30"/>
    </row>
    <row r="686" spans="18:18" ht="15.75" customHeight="1">
      <c r="R686" s="30"/>
    </row>
    <row r="687" spans="18:18" ht="15.75" customHeight="1">
      <c r="R687" s="30"/>
    </row>
    <row r="688" spans="18:18" ht="15.75" customHeight="1">
      <c r="R688" s="30"/>
    </row>
    <row r="689" spans="18:18" ht="15.75" customHeight="1">
      <c r="R689" s="30"/>
    </row>
    <row r="690" spans="18:18" ht="15.75" customHeight="1">
      <c r="R690" s="30"/>
    </row>
    <row r="691" spans="18:18" ht="15.75" customHeight="1">
      <c r="R691" s="30"/>
    </row>
    <row r="692" spans="18:18" ht="15.75" customHeight="1">
      <c r="R692" s="30"/>
    </row>
    <row r="693" spans="18:18" ht="15.75" customHeight="1">
      <c r="R693" s="30"/>
    </row>
    <row r="694" spans="18:18" ht="15.75" customHeight="1">
      <c r="R694" s="30"/>
    </row>
    <row r="695" spans="18:18" ht="15.75" customHeight="1">
      <c r="R695" s="30"/>
    </row>
    <row r="696" spans="18:18" ht="15.75" customHeight="1">
      <c r="R696" s="30"/>
    </row>
    <row r="697" spans="18:18" ht="15.75" customHeight="1">
      <c r="R697" s="30"/>
    </row>
    <row r="698" spans="18:18" ht="15.75" customHeight="1">
      <c r="R698" s="30"/>
    </row>
    <row r="699" spans="18:18" ht="15.75" customHeight="1">
      <c r="R699" s="30"/>
    </row>
    <row r="700" spans="18:18" ht="15.75" customHeight="1">
      <c r="R700" s="30"/>
    </row>
    <row r="701" spans="18:18" ht="15.75" customHeight="1">
      <c r="R701" s="30"/>
    </row>
    <row r="702" spans="18:18" ht="15.75" customHeight="1">
      <c r="R702" s="30"/>
    </row>
    <row r="703" spans="18:18" ht="15.75" customHeight="1">
      <c r="R703" s="30"/>
    </row>
    <row r="704" spans="18:18" ht="15.75" customHeight="1">
      <c r="R704" s="30"/>
    </row>
    <row r="705" spans="18:18" ht="15.75" customHeight="1">
      <c r="R705" s="30"/>
    </row>
    <row r="706" spans="18:18" ht="15.75" customHeight="1">
      <c r="R706" s="30"/>
    </row>
    <row r="707" spans="18:18" ht="15.75" customHeight="1">
      <c r="R707" s="30"/>
    </row>
    <row r="708" spans="18:18" ht="15.75" customHeight="1">
      <c r="R708" s="30"/>
    </row>
    <row r="709" spans="18:18" ht="15.75" customHeight="1">
      <c r="R709" s="30"/>
    </row>
    <row r="710" spans="18:18" ht="15.75" customHeight="1">
      <c r="R710" s="30"/>
    </row>
    <row r="711" spans="18:18" ht="15.75" customHeight="1">
      <c r="R711" s="30"/>
    </row>
    <row r="712" spans="18:18" ht="15.75" customHeight="1">
      <c r="R712" s="30"/>
    </row>
    <row r="713" spans="18:18" ht="15.75" customHeight="1">
      <c r="R713" s="30"/>
    </row>
    <row r="714" spans="18:18" ht="15.75" customHeight="1">
      <c r="R714" s="30"/>
    </row>
    <row r="715" spans="18:18" ht="15.75" customHeight="1">
      <c r="R715" s="30"/>
    </row>
    <row r="716" spans="18:18" ht="15.75" customHeight="1">
      <c r="R716" s="30"/>
    </row>
    <row r="717" spans="18:18" ht="15.75" customHeight="1">
      <c r="R717" s="30"/>
    </row>
    <row r="718" spans="18:18" ht="15.75" customHeight="1">
      <c r="R718" s="30"/>
    </row>
    <row r="719" spans="18:18" ht="15.75" customHeight="1">
      <c r="R719" s="30"/>
    </row>
    <row r="720" spans="18:18" ht="15.75" customHeight="1">
      <c r="R720" s="30"/>
    </row>
    <row r="721" spans="18:18" ht="15.75" customHeight="1">
      <c r="R721" s="30"/>
    </row>
    <row r="722" spans="18:18" ht="15.75" customHeight="1">
      <c r="R722" s="30"/>
    </row>
    <row r="723" spans="18:18" ht="15.75" customHeight="1">
      <c r="R723" s="30"/>
    </row>
    <row r="724" spans="18:18" ht="15.75" customHeight="1">
      <c r="R724" s="30"/>
    </row>
    <row r="725" spans="18:18" ht="15.75" customHeight="1">
      <c r="R725" s="30"/>
    </row>
    <row r="726" spans="18:18" ht="15.75" customHeight="1">
      <c r="R726" s="30"/>
    </row>
    <row r="727" spans="18:18" ht="15.75" customHeight="1">
      <c r="R727" s="30"/>
    </row>
    <row r="728" spans="18:18" ht="15.75" customHeight="1">
      <c r="R728" s="30"/>
    </row>
    <row r="729" spans="18:18" ht="15.75" customHeight="1">
      <c r="R729" s="30"/>
    </row>
    <row r="730" spans="18:18" ht="15.75" customHeight="1">
      <c r="R730" s="30"/>
    </row>
    <row r="731" spans="18:18" ht="15.75" customHeight="1">
      <c r="R731" s="30"/>
    </row>
    <row r="732" spans="18:18" ht="15.75" customHeight="1">
      <c r="R732" s="30"/>
    </row>
    <row r="733" spans="18:18" ht="15.75" customHeight="1">
      <c r="R733" s="30"/>
    </row>
    <row r="734" spans="18:18" ht="15.75" customHeight="1">
      <c r="R734" s="30"/>
    </row>
    <row r="735" spans="18:18" ht="15.75" customHeight="1">
      <c r="R735" s="30"/>
    </row>
    <row r="736" spans="18:18" ht="15.75" customHeight="1">
      <c r="R736" s="30"/>
    </row>
    <row r="737" spans="18:18" ht="15.75" customHeight="1">
      <c r="R737" s="30"/>
    </row>
    <row r="738" spans="18:18" ht="15.75" customHeight="1">
      <c r="R738" s="30"/>
    </row>
    <row r="739" spans="18:18" ht="15.75" customHeight="1">
      <c r="R739" s="30"/>
    </row>
    <row r="740" spans="18:18" ht="15.75" customHeight="1">
      <c r="R740" s="30"/>
    </row>
    <row r="741" spans="18:18" ht="15.75" customHeight="1">
      <c r="R741" s="30"/>
    </row>
    <row r="742" spans="18:18" ht="15.75" customHeight="1">
      <c r="R742" s="30"/>
    </row>
    <row r="743" spans="18:18" ht="15.75" customHeight="1">
      <c r="R743" s="30"/>
    </row>
    <row r="744" spans="18:18" ht="15.75" customHeight="1">
      <c r="R744" s="30"/>
    </row>
    <row r="745" spans="18:18" ht="15.75" customHeight="1">
      <c r="R745" s="30"/>
    </row>
    <row r="746" spans="18:18" ht="15.75" customHeight="1">
      <c r="R746" s="30"/>
    </row>
    <row r="747" spans="18:18" ht="15.75" customHeight="1">
      <c r="R747" s="30"/>
    </row>
    <row r="748" spans="18:18" ht="15.75" customHeight="1">
      <c r="R748" s="30"/>
    </row>
    <row r="749" spans="18:18" ht="15.75" customHeight="1">
      <c r="R749" s="30"/>
    </row>
    <row r="750" spans="18:18" ht="15.75" customHeight="1">
      <c r="R750" s="30"/>
    </row>
    <row r="751" spans="18:18" ht="15.75" customHeight="1">
      <c r="R751" s="30"/>
    </row>
    <row r="752" spans="18:18" ht="15.75" customHeight="1">
      <c r="R752" s="30"/>
    </row>
    <row r="753" spans="18:18" ht="15.75" customHeight="1">
      <c r="R753" s="30"/>
    </row>
    <row r="754" spans="18:18" ht="15.75" customHeight="1">
      <c r="R754" s="30"/>
    </row>
    <row r="755" spans="18:18" ht="15.75" customHeight="1">
      <c r="R755" s="30"/>
    </row>
    <row r="756" spans="18:18" ht="15.75" customHeight="1">
      <c r="R756" s="30"/>
    </row>
    <row r="757" spans="18:18" ht="15.75" customHeight="1">
      <c r="R757" s="30"/>
    </row>
    <row r="758" spans="18:18" ht="15.75" customHeight="1">
      <c r="R758" s="30"/>
    </row>
    <row r="759" spans="18:18" ht="15.75" customHeight="1">
      <c r="R759" s="30"/>
    </row>
    <row r="760" spans="18:18" ht="15.75" customHeight="1">
      <c r="R760" s="30"/>
    </row>
    <row r="761" spans="18:18" ht="15.75" customHeight="1">
      <c r="R761" s="30"/>
    </row>
    <row r="762" spans="18:18" ht="15.75" customHeight="1">
      <c r="R762" s="30"/>
    </row>
    <row r="763" spans="18:18" ht="15.75" customHeight="1">
      <c r="R763" s="30"/>
    </row>
    <row r="764" spans="18:18" ht="15.75" customHeight="1">
      <c r="R764" s="30"/>
    </row>
    <row r="765" spans="18:18" ht="15.75" customHeight="1">
      <c r="R765" s="30"/>
    </row>
    <row r="766" spans="18:18" ht="15.75" customHeight="1">
      <c r="R766" s="30"/>
    </row>
    <row r="767" spans="18:18" ht="15.75" customHeight="1">
      <c r="R767" s="30"/>
    </row>
    <row r="768" spans="18:18" ht="15.75" customHeight="1">
      <c r="R768" s="30"/>
    </row>
    <row r="769" spans="18:18" ht="15.75" customHeight="1">
      <c r="R769" s="30"/>
    </row>
    <row r="770" spans="18:18" ht="15.75" customHeight="1">
      <c r="R770" s="30"/>
    </row>
    <row r="771" spans="18:18" ht="15.75" customHeight="1">
      <c r="R771" s="30"/>
    </row>
    <row r="772" spans="18:18" ht="15.75" customHeight="1">
      <c r="R772" s="30"/>
    </row>
    <row r="773" spans="18:18" ht="15.75" customHeight="1">
      <c r="R773" s="30"/>
    </row>
    <row r="774" spans="18:18" ht="15.75" customHeight="1">
      <c r="R774" s="30"/>
    </row>
    <row r="775" spans="18:18" ht="15.75" customHeight="1">
      <c r="R775" s="30"/>
    </row>
    <row r="776" spans="18:18" ht="15.75" customHeight="1">
      <c r="R776" s="30"/>
    </row>
    <row r="777" spans="18:18" ht="15.75" customHeight="1">
      <c r="R777" s="30"/>
    </row>
    <row r="778" spans="18:18" ht="15.75" customHeight="1">
      <c r="R778" s="30"/>
    </row>
    <row r="779" spans="18:18" ht="15.75" customHeight="1">
      <c r="R779" s="30"/>
    </row>
    <row r="780" spans="18:18" ht="15.75" customHeight="1">
      <c r="R780" s="30"/>
    </row>
    <row r="781" spans="18:18" ht="15.75" customHeight="1">
      <c r="R781" s="30"/>
    </row>
    <row r="782" spans="18:18" ht="15.75" customHeight="1">
      <c r="R782" s="30"/>
    </row>
    <row r="783" spans="18:18" ht="15.75" customHeight="1">
      <c r="R783" s="30"/>
    </row>
    <row r="784" spans="18:18" ht="15.75" customHeight="1">
      <c r="R784" s="30"/>
    </row>
    <row r="785" spans="18:18" ht="15.75" customHeight="1">
      <c r="R785" s="30"/>
    </row>
    <row r="786" spans="18:18" ht="15.75" customHeight="1">
      <c r="R786" s="30"/>
    </row>
    <row r="787" spans="18:18" ht="15.75" customHeight="1">
      <c r="R787" s="30"/>
    </row>
    <row r="788" spans="18:18" ht="15.75" customHeight="1">
      <c r="R788" s="30"/>
    </row>
    <row r="789" spans="18:18" ht="15.75" customHeight="1">
      <c r="R789" s="30"/>
    </row>
    <row r="790" spans="18:18" ht="15.75" customHeight="1">
      <c r="R790" s="30"/>
    </row>
    <row r="791" spans="18:18" ht="15.75" customHeight="1">
      <c r="R791" s="30"/>
    </row>
    <row r="792" spans="18:18" ht="15.75" customHeight="1">
      <c r="R792" s="30"/>
    </row>
    <row r="793" spans="18:18" ht="15.75" customHeight="1">
      <c r="R793" s="30"/>
    </row>
    <row r="794" spans="18:18" ht="15.75" customHeight="1">
      <c r="R794" s="30"/>
    </row>
    <row r="795" spans="18:18" ht="15.75" customHeight="1">
      <c r="R795" s="30"/>
    </row>
    <row r="796" spans="18:18" ht="15.75" customHeight="1">
      <c r="R796" s="30"/>
    </row>
    <row r="797" spans="18:18" ht="15.75" customHeight="1">
      <c r="R797" s="30"/>
    </row>
    <row r="798" spans="18:18" ht="15.75" customHeight="1">
      <c r="R798" s="30"/>
    </row>
    <row r="799" spans="18:18" ht="15.75" customHeight="1">
      <c r="R799" s="30"/>
    </row>
    <row r="800" spans="18:18" ht="15.75" customHeight="1">
      <c r="R800" s="30"/>
    </row>
    <row r="801" spans="18:18" ht="15.75" customHeight="1">
      <c r="R801" s="30"/>
    </row>
    <row r="802" spans="18:18" ht="15.75" customHeight="1">
      <c r="R802" s="30"/>
    </row>
    <row r="803" spans="18:18" ht="15.75" customHeight="1">
      <c r="R803" s="30"/>
    </row>
    <row r="804" spans="18:18" ht="15.75" customHeight="1">
      <c r="R804" s="30"/>
    </row>
    <row r="805" spans="18:18" ht="15.75" customHeight="1">
      <c r="R805" s="30"/>
    </row>
    <row r="806" spans="18:18" ht="15.75" customHeight="1">
      <c r="R806" s="30"/>
    </row>
    <row r="807" spans="18:18" ht="15.75" customHeight="1">
      <c r="R807" s="30"/>
    </row>
    <row r="808" spans="18:18" ht="15.75" customHeight="1">
      <c r="R808" s="30"/>
    </row>
    <row r="809" spans="18:18" ht="15.75" customHeight="1">
      <c r="R809" s="30"/>
    </row>
    <row r="810" spans="18:18" ht="15.75" customHeight="1">
      <c r="R810" s="30"/>
    </row>
    <row r="811" spans="18:18" ht="15.75" customHeight="1">
      <c r="R811" s="30"/>
    </row>
    <row r="812" spans="18:18" ht="15.75" customHeight="1">
      <c r="R812" s="30"/>
    </row>
    <row r="813" spans="18:18" ht="15.75" customHeight="1">
      <c r="R813" s="30"/>
    </row>
    <row r="814" spans="18:18" ht="15.75" customHeight="1">
      <c r="R814" s="30"/>
    </row>
    <row r="815" spans="18:18" ht="15.75" customHeight="1">
      <c r="R815" s="30"/>
    </row>
    <row r="816" spans="18:18" ht="15.75" customHeight="1">
      <c r="R816" s="30"/>
    </row>
    <row r="817" spans="18:18" ht="15.75" customHeight="1">
      <c r="R817" s="30"/>
    </row>
    <row r="818" spans="18:18" ht="15.75" customHeight="1">
      <c r="R818" s="30"/>
    </row>
    <row r="819" spans="18:18" ht="15.75" customHeight="1">
      <c r="R819" s="30"/>
    </row>
    <row r="820" spans="18:18" ht="15.75" customHeight="1">
      <c r="R820" s="30"/>
    </row>
    <row r="821" spans="18:18" ht="15.75" customHeight="1">
      <c r="R821" s="30"/>
    </row>
    <row r="822" spans="18:18" ht="15.75" customHeight="1">
      <c r="R822" s="30"/>
    </row>
    <row r="823" spans="18:18" ht="15.75" customHeight="1">
      <c r="R823" s="30"/>
    </row>
    <row r="824" spans="18:18" ht="15.75" customHeight="1">
      <c r="R824" s="30"/>
    </row>
    <row r="825" spans="18:18" ht="15.75" customHeight="1">
      <c r="R825" s="30"/>
    </row>
    <row r="826" spans="18:18" ht="15.75" customHeight="1">
      <c r="R826" s="30"/>
    </row>
    <row r="827" spans="18:18" ht="15.75" customHeight="1">
      <c r="R827" s="30"/>
    </row>
    <row r="828" spans="18:18" ht="15.75" customHeight="1">
      <c r="R828" s="30"/>
    </row>
    <row r="829" spans="18:18" ht="15.75" customHeight="1">
      <c r="R829" s="30"/>
    </row>
    <row r="830" spans="18:18" ht="15.75" customHeight="1">
      <c r="R830" s="30"/>
    </row>
    <row r="831" spans="18:18" ht="15.75" customHeight="1">
      <c r="R831" s="30"/>
    </row>
    <row r="832" spans="18:18" ht="15.75" customHeight="1">
      <c r="R832" s="30"/>
    </row>
    <row r="833" spans="18:18" ht="15.75" customHeight="1">
      <c r="R833" s="30"/>
    </row>
    <row r="834" spans="18:18" ht="15.75" customHeight="1">
      <c r="R834" s="30"/>
    </row>
    <row r="835" spans="18:18" ht="15.75" customHeight="1">
      <c r="R835" s="30"/>
    </row>
    <row r="836" spans="18:18" ht="15.75" customHeight="1">
      <c r="R836" s="30"/>
    </row>
    <row r="837" spans="18:18" ht="15.75" customHeight="1">
      <c r="R837" s="30"/>
    </row>
    <row r="838" spans="18:18" ht="15.75" customHeight="1">
      <c r="R838" s="30"/>
    </row>
    <row r="839" spans="18:18" ht="15.75" customHeight="1">
      <c r="R839" s="30"/>
    </row>
    <row r="840" spans="18:18" ht="15.75" customHeight="1">
      <c r="R840" s="30"/>
    </row>
    <row r="841" spans="18:18" ht="15.75" customHeight="1">
      <c r="R841" s="30"/>
    </row>
    <row r="842" spans="18:18" ht="15.75" customHeight="1">
      <c r="R842" s="30"/>
    </row>
    <row r="843" spans="18:18" ht="15.75" customHeight="1">
      <c r="R843" s="30"/>
    </row>
    <row r="844" spans="18:18" ht="15.75" customHeight="1">
      <c r="R844" s="30"/>
    </row>
    <row r="845" spans="18:18" ht="15.75" customHeight="1">
      <c r="R845" s="30"/>
    </row>
    <row r="846" spans="18:18" ht="15.75" customHeight="1">
      <c r="R846" s="30"/>
    </row>
    <row r="847" spans="18:18" ht="15.75" customHeight="1">
      <c r="R847" s="30"/>
    </row>
    <row r="848" spans="18:18" ht="15.75" customHeight="1">
      <c r="R848" s="30"/>
    </row>
    <row r="849" spans="18:18" ht="15.75" customHeight="1">
      <c r="R849" s="30"/>
    </row>
    <row r="850" spans="18:18" ht="15.75" customHeight="1">
      <c r="R850" s="30"/>
    </row>
    <row r="851" spans="18:18" ht="15.75" customHeight="1">
      <c r="R851" s="30"/>
    </row>
    <row r="852" spans="18:18" ht="15.75" customHeight="1">
      <c r="R852" s="30"/>
    </row>
    <row r="853" spans="18:18" ht="15.75" customHeight="1">
      <c r="R853" s="30"/>
    </row>
    <row r="854" spans="18:18" ht="15.75" customHeight="1">
      <c r="R854" s="30"/>
    </row>
    <row r="855" spans="18:18" ht="15.75" customHeight="1">
      <c r="R855" s="30"/>
    </row>
    <row r="856" spans="18:18" ht="15.75" customHeight="1">
      <c r="R856" s="30"/>
    </row>
    <row r="857" spans="18:18" ht="15.75" customHeight="1">
      <c r="R857" s="30"/>
    </row>
    <row r="858" spans="18:18" ht="15.75" customHeight="1">
      <c r="R858" s="30"/>
    </row>
    <row r="859" spans="18:18" ht="15.75" customHeight="1">
      <c r="R859" s="30"/>
    </row>
    <row r="860" spans="18:18" ht="15.75" customHeight="1">
      <c r="R860" s="30"/>
    </row>
    <row r="861" spans="18:18" ht="15.75" customHeight="1">
      <c r="R861" s="30"/>
    </row>
    <row r="862" spans="18:18" ht="15.75" customHeight="1">
      <c r="R862" s="30"/>
    </row>
    <row r="863" spans="18:18" ht="15.75" customHeight="1">
      <c r="R863" s="30"/>
    </row>
    <row r="864" spans="18:18" ht="15.75" customHeight="1">
      <c r="R864" s="30"/>
    </row>
    <row r="865" spans="18:18" ht="15.75" customHeight="1">
      <c r="R865" s="30"/>
    </row>
    <row r="866" spans="18:18" ht="15.75" customHeight="1">
      <c r="R866" s="30"/>
    </row>
    <row r="867" spans="18:18" ht="15.75" customHeight="1">
      <c r="R867" s="30"/>
    </row>
    <row r="868" spans="18:18" ht="15.75" customHeight="1">
      <c r="R868" s="30"/>
    </row>
    <row r="869" spans="18:18" ht="15.75" customHeight="1">
      <c r="R869" s="30"/>
    </row>
    <row r="870" spans="18:18" ht="15.75" customHeight="1">
      <c r="R870" s="30"/>
    </row>
    <row r="871" spans="18:18" ht="15.75" customHeight="1">
      <c r="R871" s="30"/>
    </row>
    <row r="872" spans="18:18" ht="15.75" customHeight="1">
      <c r="R872" s="30"/>
    </row>
    <row r="873" spans="18:18" ht="15.75" customHeight="1">
      <c r="R873" s="30"/>
    </row>
    <row r="874" spans="18:18" ht="15.75" customHeight="1">
      <c r="R874" s="30"/>
    </row>
    <row r="875" spans="18:18" ht="15.75" customHeight="1">
      <c r="R875" s="30"/>
    </row>
    <row r="876" spans="18:18" ht="15.75" customHeight="1">
      <c r="R876" s="30"/>
    </row>
    <row r="877" spans="18:18" ht="15.75" customHeight="1">
      <c r="R877" s="30"/>
    </row>
    <row r="878" spans="18:18" ht="15.75" customHeight="1">
      <c r="R878" s="30"/>
    </row>
    <row r="879" spans="18:18" ht="15.75" customHeight="1">
      <c r="R879" s="30"/>
    </row>
    <row r="880" spans="18:18" ht="15.75" customHeight="1">
      <c r="R880" s="30"/>
    </row>
    <row r="881" spans="18:18" ht="15.75" customHeight="1">
      <c r="R881" s="30"/>
    </row>
    <row r="882" spans="18:18" ht="15.75" customHeight="1">
      <c r="R882" s="30"/>
    </row>
    <row r="883" spans="18:18" ht="15.75" customHeight="1">
      <c r="R883" s="30"/>
    </row>
    <row r="884" spans="18:18" ht="15.75" customHeight="1">
      <c r="R884" s="30"/>
    </row>
    <row r="885" spans="18:18" ht="15.75" customHeight="1">
      <c r="R885" s="30"/>
    </row>
    <row r="886" spans="18:18" ht="15.75" customHeight="1">
      <c r="R886" s="30"/>
    </row>
    <row r="887" spans="18:18" ht="15.75" customHeight="1">
      <c r="R887" s="30"/>
    </row>
    <row r="888" spans="18:18" ht="15.75" customHeight="1">
      <c r="R888" s="30"/>
    </row>
    <row r="889" spans="18:18" ht="15.75" customHeight="1">
      <c r="R889" s="30"/>
    </row>
    <row r="890" spans="18:18" ht="15.75" customHeight="1">
      <c r="R890" s="30"/>
    </row>
    <row r="891" spans="18:18" ht="15.75" customHeight="1">
      <c r="R891" s="30"/>
    </row>
    <row r="892" spans="18:18" ht="15.75" customHeight="1">
      <c r="R892" s="30"/>
    </row>
    <row r="893" spans="18:18" ht="15.75" customHeight="1">
      <c r="R893" s="30"/>
    </row>
    <row r="894" spans="18:18" ht="15.75" customHeight="1">
      <c r="R894" s="30"/>
    </row>
    <row r="895" spans="18:18" ht="15.75" customHeight="1">
      <c r="R895" s="30"/>
    </row>
    <row r="896" spans="18:18" ht="15.75" customHeight="1">
      <c r="R896" s="30"/>
    </row>
    <row r="897" spans="18:18" ht="15.75" customHeight="1">
      <c r="R897" s="30"/>
    </row>
    <row r="898" spans="18:18" ht="15.75" customHeight="1">
      <c r="R898" s="30"/>
    </row>
    <row r="899" spans="18:18" ht="15.75" customHeight="1">
      <c r="R899" s="30"/>
    </row>
    <row r="900" spans="18:18" ht="15.75" customHeight="1">
      <c r="R900" s="30"/>
    </row>
    <row r="901" spans="18:18" ht="15.75" customHeight="1">
      <c r="R901" s="30"/>
    </row>
    <row r="902" spans="18:18" ht="15.75" customHeight="1">
      <c r="R902" s="30"/>
    </row>
    <row r="903" spans="18:18" ht="15.75" customHeight="1">
      <c r="R903" s="30"/>
    </row>
    <row r="904" spans="18:18" ht="15.75" customHeight="1">
      <c r="R904" s="30"/>
    </row>
    <row r="905" spans="18:18" ht="15.75" customHeight="1">
      <c r="R905" s="30"/>
    </row>
    <row r="906" spans="18:18" ht="15.75" customHeight="1">
      <c r="R906" s="30"/>
    </row>
    <row r="907" spans="18:18" ht="15.75" customHeight="1">
      <c r="R907" s="30"/>
    </row>
    <row r="908" spans="18:18" ht="15.75" customHeight="1">
      <c r="R908" s="30"/>
    </row>
    <row r="909" spans="18:18" ht="15.75" customHeight="1">
      <c r="R909" s="30"/>
    </row>
    <row r="910" spans="18:18" ht="15.75" customHeight="1">
      <c r="R910" s="30"/>
    </row>
    <row r="911" spans="18:18" ht="15.75" customHeight="1">
      <c r="R911" s="30"/>
    </row>
    <row r="912" spans="18:18" ht="15.75" customHeight="1">
      <c r="R912" s="30"/>
    </row>
    <row r="913" spans="18:18" ht="15.75" customHeight="1">
      <c r="R913" s="30"/>
    </row>
    <row r="914" spans="18:18" ht="15.75" customHeight="1">
      <c r="R914" s="30"/>
    </row>
    <row r="915" spans="18:18" ht="15.75" customHeight="1">
      <c r="R915" s="30"/>
    </row>
    <row r="916" spans="18:18" ht="15.75" customHeight="1">
      <c r="R916" s="30"/>
    </row>
    <row r="917" spans="18:18" ht="15.75" customHeight="1">
      <c r="R917" s="30"/>
    </row>
    <row r="918" spans="18:18" ht="15.75" customHeight="1">
      <c r="R918" s="30"/>
    </row>
    <row r="919" spans="18:18" ht="15.75" customHeight="1">
      <c r="R919" s="30"/>
    </row>
    <row r="920" spans="18:18" ht="15.75" customHeight="1">
      <c r="R920" s="30"/>
    </row>
    <row r="921" spans="18:18" ht="15.75" customHeight="1">
      <c r="R921" s="30"/>
    </row>
    <row r="922" spans="18:18" ht="15.75" customHeight="1">
      <c r="R922" s="30"/>
    </row>
    <row r="923" spans="18:18" ht="15.75" customHeight="1">
      <c r="R923" s="30"/>
    </row>
    <row r="924" spans="18:18" ht="15.75" customHeight="1">
      <c r="R924" s="30"/>
    </row>
    <row r="925" spans="18:18" ht="15.75" customHeight="1">
      <c r="R925" s="30"/>
    </row>
    <row r="926" spans="18:18" ht="15.75" customHeight="1">
      <c r="R926" s="30"/>
    </row>
    <row r="927" spans="18:18" ht="15.75" customHeight="1">
      <c r="R927" s="30"/>
    </row>
    <row r="928" spans="18:18" ht="15.75" customHeight="1">
      <c r="R928" s="30"/>
    </row>
    <row r="929" spans="18:18" ht="15.75" customHeight="1">
      <c r="R929" s="30"/>
    </row>
    <row r="930" spans="18:18" ht="15.75" customHeight="1">
      <c r="R930" s="30"/>
    </row>
    <row r="931" spans="18:18" ht="15.75" customHeight="1">
      <c r="R931" s="30"/>
    </row>
    <row r="932" spans="18:18" ht="15.75" customHeight="1">
      <c r="R932" s="30"/>
    </row>
    <row r="933" spans="18:18" ht="15.75" customHeight="1">
      <c r="R933" s="30"/>
    </row>
    <row r="934" spans="18:18" ht="15.75" customHeight="1">
      <c r="R934" s="30"/>
    </row>
    <row r="935" spans="18:18" ht="15.75" customHeight="1">
      <c r="R935" s="30"/>
    </row>
    <row r="936" spans="18:18" ht="15.75" customHeight="1">
      <c r="R936" s="30"/>
    </row>
    <row r="937" spans="18:18" ht="15.75" customHeight="1">
      <c r="R937" s="30"/>
    </row>
    <row r="938" spans="18:18" ht="15.75" customHeight="1">
      <c r="R938" s="30"/>
    </row>
    <row r="939" spans="18:18" ht="15.75" customHeight="1">
      <c r="R939" s="30"/>
    </row>
    <row r="940" spans="18:18" ht="15.75" customHeight="1">
      <c r="R940" s="30"/>
    </row>
    <row r="941" spans="18:18" ht="15.75" customHeight="1">
      <c r="R941" s="30"/>
    </row>
    <row r="942" spans="18:18" ht="15.75" customHeight="1">
      <c r="R942" s="30"/>
    </row>
    <row r="943" spans="18:18" ht="15.75" customHeight="1">
      <c r="R943" s="30"/>
    </row>
    <row r="944" spans="18:18" ht="15.75" customHeight="1">
      <c r="R944" s="30"/>
    </row>
    <row r="945" spans="18:18" ht="15.75" customHeight="1">
      <c r="R945" s="30"/>
    </row>
    <row r="946" spans="18:18" ht="15.75" customHeight="1">
      <c r="R946" s="30"/>
    </row>
    <row r="947" spans="18:18" ht="15.75" customHeight="1">
      <c r="R947" s="30"/>
    </row>
    <row r="948" spans="18:18" ht="15.75" customHeight="1">
      <c r="R948" s="30"/>
    </row>
    <row r="949" spans="18:18" ht="15.75" customHeight="1">
      <c r="R949" s="30"/>
    </row>
    <row r="950" spans="18:18" ht="15.75" customHeight="1">
      <c r="R950" s="30"/>
    </row>
    <row r="951" spans="18:18" ht="15.75" customHeight="1">
      <c r="R951" s="30"/>
    </row>
    <row r="952" spans="18:18" ht="15.75" customHeight="1">
      <c r="R952" s="30"/>
    </row>
    <row r="953" spans="18:18" ht="15.75" customHeight="1">
      <c r="R953" s="30"/>
    </row>
    <row r="954" spans="18:18" ht="15.75" customHeight="1">
      <c r="R954" s="30"/>
    </row>
    <row r="955" spans="18:18" ht="15.75" customHeight="1">
      <c r="R955" s="30"/>
    </row>
    <row r="956" spans="18:18" ht="15.75" customHeight="1">
      <c r="R956" s="30"/>
    </row>
    <row r="957" spans="18:18" ht="15.75" customHeight="1">
      <c r="R957" s="30"/>
    </row>
    <row r="958" spans="18:18" ht="15.75" customHeight="1">
      <c r="R958" s="30"/>
    </row>
    <row r="959" spans="18:18" ht="15.75" customHeight="1">
      <c r="R959" s="30"/>
    </row>
    <row r="960" spans="18:18" ht="15.75" customHeight="1">
      <c r="R960" s="30"/>
    </row>
    <row r="961" spans="18:18" ht="15.75" customHeight="1">
      <c r="R961" s="30"/>
    </row>
    <row r="962" spans="18:18" ht="15.75" customHeight="1">
      <c r="R962" s="30"/>
    </row>
    <row r="963" spans="18:18" ht="15.75" customHeight="1">
      <c r="R963" s="30"/>
    </row>
    <row r="964" spans="18:18" ht="15.75" customHeight="1">
      <c r="R964" s="30"/>
    </row>
    <row r="965" spans="18:18" ht="15.75" customHeight="1">
      <c r="R965" s="30"/>
    </row>
    <row r="966" spans="18:18" ht="15.75" customHeight="1">
      <c r="R966" s="30"/>
    </row>
    <row r="967" spans="18:18" ht="15.75" customHeight="1">
      <c r="R967" s="30"/>
    </row>
    <row r="968" spans="18:18" ht="15.75" customHeight="1">
      <c r="R968" s="30"/>
    </row>
    <row r="969" spans="18:18" ht="15.75" customHeight="1">
      <c r="R969" s="30"/>
    </row>
    <row r="970" spans="18:18" ht="15.75" customHeight="1">
      <c r="R970" s="30"/>
    </row>
    <row r="971" spans="18:18" ht="15.75" customHeight="1">
      <c r="R971" s="30"/>
    </row>
    <row r="972" spans="18:18" ht="15.75" customHeight="1">
      <c r="R972" s="30"/>
    </row>
    <row r="973" spans="18:18" ht="15.75" customHeight="1">
      <c r="R973" s="30"/>
    </row>
    <row r="974" spans="18:18" ht="15.75" customHeight="1">
      <c r="R974" s="30"/>
    </row>
    <row r="975" spans="18:18" ht="15.75" customHeight="1">
      <c r="R975" s="30"/>
    </row>
    <row r="976" spans="18:18" ht="15.75" customHeight="1">
      <c r="R976" s="30"/>
    </row>
    <row r="977" spans="18:18" ht="15.75" customHeight="1">
      <c r="R977" s="30"/>
    </row>
    <row r="978" spans="18:18" ht="15.75" customHeight="1">
      <c r="R978" s="30"/>
    </row>
    <row r="979" spans="18:18" ht="15.75" customHeight="1">
      <c r="R979" s="30"/>
    </row>
    <row r="980" spans="18:18" ht="15.75" customHeight="1">
      <c r="R980" s="30"/>
    </row>
    <row r="981" spans="18:18" ht="15.75" customHeight="1">
      <c r="R981" s="30"/>
    </row>
    <row r="982" spans="18:18" ht="15.75" customHeight="1">
      <c r="R982" s="30"/>
    </row>
    <row r="983" spans="18:18" ht="15.75" customHeight="1">
      <c r="R983" s="30"/>
    </row>
    <row r="984" spans="18:18" ht="15.75" customHeight="1">
      <c r="R984" s="30"/>
    </row>
    <row r="985" spans="18:18" ht="15.75" customHeight="1">
      <c r="R985" s="30"/>
    </row>
    <row r="986" spans="18:18" ht="15.75" customHeight="1">
      <c r="R986" s="30"/>
    </row>
    <row r="987" spans="18:18" ht="15.75" customHeight="1">
      <c r="R987" s="30"/>
    </row>
    <row r="988" spans="18:18" ht="15.75" customHeight="1">
      <c r="R988" s="30"/>
    </row>
    <row r="989" spans="18:18" ht="15.75" customHeight="1">
      <c r="R989" s="30"/>
    </row>
    <row r="990" spans="18:18" ht="15.75" customHeight="1">
      <c r="R990" s="30"/>
    </row>
    <row r="991" spans="18:18" ht="15.75" customHeight="1">
      <c r="R991" s="30"/>
    </row>
    <row r="992" spans="18:18" ht="15.75" customHeight="1">
      <c r="R992" s="30"/>
    </row>
    <row r="993" spans="18:18" ht="15.75" customHeight="1">
      <c r="R993" s="30"/>
    </row>
    <row r="994" spans="18:18" ht="15.75" customHeight="1">
      <c r="R994" s="30"/>
    </row>
    <row r="995" spans="18:18" ht="15.75" customHeight="1">
      <c r="R995" s="30"/>
    </row>
    <row r="996" spans="18:18" ht="15.75" customHeight="1">
      <c r="R996" s="30"/>
    </row>
    <row r="997" spans="18:18" ht="15.75" customHeight="1">
      <c r="R997" s="30"/>
    </row>
    <row r="998" spans="18:18" ht="15.75" customHeight="1">
      <c r="R998" s="30"/>
    </row>
    <row r="999" spans="18:18" ht="15.75" customHeight="1">
      <c r="R999" s="30"/>
    </row>
    <row r="1000" spans="18:18" ht="15.75" customHeight="1">
      <c r="R1000" s="3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2.6640625" defaultRowHeight="15" customHeight="1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8.6640625" customWidth="1"/>
    <col min="6" max="6" width="9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16.33203125" customWidth="1"/>
    <col min="16" max="16" width="10" customWidth="1"/>
    <col min="17" max="18" width="7.33203125" customWidth="1"/>
    <col min="19" max="19" width="7.1640625" customWidth="1"/>
    <col min="20" max="20" width="15.33203125" customWidth="1"/>
    <col min="21" max="21" width="18" customWidth="1"/>
    <col min="22" max="22" width="108.664062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6640625" customWidth="1"/>
    <col min="32" max="32" width="10.1640625" customWidth="1"/>
    <col min="33" max="33" width="8.83203125" customWidth="1"/>
  </cols>
  <sheetData>
    <row r="1" spans="1:33" ht="18.75" customHeight="1">
      <c r="A1" s="46" t="str">
        <f ca="1">IFERROR(__xludf.DUMMYFUNCTION("IFERROR(VLOOKUP(B2,IMPORTRANGE(""https://docs.google.com/spreadsheets/d/1x0DhHglkXKoEBOD2MBsuK_EyIr1ouxD2ftIpqOYFa-k/edit?usp=sharing"",""Ubiquitty-SKU-Specific Info!B1:BJ5000""),3,FALSE),"""")"),"10 Ft Lighted Outdoor Extension Cord - 12/3 SJTW Heavy Duty Red Extension Cable with 3 Prong Grounded Plug for Safety - Great for Garden &amp; Major Appliances")</f>
        <v>10 Ft Lighted Outdoor Extension Cord - 12/3 SJTW Heavy Duty Red Extension Cable with 3 Prong Grounded Plug for Safety - Great for Garden &amp; Major Appliances</v>
      </c>
      <c r="B1" s="47"/>
      <c r="C1" s="48" t="s">
        <v>0</v>
      </c>
      <c r="D1" s="50" t="s">
        <v>1</v>
      </c>
      <c r="E1" s="50" t="s">
        <v>2</v>
      </c>
      <c r="F1" s="52" t="s">
        <v>3</v>
      </c>
      <c r="G1" s="52" t="s">
        <v>4</v>
      </c>
      <c r="H1" s="53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58" t="s">
        <v>10</v>
      </c>
      <c r="N1" s="59" t="s">
        <v>11</v>
      </c>
      <c r="O1" s="50" t="s">
        <v>12</v>
      </c>
      <c r="P1" s="50" t="s">
        <v>13</v>
      </c>
      <c r="Q1" s="57" t="s">
        <v>14</v>
      </c>
      <c r="R1" s="57" t="s">
        <v>15</v>
      </c>
      <c r="S1" s="60" t="s">
        <v>16</v>
      </c>
      <c r="T1" s="62" t="s">
        <v>2006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Info!B1:BJ5000""),2,FALSE),"""")"),"B07Q4DV2JY")</f>
        <v>B07Q4DV2JY</v>
      </c>
      <c r="B2" s="3" t="s">
        <v>968</v>
      </c>
      <c r="C2" s="49"/>
      <c r="D2" s="49"/>
      <c r="E2" s="51"/>
      <c r="F2" s="49"/>
      <c r="G2" s="49"/>
      <c r="H2" s="54"/>
      <c r="I2" s="49"/>
      <c r="J2" s="49"/>
      <c r="K2" s="54"/>
      <c r="L2" s="54"/>
      <c r="M2" s="54"/>
      <c r="N2" s="49"/>
      <c r="O2" s="49"/>
      <c r="P2" s="51"/>
      <c r="Q2" s="49"/>
      <c r="R2" s="49"/>
      <c r="S2" s="61"/>
      <c r="T2" s="47"/>
      <c r="U2" s="63"/>
      <c r="V2" s="63"/>
      <c r="W2" s="47"/>
      <c r="X2" s="47"/>
      <c r="Y2" s="47"/>
      <c r="Z2" s="47"/>
      <c r="AA2" s="63"/>
      <c r="AB2" s="63"/>
      <c r="AC2" s="63"/>
      <c r="AD2" s="63"/>
      <c r="AE2" s="47"/>
      <c r="AF2" s="47"/>
      <c r="AG2" s="47"/>
    </row>
    <row r="3" spans="1:33" ht="211.5" customHeight="1">
      <c r="A3" s="55" t="s">
        <v>31</v>
      </c>
      <c r="B3" s="56"/>
      <c r="C3" s="4">
        <f>((AE32+AF32)/0.85)*-1</f>
        <v>11.35928942682353</v>
      </c>
      <c r="D3" s="5">
        <f>SUM(D4:D99765)</f>
        <v>1392</v>
      </c>
      <c r="E3" s="5"/>
      <c r="F3" s="6">
        <f t="shared" ref="F3:G3" si="0">SUM(F4:F99765)</f>
        <v>26517.960000000003</v>
      </c>
      <c r="G3" s="6">
        <f t="shared" si="0"/>
        <v>-221.97000000000003</v>
      </c>
      <c r="H3" s="7">
        <f t="shared" ref="H3:H32" si="1">G3/F3*-1</f>
        <v>8.3705533909848272E-3</v>
      </c>
      <c r="I3" s="8">
        <f t="shared" ref="I3:I32" si="2">J3/F3</f>
        <v>0.34798217798686248</v>
      </c>
      <c r="J3" s="6">
        <f>SUM(J4:J99765)</f>
        <v>9227.7774765685008</v>
      </c>
      <c r="K3" s="6">
        <f t="shared" ref="K3:K32" si="3">J3/D3</f>
        <v>6.6291504860405892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Sheet!a1:g5000""),2,FALSE),"""")"),"10.5 - March
10.5 - April
10.5 - May
10.5 - June
12 - July
18.5 - Aug
12 - Sept
16.5 - Oct
18 - Nov
22 - Dec
10.5 - Jan
10.5 - Feb")</f>
        <v>10.5 - March
10.5 - April
10.5 - May
10.5 - June
12 - July
18.5 - Aug
12 - Sept
16.5 - Oct
18 - Nov
22 - Dec
10.5 - Jan
10.5 -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QTY-3")</f>
        <v>Del QTY-3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QTY-200")</f>
        <v>US QTY-200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23</v>
      </c>
      <c r="X3" s="7">
        <f>W3/D3</f>
        <v>1.6522988505747127E-2</v>
      </c>
      <c r="Y3" s="6"/>
      <c r="Z3" s="5"/>
      <c r="AA3" s="5"/>
      <c r="AB3" s="5"/>
      <c r="AC3" s="5"/>
      <c r="AD3" s="6">
        <f>SUM(AD4:AD99765)</f>
        <v>-70.97234461181921</v>
      </c>
      <c r="AE3" s="6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Info!B2:BZ3000""),37,FALSE)),"""")*-1"),-4.7053960128)</f>
        <v>-4.7053960127999996</v>
      </c>
      <c r="AG3" s="6">
        <f>SUM(AG4:AG99765)</f>
        <v>0</v>
      </c>
    </row>
    <row r="4" spans="1:33" ht="15.75" customHeight="1">
      <c r="A4" s="14" t="s">
        <v>181</v>
      </c>
      <c r="B4" s="14" t="s">
        <v>68</v>
      </c>
      <c r="C4" s="15">
        <f t="shared" ref="C4:C32" si="4">IFERROR(F4/D4," - ")</f>
        <v>19.990000000000002</v>
      </c>
      <c r="D4" s="16">
        <v>16</v>
      </c>
      <c r="E4" s="16">
        <v>0</v>
      </c>
      <c r="F4" s="17">
        <v>319.84000000000003</v>
      </c>
      <c r="G4" s="17">
        <v>0</v>
      </c>
      <c r="H4" s="18">
        <f t="shared" si="1"/>
        <v>0</v>
      </c>
      <c r="I4" s="18">
        <f t="shared" si="2"/>
        <v>0.41298954022465789</v>
      </c>
      <c r="J4" s="17">
        <f t="shared" ref="J4:J32" si="5">F4*0.85+G4+AF4*D4+D4*AE4+AG4+AD4</f>
        <v>132.09057454545459</v>
      </c>
      <c r="K4" s="17">
        <f t="shared" si="3"/>
        <v>8.2556609090909117</v>
      </c>
      <c r="L4" s="16">
        <v>0</v>
      </c>
      <c r="M4" s="19" t="str">
        <f t="shared" ref="M4:M32" si="6">IFERROR(D4/L4,"-")</f>
        <v>-</v>
      </c>
      <c r="N4" s="16">
        <v>162</v>
      </c>
      <c r="O4" s="20">
        <f t="shared" ref="O4:P4" si="7">D4/7</f>
        <v>2.2857142857142856</v>
      </c>
      <c r="P4" s="20">
        <f t="shared" si="7"/>
        <v>0</v>
      </c>
      <c r="Q4" s="16">
        <f t="shared" ref="Q4:Q32" si="8">ROUNDDOWN(N4/(O4+P4),0)</f>
        <v>70</v>
      </c>
      <c r="R4" s="16"/>
      <c r="S4" s="21">
        <v>3.4787330316741998</v>
      </c>
      <c r="T4" s="14" t="s">
        <v>34</v>
      </c>
      <c r="U4" s="22" t="s">
        <v>34</v>
      </c>
      <c r="V4" s="23" t="s">
        <v>34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26" t="s">
        <v>35</v>
      </c>
      <c r="AB4" s="27">
        <f t="shared" ref="AB4:AB32" si="11">IF(OR(AA4="UsLargeStandardSize",AA4="UsSmallStandardSize"),-0.69,-0.48)</f>
        <v>-0.69</v>
      </c>
      <c r="AC4" s="28">
        <v>3.6944444444444439E-2</v>
      </c>
      <c r="AD4" s="25">
        <f t="shared" ref="AD4:AD32" si="12">IFERROR(AB4*AC4*D4*2,0)</f>
        <v>-0.8157333333333332</v>
      </c>
      <c r="AE4" s="25">
        <v>-4.9000000000000004</v>
      </c>
      <c r="AF4" s="25">
        <v>-3.7848557575757575</v>
      </c>
      <c r="AG4" s="25">
        <v>0</v>
      </c>
    </row>
    <row r="5" spans="1:33" ht="15.75" customHeight="1">
      <c r="A5" s="14" t="s">
        <v>183</v>
      </c>
      <c r="B5" s="14" t="s">
        <v>969</v>
      </c>
      <c r="C5" s="15">
        <f t="shared" si="4"/>
        <v>19.990000000000006</v>
      </c>
      <c r="D5" s="16">
        <v>60</v>
      </c>
      <c r="E5" s="16">
        <v>2</v>
      </c>
      <c r="F5" s="29">
        <v>1199.4000000000003</v>
      </c>
      <c r="G5" s="29">
        <v>0</v>
      </c>
      <c r="H5" s="18">
        <f t="shared" si="1"/>
        <v>0</v>
      </c>
      <c r="I5" s="18">
        <f t="shared" si="2"/>
        <v>0.41298658490381474</v>
      </c>
      <c r="J5" s="17">
        <f t="shared" si="5"/>
        <v>495.3361099336355</v>
      </c>
      <c r="K5" s="17">
        <f t="shared" si="3"/>
        <v>8.2556018322272582</v>
      </c>
      <c r="L5" s="16">
        <v>160</v>
      </c>
      <c r="M5" s="19">
        <f t="shared" si="6"/>
        <v>0.375</v>
      </c>
      <c r="N5" s="16">
        <v>282</v>
      </c>
      <c r="O5" s="20">
        <f t="shared" ref="O5:P5" si="13">D5/7</f>
        <v>8.5714285714285712</v>
      </c>
      <c r="P5" s="20">
        <f t="shared" si="13"/>
        <v>0.2857142857142857</v>
      </c>
      <c r="Q5" s="16">
        <f t="shared" si="8"/>
        <v>31</v>
      </c>
      <c r="R5" s="16"/>
      <c r="S5" s="21">
        <v>4.0223214285714199</v>
      </c>
      <c r="T5" s="14" t="s">
        <v>34</v>
      </c>
      <c r="U5" s="22" t="s">
        <v>34</v>
      </c>
      <c r="V5" s="23" t="s">
        <v>34</v>
      </c>
      <c r="W5" s="14">
        <v>0</v>
      </c>
      <c r="X5" s="24">
        <f t="shared" si="9"/>
        <v>0</v>
      </c>
      <c r="Y5" s="25">
        <f t="shared" si="10"/>
        <v>0</v>
      </c>
      <c r="Z5" s="14">
        <v>0</v>
      </c>
      <c r="AA5" s="14" t="s">
        <v>35</v>
      </c>
      <c r="AB5" s="27">
        <f t="shared" si="11"/>
        <v>-0.69</v>
      </c>
      <c r="AC5" s="28">
        <v>3.6987253765932787E-2</v>
      </c>
      <c r="AD5" s="25">
        <f t="shared" si="12"/>
        <v>-3.0625446118192343</v>
      </c>
      <c r="AE5" s="25">
        <v>-4.9000000000000004</v>
      </c>
      <c r="AF5" s="25">
        <v>-3.7848557575757575</v>
      </c>
      <c r="AG5" s="25">
        <v>0</v>
      </c>
    </row>
    <row r="6" spans="1:33" ht="15.75" customHeight="1">
      <c r="A6" s="14" t="s">
        <v>185</v>
      </c>
      <c r="B6" s="14" t="s">
        <v>68</v>
      </c>
      <c r="C6" s="15">
        <f t="shared" si="4"/>
        <v>21.835833333333341</v>
      </c>
      <c r="D6" s="16">
        <v>48</v>
      </c>
      <c r="E6" s="16">
        <v>0</v>
      </c>
      <c r="F6" s="29">
        <v>1048.1200000000003</v>
      </c>
      <c r="G6" s="29">
        <v>0</v>
      </c>
      <c r="H6" s="18">
        <f t="shared" si="1"/>
        <v>0</v>
      </c>
      <c r="I6" s="18">
        <f t="shared" si="2"/>
        <v>0.44993104190012945</v>
      </c>
      <c r="J6" s="17">
        <f t="shared" si="5"/>
        <v>471.58172363636385</v>
      </c>
      <c r="K6" s="17">
        <f t="shared" si="3"/>
        <v>9.8246192424242462</v>
      </c>
      <c r="L6" s="16">
        <v>105</v>
      </c>
      <c r="M6" s="19">
        <f t="shared" si="6"/>
        <v>0.45714285714285713</v>
      </c>
      <c r="N6" s="16">
        <v>235</v>
      </c>
      <c r="O6" s="20">
        <f t="shared" ref="O6:P6" si="14">D6/7</f>
        <v>6.8571428571428568</v>
      </c>
      <c r="P6" s="20">
        <f t="shared" si="14"/>
        <v>0</v>
      </c>
      <c r="Q6" s="16">
        <f t="shared" si="8"/>
        <v>34</v>
      </c>
      <c r="R6" s="16"/>
      <c r="S6" s="21">
        <v>5.8200692041522402</v>
      </c>
      <c r="T6" s="14">
        <v>2440</v>
      </c>
      <c r="U6" s="22">
        <v>340</v>
      </c>
      <c r="V6" s="23" t="s">
        <v>970</v>
      </c>
      <c r="W6" s="14">
        <v>0</v>
      </c>
      <c r="X6" s="24">
        <f t="shared" si="9"/>
        <v>0</v>
      </c>
      <c r="Y6" s="25">
        <f t="shared" si="10"/>
        <v>0</v>
      </c>
      <c r="Z6" s="14">
        <v>0</v>
      </c>
      <c r="AA6" s="14" t="s">
        <v>35</v>
      </c>
      <c r="AB6" s="27">
        <f t="shared" si="11"/>
        <v>-0.69</v>
      </c>
      <c r="AC6" s="28">
        <v>3.6944444444444439E-2</v>
      </c>
      <c r="AD6" s="25">
        <f t="shared" si="12"/>
        <v>-2.4471999999999996</v>
      </c>
      <c r="AE6" s="25">
        <v>-4.9000000000000004</v>
      </c>
      <c r="AF6" s="25">
        <v>-3.7848557575757575</v>
      </c>
      <c r="AG6" s="25">
        <v>0</v>
      </c>
    </row>
    <row r="7" spans="1:33" ht="15.75" customHeight="1">
      <c r="A7" s="14" t="s">
        <v>187</v>
      </c>
      <c r="B7" s="14" t="s">
        <v>68</v>
      </c>
      <c r="C7" s="15">
        <f t="shared" si="4"/>
        <v>21.980000000000004</v>
      </c>
      <c r="D7" s="16">
        <v>52</v>
      </c>
      <c r="E7" s="16">
        <v>1</v>
      </c>
      <c r="F7" s="29">
        <v>1142.9600000000003</v>
      </c>
      <c r="G7" s="29">
        <v>0</v>
      </c>
      <c r="H7" s="18">
        <f t="shared" si="1"/>
        <v>0</v>
      </c>
      <c r="I7" s="18">
        <f t="shared" si="2"/>
        <v>0.45255509140540995</v>
      </c>
      <c r="J7" s="17">
        <f t="shared" si="5"/>
        <v>517.2523672727275</v>
      </c>
      <c r="K7" s="17">
        <f t="shared" si="3"/>
        <v>9.947160909090913</v>
      </c>
      <c r="L7" s="16">
        <v>136</v>
      </c>
      <c r="M7" s="19">
        <f t="shared" si="6"/>
        <v>0.38235294117647056</v>
      </c>
      <c r="N7" s="16">
        <v>205</v>
      </c>
      <c r="O7" s="20">
        <f t="shared" ref="O7:P7" si="15">D7/7</f>
        <v>7.4285714285714288</v>
      </c>
      <c r="P7" s="20">
        <f t="shared" si="15"/>
        <v>0.14285714285714285</v>
      </c>
      <c r="Q7" s="16">
        <f t="shared" si="8"/>
        <v>27</v>
      </c>
      <c r="R7" s="16"/>
      <c r="S7" s="21">
        <v>9.3219373219373196</v>
      </c>
      <c r="T7" s="14">
        <v>3100</v>
      </c>
      <c r="U7" s="22">
        <v>340</v>
      </c>
      <c r="V7" s="23" t="s">
        <v>971</v>
      </c>
      <c r="W7" s="14">
        <v>0</v>
      </c>
      <c r="X7" s="24">
        <f t="shared" si="9"/>
        <v>0</v>
      </c>
      <c r="Y7" s="25">
        <f t="shared" si="10"/>
        <v>0</v>
      </c>
      <c r="Z7" s="14">
        <v>0</v>
      </c>
      <c r="AA7" s="14" t="s">
        <v>35</v>
      </c>
      <c r="AB7" s="27">
        <f t="shared" si="11"/>
        <v>-0.69</v>
      </c>
      <c r="AC7" s="28">
        <v>3.6944444444444439E-2</v>
      </c>
      <c r="AD7" s="25">
        <f t="shared" si="12"/>
        <v>-2.6511333333333331</v>
      </c>
      <c r="AE7" s="25">
        <v>-4.9000000000000004</v>
      </c>
      <c r="AF7" s="25">
        <v>-3.7848557575757575</v>
      </c>
      <c r="AG7" s="25">
        <v>0</v>
      </c>
    </row>
    <row r="8" spans="1:33" ht="15.75" customHeight="1">
      <c r="A8" s="14" t="s">
        <v>189</v>
      </c>
      <c r="B8" s="14" t="s">
        <v>68</v>
      </c>
      <c r="C8" s="15">
        <f t="shared" si="4"/>
        <v>21.986222222222224</v>
      </c>
      <c r="D8" s="16">
        <v>45</v>
      </c>
      <c r="E8" s="16">
        <v>7</v>
      </c>
      <c r="F8" s="29">
        <v>989.38000000000011</v>
      </c>
      <c r="G8" s="29">
        <v>0</v>
      </c>
      <c r="H8" s="18">
        <f t="shared" si="1"/>
        <v>0</v>
      </c>
      <c r="I8" s="18">
        <f t="shared" si="2"/>
        <v>0.45288842507428895</v>
      </c>
      <c r="J8" s="17">
        <f t="shared" si="5"/>
        <v>448.07875000000007</v>
      </c>
      <c r="K8" s="17">
        <f t="shared" si="3"/>
        <v>9.957305555555557</v>
      </c>
      <c r="L8" s="16">
        <v>87</v>
      </c>
      <c r="M8" s="19">
        <f t="shared" si="6"/>
        <v>0.51724137931034486</v>
      </c>
      <c r="N8" s="16">
        <v>134</v>
      </c>
      <c r="O8" s="20">
        <f t="shared" ref="O8:P8" si="16">D8/7</f>
        <v>6.4285714285714288</v>
      </c>
      <c r="P8" s="20">
        <f t="shared" si="16"/>
        <v>1</v>
      </c>
      <c r="Q8" s="16">
        <f t="shared" si="8"/>
        <v>18</v>
      </c>
      <c r="R8" s="16"/>
      <c r="S8" s="21">
        <v>3.6896174863387898</v>
      </c>
      <c r="T8" s="14">
        <v>3100</v>
      </c>
      <c r="U8" s="22">
        <v>340</v>
      </c>
      <c r="V8" s="23" t="s">
        <v>972</v>
      </c>
      <c r="W8" s="14">
        <v>0</v>
      </c>
      <c r="X8" s="24">
        <f t="shared" si="9"/>
        <v>0</v>
      </c>
      <c r="Y8" s="25">
        <f t="shared" si="10"/>
        <v>0</v>
      </c>
      <c r="Z8" s="14">
        <v>0</v>
      </c>
      <c r="AA8" s="14" t="s">
        <v>35</v>
      </c>
      <c r="AB8" s="27">
        <f t="shared" si="11"/>
        <v>-0.69</v>
      </c>
      <c r="AC8" s="28">
        <v>3.6944444444444439E-2</v>
      </c>
      <c r="AD8" s="25">
        <f t="shared" si="12"/>
        <v>-2.2942499999999995</v>
      </c>
      <c r="AE8" s="25">
        <v>-4.9000000000000004</v>
      </c>
      <c r="AF8" s="25">
        <v>-3.78</v>
      </c>
      <c r="AG8" s="25">
        <v>0</v>
      </c>
    </row>
    <row r="9" spans="1:33" ht="15.75" customHeight="1">
      <c r="A9" s="14" t="s">
        <v>191</v>
      </c>
      <c r="B9" s="14" t="s">
        <v>973</v>
      </c>
      <c r="C9" s="15">
        <f t="shared" si="4"/>
        <v>21.980000000000008</v>
      </c>
      <c r="D9" s="16">
        <v>35</v>
      </c>
      <c r="E9" s="16">
        <v>4</v>
      </c>
      <c r="F9" s="29">
        <v>769.3000000000003</v>
      </c>
      <c r="G9" s="29">
        <v>0</v>
      </c>
      <c r="H9" s="18">
        <f t="shared" si="1"/>
        <v>0</v>
      </c>
      <c r="I9" s="18">
        <f t="shared" si="2"/>
        <v>0.44947041387487291</v>
      </c>
      <c r="J9" s="17">
        <f t="shared" si="5"/>
        <v>345.77758939393988</v>
      </c>
      <c r="K9" s="17">
        <f t="shared" si="3"/>
        <v>9.8793596969697113</v>
      </c>
      <c r="L9" s="16">
        <v>132</v>
      </c>
      <c r="M9" s="19">
        <f t="shared" si="6"/>
        <v>0.26515151515151514</v>
      </c>
      <c r="N9" s="16">
        <v>94</v>
      </c>
      <c r="O9" s="20">
        <f t="shared" ref="O9:P9" si="17">D9/7</f>
        <v>5</v>
      </c>
      <c r="P9" s="20">
        <f t="shared" si="17"/>
        <v>0.5714285714285714</v>
      </c>
      <c r="Q9" s="16">
        <f t="shared" si="8"/>
        <v>16</v>
      </c>
      <c r="R9" s="16"/>
      <c r="S9" s="21">
        <v>3.9638009049773699</v>
      </c>
      <c r="T9" s="14">
        <v>3100</v>
      </c>
      <c r="U9" s="22">
        <v>340</v>
      </c>
      <c r="V9" s="23" t="s">
        <v>974</v>
      </c>
      <c r="W9" s="14">
        <v>0</v>
      </c>
      <c r="X9" s="24">
        <f t="shared" si="9"/>
        <v>0</v>
      </c>
      <c r="Y9" s="25">
        <f t="shared" si="10"/>
        <v>0</v>
      </c>
      <c r="Z9" s="14">
        <v>0</v>
      </c>
      <c r="AA9" s="14" t="s">
        <v>35</v>
      </c>
      <c r="AB9" s="27">
        <f t="shared" si="11"/>
        <v>-0.69</v>
      </c>
      <c r="AC9" s="28">
        <v>3.6944444444444439E-2</v>
      </c>
      <c r="AD9" s="25">
        <f t="shared" si="12"/>
        <v>-1.7844166666666663</v>
      </c>
      <c r="AE9" s="25">
        <v>-4.9000000000000004</v>
      </c>
      <c r="AF9" s="25">
        <v>-3.8526569696969601</v>
      </c>
      <c r="AG9" s="25">
        <v>0</v>
      </c>
    </row>
    <row r="10" spans="1:33" ht="15.75" customHeight="1">
      <c r="A10" s="14" t="s">
        <v>192</v>
      </c>
      <c r="B10" s="14" t="s">
        <v>975</v>
      </c>
      <c r="C10" s="15">
        <f t="shared" si="4"/>
        <v>20.48756097560976</v>
      </c>
      <c r="D10" s="16">
        <v>41</v>
      </c>
      <c r="E10" s="16">
        <v>0</v>
      </c>
      <c r="F10" s="29">
        <v>839.99000000000012</v>
      </c>
      <c r="G10" s="29">
        <v>-0.16</v>
      </c>
      <c r="H10" s="18">
        <f t="shared" si="1"/>
        <v>1.9047845807688185E-4</v>
      </c>
      <c r="I10" s="18">
        <f t="shared" si="2"/>
        <v>0.4201029150058429</v>
      </c>
      <c r="J10" s="17">
        <f t="shared" si="5"/>
        <v>352.88224757575802</v>
      </c>
      <c r="K10" s="17">
        <f t="shared" si="3"/>
        <v>8.6068840872136096</v>
      </c>
      <c r="L10" s="16">
        <v>124</v>
      </c>
      <c r="M10" s="19">
        <f t="shared" si="6"/>
        <v>0.33064516129032256</v>
      </c>
      <c r="N10" s="16">
        <v>52</v>
      </c>
      <c r="O10" s="20">
        <f t="shared" ref="O10:P10" si="18">D10/7</f>
        <v>5.8571428571428568</v>
      </c>
      <c r="P10" s="20">
        <f t="shared" si="18"/>
        <v>0</v>
      </c>
      <c r="Q10" s="16">
        <f t="shared" si="8"/>
        <v>8</v>
      </c>
      <c r="R10" s="16"/>
      <c r="S10" s="21">
        <v>6.5938069216757702</v>
      </c>
      <c r="T10" s="14">
        <v>1800</v>
      </c>
      <c r="U10" s="22">
        <v>340</v>
      </c>
      <c r="V10" s="23" t="s">
        <v>976</v>
      </c>
      <c r="W10" s="14">
        <v>0</v>
      </c>
      <c r="X10" s="24">
        <f t="shared" si="9"/>
        <v>0</v>
      </c>
      <c r="Y10" s="25">
        <f t="shared" si="10"/>
        <v>0</v>
      </c>
      <c r="Z10" s="14">
        <v>0</v>
      </c>
      <c r="AA10" s="14" t="s">
        <v>35</v>
      </c>
      <c r="AB10" s="27">
        <f t="shared" si="11"/>
        <v>-0.69</v>
      </c>
      <c r="AC10" s="28">
        <v>3.6944444444444439E-2</v>
      </c>
      <c r="AD10" s="25">
        <f t="shared" si="12"/>
        <v>-2.0903166666666664</v>
      </c>
      <c r="AE10" s="25">
        <v>-4.9000000000000004</v>
      </c>
      <c r="AF10" s="25">
        <v>-3.8526569696969601</v>
      </c>
      <c r="AG10" s="25">
        <v>0</v>
      </c>
    </row>
    <row r="11" spans="1:33" ht="15.75" customHeight="1">
      <c r="A11" s="14" t="s">
        <v>193</v>
      </c>
      <c r="B11" s="14" t="s">
        <v>977</v>
      </c>
      <c r="C11" s="15">
        <f t="shared" si="4"/>
        <v>21.743200000000002</v>
      </c>
      <c r="D11" s="16">
        <v>25</v>
      </c>
      <c r="E11" s="16">
        <v>2</v>
      </c>
      <c r="F11" s="29">
        <v>543.58000000000004</v>
      </c>
      <c r="G11" s="29">
        <v>0</v>
      </c>
      <c r="H11" s="18">
        <f t="shared" si="1"/>
        <v>0</v>
      </c>
      <c r="I11" s="18">
        <f t="shared" si="2"/>
        <v>0.44510834177902547</v>
      </c>
      <c r="J11" s="17">
        <f t="shared" si="5"/>
        <v>241.95199242424269</v>
      </c>
      <c r="K11" s="17">
        <f t="shared" si="3"/>
        <v>9.6780796969697072</v>
      </c>
      <c r="L11" s="16">
        <v>102</v>
      </c>
      <c r="M11" s="19">
        <f t="shared" si="6"/>
        <v>0.24509803921568626</v>
      </c>
      <c r="N11" s="16">
        <v>24</v>
      </c>
      <c r="O11" s="20">
        <f t="shared" ref="O11:P11" si="19">D11/7</f>
        <v>3.5714285714285716</v>
      </c>
      <c r="P11" s="20">
        <f t="shared" si="19"/>
        <v>0.2857142857142857</v>
      </c>
      <c r="Q11" s="16">
        <f t="shared" si="8"/>
        <v>6</v>
      </c>
      <c r="R11" s="16"/>
      <c r="S11" s="21">
        <v>11.044247787610599</v>
      </c>
      <c r="T11" s="14">
        <v>1800</v>
      </c>
      <c r="U11" s="22">
        <v>100</v>
      </c>
      <c r="V11" s="23" t="s">
        <v>978</v>
      </c>
      <c r="W11" s="14">
        <v>0</v>
      </c>
      <c r="X11" s="24">
        <f t="shared" si="9"/>
        <v>0</v>
      </c>
      <c r="Y11" s="25">
        <f t="shared" si="10"/>
        <v>0</v>
      </c>
      <c r="Z11" s="14">
        <v>0</v>
      </c>
      <c r="AA11" s="14" t="s">
        <v>35</v>
      </c>
      <c r="AB11" s="27">
        <f t="shared" si="11"/>
        <v>-0.69</v>
      </c>
      <c r="AC11" s="28">
        <v>3.6944444444444439E-2</v>
      </c>
      <c r="AD11" s="25">
        <f t="shared" si="12"/>
        <v>-1.2745833333333332</v>
      </c>
      <c r="AE11" s="25">
        <v>-4.9000000000000004</v>
      </c>
      <c r="AF11" s="25">
        <v>-3.8526569696969601</v>
      </c>
      <c r="AG11" s="25">
        <v>0</v>
      </c>
    </row>
    <row r="12" spans="1:33" ht="15.75" customHeight="1">
      <c r="A12" s="14" t="s">
        <v>195</v>
      </c>
      <c r="B12" s="14" t="s">
        <v>343</v>
      </c>
      <c r="C12" s="15">
        <f t="shared" si="4"/>
        <v>23.293999999999997</v>
      </c>
      <c r="D12" s="16">
        <v>20</v>
      </c>
      <c r="E12" s="16">
        <v>2</v>
      </c>
      <c r="F12" s="29">
        <v>465.87999999999994</v>
      </c>
      <c r="G12" s="29">
        <v>0</v>
      </c>
      <c r="H12" s="18">
        <f t="shared" si="1"/>
        <v>0</v>
      </c>
      <c r="I12" s="18">
        <f t="shared" si="2"/>
        <v>0.47206403781959749</v>
      </c>
      <c r="J12" s="17">
        <f t="shared" si="5"/>
        <v>219.92519393939406</v>
      </c>
      <c r="K12" s="17">
        <f t="shared" si="3"/>
        <v>10.996259696969704</v>
      </c>
      <c r="L12" s="16">
        <v>77</v>
      </c>
      <c r="M12" s="19">
        <f t="shared" si="6"/>
        <v>0.25974025974025972</v>
      </c>
      <c r="N12" s="16">
        <v>1</v>
      </c>
      <c r="O12" s="20">
        <f t="shared" ref="O12:P12" si="20">D12/7</f>
        <v>2.8571428571428572</v>
      </c>
      <c r="P12" s="20">
        <f t="shared" si="20"/>
        <v>0.2857142857142857</v>
      </c>
      <c r="Q12" s="16">
        <f t="shared" si="8"/>
        <v>0</v>
      </c>
      <c r="R12" s="16"/>
      <c r="S12" s="21">
        <v>4.7385377942998703</v>
      </c>
      <c r="T12" s="14">
        <v>1800</v>
      </c>
      <c r="U12" s="22">
        <v>100</v>
      </c>
      <c r="V12" s="23" t="s">
        <v>979</v>
      </c>
      <c r="W12" s="14">
        <v>0</v>
      </c>
      <c r="X12" s="24">
        <f t="shared" si="9"/>
        <v>0</v>
      </c>
      <c r="Y12" s="25">
        <f t="shared" si="10"/>
        <v>0</v>
      </c>
      <c r="Z12" s="14">
        <v>0</v>
      </c>
      <c r="AA12" s="14" t="s">
        <v>35</v>
      </c>
      <c r="AB12" s="27">
        <f t="shared" si="11"/>
        <v>-0.69</v>
      </c>
      <c r="AC12" s="28">
        <v>3.6944444444444439E-2</v>
      </c>
      <c r="AD12" s="25">
        <f t="shared" si="12"/>
        <v>-1.0196666666666665</v>
      </c>
      <c r="AE12" s="25">
        <v>-4.9000000000000004</v>
      </c>
      <c r="AF12" s="25">
        <v>-3.8526569696969601</v>
      </c>
      <c r="AG12" s="25">
        <v>0</v>
      </c>
    </row>
    <row r="13" spans="1:33" ht="15.75" customHeight="1">
      <c r="A13" s="14" t="s">
        <v>197</v>
      </c>
      <c r="B13" s="14" t="s">
        <v>45</v>
      </c>
      <c r="C13" s="15">
        <f t="shared" si="4"/>
        <v>27.01</v>
      </c>
      <c r="D13" s="16">
        <v>3</v>
      </c>
      <c r="E13" s="16">
        <v>0</v>
      </c>
      <c r="F13" s="17">
        <v>81.03</v>
      </c>
      <c r="G13" s="29">
        <v>-0.04</v>
      </c>
      <c r="H13" s="18">
        <f t="shared" si="1"/>
        <v>4.9364432926076764E-4</v>
      </c>
      <c r="I13" s="18">
        <f t="shared" si="2"/>
        <v>0.52224515050542475</v>
      </c>
      <c r="J13" s="17">
        <f t="shared" si="5"/>
        <v>42.317524545454567</v>
      </c>
      <c r="K13" s="17">
        <f t="shared" si="3"/>
        <v>14.105841515151523</v>
      </c>
      <c r="L13" s="16">
        <v>31</v>
      </c>
      <c r="M13" s="19">
        <f t="shared" si="6"/>
        <v>9.6774193548387094E-2</v>
      </c>
      <c r="N13" s="16">
        <v>2</v>
      </c>
      <c r="O13" s="20">
        <f t="shared" ref="O13:P13" si="21">D13/7</f>
        <v>0.42857142857142855</v>
      </c>
      <c r="P13" s="20">
        <f t="shared" si="21"/>
        <v>0</v>
      </c>
      <c r="Q13" s="16">
        <f t="shared" si="8"/>
        <v>4</v>
      </c>
      <c r="R13" s="16"/>
      <c r="S13" s="21">
        <v>4.1877094972066997</v>
      </c>
      <c r="T13" s="14">
        <v>1800</v>
      </c>
      <c r="U13" s="22">
        <v>100</v>
      </c>
      <c r="V13" s="23" t="s">
        <v>980</v>
      </c>
      <c r="W13" s="14">
        <v>0</v>
      </c>
      <c r="X13" s="24">
        <f t="shared" si="9"/>
        <v>0</v>
      </c>
      <c r="Y13" s="25">
        <f t="shared" si="10"/>
        <v>0</v>
      </c>
      <c r="Z13" s="14">
        <v>0</v>
      </c>
      <c r="AA13" s="14" t="s">
        <v>35</v>
      </c>
      <c r="AB13" s="27">
        <f t="shared" si="11"/>
        <v>-0.69</v>
      </c>
      <c r="AC13" s="28">
        <v>3.6944444444444439E-2</v>
      </c>
      <c r="AD13" s="25">
        <f t="shared" si="12"/>
        <v>-0.15294999999999997</v>
      </c>
      <c r="AE13" s="25">
        <v>-4.9000000000000004</v>
      </c>
      <c r="AF13" s="25">
        <v>-3.8883418181818099</v>
      </c>
      <c r="AG13" s="25">
        <v>0</v>
      </c>
    </row>
    <row r="14" spans="1:33" ht="15.75" customHeight="1">
      <c r="A14" s="14" t="s">
        <v>32</v>
      </c>
      <c r="B14" s="14" t="s">
        <v>45</v>
      </c>
      <c r="C14" s="15">
        <f t="shared" si="4"/>
        <v>24.53</v>
      </c>
      <c r="D14" s="16">
        <v>2</v>
      </c>
      <c r="E14" s="16">
        <v>0</v>
      </c>
      <c r="F14" s="17">
        <v>49.06</v>
      </c>
      <c r="G14" s="29">
        <v>0</v>
      </c>
      <c r="H14" s="18">
        <f t="shared" si="1"/>
        <v>0</v>
      </c>
      <c r="I14" s="18">
        <f t="shared" si="2"/>
        <v>0.48965246019098474</v>
      </c>
      <c r="J14" s="17">
        <f t="shared" si="5"/>
        <v>24.022349696969712</v>
      </c>
      <c r="K14" s="17">
        <f t="shared" si="3"/>
        <v>12.011174848484856</v>
      </c>
      <c r="L14" s="16">
        <v>39</v>
      </c>
      <c r="M14" s="19">
        <f t="shared" si="6"/>
        <v>5.128205128205128E-2</v>
      </c>
      <c r="N14" s="16">
        <v>0</v>
      </c>
      <c r="O14" s="20">
        <f t="shared" ref="O14:P14" si="22">D14/7</f>
        <v>0.2857142857142857</v>
      </c>
      <c r="P14" s="20">
        <f t="shared" si="22"/>
        <v>0</v>
      </c>
      <c r="Q14" s="16">
        <f t="shared" si="8"/>
        <v>0</v>
      </c>
      <c r="R14" s="16"/>
      <c r="S14" s="21" t="e">
        <v>#N/A</v>
      </c>
      <c r="T14" s="14">
        <v>1800</v>
      </c>
      <c r="U14" s="22">
        <v>100</v>
      </c>
      <c r="V14" s="23" t="s">
        <v>980</v>
      </c>
      <c r="W14" s="14">
        <v>0</v>
      </c>
      <c r="X14" s="24">
        <f t="shared" si="9"/>
        <v>0</v>
      </c>
      <c r="Y14" s="25">
        <f t="shared" si="10"/>
        <v>0</v>
      </c>
      <c r="Z14" s="14">
        <v>0</v>
      </c>
      <c r="AA14" s="14" t="s">
        <v>35</v>
      </c>
      <c r="AB14" s="27">
        <f t="shared" si="11"/>
        <v>-0.69</v>
      </c>
      <c r="AC14" s="28">
        <v>3.6944444444444439E-2</v>
      </c>
      <c r="AD14" s="25">
        <f t="shared" si="12"/>
        <v>-0.10196666666666665</v>
      </c>
      <c r="AE14" s="25">
        <v>-4.9000000000000004</v>
      </c>
      <c r="AF14" s="25">
        <v>-3.8883418181818099</v>
      </c>
      <c r="AG14" s="25">
        <v>0</v>
      </c>
    </row>
    <row r="15" spans="1:33" ht="15.75" customHeight="1">
      <c r="A15" s="14" t="s">
        <v>36</v>
      </c>
      <c r="B15" s="14"/>
      <c r="C15" s="15" t="str">
        <f t="shared" si="4"/>
        <v xml:space="preserve"> - </v>
      </c>
      <c r="D15" s="16">
        <v>0</v>
      </c>
      <c r="E15" s="16">
        <v>0</v>
      </c>
      <c r="F15" s="17">
        <v>0</v>
      </c>
      <c r="G15" s="29">
        <v>0</v>
      </c>
      <c r="H15" s="18" t="e">
        <f t="shared" si="1"/>
        <v>#DIV/0!</v>
      </c>
      <c r="I15" s="18" t="e">
        <f t="shared" si="2"/>
        <v>#DIV/0!</v>
      </c>
      <c r="J15" s="17">
        <f t="shared" si="5"/>
        <v>0</v>
      </c>
      <c r="K15" s="17" t="e">
        <f t="shared" si="3"/>
        <v>#DIV/0!</v>
      </c>
      <c r="L15" s="16">
        <v>0</v>
      </c>
      <c r="M15" s="19" t="str">
        <f t="shared" si="6"/>
        <v>-</v>
      </c>
      <c r="N15" s="16">
        <v>0</v>
      </c>
      <c r="O15" s="20">
        <f t="shared" ref="O15:P15" si="23">D15/7</f>
        <v>0</v>
      </c>
      <c r="P15" s="20">
        <f t="shared" si="23"/>
        <v>0</v>
      </c>
      <c r="Q15" s="16" t="e">
        <f t="shared" si="8"/>
        <v>#DIV/0!</v>
      </c>
      <c r="R15" s="16"/>
      <c r="S15" s="21" t="e">
        <v>#N/A</v>
      </c>
      <c r="T15" s="14">
        <v>1800</v>
      </c>
      <c r="U15" s="22">
        <v>100</v>
      </c>
      <c r="V15" s="23" t="s">
        <v>981</v>
      </c>
      <c r="W15" s="14">
        <v>0</v>
      </c>
      <c r="X15" s="24">
        <f t="shared" si="9"/>
        <v>0</v>
      </c>
      <c r="Y15" s="25">
        <f t="shared" si="10"/>
        <v>0</v>
      </c>
      <c r="Z15" s="14">
        <v>0</v>
      </c>
      <c r="AA15" s="14" t="e">
        <v>#N/A</v>
      </c>
      <c r="AB15" s="27" t="e">
        <f t="shared" si="11"/>
        <v>#N/A</v>
      </c>
      <c r="AC15" s="28" t="e">
        <v>#N/A</v>
      </c>
      <c r="AD15" s="25">
        <f t="shared" si="12"/>
        <v>0</v>
      </c>
      <c r="AE15" s="25">
        <v>0</v>
      </c>
      <c r="AF15" s="25">
        <v>-4.4283418181818099</v>
      </c>
      <c r="AG15" s="25">
        <v>0</v>
      </c>
    </row>
    <row r="16" spans="1:33" ht="15.75" customHeight="1">
      <c r="A16" s="14" t="s">
        <v>38</v>
      </c>
      <c r="B16" s="14"/>
      <c r="C16" s="15" t="str">
        <f t="shared" si="4"/>
        <v xml:space="preserve"> - </v>
      </c>
      <c r="D16" s="16">
        <v>0</v>
      </c>
      <c r="E16" s="16">
        <v>0</v>
      </c>
      <c r="F16" s="17">
        <v>0</v>
      </c>
      <c r="G16" s="29">
        <v>0</v>
      </c>
      <c r="H16" s="18" t="e">
        <f t="shared" si="1"/>
        <v>#DIV/0!</v>
      </c>
      <c r="I16" s="18" t="e">
        <f t="shared" si="2"/>
        <v>#DIV/0!</v>
      </c>
      <c r="J16" s="17">
        <f t="shared" si="5"/>
        <v>0</v>
      </c>
      <c r="K16" s="17" t="e">
        <f t="shared" si="3"/>
        <v>#DIV/0!</v>
      </c>
      <c r="L16" s="16">
        <v>0</v>
      </c>
      <c r="M16" s="19" t="str">
        <f t="shared" si="6"/>
        <v>-</v>
      </c>
      <c r="N16" s="16">
        <v>0</v>
      </c>
      <c r="O16" s="20">
        <f t="shared" ref="O16:P16" si="24">D16/7</f>
        <v>0</v>
      </c>
      <c r="P16" s="20">
        <f t="shared" si="24"/>
        <v>0</v>
      </c>
      <c r="Q16" s="16" t="e">
        <f t="shared" si="8"/>
        <v>#DIV/0!</v>
      </c>
      <c r="R16" s="16"/>
      <c r="S16" s="21" t="e">
        <v>#N/A</v>
      </c>
      <c r="T16" s="14">
        <v>1800</v>
      </c>
      <c r="U16" s="22">
        <v>100</v>
      </c>
      <c r="V16" s="23" t="s">
        <v>982</v>
      </c>
      <c r="W16" s="14">
        <v>0</v>
      </c>
      <c r="X16" s="24">
        <f t="shared" si="9"/>
        <v>0</v>
      </c>
      <c r="Y16" s="25">
        <f t="shared" si="10"/>
        <v>0</v>
      </c>
      <c r="Z16" s="14">
        <v>0</v>
      </c>
      <c r="AA16" s="14" t="e">
        <v>#N/A</v>
      </c>
      <c r="AB16" s="27" t="e">
        <f t="shared" si="11"/>
        <v>#N/A</v>
      </c>
      <c r="AC16" s="28" t="e">
        <v>#N/A</v>
      </c>
      <c r="AD16" s="25">
        <f t="shared" si="12"/>
        <v>0</v>
      </c>
      <c r="AE16" s="25">
        <v>0</v>
      </c>
      <c r="AF16" s="25">
        <v>-4.4283418181818099</v>
      </c>
      <c r="AG16" s="25">
        <v>0</v>
      </c>
    </row>
    <row r="17" spans="1:33" ht="15.75" customHeight="1">
      <c r="A17" s="14" t="s">
        <v>40</v>
      </c>
      <c r="B17" s="14" t="s">
        <v>983</v>
      </c>
      <c r="C17" s="15" t="str">
        <f t="shared" si="4"/>
        <v xml:space="preserve"> - </v>
      </c>
      <c r="D17" s="16">
        <v>0</v>
      </c>
      <c r="E17" s="16">
        <v>0</v>
      </c>
      <c r="F17" s="17">
        <v>0</v>
      </c>
      <c r="G17" s="29">
        <v>0</v>
      </c>
      <c r="H17" s="18" t="e">
        <f t="shared" si="1"/>
        <v>#DIV/0!</v>
      </c>
      <c r="I17" s="18" t="e">
        <f t="shared" si="2"/>
        <v>#DIV/0!</v>
      </c>
      <c r="J17" s="17">
        <f t="shared" si="5"/>
        <v>0</v>
      </c>
      <c r="K17" s="17" t="e">
        <f t="shared" si="3"/>
        <v>#DIV/0!</v>
      </c>
      <c r="L17" s="16">
        <v>0</v>
      </c>
      <c r="M17" s="19" t="str">
        <f t="shared" si="6"/>
        <v>-</v>
      </c>
      <c r="N17" s="16">
        <v>0</v>
      </c>
      <c r="O17" s="20">
        <f t="shared" ref="O17:P17" si="25">D17/7</f>
        <v>0</v>
      </c>
      <c r="P17" s="20">
        <f t="shared" si="25"/>
        <v>0</v>
      </c>
      <c r="Q17" s="16" t="e">
        <f t="shared" si="8"/>
        <v>#DIV/0!</v>
      </c>
      <c r="R17" s="16"/>
      <c r="S17" s="21" t="e">
        <v>#N/A</v>
      </c>
      <c r="T17" s="14">
        <v>1460</v>
      </c>
      <c r="U17" s="22">
        <v>100</v>
      </c>
      <c r="V17" s="23" t="s">
        <v>984</v>
      </c>
      <c r="W17" s="14">
        <v>0</v>
      </c>
      <c r="X17" s="24">
        <f t="shared" si="9"/>
        <v>0</v>
      </c>
      <c r="Y17" s="25">
        <f t="shared" si="10"/>
        <v>0</v>
      </c>
      <c r="Z17" s="14">
        <v>0</v>
      </c>
      <c r="AA17" s="14" t="e">
        <v>#N/A</v>
      </c>
      <c r="AB17" s="27" t="e">
        <f t="shared" si="11"/>
        <v>#N/A</v>
      </c>
      <c r="AC17" s="28" t="e">
        <v>#N/A</v>
      </c>
      <c r="AD17" s="25">
        <f t="shared" si="12"/>
        <v>0</v>
      </c>
      <c r="AE17" s="25">
        <v>0</v>
      </c>
      <c r="AF17" s="25">
        <v>-4.4283418181818099</v>
      </c>
      <c r="AG17" s="25">
        <v>0</v>
      </c>
    </row>
    <row r="18" spans="1:33" ht="15.75" customHeight="1">
      <c r="A18" s="14" t="s">
        <v>42</v>
      </c>
      <c r="B18" s="14" t="s">
        <v>985</v>
      </c>
      <c r="C18" s="15">
        <f t="shared" si="4"/>
        <v>20.195</v>
      </c>
      <c r="D18" s="16">
        <v>12</v>
      </c>
      <c r="E18" s="16">
        <v>0</v>
      </c>
      <c r="F18" s="17">
        <v>242.34</v>
      </c>
      <c r="G18" s="29">
        <v>0</v>
      </c>
      <c r="H18" s="18">
        <f t="shared" si="1"/>
        <v>0</v>
      </c>
      <c r="I18" s="18">
        <f t="shared" si="2"/>
        <v>0.38556201279944824</v>
      </c>
      <c r="J18" s="17">
        <f t="shared" si="5"/>
        <v>93.437098181818286</v>
      </c>
      <c r="K18" s="17">
        <f t="shared" si="3"/>
        <v>7.7864248484848568</v>
      </c>
      <c r="L18" s="16">
        <v>46</v>
      </c>
      <c r="M18" s="19">
        <f t="shared" si="6"/>
        <v>0.2608695652173913</v>
      </c>
      <c r="N18" s="16">
        <v>310</v>
      </c>
      <c r="O18" s="20">
        <f t="shared" ref="O18:P18" si="26">D18/7</f>
        <v>1.7142857142857142</v>
      </c>
      <c r="P18" s="20">
        <f t="shared" si="26"/>
        <v>0</v>
      </c>
      <c r="Q18" s="16">
        <f t="shared" si="8"/>
        <v>180</v>
      </c>
      <c r="R18" s="16"/>
      <c r="S18" s="21">
        <v>1.6801112656467301</v>
      </c>
      <c r="T18" s="14">
        <v>660</v>
      </c>
      <c r="U18" s="22">
        <v>0</v>
      </c>
      <c r="V18" s="23" t="s">
        <v>986</v>
      </c>
      <c r="W18" s="14">
        <v>0</v>
      </c>
      <c r="X18" s="24">
        <f t="shared" si="9"/>
        <v>0</v>
      </c>
      <c r="Y18" s="25">
        <f t="shared" si="10"/>
        <v>0</v>
      </c>
      <c r="Z18" s="14">
        <v>0</v>
      </c>
      <c r="AA18" s="14" t="s">
        <v>35</v>
      </c>
      <c r="AB18" s="27">
        <f t="shared" si="11"/>
        <v>-0.69</v>
      </c>
      <c r="AC18" s="28">
        <v>3.6944444444444439E-2</v>
      </c>
      <c r="AD18" s="25">
        <f t="shared" si="12"/>
        <v>-0.6117999999999999</v>
      </c>
      <c r="AE18" s="25">
        <v>-4.9000000000000004</v>
      </c>
      <c r="AF18" s="25">
        <v>-4.4283418181818099</v>
      </c>
      <c r="AG18" s="25">
        <v>0</v>
      </c>
    </row>
    <row r="19" spans="1:33" ht="15.75" customHeight="1">
      <c r="A19" s="14" t="s">
        <v>44</v>
      </c>
      <c r="B19" s="14" t="s">
        <v>68</v>
      </c>
      <c r="C19" s="15">
        <f t="shared" si="4"/>
        <v>16.718474576271191</v>
      </c>
      <c r="D19" s="16">
        <v>59</v>
      </c>
      <c r="E19" s="16">
        <v>1</v>
      </c>
      <c r="F19" s="17">
        <v>986.39000000000033</v>
      </c>
      <c r="G19" s="29">
        <v>-60.970000000000006</v>
      </c>
      <c r="H19" s="18">
        <f t="shared" si="1"/>
        <v>6.1811251127850027E-2</v>
      </c>
      <c r="I19" s="18">
        <f t="shared" si="2"/>
        <v>0.21476172311216263</v>
      </c>
      <c r="J19" s="17">
        <f t="shared" si="5"/>
        <v>211.83881606060618</v>
      </c>
      <c r="K19" s="17">
        <f t="shared" si="3"/>
        <v>3.5904884078068844</v>
      </c>
      <c r="L19" s="16">
        <v>140</v>
      </c>
      <c r="M19" s="19">
        <f t="shared" si="6"/>
        <v>0.42142857142857143</v>
      </c>
      <c r="N19" s="16">
        <v>704</v>
      </c>
      <c r="O19" s="20">
        <f t="shared" ref="O19:P19" si="27">D19/7</f>
        <v>8.4285714285714288</v>
      </c>
      <c r="P19" s="20">
        <f t="shared" si="27"/>
        <v>0.14285714285714285</v>
      </c>
      <c r="Q19" s="16">
        <f t="shared" si="8"/>
        <v>82</v>
      </c>
      <c r="R19" s="16"/>
      <c r="S19" s="21">
        <v>1.0656660412757899</v>
      </c>
      <c r="T19" s="14">
        <v>360</v>
      </c>
      <c r="U19" s="22" t="s">
        <v>34</v>
      </c>
      <c r="V19" s="23" t="s">
        <v>34</v>
      </c>
      <c r="W19" s="14">
        <v>8</v>
      </c>
      <c r="X19" s="24">
        <f t="shared" si="9"/>
        <v>0.13559322033898305</v>
      </c>
      <c r="Y19" s="25">
        <f t="shared" si="10"/>
        <v>3.208947368421053</v>
      </c>
      <c r="Z19" s="14">
        <v>11</v>
      </c>
      <c r="AA19" s="14" t="s">
        <v>35</v>
      </c>
      <c r="AB19" s="27">
        <f t="shared" si="11"/>
        <v>-0.69</v>
      </c>
      <c r="AC19" s="28">
        <v>3.6944444444444439E-2</v>
      </c>
      <c r="AD19" s="25">
        <f t="shared" si="12"/>
        <v>-3.0080166666666663</v>
      </c>
      <c r="AE19" s="25">
        <v>-4.9000000000000004</v>
      </c>
      <c r="AF19" s="25">
        <v>-4.6358418181818193</v>
      </c>
      <c r="AG19" s="25">
        <v>0</v>
      </c>
    </row>
    <row r="20" spans="1:33" ht="15.75" customHeight="1">
      <c r="A20" s="14" t="s">
        <v>46</v>
      </c>
      <c r="B20" s="14" t="s">
        <v>987</v>
      </c>
      <c r="C20" s="15">
        <f t="shared" si="4"/>
        <v>16.480150375939871</v>
      </c>
      <c r="D20" s="16">
        <v>133</v>
      </c>
      <c r="E20" s="16">
        <v>6</v>
      </c>
      <c r="F20" s="17">
        <v>2191.8600000000029</v>
      </c>
      <c r="G20" s="29">
        <v>-71.230000000000018</v>
      </c>
      <c r="H20" s="18">
        <f t="shared" si="1"/>
        <v>3.2497513527323794E-2</v>
      </c>
      <c r="I20" s="18">
        <f t="shared" si="2"/>
        <v>0.23578296736492588</v>
      </c>
      <c r="J20" s="17">
        <f t="shared" si="5"/>
        <v>516.80325484848709</v>
      </c>
      <c r="K20" s="17">
        <f t="shared" si="3"/>
        <v>3.8857387582593015</v>
      </c>
      <c r="L20" s="16">
        <v>226</v>
      </c>
      <c r="M20" s="19">
        <f t="shared" si="6"/>
        <v>0.58849557522123896</v>
      </c>
      <c r="N20" s="16">
        <v>491</v>
      </c>
      <c r="O20" s="20">
        <f t="shared" ref="O20:P20" si="28">D20/7</f>
        <v>19</v>
      </c>
      <c r="P20" s="20">
        <f t="shared" si="28"/>
        <v>0.8571428571428571</v>
      </c>
      <c r="Q20" s="16">
        <f t="shared" si="8"/>
        <v>24</v>
      </c>
      <c r="R20" s="16"/>
      <c r="S20" s="21">
        <v>1.8560794044665001</v>
      </c>
      <c r="T20" s="14">
        <v>360</v>
      </c>
      <c r="U20" s="22" t="s">
        <v>34</v>
      </c>
      <c r="V20" s="23" t="s">
        <v>34</v>
      </c>
      <c r="W20" s="14">
        <v>7</v>
      </c>
      <c r="X20" s="24">
        <f t="shared" si="9"/>
        <v>5.2631578947368418E-2</v>
      </c>
      <c r="Y20" s="25">
        <f t="shared" si="10"/>
        <v>3.7489473684210535</v>
      </c>
      <c r="Z20" s="14">
        <v>12</v>
      </c>
      <c r="AA20" s="14" t="s">
        <v>35</v>
      </c>
      <c r="AB20" s="27">
        <f t="shared" si="11"/>
        <v>-0.69</v>
      </c>
      <c r="AC20" s="28">
        <v>3.6944444444444439E-2</v>
      </c>
      <c r="AD20" s="25">
        <f t="shared" si="12"/>
        <v>-6.7807833333333321</v>
      </c>
      <c r="AE20" s="25">
        <v>-4.9000000000000004</v>
      </c>
      <c r="AF20" s="25">
        <v>-4.6358418181818193</v>
      </c>
      <c r="AG20" s="25">
        <v>0</v>
      </c>
    </row>
    <row r="21" spans="1:33" ht="15.75" customHeight="1">
      <c r="A21" s="14" t="s">
        <v>47</v>
      </c>
      <c r="B21" s="14" t="s">
        <v>988</v>
      </c>
      <c r="C21" s="15">
        <f t="shared" si="4"/>
        <v>17.325378151260505</v>
      </c>
      <c r="D21" s="16">
        <v>119</v>
      </c>
      <c r="E21" s="16">
        <v>1</v>
      </c>
      <c r="F21" s="17">
        <v>2061.7200000000003</v>
      </c>
      <c r="G21" s="29">
        <v>-70.44</v>
      </c>
      <c r="H21" s="18">
        <f t="shared" si="1"/>
        <v>3.4165648099644952E-2</v>
      </c>
      <c r="I21" s="18">
        <f t="shared" si="2"/>
        <v>0.26249432850711873</v>
      </c>
      <c r="J21" s="17">
        <f t="shared" si="5"/>
        <v>541.18980696969686</v>
      </c>
      <c r="K21" s="17">
        <f t="shared" si="3"/>
        <v>4.5478135039470322</v>
      </c>
      <c r="L21" s="16">
        <v>106</v>
      </c>
      <c r="M21" s="19">
        <f t="shared" si="6"/>
        <v>1.1226415094339623</v>
      </c>
      <c r="N21" s="16">
        <v>404</v>
      </c>
      <c r="O21" s="20">
        <f t="shared" ref="O21:P21" si="29">D21/7</f>
        <v>17</v>
      </c>
      <c r="P21" s="20">
        <f t="shared" si="29"/>
        <v>0.14285714285714285</v>
      </c>
      <c r="Q21" s="16">
        <f t="shared" si="8"/>
        <v>23</v>
      </c>
      <c r="R21" s="16"/>
      <c r="S21" s="21">
        <v>3.0547945205479401</v>
      </c>
      <c r="T21" s="14">
        <v>360</v>
      </c>
      <c r="U21" s="22" t="s">
        <v>34</v>
      </c>
      <c r="V21" s="23" t="s">
        <v>34</v>
      </c>
      <c r="W21" s="14">
        <v>8</v>
      </c>
      <c r="X21" s="24">
        <f t="shared" si="9"/>
        <v>6.7226890756302518E-2</v>
      </c>
      <c r="Y21" s="25">
        <f t="shared" si="10"/>
        <v>4.4024999999999999</v>
      </c>
      <c r="Z21" s="14">
        <v>8</v>
      </c>
      <c r="AA21" s="14" t="s">
        <v>35</v>
      </c>
      <c r="AB21" s="27">
        <f t="shared" si="11"/>
        <v>-0.69</v>
      </c>
      <c r="AC21" s="28">
        <v>3.6944444444444439E-2</v>
      </c>
      <c r="AD21" s="25">
        <f t="shared" si="12"/>
        <v>-6.0670166666666656</v>
      </c>
      <c r="AE21" s="25">
        <v>-4.9000000000000004</v>
      </c>
      <c r="AF21" s="25">
        <v>-4.6358418181818193</v>
      </c>
      <c r="AG21" s="25">
        <v>0</v>
      </c>
    </row>
    <row r="22" spans="1:33" ht="15.75" customHeight="1">
      <c r="A22" s="14" t="s">
        <v>48</v>
      </c>
      <c r="B22" s="14" t="s">
        <v>68</v>
      </c>
      <c r="C22" s="15">
        <f t="shared" si="4"/>
        <v>18.555157894736841</v>
      </c>
      <c r="D22" s="16">
        <v>95</v>
      </c>
      <c r="E22" s="16">
        <v>2</v>
      </c>
      <c r="F22" s="29">
        <v>1762.7399999999998</v>
      </c>
      <c r="G22" s="29">
        <v>-16.98</v>
      </c>
      <c r="H22" s="18">
        <f t="shared" si="1"/>
        <v>9.6327308621804702E-3</v>
      </c>
      <c r="I22" s="18">
        <f t="shared" si="2"/>
        <v>0.32370094886713885</v>
      </c>
      <c r="J22" s="17">
        <f t="shared" si="5"/>
        <v>570.60061060606029</v>
      </c>
      <c r="K22" s="17">
        <f t="shared" si="3"/>
        <v>6.0063222169058976</v>
      </c>
      <c r="L22" s="16">
        <v>147</v>
      </c>
      <c r="M22" s="19">
        <f t="shared" si="6"/>
        <v>0.6462585034013606</v>
      </c>
      <c r="N22" s="16">
        <v>296</v>
      </c>
      <c r="O22" s="20">
        <f t="shared" ref="O22:P22" si="30">D22/7</f>
        <v>13.571428571428571</v>
      </c>
      <c r="P22" s="20">
        <f t="shared" si="30"/>
        <v>0.2857142857142857</v>
      </c>
      <c r="Q22" s="16">
        <f t="shared" si="8"/>
        <v>21</v>
      </c>
      <c r="R22" s="16"/>
      <c r="S22" s="21">
        <v>2.67712418300653</v>
      </c>
      <c r="T22" s="14">
        <v>660</v>
      </c>
      <c r="U22" s="22" t="s">
        <v>34</v>
      </c>
      <c r="V22" s="23" t="s">
        <v>34</v>
      </c>
      <c r="W22" s="14">
        <v>0</v>
      </c>
      <c r="X22" s="24">
        <f t="shared" si="9"/>
        <v>0</v>
      </c>
      <c r="Y22" s="25">
        <f t="shared" si="10"/>
        <v>16.98</v>
      </c>
      <c r="Z22" s="14">
        <v>1</v>
      </c>
      <c r="AA22" s="14" t="s">
        <v>35</v>
      </c>
      <c r="AB22" s="27">
        <f t="shared" si="11"/>
        <v>-0.69</v>
      </c>
      <c r="AC22" s="28">
        <v>3.6944444444444439E-2</v>
      </c>
      <c r="AD22" s="25">
        <f t="shared" si="12"/>
        <v>-4.8434166666666663</v>
      </c>
      <c r="AE22" s="25">
        <v>-4.9000000000000004</v>
      </c>
      <c r="AF22" s="25">
        <v>-4.6358418181818193</v>
      </c>
      <c r="AG22" s="25">
        <v>0</v>
      </c>
    </row>
    <row r="23" spans="1:33" ht="15.75" customHeight="1">
      <c r="A23" s="14" t="s">
        <v>49</v>
      </c>
      <c r="B23" s="14" t="s">
        <v>989</v>
      </c>
      <c r="C23" s="15">
        <f t="shared" si="4"/>
        <v>18.545972222222215</v>
      </c>
      <c r="D23" s="16">
        <v>72</v>
      </c>
      <c r="E23" s="16">
        <v>0</v>
      </c>
      <c r="F23" s="17">
        <v>1335.3099999999995</v>
      </c>
      <c r="G23" s="29">
        <v>0</v>
      </c>
      <c r="H23" s="18">
        <f t="shared" si="1"/>
        <v>0</v>
      </c>
      <c r="I23" s="18">
        <f t="shared" si="2"/>
        <v>0.3330777790107981</v>
      </c>
      <c r="J23" s="17">
        <f t="shared" si="5"/>
        <v>444.76208909090866</v>
      </c>
      <c r="K23" s="17">
        <f t="shared" si="3"/>
        <v>6.1772512373737314</v>
      </c>
      <c r="L23" s="16">
        <v>87</v>
      </c>
      <c r="M23" s="19">
        <f t="shared" si="6"/>
        <v>0.82758620689655171</v>
      </c>
      <c r="N23" s="16">
        <v>252</v>
      </c>
      <c r="O23" s="20">
        <f t="shared" ref="O23:P23" si="31">D23/7</f>
        <v>10.285714285714286</v>
      </c>
      <c r="P23" s="20">
        <f t="shared" si="31"/>
        <v>0</v>
      </c>
      <c r="Q23" s="16">
        <f t="shared" si="8"/>
        <v>24</v>
      </c>
      <c r="R23" s="16"/>
      <c r="S23" s="21">
        <v>2.9034965034965001</v>
      </c>
      <c r="T23" s="14">
        <v>1260</v>
      </c>
      <c r="U23" s="22" t="s">
        <v>34</v>
      </c>
      <c r="V23" s="23" t="s">
        <v>34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35</v>
      </c>
      <c r="AB23" s="27">
        <f t="shared" si="11"/>
        <v>-0.69</v>
      </c>
      <c r="AC23" s="28">
        <v>3.6944444444444439E-2</v>
      </c>
      <c r="AD23" s="25">
        <f t="shared" si="12"/>
        <v>-3.6707999999999994</v>
      </c>
      <c r="AE23" s="25">
        <v>-4.9000000000000004</v>
      </c>
      <c r="AF23" s="25">
        <v>-4.6358418181818193</v>
      </c>
      <c r="AG23" s="25">
        <v>0</v>
      </c>
    </row>
    <row r="24" spans="1:33" ht="15.75" customHeight="1">
      <c r="A24" s="14" t="s">
        <v>50</v>
      </c>
      <c r="B24" s="14" t="s">
        <v>990</v>
      </c>
      <c r="C24" s="15">
        <f t="shared" si="4"/>
        <v>18.093373493975911</v>
      </c>
      <c r="D24" s="16">
        <v>83</v>
      </c>
      <c r="E24" s="16">
        <v>1</v>
      </c>
      <c r="F24" s="17">
        <v>1501.7500000000005</v>
      </c>
      <c r="G24" s="17">
        <v>0</v>
      </c>
      <c r="H24" s="18">
        <f t="shared" si="1"/>
        <v>0</v>
      </c>
      <c r="I24" s="18">
        <f t="shared" si="2"/>
        <v>0.32014716991792408</v>
      </c>
      <c r="J24" s="17">
        <f t="shared" si="5"/>
        <v>480.78101242424265</v>
      </c>
      <c r="K24" s="17">
        <f t="shared" si="3"/>
        <v>5.7925423183643696</v>
      </c>
      <c r="L24" s="16">
        <v>138</v>
      </c>
      <c r="M24" s="19">
        <f t="shared" si="6"/>
        <v>0.60144927536231885</v>
      </c>
      <c r="N24" s="16">
        <v>171</v>
      </c>
      <c r="O24" s="20">
        <f t="shared" ref="O24:P24" si="32">D24/7</f>
        <v>11.857142857142858</v>
      </c>
      <c r="P24" s="20">
        <f t="shared" si="32"/>
        <v>0.14285714285714285</v>
      </c>
      <c r="Q24" s="16">
        <f t="shared" si="8"/>
        <v>14</v>
      </c>
      <c r="R24" s="16"/>
      <c r="S24" s="21">
        <v>2.6031746031746001</v>
      </c>
      <c r="T24" s="14">
        <v>1260</v>
      </c>
      <c r="U24" s="22" t="s">
        <v>34</v>
      </c>
      <c r="V24" s="23" t="s">
        <v>34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14" t="s">
        <v>35</v>
      </c>
      <c r="AB24" s="27">
        <f t="shared" si="11"/>
        <v>-0.69</v>
      </c>
      <c r="AC24" s="28">
        <v>3.6944444444444439E-2</v>
      </c>
      <c r="AD24" s="25">
        <f t="shared" si="12"/>
        <v>-4.2316166666666657</v>
      </c>
      <c r="AE24" s="25">
        <v>-4.9000000000000004</v>
      </c>
      <c r="AF24" s="25">
        <v>-4.6358418181818193</v>
      </c>
      <c r="AG24" s="25">
        <v>0</v>
      </c>
    </row>
    <row r="25" spans="1:33" ht="15.75" customHeight="1">
      <c r="A25" s="14" t="s">
        <v>51</v>
      </c>
      <c r="B25" s="14" t="s">
        <v>851</v>
      </c>
      <c r="C25" s="15">
        <f t="shared" si="4"/>
        <v>19.857692307692307</v>
      </c>
      <c r="D25" s="16">
        <v>52</v>
      </c>
      <c r="E25" s="16">
        <v>1</v>
      </c>
      <c r="F25" s="17">
        <v>1032.5999999999999</v>
      </c>
      <c r="G25" s="17">
        <v>0</v>
      </c>
      <c r="H25" s="18">
        <f t="shared" si="1"/>
        <v>0</v>
      </c>
      <c r="I25" s="18">
        <f t="shared" si="2"/>
        <v>0.36701420362838194</v>
      </c>
      <c r="J25" s="17">
        <f t="shared" si="5"/>
        <v>378.97886666666716</v>
      </c>
      <c r="K25" s="17">
        <f t="shared" si="3"/>
        <v>7.288055128205138</v>
      </c>
      <c r="L25" s="16">
        <v>136</v>
      </c>
      <c r="M25" s="19">
        <f t="shared" si="6"/>
        <v>0.38235294117647056</v>
      </c>
      <c r="N25" s="16">
        <v>515</v>
      </c>
      <c r="O25" s="20">
        <f t="shared" ref="O25:P25" si="33">D25/7</f>
        <v>7.4285714285714288</v>
      </c>
      <c r="P25" s="20">
        <f t="shared" si="33"/>
        <v>0.14285714285714285</v>
      </c>
      <c r="Q25" s="16">
        <f t="shared" si="8"/>
        <v>68</v>
      </c>
      <c r="R25" s="16"/>
      <c r="S25" s="21">
        <v>3.968</v>
      </c>
      <c r="T25" s="14">
        <v>1260</v>
      </c>
      <c r="U25" s="22" t="s">
        <v>34</v>
      </c>
      <c r="V25" s="23" t="s">
        <v>34</v>
      </c>
      <c r="W25" s="30">
        <v>0</v>
      </c>
      <c r="X25" s="24">
        <f t="shared" si="9"/>
        <v>0</v>
      </c>
      <c r="Y25" s="25">
        <f t="shared" si="10"/>
        <v>0</v>
      </c>
      <c r="Z25" s="30">
        <v>0</v>
      </c>
      <c r="AA25" s="14" t="s">
        <v>35</v>
      </c>
      <c r="AB25" s="27">
        <f t="shared" si="11"/>
        <v>-0.69</v>
      </c>
      <c r="AC25" s="28">
        <v>3.6944444444444439E-2</v>
      </c>
      <c r="AD25" s="25">
        <f t="shared" si="12"/>
        <v>-2.6511333333333331</v>
      </c>
      <c r="AE25" s="25">
        <v>-4.9000000000000004</v>
      </c>
      <c r="AF25" s="25">
        <v>-4.6399999999999899</v>
      </c>
      <c r="AG25" s="25">
        <v>0</v>
      </c>
    </row>
    <row r="26" spans="1:33" ht="15.75" customHeight="1">
      <c r="A26" s="14" t="s">
        <v>52</v>
      </c>
      <c r="B26" s="14" t="s">
        <v>68</v>
      </c>
      <c r="C26" s="15">
        <f t="shared" si="4"/>
        <v>19.239999999999998</v>
      </c>
      <c r="D26" s="16">
        <v>50</v>
      </c>
      <c r="E26" s="16">
        <v>1</v>
      </c>
      <c r="F26" s="17">
        <v>961.99999999999989</v>
      </c>
      <c r="G26" s="17">
        <v>0</v>
      </c>
      <c r="H26" s="18">
        <f t="shared" si="1"/>
        <v>0</v>
      </c>
      <c r="I26" s="18">
        <f t="shared" si="2"/>
        <v>0.34912551187551227</v>
      </c>
      <c r="J26" s="17">
        <f t="shared" si="5"/>
        <v>335.85874242424279</v>
      </c>
      <c r="K26" s="17">
        <f t="shared" si="3"/>
        <v>6.7171748484848557</v>
      </c>
      <c r="L26" s="16">
        <v>91</v>
      </c>
      <c r="M26" s="19">
        <f t="shared" si="6"/>
        <v>0.5494505494505495</v>
      </c>
      <c r="N26" s="16">
        <v>484</v>
      </c>
      <c r="O26" s="20">
        <f t="shared" ref="O26:P26" si="34">D26/7</f>
        <v>7.1428571428571432</v>
      </c>
      <c r="P26" s="20">
        <f t="shared" si="34"/>
        <v>0.14285714285714285</v>
      </c>
      <c r="Q26" s="16">
        <f t="shared" si="8"/>
        <v>66</v>
      </c>
      <c r="R26" s="16"/>
      <c r="S26" s="21">
        <v>2.3512797881729921</v>
      </c>
      <c r="T26" s="14">
        <v>1260</v>
      </c>
      <c r="U26" s="22" t="s">
        <v>34</v>
      </c>
      <c r="V26" s="23" t="s">
        <v>34</v>
      </c>
      <c r="W26" s="30">
        <v>0</v>
      </c>
      <c r="X26" s="24">
        <f t="shared" si="9"/>
        <v>0</v>
      </c>
      <c r="Y26" s="25">
        <f t="shared" si="10"/>
        <v>0</v>
      </c>
      <c r="Z26" s="30">
        <v>0</v>
      </c>
      <c r="AA26" s="14" t="s">
        <v>35</v>
      </c>
      <c r="AB26" s="27">
        <f t="shared" si="11"/>
        <v>-0.69</v>
      </c>
      <c r="AC26" s="28">
        <v>3.6944444444444439E-2</v>
      </c>
      <c r="AD26" s="25">
        <f t="shared" si="12"/>
        <v>-2.5491666666666664</v>
      </c>
      <c r="AE26" s="25">
        <v>-4.95</v>
      </c>
      <c r="AF26" s="25">
        <v>-4.6358418181818104</v>
      </c>
      <c r="AG26" s="25">
        <v>0</v>
      </c>
    </row>
    <row r="27" spans="1:33" ht="15.75" customHeight="1">
      <c r="A27" s="14" t="s">
        <v>53</v>
      </c>
      <c r="B27" s="14" t="s">
        <v>68</v>
      </c>
      <c r="C27" s="15">
        <f t="shared" si="4"/>
        <v>18.044155844155846</v>
      </c>
      <c r="D27" s="16">
        <v>77</v>
      </c>
      <c r="E27" s="16">
        <v>0</v>
      </c>
      <c r="F27" s="17">
        <v>1389.4</v>
      </c>
      <c r="G27" s="17">
        <v>0</v>
      </c>
      <c r="H27" s="18">
        <f t="shared" si="1"/>
        <v>0</v>
      </c>
      <c r="I27" s="18">
        <f t="shared" si="2"/>
        <v>0.31515967132095374</v>
      </c>
      <c r="J27" s="17">
        <f t="shared" si="5"/>
        <v>437.88284733333319</v>
      </c>
      <c r="K27" s="17">
        <f t="shared" si="3"/>
        <v>5.686790225108223</v>
      </c>
      <c r="L27" s="16">
        <v>175</v>
      </c>
      <c r="M27" s="19">
        <f t="shared" si="6"/>
        <v>0.44</v>
      </c>
      <c r="N27" s="16">
        <v>392</v>
      </c>
      <c r="O27" s="20">
        <f t="shared" ref="O27:P27" si="35">D27/7</f>
        <v>11</v>
      </c>
      <c r="P27" s="20">
        <f t="shared" si="35"/>
        <v>0</v>
      </c>
      <c r="Q27" s="16">
        <f t="shared" si="8"/>
        <v>35</v>
      </c>
      <c r="R27" s="16"/>
      <c r="S27" s="21">
        <v>2.8271251193887301</v>
      </c>
      <c r="T27" s="14">
        <v>1260</v>
      </c>
      <c r="U27" s="22" t="s">
        <v>34</v>
      </c>
      <c r="V27" s="23" t="s">
        <v>34</v>
      </c>
      <c r="W27" s="30">
        <v>0</v>
      </c>
      <c r="X27" s="24">
        <f t="shared" si="9"/>
        <v>0</v>
      </c>
      <c r="Y27" s="25">
        <f t="shared" si="10"/>
        <v>0</v>
      </c>
      <c r="Z27" s="30">
        <v>0</v>
      </c>
      <c r="AA27" s="14" t="s">
        <v>35</v>
      </c>
      <c r="AB27" s="27">
        <f t="shared" si="11"/>
        <v>-0.69</v>
      </c>
      <c r="AC27" s="28">
        <v>3.6944444444444439E-2</v>
      </c>
      <c r="AD27" s="25">
        <f t="shared" si="12"/>
        <v>-3.9257166666666659</v>
      </c>
      <c r="AE27" s="25">
        <v>-4.95</v>
      </c>
      <c r="AF27" s="25">
        <v>-4.6497589090909104</v>
      </c>
      <c r="AG27" s="25">
        <v>0</v>
      </c>
    </row>
    <row r="28" spans="1:33" ht="15.75" customHeight="1">
      <c r="A28" s="14" t="s">
        <v>54</v>
      </c>
      <c r="B28" s="14" t="s">
        <v>991</v>
      </c>
      <c r="C28" s="15">
        <f t="shared" si="4"/>
        <v>18.52090909090909</v>
      </c>
      <c r="D28" s="16">
        <v>77</v>
      </c>
      <c r="E28" s="16">
        <v>1</v>
      </c>
      <c r="F28" s="17">
        <v>1426.11</v>
      </c>
      <c r="G28" s="17">
        <v>0</v>
      </c>
      <c r="H28" s="18">
        <f t="shared" si="1"/>
        <v>0</v>
      </c>
      <c r="I28" s="18">
        <f t="shared" si="2"/>
        <v>0.32892718467252391</v>
      </c>
      <c r="J28" s="17">
        <f t="shared" si="5"/>
        <v>469.08634733333304</v>
      </c>
      <c r="K28" s="17">
        <f t="shared" si="3"/>
        <v>6.0920304848484808</v>
      </c>
      <c r="L28" s="16">
        <v>154</v>
      </c>
      <c r="M28" s="19">
        <f t="shared" si="6"/>
        <v>0.5</v>
      </c>
      <c r="N28" s="16">
        <v>308</v>
      </c>
      <c r="O28" s="20">
        <f t="shared" ref="O28:P28" si="36">D28/7</f>
        <v>11</v>
      </c>
      <c r="P28" s="20">
        <f t="shared" si="36"/>
        <v>0.14285714285714285</v>
      </c>
      <c r="Q28" s="16">
        <f t="shared" si="8"/>
        <v>27</v>
      </c>
      <c r="R28" s="16"/>
      <c r="S28" s="21">
        <v>2.5721040189125302</v>
      </c>
      <c r="T28" s="14">
        <v>1660</v>
      </c>
      <c r="U28" s="22" t="s">
        <v>34</v>
      </c>
      <c r="V28" s="23" t="s">
        <v>34</v>
      </c>
      <c r="W28" s="30">
        <v>0</v>
      </c>
      <c r="X28" s="24">
        <f t="shared" si="9"/>
        <v>0</v>
      </c>
      <c r="Y28" s="25">
        <f t="shared" si="10"/>
        <v>0</v>
      </c>
      <c r="Z28" s="30">
        <v>0</v>
      </c>
      <c r="AA28" s="14" t="s">
        <v>35</v>
      </c>
      <c r="AB28" s="27">
        <f t="shared" si="11"/>
        <v>-0.69</v>
      </c>
      <c r="AC28" s="28">
        <v>3.6944444444444439E-2</v>
      </c>
      <c r="AD28" s="25">
        <f t="shared" si="12"/>
        <v>-3.9257166666666659</v>
      </c>
      <c r="AE28" s="25">
        <v>-4.95</v>
      </c>
      <c r="AF28" s="25">
        <v>-4.6497589090909104</v>
      </c>
      <c r="AG28" s="25">
        <v>0</v>
      </c>
    </row>
    <row r="29" spans="1:33" ht="15.75" customHeight="1">
      <c r="A29" s="14" t="s">
        <v>55</v>
      </c>
      <c r="B29" s="14" t="s">
        <v>992</v>
      </c>
      <c r="C29" s="15">
        <f t="shared" si="4"/>
        <v>18.613870967741935</v>
      </c>
      <c r="D29" s="16">
        <v>62</v>
      </c>
      <c r="E29" s="16">
        <v>3</v>
      </c>
      <c r="F29" s="17">
        <v>1154.06</v>
      </c>
      <c r="G29" s="17">
        <v>0</v>
      </c>
      <c r="H29" s="18">
        <f t="shared" si="1"/>
        <v>0</v>
      </c>
      <c r="I29" s="18">
        <f t="shared" si="2"/>
        <v>0.33152954003231788</v>
      </c>
      <c r="J29" s="17">
        <f t="shared" si="5"/>
        <v>382.60498096969673</v>
      </c>
      <c r="K29" s="17">
        <f t="shared" si="3"/>
        <v>6.1710480801563987</v>
      </c>
      <c r="L29" s="16">
        <v>135</v>
      </c>
      <c r="M29" s="19">
        <f t="shared" si="6"/>
        <v>0.45925925925925926</v>
      </c>
      <c r="N29" s="16">
        <v>253</v>
      </c>
      <c r="O29" s="20">
        <f t="shared" ref="O29:P29" si="37">D29/7</f>
        <v>8.8571428571428577</v>
      </c>
      <c r="P29" s="20">
        <f t="shared" si="37"/>
        <v>0.42857142857142855</v>
      </c>
      <c r="Q29" s="16">
        <f t="shared" si="8"/>
        <v>27</v>
      </c>
      <c r="R29" s="16"/>
      <c r="S29" s="21">
        <v>3.890829694323144</v>
      </c>
      <c r="T29" s="14">
        <v>2460</v>
      </c>
      <c r="U29" s="22">
        <v>44409</v>
      </c>
      <c r="V29" s="23" t="s">
        <v>993</v>
      </c>
      <c r="W29" s="30">
        <v>0</v>
      </c>
      <c r="X29" s="24">
        <f t="shared" si="9"/>
        <v>0</v>
      </c>
      <c r="Y29" s="25">
        <f t="shared" si="10"/>
        <v>0</v>
      </c>
      <c r="Z29" s="30">
        <v>0</v>
      </c>
      <c r="AA29" s="14" t="s">
        <v>35</v>
      </c>
      <c r="AB29" s="27">
        <f t="shared" si="11"/>
        <v>-0.69</v>
      </c>
      <c r="AC29" s="28">
        <v>3.6944444444444439E-2</v>
      </c>
      <c r="AD29" s="25">
        <f t="shared" si="12"/>
        <v>-3.160966666666666</v>
      </c>
      <c r="AE29" s="25">
        <v>-4.95</v>
      </c>
      <c r="AF29" s="25">
        <v>-4.6497589090909104</v>
      </c>
      <c r="AG29" s="25">
        <v>0</v>
      </c>
    </row>
    <row r="30" spans="1:33" ht="15.75" customHeight="1">
      <c r="A30" s="14" t="s">
        <v>57</v>
      </c>
      <c r="B30" s="14" t="s">
        <v>68</v>
      </c>
      <c r="C30" s="15">
        <f t="shared" si="4"/>
        <v>19.360847457627131</v>
      </c>
      <c r="D30" s="16">
        <v>59</v>
      </c>
      <c r="E30" s="16">
        <v>2</v>
      </c>
      <c r="F30" s="17">
        <v>1142.2900000000006</v>
      </c>
      <c r="G30" s="17">
        <v>-0.08</v>
      </c>
      <c r="H30" s="18">
        <f t="shared" si="1"/>
        <v>7.0034754747043184E-5</v>
      </c>
      <c r="I30" s="18">
        <f t="shared" si="2"/>
        <v>0.34858934121644553</v>
      </c>
      <c r="J30" s="17">
        <f t="shared" si="5"/>
        <v>398.19011857813376</v>
      </c>
      <c r="K30" s="17">
        <f t="shared" si="3"/>
        <v>6.7489850606463353</v>
      </c>
      <c r="L30" s="16">
        <v>122</v>
      </c>
      <c r="M30" s="19">
        <f t="shared" si="6"/>
        <v>0.48360655737704916</v>
      </c>
      <c r="N30" s="16">
        <v>192</v>
      </c>
      <c r="O30" s="20">
        <f t="shared" ref="O30:P30" si="38">D30/7</f>
        <v>8.4285714285714288</v>
      </c>
      <c r="P30" s="20">
        <f t="shared" si="38"/>
        <v>0.2857142857142857</v>
      </c>
      <c r="Q30" s="16">
        <f t="shared" si="8"/>
        <v>22</v>
      </c>
      <c r="R30" s="16"/>
      <c r="S30" s="21">
        <v>3.1672354948805461</v>
      </c>
      <c r="T30" s="14">
        <v>1260</v>
      </c>
      <c r="U30" s="22">
        <v>500</v>
      </c>
      <c r="V30" s="23" t="s">
        <v>993</v>
      </c>
      <c r="W30" s="30">
        <v>0</v>
      </c>
      <c r="X30" s="24">
        <f t="shared" si="9"/>
        <v>0</v>
      </c>
      <c r="Y30" s="25">
        <f t="shared" si="10"/>
        <v>0</v>
      </c>
      <c r="Z30" s="30">
        <v>0</v>
      </c>
      <c r="AA30" s="14" t="s">
        <v>35</v>
      </c>
      <c r="AB30" s="27">
        <f t="shared" si="11"/>
        <v>-0.69</v>
      </c>
      <c r="AC30" s="28">
        <v>3.6944444444444439E-2</v>
      </c>
      <c r="AD30" s="25">
        <f t="shared" si="12"/>
        <v>-3.0080166666666663</v>
      </c>
      <c r="AE30" s="25">
        <v>-4.95</v>
      </c>
      <c r="AF30" s="25">
        <v>-4.7053960127999996</v>
      </c>
      <c r="AG30" s="25">
        <v>0</v>
      </c>
    </row>
    <row r="31" spans="1:33" ht="15.75" customHeight="1">
      <c r="A31" s="14" t="s">
        <v>58</v>
      </c>
      <c r="B31" s="14" t="s">
        <v>862</v>
      </c>
      <c r="C31" s="15">
        <f t="shared" si="4"/>
        <v>19.5</v>
      </c>
      <c r="D31" s="16">
        <v>27</v>
      </c>
      <c r="E31" s="16">
        <v>1</v>
      </c>
      <c r="F31" s="17">
        <v>526.5</v>
      </c>
      <c r="G31" s="17">
        <v>-2.0699999999999998</v>
      </c>
      <c r="H31" s="18">
        <f t="shared" si="1"/>
        <v>3.9316239316239312E-3</v>
      </c>
      <c r="I31" s="18">
        <f t="shared" si="2"/>
        <v>0.34830533267692304</v>
      </c>
      <c r="J31" s="17">
        <f t="shared" si="5"/>
        <v>183.38275765439997</v>
      </c>
      <c r="K31" s="17">
        <f t="shared" si="3"/>
        <v>6.7919539871999985</v>
      </c>
      <c r="L31" s="16">
        <v>101</v>
      </c>
      <c r="M31" s="19">
        <f t="shared" si="6"/>
        <v>0.26732673267326734</v>
      </c>
      <c r="N31" s="16">
        <v>163</v>
      </c>
      <c r="O31" s="20">
        <f t="shared" ref="O31:P31" si="39">D31/7</f>
        <v>3.8571428571428572</v>
      </c>
      <c r="P31" s="20">
        <f t="shared" si="39"/>
        <v>0.14285714285714285</v>
      </c>
      <c r="Q31" s="16">
        <f t="shared" si="8"/>
        <v>40</v>
      </c>
      <c r="R31" s="16"/>
      <c r="S31" s="21">
        <v>3.05808477237048</v>
      </c>
      <c r="T31" s="14">
        <v>460</v>
      </c>
      <c r="U31" s="22" t="s">
        <v>34</v>
      </c>
      <c r="V31" s="23" t="s">
        <v>994</v>
      </c>
      <c r="W31" s="30">
        <v>0</v>
      </c>
      <c r="X31" s="24">
        <f t="shared" si="9"/>
        <v>0</v>
      </c>
      <c r="Y31" s="25">
        <f t="shared" si="10"/>
        <v>0</v>
      </c>
      <c r="Z31" s="30">
        <v>0</v>
      </c>
      <c r="AA31" s="14" t="s">
        <v>35</v>
      </c>
      <c r="AB31" s="27">
        <f t="shared" si="11"/>
        <v>-0.69</v>
      </c>
      <c r="AC31" s="28">
        <v>3.6944444444444439E-2</v>
      </c>
      <c r="AD31" s="25">
        <f t="shared" si="12"/>
        <v>-1.3765499999999997</v>
      </c>
      <c r="AE31" s="25">
        <v>-4.95</v>
      </c>
      <c r="AF31" s="25">
        <v>-4.7053960128000005</v>
      </c>
      <c r="AG31" s="25">
        <v>0</v>
      </c>
    </row>
    <row r="32" spans="1:33" ht="15.75" customHeight="1">
      <c r="A32" s="14" t="s">
        <v>60</v>
      </c>
      <c r="B32" s="14"/>
      <c r="C32" s="15">
        <f t="shared" si="4"/>
        <v>19.91691176470588</v>
      </c>
      <c r="D32" s="16">
        <v>68</v>
      </c>
      <c r="E32" s="16">
        <v>2</v>
      </c>
      <c r="F32" s="17">
        <v>1354.35</v>
      </c>
      <c r="G32" s="17">
        <v>0</v>
      </c>
      <c r="H32" s="18">
        <f t="shared" si="1"/>
        <v>0</v>
      </c>
      <c r="I32" s="18">
        <f t="shared" si="2"/>
        <v>0.36265640673602351</v>
      </c>
      <c r="J32" s="17">
        <f t="shared" si="5"/>
        <v>491.16370446293342</v>
      </c>
      <c r="K32" s="17">
        <f t="shared" si="3"/>
        <v>7.2229956538666684</v>
      </c>
      <c r="L32" s="16">
        <v>127</v>
      </c>
      <c r="M32" s="19">
        <f t="shared" si="6"/>
        <v>0.53543307086614178</v>
      </c>
      <c r="N32" s="16">
        <v>148</v>
      </c>
      <c r="O32" s="20">
        <f t="shared" ref="O32:P32" si="40">D32/7</f>
        <v>9.7142857142857135</v>
      </c>
      <c r="P32" s="20">
        <f t="shared" si="40"/>
        <v>0.2857142857142857</v>
      </c>
      <c r="Q32" s="16">
        <f t="shared" si="8"/>
        <v>14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2.634666666666666</v>
      </c>
      <c r="T32" s="14">
        <f ca="1">IFERROR(__xludf.DUMMYFUNCTION("IFERROR(VLOOKUP($B$2,IMPORTRANGE(""https://docs.google.com/spreadsheets/d/1KiWZV1ko8G7lnRucBRBd29jj3Be6ltMfljMDqzOkQmI/edit#gid=1381463014"",""Lookup!A:D""),4,FALSE),"""")"),460)</f>
        <v>460</v>
      </c>
      <c r="U32" s="22">
        <f ca="1">IFERROR(__xludf.DUMMYFUNCTION("IFERROR(VLOOKUP($B$2,IMPORTRANGE(""https://docs.google.com/spreadsheets/d/1KiWZV1ko8G7lnRucBRBd29jj3Be6ltMfljMDqzOkQmI/edit#gid=1381463014"",""Lookup!A:D""),3,FALSE),"""")"),800)</f>
        <v>800</v>
      </c>
      <c r="V32" s="23" t="str">
        <f ca="1">IFERROR(__xludf.DUMMYFUNCTION("IFERROR(VLOOKUP($B$2,IMPORTRANGE(""https://docs.google.com/spreadsheets/d/1KiWZV1ko8G7lnRucBRBd29jj3Be6ltMfljMDqzOkQmI/edit#gid=1381463014"",""Lookup!A:D""),2,FALSE),"""")"),"| 417  - 500 units 08/14| 415  - 300 units 08/21")</f>
        <v>| 417  - 500 units 08/14| 415  - 300 units 08/21</v>
      </c>
      <c r="W32" s="30">
        <v>0</v>
      </c>
      <c r="X32" s="24">
        <f t="shared" si="9"/>
        <v>0</v>
      </c>
      <c r="Y32" s="25">
        <f t="shared" si="10"/>
        <v>0</v>
      </c>
      <c r="Z32" s="30">
        <v>0</v>
      </c>
      <c r="AA32" s="14" t="s">
        <v>35</v>
      </c>
      <c r="AB32" s="27">
        <f t="shared" si="11"/>
        <v>-0.69</v>
      </c>
      <c r="AC32" s="28">
        <v>3.6944444444444439E-2</v>
      </c>
      <c r="AD32" s="25">
        <f t="shared" si="12"/>
        <v>-3.4668666666666663</v>
      </c>
      <c r="AE32" s="25">
        <v>-4.95</v>
      </c>
      <c r="AF32" s="25">
        <v>-4.7053960127999996</v>
      </c>
      <c r="AG32" s="25">
        <v>0</v>
      </c>
    </row>
    <row r="33" spans="1:33" ht="15.75" customHeight="1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>
        <v>70</v>
      </c>
      <c r="P33" s="33"/>
      <c r="Q33" s="33"/>
      <c r="R33" s="16"/>
      <c r="S33" s="21"/>
      <c r="T33" s="31"/>
      <c r="U33" s="36"/>
      <c r="V33" s="1"/>
      <c r="W33" s="31"/>
      <c r="X33" s="31"/>
      <c r="Y33" s="31"/>
      <c r="Z33" s="31"/>
      <c r="AA33" s="2"/>
      <c r="AB33" s="31"/>
      <c r="AC33" s="31"/>
      <c r="AD33" s="31"/>
      <c r="AE33" s="37"/>
      <c r="AF33" s="37"/>
      <c r="AG33" s="37"/>
    </row>
    <row r="34" spans="1:33" ht="15.75" customHeight="1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6"/>
      <c r="V34" s="1"/>
      <c r="W34" s="31"/>
      <c r="X34" s="31"/>
      <c r="Y34" s="31"/>
      <c r="Z34" s="31"/>
      <c r="AA34" s="2"/>
      <c r="AB34" s="31"/>
      <c r="AC34" s="31"/>
      <c r="AD34" s="31"/>
      <c r="AE34" s="37"/>
      <c r="AF34" s="37"/>
      <c r="AG34" s="37"/>
    </row>
    <row r="35" spans="1:33" ht="15.75" customHeight="1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6"/>
      <c r="V35" s="1"/>
      <c r="W35" s="31"/>
      <c r="X35" s="31"/>
      <c r="Y35" s="31"/>
      <c r="Z35" s="31"/>
      <c r="AA35" s="2"/>
      <c r="AB35" s="31"/>
      <c r="AC35" s="31"/>
      <c r="AD35" s="31"/>
      <c r="AE35" s="37"/>
      <c r="AF35" s="37"/>
      <c r="AG35" s="37"/>
    </row>
    <row r="36" spans="1:33" ht="15.75" customHeight="1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6"/>
      <c r="V36" s="1"/>
      <c r="W36" s="31"/>
      <c r="X36" s="31"/>
      <c r="Y36" s="31"/>
      <c r="Z36" s="31"/>
      <c r="AA36" s="2"/>
      <c r="AB36" s="31"/>
      <c r="AC36" s="31"/>
      <c r="AD36" s="31"/>
      <c r="AE36" s="37"/>
      <c r="AF36" s="37"/>
      <c r="AG36" s="37"/>
    </row>
    <row r="37" spans="1:33" ht="15.75" customHeight="1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6"/>
      <c r="V37" s="1"/>
      <c r="W37" s="31"/>
      <c r="X37" s="31"/>
      <c r="Y37" s="31"/>
      <c r="Z37" s="31"/>
      <c r="AA37" s="2"/>
      <c r="AB37" s="31"/>
      <c r="AC37" s="31"/>
      <c r="AD37" s="31"/>
      <c r="AE37" s="37"/>
      <c r="AF37" s="37"/>
      <c r="AG37" s="37"/>
    </row>
    <row r="38" spans="1:33" ht="15.75" customHeight="1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6"/>
      <c r="V38" s="1"/>
      <c r="W38" s="31"/>
      <c r="X38" s="31"/>
      <c r="Y38" s="31"/>
      <c r="Z38" s="31"/>
      <c r="AA38" s="2"/>
      <c r="AB38" s="31"/>
      <c r="AC38" s="31"/>
      <c r="AD38" s="31"/>
      <c r="AE38" s="37"/>
      <c r="AF38" s="37"/>
      <c r="AG38" s="37"/>
    </row>
    <row r="39" spans="1:33" ht="15.75" customHeight="1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6"/>
      <c r="V39" s="1"/>
      <c r="W39" s="31"/>
      <c r="X39" s="31"/>
      <c r="Y39" s="31"/>
      <c r="Z39" s="31"/>
      <c r="AA39" s="2"/>
      <c r="AB39" s="31"/>
      <c r="AC39" s="31"/>
      <c r="AD39" s="31"/>
      <c r="AE39" s="37"/>
      <c r="AF39" s="37"/>
      <c r="AG39" s="37"/>
    </row>
    <row r="40" spans="1:33" ht="15.75" customHeight="1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6"/>
      <c r="V40" s="1"/>
      <c r="W40" s="31"/>
      <c r="X40" s="31"/>
      <c r="Y40" s="31"/>
      <c r="Z40" s="31"/>
      <c r="AA40" s="2"/>
      <c r="AB40" s="31"/>
      <c r="AC40" s="31"/>
      <c r="AD40" s="31"/>
      <c r="AE40" s="37"/>
      <c r="AF40" s="37"/>
      <c r="AG40" s="37"/>
    </row>
    <row r="41" spans="1:33" ht="15.75" customHeight="1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6"/>
      <c r="V41" s="1"/>
      <c r="W41" s="31"/>
      <c r="X41" s="31"/>
      <c r="Y41" s="31"/>
      <c r="Z41" s="31"/>
      <c r="AA41" s="2"/>
      <c r="AB41" s="31"/>
      <c r="AC41" s="31"/>
      <c r="AD41" s="31"/>
      <c r="AE41" s="37"/>
      <c r="AF41" s="37"/>
      <c r="AG41" s="37"/>
    </row>
    <row r="42" spans="1:33" ht="15.75" customHeight="1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6"/>
      <c r="V42" s="1"/>
      <c r="W42" s="31"/>
      <c r="X42" s="31"/>
      <c r="Y42" s="31"/>
      <c r="Z42" s="31"/>
      <c r="AA42" s="2"/>
      <c r="AB42" s="31"/>
      <c r="AC42" s="31"/>
      <c r="AD42" s="31"/>
      <c r="AE42" s="37"/>
      <c r="AF42" s="37"/>
      <c r="AG42" s="37"/>
    </row>
    <row r="43" spans="1:33" ht="15.75" customHeight="1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6"/>
      <c r="V43" s="1"/>
      <c r="W43" s="31"/>
      <c r="X43" s="31"/>
      <c r="Y43" s="31"/>
      <c r="Z43" s="31"/>
      <c r="AA43" s="2"/>
      <c r="AB43" s="31"/>
      <c r="AC43" s="31"/>
      <c r="AD43" s="31"/>
      <c r="AE43" s="37"/>
      <c r="AF43" s="37"/>
      <c r="AG43" s="37"/>
    </row>
    <row r="44" spans="1:33" ht="15.75" customHeight="1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6"/>
      <c r="V44" s="1"/>
      <c r="W44" s="31"/>
      <c r="X44" s="31"/>
      <c r="Y44" s="31"/>
      <c r="Z44" s="31"/>
      <c r="AA44" s="2"/>
      <c r="AB44" s="31"/>
      <c r="AC44" s="31"/>
      <c r="AD44" s="31"/>
      <c r="AE44" s="37"/>
      <c r="AF44" s="37"/>
      <c r="AG44" s="37"/>
    </row>
    <row r="45" spans="1:33" ht="15.75" customHeight="1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6"/>
      <c r="V45" s="1"/>
      <c r="W45" s="31"/>
      <c r="X45" s="31"/>
      <c r="Y45" s="31"/>
      <c r="Z45" s="31"/>
      <c r="AA45" s="2"/>
      <c r="AB45" s="31"/>
      <c r="AC45" s="31"/>
      <c r="AD45" s="31"/>
      <c r="AE45" s="37"/>
      <c r="AF45" s="37"/>
      <c r="AG45" s="37"/>
    </row>
    <row r="46" spans="1:33" ht="15.75" customHeight="1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6"/>
      <c r="V46" s="1"/>
      <c r="W46" s="31"/>
      <c r="X46" s="31"/>
      <c r="Y46" s="31"/>
      <c r="Z46" s="31"/>
      <c r="AA46" s="2"/>
      <c r="AB46" s="31"/>
      <c r="AC46" s="31"/>
      <c r="AD46" s="31"/>
      <c r="AE46" s="37"/>
      <c r="AF46" s="37"/>
      <c r="AG46" s="37"/>
    </row>
    <row r="47" spans="1:33" ht="15.75" customHeight="1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6"/>
      <c r="V47" s="1"/>
      <c r="W47" s="31"/>
      <c r="X47" s="31"/>
      <c r="Y47" s="31"/>
      <c r="Z47" s="31"/>
      <c r="AA47" s="2"/>
      <c r="AB47" s="31"/>
      <c r="AC47" s="31"/>
      <c r="AD47" s="31"/>
      <c r="AE47" s="37"/>
      <c r="AF47" s="37"/>
      <c r="AG47" s="37"/>
    </row>
    <row r="48" spans="1:33" ht="15.75" customHeight="1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6"/>
      <c r="V48" s="1"/>
      <c r="W48" s="31"/>
      <c r="X48" s="31"/>
      <c r="Y48" s="31"/>
      <c r="Z48" s="31"/>
      <c r="AA48" s="2"/>
      <c r="AB48" s="31"/>
      <c r="AC48" s="31"/>
      <c r="AD48" s="31"/>
      <c r="AE48" s="37"/>
      <c r="AF48" s="37"/>
      <c r="AG48" s="37"/>
    </row>
    <row r="49" spans="1:33" ht="15.75" customHeight="1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6"/>
      <c r="V49" s="1"/>
      <c r="W49" s="31"/>
      <c r="X49" s="31"/>
      <c r="Y49" s="31"/>
      <c r="Z49" s="31"/>
      <c r="AA49" s="2"/>
      <c r="AB49" s="31"/>
      <c r="AC49" s="31"/>
      <c r="AD49" s="31"/>
      <c r="AE49" s="37"/>
      <c r="AF49" s="37"/>
      <c r="AG49" s="37"/>
    </row>
    <row r="50" spans="1:33" ht="15.75" customHeight="1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6"/>
      <c r="V50" s="1"/>
      <c r="W50" s="31"/>
      <c r="X50" s="31"/>
      <c r="Y50" s="31"/>
      <c r="Z50" s="31"/>
      <c r="AA50" s="2"/>
      <c r="AB50" s="31"/>
      <c r="AC50" s="31"/>
      <c r="AD50" s="31"/>
      <c r="AE50" s="37"/>
      <c r="AF50" s="37"/>
      <c r="AG50" s="37"/>
    </row>
    <row r="51" spans="1:33" ht="15.75" customHeight="1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6"/>
      <c r="V51" s="1"/>
      <c r="W51" s="31"/>
      <c r="X51" s="31"/>
      <c r="Y51" s="31"/>
      <c r="Z51" s="31"/>
      <c r="AA51" s="2"/>
      <c r="AB51" s="31"/>
      <c r="AC51" s="31"/>
      <c r="AD51" s="31"/>
      <c r="AE51" s="37"/>
      <c r="AF51" s="37"/>
      <c r="AG51" s="37"/>
    </row>
    <row r="52" spans="1:33" ht="15.75" customHeight="1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6"/>
      <c r="V52" s="1"/>
      <c r="W52" s="31"/>
      <c r="X52" s="31"/>
      <c r="Y52" s="31"/>
      <c r="Z52" s="31"/>
      <c r="AA52" s="2"/>
      <c r="AB52" s="31"/>
      <c r="AC52" s="31"/>
      <c r="AD52" s="31"/>
      <c r="AE52" s="37"/>
      <c r="AF52" s="37"/>
      <c r="AG52" s="37"/>
    </row>
    <row r="53" spans="1:33" ht="15.75" customHeight="1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6"/>
      <c r="V53" s="1"/>
      <c r="W53" s="31"/>
      <c r="X53" s="31"/>
      <c r="Y53" s="31"/>
      <c r="Z53" s="31"/>
      <c r="AA53" s="2"/>
      <c r="AB53" s="31"/>
      <c r="AC53" s="31"/>
      <c r="AD53" s="31"/>
      <c r="AE53" s="37"/>
      <c r="AF53" s="37"/>
      <c r="AG53" s="37"/>
    </row>
    <row r="54" spans="1:33" ht="15.75" customHeight="1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6"/>
      <c r="V54" s="1"/>
      <c r="W54" s="31"/>
      <c r="X54" s="31"/>
      <c r="Y54" s="31"/>
      <c r="Z54" s="31"/>
      <c r="AA54" s="2"/>
      <c r="AB54" s="31"/>
      <c r="AC54" s="31"/>
      <c r="AD54" s="31"/>
      <c r="AE54" s="37"/>
      <c r="AF54" s="37"/>
      <c r="AG54" s="37"/>
    </row>
    <row r="55" spans="1:33" ht="15.75" customHeight="1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6"/>
      <c r="V55" s="1"/>
      <c r="W55" s="31"/>
      <c r="X55" s="31"/>
      <c r="Y55" s="31"/>
      <c r="Z55" s="31"/>
      <c r="AA55" s="2"/>
      <c r="AB55" s="31"/>
      <c r="AC55" s="31"/>
      <c r="AD55" s="31"/>
      <c r="AE55" s="37"/>
      <c r="AF55" s="37"/>
      <c r="AG55" s="37"/>
    </row>
    <row r="56" spans="1:33" ht="15.75" customHeight="1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6"/>
      <c r="V56" s="1"/>
      <c r="W56" s="31"/>
      <c r="X56" s="31"/>
      <c r="Y56" s="31"/>
      <c r="Z56" s="31"/>
      <c r="AA56" s="2"/>
      <c r="AB56" s="31"/>
      <c r="AC56" s="31"/>
      <c r="AD56" s="31"/>
      <c r="AE56" s="37"/>
      <c r="AF56" s="37"/>
      <c r="AG56" s="37"/>
    </row>
    <row r="57" spans="1:33" ht="15.75" customHeight="1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6"/>
      <c r="V57" s="1"/>
      <c r="W57" s="31"/>
      <c r="X57" s="31"/>
      <c r="Y57" s="31"/>
      <c r="Z57" s="31"/>
      <c r="AA57" s="2"/>
      <c r="AB57" s="31"/>
      <c r="AC57" s="31"/>
      <c r="AD57" s="31"/>
      <c r="AE57" s="37"/>
      <c r="AF57" s="37"/>
      <c r="AG57" s="37"/>
    </row>
    <row r="58" spans="1:33" ht="15.75" customHeight="1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6"/>
      <c r="V58" s="1"/>
      <c r="W58" s="31"/>
      <c r="X58" s="31"/>
      <c r="Y58" s="31"/>
      <c r="Z58" s="31"/>
      <c r="AA58" s="2"/>
      <c r="AB58" s="31"/>
      <c r="AC58" s="31"/>
      <c r="AD58" s="31"/>
      <c r="AE58" s="37"/>
      <c r="AF58" s="37"/>
      <c r="AG58" s="37"/>
    </row>
    <row r="59" spans="1:33" ht="15.75" customHeight="1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6"/>
      <c r="V59" s="1"/>
      <c r="W59" s="31"/>
      <c r="X59" s="31"/>
      <c r="Y59" s="31"/>
      <c r="Z59" s="31"/>
      <c r="AA59" s="2"/>
      <c r="AB59" s="31"/>
      <c r="AC59" s="31"/>
      <c r="AD59" s="31"/>
      <c r="AE59" s="37"/>
      <c r="AF59" s="37"/>
      <c r="AG59" s="37"/>
    </row>
    <row r="60" spans="1:33" ht="15.75" customHeight="1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6"/>
      <c r="V60" s="1"/>
      <c r="W60" s="31"/>
      <c r="X60" s="31"/>
      <c r="Y60" s="31"/>
      <c r="Z60" s="31"/>
      <c r="AA60" s="2"/>
      <c r="AB60" s="31"/>
      <c r="AC60" s="31"/>
      <c r="AD60" s="31"/>
      <c r="AE60" s="37"/>
      <c r="AF60" s="37"/>
      <c r="AG60" s="37"/>
    </row>
    <row r="61" spans="1:33" ht="15.75" customHeight="1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6"/>
      <c r="V61" s="1"/>
      <c r="W61" s="31"/>
      <c r="X61" s="31"/>
      <c r="Y61" s="31"/>
      <c r="Z61" s="31"/>
      <c r="AA61" s="2"/>
      <c r="AB61" s="31"/>
      <c r="AC61" s="31"/>
      <c r="AD61" s="31"/>
      <c r="AE61" s="37"/>
      <c r="AF61" s="37"/>
      <c r="AG61" s="37"/>
    </row>
    <row r="62" spans="1:33" ht="15.75" customHeight="1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6"/>
      <c r="V62" s="1"/>
      <c r="W62" s="31"/>
      <c r="X62" s="31"/>
      <c r="Y62" s="31"/>
      <c r="Z62" s="31"/>
      <c r="AA62" s="2"/>
      <c r="AB62" s="31"/>
      <c r="AC62" s="31"/>
      <c r="AD62" s="31"/>
      <c r="AE62" s="37"/>
      <c r="AF62" s="37"/>
      <c r="AG62" s="37"/>
    </row>
    <row r="63" spans="1:33" ht="15.75" customHeight="1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6"/>
      <c r="V63" s="1"/>
      <c r="W63" s="31"/>
      <c r="X63" s="31"/>
      <c r="Y63" s="31"/>
      <c r="Z63" s="31"/>
      <c r="AA63" s="2"/>
      <c r="AB63" s="31"/>
      <c r="AC63" s="31"/>
      <c r="AD63" s="31"/>
      <c r="AE63" s="37"/>
      <c r="AF63" s="37"/>
      <c r="AG63" s="37"/>
    </row>
    <row r="64" spans="1:33" ht="15.75" customHeight="1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6"/>
      <c r="V64" s="1"/>
      <c r="W64" s="31"/>
      <c r="X64" s="31"/>
      <c r="Y64" s="31"/>
      <c r="Z64" s="31"/>
      <c r="AA64" s="2"/>
      <c r="AB64" s="31"/>
      <c r="AC64" s="31"/>
      <c r="AD64" s="31"/>
      <c r="AE64" s="37"/>
      <c r="AF64" s="37"/>
      <c r="AG64" s="37"/>
    </row>
    <row r="65" spans="1:33" ht="15.75" customHeight="1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6"/>
      <c r="V65" s="1"/>
      <c r="W65" s="31"/>
      <c r="X65" s="31"/>
      <c r="Y65" s="31"/>
      <c r="Z65" s="31"/>
      <c r="AA65" s="2"/>
      <c r="AB65" s="31"/>
      <c r="AC65" s="31"/>
      <c r="AD65" s="31"/>
      <c r="AE65" s="37"/>
      <c r="AF65" s="37"/>
      <c r="AG65" s="37"/>
    </row>
    <row r="66" spans="1:33" ht="15.75" customHeight="1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6"/>
      <c r="V66" s="1"/>
      <c r="W66" s="31"/>
      <c r="X66" s="31"/>
      <c r="Y66" s="31"/>
      <c r="Z66" s="31"/>
      <c r="AA66" s="2"/>
      <c r="AB66" s="31"/>
      <c r="AC66" s="31"/>
      <c r="AD66" s="31"/>
      <c r="AE66" s="37"/>
      <c r="AF66" s="37"/>
      <c r="AG66" s="37"/>
    </row>
    <row r="67" spans="1:33" ht="15.75" customHeight="1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6"/>
      <c r="V67" s="1"/>
      <c r="W67" s="31"/>
      <c r="X67" s="31"/>
      <c r="Y67" s="31"/>
      <c r="Z67" s="31"/>
      <c r="AA67" s="2"/>
      <c r="AB67" s="31"/>
      <c r="AC67" s="31"/>
      <c r="AD67" s="31"/>
      <c r="AE67" s="37"/>
      <c r="AF67" s="37"/>
      <c r="AG67" s="37"/>
    </row>
    <row r="68" spans="1:33" ht="15.75" customHeight="1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6"/>
      <c r="V68" s="1"/>
      <c r="W68" s="31"/>
      <c r="X68" s="31"/>
      <c r="Y68" s="31"/>
      <c r="Z68" s="31"/>
      <c r="AA68" s="2"/>
      <c r="AB68" s="31"/>
      <c r="AC68" s="31"/>
      <c r="AD68" s="31"/>
      <c r="AE68" s="37"/>
      <c r="AF68" s="37"/>
      <c r="AG68" s="37"/>
    </row>
    <row r="69" spans="1:33" ht="15.75" customHeight="1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6"/>
      <c r="V69" s="1"/>
      <c r="W69" s="31"/>
      <c r="X69" s="31"/>
      <c r="Y69" s="31"/>
      <c r="Z69" s="31"/>
      <c r="AA69" s="2"/>
      <c r="AB69" s="31"/>
      <c r="AC69" s="31"/>
      <c r="AD69" s="31"/>
      <c r="AE69" s="37"/>
      <c r="AF69" s="37"/>
      <c r="AG69" s="37"/>
    </row>
    <row r="70" spans="1:33" ht="15.75" customHeight="1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6"/>
      <c r="V70" s="1"/>
      <c r="W70" s="31"/>
      <c r="X70" s="31"/>
      <c r="Y70" s="31"/>
      <c r="Z70" s="31"/>
      <c r="AA70" s="2"/>
      <c r="AB70" s="31"/>
      <c r="AC70" s="31"/>
      <c r="AD70" s="31"/>
      <c r="AE70" s="37"/>
      <c r="AF70" s="37"/>
      <c r="AG70" s="37"/>
    </row>
    <row r="71" spans="1:33" ht="15.75" customHeight="1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6"/>
      <c r="V71" s="1"/>
      <c r="W71" s="31"/>
      <c r="X71" s="31"/>
      <c r="Y71" s="31"/>
      <c r="Z71" s="31"/>
      <c r="AA71" s="2"/>
      <c r="AB71" s="31"/>
      <c r="AC71" s="31"/>
      <c r="AD71" s="31"/>
      <c r="AE71" s="37"/>
      <c r="AF71" s="37"/>
      <c r="AG71" s="37"/>
    </row>
    <row r="72" spans="1:33" ht="15.75" customHeight="1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6"/>
      <c r="V72" s="1"/>
      <c r="W72" s="31"/>
      <c r="X72" s="31"/>
      <c r="Y72" s="31"/>
      <c r="Z72" s="31"/>
      <c r="AA72" s="2"/>
      <c r="AB72" s="31"/>
      <c r="AC72" s="31"/>
      <c r="AD72" s="31"/>
      <c r="AE72" s="37"/>
      <c r="AF72" s="37"/>
      <c r="AG72" s="37"/>
    </row>
    <row r="73" spans="1:33" ht="15.75" customHeight="1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6"/>
      <c r="V73" s="1"/>
      <c r="W73" s="31"/>
      <c r="X73" s="31"/>
      <c r="Y73" s="31"/>
      <c r="Z73" s="31"/>
      <c r="AA73" s="2"/>
      <c r="AB73" s="31"/>
      <c r="AC73" s="31"/>
      <c r="AD73" s="31"/>
      <c r="AE73" s="37"/>
      <c r="AF73" s="37"/>
      <c r="AG73" s="37"/>
    </row>
    <row r="74" spans="1:33" ht="15.75" customHeight="1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6"/>
      <c r="V74" s="1"/>
      <c r="W74" s="31"/>
      <c r="X74" s="31"/>
      <c r="Y74" s="31"/>
      <c r="Z74" s="31"/>
      <c r="AA74" s="2"/>
      <c r="AB74" s="31"/>
      <c r="AC74" s="31"/>
      <c r="AD74" s="31"/>
      <c r="AE74" s="37"/>
      <c r="AF74" s="37"/>
      <c r="AG74" s="37"/>
    </row>
    <row r="75" spans="1:33" ht="15.75" customHeight="1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6"/>
      <c r="V75" s="1"/>
      <c r="W75" s="31"/>
      <c r="X75" s="31"/>
      <c r="Y75" s="31"/>
      <c r="Z75" s="31"/>
      <c r="AA75" s="2"/>
      <c r="AB75" s="31"/>
      <c r="AC75" s="31"/>
      <c r="AD75" s="31"/>
      <c r="AE75" s="37"/>
      <c r="AF75" s="37"/>
      <c r="AG75" s="37"/>
    </row>
    <row r="76" spans="1:33" ht="15.75" customHeight="1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6"/>
      <c r="V76" s="1"/>
      <c r="W76" s="31"/>
      <c r="X76" s="31"/>
      <c r="Y76" s="31"/>
      <c r="Z76" s="31"/>
      <c r="AA76" s="2"/>
      <c r="AB76" s="31"/>
      <c r="AC76" s="31"/>
      <c r="AD76" s="31"/>
      <c r="AE76" s="37"/>
      <c r="AF76" s="37"/>
      <c r="AG76" s="37"/>
    </row>
    <row r="77" spans="1:33" ht="15.75" customHeight="1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6"/>
      <c r="V77" s="1"/>
      <c r="W77" s="31"/>
      <c r="X77" s="31"/>
      <c r="Y77" s="31"/>
      <c r="Z77" s="31"/>
      <c r="AA77" s="2"/>
      <c r="AB77" s="31"/>
      <c r="AC77" s="31"/>
      <c r="AD77" s="31"/>
      <c r="AE77" s="37"/>
      <c r="AF77" s="37"/>
      <c r="AG77" s="37"/>
    </row>
    <row r="78" spans="1:33" ht="15.75" customHeight="1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6"/>
      <c r="V78" s="1"/>
      <c r="W78" s="31"/>
      <c r="X78" s="31"/>
      <c r="Y78" s="31"/>
      <c r="Z78" s="31"/>
      <c r="AA78" s="2"/>
      <c r="AB78" s="31"/>
      <c r="AC78" s="31"/>
      <c r="AD78" s="31"/>
      <c r="AE78" s="37"/>
      <c r="AF78" s="37"/>
      <c r="AG78" s="37"/>
    </row>
    <row r="79" spans="1:33" ht="15.75" customHeight="1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6"/>
      <c r="V79" s="1"/>
      <c r="W79" s="31"/>
      <c r="X79" s="31"/>
      <c r="Y79" s="31"/>
      <c r="Z79" s="31"/>
      <c r="AA79" s="2"/>
      <c r="AB79" s="31"/>
      <c r="AC79" s="31"/>
      <c r="AD79" s="31"/>
      <c r="AE79" s="37"/>
      <c r="AF79" s="37"/>
      <c r="AG79" s="37"/>
    </row>
    <row r="80" spans="1:33" ht="15.75" customHeight="1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6"/>
      <c r="V80" s="1"/>
      <c r="W80" s="31"/>
      <c r="X80" s="31"/>
      <c r="Y80" s="31"/>
      <c r="Z80" s="31"/>
      <c r="AA80" s="2"/>
      <c r="AB80" s="31"/>
      <c r="AC80" s="31"/>
      <c r="AD80" s="31"/>
      <c r="AE80" s="37"/>
      <c r="AF80" s="37"/>
      <c r="AG80" s="37"/>
    </row>
    <row r="81" spans="1:33" ht="15.75" customHeight="1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6"/>
      <c r="V81" s="1"/>
      <c r="W81" s="31"/>
      <c r="X81" s="31"/>
      <c r="Y81" s="31"/>
      <c r="Z81" s="31"/>
      <c r="AA81" s="2"/>
      <c r="AB81" s="31"/>
      <c r="AC81" s="31"/>
      <c r="AD81" s="31"/>
      <c r="AE81" s="37"/>
      <c r="AF81" s="37"/>
      <c r="AG81" s="37"/>
    </row>
    <row r="82" spans="1:33" ht="15.75" customHeight="1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6"/>
      <c r="V82" s="1"/>
      <c r="W82" s="31"/>
      <c r="X82" s="31"/>
      <c r="Y82" s="31"/>
      <c r="Z82" s="31"/>
      <c r="AA82" s="2"/>
      <c r="AB82" s="31"/>
      <c r="AC82" s="31"/>
      <c r="AD82" s="31"/>
      <c r="AE82" s="37"/>
      <c r="AF82" s="37"/>
      <c r="AG82" s="37"/>
    </row>
    <row r="83" spans="1:33" ht="15.75" customHeight="1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6"/>
      <c r="V83" s="1"/>
      <c r="W83" s="31"/>
      <c r="X83" s="31"/>
      <c r="Y83" s="31"/>
      <c r="Z83" s="31"/>
      <c r="AA83" s="2"/>
      <c r="AB83" s="31"/>
      <c r="AC83" s="31"/>
      <c r="AD83" s="31"/>
      <c r="AE83" s="37"/>
      <c r="AF83" s="37"/>
      <c r="AG83" s="37"/>
    </row>
    <row r="84" spans="1:33" ht="15.75" customHeight="1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6"/>
      <c r="V84" s="1"/>
      <c r="W84" s="31"/>
      <c r="X84" s="31"/>
      <c r="Y84" s="31"/>
      <c r="Z84" s="31"/>
      <c r="AA84" s="2"/>
      <c r="AB84" s="31"/>
      <c r="AC84" s="31"/>
      <c r="AD84" s="31"/>
      <c r="AE84" s="37"/>
      <c r="AF84" s="37"/>
      <c r="AG84" s="37"/>
    </row>
    <row r="85" spans="1:33" ht="15.75" customHeight="1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6"/>
      <c r="V85" s="1"/>
      <c r="W85" s="31"/>
      <c r="X85" s="31"/>
      <c r="Y85" s="31"/>
      <c r="Z85" s="31"/>
      <c r="AA85" s="2"/>
      <c r="AB85" s="31"/>
      <c r="AC85" s="31"/>
      <c r="AD85" s="31"/>
      <c r="AE85" s="37"/>
      <c r="AF85" s="37"/>
      <c r="AG85" s="37"/>
    </row>
    <row r="86" spans="1:33" ht="15.75" customHeight="1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6"/>
      <c r="V86" s="1"/>
      <c r="W86" s="31"/>
      <c r="X86" s="31"/>
      <c r="Y86" s="31"/>
      <c r="Z86" s="31"/>
      <c r="AA86" s="2"/>
      <c r="AB86" s="31"/>
      <c r="AC86" s="31"/>
      <c r="AD86" s="31"/>
      <c r="AE86" s="37"/>
      <c r="AF86" s="37"/>
      <c r="AG86" s="37"/>
    </row>
    <row r="87" spans="1:33" ht="15.75" customHeight="1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6"/>
      <c r="V87" s="1"/>
      <c r="W87" s="31"/>
      <c r="X87" s="31"/>
      <c r="Y87" s="31"/>
      <c r="Z87" s="31"/>
      <c r="AA87" s="2"/>
      <c r="AB87" s="31"/>
      <c r="AC87" s="31"/>
      <c r="AD87" s="31"/>
      <c r="AE87" s="37"/>
      <c r="AF87" s="37"/>
      <c r="AG87" s="37"/>
    </row>
    <row r="88" spans="1:33" ht="15.75" customHeight="1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6"/>
      <c r="V88" s="1"/>
      <c r="W88" s="31"/>
      <c r="X88" s="31"/>
      <c r="Y88" s="31"/>
      <c r="Z88" s="31"/>
      <c r="AA88" s="2"/>
      <c r="AB88" s="31"/>
      <c r="AC88" s="31"/>
      <c r="AD88" s="31"/>
      <c r="AE88" s="37"/>
      <c r="AF88" s="37"/>
      <c r="AG88" s="37"/>
    </row>
    <row r="89" spans="1:33" ht="15.75" customHeight="1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6"/>
      <c r="V89" s="1"/>
      <c r="W89" s="31"/>
      <c r="X89" s="31"/>
      <c r="Y89" s="31"/>
      <c r="Z89" s="31"/>
      <c r="AA89" s="2"/>
      <c r="AB89" s="31"/>
      <c r="AC89" s="31"/>
      <c r="AD89" s="31"/>
      <c r="AE89" s="37"/>
      <c r="AF89" s="37"/>
      <c r="AG89" s="37"/>
    </row>
    <row r="90" spans="1:33" ht="15.75" customHeight="1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6"/>
      <c r="V90" s="1"/>
      <c r="W90" s="31"/>
      <c r="X90" s="31"/>
      <c r="Y90" s="31"/>
      <c r="Z90" s="31"/>
      <c r="AA90" s="2"/>
      <c r="AB90" s="31"/>
      <c r="AC90" s="31"/>
      <c r="AD90" s="31"/>
      <c r="AE90" s="37"/>
      <c r="AF90" s="37"/>
      <c r="AG90" s="37"/>
    </row>
    <row r="91" spans="1:33" ht="15.75" customHeight="1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6"/>
      <c r="V91" s="1"/>
      <c r="W91" s="31"/>
      <c r="X91" s="31"/>
      <c r="Y91" s="31"/>
      <c r="Z91" s="31"/>
      <c r="AA91" s="2"/>
      <c r="AB91" s="31"/>
      <c r="AC91" s="31"/>
      <c r="AD91" s="31"/>
      <c r="AE91" s="37"/>
      <c r="AF91" s="37"/>
      <c r="AG91" s="37"/>
    </row>
    <row r="92" spans="1:33" ht="15.75" customHeight="1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6"/>
      <c r="V92" s="1"/>
      <c r="W92" s="31"/>
      <c r="X92" s="31"/>
      <c r="Y92" s="31"/>
      <c r="Z92" s="31"/>
      <c r="AA92" s="2"/>
      <c r="AB92" s="31"/>
      <c r="AC92" s="31"/>
      <c r="AD92" s="31"/>
      <c r="AE92" s="37"/>
      <c r="AF92" s="37"/>
      <c r="AG92" s="37"/>
    </row>
    <row r="93" spans="1:33" ht="15.75" customHeight="1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6"/>
      <c r="V93" s="1"/>
      <c r="W93" s="31"/>
      <c r="X93" s="31"/>
      <c r="Y93" s="31"/>
      <c r="Z93" s="31"/>
      <c r="AA93" s="2"/>
      <c r="AB93" s="31"/>
      <c r="AC93" s="31"/>
      <c r="AD93" s="31"/>
      <c r="AE93" s="37"/>
      <c r="AF93" s="37"/>
      <c r="AG93" s="37"/>
    </row>
    <row r="94" spans="1:33" ht="15.75" customHeight="1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6"/>
      <c r="V94" s="1"/>
      <c r="W94" s="31"/>
      <c r="X94" s="31"/>
      <c r="Y94" s="31"/>
      <c r="Z94" s="31"/>
      <c r="AA94" s="2"/>
      <c r="AB94" s="31"/>
      <c r="AC94" s="31"/>
      <c r="AD94" s="31"/>
      <c r="AE94" s="37"/>
      <c r="AF94" s="37"/>
      <c r="AG94" s="37"/>
    </row>
    <row r="95" spans="1:33" ht="15.75" customHeight="1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6"/>
      <c r="V95" s="1"/>
      <c r="W95" s="31"/>
      <c r="X95" s="31"/>
      <c r="Y95" s="31"/>
      <c r="Z95" s="31"/>
      <c r="AA95" s="2"/>
      <c r="AB95" s="31"/>
      <c r="AC95" s="31"/>
      <c r="AD95" s="31"/>
      <c r="AE95" s="37"/>
      <c r="AF95" s="37"/>
      <c r="AG95" s="37"/>
    </row>
    <row r="96" spans="1:33" ht="15.75" customHeight="1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6"/>
      <c r="V96" s="1"/>
      <c r="W96" s="31"/>
      <c r="X96" s="31"/>
      <c r="Y96" s="31"/>
      <c r="Z96" s="31"/>
      <c r="AA96" s="2"/>
      <c r="AB96" s="31"/>
      <c r="AC96" s="31"/>
      <c r="AD96" s="31"/>
      <c r="AE96" s="37"/>
      <c r="AF96" s="37"/>
      <c r="AG96" s="37"/>
    </row>
    <row r="97" spans="1:33" ht="15.75" customHeight="1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8"/>
      <c r="R97" s="38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8"/>
      <c r="R98" s="38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8"/>
      <c r="R99" s="38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8"/>
      <c r="R100" s="38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8"/>
      <c r="R101" s="38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8"/>
      <c r="R102" s="38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8"/>
      <c r="R103" s="38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8"/>
      <c r="R104" s="38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8"/>
      <c r="R105" s="38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8"/>
      <c r="R106" s="38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8"/>
      <c r="R107" s="38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8"/>
      <c r="R108" s="38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8"/>
      <c r="R109" s="38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8"/>
      <c r="R110" s="38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8"/>
      <c r="R111" s="38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8"/>
      <c r="R112" s="38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8"/>
      <c r="R113" s="38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8"/>
      <c r="R114" s="38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>
      <c r="A115" s="31"/>
      <c r="B115" s="31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>
      <c r="A116" s="31"/>
      <c r="B116" s="31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>
      <c r="A117" s="31"/>
      <c r="B117" s="31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>
      <c r="A118" s="31"/>
      <c r="B118" s="31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>
      <c r="A119" s="31"/>
      <c r="B119" s="31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>
      <c r="A120" s="31"/>
      <c r="B120" s="31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>
      <c r="A121" s="31"/>
      <c r="B121" s="31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>
      <c r="A122" s="31"/>
      <c r="B122" s="31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>
      <c r="A123" s="31"/>
      <c r="B123" s="31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>
      <c r="A124" s="31"/>
      <c r="B124" s="31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>
      <c r="A125" s="31"/>
      <c r="B125" s="31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>
      <c r="A126" s="31"/>
      <c r="B126" s="31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>
      <c r="A127" s="31"/>
      <c r="B127" s="31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>
      <c r="A128" s="31"/>
      <c r="B128" s="31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>
      <c r="A129" s="31"/>
      <c r="B129" s="31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>
      <c r="A130" s="31"/>
      <c r="B130" s="31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>
      <c r="A131" s="31"/>
      <c r="B131" s="31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>
      <c r="A132" s="31"/>
      <c r="B132" s="31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>
      <c r="A133" s="31"/>
      <c r="B133" s="31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>
      <c r="A134" s="31"/>
      <c r="B134" s="31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>
      <c r="A135" s="31"/>
      <c r="B135" s="31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>
      <c r="A136" s="31"/>
      <c r="B136" s="31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>
      <c r="A137" s="31"/>
      <c r="B137" s="31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>
      <c r="A138" s="31"/>
      <c r="B138" s="31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>
      <c r="A139" s="31"/>
      <c r="B139" s="31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>
      <c r="A140" s="31"/>
      <c r="B140" s="31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>
      <c r="A141" s="31"/>
      <c r="B141" s="31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2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>
      <c r="A142" s="31"/>
      <c r="B142" s="31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2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>
      <c r="A143" s="31"/>
      <c r="B143" s="31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2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>
      <c r="A144" s="31"/>
      <c r="B144" s="31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2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>
      <c r="A145" s="31"/>
      <c r="B145" s="31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2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>
      <c r="A146" s="31"/>
      <c r="B146" s="31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2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>
      <c r="A147" s="31"/>
      <c r="B147" s="31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2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>
      <c r="A148" s="31"/>
      <c r="B148" s="31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2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</row>
    <row r="149" spans="1:33" ht="15.75" customHeight="1">
      <c r="A149" s="14"/>
      <c r="B149" s="14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>
      <c r="A150" s="14"/>
      <c r="B150" s="14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>
      <c r="A151" s="14"/>
      <c r="B151" s="14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>
      <c r="A152" s="14"/>
      <c r="B152" s="14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>
      <c r="A153" s="14"/>
      <c r="B153" s="14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>
      <c r="A154" s="14"/>
      <c r="B154" s="14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>
      <c r="A155" s="14"/>
      <c r="B155" s="14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>
      <c r="A156" s="14"/>
      <c r="B156" s="14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>
      <c r="A157" s="14"/>
      <c r="B157" s="14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>
      <c r="A158" s="14"/>
      <c r="B158" s="14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>
      <c r="A159" s="14"/>
      <c r="B159" s="14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>
      <c r="A160" s="14"/>
      <c r="B160" s="14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>
      <c r="A161" s="14"/>
      <c r="B161" s="14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>
      <c r="A162" s="14"/>
      <c r="B162" s="14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>
      <c r="A163" s="14"/>
      <c r="B163" s="14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>
      <c r="A164" s="14"/>
      <c r="B164" s="14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>
      <c r="A165" s="14"/>
      <c r="B165" s="14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>
      <c r="A166" s="14"/>
      <c r="B166" s="14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>
      <c r="A167" s="14"/>
      <c r="B167" s="14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>
      <c r="A168" s="14"/>
      <c r="B168" s="14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>
      <c r="A169" s="14"/>
      <c r="B169" s="14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>
      <c r="A170" s="14"/>
      <c r="B170" s="14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>
      <c r="A171" s="14"/>
      <c r="B171" s="14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>
      <c r="A172" s="14"/>
      <c r="B172" s="14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>
      <c r="A173" s="14"/>
      <c r="B173" s="14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>
      <c r="A174" s="14"/>
      <c r="B174" s="14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>
      <c r="A175" s="14"/>
      <c r="B175" s="14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>
      <c r="A176" s="14"/>
      <c r="B176" s="14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>
      <c r="A177" s="14"/>
      <c r="B177" s="14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>
      <c r="A178" s="14"/>
      <c r="B178" s="14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>
      <c r="A179" s="14"/>
      <c r="B179" s="14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>
      <c r="A180" s="14"/>
      <c r="B180" s="14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>
      <c r="A181" s="14"/>
      <c r="B181" s="14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>
      <c r="A182" s="14"/>
      <c r="B182" s="14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>
      <c r="A183" s="14"/>
      <c r="B183" s="14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>
      <c r="A184" s="14"/>
      <c r="B184" s="14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>
      <c r="A185" s="14"/>
      <c r="B185" s="14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>
      <c r="A186" s="14"/>
      <c r="B186" s="14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>
      <c r="A187" s="14"/>
      <c r="B187" s="14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>
      <c r="A188" s="14"/>
      <c r="B188" s="14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>
      <c r="A189" s="14"/>
      <c r="B189" s="14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>
      <c r="A190" s="14"/>
      <c r="B190" s="14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>
      <c r="A191" s="14"/>
      <c r="B191" s="14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>
      <c r="A192" s="14"/>
      <c r="B192" s="14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>
      <c r="A193" s="14"/>
      <c r="B193" s="14"/>
      <c r="C193" s="39"/>
      <c r="D193" s="39"/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>
      <c r="A194" s="14"/>
      <c r="B194" s="14"/>
      <c r="C194" s="39"/>
      <c r="D194" s="39"/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>
      <c r="A195" s="14"/>
      <c r="B195" s="14"/>
      <c r="C195" s="39"/>
      <c r="D195" s="39"/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>
      <c r="A196" s="14"/>
      <c r="B196" s="14"/>
      <c r="C196" s="39"/>
      <c r="D196" s="39"/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>
      <c r="A197" s="14"/>
      <c r="B197" s="14"/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>
      <c r="A198" s="14"/>
      <c r="B198" s="14"/>
      <c r="C198" s="39"/>
      <c r="D198" s="39"/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>
      <c r="A199" s="14"/>
      <c r="B199" s="14"/>
      <c r="C199" s="39"/>
      <c r="D199" s="39"/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>
      <c r="A200" s="14"/>
      <c r="B200" s="14"/>
      <c r="C200" s="39"/>
      <c r="D200" s="39"/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>
      <c r="A201" s="14"/>
      <c r="B201" s="14"/>
      <c r="C201" s="39"/>
      <c r="D201" s="39"/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>
      <c r="A202" s="14"/>
      <c r="B202" s="14"/>
      <c r="C202" s="39"/>
      <c r="D202" s="39"/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>
      <c r="A203" s="14"/>
      <c r="B203" s="14"/>
      <c r="C203" s="39"/>
      <c r="D203" s="39"/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>
      <c r="A204" s="14"/>
      <c r="B204" s="14"/>
      <c r="C204" s="39"/>
      <c r="D204" s="39"/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>
      <c r="A205" s="14"/>
      <c r="B205" s="14"/>
      <c r="C205" s="39"/>
      <c r="D205" s="39"/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>
      <c r="A206" s="14"/>
      <c r="B206" s="14"/>
      <c r="C206" s="39"/>
      <c r="D206" s="39"/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>
      <c r="A207" s="14"/>
      <c r="B207" s="14"/>
      <c r="C207" s="39"/>
      <c r="D207" s="39"/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>
      <c r="A208" s="14"/>
      <c r="B208" s="14"/>
      <c r="C208" s="39"/>
      <c r="D208" s="39"/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>
      <c r="A209" s="14"/>
      <c r="B209" s="14"/>
      <c r="C209" s="39"/>
      <c r="D209" s="39"/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>
      <c r="A210" s="14"/>
      <c r="B210" s="14"/>
      <c r="C210" s="39"/>
      <c r="D210" s="39"/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>
      <c r="A211" s="14"/>
      <c r="B211" s="14"/>
      <c r="C211" s="39"/>
      <c r="D211" s="39"/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>
      <c r="A212" s="14"/>
      <c r="B212" s="14"/>
      <c r="C212" s="39"/>
      <c r="D212" s="39"/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>
      <c r="A213" s="14"/>
      <c r="B213" s="14"/>
      <c r="C213" s="39"/>
      <c r="D213" s="39"/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>
      <c r="A214" s="14"/>
      <c r="B214" s="14"/>
      <c r="C214" s="39"/>
      <c r="D214" s="39"/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>
      <c r="A215" s="14"/>
      <c r="B215" s="14"/>
      <c r="C215" s="39"/>
      <c r="D215" s="39"/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>
      <c r="A216" s="14"/>
      <c r="B216" s="14"/>
      <c r="C216" s="39"/>
      <c r="D216" s="39"/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>
      <c r="A217" s="14"/>
      <c r="B217" s="14"/>
      <c r="C217" s="39"/>
      <c r="D217" s="39"/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>
      <c r="A218" s="14"/>
      <c r="B218" s="14"/>
      <c r="C218" s="39"/>
      <c r="D218" s="39"/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>
      <c r="A219" s="14"/>
      <c r="B219" s="14"/>
      <c r="C219" s="39"/>
      <c r="D219" s="39"/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>
      <c r="A220" s="14"/>
      <c r="B220" s="14"/>
      <c r="C220" s="39"/>
      <c r="D220" s="39"/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>
      <c r="R221" s="30"/>
      <c r="S221" s="40"/>
    </row>
    <row r="222" spans="1:33" ht="15.75" customHeight="1">
      <c r="R222" s="30"/>
      <c r="S222" s="40"/>
    </row>
    <row r="223" spans="1:33" ht="15.75" customHeight="1">
      <c r="R223" s="30"/>
      <c r="S223" s="40"/>
    </row>
    <row r="224" spans="1:33" ht="15.75" customHeight="1">
      <c r="R224" s="30"/>
      <c r="S224" s="40"/>
    </row>
    <row r="225" spans="18:19" ht="15.75" customHeight="1">
      <c r="R225" s="30"/>
      <c r="S225" s="40"/>
    </row>
    <row r="226" spans="18:19" ht="15.75" customHeight="1">
      <c r="R226" s="30"/>
      <c r="S226" s="40"/>
    </row>
    <row r="227" spans="18:19" ht="15.75" customHeight="1">
      <c r="R227" s="30"/>
      <c r="S227" s="40"/>
    </row>
    <row r="228" spans="18:19" ht="15.75" customHeight="1">
      <c r="R228" s="30"/>
      <c r="S228" s="40"/>
    </row>
    <row r="229" spans="18:19" ht="15.75" customHeight="1">
      <c r="R229" s="30"/>
      <c r="S229" s="40"/>
    </row>
    <row r="230" spans="18:19" ht="15.75" customHeight="1">
      <c r="R230" s="30"/>
      <c r="S230" s="40"/>
    </row>
    <row r="231" spans="18:19" ht="15.75" customHeight="1">
      <c r="R231" s="30"/>
      <c r="S231" s="40"/>
    </row>
    <row r="232" spans="18:19" ht="15.75" customHeight="1">
      <c r="R232" s="30"/>
      <c r="S232" s="40"/>
    </row>
    <row r="233" spans="18:19" ht="15.75" customHeight="1">
      <c r="R233" s="30"/>
      <c r="S233" s="40"/>
    </row>
    <row r="234" spans="18:19" ht="15.75" customHeight="1">
      <c r="R234" s="30"/>
    </row>
    <row r="235" spans="18:19" ht="15.75" customHeight="1">
      <c r="R235" s="30"/>
    </row>
    <row r="236" spans="18:19" ht="15.75" customHeight="1">
      <c r="R236" s="30"/>
    </row>
    <row r="237" spans="18:19" ht="15.75" customHeight="1">
      <c r="R237" s="30"/>
    </row>
    <row r="238" spans="18:19" ht="15.75" customHeight="1">
      <c r="R238" s="30"/>
    </row>
    <row r="239" spans="18:19" ht="15.75" customHeight="1">
      <c r="R239" s="30"/>
    </row>
    <row r="240" spans="18:19" ht="15.75" customHeight="1">
      <c r="R240" s="30"/>
    </row>
    <row r="241" spans="18:18" ht="15.75" customHeight="1">
      <c r="R241" s="30"/>
    </row>
    <row r="242" spans="18:18" ht="15.75" customHeight="1">
      <c r="R242" s="30"/>
    </row>
    <row r="243" spans="18:18" ht="15.75" customHeight="1">
      <c r="R243" s="30"/>
    </row>
    <row r="244" spans="18:18" ht="15.75" customHeight="1">
      <c r="R244" s="30"/>
    </row>
    <row r="245" spans="18:18" ht="15.75" customHeight="1">
      <c r="R245" s="30"/>
    </row>
    <row r="246" spans="18:18" ht="15.75" customHeight="1">
      <c r="R246" s="30"/>
    </row>
    <row r="247" spans="18:18" ht="15.75" customHeight="1">
      <c r="R247" s="30"/>
    </row>
    <row r="248" spans="18:18" ht="15.75" customHeight="1">
      <c r="R248" s="30"/>
    </row>
    <row r="249" spans="18:18" ht="15.75" customHeight="1">
      <c r="R249" s="30"/>
    </row>
    <row r="250" spans="18:18" ht="15.75" customHeight="1">
      <c r="R250" s="30"/>
    </row>
    <row r="251" spans="18:18" ht="15.75" customHeight="1">
      <c r="R251" s="30"/>
    </row>
    <row r="252" spans="18:18" ht="15.75" customHeight="1">
      <c r="R252" s="30"/>
    </row>
    <row r="253" spans="18:18" ht="15.75" customHeight="1">
      <c r="R253" s="30"/>
    </row>
    <row r="254" spans="18:18" ht="15.75" customHeight="1">
      <c r="R254" s="30"/>
    </row>
    <row r="255" spans="18:18" ht="15.75" customHeight="1">
      <c r="R255" s="30"/>
    </row>
    <row r="256" spans="18:18" ht="15.75" customHeight="1">
      <c r="R256" s="30"/>
    </row>
    <row r="257" spans="18:18" ht="15.75" customHeight="1">
      <c r="R257" s="30"/>
    </row>
    <row r="258" spans="18:18" ht="15.75" customHeight="1">
      <c r="R258" s="30"/>
    </row>
    <row r="259" spans="18:18" ht="15.75" customHeight="1">
      <c r="R259" s="30"/>
    </row>
    <row r="260" spans="18:18" ht="15.75" customHeight="1">
      <c r="R260" s="30"/>
    </row>
    <row r="261" spans="18:18" ht="15.75" customHeight="1">
      <c r="R261" s="30"/>
    </row>
    <row r="262" spans="18:18" ht="15.75" customHeight="1">
      <c r="R262" s="30"/>
    </row>
    <row r="263" spans="18:18" ht="15.75" customHeight="1">
      <c r="R263" s="30"/>
    </row>
    <row r="264" spans="18:18" ht="15.75" customHeight="1">
      <c r="R264" s="30"/>
    </row>
    <row r="265" spans="18:18" ht="15.75" customHeight="1">
      <c r="R265" s="30"/>
    </row>
    <row r="266" spans="18:18" ht="15.75" customHeight="1">
      <c r="R266" s="30"/>
    </row>
    <row r="267" spans="18:18" ht="15.75" customHeight="1">
      <c r="R267" s="30"/>
    </row>
    <row r="268" spans="18:18" ht="15.75" customHeight="1">
      <c r="R268" s="30"/>
    </row>
    <row r="269" spans="18:18" ht="15.75" customHeight="1">
      <c r="R269" s="30"/>
    </row>
    <row r="270" spans="18:18" ht="15.75" customHeight="1">
      <c r="R270" s="30"/>
    </row>
    <row r="271" spans="18:18" ht="15.75" customHeight="1">
      <c r="R271" s="30"/>
    </row>
    <row r="272" spans="18:18" ht="15.75" customHeight="1">
      <c r="R272" s="30"/>
    </row>
    <row r="273" spans="18:18" ht="15.75" customHeight="1">
      <c r="R273" s="30"/>
    </row>
    <row r="274" spans="18:18" ht="15.75" customHeight="1">
      <c r="R274" s="30"/>
    </row>
    <row r="275" spans="18:18" ht="15.75" customHeight="1">
      <c r="R275" s="30"/>
    </row>
    <row r="276" spans="18:18" ht="15.75" customHeight="1">
      <c r="R276" s="30"/>
    </row>
    <row r="277" spans="18:18" ht="15.75" customHeight="1">
      <c r="R277" s="30"/>
    </row>
    <row r="278" spans="18:18" ht="15.75" customHeight="1">
      <c r="R278" s="30"/>
    </row>
    <row r="279" spans="18:18" ht="15.75" customHeight="1">
      <c r="R279" s="30"/>
    </row>
    <row r="280" spans="18:18" ht="15.75" customHeight="1">
      <c r="R280" s="30"/>
    </row>
    <row r="281" spans="18:18" ht="15.75" customHeight="1">
      <c r="R281" s="30"/>
    </row>
    <row r="282" spans="18:18" ht="15.75" customHeight="1">
      <c r="R282" s="30"/>
    </row>
    <row r="283" spans="18:18" ht="15.75" customHeight="1">
      <c r="R283" s="30"/>
    </row>
    <row r="284" spans="18:18" ht="15.75" customHeight="1">
      <c r="R284" s="30"/>
    </row>
    <row r="285" spans="18:18" ht="15.75" customHeight="1">
      <c r="R285" s="30"/>
    </row>
    <row r="286" spans="18:18" ht="15.75" customHeight="1">
      <c r="R286" s="30"/>
    </row>
    <row r="287" spans="18:18" ht="15.75" customHeight="1">
      <c r="R287" s="30"/>
    </row>
    <row r="288" spans="18:18" ht="15.75" customHeight="1">
      <c r="R288" s="30"/>
    </row>
    <row r="289" spans="18:18" ht="15.75" customHeight="1">
      <c r="R289" s="30"/>
    </row>
    <row r="290" spans="18:18" ht="15.75" customHeight="1">
      <c r="R290" s="30"/>
    </row>
    <row r="291" spans="18:18" ht="15.75" customHeight="1">
      <c r="R291" s="30"/>
    </row>
    <row r="292" spans="18:18" ht="15.75" customHeight="1">
      <c r="R292" s="30"/>
    </row>
    <row r="293" spans="18:18" ht="15.75" customHeight="1">
      <c r="R293" s="30"/>
    </row>
    <row r="294" spans="18:18" ht="15.75" customHeight="1">
      <c r="R294" s="30"/>
    </row>
    <row r="295" spans="18:18" ht="15.75" customHeight="1">
      <c r="R295" s="30"/>
    </row>
    <row r="296" spans="18:18" ht="15.75" customHeight="1">
      <c r="R296" s="30"/>
    </row>
    <row r="297" spans="18:18" ht="15.75" customHeight="1">
      <c r="R297" s="30"/>
    </row>
    <row r="298" spans="18:18" ht="15.75" customHeight="1">
      <c r="R298" s="30"/>
    </row>
    <row r="299" spans="18:18" ht="15.75" customHeight="1">
      <c r="R299" s="30"/>
    </row>
    <row r="300" spans="18:18" ht="15.75" customHeight="1">
      <c r="R300" s="30"/>
    </row>
    <row r="301" spans="18:18" ht="15.75" customHeight="1">
      <c r="R301" s="30"/>
    </row>
    <row r="302" spans="18:18" ht="15.75" customHeight="1">
      <c r="R302" s="30"/>
    </row>
    <row r="303" spans="18:18" ht="15.75" customHeight="1">
      <c r="R303" s="30"/>
    </row>
    <row r="304" spans="18:18" ht="15.75" customHeight="1">
      <c r="R304" s="30"/>
    </row>
    <row r="305" spans="18:18" ht="15.75" customHeight="1">
      <c r="R305" s="30"/>
    </row>
    <row r="306" spans="18:18" ht="15.75" customHeight="1">
      <c r="R306" s="30"/>
    </row>
    <row r="307" spans="18:18" ht="15.75" customHeight="1">
      <c r="R307" s="30"/>
    </row>
    <row r="308" spans="18:18" ht="15.75" customHeight="1">
      <c r="R308" s="30"/>
    </row>
    <row r="309" spans="18:18" ht="15.75" customHeight="1">
      <c r="R309" s="30"/>
    </row>
    <row r="310" spans="18:18" ht="15.75" customHeight="1">
      <c r="R310" s="30"/>
    </row>
    <row r="311" spans="18:18" ht="15.75" customHeight="1">
      <c r="R311" s="30"/>
    </row>
    <row r="312" spans="18:18" ht="15.75" customHeight="1">
      <c r="R312" s="30"/>
    </row>
    <row r="313" spans="18:18" ht="15.75" customHeight="1">
      <c r="R313" s="30"/>
    </row>
    <row r="314" spans="18:18" ht="15.75" customHeight="1">
      <c r="R314" s="30"/>
    </row>
    <row r="315" spans="18:18" ht="15.75" customHeight="1">
      <c r="R315" s="30"/>
    </row>
    <row r="316" spans="18:18" ht="15.75" customHeight="1">
      <c r="R316" s="30"/>
    </row>
    <row r="317" spans="18:18" ht="15.75" customHeight="1">
      <c r="R317" s="30"/>
    </row>
    <row r="318" spans="18:18" ht="15.75" customHeight="1">
      <c r="R318" s="30"/>
    </row>
    <row r="319" spans="18:18" ht="15.75" customHeight="1">
      <c r="R319" s="30"/>
    </row>
    <row r="320" spans="18:18" ht="15.75" customHeight="1">
      <c r="R320" s="30"/>
    </row>
    <row r="321" spans="18:18" ht="15.75" customHeight="1">
      <c r="R321" s="30"/>
    </row>
    <row r="322" spans="18:18" ht="15.75" customHeight="1">
      <c r="R322" s="30"/>
    </row>
    <row r="323" spans="18:18" ht="15.75" customHeight="1">
      <c r="R323" s="30"/>
    </row>
    <row r="324" spans="18:18" ht="15.75" customHeight="1">
      <c r="R324" s="30"/>
    </row>
    <row r="325" spans="18:18" ht="15.75" customHeight="1">
      <c r="R325" s="30"/>
    </row>
    <row r="326" spans="18:18" ht="15.75" customHeight="1">
      <c r="R326" s="30"/>
    </row>
    <row r="327" spans="18:18" ht="15.75" customHeight="1">
      <c r="R327" s="30"/>
    </row>
    <row r="328" spans="18:18" ht="15.75" customHeight="1">
      <c r="R328" s="30"/>
    </row>
    <row r="329" spans="18:18" ht="15.75" customHeight="1">
      <c r="R329" s="30"/>
    </row>
    <row r="330" spans="18:18" ht="15.75" customHeight="1">
      <c r="R330" s="30"/>
    </row>
    <row r="331" spans="18:18" ht="15.75" customHeight="1">
      <c r="R331" s="30"/>
    </row>
    <row r="332" spans="18:18" ht="15.75" customHeight="1">
      <c r="R332" s="30"/>
    </row>
    <row r="333" spans="18:18" ht="15.75" customHeight="1">
      <c r="R333" s="30"/>
    </row>
    <row r="334" spans="18:18" ht="15.75" customHeight="1">
      <c r="R334" s="30"/>
    </row>
    <row r="335" spans="18:18" ht="15.75" customHeight="1">
      <c r="R335" s="30"/>
    </row>
    <row r="336" spans="18:18" ht="15.75" customHeight="1">
      <c r="R336" s="30"/>
    </row>
    <row r="337" spans="18:18" ht="15.75" customHeight="1">
      <c r="R337" s="30"/>
    </row>
    <row r="338" spans="18:18" ht="15.75" customHeight="1">
      <c r="R338" s="30"/>
    </row>
    <row r="339" spans="18:18" ht="15.75" customHeight="1">
      <c r="R339" s="30"/>
    </row>
    <row r="340" spans="18:18" ht="15.75" customHeight="1">
      <c r="R340" s="30"/>
    </row>
    <row r="341" spans="18:18" ht="15.75" customHeight="1">
      <c r="R341" s="30"/>
    </row>
    <row r="342" spans="18:18" ht="15.75" customHeight="1">
      <c r="R342" s="30"/>
    </row>
    <row r="343" spans="18:18" ht="15.75" customHeight="1">
      <c r="R343" s="30"/>
    </row>
    <row r="344" spans="18:18" ht="15.75" customHeight="1">
      <c r="R344" s="30"/>
    </row>
    <row r="345" spans="18:18" ht="15.75" customHeight="1">
      <c r="R345" s="30"/>
    </row>
    <row r="346" spans="18:18" ht="15.75" customHeight="1">
      <c r="R346" s="30"/>
    </row>
    <row r="347" spans="18:18" ht="15.75" customHeight="1">
      <c r="R347" s="30"/>
    </row>
    <row r="348" spans="18:18" ht="15.75" customHeight="1">
      <c r="R348" s="30"/>
    </row>
    <row r="349" spans="18:18" ht="15.75" customHeight="1">
      <c r="R349" s="30"/>
    </row>
    <row r="350" spans="18:18" ht="15.75" customHeight="1">
      <c r="R350" s="30"/>
    </row>
    <row r="351" spans="18:18" ht="15.75" customHeight="1">
      <c r="R351" s="30"/>
    </row>
    <row r="352" spans="18:18" ht="15.75" customHeight="1">
      <c r="R352" s="30"/>
    </row>
    <row r="353" spans="18:18" ht="15.75" customHeight="1">
      <c r="R353" s="30"/>
    </row>
    <row r="354" spans="18:18" ht="15.75" customHeight="1">
      <c r="R354" s="30"/>
    </row>
    <row r="355" spans="18:18" ht="15.75" customHeight="1">
      <c r="R355" s="30"/>
    </row>
    <row r="356" spans="18:18" ht="15.75" customHeight="1">
      <c r="R356" s="30"/>
    </row>
    <row r="357" spans="18:18" ht="15.75" customHeight="1">
      <c r="R357" s="30"/>
    </row>
    <row r="358" spans="18:18" ht="15.75" customHeight="1">
      <c r="R358" s="30"/>
    </row>
    <row r="359" spans="18:18" ht="15.75" customHeight="1">
      <c r="R359" s="30"/>
    </row>
    <row r="360" spans="18:18" ht="15.75" customHeight="1">
      <c r="R360" s="30"/>
    </row>
    <row r="361" spans="18:18" ht="15.75" customHeight="1">
      <c r="R361" s="30"/>
    </row>
    <row r="362" spans="18:18" ht="15.75" customHeight="1">
      <c r="R362" s="30"/>
    </row>
    <row r="363" spans="18:18" ht="15.75" customHeight="1">
      <c r="R363" s="30"/>
    </row>
    <row r="364" spans="18:18" ht="15.75" customHeight="1">
      <c r="R364" s="30"/>
    </row>
    <row r="365" spans="18:18" ht="15.75" customHeight="1">
      <c r="R365" s="30"/>
    </row>
    <row r="366" spans="18:18" ht="15.75" customHeight="1">
      <c r="R366" s="30"/>
    </row>
    <row r="367" spans="18:18" ht="15.75" customHeight="1">
      <c r="R367" s="30"/>
    </row>
    <row r="368" spans="18:18" ht="15.75" customHeight="1">
      <c r="R368" s="30"/>
    </row>
    <row r="369" spans="18:18" ht="15.75" customHeight="1">
      <c r="R369" s="30"/>
    </row>
    <row r="370" spans="18:18" ht="15.75" customHeight="1">
      <c r="R370" s="30"/>
    </row>
    <row r="371" spans="18:18" ht="15.75" customHeight="1">
      <c r="R371" s="30"/>
    </row>
    <row r="372" spans="18:18" ht="15.75" customHeight="1">
      <c r="R372" s="30"/>
    </row>
    <row r="373" spans="18:18" ht="15.75" customHeight="1">
      <c r="R373" s="30"/>
    </row>
    <row r="374" spans="18:18" ht="15.75" customHeight="1">
      <c r="R374" s="30"/>
    </row>
    <row r="375" spans="18:18" ht="15.75" customHeight="1">
      <c r="R375" s="30"/>
    </row>
    <row r="376" spans="18:18" ht="15.75" customHeight="1">
      <c r="R376" s="30"/>
    </row>
    <row r="377" spans="18:18" ht="15.75" customHeight="1">
      <c r="R377" s="30"/>
    </row>
    <row r="378" spans="18:18" ht="15.75" customHeight="1">
      <c r="R378" s="30"/>
    </row>
    <row r="379" spans="18:18" ht="15.75" customHeight="1">
      <c r="R379" s="30"/>
    </row>
    <row r="380" spans="18:18" ht="15.75" customHeight="1">
      <c r="R380" s="30"/>
    </row>
    <row r="381" spans="18:18" ht="15.75" customHeight="1">
      <c r="R381" s="30"/>
    </row>
    <row r="382" spans="18:18" ht="15.75" customHeight="1">
      <c r="R382" s="30"/>
    </row>
    <row r="383" spans="18:18" ht="15.75" customHeight="1">
      <c r="R383" s="30"/>
    </row>
    <row r="384" spans="18:18" ht="15.75" customHeight="1">
      <c r="R384" s="30"/>
    </row>
    <row r="385" spans="18:18" ht="15.75" customHeight="1">
      <c r="R385" s="30"/>
    </row>
    <row r="386" spans="18:18" ht="15.75" customHeight="1">
      <c r="R386" s="30"/>
    </row>
    <row r="387" spans="18:18" ht="15.75" customHeight="1">
      <c r="R387" s="30"/>
    </row>
    <row r="388" spans="18:18" ht="15.75" customHeight="1">
      <c r="R388" s="30"/>
    </row>
    <row r="389" spans="18:18" ht="15.75" customHeight="1">
      <c r="R389" s="30"/>
    </row>
    <row r="390" spans="18:18" ht="15.75" customHeight="1">
      <c r="R390" s="30"/>
    </row>
    <row r="391" spans="18:18" ht="15.75" customHeight="1">
      <c r="R391" s="30"/>
    </row>
    <row r="392" spans="18:18" ht="15.75" customHeight="1">
      <c r="R392" s="30"/>
    </row>
    <row r="393" spans="18:18" ht="15.75" customHeight="1">
      <c r="R393" s="30"/>
    </row>
    <row r="394" spans="18:18" ht="15.75" customHeight="1">
      <c r="R394" s="30"/>
    </row>
    <row r="395" spans="18:18" ht="15.75" customHeight="1">
      <c r="R395" s="30"/>
    </row>
    <row r="396" spans="18:18" ht="15.75" customHeight="1">
      <c r="R396" s="30"/>
    </row>
    <row r="397" spans="18:18" ht="15.75" customHeight="1">
      <c r="R397" s="30"/>
    </row>
    <row r="398" spans="18:18" ht="15.75" customHeight="1">
      <c r="R398" s="30"/>
    </row>
    <row r="399" spans="18:18" ht="15.75" customHeight="1">
      <c r="R399" s="30"/>
    </row>
    <row r="400" spans="18:18" ht="15.75" customHeight="1">
      <c r="R400" s="30"/>
    </row>
    <row r="401" spans="18:18" ht="15.75" customHeight="1">
      <c r="R401" s="30"/>
    </row>
    <row r="402" spans="18:18" ht="15.75" customHeight="1">
      <c r="R402" s="30"/>
    </row>
    <row r="403" spans="18:18" ht="15.75" customHeight="1">
      <c r="R403" s="30"/>
    </row>
    <row r="404" spans="18:18" ht="15.75" customHeight="1">
      <c r="R404" s="30"/>
    </row>
    <row r="405" spans="18:18" ht="15.75" customHeight="1">
      <c r="R405" s="30"/>
    </row>
    <row r="406" spans="18:18" ht="15.75" customHeight="1">
      <c r="R406" s="30"/>
    </row>
    <row r="407" spans="18:18" ht="15.75" customHeight="1">
      <c r="R407" s="30"/>
    </row>
    <row r="408" spans="18:18" ht="15.75" customHeight="1">
      <c r="R408" s="30"/>
    </row>
    <row r="409" spans="18:18" ht="15.75" customHeight="1">
      <c r="R409" s="30"/>
    </row>
    <row r="410" spans="18:18" ht="15.75" customHeight="1">
      <c r="R410" s="30"/>
    </row>
    <row r="411" spans="18:18" ht="15.75" customHeight="1">
      <c r="R411" s="30"/>
    </row>
    <row r="412" spans="18:18" ht="15.75" customHeight="1">
      <c r="R412" s="30"/>
    </row>
    <row r="413" spans="18:18" ht="15.75" customHeight="1">
      <c r="R413" s="30"/>
    </row>
    <row r="414" spans="18:18" ht="15.75" customHeight="1">
      <c r="R414" s="30"/>
    </row>
    <row r="415" spans="18:18" ht="15.75" customHeight="1">
      <c r="R415" s="30"/>
    </row>
    <row r="416" spans="18:18" ht="15.75" customHeight="1">
      <c r="R416" s="30"/>
    </row>
    <row r="417" spans="18:18" ht="15.75" customHeight="1">
      <c r="R417" s="30"/>
    </row>
    <row r="418" spans="18:18" ht="15.75" customHeight="1">
      <c r="R418" s="30"/>
    </row>
    <row r="419" spans="18:18" ht="15.75" customHeight="1">
      <c r="R419" s="30"/>
    </row>
    <row r="420" spans="18:18" ht="15.75" customHeight="1">
      <c r="R420" s="30"/>
    </row>
    <row r="421" spans="18:18" ht="15.75" customHeight="1">
      <c r="R421" s="30"/>
    </row>
    <row r="422" spans="18:18" ht="15.75" customHeight="1">
      <c r="R422" s="30"/>
    </row>
    <row r="423" spans="18:18" ht="15.75" customHeight="1">
      <c r="R423" s="30"/>
    </row>
    <row r="424" spans="18:18" ht="15.75" customHeight="1">
      <c r="R424" s="30"/>
    </row>
    <row r="425" spans="18:18" ht="15.75" customHeight="1">
      <c r="R425" s="30"/>
    </row>
    <row r="426" spans="18:18" ht="15.75" customHeight="1">
      <c r="R426" s="30"/>
    </row>
    <row r="427" spans="18:18" ht="15.75" customHeight="1">
      <c r="R427" s="30"/>
    </row>
    <row r="428" spans="18:18" ht="15.75" customHeight="1">
      <c r="R428" s="30"/>
    </row>
    <row r="429" spans="18:18" ht="15.75" customHeight="1">
      <c r="R429" s="30"/>
    </row>
    <row r="430" spans="18:18" ht="15.75" customHeight="1">
      <c r="R430" s="30"/>
    </row>
    <row r="431" spans="18:18" ht="15.75" customHeight="1">
      <c r="R431" s="30"/>
    </row>
    <row r="432" spans="18:18" ht="15.75" customHeight="1">
      <c r="R432" s="30"/>
    </row>
    <row r="433" spans="18:18" ht="15.75" customHeight="1">
      <c r="R433" s="30"/>
    </row>
    <row r="434" spans="18:18" ht="15.75" customHeight="1">
      <c r="R434" s="30"/>
    </row>
    <row r="435" spans="18:18" ht="15.75" customHeight="1">
      <c r="R435" s="30"/>
    </row>
    <row r="436" spans="18:18" ht="15.75" customHeight="1">
      <c r="R436" s="30"/>
    </row>
    <row r="437" spans="18:18" ht="15.75" customHeight="1">
      <c r="R437" s="30"/>
    </row>
    <row r="438" spans="18:18" ht="15.75" customHeight="1">
      <c r="R438" s="30"/>
    </row>
    <row r="439" spans="18:18" ht="15.75" customHeight="1">
      <c r="R439" s="30"/>
    </row>
    <row r="440" spans="18:18" ht="15.75" customHeight="1">
      <c r="R440" s="30"/>
    </row>
    <row r="441" spans="18:18" ht="15.75" customHeight="1">
      <c r="R441" s="30"/>
    </row>
    <row r="442" spans="18:18" ht="15.75" customHeight="1">
      <c r="R442" s="30"/>
    </row>
    <row r="443" spans="18:18" ht="15.75" customHeight="1">
      <c r="R443" s="30"/>
    </row>
    <row r="444" spans="18:18" ht="15.75" customHeight="1">
      <c r="R444" s="30"/>
    </row>
    <row r="445" spans="18:18" ht="15.75" customHeight="1">
      <c r="R445" s="30"/>
    </row>
    <row r="446" spans="18:18" ht="15.75" customHeight="1">
      <c r="R446" s="30"/>
    </row>
    <row r="447" spans="18:18" ht="15.75" customHeight="1">
      <c r="R447" s="30"/>
    </row>
    <row r="448" spans="18:18" ht="15.75" customHeight="1">
      <c r="R448" s="30"/>
    </row>
    <row r="449" spans="18:18" ht="15.75" customHeight="1">
      <c r="R449" s="30"/>
    </row>
    <row r="450" spans="18:18" ht="15.75" customHeight="1">
      <c r="R450" s="30"/>
    </row>
    <row r="451" spans="18:18" ht="15.75" customHeight="1">
      <c r="R451" s="30"/>
    </row>
    <row r="452" spans="18:18" ht="15.75" customHeight="1">
      <c r="R452" s="30"/>
    </row>
    <row r="453" spans="18:18" ht="15.75" customHeight="1">
      <c r="R453" s="30"/>
    </row>
    <row r="454" spans="18:18" ht="15.75" customHeight="1">
      <c r="R454" s="30"/>
    </row>
    <row r="455" spans="18:18" ht="15.75" customHeight="1">
      <c r="R455" s="30"/>
    </row>
    <row r="456" spans="18:18" ht="15.75" customHeight="1">
      <c r="R456" s="30"/>
    </row>
    <row r="457" spans="18:18" ht="15.75" customHeight="1">
      <c r="R457" s="30"/>
    </row>
    <row r="458" spans="18:18" ht="15.75" customHeight="1">
      <c r="R458" s="30"/>
    </row>
    <row r="459" spans="18:18" ht="15.75" customHeight="1">
      <c r="R459" s="30"/>
    </row>
    <row r="460" spans="18:18" ht="15.75" customHeight="1">
      <c r="R460" s="30"/>
    </row>
    <row r="461" spans="18:18" ht="15.75" customHeight="1">
      <c r="R461" s="30"/>
    </row>
    <row r="462" spans="18:18" ht="15.75" customHeight="1">
      <c r="R462" s="30"/>
    </row>
    <row r="463" spans="18:18" ht="15.75" customHeight="1">
      <c r="R463" s="30"/>
    </row>
    <row r="464" spans="18:18" ht="15.75" customHeight="1">
      <c r="R464" s="30"/>
    </row>
    <row r="465" spans="18:18" ht="15.75" customHeight="1">
      <c r="R465" s="30"/>
    </row>
    <row r="466" spans="18:18" ht="15.75" customHeight="1">
      <c r="R466" s="30"/>
    </row>
    <row r="467" spans="18:18" ht="15.75" customHeight="1">
      <c r="R467" s="30"/>
    </row>
    <row r="468" spans="18:18" ht="15.75" customHeight="1">
      <c r="R468" s="30"/>
    </row>
    <row r="469" spans="18:18" ht="15.75" customHeight="1">
      <c r="R469" s="30"/>
    </row>
    <row r="470" spans="18:18" ht="15.75" customHeight="1">
      <c r="R470" s="30"/>
    </row>
    <row r="471" spans="18:18" ht="15.75" customHeight="1">
      <c r="R471" s="30"/>
    </row>
    <row r="472" spans="18:18" ht="15.75" customHeight="1">
      <c r="R472" s="30"/>
    </row>
    <row r="473" spans="18:18" ht="15.75" customHeight="1">
      <c r="R473" s="30"/>
    </row>
    <row r="474" spans="18:18" ht="15.75" customHeight="1">
      <c r="R474" s="30"/>
    </row>
    <row r="475" spans="18:18" ht="15.75" customHeight="1">
      <c r="R475" s="30"/>
    </row>
    <row r="476" spans="18:18" ht="15.75" customHeight="1">
      <c r="R476" s="30"/>
    </row>
    <row r="477" spans="18:18" ht="15.75" customHeight="1">
      <c r="R477" s="30"/>
    </row>
    <row r="478" spans="18:18" ht="15.75" customHeight="1">
      <c r="R478" s="30"/>
    </row>
    <row r="479" spans="18:18" ht="15.75" customHeight="1">
      <c r="R479" s="30"/>
    </row>
    <row r="480" spans="18:18" ht="15.75" customHeight="1">
      <c r="R480" s="30"/>
    </row>
    <row r="481" spans="18:18" ht="15.75" customHeight="1">
      <c r="R481" s="30"/>
    </row>
    <row r="482" spans="18:18" ht="15.75" customHeight="1">
      <c r="R482" s="30"/>
    </row>
    <row r="483" spans="18:18" ht="15.75" customHeight="1">
      <c r="R483" s="30"/>
    </row>
    <row r="484" spans="18:18" ht="15.75" customHeight="1">
      <c r="R484" s="30"/>
    </row>
    <row r="485" spans="18:18" ht="15.75" customHeight="1">
      <c r="R485" s="30"/>
    </row>
    <row r="486" spans="18:18" ht="15.75" customHeight="1">
      <c r="R486" s="30"/>
    </row>
    <row r="487" spans="18:18" ht="15.75" customHeight="1">
      <c r="R487" s="30"/>
    </row>
    <row r="488" spans="18:18" ht="15.75" customHeight="1">
      <c r="R488" s="30"/>
    </row>
    <row r="489" spans="18:18" ht="15.75" customHeight="1">
      <c r="R489" s="30"/>
    </row>
    <row r="490" spans="18:18" ht="15.75" customHeight="1">
      <c r="R490" s="30"/>
    </row>
    <row r="491" spans="18:18" ht="15.75" customHeight="1">
      <c r="R491" s="30"/>
    </row>
    <row r="492" spans="18:18" ht="15.75" customHeight="1">
      <c r="R492" s="30"/>
    </row>
    <row r="493" spans="18:18" ht="15.75" customHeight="1">
      <c r="R493" s="30"/>
    </row>
    <row r="494" spans="18:18" ht="15.75" customHeight="1">
      <c r="R494" s="30"/>
    </row>
    <row r="495" spans="18:18" ht="15.75" customHeight="1">
      <c r="R495" s="30"/>
    </row>
    <row r="496" spans="18:18" ht="15.75" customHeight="1">
      <c r="R496" s="30"/>
    </row>
    <row r="497" spans="18:18" ht="15.75" customHeight="1">
      <c r="R497" s="30"/>
    </row>
    <row r="498" spans="18:18" ht="15.75" customHeight="1">
      <c r="R498" s="30"/>
    </row>
    <row r="499" spans="18:18" ht="15.75" customHeight="1">
      <c r="R499" s="30"/>
    </row>
    <row r="500" spans="18:18" ht="15.75" customHeight="1">
      <c r="R500" s="30"/>
    </row>
    <row r="501" spans="18:18" ht="15.75" customHeight="1">
      <c r="R501" s="30"/>
    </row>
    <row r="502" spans="18:18" ht="15.75" customHeight="1">
      <c r="R502" s="30"/>
    </row>
    <row r="503" spans="18:18" ht="15.75" customHeight="1">
      <c r="R503" s="30"/>
    </row>
    <row r="504" spans="18:18" ht="15.75" customHeight="1">
      <c r="R504" s="30"/>
    </row>
    <row r="505" spans="18:18" ht="15.75" customHeight="1">
      <c r="R505" s="30"/>
    </row>
    <row r="506" spans="18:18" ht="15.75" customHeight="1">
      <c r="R506" s="30"/>
    </row>
    <row r="507" spans="18:18" ht="15.75" customHeight="1">
      <c r="R507" s="30"/>
    </row>
    <row r="508" spans="18:18" ht="15.75" customHeight="1">
      <c r="R508" s="30"/>
    </row>
    <row r="509" spans="18:18" ht="15.75" customHeight="1">
      <c r="R509" s="30"/>
    </row>
    <row r="510" spans="18:18" ht="15.75" customHeight="1">
      <c r="R510" s="30"/>
    </row>
    <row r="511" spans="18:18" ht="15.75" customHeight="1">
      <c r="R511" s="30"/>
    </row>
    <row r="512" spans="18:18" ht="15.75" customHeight="1">
      <c r="R512" s="30"/>
    </row>
    <row r="513" spans="18:18" ht="15.75" customHeight="1">
      <c r="R513" s="30"/>
    </row>
    <row r="514" spans="18:18" ht="15.75" customHeight="1">
      <c r="R514" s="30"/>
    </row>
    <row r="515" spans="18:18" ht="15.75" customHeight="1">
      <c r="R515" s="30"/>
    </row>
    <row r="516" spans="18:18" ht="15.75" customHeight="1">
      <c r="R516" s="30"/>
    </row>
    <row r="517" spans="18:18" ht="15.75" customHeight="1">
      <c r="R517" s="30"/>
    </row>
    <row r="518" spans="18:18" ht="15.75" customHeight="1">
      <c r="R518" s="30"/>
    </row>
    <row r="519" spans="18:18" ht="15.75" customHeight="1">
      <c r="R519" s="30"/>
    </row>
    <row r="520" spans="18:18" ht="15.75" customHeight="1">
      <c r="R520" s="30"/>
    </row>
    <row r="521" spans="18:18" ht="15.75" customHeight="1">
      <c r="R521" s="30"/>
    </row>
    <row r="522" spans="18:18" ht="15.75" customHeight="1">
      <c r="R522" s="30"/>
    </row>
    <row r="523" spans="18:18" ht="15.75" customHeight="1">
      <c r="R523" s="30"/>
    </row>
    <row r="524" spans="18:18" ht="15.75" customHeight="1">
      <c r="R524" s="30"/>
    </row>
    <row r="525" spans="18:18" ht="15.75" customHeight="1">
      <c r="R525" s="30"/>
    </row>
    <row r="526" spans="18:18" ht="15.75" customHeight="1">
      <c r="R526" s="30"/>
    </row>
    <row r="527" spans="18:18" ht="15.75" customHeight="1">
      <c r="R527" s="30"/>
    </row>
    <row r="528" spans="18:18" ht="15.75" customHeight="1">
      <c r="R528" s="30"/>
    </row>
    <row r="529" spans="18:18" ht="15.75" customHeight="1">
      <c r="R529" s="30"/>
    </row>
    <row r="530" spans="18:18" ht="15.75" customHeight="1">
      <c r="R530" s="30"/>
    </row>
    <row r="531" spans="18:18" ht="15.75" customHeight="1">
      <c r="R531" s="30"/>
    </row>
    <row r="532" spans="18:18" ht="15.75" customHeight="1">
      <c r="R532" s="30"/>
    </row>
    <row r="533" spans="18:18" ht="15.75" customHeight="1">
      <c r="R533" s="30"/>
    </row>
    <row r="534" spans="18:18" ht="15.75" customHeight="1">
      <c r="R534" s="30"/>
    </row>
    <row r="535" spans="18:18" ht="15.75" customHeight="1">
      <c r="R535" s="30"/>
    </row>
    <row r="536" spans="18:18" ht="15.75" customHeight="1">
      <c r="R536" s="30"/>
    </row>
    <row r="537" spans="18:18" ht="15.75" customHeight="1">
      <c r="R537" s="30"/>
    </row>
    <row r="538" spans="18:18" ht="15.75" customHeight="1">
      <c r="R538" s="30"/>
    </row>
    <row r="539" spans="18:18" ht="15.75" customHeight="1">
      <c r="R539" s="30"/>
    </row>
    <row r="540" spans="18:18" ht="15.75" customHeight="1">
      <c r="R540" s="30"/>
    </row>
    <row r="541" spans="18:18" ht="15.75" customHeight="1">
      <c r="R541" s="30"/>
    </row>
    <row r="542" spans="18:18" ht="15.75" customHeight="1">
      <c r="R542" s="30"/>
    </row>
    <row r="543" spans="18:18" ht="15.75" customHeight="1">
      <c r="R543" s="30"/>
    </row>
    <row r="544" spans="18:18" ht="15.75" customHeight="1">
      <c r="R544" s="30"/>
    </row>
    <row r="545" spans="18:18" ht="15.75" customHeight="1">
      <c r="R545" s="30"/>
    </row>
    <row r="546" spans="18:18" ht="15.75" customHeight="1">
      <c r="R546" s="30"/>
    </row>
    <row r="547" spans="18:18" ht="15.75" customHeight="1">
      <c r="R547" s="30"/>
    </row>
    <row r="548" spans="18:18" ht="15.75" customHeight="1">
      <c r="R548" s="30"/>
    </row>
    <row r="549" spans="18:18" ht="15.75" customHeight="1">
      <c r="R549" s="30"/>
    </row>
    <row r="550" spans="18:18" ht="15.75" customHeight="1">
      <c r="R550" s="30"/>
    </row>
    <row r="551" spans="18:18" ht="15.75" customHeight="1">
      <c r="R551" s="30"/>
    </row>
    <row r="552" spans="18:18" ht="15.75" customHeight="1">
      <c r="R552" s="30"/>
    </row>
    <row r="553" spans="18:18" ht="15.75" customHeight="1">
      <c r="R553" s="30"/>
    </row>
    <row r="554" spans="18:18" ht="15.75" customHeight="1">
      <c r="R554" s="30"/>
    </row>
    <row r="555" spans="18:18" ht="15.75" customHeight="1">
      <c r="R555" s="30"/>
    </row>
    <row r="556" spans="18:18" ht="15.75" customHeight="1">
      <c r="R556" s="30"/>
    </row>
    <row r="557" spans="18:18" ht="15.75" customHeight="1">
      <c r="R557" s="30"/>
    </row>
    <row r="558" spans="18:18" ht="15.75" customHeight="1">
      <c r="R558" s="30"/>
    </row>
    <row r="559" spans="18:18" ht="15.75" customHeight="1">
      <c r="R559" s="30"/>
    </row>
    <row r="560" spans="18:18" ht="15.75" customHeight="1">
      <c r="R560" s="30"/>
    </row>
    <row r="561" spans="18:18" ht="15.75" customHeight="1">
      <c r="R561" s="30"/>
    </row>
    <row r="562" spans="18:18" ht="15.75" customHeight="1">
      <c r="R562" s="30"/>
    </row>
    <row r="563" spans="18:18" ht="15.75" customHeight="1">
      <c r="R563" s="30"/>
    </row>
    <row r="564" spans="18:18" ht="15.75" customHeight="1">
      <c r="R564" s="30"/>
    </row>
    <row r="565" spans="18:18" ht="15.75" customHeight="1">
      <c r="R565" s="30"/>
    </row>
    <row r="566" spans="18:18" ht="15.75" customHeight="1">
      <c r="R566" s="30"/>
    </row>
    <row r="567" spans="18:18" ht="15.75" customHeight="1">
      <c r="R567" s="30"/>
    </row>
    <row r="568" spans="18:18" ht="15.75" customHeight="1">
      <c r="R568" s="30"/>
    </row>
    <row r="569" spans="18:18" ht="15.75" customHeight="1">
      <c r="R569" s="30"/>
    </row>
    <row r="570" spans="18:18" ht="15.75" customHeight="1">
      <c r="R570" s="30"/>
    </row>
    <row r="571" spans="18:18" ht="15.75" customHeight="1">
      <c r="R571" s="30"/>
    </row>
    <row r="572" spans="18:18" ht="15.75" customHeight="1">
      <c r="R572" s="30"/>
    </row>
    <row r="573" spans="18:18" ht="15.75" customHeight="1">
      <c r="R573" s="30"/>
    </row>
    <row r="574" spans="18:18" ht="15.75" customHeight="1">
      <c r="R574" s="30"/>
    </row>
    <row r="575" spans="18:18" ht="15.75" customHeight="1">
      <c r="R575" s="30"/>
    </row>
    <row r="576" spans="18:18" ht="15.75" customHeight="1">
      <c r="R576" s="30"/>
    </row>
    <row r="577" spans="18:18" ht="15.75" customHeight="1">
      <c r="R577" s="30"/>
    </row>
    <row r="578" spans="18:18" ht="15.75" customHeight="1">
      <c r="R578" s="30"/>
    </row>
    <row r="579" spans="18:18" ht="15.75" customHeight="1">
      <c r="R579" s="30"/>
    </row>
    <row r="580" spans="18:18" ht="15.75" customHeight="1">
      <c r="R580" s="30"/>
    </row>
    <row r="581" spans="18:18" ht="15.75" customHeight="1">
      <c r="R581" s="30"/>
    </row>
    <row r="582" spans="18:18" ht="15.75" customHeight="1">
      <c r="R582" s="30"/>
    </row>
    <row r="583" spans="18:18" ht="15.75" customHeight="1">
      <c r="R583" s="30"/>
    </row>
    <row r="584" spans="18:18" ht="15.75" customHeight="1">
      <c r="R584" s="30"/>
    </row>
    <row r="585" spans="18:18" ht="15.75" customHeight="1">
      <c r="R585" s="30"/>
    </row>
    <row r="586" spans="18:18" ht="15.75" customHeight="1">
      <c r="R586" s="30"/>
    </row>
    <row r="587" spans="18:18" ht="15.75" customHeight="1">
      <c r="R587" s="30"/>
    </row>
    <row r="588" spans="18:18" ht="15.75" customHeight="1">
      <c r="R588" s="30"/>
    </row>
    <row r="589" spans="18:18" ht="15.75" customHeight="1">
      <c r="R589" s="30"/>
    </row>
    <row r="590" spans="18:18" ht="15.75" customHeight="1">
      <c r="R590" s="30"/>
    </row>
    <row r="591" spans="18:18" ht="15.75" customHeight="1">
      <c r="R591" s="30"/>
    </row>
    <row r="592" spans="18:18" ht="15.75" customHeight="1">
      <c r="R592" s="30"/>
    </row>
    <row r="593" spans="18:18" ht="15.75" customHeight="1">
      <c r="R593" s="30"/>
    </row>
    <row r="594" spans="18:18" ht="15.75" customHeight="1">
      <c r="R594" s="30"/>
    </row>
    <row r="595" spans="18:18" ht="15.75" customHeight="1">
      <c r="R595" s="30"/>
    </row>
    <row r="596" spans="18:18" ht="15.75" customHeight="1">
      <c r="R596" s="30"/>
    </row>
    <row r="597" spans="18:18" ht="15.75" customHeight="1">
      <c r="R597" s="30"/>
    </row>
    <row r="598" spans="18:18" ht="15.75" customHeight="1">
      <c r="R598" s="30"/>
    </row>
    <row r="599" spans="18:18" ht="15.75" customHeight="1">
      <c r="R599" s="30"/>
    </row>
    <row r="600" spans="18:18" ht="15.75" customHeight="1">
      <c r="R600" s="30"/>
    </row>
    <row r="601" spans="18:18" ht="15.75" customHeight="1">
      <c r="R601" s="30"/>
    </row>
    <row r="602" spans="18:18" ht="15.75" customHeight="1">
      <c r="R602" s="30"/>
    </row>
    <row r="603" spans="18:18" ht="15.75" customHeight="1">
      <c r="R603" s="30"/>
    </row>
    <row r="604" spans="18:18" ht="15.75" customHeight="1">
      <c r="R604" s="30"/>
    </row>
    <row r="605" spans="18:18" ht="15.75" customHeight="1">
      <c r="R605" s="30"/>
    </row>
    <row r="606" spans="18:18" ht="15.75" customHeight="1">
      <c r="R606" s="30"/>
    </row>
    <row r="607" spans="18:18" ht="15.75" customHeight="1">
      <c r="R607" s="30"/>
    </row>
    <row r="608" spans="18:18" ht="15.75" customHeight="1">
      <c r="R608" s="30"/>
    </row>
    <row r="609" spans="18:18" ht="15.75" customHeight="1">
      <c r="R609" s="30"/>
    </row>
    <row r="610" spans="18:18" ht="15.75" customHeight="1">
      <c r="R610" s="30"/>
    </row>
    <row r="611" spans="18:18" ht="15.75" customHeight="1">
      <c r="R611" s="30"/>
    </row>
    <row r="612" spans="18:18" ht="15.75" customHeight="1">
      <c r="R612" s="30"/>
    </row>
    <row r="613" spans="18:18" ht="15.75" customHeight="1">
      <c r="R613" s="30"/>
    </row>
    <row r="614" spans="18:18" ht="15.75" customHeight="1">
      <c r="R614" s="30"/>
    </row>
    <row r="615" spans="18:18" ht="15.75" customHeight="1">
      <c r="R615" s="30"/>
    </row>
    <row r="616" spans="18:18" ht="15.75" customHeight="1">
      <c r="R616" s="30"/>
    </row>
    <row r="617" spans="18:18" ht="15.75" customHeight="1">
      <c r="R617" s="30"/>
    </row>
    <row r="618" spans="18:18" ht="15.75" customHeight="1">
      <c r="R618" s="30"/>
    </row>
    <row r="619" spans="18:18" ht="15.75" customHeight="1">
      <c r="R619" s="30"/>
    </row>
    <row r="620" spans="18:18" ht="15.75" customHeight="1">
      <c r="R620" s="30"/>
    </row>
    <row r="621" spans="18:18" ht="15.75" customHeight="1">
      <c r="R621" s="30"/>
    </row>
    <row r="622" spans="18:18" ht="15.75" customHeight="1">
      <c r="R622" s="30"/>
    </row>
    <row r="623" spans="18:18" ht="15.75" customHeight="1">
      <c r="R623" s="30"/>
    </row>
    <row r="624" spans="18:18" ht="15.75" customHeight="1">
      <c r="R624" s="30"/>
    </row>
    <row r="625" spans="18:18" ht="15.75" customHeight="1">
      <c r="R625" s="30"/>
    </row>
    <row r="626" spans="18:18" ht="15.75" customHeight="1">
      <c r="R626" s="30"/>
    </row>
    <row r="627" spans="18:18" ht="15.75" customHeight="1">
      <c r="R627" s="30"/>
    </row>
    <row r="628" spans="18:18" ht="15.75" customHeight="1">
      <c r="R628" s="30"/>
    </row>
    <row r="629" spans="18:18" ht="15.75" customHeight="1">
      <c r="R629" s="30"/>
    </row>
    <row r="630" spans="18:18" ht="15.75" customHeight="1">
      <c r="R630" s="30"/>
    </row>
    <row r="631" spans="18:18" ht="15.75" customHeight="1">
      <c r="R631" s="30"/>
    </row>
    <row r="632" spans="18:18" ht="15.75" customHeight="1">
      <c r="R632" s="30"/>
    </row>
    <row r="633" spans="18:18" ht="15.75" customHeight="1">
      <c r="R633" s="30"/>
    </row>
    <row r="634" spans="18:18" ht="15.75" customHeight="1">
      <c r="R634" s="30"/>
    </row>
    <row r="635" spans="18:18" ht="15.75" customHeight="1">
      <c r="R635" s="30"/>
    </row>
    <row r="636" spans="18:18" ht="15.75" customHeight="1">
      <c r="R636" s="30"/>
    </row>
    <row r="637" spans="18:18" ht="15.75" customHeight="1">
      <c r="R637" s="30"/>
    </row>
    <row r="638" spans="18:18" ht="15.75" customHeight="1">
      <c r="R638" s="30"/>
    </row>
    <row r="639" spans="18:18" ht="15.75" customHeight="1">
      <c r="R639" s="30"/>
    </row>
    <row r="640" spans="18:18" ht="15.75" customHeight="1">
      <c r="R640" s="30"/>
    </row>
    <row r="641" spans="18:18" ht="15.75" customHeight="1">
      <c r="R641" s="30"/>
    </row>
    <row r="642" spans="18:18" ht="15.75" customHeight="1">
      <c r="R642" s="30"/>
    </row>
    <row r="643" spans="18:18" ht="15.75" customHeight="1">
      <c r="R643" s="30"/>
    </row>
    <row r="644" spans="18:18" ht="15.75" customHeight="1">
      <c r="R644" s="30"/>
    </row>
    <row r="645" spans="18:18" ht="15.75" customHeight="1">
      <c r="R645" s="30"/>
    </row>
    <row r="646" spans="18:18" ht="15.75" customHeight="1">
      <c r="R646" s="30"/>
    </row>
    <row r="647" spans="18:18" ht="15.75" customHeight="1">
      <c r="R647" s="30"/>
    </row>
    <row r="648" spans="18:18" ht="15.75" customHeight="1">
      <c r="R648" s="30"/>
    </row>
    <row r="649" spans="18:18" ht="15.75" customHeight="1">
      <c r="R649" s="30"/>
    </row>
    <row r="650" spans="18:18" ht="15.75" customHeight="1">
      <c r="R650" s="30"/>
    </row>
    <row r="651" spans="18:18" ht="15.75" customHeight="1">
      <c r="R651" s="30"/>
    </row>
    <row r="652" spans="18:18" ht="15.75" customHeight="1">
      <c r="R652" s="30"/>
    </row>
    <row r="653" spans="18:18" ht="15.75" customHeight="1">
      <c r="R653" s="30"/>
    </row>
    <row r="654" spans="18:18" ht="15.75" customHeight="1">
      <c r="R654" s="30"/>
    </row>
    <row r="655" spans="18:18" ht="15.75" customHeight="1">
      <c r="R655" s="30"/>
    </row>
    <row r="656" spans="18:18" ht="15.75" customHeight="1">
      <c r="R656" s="30"/>
    </row>
    <row r="657" spans="18:18" ht="15.75" customHeight="1">
      <c r="R657" s="30"/>
    </row>
    <row r="658" spans="18:18" ht="15.75" customHeight="1">
      <c r="R658" s="30"/>
    </row>
    <row r="659" spans="18:18" ht="15.75" customHeight="1">
      <c r="R659" s="30"/>
    </row>
    <row r="660" spans="18:18" ht="15.75" customHeight="1">
      <c r="R660" s="30"/>
    </row>
    <row r="661" spans="18:18" ht="15.75" customHeight="1">
      <c r="R661" s="30"/>
    </row>
    <row r="662" spans="18:18" ht="15.75" customHeight="1">
      <c r="R662" s="30"/>
    </row>
    <row r="663" spans="18:18" ht="15.75" customHeight="1">
      <c r="R663" s="30"/>
    </row>
    <row r="664" spans="18:18" ht="15.75" customHeight="1">
      <c r="R664" s="30"/>
    </row>
    <row r="665" spans="18:18" ht="15.75" customHeight="1">
      <c r="R665" s="30"/>
    </row>
    <row r="666" spans="18:18" ht="15.75" customHeight="1">
      <c r="R666" s="30"/>
    </row>
    <row r="667" spans="18:18" ht="15.75" customHeight="1">
      <c r="R667" s="30"/>
    </row>
    <row r="668" spans="18:18" ht="15.75" customHeight="1">
      <c r="R668" s="30"/>
    </row>
    <row r="669" spans="18:18" ht="15.75" customHeight="1">
      <c r="R669" s="30"/>
    </row>
    <row r="670" spans="18:18" ht="15.75" customHeight="1">
      <c r="R670" s="30"/>
    </row>
    <row r="671" spans="18:18" ht="15.75" customHeight="1">
      <c r="R671" s="30"/>
    </row>
    <row r="672" spans="18:18" ht="15.75" customHeight="1">
      <c r="R672" s="30"/>
    </row>
    <row r="673" spans="18:18" ht="15.75" customHeight="1">
      <c r="R673" s="30"/>
    </row>
    <row r="674" spans="18:18" ht="15.75" customHeight="1">
      <c r="R674" s="30"/>
    </row>
    <row r="675" spans="18:18" ht="15.75" customHeight="1">
      <c r="R675" s="30"/>
    </row>
    <row r="676" spans="18:18" ht="15.75" customHeight="1">
      <c r="R676" s="30"/>
    </row>
    <row r="677" spans="18:18" ht="15.75" customHeight="1">
      <c r="R677" s="30"/>
    </row>
    <row r="678" spans="18:18" ht="15.75" customHeight="1">
      <c r="R678" s="30"/>
    </row>
    <row r="679" spans="18:18" ht="15.75" customHeight="1">
      <c r="R679" s="30"/>
    </row>
    <row r="680" spans="18:18" ht="15.75" customHeight="1">
      <c r="R680" s="30"/>
    </row>
    <row r="681" spans="18:18" ht="15.75" customHeight="1">
      <c r="R681" s="30"/>
    </row>
    <row r="682" spans="18:18" ht="15.75" customHeight="1">
      <c r="R682" s="30"/>
    </row>
    <row r="683" spans="18:18" ht="15.75" customHeight="1">
      <c r="R683" s="30"/>
    </row>
    <row r="684" spans="18:18" ht="15.75" customHeight="1">
      <c r="R684" s="30"/>
    </row>
    <row r="685" spans="18:18" ht="15.75" customHeight="1">
      <c r="R685" s="30"/>
    </row>
    <row r="686" spans="18:18" ht="15.75" customHeight="1">
      <c r="R686" s="30"/>
    </row>
    <row r="687" spans="18:18" ht="15.75" customHeight="1">
      <c r="R687" s="30"/>
    </row>
    <row r="688" spans="18:18" ht="15.75" customHeight="1">
      <c r="R688" s="30"/>
    </row>
    <row r="689" spans="18:18" ht="15.75" customHeight="1">
      <c r="R689" s="30"/>
    </row>
    <row r="690" spans="18:18" ht="15.75" customHeight="1">
      <c r="R690" s="30"/>
    </row>
    <row r="691" spans="18:18" ht="15.75" customHeight="1">
      <c r="R691" s="30"/>
    </row>
    <row r="692" spans="18:18" ht="15.75" customHeight="1">
      <c r="R692" s="30"/>
    </row>
    <row r="693" spans="18:18" ht="15.75" customHeight="1">
      <c r="R693" s="30"/>
    </row>
    <row r="694" spans="18:18" ht="15.75" customHeight="1">
      <c r="R694" s="30"/>
    </row>
    <row r="695" spans="18:18" ht="15.75" customHeight="1">
      <c r="R695" s="30"/>
    </row>
    <row r="696" spans="18:18" ht="15.75" customHeight="1">
      <c r="R696" s="30"/>
    </row>
    <row r="697" spans="18:18" ht="15.75" customHeight="1">
      <c r="R697" s="30"/>
    </row>
    <row r="698" spans="18:18" ht="15.75" customHeight="1">
      <c r="R698" s="30"/>
    </row>
    <row r="699" spans="18:18" ht="15.75" customHeight="1">
      <c r="R699" s="30"/>
    </row>
    <row r="700" spans="18:18" ht="15.75" customHeight="1">
      <c r="R700" s="30"/>
    </row>
    <row r="701" spans="18:18" ht="15.75" customHeight="1">
      <c r="R701" s="30"/>
    </row>
    <row r="702" spans="18:18" ht="15.75" customHeight="1">
      <c r="R702" s="30"/>
    </row>
    <row r="703" spans="18:18" ht="15.75" customHeight="1">
      <c r="R703" s="30"/>
    </row>
    <row r="704" spans="18:18" ht="15.75" customHeight="1">
      <c r="R704" s="30"/>
    </row>
    <row r="705" spans="18:18" ht="15.75" customHeight="1">
      <c r="R705" s="30"/>
    </row>
    <row r="706" spans="18:18" ht="15.75" customHeight="1">
      <c r="R706" s="30"/>
    </row>
    <row r="707" spans="18:18" ht="15.75" customHeight="1">
      <c r="R707" s="30"/>
    </row>
    <row r="708" spans="18:18" ht="15.75" customHeight="1">
      <c r="R708" s="30"/>
    </row>
    <row r="709" spans="18:18" ht="15.75" customHeight="1">
      <c r="R709" s="30"/>
    </row>
    <row r="710" spans="18:18" ht="15.75" customHeight="1">
      <c r="R710" s="30"/>
    </row>
    <row r="711" spans="18:18" ht="15.75" customHeight="1">
      <c r="R711" s="30"/>
    </row>
    <row r="712" spans="18:18" ht="15.75" customHeight="1">
      <c r="R712" s="30"/>
    </row>
    <row r="713" spans="18:18" ht="15.75" customHeight="1">
      <c r="R713" s="30"/>
    </row>
    <row r="714" spans="18:18" ht="15.75" customHeight="1">
      <c r="R714" s="30"/>
    </row>
    <row r="715" spans="18:18" ht="15.75" customHeight="1">
      <c r="R715" s="30"/>
    </row>
    <row r="716" spans="18:18" ht="15.75" customHeight="1">
      <c r="R716" s="30"/>
    </row>
    <row r="717" spans="18:18" ht="15.75" customHeight="1">
      <c r="R717" s="30"/>
    </row>
    <row r="718" spans="18:18" ht="15.75" customHeight="1">
      <c r="R718" s="30"/>
    </row>
    <row r="719" spans="18:18" ht="15.75" customHeight="1">
      <c r="R719" s="30"/>
    </row>
    <row r="720" spans="18:18" ht="15.75" customHeight="1">
      <c r="R720" s="30"/>
    </row>
    <row r="721" spans="18:18" ht="15.75" customHeight="1">
      <c r="R721" s="30"/>
    </row>
    <row r="722" spans="18:18" ht="15.75" customHeight="1">
      <c r="R722" s="30"/>
    </row>
    <row r="723" spans="18:18" ht="15.75" customHeight="1">
      <c r="R723" s="30"/>
    </row>
    <row r="724" spans="18:18" ht="15.75" customHeight="1">
      <c r="R724" s="30"/>
    </row>
    <row r="725" spans="18:18" ht="15.75" customHeight="1">
      <c r="R725" s="30"/>
    </row>
    <row r="726" spans="18:18" ht="15.75" customHeight="1">
      <c r="R726" s="30"/>
    </row>
    <row r="727" spans="18:18" ht="15.75" customHeight="1">
      <c r="R727" s="30"/>
    </row>
    <row r="728" spans="18:18" ht="15.75" customHeight="1">
      <c r="R728" s="30"/>
    </row>
    <row r="729" spans="18:18" ht="15.75" customHeight="1">
      <c r="R729" s="30"/>
    </row>
    <row r="730" spans="18:18" ht="15.75" customHeight="1">
      <c r="R730" s="30"/>
    </row>
    <row r="731" spans="18:18" ht="15.75" customHeight="1">
      <c r="R731" s="30"/>
    </row>
    <row r="732" spans="18:18" ht="15.75" customHeight="1">
      <c r="R732" s="30"/>
    </row>
    <row r="733" spans="18:18" ht="15.75" customHeight="1">
      <c r="R733" s="30"/>
    </row>
    <row r="734" spans="18:18" ht="15.75" customHeight="1">
      <c r="R734" s="30"/>
    </row>
    <row r="735" spans="18:18" ht="15.75" customHeight="1">
      <c r="R735" s="30"/>
    </row>
    <row r="736" spans="18:18" ht="15.75" customHeight="1">
      <c r="R736" s="30"/>
    </row>
    <row r="737" spans="18:18" ht="15.75" customHeight="1">
      <c r="R737" s="30"/>
    </row>
    <row r="738" spans="18:18" ht="15.75" customHeight="1">
      <c r="R738" s="30"/>
    </row>
    <row r="739" spans="18:18" ht="15.75" customHeight="1">
      <c r="R739" s="30"/>
    </row>
    <row r="740" spans="18:18" ht="15.75" customHeight="1">
      <c r="R740" s="30"/>
    </row>
    <row r="741" spans="18:18" ht="15.75" customHeight="1">
      <c r="R741" s="30"/>
    </row>
    <row r="742" spans="18:18" ht="15.75" customHeight="1">
      <c r="R742" s="30"/>
    </row>
    <row r="743" spans="18:18" ht="15.75" customHeight="1">
      <c r="R743" s="30"/>
    </row>
    <row r="744" spans="18:18" ht="15.75" customHeight="1">
      <c r="R744" s="30"/>
    </row>
    <row r="745" spans="18:18" ht="15.75" customHeight="1">
      <c r="R745" s="30"/>
    </row>
    <row r="746" spans="18:18" ht="15.75" customHeight="1">
      <c r="R746" s="30"/>
    </row>
    <row r="747" spans="18:18" ht="15.75" customHeight="1">
      <c r="R747" s="30"/>
    </row>
    <row r="748" spans="18:18" ht="15.75" customHeight="1">
      <c r="R748" s="30"/>
    </row>
    <row r="749" spans="18:18" ht="15.75" customHeight="1">
      <c r="R749" s="30"/>
    </row>
    <row r="750" spans="18:18" ht="15.75" customHeight="1">
      <c r="R750" s="30"/>
    </row>
    <row r="751" spans="18:18" ht="15.75" customHeight="1">
      <c r="R751" s="30"/>
    </row>
    <row r="752" spans="18:18" ht="15.75" customHeight="1">
      <c r="R752" s="30"/>
    </row>
    <row r="753" spans="18:18" ht="15.75" customHeight="1">
      <c r="R753" s="30"/>
    </row>
    <row r="754" spans="18:18" ht="15.75" customHeight="1">
      <c r="R754" s="30"/>
    </row>
    <row r="755" spans="18:18" ht="15.75" customHeight="1">
      <c r="R755" s="30"/>
    </row>
    <row r="756" spans="18:18" ht="15.75" customHeight="1">
      <c r="R756" s="30"/>
    </row>
    <row r="757" spans="18:18" ht="15.75" customHeight="1">
      <c r="R757" s="30"/>
    </row>
    <row r="758" spans="18:18" ht="15.75" customHeight="1">
      <c r="R758" s="30"/>
    </row>
    <row r="759" spans="18:18" ht="15.75" customHeight="1">
      <c r="R759" s="30"/>
    </row>
    <row r="760" spans="18:18" ht="15.75" customHeight="1">
      <c r="R760" s="30"/>
    </row>
    <row r="761" spans="18:18" ht="15.75" customHeight="1">
      <c r="R761" s="30"/>
    </row>
    <row r="762" spans="18:18" ht="15.75" customHeight="1">
      <c r="R762" s="30"/>
    </row>
    <row r="763" spans="18:18" ht="15.75" customHeight="1">
      <c r="R763" s="30"/>
    </row>
    <row r="764" spans="18:18" ht="15.75" customHeight="1">
      <c r="R764" s="30"/>
    </row>
    <row r="765" spans="18:18" ht="15.75" customHeight="1">
      <c r="R765" s="30"/>
    </row>
    <row r="766" spans="18:18" ht="15.75" customHeight="1">
      <c r="R766" s="30"/>
    </row>
    <row r="767" spans="18:18" ht="15.75" customHeight="1">
      <c r="R767" s="30"/>
    </row>
    <row r="768" spans="18:18" ht="15.75" customHeight="1">
      <c r="R768" s="30"/>
    </row>
    <row r="769" spans="18:18" ht="15.75" customHeight="1">
      <c r="R769" s="30"/>
    </row>
    <row r="770" spans="18:18" ht="15.75" customHeight="1">
      <c r="R770" s="30"/>
    </row>
    <row r="771" spans="18:18" ht="15.75" customHeight="1">
      <c r="R771" s="30"/>
    </row>
    <row r="772" spans="18:18" ht="15.75" customHeight="1">
      <c r="R772" s="30"/>
    </row>
    <row r="773" spans="18:18" ht="15.75" customHeight="1">
      <c r="R773" s="30"/>
    </row>
    <row r="774" spans="18:18" ht="15.75" customHeight="1">
      <c r="R774" s="30"/>
    </row>
    <row r="775" spans="18:18" ht="15.75" customHeight="1">
      <c r="R775" s="30"/>
    </row>
    <row r="776" spans="18:18" ht="15.75" customHeight="1">
      <c r="R776" s="30"/>
    </row>
    <row r="777" spans="18:18" ht="15.75" customHeight="1">
      <c r="R777" s="30"/>
    </row>
    <row r="778" spans="18:18" ht="15.75" customHeight="1">
      <c r="R778" s="30"/>
    </row>
    <row r="779" spans="18:18" ht="15.75" customHeight="1">
      <c r="R779" s="30"/>
    </row>
    <row r="780" spans="18:18" ht="15.75" customHeight="1">
      <c r="R780" s="30"/>
    </row>
    <row r="781" spans="18:18" ht="15.75" customHeight="1">
      <c r="R781" s="30"/>
    </row>
    <row r="782" spans="18:18" ht="15.75" customHeight="1">
      <c r="R782" s="30"/>
    </row>
    <row r="783" spans="18:18" ht="15.75" customHeight="1">
      <c r="R783" s="30"/>
    </row>
    <row r="784" spans="18:18" ht="15.75" customHeight="1">
      <c r="R784" s="30"/>
    </row>
    <row r="785" spans="18:18" ht="15.75" customHeight="1">
      <c r="R785" s="30"/>
    </row>
    <row r="786" spans="18:18" ht="15.75" customHeight="1">
      <c r="R786" s="30"/>
    </row>
    <row r="787" spans="18:18" ht="15.75" customHeight="1">
      <c r="R787" s="30"/>
    </row>
    <row r="788" spans="18:18" ht="15.75" customHeight="1">
      <c r="R788" s="30"/>
    </row>
    <row r="789" spans="18:18" ht="15.75" customHeight="1">
      <c r="R789" s="30"/>
    </row>
    <row r="790" spans="18:18" ht="15.75" customHeight="1">
      <c r="R790" s="30"/>
    </row>
    <row r="791" spans="18:18" ht="15.75" customHeight="1">
      <c r="R791" s="30"/>
    </row>
    <row r="792" spans="18:18" ht="15.75" customHeight="1">
      <c r="R792" s="30"/>
    </row>
    <row r="793" spans="18:18" ht="15.75" customHeight="1">
      <c r="R793" s="30"/>
    </row>
    <row r="794" spans="18:18" ht="15.75" customHeight="1">
      <c r="R794" s="30"/>
    </row>
    <row r="795" spans="18:18" ht="15.75" customHeight="1">
      <c r="R795" s="30"/>
    </row>
    <row r="796" spans="18:18" ht="15.75" customHeight="1">
      <c r="R796" s="30"/>
    </row>
    <row r="797" spans="18:18" ht="15.75" customHeight="1">
      <c r="R797" s="30"/>
    </row>
    <row r="798" spans="18:18" ht="15.75" customHeight="1">
      <c r="R798" s="30"/>
    </row>
    <row r="799" spans="18:18" ht="15.75" customHeight="1">
      <c r="R799" s="30"/>
    </row>
    <row r="800" spans="18:18" ht="15.75" customHeight="1">
      <c r="R800" s="30"/>
    </row>
    <row r="801" spans="18:18" ht="15.75" customHeight="1">
      <c r="R801" s="30"/>
    </row>
    <row r="802" spans="18:18" ht="15.75" customHeight="1">
      <c r="R802" s="30"/>
    </row>
    <row r="803" spans="18:18" ht="15.75" customHeight="1">
      <c r="R803" s="30"/>
    </row>
    <row r="804" spans="18:18" ht="15.75" customHeight="1">
      <c r="R804" s="30"/>
    </row>
    <row r="805" spans="18:18" ht="15.75" customHeight="1">
      <c r="R805" s="30"/>
    </row>
    <row r="806" spans="18:18" ht="15.75" customHeight="1">
      <c r="R806" s="30"/>
    </row>
    <row r="807" spans="18:18" ht="15.75" customHeight="1">
      <c r="R807" s="30"/>
    </row>
    <row r="808" spans="18:18" ht="15.75" customHeight="1">
      <c r="R808" s="30"/>
    </row>
    <row r="809" spans="18:18" ht="15.75" customHeight="1">
      <c r="R809" s="30"/>
    </row>
    <row r="810" spans="18:18" ht="15.75" customHeight="1">
      <c r="R810" s="30"/>
    </row>
    <row r="811" spans="18:18" ht="15.75" customHeight="1">
      <c r="R811" s="30"/>
    </row>
    <row r="812" spans="18:18" ht="15.75" customHeight="1">
      <c r="R812" s="30"/>
    </row>
    <row r="813" spans="18:18" ht="15.75" customHeight="1">
      <c r="R813" s="30"/>
    </row>
    <row r="814" spans="18:18" ht="15.75" customHeight="1">
      <c r="R814" s="30"/>
    </row>
    <row r="815" spans="18:18" ht="15.75" customHeight="1">
      <c r="R815" s="30"/>
    </row>
    <row r="816" spans="18:18" ht="15.75" customHeight="1">
      <c r="R816" s="30"/>
    </row>
    <row r="817" spans="18:18" ht="15.75" customHeight="1">
      <c r="R817" s="30"/>
    </row>
    <row r="818" spans="18:18" ht="15.75" customHeight="1">
      <c r="R818" s="30"/>
    </row>
    <row r="819" spans="18:18" ht="15.75" customHeight="1">
      <c r="R819" s="30"/>
    </row>
    <row r="820" spans="18:18" ht="15.75" customHeight="1">
      <c r="R820" s="30"/>
    </row>
    <row r="821" spans="18:18" ht="15.75" customHeight="1">
      <c r="R821" s="30"/>
    </row>
    <row r="822" spans="18:18" ht="15.75" customHeight="1">
      <c r="R822" s="30"/>
    </row>
    <row r="823" spans="18:18" ht="15.75" customHeight="1">
      <c r="R823" s="30"/>
    </row>
    <row r="824" spans="18:18" ht="15.75" customHeight="1">
      <c r="R824" s="30"/>
    </row>
    <row r="825" spans="18:18" ht="15.75" customHeight="1">
      <c r="R825" s="30"/>
    </row>
    <row r="826" spans="18:18" ht="15.75" customHeight="1">
      <c r="R826" s="30"/>
    </row>
    <row r="827" spans="18:18" ht="15.75" customHeight="1">
      <c r="R827" s="30"/>
    </row>
    <row r="828" spans="18:18" ht="15.75" customHeight="1">
      <c r="R828" s="30"/>
    </row>
    <row r="829" spans="18:18" ht="15.75" customHeight="1">
      <c r="R829" s="30"/>
    </row>
    <row r="830" spans="18:18" ht="15.75" customHeight="1">
      <c r="R830" s="30"/>
    </row>
    <row r="831" spans="18:18" ht="15.75" customHeight="1">
      <c r="R831" s="30"/>
    </row>
    <row r="832" spans="18:18" ht="15.75" customHeight="1">
      <c r="R832" s="30"/>
    </row>
    <row r="833" spans="18:18" ht="15.75" customHeight="1">
      <c r="R833" s="30"/>
    </row>
    <row r="834" spans="18:18" ht="15.75" customHeight="1">
      <c r="R834" s="30"/>
    </row>
    <row r="835" spans="18:18" ht="15.75" customHeight="1">
      <c r="R835" s="30"/>
    </row>
    <row r="836" spans="18:18" ht="15.75" customHeight="1">
      <c r="R836" s="30"/>
    </row>
    <row r="837" spans="18:18" ht="15.75" customHeight="1">
      <c r="R837" s="30"/>
    </row>
    <row r="838" spans="18:18" ht="15.75" customHeight="1">
      <c r="R838" s="30"/>
    </row>
    <row r="839" spans="18:18" ht="15.75" customHeight="1">
      <c r="R839" s="30"/>
    </row>
    <row r="840" spans="18:18" ht="15.75" customHeight="1">
      <c r="R840" s="30"/>
    </row>
    <row r="841" spans="18:18" ht="15.75" customHeight="1">
      <c r="R841" s="30"/>
    </row>
    <row r="842" spans="18:18" ht="15.75" customHeight="1">
      <c r="R842" s="30"/>
    </row>
    <row r="843" spans="18:18" ht="15.75" customHeight="1">
      <c r="R843" s="30"/>
    </row>
    <row r="844" spans="18:18" ht="15.75" customHeight="1">
      <c r="R844" s="30"/>
    </row>
    <row r="845" spans="18:18" ht="15.75" customHeight="1">
      <c r="R845" s="30"/>
    </row>
    <row r="846" spans="18:18" ht="15.75" customHeight="1">
      <c r="R846" s="30"/>
    </row>
    <row r="847" spans="18:18" ht="15.75" customHeight="1">
      <c r="R847" s="30"/>
    </row>
    <row r="848" spans="18:18" ht="15.75" customHeight="1">
      <c r="R848" s="30"/>
    </row>
    <row r="849" spans="18:18" ht="15.75" customHeight="1">
      <c r="R849" s="30"/>
    </row>
    <row r="850" spans="18:18" ht="15.75" customHeight="1">
      <c r="R850" s="30"/>
    </row>
    <row r="851" spans="18:18" ht="15.75" customHeight="1">
      <c r="R851" s="30"/>
    </row>
    <row r="852" spans="18:18" ht="15.75" customHeight="1">
      <c r="R852" s="30"/>
    </row>
    <row r="853" spans="18:18" ht="15.75" customHeight="1">
      <c r="R853" s="30"/>
    </row>
    <row r="854" spans="18:18" ht="15.75" customHeight="1">
      <c r="R854" s="30"/>
    </row>
    <row r="855" spans="18:18" ht="15.75" customHeight="1">
      <c r="R855" s="30"/>
    </row>
    <row r="856" spans="18:18" ht="15.75" customHeight="1">
      <c r="R856" s="30"/>
    </row>
    <row r="857" spans="18:18" ht="15.75" customHeight="1">
      <c r="R857" s="30"/>
    </row>
    <row r="858" spans="18:18" ht="15.75" customHeight="1">
      <c r="R858" s="30"/>
    </row>
    <row r="859" spans="18:18" ht="15.75" customHeight="1">
      <c r="R859" s="30"/>
    </row>
    <row r="860" spans="18:18" ht="15.75" customHeight="1">
      <c r="R860" s="30"/>
    </row>
    <row r="861" spans="18:18" ht="15.75" customHeight="1">
      <c r="R861" s="30"/>
    </row>
    <row r="862" spans="18:18" ht="15.75" customHeight="1">
      <c r="R862" s="30"/>
    </row>
    <row r="863" spans="18:18" ht="15.75" customHeight="1">
      <c r="R863" s="30"/>
    </row>
    <row r="864" spans="18:18" ht="15.75" customHeight="1">
      <c r="R864" s="30"/>
    </row>
    <row r="865" spans="18:18" ht="15.75" customHeight="1">
      <c r="R865" s="30"/>
    </row>
    <row r="866" spans="18:18" ht="15.75" customHeight="1">
      <c r="R866" s="30"/>
    </row>
    <row r="867" spans="18:18" ht="15.75" customHeight="1">
      <c r="R867" s="30"/>
    </row>
    <row r="868" spans="18:18" ht="15.75" customHeight="1">
      <c r="R868" s="30"/>
    </row>
    <row r="869" spans="18:18" ht="15.75" customHeight="1">
      <c r="R869" s="30"/>
    </row>
    <row r="870" spans="18:18" ht="15.75" customHeight="1">
      <c r="R870" s="30"/>
    </row>
    <row r="871" spans="18:18" ht="15.75" customHeight="1">
      <c r="R871" s="30"/>
    </row>
    <row r="872" spans="18:18" ht="15.75" customHeight="1">
      <c r="R872" s="30"/>
    </row>
    <row r="873" spans="18:18" ht="15.75" customHeight="1">
      <c r="R873" s="30"/>
    </row>
    <row r="874" spans="18:18" ht="15.75" customHeight="1">
      <c r="R874" s="30"/>
    </row>
    <row r="875" spans="18:18" ht="15.75" customHeight="1">
      <c r="R875" s="30"/>
    </row>
    <row r="876" spans="18:18" ht="15.75" customHeight="1">
      <c r="R876" s="30"/>
    </row>
    <row r="877" spans="18:18" ht="15.75" customHeight="1">
      <c r="R877" s="30"/>
    </row>
    <row r="878" spans="18:18" ht="15.75" customHeight="1">
      <c r="R878" s="30"/>
    </row>
    <row r="879" spans="18:18" ht="15.75" customHeight="1">
      <c r="R879" s="30"/>
    </row>
    <row r="880" spans="18:18" ht="15.75" customHeight="1">
      <c r="R880" s="30"/>
    </row>
    <row r="881" spans="18:18" ht="15.75" customHeight="1">
      <c r="R881" s="30"/>
    </row>
    <row r="882" spans="18:18" ht="15.75" customHeight="1">
      <c r="R882" s="30"/>
    </row>
    <row r="883" spans="18:18" ht="15.75" customHeight="1">
      <c r="R883" s="30"/>
    </row>
    <row r="884" spans="18:18" ht="15.75" customHeight="1">
      <c r="R884" s="30"/>
    </row>
    <row r="885" spans="18:18" ht="15.75" customHeight="1">
      <c r="R885" s="30"/>
    </row>
    <row r="886" spans="18:18" ht="15.75" customHeight="1">
      <c r="R886" s="30"/>
    </row>
    <row r="887" spans="18:18" ht="15.75" customHeight="1">
      <c r="R887" s="30"/>
    </row>
    <row r="888" spans="18:18" ht="15.75" customHeight="1">
      <c r="R888" s="30"/>
    </row>
    <row r="889" spans="18:18" ht="15.75" customHeight="1">
      <c r="R889" s="30"/>
    </row>
    <row r="890" spans="18:18" ht="15.75" customHeight="1">
      <c r="R890" s="30"/>
    </row>
    <row r="891" spans="18:18" ht="15.75" customHeight="1">
      <c r="R891" s="30"/>
    </row>
    <row r="892" spans="18:18" ht="15.75" customHeight="1">
      <c r="R892" s="30"/>
    </row>
    <row r="893" spans="18:18" ht="15.75" customHeight="1">
      <c r="R893" s="30"/>
    </row>
    <row r="894" spans="18:18" ht="15.75" customHeight="1">
      <c r="R894" s="30"/>
    </row>
    <row r="895" spans="18:18" ht="15.75" customHeight="1">
      <c r="R895" s="30"/>
    </row>
    <row r="896" spans="18:18" ht="15.75" customHeight="1">
      <c r="R896" s="30"/>
    </row>
    <row r="897" spans="18:18" ht="15.75" customHeight="1">
      <c r="R897" s="30"/>
    </row>
    <row r="898" spans="18:18" ht="15.75" customHeight="1">
      <c r="R898" s="30"/>
    </row>
    <row r="899" spans="18:18" ht="15.75" customHeight="1">
      <c r="R899" s="30"/>
    </row>
    <row r="900" spans="18:18" ht="15.75" customHeight="1">
      <c r="R900" s="30"/>
    </row>
    <row r="901" spans="18:18" ht="15.75" customHeight="1">
      <c r="R901" s="30"/>
    </row>
    <row r="902" spans="18:18" ht="15.75" customHeight="1">
      <c r="R902" s="30"/>
    </row>
    <row r="903" spans="18:18" ht="15.75" customHeight="1">
      <c r="R903" s="30"/>
    </row>
    <row r="904" spans="18:18" ht="15.75" customHeight="1">
      <c r="R904" s="30"/>
    </row>
    <row r="905" spans="18:18" ht="15.75" customHeight="1">
      <c r="R905" s="30"/>
    </row>
    <row r="906" spans="18:18" ht="15.75" customHeight="1">
      <c r="R906" s="30"/>
    </row>
    <row r="907" spans="18:18" ht="15.75" customHeight="1">
      <c r="R907" s="30"/>
    </row>
    <row r="908" spans="18:18" ht="15.75" customHeight="1">
      <c r="R908" s="30"/>
    </row>
    <row r="909" spans="18:18" ht="15.75" customHeight="1">
      <c r="R909" s="30"/>
    </row>
    <row r="910" spans="18:18" ht="15.75" customHeight="1">
      <c r="R910" s="30"/>
    </row>
    <row r="911" spans="18:18" ht="15.75" customHeight="1">
      <c r="R911" s="30"/>
    </row>
    <row r="912" spans="18:18" ht="15.75" customHeight="1">
      <c r="R912" s="30"/>
    </row>
    <row r="913" spans="18:18" ht="15.75" customHeight="1">
      <c r="R913" s="30"/>
    </row>
    <row r="914" spans="18:18" ht="15.75" customHeight="1">
      <c r="R914" s="30"/>
    </row>
    <row r="915" spans="18:18" ht="15.75" customHeight="1">
      <c r="R915" s="30"/>
    </row>
    <row r="916" spans="18:18" ht="15.75" customHeight="1">
      <c r="R916" s="30"/>
    </row>
    <row r="917" spans="18:18" ht="15.75" customHeight="1">
      <c r="R917" s="30"/>
    </row>
    <row r="918" spans="18:18" ht="15.75" customHeight="1">
      <c r="R918" s="30"/>
    </row>
    <row r="919" spans="18:18" ht="15.75" customHeight="1">
      <c r="R919" s="30"/>
    </row>
    <row r="920" spans="18:18" ht="15.75" customHeight="1">
      <c r="R920" s="30"/>
    </row>
    <row r="921" spans="18:18" ht="15.75" customHeight="1">
      <c r="R921" s="30"/>
    </row>
    <row r="922" spans="18:18" ht="15.75" customHeight="1">
      <c r="R922" s="30"/>
    </row>
    <row r="923" spans="18:18" ht="15.75" customHeight="1">
      <c r="R923" s="30"/>
    </row>
    <row r="924" spans="18:18" ht="15.75" customHeight="1">
      <c r="R924" s="30"/>
    </row>
    <row r="925" spans="18:18" ht="15.75" customHeight="1">
      <c r="R925" s="30"/>
    </row>
    <row r="926" spans="18:18" ht="15.75" customHeight="1">
      <c r="R926" s="30"/>
    </row>
    <row r="927" spans="18:18" ht="15.75" customHeight="1">
      <c r="R927" s="30"/>
    </row>
    <row r="928" spans="18:18" ht="15.75" customHeight="1">
      <c r="R928" s="30"/>
    </row>
    <row r="929" spans="18:18" ht="15.75" customHeight="1">
      <c r="R929" s="30"/>
    </row>
    <row r="930" spans="18:18" ht="15.75" customHeight="1">
      <c r="R930" s="30"/>
    </row>
    <row r="931" spans="18:18" ht="15.75" customHeight="1">
      <c r="R931" s="30"/>
    </row>
    <row r="932" spans="18:18" ht="15.75" customHeight="1">
      <c r="R932" s="30"/>
    </row>
    <row r="933" spans="18:18" ht="15.75" customHeight="1">
      <c r="R933" s="30"/>
    </row>
    <row r="934" spans="18:18" ht="15.75" customHeight="1">
      <c r="R934" s="30"/>
    </row>
    <row r="935" spans="18:18" ht="15.75" customHeight="1">
      <c r="R935" s="30"/>
    </row>
    <row r="936" spans="18:18" ht="15.75" customHeight="1">
      <c r="R936" s="30"/>
    </row>
    <row r="937" spans="18:18" ht="15.75" customHeight="1">
      <c r="R937" s="30"/>
    </row>
    <row r="938" spans="18:18" ht="15.75" customHeight="1">
      <c r="R938" s="30"/>
    </row>
    <row r="939" spans="18:18" ht="15.75" customHeight="1">
      <c r="R939" s="30"/>
    </row>
    <row r="940" spans="18:18" ht="15.75" customHeight="1">
      <c r="R940" s="30"/>
    </row>
    <row r="941" spans="18:18" ht="15.75" customHeight="1">
      <c r="R941" s="30"/>
    </row>
    <row r="942" spans="18:18" ht="15.75" customHeight="1">
      <c r="R942" s="30"/>
    </row>
    <row r="943" spans="18:18" ht="15.75" customHeight="1">
      <c r="R943" s="30"/>
    </row>
    <row r="944" spans="18:18" ht="15.75" customHeight="1">
      <c r="R944" s="30"/>
    </row>
    <row r="945" spans="18:18" ht="15.75" customHeight="1">
      <c r="R945" s="30"/>
    </row>
    <row r="946" spans="18:18" ht="15.75" customHeight="1">
      <c r="R946" s="30"/>
    </row>
    <row r="947" spans="18:18" ht="15.75" customHeight="1">
      <c r="R947" s="30"/>
    </row>
    <row r="948" spans="18:18" ht="15.75" customHeight="1">
      <c r="R948" s="30"/>
    </row>
    <row r="949" spans="18:18" ht="15.75" customHeight="1">
      <c r="R949" s="30"/>
    </row>
    <row r="950" spans="18:18" ht="15.75" customHeight="1">
      <c r="R950" s="30"/>
    </row>
    <row r="951" spans="18:18" ht="15.75" customHeight="1">
      <c r="R951" s="30"/>
    </row>
    <row r="952" spans="18:18" ht="15.75" customHeight="1">
      <c r="R952" s="30"/>
    </row>
    <row r="953" spans="18:18" ht="15.75" customHeight="1">
      <c r="R953" s="30"/>
    </row>
    <row r="954" spans="18:18" ht="15.75" customHeight="1">
      <c r="R954" s="30"/>
    </row>
    <row r="955" spans="18:18" ht="15.75" customHeight="1">
      <c r="R955" s="30"/>
    </row>
    <row r="956" spans="18:18" ht="15.75" customHeight="1">
      <c r="R956" s="30"/>
    </row>
    <row r="957" spans="18:18" ht="15.75" customHeight="1">
      <c r="R957" s="30"/>
    </row>
    <row r="958" spans="18:18" ht="15.75" customHeight="1">
      <c r="R958" s="30"/>
    </row>
    <row r="959" spans="18:18" ht="15.75" customHeight="1">
      <c r="R959" s="30"/>
    </row>
    <row r="960" spans="18:18" ht="15.75" customHeight="1">
      <c r="R960" s="30"/>
    </row>
    <row r="961" spans="18:18" ht="15.75" customHeight="1">
      <c r="R961" s="30"/>
    </row>
    <row r="962" spans="18:18" ht="15.75" customHeight="1">
      <c r="R962" s="30"/>
    </row>
    <row r="963" spans="18:18" ht="15.75" customHeight="1">
      <c r="R963" s="30"/>
    </row>
    <row r="964" spans="18:18" ht="15.75" customHeight="1">
      <c r="R964" s="30"/>
    </row>
    <row r="965" spans="18:18" ht="15.75" customHeight="1">
      <c r="R965" s="30"/>
    </row>
    <row r="966" spans="18:18" ht="15.75" customHeight="1">
      <c r="R966" s="30"/>
    </row>
    <row r="967" spans="18:18" ht="15.75" customHeight="1">
      <c r="R967" s="30"/>
    </row>
    <row r="968" spans="18:18" ht="15.75" customHeight="1">
      <c r="R968" s="30"/>
    </row>
    <row r="969" spans="18:18" ht="15.75" customHeight="1">
      <c r="R969" s="30"/>
    </row>
    <row r="970" spans="18:18" ht="15.75" customHeight="1">
      <c r="R970" s="30"/>
    </row>
    <row r="971" spans="18:18" ht="15.75" customHeight="1">
      <c r="R971" s="30"/>
    </row>
    <row r="972" spans="18:18" ht="15.75" customHeight="1">
      <c r="R972" s="30"/>
    </row>
    <row r="973" spans="18:18" ht="15.75" customHeight="1">
      <c r="R973" s="30"/>
    </row>
    <row r="974" spans="18:18" ht="15.75" customHeight="1">
      <c r="R974" s="30"/>
    </row>
    <row r="975" spans="18:18" ht="15.75" customHeight="1">
      <c r="R975" s="30"/>
    </row>
    <row r="976" spans="18:18" ht="15.75" customHeight="1">
      <c r="R976" s="30"/>
    </row>
    <row r="977" spans="18:18" ht="15.75" customHeight="1">
      <c r="R977" s="30"/>
    </row>
    <row r="978" spans="18:18" ht="15.75" customHeight="1">
      <c r="R978" s="30"/>
    </row>
    <row r="979" spans="18:18" ht="15.75" customHeight="1">
      <c r="R979" s="30"/>
    </row>
    <row r="980" spans="18:18" ht="15.75" customHeight="1">
      <c r="R980" s="30"/>
    </row>
    <row r="981" spans="18:18" ht="15.75" customHeight="1">
      <c r="R981" s="30"/>
    </row>
    <row r="982" spans="18:18" ht="15.75" customHeight="1">
      <c r="R982" s="30"/>
    </row>
    <row r="983" spans="18:18" ht="15.75" customHeight="1">
      <c r="R983" s="30"/>
    </row>
    <row r="984" spans="18:18" ht="15.75" customHeight="1">
      <c r="R984" s="30"/>
    </row>
    <row r="985" spans="18:18" ht="15.75" customHeight="1">
      <c r="R985" s="30"/>
    </row>
    <row r="986" spans="18:18" ht="15.75" customHeight="1">
      <c r="R986" s="30"/>
    </row>
    <row r="987" spans="18:18" ht="15.75" customHeight="1">
      <c r="R987" s="30"/>
    </row>
    <row r="988" spans="18:18" ht="15.75" customHeight="1">
      <c r="R988" s="30"/>
    </row>
    <row r="989" spans="18:18" ht="15.75" customHeight="1">
      <c r="R989" s="30"/>
    </row>
    <row r="990" spans="18:18" ht="15.75" customHeight="1">
      <c r="R990" s="30"/>
    </row>
    <row r="991" spans="18:18" ht="15.75" customHeight="1">
      <c r="R991" s="30"/>
    </row>
    <row r="992" spans="18:18" ht="15.75" customHeight="1">
      <c r="R992" s="30"/>
    </row>
    <row r="993" spans="18:18" ht="15.75" customHeight="1">
      <c r="R993" s="30"/>
    </row>
    <row r="994" spans="18:18" ht="15.75" customHeight="1">
      <c r="R994" s="30"/>
    </row>
    <row r="995" spans="18:18" ht="15.75" customHeight="1">
      <c r="R995" s="30"/>
    </row>
    <row r="996" spans="18:18" ht="15.75" customHeight="1">
      <c r="R996" s="30"/>
    </row>
    <row r="997" spans="18:18" ht="15.75" customHeight="1">
      <c r="R997" s="30"/>
    </row>
    <row r="998" spans="18:18" ht="15.75" customHeight="1">
      <c r="R998" s="30"/>
    </row>
    <row r="999" spans="18:18" ht="15.75" customHeight="1">
      <c r="R999" s="30"/>
    </row>
    <row r="1000" spans="18:18" ht="15.75" customHeight="1">
      <c r="R1000" s="3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2.6640625" defaultRowHeight="15" customHeight="1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8.6640625" customWidth="1"/>
    <col min="6" max="6" width="9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15.5" customWidth="1"/>
    <col min="16" max="16" width="10" customWidth="1"/>
    <col min="17" max="18" width="7.33203125" customWidth="1"/>
    <col min="19" max="19" width="7.1640625" customWidth="1"/>
    <col min="20" max="20" width="15.5" customWidth="1"/>
    <col min="21" max="21" width="18.6640625" customWidth="1"/>
    <col min="22" max="22" width="75.164062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6640625" customWidth="1"/>
    <col min="32" max="32" width="10.1640625" customWidth="1"/>
    <col min="33" max="33" width="8.83203125" customWidth="1"/>
  </cols>
  <sheetData>
    <row r="1" spans="1:33" ht="18.75" customHeight="1">
      <c r="A1" s="46" t="str">
        <f ca="1">IFERROR(__xludf.DUMMYFUNCTION("IFERROR(VLOOKUP(B2,IMPORTRANGE(""https://docs.google.com/spreadsheets/d/1x0DhHglkXKoEBOD2MBsuK_EyIr1ouxD2ftIpqOYFa-k/edit?usp=sharing"",""Ubiquitty-SKU-Specific Info!B1:BJ5000""),3,FALSE),"""")"),"100 Ft Lighted Outdoor Extension Cord - 12/3 SJTW Heavy Duty Red Extension Cable with 3 Prong Grounded Plug for Safety - Great for Garden &amp; Major Appliances")</f>
        <v>100 Ft Lighted Outdoor Extension Cord - 12/3 SJTW Heavy Duty Red Extension Cable with 3 Prong Grounded Plug for Safety - Great for Garden &amp; Major Appliances</v>
      </c>
      <c r="B1" s="47"/>
      <c r="C1" s="48" t="s">
        <v>0</v>
      </c>
      <c r="D1" s="50" t="s">
        <v>1</v>
      </c>
      <c r="E1" s="50" t="s">
        <v>2</v>
      </c>
      <c r="F1" s="52" t="s">
        <v>3</v>
      </c>
      <c r="G1" s="52" t="s">
        <v>4</v>
      </c>
      <c r="H1" s="53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58" t="s">
        <v>10</v>
      </c>
      <c r="N1" s="59" t="s">
        <v>11</v>
      </c>
      <c r="O1" s="50" t="s">
        <v>12</v>
      </c>
      <c r="P1" s="50" t="s">
        <v>13</v>
      </c>
      <c r="Q1" s="57" t="s">
        <v>14</v>
      </c>
      <c r="R1" s="57" t="s">
        <v>15</v>
      </c>
      <c r="S1" s="60" t="s">
        <v>16</v>
      </c>
      <c r="T1" s="62" t="s">
        <v>2006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Info!B1:BJ5000""),2,FALSE),"""")"),"B07Q4FHVLR")</f>
        <v>B07Q4FHVLR</v>
      </c>
      <c r="B2" s="3" t="s">
        <v>995</v>
      </c>
      <c r="C2" s="49"/>
      <c r="D2" s="49"/>
      <c r="E2" s="51"/>
      <c r="F2" s="49"/>
      <c r="G2" s="49"/>
      <c r="H2" s="54"/>
      <c r="I2" s="49"/>
      <c r="J2" s="49"/>
      <c r="K2" s="54"/>
      <c r="L2" s="54"/>
      <c r="M2" s="54"/>
      <c r="N2" s="49"/>
      <c r="O2" s="49"/>
      <c r="P2" s="51"/>
      <c r="Q2" s="49"/>
      <c r="R2" s="49"/>
      <c r="S2" s="61"/>
      <c r="T2" s="47"/>
      <c r="U2" s="63"/>
      <c r="V2" s="63"/>
      <c r="W2" s="47"/>
      <c r="X2" s="47"/>
      <c r="Y2" s="47"/>
      <c r="Z2" s="47"/>
      <c r="AA2" s="63"/>
      <c r="AB2" s="63"/>
      <c r="AC2" s="63"/>
      <c r="AD2" s="63"/>
      <c r="AE2" s="47"/>
      <c r="AF2" s="47"/>
      <c r="AG2" s="47"/>
    </row>
    <row r="3" spans="1:33" ht="185.25" customHeight="1">
      <c r="A3" s="55" t="s">
        <v>31</v>
      </c>
      <c r="B3" s="56"/>
      <c r="C3" s="4">
        <f>((AE32+AF32)/0.85)*-1</f>
        <v>67.327679800000013</v>
      </c>
      <c r="D3" s="5">
        <f>SUM(D4:D99765)</f>
        <v>960</v>
      </c>
      <c r="E3" s="5"/>
      <c r="F3" s="6">
        <f t="shared" ref="F3:G3" si="0">SUM(F4:F99765)</f>
        <v>64761.109999999993</v>
      </c>
      <c r="G3" s="6">
        <f t="shared" si="0"/>
        <v>-30.3</v>
      </c>
      <c r="H3" s="7">
        <f t="shared" ref="H3:H32" si="1">G3/F3*-1</f>
        <v>4.6787338882857323E-4</v>
      </c>
      <c r="I3" s="8">
        <f t="shared" ref="I3:I32" si="2">J3/F3</f>
        <v>0.1576390919386291</v>
      </c>
      <c r="J3" s="6">
        <f>SUM(J4:J99765)</f>
        <v>10208.882573337671</v>
      </c>
      <c r="K3" s="6">
        <f t="shared" ref="K3:K32" si="3">J3/D3</f>
        <v>10.634252680560074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Sheet!a1:g5000""),2,FALSE),"""")"),"7 - March
3 - April
3 - May
4 - June
2 - July
1.5 - Aug
1.5 - Sept
2.5 - Oct
3 - Nov
2.5 - Dec
3 - Jan
7 - Feb")</f>
        <v>7 - March
3 - April
3 - May
4 - June
2 - July
1.5 - Aug
1.5 - Sept
2.5 - Oct
3 - Nov
2.5 - Dec
3 - Jan
7 -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QTY-0")</f>
        <v>Del QTY-0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3</v>
      </c>
      <c r="X3" s="7">
        <f>W3/D3</f>
        <v>3.1250000000000002E-3</v>
      </c>
      <c r="Y3" s="6"/>
      <c r="Z3" s="5"/>
      <c r="AA3" s="5"/>
      <c r="AB3" s="5"/>
      <c r="AC3" s="5"/>
      <c r="AD3" s="6">
        <f>SUM(AD4:AD99765)</f>
        <v>-584.73333629206309</v>
      </c>
      <c r="AE3" s="6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Info!B2:BZ3000""),37,FALSE)),"""")*-1"),-47.94852783)</f>
        <v>-47.948527830000003</v>
      </c>
      <c r="AG3" s="6">
        <f>SUM(AG4:AG99765)</f>
        <v>0</v>
      </c>
    </row>
    <row r="4" spans="1:33" ht="15.75" customHeight="1">
      <c r="A4" s="14" t="s">
        <v>181</v>
      </c>
      <c r="B4" s="14" t="s">
        <v>68</v>
      </c>
      <c r="C4" s="15">
        <f t="shared" ref="C4:C32" si="4">IFERROR(F4/D4," - ")</f>
        <v>67.000434782608693</v>
      </c>
      <c r="D4" s="16">
        <v>23</v>
      </c>
      <c r="E4" s="16">
        <v>2</v>
      </c>
      <c r="F4" s="17">
        <v>1541.01</v>
      </c>
      <c r="G4" s="17">
        <v>0</v>
      </c>
      <c r="H4" s="18">
        <f t="shared" si="1"/>
        <v>0</v>
      </c>
      <c r="I4" s="18">
        <f t="shared" si="2"/>
        <v>0.23177623163038064</v>
      </c>
      <c r="J4" s="17">
        <f t="shared" ref="J4:J32" si="5">F4*0.85+G4+AF4*D4+D4*AE4+AG4+AD4</f>
        <v>357.16949070473288</v>
      </c>
      <c r="K4" s="17">
        <f t="shared" si="3"/>
        <v>15.529108291510125</v>
      </c>
      <c r="L4" s="16">
        <v>49</v>
      </c>
      <c r="M4" s="19">
        <f t="shared" ref="M4:M32" si="6">IFERROR(D4/L4,"-")</f>
        <v>0.46938775510204084</v>
      </c>
      <c r="N4" s="16">
        <v>426</v>
      </c>
      <c r="O4" s="20">
        <f t="shared" ref="O4:P4" si="7">D4/7</f>
        <v>3.2857142857142856</v>
      </c>
      <c r="P4" s="20">
        <f t="shared" si="7"/>
        <v>0.2857142857142857</v>
      </c>
      <c r="Q4" s="16">
        <f t="shared" ref="Q4:Q32" si="8">ROUNDDOWN(N4/(O4+P4),0)</f>
        <v>119</v>
      </c>
      <c r="R4" s="16"/>
      <c r="S4" s="21">
        <v>1.44044321329639</v>
      </c>
      <c r="T4" s="14">
        <v>350</v>
      </c>
      <c r="U4" s="22" t="s">
        <v>34</v>
      </c>
      <c r="V4" s="23" t="s">
        <v>34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26" t="s">
        <v>35</v>
      </c>
      <c r="AB4" s="27">
        <f t="shared" ref="AB4:AB32" si="11">IF(OR(AA4="UsLargeStandardSize",AA4="UsSmallStandardSize"),-0.69,-0.48)</f>
        <v>-0.69</v>
      </c>
      <c r="AC4" s="28">
        <v>0.44136361342592589</v>
      </c>
      <c r="AD4" s="25">
        <f t="shared" ref="AD4:AD32" si="12">IFERROR(AB4*AC4*D4*2,0)</f>
        <v>-14.008881090138887</v>
      </c>
      <c r="AE4" s="25">
        <v>-9.98</v>
      </c>
      <c r="AF4" s="25">
        <v>-30.832179487179488</v>
      </c>
      <c r="AG4" s="25">
        <v>0</v>
      </c>
    </row>
    <row r="5" spans="1:33" ht="15.75" customHeight="1">
      <c r="A5" s="14" t="s">
        <v>183</v>
      </c>
      <c r="B5" s="14" t="s">
        <v>996</v>
      </c>
      <c r="C5" s="15">
        <f t="shared" si="4"/>
        <v>69.256666666666689</v>
      </c>
      <c r="D5" s="16">
        <v>21</v>
      </c>
      <c r="E5" s="16">
        <v>0</v>
      </c>
      <c r="F5" s="29">
        <v>1454.3900000000006</v>
      </c>
      <c r="G5" s="29">
        <v>-7.0000000000000007E-2</v>
      </c>
      <c r="H5" s="18">
        <f t="shared" si="1"/>
        <v>4.8130143909130274E-5</v>
      </c>
      <c r="I5" s="18">
        <f t="shared" si="2"/>
        <v>0.25185829937413723</v>
      </c>
      <c r="J5" s="17">
        <f t="shared" si="5"/>
        <v>366.30019202675157</v>
      </c>
      <c r="K5" s="17">
        <f t="shared" si="3"/>
        <v>17.442866286988171</v>
      </c>
      <c r="L5" s="16">
        <v>70</v>
      </c>
      <c r="M5" s="19">
        <f t="shared" si="6"/>
        <v>0.3</v>
      </c>
      <c r="N5" s="16">
        <v>370</v>
      </c>
      <c r="O5" s="20">
        <f t="shared" ref="O5:P5" si="13">D5/7</f>
        <v>3</v>
      </c>
      <c r="P5" s="20">
        <f t="shared" si="13"/>
        <v>0</v>
      </c>
      <c r="Q5" s="16">
        <f t="shared" si="8"/>
        <v>123</v>
      </c>
      <c r="R5" s="16"/>
      <c r="S5" s="21">
        <v>1.3909465020576099</v>
      </c>
      <c r="T5" s="14">
        <v>350</v>
      </c>
      <c r="U5" s="22" t="s">
        <v>34</v>
      </c>
      <c r="V5" s="23" t="s">
        <v>34</v>
      </c>
      <c r="W5" s="14">
        <v>0</v>
      </c>
      <c r="X5" s="24">
        <f t="shared" si="9"/>
        <v>0</v>
      </c>
      <c r="Y5" s="25">
        <f t="shared" si="10"/>
        <v>0</v>
      </c>
      <c r="Z5" s="14">
        <v>0</v>
      </c>
      <c r="AA5" s="14" t="s">
        <v>35</v>
      </c>
      <c r="AB5" s="27">
        <f t="shared" si="11"/>
        <v>-0.69</v>
      </c>
      <c r="AC5" s="28">
        <v>0.44187504287369633</v>
      </c>
      <c r="AD5" s="25">
        <f t="shared" si="12"/>
        <v>-12.805538742479719</v>
      </c>
      <c r="AE5" s="25">
        <v>-9.98</v>
      </c>
      <c r="AF5" s="25">
        <v>-30.832179487179488</v>
      </c>
      <c r="AG5" s="25">
        <v>0</v>
      </c>
    </row>
    <row r="6" spans="1:33" ht="15.75" customHeight="1">
      <c r="A6" s="14" t="s">
        <v>185</v>
      </c>
      <c r="B6" s="14" t="s">
        <v>68</v>
      </c>
      <c r="C6" s="15">
        <f t="shared" si="4"/>
        <v>70.040000000000006</v>
      </c>
      <c r="D6" s="16">
        <v>24</v>
      </c>
      <c r="E6" s="16">
        <v>0</v>
      </c>
      <c r="F6" s="29">
        <v>1680.96</v>
      </c>
      <c r="G6" s="29">
        <v>-0.08</v>
      </c>
      <c r="H6" s="18">
        <f t="shared" si="1"/>
        <v>4.7591852274890539E-5</v>
      </c>
      <c r="I6" s="18">
        <f t="shared" si="2"/>
        <v>0.25855804387434905</v>
      </c>
      <c r="J6" s="17">
        <f t="shared" si="5"/>
        <v>434.62572943102577</v>
      </c>
      <c r="K6" s="17">
        <f t="shared" si="3"/>
        <v>18.109405392959406</v>
      </c>
      <c r="L6" s="16">
        <v>63</v>
      </c>
      <c r="M6" s="19">
        <f t="shared" si="6"/>
        <v>0.38095238095238093</v>
      </c>
      <c r="N6" s="16">
        <v>360</v>
      </c>
      <c r="O6" s="20">
        <f t="shared" ref="O6:P6" si="14">D6/7</f>
        <v>3.4285714285714284</v>
      </c>
      <c r="P6" s="20">
        <f t="shared" si="14"/>
        <v>0</v>
      </c>
      <c r="Q6" s="16">
        <f t="shared" si="8"/>
        <v>105</v>
      </c>
      <c r="R6" s="16"/>
      <c r="S6" s="21">
        <v>1.3012048192771</v>
      </c>
      <c r="T6" s="14">
        <v>350</v>
      </c>
      <c r="U6" s="22" t="s">
        <v>34</v>
      </c>
      <c r="V6" s="23" t="s">
        <v>186</v>
      </c>
      <c r="W6" s="14">
        <v>0</v>
      </c>
      <c r="X6" s="24">
        <f t="shared" si="9"/>
        <v>0</v>
      </c>
      <c r="Y6" s="25">
        <f t="shared" si="10"/>
        <v>0</v>
      </c>
      <c r="Z6" s="14">
        <v>0</v>
      </c>
      <c r="AA6" s="14" t="s">
        <v>35</v>
      </c>
      <c r="AB6" s="27">
        <f t="shared" si="11"/>
        <v>-0.69</v>
      </c>
      <c r="AC6" s="28">
        <v>0.44136361342592589</v>
      </c>
      <c r="AD6" s="25">
        <f t="shared" si="12"/>
        <v>-14.617962876666663</v>
      </c>
      <c r="AE6" s="25">
        <v>-9.98</v>
      </c>
      <c r="AF6" s="25">
        <v>-30.832179487179488</v>
      </c>
      <c r="AG6" s="25">
        <v>0</v>
      </c>
    </row>
    <row r="7" spans="1:33" ht="15.75" customHeight="1">
      <c r="A7" s="14" t="s">
        <v>187</v>
      </c>
      <c r="B7" s="14" t="s">
        <v>997</v>
      </c>
      <c r="C7" s="15">
        <f t="shared" si="4"/>
        <v>69.364999999999995</v>
      </c>
      <c r="D7" s="16">
        <v>18</v>
      </c>
      <c r="E7" s="16">
        <v>0</v>
      </c>
      <c r="F7" s="29">
        <v>1248.57</v>
      </c>
      <c r="G7" s="29">
        <v>-0.08</v>
      </c>
      <c r="H7" s="18">
        <f t="shared" si="1"/>
        <v>6.4073299855034162E-5</v>
      </c>
      <c r="I7" s="18">
        <f t="shared" si="2"/>
        <v>0.2527866255582541</v>
      </c>
      <c r="J7" s="17">
        <f t="shared" si="5"/>
        <v>315.62179707326931</v>
      </c>
      <c r="K7" s="17">
        <f t="shared" si="3"/>
        <v>17.534544281848294</v>
      </c>
      <c r="L7" s="16">
        <v>59</v>
      </c>
      <c r="M7" s="19">
        <f t="shared" si="6"/>
        <v>0.30508474576271188</v>
      </c>
      <c r="N7" s="16">
        <v>398</v>
      </c>
      <c r="O7" s="20">
        <f t="shared" ref="O7:P7" si="15">D7/7</f>
        <v>2.5714285714285716</v>
      </c>
      <c r="P7" s="20">
        <f t="shared" si="15"/>
        <v>0</v>
      </c>
      <c r="Q7" s="16">
        <f t="shared" si="8"/>
        <v>154</v>
      </c>
      <c r="R7" s="16"/>
      <c r="S7" s="21">
        <v>0.51304347826086905</v>
      </c>
      <c r="T7" s="14">
        <v>600</v>
      </c>
      <c r="U7" s="22" t="s">
        <v>34</v>
      </c>
      <c r="V7" s="23" t="s">
        <v>186</v>
      </c>
      <c r="W7" s="14">
        <v>0</v>
      </c>
      <c r="X7" s="24">
        <f t="shared" si="9"/>
        <v>0</v>
      </c>
      <c r="Y7" s="25">
        <f t="shared" si="10"/>
        <v>0</v>
      </c>
      <c r="Z7" s="14">
        <v>0</v>
      </c>
      <c r="AA7" s="14" t="s">
        <v>35</v>
      </c>
      <c r="AB7" s="27">
        <f t="shared" si="11"/>
        <v>-0.69</v>
      </c>
      <c r="AC7" s="28">
        <v>0.44136361342592589</v>
      </c>
      <c r="AD7" s="25">
        <f t="shared" si="12"/>
        <v>-10.963472157499998</v>
      </c>
      <c r="AE7" s="25">
        <v>-9.98</v>
      </c>
      <c r="AF7" s="25">
        <v>-30.832179487179488</v>
      </c>
      <c r="AG7" s="25">
        <v>0</v>
      </c>
    </row>
    <row r="8" spans="1:33" ht="15.75" customHeight="1">
      <c r="A8" s="14" t="s">
        <v>189</v>
      </c>
      <c r="B8" s="14" t="s">
        <v>148</v>
      </c>
      <c r="C8" s="15">
        <f t="shared" si="4"/>
        <v>64.165066666666618</v>
      </c>
      <c r="D8" s="16">
        <v>75</v>
      </c>
      <c r="E8" s="16">
        <v>0</v>
      </c>
      <c r="F8" s="29">
        <v>4812.3799999999965</v>
      </c>
      <c r="G8" s="29">
        <v>-0.08</v>
      </c>
      <c r="H8" s="18">
        <f t="shared" si="1"/>
        <v>1.6623791138688147E-5</v>
      </c>
      <c r="I8" s="18">
        <f t="shared" si="2"/>
        <v>0.20447509673184877</v>
      </c>
      <c r="J8" s="17">
        <f t="shared" si="5"/>
        <v>984.01186601041366</v>
      </c>
      <c r="K8" s="17">
        <f t="shared" si="3"/>
        <v>13.120158213472182</v>
      </c>
      <c r="L8" s="16">
        <v>69</v>
      </c>
      <c r="M8" s="19">
        <f t="shared" si="6"/>
        <v>1.0869565217391304</v>
      </c>
      <c r="N8" s="16">
        <v>333</v>
      </c>
      <c r="O8" s="20">
        <f t="shared" ref="O8:P8" si="16">D8/7</f>
        <v>10.714285714285714</v>
      </c>
      <c r="P8" s="20">
        <f t="shared" si="16"/>
        <v>0</v>
      </c>
      <c r="Q8" s="16">
        <f t="shared" si="8"/>
        <v>31</v>
      </c>
      <c r="R8" s="16"/>
      <c r="S8" s="21">
        <v>0.78260869565217395</v>
      </c>
      <c r="T8" s="14">
        <v>600</v>
      </c>
      <c r="U8" s="22">
        <v>100</v>
      </c>
      <c r="V8" s="23" t="s">
        <v>998</v>
      </c>
      <c r="W8" s="14">
        <v>0</v>
      </c>
      <c r="X8" s="24">
        <f t="shared" si="9"/>
        <v>0</v>
      </c>
      <c r="Y8" s="25">
        <f t="shared" si="10"/>
        <v>0</v>
      </c>
      <c r="Z8" s="14">
        <v>0</v>
      </c>
      <c r="AA8" s="14" t="s">
        <v>35</v>
      </c>
      <c r="AB8" s="27">
        <f t="shared" si="11"/>
        <v>-0.69</v>
      </c>
      <c r="AC8" s="28">
        <v>0.44136361342592589</v>
      </c>
      <c r="AD8" s="25">
        <f t="shared" si="12"/>
        <v>-45.681133989583323</v>
      </c>
      <c r="AE8" s="25">
        <v>-9.98</v>
      </c>
      <c r="AF8" s="25">
        <v>-30.83</v>
      </c>
      <c r="AG8" s="25">
        <v>0</v>
      </c>
    </row>
    <row r="9" spans="1:33" ht="15.75" customHeight="1">
      <c r="A9" s="14" t="s">
        <v>191</v>
      </c>
      <c r="B9" s="14" t="s">
        <v>999</v>
      </c>
      <c r="C9" s="15">
        <f t="shared" si="4"/>
        <v>65.666853932584232</v>
      </c>
      <c r="D9" s="16">
        <v>89</v>
      </c>
      <c r="E9" s="16">
        <v>1</v>
      </c>
      <c r="F9" s="29">
        <v>5844.3499999999967</v>
      </c>
      <c r="G9" s="29">
        <v>0</v>
      </c>
      <c r="H9" s="18">
        <f t="shared" si="1"/>
        <v>0</v>
      </c>
      <c r="I9" s="18">
        <f t="shared" si="2"/>
        <v>0.20946524341594897</v>
      </c>
      <c r="J9" s="17">
        <f t="shared" si="5"/>
        <v>1224.1881953580007</v>
      </c>
      <c r="K9" s="17">
        <f t="shared" si="3"/>
        <v>13.754923543348323</v>
      </c>
      <c r="L9" s="16">
        <v>186</v>
      </c>
      <c r="M9" s="19">
        <f t="shared" si="6"/>
        <v>0.478494623655914</v>
      </c>
      <c r="N9" s="16">
        <v>233</v>
      </c>
      <c r="O9" s="20">
        <f t="shared" ref="O9:P9" si="17">D9/7</f>
        <v>12.714285714285714</v>
      </c>
      <c r="P9" s="20">
        <f t="shared" si="17"/>
        <v>0.14285714285714285</v>
      </c>
      <c r="Q9" s="16">
        <f t="shared" si="8"/>
        <v>18</v>
      </c>
      <c r="R9" s="16"/>
      <c r="S9" s="21">
        <v>1.80802792321116</v>
      </c>
      <c r="T9" s="14">
        <v>600</v>
      </c>
      <c r="U9" s="22">
        <v>100</v>
      </c>
      <c r="V9" s="23" t="s">
        <v>1000</v>
      </c>
      <c r="W9" s="14">
        <v>0</v>
      </c>
      <c r="X9" s="24">
        <f t="shared" si="9"/>
        <v>0</v>
      </c>
      <c r="Y9" s="25">
        <f t="shared" si="10"/>
        <v>0</v>
      </c>
      <c r="Z9" s="14">
        <v>0</v>
      </c>
      <c r="AA9" s="14" t="s">
        <v>35</v>
      </c>
      <c r="AB9" s="27">
        <f t="shared" si="11"/>
        <v>-0.69</v>
      </c>
      <c r="AC9" s="28">
        <v>0.44136361342592589</v>
      </c>
      <c r="AD9" s="25">
        <f t="shared" si="12"/>
        <v>-54.208279000972212</v>
      </c>
      <c r="AE9" s="25">
        <v>-9.98</v>
      </c>
      <c r="AF9" s="25">
        <v>-31.472820512820501</v>
      </c>
      <c r="AG9" s="25">
        <v>0</v>
      </c>
    </row>
    <row r="10" spans="1:33" ht="15.75" customHeight="1">
      <c r="A10" s="14" t="s">
        <v>192</v>
      </c>
      <c r="B10" s="14" t="s">
        <v>160</v>
      </c>
      <c r="C10" s="15">
        <f t="shared" si="4"/>
        <v>76.015000000000001</v>
      </c>
      <c r="D10" s="16">
        <v>16</v>
      </c>
      <c r="E10" s="16">
        <v>1</v>
      </c>
      <c r="F10" s="29">
        <v>1216.24</v>
      </c>
      <c r="G10" s="29">
        <v>-0.05</v>
      </c>
      <c r="H10" s="18">
        <f t="shared" si="1"/>
        <v>4.1110307176215221E-5</v>
      </c>
      <c r="I10" s="18">
        <f t="shared" si="2"/>
        <v>0.29662201803133231</v>
      </c>
      <c r="J10" s="17">
        <f t="shared" si="5"/>
        <v>360.76356321042761</v>
      </c>
      <c r="K10" s="17">
        <f t="shared" si="3"/>
        <v>22.547722700651725</v>
      </c>
      <c r="L10" s="16">
        <v>82</v>
      </c>
      <c r="M10" s="19">
        <f t="shared" si="6"/>
        <v>0.1951219512195122</v>
      </c>
      <c r="N10" s="16">
        <v>213</v>
      </c>
      <c r="O10" s="20">
        <f t="shared" ref="O10:P10" si="18">D10/7</f>
        <v>2.2857142857142856</v>
      </c>
      <c r="P10" s="20">
        <f t="shared" si="18"/>
        <v>0.14285714285714285</v>
      </c>
      <c r="Q10" s="16">
        <f t="shared" si="8"/>
        <v>87</v>
      </c>
      <c r="R10" s="16"/>
      <c r="S10" s="21">
        <v>1.9860627177700301</v>
      </c>
      <c r="T10" s="14">
        <v>350</v>
      </c>
      <c r="U10" s="22">
        <v>100</v>
      </c>
      <c r="V10" s="23" t="s">
        <v>1001</v>
      </c>
      <c r="W10" s="14">
        <v>0</v>
      </c>
      <c r="X10" s="24">
        <f t="shared" si="9"/>
        <v>0</v>
      </c>
      <c r="Y10" s="25">
        <f t="shared" si="10"/>
        <v>0</v>
      </c>
      <c r="Z10" s="14">
        <v>0</v>
      </c>
      <c r="AA10" s="14" t="s">
        <v>35</v>
      </c>
      <c r="AB10" s="27">
        <f t="shared" si="11"/>
        <v>-0.69</v>
      </c>
      <c r="AC10" s="28">
        <v>0.44136361342592589</v>
      </c>
      <c r="AD10" s="25">
        <f t="shared" si="12"/>
        <v>-9.7453085844444427</v>
      </c>
      <c r="AE10" s="25">
        <v>-9.98</v>
      </c>
      <c r="AF10" s="25">
        <v>-31.472820512820501</v>
      </c>
      <c r="AG10" s="25">
        <v>0</v>
      </c>
    </row>
    <row r="11" spans="1:33" ht="15.75" customHeight="1">
      <c r="A11" s="14" t="s">
        <v>193</v>
      </c>
      <c r="B11" s="14" t="s">
        <v>1002</v>
      </c>
      <c r="C11" s="15">
        <f t="shared" si="4"/>
        <v>76.051428571428573</v>
      </c>
      <c r="D11" s="16">
        <v>35</v>
      </c>
      <c r="E11" s="16">
        <v>0</v>
      </c>
      <c r="F11" s="29">
        <v>2661.8</v>
      </c>
      <c r="G11" s="29">
        <v>0</v>
      </c>
      <c r="H11" s="18">
        <f t="shared" si="1"/>
        <v>0</v>
      </c>
      <c r="I11" s="18">
        <f t="shared" si="2"/>
        <v>0.29692817624269685</v>
      </c>
      <c r="J11" s="17">
        <f t="shared" si="5"/>
        <v>790.36341952281055</v>
      </c>
      <c r="K11" s="17">
        <f t="shared" si="3"/>
        <v>22.581811986366016</v>
      </c>
      <c r="L11" s="16">
        <v>80</v>
      </c>
      <c r="M11" s="19">
        <f t="shared" si="6"/>
        <v>0.4375</v>
      </c>
      <c r="N11" s="16">
        <v>179</v>
      </c>
      <c r="O11" s="20">
        <f t="shared" ref="O11:P11" si="19">D11/7</f>
        <v>5</v>
      </c>
      <c r="P11" s="20">
        <f t="shared" si="19"/>
        <v>0</v>
      </c>
      <c r="Q11" s="16">
        <f t="shared" si="8"/>
        <v>35</v>
      </c>
      <c r="R11" s="16"/>
      <c r="S11" s="21">
        <v>1.63892445582586</v>
      </c>
      <c r="T11" s="14">
        <v>1475</v>
      </c>
      <c r="U11" s="22">
        <v>100</v>
      </c>
      <c r="V11" s="23" t="s">
        <v>1003</v>
      </c>
      <c r="W11" s="14">
        <v>0</v>
      </c>
      <c r="X11" s="24">
        <f t="shared" si="9"/>
        <v>0</v>
      </c>
      <c r="Y11" s="25">
        <f t="shared" si="10"/>
        <v>0</v>
      </c>
      <c r="Z11" s="14">
        <v>0</v>
      </c>
      <c r="AA11" s="14" t="s">
        <v>35</v>
      </c>
      <c r="AB11" s="27">
        <f t="shared" si="11"/>
        <v>-0.69</v>
      </c>
      <c r="AC11" s="28">
        <v>0.44136361342592589</v>
      </c>
      <c r="AD11" s="25">
        <f t="shared" si="12"/>
        <v>-21.317862528472219</v>
      </c>
      <c r="AE11" s="25">
        <v>-9.98</v>
      </c>
      <c r="AF11" s="25">
        <v>-31.472820512820501</v>
      </c>
      <c r="AG11" s="25">
        <v>0</v>
      </c>
    </row>
    <row r="12" spans="1:33" ht="15.75" customHeight="1">
      <c r="A12" s="14" t="s">
        <v>195</v>
      </c>
      <c r="B12" s="14" t="s">
        <v>1004</v>
      </c>
      <c r="C12" s="15">
        <f t="shared" si="4"/>
        <v>70.20764705882354</v>
      </c>
      <c r="D12" s="16">
        <v>17</v>
      </c>
      <c r="E12" s="16">
        <v>0</v>
      </c>
      <c r="F12" s="29">
        <v>1193.5300000000002</v>
      </c>
      <c r="G12" s="29">
        <v>-0.05</v>
      </c>
      <c r="H12" s="18">
        <f t="shared" si="1"/>
        <v>4.1892537263411892E-5</v>
      </c>
      <c r="I12" s="18">
        <f t="shared" si="2"/>
        <v>0.25085097225128766</v>
      </c>
      <c r="J12" s="17">
        <f t="shared" si="5"/>
        <v>299.3981609110794</v>
      </c>
      <c r="K12" s="17">
        <f t="shared" si="3"/>
        <v>17.611656524181143</v>
      </c>
      <c r="L12" s="16">
        <v>53</v>
      </c>
      <c r="M12" s="19">
        <f t="shared" si="6"/>
        <v>0.32075471698113206</v>
      </c>
      <c r="N12" s="16">
        <v>161</v>
      </c>
      <c r="O12" s="20">
        <f t="shared" ref="O12:P12" si="20">D12/7</f>
        <v>2.4285714285714284</v>
      </c>
      <c r="P12" s="20">
        <f t="shared" si="20"/>
        <v>0</v>
      </c>
      <c r="Q12" s="16">
        <f t="shared" si="8"/>
        <v>66</v>
      </c>
      <c r="R12" s="16"/>
      <c r="S12" s="21">
        <v>1.31372549019607</v>
      </c>
      <c r="T12" s="14">
        <v>650</v>
      </c>
      <c r="U12" s="22">
        <v>100</v>
      </c>
      <c r="V12" s="23" t="s">
        <v>1005</v>
      </c>
      <c r="W12" s="14">
        <v>0</v>
      </c>
      <c r="X12" s="24">
        <f t="shared" si="9"/>
        <v>0</v>
      </c>
      <c r="Y12" s="25">
        <f t="shared" si="10"/>
        <v>0</v>
      </c>
      <c r="Z12" s="14">
        <v>0</v>
      </c>
      <c r="AA12" s="14" t="s">
        <v>35</v>
      </c>
      <c r="AB12" s="27">
        <f t="shared" si="11"/>
        <v>-0.69</v>
      </c>
      <c r="AC12" s="28">
        <v>0.44136361342592589</v>
      </c>
      <c r="AD12" s="25">
        <f t="shared" si="12"/>
        <v>-10.35439037097222</v>
      </c>
      <c r="AE12" s="25">
        <v>-9.98</v>
      </c>
      <c r="AF12" s="25">
        <v>-31.472820512820501</v>
      </c>
      <c r="AG12" s="25">
        <v>0</v>
      </c>
    </row>
    <row r="13" spans="1:33" ht="15.75" customHeight="1">
      <c r="A13" s="14" t="s">
        <v>197</v>
      </c>
      <c r="B13" s="14" t="s">
        <v>68</v>
      </c>
      <c r="C13" s="15">
        <f t="shared" si="4"/>
        <v>64.152857142857144</v>
      </c>
      <c r="D13" s="16">
        <v>35</v>
      </c>
      <c r="E13" s="16">
        <v>2</v>
      </c>
      <c r="F13" s="17">
        <v>2245.35</v>
      </c>
      <c r="G13" s="29">
        <v>0</v>
      </c>
      <c r="H13" s="18">
        <f t="shared" si="1"/>
        <v>0</v>
      </c>
      <c r="I13" s="18">
        <f t="shared" si="2"/>
        <v>0.1890928529946457</v>
      </c>
      <c r="J13" s="17">
        <f t="shared" si="5"/>
        <v>424.57963747152775</v>
      </c>
      <c r="K13" s="17">
        <f t="shared" si="3"/>
        <v>12.130846784900793</v>
      </c>
      <c r="L13" s="16">
        <v>28</v>
      </c>
      <c r="M13" s="19">
        <f t="shared" si="6"/>
        <v>1.25</v>
      </c>
      <c r="N13" s="16">
        <v>135</v>
      </c>
      <c r="O13" s="20">
        <f t="shared" ref="O13:P13" si="21">D13/7</f>
        <v>5</v>
      </c>
      <c r="P13" s="20">
        <f t="shared" si="21"/>
        <v>0.2857142857142857</v>
      </c>
      <c r="Q13" s="16">
        <f t="shared" si="8"/>
        <v>25</v>
      </c>
      <c r="R13" s="16"/>
      <c r="S13" s="21">
        <v>1.3963039014373699</v>
      </c>
      <c r="T13" s="14">
        <v>650</v>
      </c>
      <c r="U13" s="22">
        <v>100</v>
      </c>
      <c r="V13" s="23" t="s">
        <v>1006</v>
      </c>
      <c r="W13" s="14">
        <v>0</v>
      </c>
      <c r="X13" s="24">
        <f t="shared" si="9"/>
        <v>0</v>
      </c>
      <c r="Y13" s="25">
        <f t="shared" si="10"/>
        <v>0</v>
      </c>
      <c r="Z13" s="14">
        <v>0</v>
      </c>
      <c r="AA13" s="14" t="s">
        <v>35</v>
      </c>
      <c r="AB13" s="27">
        <f t="shared" si="11"/>
        <v>-0.69</v>
      </c>
      <c r="AC13" s="28">
        <v>0.44136361342592589</v>
      </c>
      <c r="AD13" s="25">
        <f t="shared" si="12"/>
        <v>-21.317862528472219</v>
      </c>
      <c r="AE13" s="25">
        <v>-9.98</v>
      </c>
      <c r="AF13" s="25">
        <v>-31.81</v>
      </c>
      <c r="AG13" s="25">
        <v>0</v>
      </c>
    </row>
    <row r="14" spans="1:33" ht="15.75" customHeight="1">
      <c r="A14" s="14" t="s">
        <v>32</v>
      </c>
      <c r="B14" s="14" t="s">
        <v>1007</v>
      </c>
      <c r="C14" s="15">
        <f t="shared" si="4"/>
        <v>66.052421052631558</v>
      </c>
      <c r="D14" s="16">
        <v>95</v>
      </c>
      <c r="E14" s="16">
        <v>0</v>
      </c>
      <c r="F14" s="17">
        <v>6274.9799999999987</v>
      </c>
      <c r="G14" s="29">
        <v>-0.30000000000000004</v>
      </c>
      <c r="H14" s="18">
        <f t="shared" si="1"/>
        <v>4.7808917319258402E-5</v>
      </c>
      <c r="I14" s="18">
        <f t="shared" si="2"/>
        <v>0.20805169582689664</v>
      </c>
      <c r="J14" s="17">
        <f t="shared" si="5"/>
        <v>1305.5202302798596</v>
      </c>
      <c r="K14" s="17">
        <f t="shared" si="3"/>
        <v>13.742318213472206</v>
      </c>
      <c r="L14" s="16">
        <v>130</v>
      </c>
      <c r="M14" s="19">
        <f t="shared" si="6"/>
        <v>0.73076923076923073</v>
      </c>
      <c r="N14" s="16">
        <v>55</v>
      </c>
      <c r="O14" s="20">
        <f t="shared" ref="O14:P14" si="22">D14/7</f>
        <v>13.571428571428571</v>
      </c>
      <c r="P14" s="20">
        <f t="shared" si="22"/>
        <v>0</v>
      </c>
      <c r="Q14" s="16">
        <f t="shared" si="8"/>
        <v>4</v>
      </c>
      <c r="R14" s="16"/>
      <c r="S14" s="21">
        <v>2.6238532110091701</v>
      </c>
      <c r="T14" s="14">
        <v>650</v>
      </c>
      <c r="U14" s="22">
        <v>100</v>
      </c>
      <c r="V14" s="23" t="s">
        <v>1006</v>
      </c>
      <c r="W14" s="14">
        <v>0</v>
      </c>
      <c r="X14" s="24">
        <f t="shared" si="9"/>
        <v>0</v>
      </c>
      <c r="Y14" s="25">
        <f t="shared" si="10"/>
        <v>0</v>
      </c>
      <c r="Z14" s="14">
        <v>0</v>
      </c>
      <c r="AA14" s="14" t="s">
        <v>35</v>
      </c>
      <c r="AB14" s="27">
        <f t="shared" si="11"/>
        <v>-0.69</v>
      </c>
      <c r="AC14" s="28">
        <v>0.44136361342592589</v>
      </c>
      <c r="AD14" s="25">
        <f t="shared" si="12"/>
        <v>-57.862769720138878</v>
      </c>
      <c r="AE14" s="25">
        <v>-9.98</v>
      </c>
      <c r="AF14" s="25">
        <v>-31.81</v>
      </c>
      <c r="AG14" s="25">
        <v>0</v>
      </c>
    </row>
    <row r="15" spans="1:33" ht="15.75" customHeight="1">
      <c r="A15" s="14" t="s">
        <v>36</v>
      </c>
      <c r="B15" s="14" t="s">
        <v>1008</v>
      </c>
      <c r="C15" s="15">
        <f t="shared" si="4"/>
        <v>71.076250000000002</v>
      </c>
      <c r="D15" s="16">
        <v>16</v>
      </c>
      <c r="E15" s="16">
        <v>0</v>
      </c>
      <c r="F15" s="17">
        <v>1137.22</v>
      </c>
      <c r="G15" s="29">
        <v>0</v>
      </c>
      <c r="H15" s="18">
        <f t="shared" si="1"/>
        <v>0</v>
      </c>
      <c r="I15" s="18">
        <f t="shared" si="2"/>
        <v>0.20169509102509228</v>
      </c>
      <c r="J15" s="17">
        <f t="shared" si="5"/>
        <v>229.37169141555546</v>
      </c>
      <c r="K15" s="17">
        <f t="shared" si="3"/>
        <v>14.335730713472216</v>
      </c>
      <c r="L15" s="16">
        <v>66</v>
      </c>
      <c r="M15" s="19">
        <f t="shared" si="6"/>
        <v>0.24242424242424243</v>
      </c>
      <c r="N15" s="16">
        <v>15</v>
      </c>
      <c r="O15" s="20">
        <f t="shared" ref="O15:P15" si="23">D15/7</f>
        <v>2.2857142857142856</v>
      </c>
      <c r="P15" s="20">
        <f t="shared" si="23"/>
        <v>0</v>
      </c>
      <c r="Q15" s="16">
        <f t="shared" si="8"/>
        <v>6</v>
      </c>
      <c r="R15" s="16"/>
      <c r="S15" s="21">
        <v>2.3613861386138599</v>
      </c>
      <c r="T15" s="14">
        <v>650</v>
      </c>
      <c r="U15" s="22">
        <v>100</v>
      </c>
      <c r="V15" s="23" t="s">
        <v>1009</v>
      </c>
      <c r="W15" s="14">
        <v>0</v>
      </c>
      <c r="X15" s="24">
        <f t="shared" si="9"/>
        <v>0</v>
      </c>
      <c r="Y15" s="25">
        <f t="shared" si="10"/>
        <v>0</v>
      </c>
      <c r="Z15" s="14">
        <v>0</v>
      </c>
      <c r="AA15" s="14" t="s">
        <v>35</v>
      </c>
      <c r="AB15" s="27">
        <f t="shared" si="11"/>
        <v>-0.69</v>
      </c>
      <c r="AC15" s="28">
        <v>0.44136361342592589</v>
      </c>
      <c r="AD15" s="25">
        <f t="shared" si="12"/>
        <v>-9.7453085844444427</v>
      </c>
      <c r="AE15" s="25">
        <v>-9.98</v>
      </c>
      <c r="AF15" s="25">
        <v>-35.49</v>
      </c>
      <c r="AG15" s="25">
        <v>0</v>
      </c>
    </row>
    <row r="16" spans="1:33" ht="15.75" customHeight="1">
      <c r="A16" s="14" t="s">
        <v>38</v>
      </c>
      <c r="B16" s="14" t="s">
        <v>1010</v>
      </c>
      <c r="C16" s="15">
        <f t="shared" si="4"/>
        <v>75.989999999999995</v>
      </c>
      <c r="D16" s="16">
        <v>3</v>
      </c>
      <c r="E16" s="16">
        <v>0</v>
      </c>
      <c r="F16" s="17">
        <v>227.96999999999997</v>
      </c>
      <c r="G16" s="29">
        <v>-0.02</v>
      </c>
      <c r="H16" s="18">
        <f t="shared" si="1"/>
        <v>8.7730841777426872E-5</v>
      </c>
      <c r="I16" s="18">
        <f t="shared" si="2"/>
        <v>0.24352877413877541</v>
      </c>
      <c r="J16" s="17">
        <f t="shared" si="5"/>
        <v>55.517254640416624</v>
      </c>
      <c r="K16" s="17">
        <f t="shared" si="3"/>
        <v>18.505751546805541</v>
      </c>
      <c r="L16" s="16">
        <v>51</v>
      </c>
      <c r="M16" s="19">
        <f t="shared" si="6"/>
        <v>5.8823529411764705E-2</v>
      </c>
      <c r="N16" s="16">
        <v>10</v>
      </c>
      <c r="O16" s="20">
        <f t="shared" ref="O16:P16" si="24">D16/7</f>
        <v>0.42857142857142855</v>
      </c>
      <c r="P16" s="20">
        <f t="shared" si="24"/>
        <v>0</v>
      </c>
      <c r="Q16" s="16">
        <f t="shared" si="8"/>
        <v>23</v>
      </c>
      <c r="R16" s="16"/>
      <c r="S16" s="21">
        <v>1.79850746268656</v>
      </c>
      <c r="T16" s="14">
        <v>650</v>
      </c>
      <c r="U16" s="22">
        <v>100</v>
      </c>
      <c r="V16" s="23" t="s">
        <v>1009</v>
      </c>
      <c r="W16" s="14">
        <v>0</v>
      </c>
      <c r="X16" s="24">
        <f t="shared" si="9"/>
        <v>0</v>
      </c>
      <c r="Y16" s="25">
        <f t="shared" si="10"/>
        <v>0</v>
      </c>
      <c r="Z16" s="14">
        <v>0</v>
      </c>
      <c r="AA16" s="14" t="s">
        <v>35</v>
      </c>
      <c r="AB16" s="27">
        <f t="shared" si="11"/>
        <v>-0.69</v>
      </c>
      <c r="AC16" s="28">
        <v>0.44136361342592589</v>
      </c>
      <c r="AD16" s="25">
        <f t="shared" si="12"/>
        <v>-1.8272453595833329</v>
      </c>
      <c r="AE16" s="25">
        <v>-9.98</v>
      </c>
      <c r="AF16" s="25">
        <v>-35.49</v>
      </c>
      <c r="AG16" s="25">
        <v>0</v>
      </c>
    </row>
    <row r="17" spans="1:33" ht="15.75" customHeight="1">
      <c r="A17" s="14" t="s">
        <v>40</v>
      </c>
      <c r="B17" s="14" t="s">
        <v>45</v>
      </c>
      <c r="C17" s="15">
        <f t="shared" si="4"/>
        <v>70.132999999999996</v>
      </c>
      <c r="D17" s="16">
        <v>10</v>
      </c>
      <c r="E17" s="16">
        <v>0</v>
      </c>
      <c r="F17" s="17">
        <v>701.32999999999993</v>
      </c>
      <c r="G17" s="29">
        <v>0</v>
      </c>
      <c r="H17" s="18">
        <f t="shared" si="1"/>
        <v>0</v>
      </c>
      <c r="I17" s="18">
        <f t="shared" si="2"/>
        <v>0.19297574912626303</v>
      </c>
      <c r="J17" s="17">
        <f t="shared" si="5"/>
        <v>135.33968213472204</v>
      </c>
      <c r="K17" s="17">
        <f t="shared" si="3"/>
        <v>13.533968213472203</v>
      </c>
      <c r="L17" s="16">
        <v>40</v>
      </c>
      <c r="M17" s="19">
        <f t="shared" si="6"/>
        <v>0.25</v>
      </c>
      <c r="N17" s="16">
        <v>3</v>
      </c>
      <c r="O17" s="20">
        <f t="shared" ref="O17:P17" si="25">D17/7</f>
        <v>1.4285714285714286</v>
      </c>
      <c r="P17" s="20">
        <f t="shared" si="25"/>
        <v>0</v>
      </c>
      <c r="Q17" s="16">
        <f t="shared" si="8"/>
        <v>2</v>
      </c>
      <c r="R17" s="16"/>
      <c r="S17" s="21">
        <v>1.9166666666666601</v>
      </c>
      <c r="T17" s="14">
        <v>550</v>
      </c>
      <c r="U17" s="22">
        <v>100</v>
      </c>
      <c r="V17" s="23" t="s">
        <v>1011</v>
      </c>
      <c r="W17" s="14">
        <v>0</v>
      </c>
      <c r="X17" s="24">
        <f t="shared" si="9"/>
        <v>0</v>
      </c>
      <c r="Y17" s="25">
        <f t="shared" si="10"/>
        <v>0</v>
      </c>
      <c r="Z17" s="14">
        <v>0</v>
      </c>
      <c r="AA17" s="14" t="s">
        <v>35</v>
      </c>
      <c r="AB17" s="27">
        <f t="shared" si="11"/>
        <v>-0.69</v>
      </c>
      <c r="AC17" s="28">
        <v>0.44136361342592589</v>
      </c>
      <c r="AD17" s="25">
        <f t="shared" si="12"/>
        <v>-6.0908178652777769</v>
      </c>
      <c r="AE17" s="25">
        <v>-9.98</v>
      </c>
      <c r="AF17" s="25">
        <v>-35.49</v>
      </c>
      <c r="AG17" s="25">
        <v>0</v>
      </c>
    </row>
    <row r="18" spans="1:33" ht="15.75" customHeight="1">
      <c r="A18" s="14" t="s">
        <v>42</v>
      </c>
      <c r="B18" s="14" t="s">
        <v>68</v>
      </c>
      <c r="C18" s="15">
        <f t="shared" si="4"/>
        <v>65.989999999999995</v>
      </c>
      <c r="D18" s="16">
        <v>25</v>
      </c>
      <c r="E18" s="16">
        <v>0</v>
      </c>
      <c r="F18" s="17">
        <v>1649.75</v>
      </c>
      <c r="G18" s="29">
        <v>-0.02</v>
      </c>
      <c r="H18" s="18">
        <f t="shared" si="1"/>
        <v>1.2123048946810124E-5</v>
      </c>
      <c r="I18" s="18">
        <f t="shared" si="2"/>
        <v>0.15171417204837429</v>
      </c>
      <c r="J18" s="17">
        <f t="shared" si="5"/>
        <v>250.29045533680548</v>
      </c>
      <c r="K18" s="17">
        <f t="shared" si="3"/>
        <v>10.01161821347222</v>
      </c>
      <c r="L18" s="16">
        <v>56</v>
      </c>
      <c r="M18" s="19">
        <f t="shared" si="6"/>
        <v>0.44642857142857145</v>
      </c>
      <c r="N18" s="16">
        <v>111</v>
      </c>
      <c r="O18" s="20">
        <f t="shared" ref="O18:P18" si="26">D18/7</f>
        <v>3.5714285714285716</v>
      </c>
      <c r="P18" s="20">
        <f t="shared" si="26"/>
        <v>0</v>
      </c>
      <c r="Q18" s="16">
        <f t="shared" si="8"/>
        <v>31</v>
      </c>
      <c r="R18" s="16"/>
      <c r="S18" s="21">
        <v>2.3120204603580499</v>
      </c>
      <c r="T18" s="14">
        <v>450</v>
      </c>
      <c r="U18" s="22">
        <v>0</v>
      </c>
      <c r="V18" s="23" t="s">
        <v>1012</v>
      </c>
      <c r="W18" s="14">
        <v>0</v>
      </c>
      <c r="X18" s="24">
        <f t="shared" si="9"/>
        <v>0</v>
      </c>
      <c r="Y18" s="25">
        <f t="shared" si="10"/>
        <v>0</v>
      </c>
      <c r="Z18" s="14">
        <v>0</v>
      </c>
      <c r="AA18" s="14" t="s">
        <v>35</v>
      </c>
      <c r="AB18" s="27">
        <f t="shared" si="11"/>
        <v>-0.69</v>
      </c>
      <c r="AC18" s="28">
        <v>0.44136361342592589</v>
      </c>
      <c r="AD18" s="25">
        <f t="shared" si="12"/>
        <v>-15.227044663194441</v>
      </c>
      <c r="AE18" s="25">
        <v>-9.98</v>
      </c>
      <c r="AF18" s="25">
        <v>-35.49</v>
      </c>
      <c r="AG18" s="25">
        <v>0</v>
      </c>
    </row>
    <row r="19" spans="1:33" ht="15.75" customHeight="1">
      <c r="A19" s="14" t="s">
        <v>44</v>
      </c>
      <c r="B19" s="14" t="s">
        <v>1013</v>
      </c>
      <c r="C19" s="15">
        <f t="shared" si="4"/>
        <v>66.214727272727202</v>
      </c>
      <c r="D19" s="16">
        <v>55</v>
      </c>
      <c r="E19" s="16">
        <v>0</v>
      </c>
      <c r="F19" s="17">
        <v>3641.8099999999959</v>
      </c>
      <c r="G19" s="29">
        <v>-0.08</v>
      </c>
      <c r="H19" s="18">
        <f t="shared" si="1"/>
        <v>2.1967098777805568E-5</v>
      </c>
      <c r="I19" s="18">
        <f t="shared" si="2"/>
        <v>0.12926099981629172</v>
      </c>
      <c r="J19" s="17">
        <f t="shared" si="5"/>
        <v>470.74400174096877</v>
      </c>
      <c r="K19" s="17">
        <f t="shared" si="3"/>
        <v>8.5589818498357957</v>
      </c>
      <c r="L19" s="16">
        <v>110</v>
      </c>
      <c r="M19" s="19">
        <f t="shared" si="6"/>
        <v>0.5</v>
      </c>
      <c r="N19" s="16">
        <v>286</v>
      </c>
      <c r="O19" s="20">
        <f t="shared" ref="O19:P19" si="27">D19/7</f>
        <v>7.8571428571428568</v>
      </c>
      <c r="P19" s="20">
        <f t="shared" si="27"/>
        <v>0</v>
      </c>
      <c r="Q19" s="16">
        <f t="shared" si="8"/>
        <v>36</v>
      </c>
      <c r="R19" s="16"/>
      <c r="S19" s="21">
        <v>2.04630650496141</v>
      </c>
      <c r="T19" s="14">
        <v>300</v>
      </c>
      <c r="U19" s="22">
        <v>300</v>
      </c>
      <c r="V19" s="23" t="s">
        <v>1014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14" t="s">
        <v>35</v>
      </c>
      <c r="AB19" s="27">
        <f t="shared" si="11"/>
        <v>-0.69</v>
      </c>
      <c r="AC19" s="28">
        <v>0.44136361342592589</v>
      </c>
      <c r="AD19" s="25">
        <f t="shared" si="12"/>
        <v>-33.499498259027774</v>
      </c>
      <c r="AE19" s="25">
        <v>-9.98</v>
      </c>
      <c r="AF19" s="25">
        <v>-37.133000000000003</v>
      </c>
      <c r="AG19" s="25">
        <v>0</v>
      </c>
    </row>
    <row r="20" spans="1:33" ht="15.75" customHeight="1">
      <c r="A20" s="14" t="s">
        <v>46</v>
      </c>
      <c r="B20" s="14" t="s">
        <v>1015</v>
      </c>
      <c r="C20" s="15">
        <f t="shared" si="4"/>
        <v>67.872187499999981</v>
      </c>
      <c r="D20" s="16">
        <v>96</v>
      </c>
      <c r="E20" s="16">
        <v>0</v>
      </c>
      <c r="F20" s="17">
        <v>6515.7299999999977</v>
      </c>
      <c r="G20" s="29">
        <v>-0.24</v>
      </c>
      <c r="H20" s="18">
        <f t="shared" si="1"/>
        <v>3.6833938791202224E-5</v>
      </c>
      <c r="I20" s="18">
        <f t="shared" si="2"/>
        <v>0.14684627025572453</v>
      </c>
      <c r="J20" s="17">
        <f t="shared" si="5"/>
        <v>956.81064849333166</v>
      </c>
      <c r="K20" s="17">
        <f t="shared" si="3"/>
        <v>9.9667775884722047</v>
      </c>
      <c r="L20" s="16">
        <v>147</v>
      </c>
      <c r="M20" s="19">
        <f t="shared" si="6"/>
        <v>0.65306122448979587</v>
      </c>
      <c r="N20" s="16">
        <v>176</v>
      </c>
      <c r="O20" s="20">
        <f t="shared" ref="O20:P20" si="28">D20/7</f>
        <v>13.714285714285714</v>
      </c>
      <c r="P20" s="20">
        <f t="shared" si="28"/>
        <v>0</v>
      </c>
      <c r="Q20" s="16">
        <f t="shared" si="8"/>
        <v>12</v>
      </c>
      <c r="R20" s="16"/>
      <c r="S20" s="21">
        <v>2.6517412935323299</v>
      </c>
      <c r="T20" s="14">
        <v>300</v>
      </c>
      <c r="U20" s="22">
        <v>300</v>
      </c>
      <c r="V20" s="23" t="s">
        <v>1016</v>
      </c>
      <c r="W20" s="14">
        <v>1</v>
      </c>
      <c r="X20" s="24">
        <f t="shared" si="9"/>
        <v>1.0416666666666666E-2</v>
      </c>
      <c r="Y20" s="25">
        <f t="shared" si="10"/>
        <v>0.24</v>
      </c>
      <c r="Z20" s="14">
        <v>0</v>
      </c>
      <c r="AA20" s="14" t="s">
        <v>35</v>
      </c>
      <c r="AB20" s="27">
        <f t="shared" si="11"/>
        <v>-0.69</v>
      </c>
      <c r="AC20" s="28">
        <v>0.44136361342592589</v>
      </c>
      <c r="AD20" s="25">
        <f t="shared" si="12"/>
        <v>-58.471851506666653</v>
      </c>
      <c r="AE20" s="25">
        <v>-9.98</v>
      </c>
      <c r="AF20" s="25">
        <v>-37.133000000000003</v>
      </c>
      <c r="AG20" s="25">
        <v>0</v>
      </c>
    </row>
    <row r="21" spans="1:33" ht="15.75" customHeight="1">
      <c r="A21" s="14" t="s">
        <v>47</v>
      </c>
      <c r="B21" s="14" t="s">
        <v>1017</v>
      </c>
      <c r="C21" s="15">
        <f t="shared" si="4"/>
        <v>77.000263157894736</v>
      </c>
      <c r="D21" s="16">
        <v>38</v>
      </c>
      <c r="E21" s="16">
        <v>0</v>
      </c>
      <c r="F21" s="17">
        <v>2926.01</v>
      </c>
      <c r="G21" s="29">
        <v>0</v>
      </c>
      <c r="H21" s="18">
        <f t="shared" si="1"/>
        <v>0</v>
      </c>
      <c r="I21" s="18">
        <f t="shared" si="2"/>
        <v>0.23023482220222916</v>
      </c>
      <c r="J21" s="17">
        <f t="shared" si="5"/>
        <v>673.6693921119446</v>
      </c>
      <c r="K21" s="17">
        <f t="shared" si="3"/>
        <v>17.728141897682754</v>
      </c>
      <c r="L21" s="16">
        <v>50</v>
      </c>
      <c r="M21" s="19">
        <f t="shared" si="6"/>
        <v>0.76</v>
      </c>
      <c r="N21" s="16">
        <v>123</v>
      </c>
      <c r="O21" s="20">
        <f t="shared" ref="O21:P21" si="29">D21/7</f>
        <v>5.4285714285714288</v>
      </c>
      <c r="P21" s="20">
        <f t="shared" si="29"/>
        <v>0</v>
      </c>
      <c r="Q21" s="16">
        <f t="shared" si="8"/>
        <v>22</v>
      </c>
      <c r="R21" s="16"/>
      <c r="S21" s="21">
        <v>3.1830559757942498</v>
      </c>
      <c r="T21" s="14">
        <v>300</v>
      </c>
      <c r="U21" s="22">
        <v>300</v>
      </c>
      <c r="V21" s="23" t="s">
        <v>1018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14" t="s">
        <v>35</v>
      </c>
      <c r="AB21" s="27">
        <f t="shared" si="11"/>
        <v>-0.69</v>
      </c>
      <c r="AC21" s="28">
        <v>0.44136361342592589</v>
      </c>
      <c r="AD21" s="25">
        <f t="shared" si="12"/>
        <v>-23.145107888055552</v>
      </c>
      <c r="AE21" s="25">
        <v>-9.98</v>
      </c>
      <c r="AF21" s="25">
        <v>-37.133000000000003</v>
      </c>
      <c r="AG21" s="25">
        <v>0</v>
      </c>
    </row>
    <row r="22" spans="1:33" ht="15.75" customHeight="1">
      <c r="A22" s="14" t="s">
        <v>48</v>
      </c>
      <c r="B22" s="14" t="s">
        <v>1019</v>
      </c>
      <c r="C22" s="15">
        <f t="shared" si="4"/>
        <v>89.317499999999995</v>
      </c>
      <c r="D22" s="16">
        <v>4</v>
      </c>
      <c r="E22" s="16">
        <v>1</v>
      </c>
      <c r="F22" s="29">
        <v>357.27</v>
      </c>
      <c r="G22" s="29">
        <v>0</v>
      </c>
      <c r="H22" s="18">
        <f t="shared" si="1"/>
        <v>0</v>
      </c>
      <c r="I22" s="18">
        <f t="shared" si="2"/>
        <v>0.31570289376070992</v>
      </c>
      <c r="J22" s="17">
        <f t="shared" si="5"/>
        <v>112.79117285388884</v>
      </c>
      <c r="K22" s="17">
        <f t="shared" si="3"/>
        <v>28.19779321347221</v>
      </c>
      <c r="L22" s="16">
        <v>62</v>
      </c>
      <c r="M22" s="19">
        <f t="shared" si="6"/>
        <v>6.4516129032258063E-2</v>
      </c>
      <c r="N22" s="16">
        <v>130</v>
      </c>
      <c r="O22" s="20">
        <f t="shared" ref="O22:P22" si="30">D22/7</f>
        <v>0.5714285714285714</v>
      </c>
      <c r="P22" s="20">
        <f t="shared" si="30"/>
        <v>0.14285714285714285</v>
      </c>
      <c r="Q22" s="16">
        <f t="shared" si="8"/>
        <v>182</v>
      </c>
      <c r="R22" s="16"/>
      <c r="S22" s="21">
        <v>3.13043478260869</v>
      </c>
      <c r="T22" s="14">
        <v>300</v>
      </c>
      <c r="U22" s="22">
        <v>300</v>
      </c>
      <c r="V22" s="23" t="s">
        <v>1018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35</v>
      </c>
      <c r="AB22" s="27">
        <f t="shared" si="11"/>
        <v>-0.69</v>
      </c>
      <c r="AC22" s="28">
        <v>0.44136361342592589</v>
      </c>
      <c r="AD22" s="25">
        <f t="shared" si="12"/>
        <v>-2.4363271461111107</v>
      </c>
      <c r="AE22" s="25">
        <v>-9.98</v>
      </c>
      <c r="AF22" s="25">
        <v>-37.133000000000003</v>
      </c>
      <c r="AG22" s="25">
        <v>0</v>
      </c>
    </row>
    <row r="23" spans="1:33" ht="15.75" customHeight="1">
      <c r="A23" s="14" t="s">
        <v>49</v>
      </c>
      <c r="B23" s="14" t="s">
        <v>1020</v>
      </c>
      <c r="C23" s="15">
        <f t="shared" si="4"/>
        <v>84.644285714285729</v>
      </c>
      <c r="D23" s="16">
        <v>7</v>
      </c>
      <c r="E23" s="16">
        <v>0</v>
      </c>
      <c r="F23" s="17">
        <v>592.5100000000001</v>
      </c>
      <c r="G23" s="29">
        <v>0</v>
      </c>
      <c r="H23" s="18">
        <f t="shared" si="1"/>
        <v>0</v>
      </c>
      <c r="I23" s="18">
        <f t="shared" si="2"/>
        <v>0.28620432987511696</v>
      </c>
      <c r="J23" s="17">
        <f t="shared" si="5"/>
        <v>169.57892749430559</v>
      </c>
      <c r="K23" s="17">
        <f t="shared" si="3"/>
        <v>24.225561070615083</v>
      </c>
      <c r="L23" s="16">
        <v>29</v>
      </c>
      <c r="M23" s="19">
        <f t="shared" si="6"/>
        <v>0.2413793103448276</v>
      </c>
      <c r="N23" s="16">
        <v>123</v>
      </c>
      <c r="O23" s="20">
        <f t="shared" ref="O23:P23" si="31">D23/7</f>
        <v>1</v>
      </c>
      <c r="P23" s="20">
        <f t="shared" si="31"/>
        <v>0</v>
      </c>
      <c r="Q23" s="16">
        <f t="shared" si="8"/>
        <v>123</v>
      </c>
      <c r="R23" s="16"/>
      <c r="S23" s="21">
        <v>3.0342465753424599</v>
      </c>
      <c r="T23" s="14">
        <v>420</v>
      </c>
      <c r="U23" s="22">
        <v>300</v>
      </c>
      <c r="V23" s="23" t="s">
        <v>1018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35</v>
      </c>
      <c r="AB23" s="27">
        <f t="shared" si="11"/>
        <v>-0.69</v>
      </c>
      <c r="AC23" s="28">
        <v>0.44136361342592589</v>
      </c>
      <c r="AD23" s="25">
        <f t="shared" si="12"/>
        <v>-4.2635725056944436</v>
      </c>
      <c r="AE23" s="25">
        <v>-9.98</v>
      </c>
      <c r="AF23" s="25">
        <v>-37.133000000000003</v>
      </c>
      <c r="AG23" s="25">
        <v>0</v>
      </c>
    </row>
    <row r="24" spans="1:33" ht="15.75" customHeight="1">
      <c r="A24" s="14" t="s">
        <v>50</v>
      </c>
      <c r="B24" s="14" t="s">
        <v>1021</v>
      </c>
      <c r="C24" s="15">
        <f t="shared" si="4"/>
        <v>75.657142857142844</v>
      </c>
      <c r="D24" s="16">
        <v>7</v>
      </c>
      <c r="E24" s="16">
        <v>0</v>
      </c>
      <c r="F24" s="17">
        <v>529.59999999999991</v>
      </c>
      <c r="G24" s="17">
        <v>0</v>
      </c>
      <c r="H24" s="18">
        <f t="shared" si="1"/>
        <v>0</v>
      </c>
      <c r="I24" s="18">
        <f t="shared" si="2"/>
        <v>0.21923230267051633</v>
      </c>
      <c r="J24" s="17">
        <f t="shared" si="5"/>
        <v>116.10542749430543</v>
      </c>
      <c r="K24" s="17">
        <f t="shared" si="3"/>
        <v>16.586489642043635</v>
      </c>
      <c r="L24" s="16">
        <v>35</v>
      </c>
      <c r="M24" s="19">
        <f t="shared" si="6"/>
        <v>0.2</v>
      </c>
      <c r="N24" s="16">
        <v>116</v>
      </c>
      <c r="O24" s="20">
        <f t="shared" ref="O24:P24" si="32">D24/7</f>
        <v>1</v>
      </c>
      <c r="P24" s="20">
        <f t="shared" si="32"/>
        <v>0</v>
      </c>
      <c r="Q24" s="16">
        <f t="shared" si="8"/>
        <v>116</v>
      </c>
      <c r="R24" s="16"/>
      <c r="S24" s="21">
        <v>2.8336192109776999</v>
      </c>
      <c r="T24" s="14">
        <v>420</v>
      </c>
      <c r="U24" s="22">
        <v>300</v>
      </c>
      <c r="V24" s="23" t="s">
        <v>1022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14" t="s">
        <v>35</v>
      </c>
      <c r="AB24" s="27">
        <f t="shared" si="11"/>
        <v>-0.69</v>
      </c>
      <c r="AC24" s="28">
        <v>0.44136361342592589</v>
      </c>
      <c r="AD24" s="25">
        <f t="shared" si="12"/>
        <v>-4.2635725056944436</v>
      </c>
      <c r="AE24" s="25">
        <v>-9.98</v>
      </c>
      <c r="AF24" s="25">
        <v>-37.133000000000003</v>
      </c>
      <c r="AG24" s="25">
        <v>0</v>
      </c>
    </row>
    <row r="25" spans="1:33" ht="15.75" customHeight="1">
      <c r="A25" s="14" t="s">
        <v>51</v>
      </c>
      <c r="B25" s="14" t="s">
        <v>68</v>
      </c>
      <c r="C25" s="15">
        <f t="shared" si="4"/>
        <v>64.702352941176471</v>
      </c>
      <c r="D25" s="16">
        <v>17</v>
      </c>
      <c r="E25" s="16">
        <v>0</v>
      </c>
      <c r="F25" s="17">
        <v>1099.94</v>
      </c>
      <c r="G25" s="17">
        <v>0</v>
      </c>
      <c r="H25" s="18">
        <f t="shared" si="1"/>
        <v>0</v>
      </c>
      <c r="I25" s="18">
        <f t="shared" si="2"/>
        <v>0.11248305328384076</v>
      </c>
      <c r="J25" s="17">
        <f t="shared" si="5"/>
        <v>123.72460962902781</v>
      </c>
      <c r="K25" s="17">
        <f t="shared" si="3"/>
        <v>7.2779182134722245</v>
      </c>
      <c r="L25" s="16">
        <v>60</v>
      </c>
      <c r="M25" s="19">
        <f t="shared" si="6"/>
        <v>0.28333333333333333</v>
      </c>
      <c r="N25" s="16">
        <v>100</v>
      </c>
      <c r="O25" s="20">
        <f t="shared" ref="O25:P25" si="33">D25/7</f>
        <v>2.4285714285714284</v>
      </c>
      <c r="P25" s="20">
        <f t="shared" si="33"/>
        <v>0</v>
      </c>
      <c r="Q25" s="16">
        <f t="shared" si="8"/>
        <v>41</v>
      </c>
      <c r="R25" s="16"/>
      <c r="S25" s="21">
        <v>3.786542923433875</v>
      </c>
      <c r="T25" s="14">
        <v>420</v>
      </c>
      <c r="U25" s="22">
        <v>300</v>
      </c>
      <c r="V25" s="23" t="s">
        <v>1023</v>
      </c>
      <c r="W25" s="30">
        <v>0</v>
      </c>
      <c r="X25" s="24">
        <f t="shared" si="9"/>
        <v>0</v>
      </c>
      <c r="Y25" s="25">
        <f t="shared" si="10"/>
        <v>0</v>
      </c>
      <c r="Z25" s="30">
        <v>0</v>
      </c>
      <c r="AA25" s="14" t="s">
        <v>35</v>
      </c>
      <c r="AB25" s="27">
        <f t="shared" si="11"/>
        <v>-0.69</v>
      </c>
      <c r="AC25" s="28">
        <v>0.44136361342592589</v>
      </c>
      <c r="AD25" s="25">
        <f t="shared" si="12"/>
        <v>-10.35439037097222</v>
      </c>
      <c r="AE25" s="25">
        <v>-9.98</v>
      </c>
      <c r="AF25" s="25">
        <v>-37.130000000000003</v>
      </c>
      <c r="AG25" s="25">
        <v>0</v>
      </c>
    </row>
    <row r="26" spans="1:33" ht="15.75" customHeight="1">
      <c r="A26" s="14" t="s">
        <v>52</v>
      </c>
      <c r="B26" s="14" t="s">
        <v>1024</v>
      </c>
      <c r="C26" s="15">
        <f t="shared" si="4"/>
        <v>57.433484848484852</v>
      </c>
      <c r="D26" s="16">
        <v>66</v>
      </c>
      <c r="E26" s="16">
        <v>0</v>
      </c>
      <c r="F26" s="17">
        <v>3790.61</v>
      </c>
      <c r="G26" s="17">
        <v>-0.02</v>
      </c>
      <c r="H26" s="18">
        <f t="shared" si="1"/>
        <v>5.2761956518871628E-6</v>
      </c>
      <c r="I26" s="18">
        <f t="shared" si="2"/>
        <v>3.1272302370638674E-2</v>
      </c>
      <c r="J26" s="17">
        <f t="shared" si="5"/>
        <v>118.54110208916667</v>
      </c>
      <c r="K26" s="17">
        <f t="shared" si="3"/>
        <v>1.7960773043813132</v>
      </c>
      <c r="L26" s="16">
        <v>77</v>
      </c>
      <c r="M26" s="19">
        <f t="shared" si="6"/>
        <v>0.8571428571428571</v>
      </c>
      <c r="N26" s="16">
        <v>52</v>
      </c>
      <c r="O26" s="20">
        <f t="shared" ref="O26:P26" si="34">D26/7</f>
        <v>9.4285714285714288</v>
      </c>
      <c r="P26" s="20">
        <f t="shared" si="34"/>
        <v>0</v>
      </c>
      <c r="Q26" s="16">
        <f t="shared" si="8"/>
        <v>5</v>
      </c>
      <c r="R26" s="16"/>
      <c r="S26" s="21">
        <v>4.4137931034482758</v>
      </c>
      <c r="T26" s="14">
        <v>420</v>
      </c>
      <c r="U26" s="22">
        <v>300</v>
      </c>
      <c r="V26" s="23" t="s">
        <v>1014</v>
      </c>
      <c r="W26" s="30">
        <v>0</v>
      </c>
      <c r="X26" s="24">
        <f t="shared" si="9"/>
        <v>0</v>
      </c>
      <c r="Y26" s="25">
        <f t="shared" si="10"/>
        <v>0</v>
      </c>
      <c r="Z26" s="30">
        <v>0</v>
      </c>
      <c r="AA26" s="14" t="s">
        <v>35</v>
      </c>
      <c r="AB26" s="27">
        <f t="shared" si="11"/>
        <v>-0.69</v>
      </c>
      <c r="AC26" s="28">
        <v>0.44136361342592589</v>
      </c>
      <c r="AD26" s="25">
        <f t="shared" si="12"/>
        <v>-40.199397910833326</v>
      </c>
      <c r="AE26" s="25">
        <v>-9.2799999999999994</v>
      </c>
      <c r="AF26" s="25">
        <v>-37.133000000000003</v>
      </c>
      <c r="AG26" s="25">
        <v>0</v>
      </c>
    </row>
    <row r="27" spans="1:33" ht="15.75" customHeight="1">
      <c r="A27" s="14" t="s">
        <v>53</v>
      </c>
      <c r="B27" s="14" t="s">
        <v>1025</v>
      </c>
      <c r="C27" s="15">
        <f t="shared" si="4"/>
        <v>59.624428571428574</v>
      </c>
      <c r="D27" s="16">
        <v>70</v>
      </c>
      <c r="E27" s="16">
        <v>0</v>
      </c>
      <c r="F27" s="17">
        <v>4173.71</v>
      </c>
      <c r="G27" s="17">
        <v>-0.02</v>
      </c>
      <c r="H27" s="18">
        <f t="shared" si="1"/>
        <v>4.7918997726243559E-6</v>
      </c>
      <c r="I27" s="18">
        <f t="shared" si="2"/>
        <v>-0.12276181743747036</v>
      </c>
      <c r="J27" s="17">
        <f t="shared" si="5"/>
        <v>-512.37222505694444</v>
      </c>
      <c r="K27" s="17">
        <f t="shared" si="3"/>
        <v>-7.3196032150992067</v>
      </c>
      <c r="L27" s="16">
        <v>130</v>
      </c>
      <c r="M27" s="19">
        <f t="shared" si="6"/>
        <v>0.53846153846153844</v>
      </c>
      <c r="N27" s="16">
        <v>287</v>
      </c>
      <c r="O27" s="20">
        <f t="shared" ref="O27:P27" si="35">D27/7</f>
        <v>10</v>
      </c>
      <c r="P27" s="20">
        <f t="shared" si="35"/>
        <v>0</v>
      </c>
      <c r="Q27" s="16">
        <f t="shared" si="8"/>
        <v>28</v>
      </c>
      <c r="R27" s="16"/>
      <c r="S27" s="21">
        <v>2.4924924924924921</v>
      </c>
      <c r="T27" s="14">
        <v>120</v>
      </c>
      <c r="U27" s="22" t="s">
        <v>34</v>
      </c>
      <c r="V27" s="23" t="s">
        <v>34</v>
      </c>
      <c r="W27" s="30">
        <v>0</v>
      </c>
      <c r="X27" s="24">
        <f t="shared" si="9"/>
        <v>0</v>
      </c>
      <c r="Y27" s="25">
        <f t="shared" si="10"/>
        <v>0</v>
      </c>
      <c r="Z27" s="30">
        <v>0</v>
      </c>
      <c r="AA27" s="14" t="s">
        <v>35</v>
      </c>
      <c r="AB27" s="27">
        <f t="shared" si="11"/>
        <v>-0.69</v>
      </c>
      <c r="AC27" s="28">
        <v>0.44136361342592589</v>
      </c>
      <c r="AD27" s="25">
        <f t="shared" si="12"/>
        <v>-42.635725056944437</v>
      </c>
      <c r="AE27" s="25">
        <v>-9.2799999999999994</v>
      </c>
      <c r="AF27" s="25">
        <v>-48.110999999999997</v>
      </c>
      <c r="AG27" s="25">
        <v>0</v>
      </c>
    </row>
    <row r="28" spans="1:33" ht="15.75" customHeight="1">
      <c r="A28" s="14" t="s">
        <v>54</v>
      </c>
      <c r="B28" s="14" t="s">
        <v>1026</v>
      </c>
      <c r="C28" s="15">
        <f t="shared" si="4"/>
        <v>68.52652173913043</v>
      </c>
      <c r="D28" s="16">
        <v>69</v>
      </c>
      <c r="E28" s="16">
        <v>3</v>
      </c>
      <c r="F28" s="17">
        <v>4728.33</v>
      </c>
      <c r="G28" s="17">
        <v>0</v>
      </c>
      <c r="H28" s="18">
        <f t="shared" si="1"/>
        <v>0</v>
      </c>
      <c r="I28" s="18">
        <f t="shared" si="2"/>
        <v>3.6111812689858334E-3</v>
      </c>
      <c r="J28" s="17">
        <f t="shared" si="5"/>
        <v>17.074856729583786</v>
      </c>
      <c r="K28" s="17">
        <f t="shared" si="3"/>
        <v>0.24746169173309834</v>
      </c>
      <c r="L28" s="16">
        <v>154</v>
      </c>
      <c r="M28" s="19">
        <f t="shared" si="6"/>
        <v>0.44805194805194803</v>
      </c>
      <c r="N28" s="16">
        <v>199</v>
      </c>
      <c r="O28" s="20">
        <f t="shared" ref="O28:P28" si="36">D28/7</f>
        <v>9.8571428571428577</v>
      </c>
      <c r="P28" s="20">
        <f t="shared" si="36"/>
        <v>0.42857142857142855</v>
      </c>
      <c r="Q28" s="16">
        <f t="shared" si="8"/>
        <v>19</v>
      </c>
      <c r="R28" s="16"/>
      <c r="S28" s="21">
        <v>2.8499210110584521</v>
      </c>
      <c r="T28" s="14">
        <v>120</v>
      </c>
      <c r="U28" s="22" t="s">
        <v>34</v>
      </c>
      <c r="V28" s="23" t="s">
        <v>34</v>
      </c>
      <c r="W28" s="30">
        <v>0</v>
      </c>
      <c r="X28" s="24">
        <f t="shared" si="9"/>
        <v>0</v>
      </c>
      <c r="Y28" s="25">
        <f t="shared" si="10"/>
        <v>0</v>
      </c>
      <c r="Z28" s="30">
        <v>0</v>
      </c>
      <c r="AA28" s="14" t="s">
        <v>35</v>
      </c>
      <c r="AB28" s="27">
        <f t="shared" si="11"/>
        <v>-0.69</v>
      </c>
      <c r="AC28" s="28">
        <v>0.44136361342592589</v>
      </c>
      <c r="AD28" s="25">
        <f t="shared" si="12"/>
        <v>-42.026643270416656</v>
      </c>
      <c r="AE28" s="25">
        <v>-9.2799999999999994</v>
      </c>
      <c r="AF28" s="25">
        <v>-48.110999999999997</v>
      </c>
      <c r="AG28" s="25">
        <v>0</v>
      </c>
    </row>
    <row r="29" spans="1:33" ht="15.75" customHeight="1">
      <c r="A29" s="14" t="s">
        <v>55</v>
      </c>
      <c r="B29" s="14" t="s">
        <v>68</v>
      </c>
      <c r="C29" s="15">
        <f t="shared" si="4"/>
        <v>85.842941176470589</v>
      </c>
      <c r="D29" s="16">
        <v>17</v>
      </c>
      <c r="E29" s="16">
        <v>0</v>
      </c>
      <c r="F29" s="17">
        <v>1459.33</v>
      </c>
      <c r="G29" s="17">
        <v>-0.12</v>
      </c>
      <c r="H29" s="18">
        <f t="shared" si="1"/>
        <v>8.2229516284870461E-5</v>
      </c>
      <c r="I29" s="18">
        <f t="shared" si="2"/>
        <v>0.17426429226359214</v>
      </c>
      <c r="J29" s="17">
        <f t="shared" si="5"/>
        <v>254.30910962902789</v>
      </c>
      <c r="K29" s="17">
        <f t="shared" si="3"/>
        <v>14.959359389942817</v>
      </c>
      <c r="L29" s="16">
        <v>64</v>
      </c>
      <c r="M29" s="19">
        <f t="shared" si="6"/>
        <v>0.265625</v>
      </c>
      <c r="N29" s="16">
        <v>158</v>
      </c>
      <c r="O29" s="20">
        <f t="shared" ref="O29:P29" si="37">D29/7</f>
        <v>2.4285714285714284</v>
      </c>
      <c r="P29" s="20">
        <f t="shared" si="37"/>
        <v>0</v>
      </c>
      <c r="Q29" s="16">
        <f t="shared" si="8"/>
        <v>65</v>
      </c>
      <c r="R29" s="16"/>
      <c r="S29" s="21">
        <v>4.1830065359477127</v>
      </c>
      <c r="T29" s="14">
        <v>120</v>
      </c>
      <c r="U29" s="22" t="s">
        <v>34</v>
      </c>
      <c r="V29" s="23" t="s">
        <v>34</v>
      </c>
      <c r="W29" s="30">
        <v>0</v>
      </c>
      <c r="X29" s="24">
        <f t="shared" si="9"/>
        <v>0</v>
      </c>
      <c r="Y29" s="25">
        <f t="shared" si="10"/>
        <v>0</v>
      </c>
      <c r="Z29" s="30">
        <v>0</v>
      </c>
      <c r="AA29" s="14" t="s">
        <v>35</v>
      </c>
      <c r="AB29" s="27">
        <f t="shared" si="11"/>
        <v>-0.69</v>
      </c>
      <c r="AC29" s="28">
        <v>0.44136361342592589</v>
      </c>
      <c r="AD29" s="25">
        <f t="shared" si="12"/>
        <v>-10.35439037097222</v>
      </c>
      <c r="AE29" s="25">
        <v>-9.2799999999999994</v>
      </c>
      <c r="AF29" s="25">
        <v>-48.110999999999997</v>
      </c>
      <c r="AG29" s="25">
        <v>0</v>
      </c>
    </row>
    <row r="30" spans="1:33" ht="15.75" customHeight="1">
      <c r="A30" s="14" t="s">
        <v>57</v>
      </c>
      <c r="B30" s="14" t="s">
        <v>1027</v>
      </c>
      <c r="C30" s="15">
        <f t="shared" si="4"/>
        <v>89.95</v>
      </c>
      <c r="D30" s="16">
        <v>5</v>
      </c>
      <c r="E30" s="16">
        <v>0</v>
      </c>
      <c r="F30" s="17">
        <v>449.75</v>
      </c>
      <c r="G30" s="17">
        <v>0</v>
      </c>
      <c r="H30" s="18">
        <f t="shared" si="1"/>
        <v>0</v>
      </c>
      <c r="I30" s="18">
        <f t="shared" si="2"/>
        <v>0.20700267241214246</v>
      </c>
      <c r="J30" s="17">
        <f t="shared" si="5"/>
        <v>93.099451917361066</v>
      </c>
      <c r="K30" s="17">
        <f t="shared" si="3"/>
        <v>18.619890383472214</v>
      </c>
      <c r="L30" s="16">
        <v>25</v>
      </c>
      <c r="M30" s="19">
        <f t="shared" si="6"/>
        <v>0.2</v>
      </c>
      <c r="N30" s="16">
        <v>165</v>
      </c>
      <c r="O30" s="20">
        <f t="shared" ref="O30:P30" si="38">D30/7</f>
        <v>0.7142857142857143</v>
      </c>
      <c r="P30" s="20">
        <f t="shared" si="38"/>
        <v>0</v>
      </c>
      <c r="Q30" s="16">
        <f t="shared" si="8"/>
        <v>231</v>
      </c>
      <c r="R30" s="16"/>
      <c r="S30" s="21">
        <v>4.5314685314685317</v>
      </c>
      <c r="T30" s="14">
        <v>120</v>
      </c>
      <c r="U30" s="22" t="s">
        <v>34</v>
      </c>
      <c r="V30" s="23" t="s">
        <v>34</v>
      </c>
      <c r="W30" s="30">
        <v>0</v>
      </c>
      <c r="X30" s="24">
        <f t="shared" si="9"/>
        <v>0</v>
      </c>
      <c r="Y30" s="25">
        <f t="shared" si="10"/>
        <v>0</v>
      </c>
      <c r="Z30" s="30">
        <v>0</v>
      </c>
      <c r="AA30" s="14" t="s">
        <v>35</v>
      </c>
      <c r="AB30" s="27">
        <f t="shared" si="11"/>
        <v>-0.69</v>
      </c>
      <c r="AC30" s="28">
        <v>0.44136361342592589</v>
      </c>
      <c r="AD30" s="25">
        <f t="shared" si="12"/>
        <v>-3.0454089326388885</v>
      </c>
      <c r="AE30" s="25">
        <v>-9.2799999999999994</v>
      </c>
      <c r="AF30" s="25">
        <v>-47.948527830000003</v>
      </c>
      <c r="AG30" s="25">
        <v>0</v>
      </c>
    </row>
    <row r="31" spans="1:33" ht="15.75" customHeight="1">
      <c r="A31" s="14" t="s">
        <v>58</v>
      </c>
      <c r="B31" s="14" t="s">
        <v>64</v>
      </c>
      <c r="C31" s="15">
        <f t="shared" si="4"/>
        <v>88.465000000000003</v>
      </c>
      <c r="D31" s="16">
        <v>2</v>
      </c>
      <c r="E31" s="16">
        <v>0</v>
      </c>
      <c r="F31" s="17">
        <v>176.93</v>
      </c>
      <c r="G31" s="17">
        <v>0</v>
      </c>
      <c r="H31" s="18">
        <f t="shared" si="1"/>
        <v>0</v>
      </c>
      <c r="I31" s="18">
        <f t="shared" si="2"/>
        <v>0.19620912658647169</v>
      </c>
      <c r="J31" s="17">
        <f t="shared" si="5"/>
        <v>34.715280766944439</v>
      </c>
      <c r="K31" s="17">
        <f t="shared" si="3"/>
        <v>17.357640383472219</v>
      </c>
      <c r="L31" s="16">
        <v>34</v>
      </c>
      <c r="M31" s="19">
        <f t="shared" si="6"/>
        <v>5.8823529411764705E-2</v>
      </c>
      <c r="N31" s="16">
        <v>171</v>
      </c>
      <c r="O31" s="20">
        <f t="shared" ref="O31:P31" si="39">D31/7</f>
        <v>0.2857142857142857</v>
      </c>
      <c r="P31" s="20">
        <f t="shared" si="39"/>
        <v>0</v>
      </c>
      <c r="Q31" s="16">
        <f t="shared" si="8"/>
        <v>598</v>
      </c>
      <c r="R31" s="16"/>
      <c r="S31" s="21">
        <v>4.5059665871121704</v>
      </c>
      <c r="T31" s="14">
        <v>120</v>
      </c>
      <c r="U31" s="22" t="s">
        <v>34</v>
      </c>
      <c r="V31" s="23" t="s">
        <v>360</v>
      </c>
      <c r="W31" s="30">
        <v>0</v>
      </c>
      <c r="X31" s="24">
        <f t="shared" si="9"/>
        <v>0</v>
      </c>
      <c r="Y31" s="25">
        <f t="shared" si="10"/>
        <v>0</v>
      </c>
      <c r="Z31" s="30">
        <v>0</v>
      </c>
      <c r="AA31" s="14" t="s">
        <v>35</v>
      </c>
      <c r="AB31" s="27">
        <f t="shared" si="11"/>
        <v>-0.69</v>
      </c>
      <c r="AC31" s="28">
        <v>0.44136361342592589</v>
      </c>
      <c r="AD31" s="25">
        <f t="shared" si="12"/>
        <v>-1.2181635730555553</v>
      </c>
      <c r="AE31" s="25">
        <v>-9.2799999999999994</v>
      </c>
      <c r="AF31" s="25">
        <v>-47.948527830000003</v>
      </c>
      <c r="AG31" s="25">
        <v>0</v>
      </c>
    </row>
    <row r="32" spans="1:33" ht="15.75" customHeight="1">
      <c r="A32" s="14" t="s">
        <v>60</v>
      </c>
      <c r="B32" s="14"/>
      <c r="C32" s="15">
        <f t="shared" si="4"/>
        <v>85.95</v>
      </c>
      <c r="D32" s="16">
        <v>5</v>
      </c>
      <c r="E32" s="16">
        <v>0</v>
      </c>
      <c r="F32" s="17">
        <v>429.75</v>
      </c>
      <c r="G32" s="17">
        <v>-29.07</v>
      </c>
      <c r="H32" s="18">
        <f t="shared" si="1"/>
        <v>6.7643979057591619E-2</v>
      </c>
      <c r="I32" s="18">
        <f t="shared" si="2"/>
        <v>0.109434443088682</v>
      </c>
      <c r="J32" s="17">
        <f t="shared" si="5"/>
        <v>47.029451917361087</v>
      </c>
      <c r="K32" s="17">
        <f t="shared" si="3"/>
        <v>9.405890383472217</v>
      </c>
      <c r="L32" s="16">
        <v>34</v>
      </c>
      <c r="M32" s="19">
        <f t="shared" si="6"/>
        <v>0.14705882352941177</v>
      </c>
      <c r="N32" s="16">
        <v>168</v>
      </c>
      <c r="O32" s="20">
        <f t="shared" ref="O32:P32" si="40">D32/7</f>
        <v>0.7142857142857143</v>
      </c>
      <c r="P32" s="20">
        <f t="shared" si="40"/>
        <v>0</v>
      </c>
      <c r="Q32" s="16">
        <f t="shared" si="8"/>
        <v>235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2.0621118012422359</v>
      </c>
      <c r="T32" s="14">
        <f ca="1">IFERROR(__xludf.DUMMYFUNCTION("IFERROR(VLOOKUP($B$2,IMPORTRANGE(""https://docs.google.com/spreadsheets/d/1KiWZV1ko8G7lnRucBRBd29jj3Be6ltMfljMDqzOkQmI/edit#gid=1381463014"",""Lookup!A:D""),4,FALSE),"""")"),120)</f>
        <v>120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23" t="str">
        <f ca="1">IFERROR(__xludf.DUMMYFUNCTION("IFERROR(VLOOKUP($B$2,IMPORTRANGE(""https://docs.google.com/spreadsheets/d/1KiWZV1ko8G7lnRucBRBd29jj3Be6ltMfljMDqzOkQmI/edit#gid=1381463014"",""Lookup!A:D""),2,FALSE),"""")"),"No Transit, But 120 At Factory 50-75 days from Earliest Arrival")</f>
        <v>No Transit, But 120 At Factory 50-75 days from Earliest Arrival</v>
      </c>
      <c r="W32" s="30">
        <v>2</v>
      </c>
      <c r="X32" s="24">
        <f t="shared" si="9"/>
        <v>0.4</v>
      </c>
      <c r="Y32" s="25">
        <f t="shared" si="10"/>
        <v>7.2675000000000001</v>
      </c>
      <c r="Z32" s="30">
        <v>2</v>
      </c>
      <c r="AA32" s="14" t="s">
        <v>35</v>
      </c>
      <c r="AB32" s="27">
        <f t="shared" si="11"/>
        <v>-0.69</v>
      </c>
      <c r="AC32" s="28">
        <v>0.44136361342592589</v>
      </c>
      <c r="AD32" s="25">
        <f t="shared" si="12"/>
        <v>-3.0454089326388885</v>
      </c>
      <c r="AE32" s="25">
        <v>-9.2799999999999994</v>
      </c>
      <c r="AF32" s="25">
        <v>-47.948527830000003</v>
      </c>
      <c r="AG32" s="25">
        <v>0</v>
      </c>
    </row>
    <row r="33" spans="1:33" ht="15.75" customHeight="1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16"/>
      <c r="S33" s="21"/>
      <c r="T33" s="31"/>
      <c r="U33" s="36"/>
      <c r="V33" s="1"/>
      <c r="W33" s="31"/>
      <c r="X33" s="31"/>
      <c r="Y33" s="31"/>
      <c r="Z33" s="31"/>
      <c r="AA33" s="2"/>
      <c r="AB33" s="31"/>
      <c r="AC33" s="31"/>
      <c r="AD33" s="31"/>
      <c r="AE33" s="37"/>
      <c r="AF33" s="37"/>
      <c r="AG33" s="37"/>
    </row>
    <row r="34" spans="1:33" ht="15.75" customHeight="1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6"/>
      <c r="V34" s="1"/>
      <c r="W34" s="31"/>
      <c r="X34" s="31"/>
      <c r="Y34" s="31"/>
      <c r="Z34" s="31"/>
      <c r="AA34" s="2"/>
      <c r="AB34" s="31"/>
      <c r="AC34" s="31"/>
      <c r="AD34" s="31"/>
      <c r="AE34" s="37"/>
      <c r="AF34" s="37"/>
      <c r="AG34" s="37"/>
    </row>
    <row r="35" spans="1:33" ht="15.75" customHeight="1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6"/>
      <c r="V35" s="1"/>
      <c r="W35" s="31"/>
      <c r="X35" s="31"/>
      <c r="Y35" s="31"/>
      <c r="Z35" s="31"/>
      <c r="AA35" s="2"/>
      <c r="AB35" s="31"/>
      <c r="AC35" s="31"/>
      <c r="AD35" s="31"/>
      <c r="AE35" s="37"/>
      <c r="AF35" s="37"/>
      <c r="AG35" s="37"/>
    </row>
    <row r="36" spans="1:33" ht="15.75" customHeight="1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6"/>
      <c r="V36" s="1"/>
      <c r="W36" s="31"/>
      <c r="X36" s="31"/>
      <c r="Y36" s="31"/>
      <c r="Z36" s="31"/>
      <c r="AA36" s="2"/>
      <c r="AB36" s="31"/>
      <c r="AC36" s="31"/>
      <c r="AD36" s="31"/>
      <c r="AE36" s="37"/>
      <c r="AF36" s="37"/>
      <c r="AG36" s="37"/>
    </row>
    <row r="37" spans="1:33" ht="15.75" customHeight="1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6"/>
      <c r="V37" s="1"/>
      <c r="W37" s="31"/>
      <c r="X37" s="31"/>
      <c r="Y37" s="31"/>
      <c r="Z37" s="31"/>
      <c r="AA37" s="2"/>
      <c r="AB37" s="31"/>
      <c r="AC37" s="31"/>
      <c r="AD37" s="31"/>
      <c r="AE37" s="37"/>
      <c r="AF37" s="37"/>
      <c r="AG37" s="37"/>
    </row>
    <row r="38" spans="1:33" ht="15.75" customHeight="1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6"/>
      <c r="V38" s="1"/>
      <c r="W38" s="31"/>
      <c r="X38" s="31"/>
      <c r="Y38" s="31"/>
      <c r="Z38" s="31"/>
      <c r="AA38" s="2"/>
      <c r="AB38" s="31"/>
      <c r="AC38" s="31"/>
      <c r="AD38" s="31"/>
      <c r="AE38" s="37"/>
      <c r="AF38" s="37"/>
      <c r="AG38" s="37"/>
    </row>
    <row r="39" spans="1:33" ht="15.75" customHeight="1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6"/>
      <c r="V39" s="1"/>
      <c r="W39" s="31"/>
      <c r="X39" s="31"/>
      <c r="Y39" s="31"/>
      <c r="Z39" s="31"/>
      <c r="AA39" s="2"/>
      <c r="AB39" s="31"/>
      <c r="AC39" s="31"/>
      <c r="AD39" s="31"/>
      <c r="AE39" s="37"/>
      <c r="AF39" s="37"/>
      <c r="AG39" s="37"/>
    </row>
    <row r="40" spans="1:33" ht="15.75" customHeight="1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6"/>
      <c r="V40" s="1"/>
      <c r="W40" s="31"/>
      <c r="X40" s="31"/>
      <c r="Y40" s="31"/>
      <c r="Z40" s="31"/>
      <c r="AA40" s="2"/>
      <c r="AB40" s="31"/>
      <c r="AC40" s="31"/>
      <c r="AD40" s="31"/>
      <c r="AE40" s="37"/>
      <c r="AF40" s="37"/>
      <c r="AG40" s="37"/>
    </row>
    <row r="41" spans="1:33" ht="15.75" customHeight="1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6"/>
      <c r="V41" s="1"/>
      <c r="W41" s="31"/>
      <c r="X41" s="31"/>
      <c r="Y41" s="31"/>
      <c r="Z41" s="31"/>
      <c r="AA41" s="2"/>
      <c r="AB41" s="31"/>
      <c r="AC41" s="31"/>
      <c r="AD41" s="31"/>
      <c r="AE41" s="37"/>
      <c r="AF41" s="37"/>
      <c r="AG41" s="37"/>
    </row>
    <row r="42" spans="1:33" ht="15.75" customHeight="1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6"/>
      <c r="V42" s="1"/>
      <c r="W42" s="31"/>
      <c r="X42" s="31"/>
      <c r="Y42" s="31"/>
      <c r="Z42" s="31"/>
      <c r="AA42" s="2"/>
      <c r="AB42" s="31"/>
      <c r="AC42" s="31"/>
      <c r="AD42" s="31"/>
      <c r="AE42" s="37"/>
      <c r="AF42" s="37"/>
      <c r="AG42" s="37"/>
    </row>
    <row r="43" spans="1:33" ht="15.75" customHeight="1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6"/>
      <c r="V43" s="1"/>
      <c r="W43" s="31"/>
      <c r="X43" s="31"/>
      <c r="Y43" s="31"/>
      <c r="Z43" s="31"/>
      <c r="AA43" s="2"/>
      <c r="AB43" s="31"/>
      <c r="AC43" s="31"/>
      <c r="AD43" s="31"/>
      <c r="AE43" s="37"/>
      <c r="AF43" s="37"/>
      <c r="AG43" s="37"/>
    </row>
    <row r="44" spans="1:33" ht="15.75" customHeight="1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6"/>
      <c r="V44" s="1"/>
      <c r="W44" s="31"/>
      <c r="X44" s="31"/>
      <c r="Y44" s="31"/>
      <c r="Z44" s="31"/>
      <c r="AA44" s="2"/>
      <c r="AB44" s="31"/>
      <c r="AC44" s="31"/>
      <c r="AD44" s="31"/>
      <c r="AE44" s="37"/>
      <c r="AF44" s="37"/>
      <c r="AG44" s="37"/>
    </row>
    <row r="45" spans="1:33" ht="15.75" customHeight="1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6"/>
      <c r="V45" s="1"/>
      <c r="W45" s="31"/>
      <c r="X45" s="31"/>
      <c r="Y45" s="31"/>
      <c r="Z45" s="31"/>
      <c r="AA45" s="2"/>
      <c r="AB45" s="31"/>
      <c r="AC45" s="31"/>
      <c r="AD45" s="31"/>
      <c r="AE45" s="37"/>
      <c r="AF45" s="37"/>
      <c r="AG45" s="37"/>
    </row>
    <row r="46" spans="1:33" ht="15.75" customHeight="1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6"/>
      <c r="V46" s="1"/>
      <c r="W46" s="31"/>
      <c r="X46" s="31"/>
      <c r="Y46" s="31"/>
      <c r="Z46" s="31"/>
      <c r="AA46" s="2"/>
      <c r="AB46" s="31"/>
      <c r="AC46" s="31"/>
      <c r="AD46" s="31"/>
      <c r="AE46" s="37"/>
      <c r="AF46" s="37"/>
      <c r="AG46" s="37"/>
    </row>
    <row r="47" spans="1:33" ht="15.75" customHeight="1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6"/>
      <c r="V47" s="1"/>
      <c r="W47" s="31"/>
      <c r="X47" s="31"/>
      <c r="Y47" s="31"/>
      <c r="Z47" s="31"/>
      <c r="AA47" s="2"/>
      <c r="AB47" s="31"/>
      <c r="AC47" s="31"/>
      <c r="AD47" s="31"/>
      <c r="AE47" s="37"/>
      <c r="AF47" s="37"/>
      <c r="AG47" s="37"/>
    </row>
    <row r="48" spans="1:33" ht="15.75" customHeight="1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6"/>
      <c r="V48" s="1"/>
      <c r="W48" s="31"/>
      <c r="X48" s="31"/>
      <c r="Y48" s="31"/>
      <c r="Z48" s="31"/>
      <c r="AA48" s="2"/>
      <c r="AB48" s="31"/>
      <c r="AC48" s="31"/>
      <c r="AD48" s="31"/>
      <c r="AE48" s="37"/>
      <c r="AF48" s="37"/>
      <c r="AG48" s="37"/>
    </row>
    <row r="49" spans="1:33" ht="15.75" customHeight="1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6"/>
      <c r="V49" s="1"/>
      <c r="W49" s="31"/>
      <c r="X49" s="31"/>
      <c r="Y49" s="31"/>
      <c r="Z49" s="31"/>
      <c r="AA49" s="2"/>
      <c r="AB49" s="31"/>
      <c r="AC49" s="31"/>
      <c r="AD49" s="31"/>
      <c r="AE49" s="37"/>
      <c r="AF49" s="37"/>
      <c r="AG49" s="37"/>
    </row>
    <row r="50" spans="1:33" ht="15.75" customHeight="1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6"/>
      <c r="V50" s="1"/>
      <c r="W50" s="31"/>
      <c r="X50" s="31"/>
      <c r="Y50" s="31"/>
      <c r="Z50" s="31"/>
      <c r="AA50" s="2"/>
      <c r="AB50" s="31"/>
      <c r="AC50" s="31"/>
      <c r="AD50" s="31"/>
      <c r="AE50" s="37"/>
      <c r="AF50" s="37"/>
      <c r="AG50" s="37"/>
    </row>
    <row r="51" spans="1:33" ht="15.75" customHeight="1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6"/>
      <c r="V51" s="1"/>
      <c r="W51" s="31"/>
      <c r="X51" s="31"/>
      <c r="Y51" s="31"/>
      <c r="Z51" s="31"/>
      <c r="AA51" s="2"/>
      <c r="AB51" s="31"/>
      <c r="AC51" s="31"/>
      <c r="AD51" s="31"/>
      <c r="AE51" s="37"/>
      <c r="AF51" s="37"/>
      <c r="AG51" s="37"/>
    </row>
    <row r="52" spans="1:33" ht="15.75" customHeight="1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6"/>
      <c r="V52" s="1"/>
      <c r="W52" s="31"/>
      <c r="X52" s="31"/>
      <c r="Y52" s="31"/>
      <c r="Z52" s="31"/>
      <c r="AA52" s="2"/>
      <c r="AB52" s="31"/>
      <c r="AC52" s="31"/>
      <c r="AD52" s="31"/>
      <c r="AE52" s="37"/>
      <c r="AF52" s="37"/>
      <c r="AG52" s="37"/>
    </row>
    <row r="53" spans="1:33" ht="15.75" customHeight="1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6"/>
      <c r="V53" s="1"/>
      <c r="W53" s="31"/>
      <c r="X53" s="31"/>
      <c r="Y53" s="31"/>
      <c r="Z53" s="31"/>
      <c r="AA53" s="2"/>
      <c r="AB53" s="31"/>
      <c r="AC53" s="31"/>
      <c r="AD53" s="31"/>
      <c r="AE53" s="37"/>
      <c r="AF53" s="37"/>
      <c r="AG53" s="37"/>
    </row>
    <row r="54" spans="1:33" ht="15.75" customHeight="1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6"/>
      <c r="V54" s="1"/>
      <c r="W54" s="31"/>
      <c r="X54" s="31"/>
      <c r="Y54" s="31"/>
      <c r="Z54" s="31"/>
      <c r="AA54" s="2"/>
      <c r="AB54" s="31"/>
      <c r="AC54" s="31"/>
      <c r="AD54" s="31"/>
      <c r="AE54" s="37"/>
      <c r="AF54" s="37"/>
      <c r="AG54" s="37"/>
    </row>
    <row r="55" spans="1:33" ht="15.75" customHeight="1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6"/>
      <c r="V55" s="1"/>
      <c r="W55" s="31"/>
      <c r="X55" s="31"/>
      <c r="Y55" s="31"/>
      <c r="Z55" s="31"/>
      <c r="AA55" s="2"/>
      <c r="AB55" s="31"/>
      <c r="AC55" s="31"/>
      <c r="AD55" s="31"/>
      <c r="AE55" s="37"/>
      <c r="AF55" s="37"/>
      <c r="AG55" s="37"/>
    </row>
    <row r="56" spans="1:33" ht="15.75" customHeight="1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6"/>
      <c r="V56" s="1"/>
      <c r="W56" s="31"/>
      <c r="X56" s="31"/>
      <c r="Y56" s="31"/>
      <c r="Z56" s="31"/>
      <c r="AA56" s="2"/>
      <c r="AB56" s="31"/>
      <c r="AC56" s="31"/>
      <c r="AD56" s="31"/>
      <c r="AE56" s="37"/>
      <c r="AF56" s="37"/>
      <c r="AG56" s="37"/>
    </row>
    <row r="57" spans="1:33" ht="15.75" customHeight="1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6"/>
      <c r="V57" s="1"/>
      <c r="W57" s="31"/>
      <c r="X57" s="31"/>
      <c r="Y57" s="31"/>
      <c r="Z57" s="31"/>
      <c r="AA57" s="2"/>
      <c r="AB57" s="31"/>
      <c r="AC57" s="31"/>
      <c r="AD57" s="31"/>
      <c r="AE57" s="37"/>
      <c r="AF57" s="37"/>
      <c r="AG57" s="37"/>
    </row>
    <row r="58" spans="1:33" ht="15.75" customHeight="1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6"/>
      <c r="V58" s="1"/>
      <c r="W58" s="31"/>
      <c r="X58" s="31"/>
      <c r="Y58" s="31"/>
      <c r="Z58" s="31"/>
      <c r="AA58" s="2"/>
      <c r="AB58" s="31"/>
      <c r="AC58" s="31"/>
      <c r="AD58" s="31"/>
      <c r="AE58" s="37"/>
      <c r="AF58" s="37"/>
      <c r="AG58" s="37"/>
    </row>
    <row r="59" spans="1:33" ht="15.75" customHeight="1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6"/>
      <c r="V59" s="1"/>
      <c r="W59" s="31"/>
      <c r="X59" s="31"/>
      <c r="Y59" s="31"/>
      <c r="Z59" s="31"/>
      <c r="AA59" s="2"/>
      <c r="AB59" s="31"/>
      <c r="AC59" s="31"/>
      <c r="AD59" s="31"/>
      <c r="AE59" s="37"/>
      <c r="AF59" s="37"/>
      <c r="AG59" s="37"/>
    </row>
    <row r="60" spans="1:33" ht="15.75" customHeight="1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6"/>
      <c r="V60" s="1"/>
      <c r="W60" s="31"/>
      <c r="X60" s="31"/>
      <c r="Y60" s="31"/>
      <c r="Z60" s="31"/>
      <c r="AA60" s="2"/>
      <c r="AB60" s="31"/>
      <c r="AC60" s="31"/>
      <c r="AD60" s="31"/>
      <c r="AE60" s="37"/>
      <c r="AF60" s="37"/>
      <c r="AG60" s="37"/>
    </row>
    <row r="61" spans="1:33" ht="15.75" customHeight="1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6"/>
      <c r="V61" s="1"/>
      <c r="W61" s="31"/>
      <c r="X61" s="31"/>
      <c r="Y61" s="31"/>
      <c r="Z61" s="31"/>
      <c r="AA61" s="2"/>
      <c r="AB61" s="31"/>
      <c r="AC61" s="31"/>
      <c r="AD61" s="31"/>
      <c r="AE61" s="37"/>
      <c r="AF61" s="37"/>
      <c r="AG61" s="37"/>
    </row>
    <row r="62" spans="1:33" ht="15.75" customHeight="1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6"/>
      <c r="V62" s="1"/>
      <c r="W62" s="31"/>
      <c r="X62" s="31"/>
      <c r="Y62" s="31"/>
      <c r="Z62" s="31"/>
      <c r="AA62" s="2"/>
      <c r="AB62" s="31"/>
      <c r="AC62" s="31"/>
      <c r="AD62" s="31"/>
      <c r="AE62" s="37"/>
      <c r="AF62" s="37"/>
      <c r="AG62" s="37"/>
    </row>
    <row r="63" spans="1:33" ht="15.75" customHeight="1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6"/>
      <c r="V63" s="1"/>
      <c r="W63" s="31"/>
      <c r="X63" s="31"/>
      <c r="Y63" s="31"/>
      <c r="Z63" s="31"/>
      <c r="AA63" s="2"/>
      <c r="AB63" s="31"/>
      <c r="AC63" s="31"/>
      <c r="AD63" s="31"/>
      <c r="AE63" s="37"/>
      <c r="AF63" s="37"/>
      <c r="AG63" s="37"/>
    </row>
    <row r="64" spans="1:33" ht="15.75" customHeight="1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6"/>
      <c r="V64" s="1"/>
      <c r="W64" s="31"/>
      <c r="X64" s="31"/>
      <c r="Y64" s="31"/>
      <c r="Z64" s="31"/>
      <c r="AA64" s="2"/>
      <c r="AB64" s="31"/>
      <c r="AC64" s="31"/>
      <c r="AD64" s="31"/>
      <c r="AE64" s="37"/>
      <c r="AF64" s="37"/>
      <c r="AG64" s="37"/>
    </row>
    <row r="65" spans="1:33" ht="15.75" customHeight="1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6"/>
      <c r="V65" s="1"/>
      <c r="W65" s="31"/>
      <c r="X65" s="31"/>
      <c r="Y65" s="31"/>
      <c r="Z65" s="31"/>
      <c r="AA65" s="2"/>
      <c r="AB65" s="31"/>
      <c r="AC65" s="31"/>
      <c r="AD65" s="31"/>
      <c r="AE65" s="37"/>
      <c r="AF65" s="37"/>
      <c r="AG65" s="37"/>
    </row>
    <row r="66" spans="1:33" ht="15.75" customHeight="1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6"/>
      <c r="V66" s="1"/>
      <c r="W66" s="31"/>
      <c r="X66" s="31"/>
      <c r="Y66" s="31"/>
      <c r="Z66" s="31"/>
      <c r="AA66" s="2"/>
      <c r="AB66" s="31"/>
      <c r="AC66" s="31"/>
      <c r="AD66" s="31"/>
      <c r="AE66" s="37"/>
      <c r="AF66" s="37"/>
      <c r="AG66" s="37"/>
    </row>
    <row r="67" spans="1:33" ht="15.75" customHeight="1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6"/>
      <c r="V67" s="1"/>
      <c r="W67" s="31"/>
      <c r="X67" s="31"/>
      <c r="Y67" s="31"/>
      <c r="Z67" s="31"/>
      <c r="AA67" s="2"/>
      <c r="AB67" s="31"/>
      <c r="AC67" s="31"/>
      <c r="AD67" s="31"/>
      <c r="AE67" s="37"/>
      <c r="AF67" s="37"/>
      <c r="AG67" s="37"/>
    </row>
    <row r="68" spans="1:33" ht="15.75" customHeight="1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6"/>
      <c r="V68" s="1"/>
      <c r="W68" s="31"/>
      <c r="X68" s="31"/>
      <c r="Y68" s="31"/>
      <c r="Z68" s="31"/>
      <c r="AA68" s="2"/>
      <c r="AB68" s="31"/>
      <c r="AC68" s="31"/>
      <c r="AD68" s="31"/>
      <c r="AE68" s="37"/>
      <c r="AF68" s="37"/>
      <c r="AG68" s="37"/>
    </row>
    <row r="69" spans="1:33" ht="15.75" customHeight="1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6"/>
      <c r="V69" s="1"/>
      <c r="W69" s="31"/>
      <c r="X69" s="31"/>
      <c r="Y69" s="31"/>
      <c r="Z69" s="31"/>
      <c r="AA69" s="2"/>
      <c r="AB69" s="31"/>
      <c r="AC69" s="31"/>
      <c r="AD69" s="31"/>
      <c r="AE69" s="37"/>
      <c r="AF69" s="37"/>
      <c r="AG69" s="37"/>
    </row>
    <row r="70" spans="1:33" ht="15.75" customHeight="1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6"/>
      <c r="V70" s="1"/>
      <c r="W70" s="31"/>
      <c r="X70" s="31"/>
      <c r="Y70" s="31"/>
      <c r="Z70" s="31"/>
      <c r="AA70" s="2"/>
      <c r="AB70" s="31"/>
      <c r="AC70" s="31"/>
      <c r="AD70" s="31"/>
      <c r="AE70" s="37"/>
      <c r="AF70" s="37"/>
      <c r="AG70" s="37"/>
    </row>
    <row r="71" spans="1:33" ht="15.75" customHeight="1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6"/>
      <c r="V71" s="1"/>
      <c r="W71" s="31"/>
      <c r="X71" s="31"/>
      <c r="Y71" s="31"/>
      <c r="Z71" s="31"/>
      <c r="AA71" s="2"/>
      <c r="AB71" s="31"/>
      <c r="AC71" s="31"/>
      <c r="AD71" s="31"/>
      <c r="AE71" s="37"/>
      <c r="AF71" s="37"/>
      <c r="AG71" s="37"/>
    </row>
    <row r="72" spans="1:33" ht="15.75" customHeight="1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6"/>
      <c r="V72" s="1"/>
      <c r="W72" s="31"/>
      <c r="X72" s="31"/>
      <c r="Y72" s="31"/>
      <c r="Z72" s="31"/>
      <c r="AA72" s="2"/>
      <c r="AB72" s="31"/>
      <c r="AC72" s="31"/>
      <c r="AD72" s="31"/>
      <c r="AE72" s="37"/>
      <c r="AF72" s="37"/>
      <c r="AG72" s="37"/>
    </row>
    <row r="73" spans="1:33" ht="15.75" customHeight="1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6"/>
      <c r="V73" s="1"/>
      <c r="W73" s="31"/>
      <c r="X73" s="31"/>
      <c r="Y73" s="31"/>
      <c r="Z73" s="31"/>
      <c r="AA73" s="2"/>
      <c r="AB73" s="31"/>
      <c r="AC73" s="31"/>
      <c r="AD73" s="31"/>
      <c r="AE73" s="37"/>
      <c r="AF73" s="37"/>
      <c r="AG73" s="37"/>
    </row>
    <row r="74" spans="1:33" ht="15.75" customHeight="1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6"/>
      <c r="V74" s="1"/>
      <c r="W74" s="31"/>
      <c r="X74" s="31"/>
      <c r="Y74" s="31"/>
      <c r="Z74" s="31"/>
      <c r="AA74" s="2"/>
      <c r="AB74" s="31"/>
      <c r="AC74" s="31"/>
      <c r="AD74" s="31"/>
      <c r="AE74" s="37"/>
      <c r="AF74" s="37"/>
      <c r="AG74" s="37"/>
    </row>
    <row r="75" spans="1:33" ht="15.75" customHeight="1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6"/>
      <c r="V75" s="1"/>
      <c r="W75" s="31"/>
      <c r="X75" s="31"/>
      <c r="Y75" s="31"/>
      <c r="Z75" s="31"/>
      <c r="AA75" s="2"/>
      <c r="AB75" s="31"/>
      <c r="AC75" s="31"/>
      <c r="AD75" s="31"/>
      <c r="AE75" s="37"/>
      <c r="AF75" s="37"/>
      <c r="AG75" s="37"/>
    </row>
    <row r="76" spans="1:33" ht="15.75" customHeight="1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6"/>
      <c r="V76" s="1"/>
      <c r="W76" s="31"/>
      <c r="X76" s="31"/>
      <c r="Y76" s="31"/>
      <c r="Z76" s="31"/>
      <c r="AA76" s="2"/>
      <c r="AB76" s="31"/>
      <c r="AC76" s="31"/>
      <c r="AD76" s="31"/>
      <c r="AE76" s="37"/>
      <c r="AF76" s="37"/>
      <c r="AG76" s="37"/>
    </row>
    <row r="77" spans="1:33" ht="15.75" customHeight="1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6"/>
      <c r="V77" s="1"/>
      <c r="W77" s="31"/>
      <c r="X77" s="31"/>
      <c r="Y77" s="31"/>
      <c r="Z77" s="31"/>
      <c r="AA77" s="2"/>
      <c r="AB77" s="31"/>
      <c r="AC77" s="31"/>
      <c r="AD77" s="31"/>
      <c r="AE77" s="37"/>
      <c r="AF77" s="37"/>
      <c r="AG77" s="37"/>
    </row>
    <row r="78" spans="1:33" ht="15.75" customHeight="1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6"/>
      <c r="V78" s="1"/>
      <c r="W78" s="31"/>
      <c r="X78" s="31"/>
      <c r="Y78" s="31"/>
      <c r="Z78" s="31"/>
      <c r="AA78" s="2"/>
      <c r="AB78" s="31"/>
      <c r="AC78" s="31"/>
      <c r="AD78" s="31"/>
      <c r="AE78" s="37"/>
      <c r="AF78" s="37"/>
      <c r="AG78" s="37"/>
    </row>
    <row r="79" spans="1:33" ht="15.75" customHeight="1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6"/>
      <c r="V79" s="1"/>
      <c r="W79" s="31"/>
      <c r="X79" s="31"/>
      <c r="Y79" s="31"/>
      <c r="Z79" s="31"/>
      <c r="AA79" s="2"/>
      <c r="AB79" s="31"/>
      <c r="AC79" s="31"/>
      <c r="AD79" s="31"/>
      <c r="AE79" s="37"/>
      <c r="AF79" s="37"/>
      <c r="AG79" s="37"/>
    </row>
    <row r="80" spans="1:33" ht="15.75" customHeight="1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6"/>
      <c r="V80" s="1"/>
      <c r="W80" s="31"/>
      <c r="X80" s="31"/>
      <c r="Y80" s="31"/>
      <c r="Z80" s="31"/>
      <c r="AA80" s="2"/>
      <c r="AB80" s="31"/>
      <c r="AC80" s="31"/>
      <c r="AD80" s="31"/>
      <c r="AE80" s="37"/>
      <c r="AF80" s="37"/>
      <c r="AG80" s="37"/>
    </row>
    <row r="81" spans="1:33" ht="15.75" customHeight="1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6"/>
      <c r="V81" s="1"/>
      <c r="W81" s="31"/>
      <c r="X81" s="31"/>
      <c r="Y81" s="31"/>
      <c r="Z81" s="31"/>
      <c r="AA81" s="2"/>
      <c r="AB81" s="31"/>
      <c r="AC81" s="31"/>
      <c r="AD81" s="31"/>
      <c r="AE81" s="37"/>
      <c r="AF81" s="37"/>
      <c r="AG81" s="37"/>
    </row>
    <row r="82" spans="1:33" ht="15.75" customHeight="1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6"/>
      <c r="V82" s="1"/>
      <c r="W82" s="31"/>
      <c r="X82" s="31"/>
      <c r="Y82" s="31"/>
      <c r="Z82" s="31"/>
      <c r="AA82" s="2"/>
      <c r="AB82" s="31"/>
      <c r="AC82" s="31"/>
      <c r="AD82" s="31"/>
      <c r="AE82" s="37"/>
      <c r="AF82" s="37"/>
      <c r="AG82" s="37"/>
    </row>
    <row r="83" spans="1:33" ht="15.75" customHeight="1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6"/>
      <c r="V83" s="1"/>
      <c r="W83" s="31"/>
      <c r="X83" s="31"/>
      <c r="Y83" s="31"/>
      <c r="Z83" s="31"/>
      <c r="AA83" s="2"/>
      <c r="AB83" s="31"/>
      <c r="AC83" s="31"/>
      <c r="AD83" s="31"/>
      <c r="AE83" s="37"/>
      <c r="AF83" s="37"/>
      <c r="AG83" s="37"/>
    </row>
    <row r="84" spans="1:33" ht="15.75" customHeight="1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6"/>
      <c r="V84" s="1"/>
      <c r="W84" s="31"/>
      <c r="X84" s="31"/>
      <c r="Y84" s="31"/>
      <c r="Z84" s="31"/>
      <c r="AA84" s="2"/>
      <c r="AB84" s="31"/>
      <c r="AC84" s="31"/>
      <c r="AD84" s="31"/>
      <c r="AE84" s="37"/>
      <c r="AF84" s="37"/>
      <c r="AG84" s="37"/>
    </row>
    <row r="85" spans="1:33" ht="15.75" customHeight="1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6"/>
      <c r="V85" s="1"/>
      <c r="W85" s="31"/>
      <c r="X85" s="31"/>
      <c r="Y85" s="31"/>
      <c r="Z85" s="31"/>
      <c r="AA85" s="2"/>
      <c r="AB85" s="31"/>
      <c r="AC85" s="31"/>
      <c r="AD85" s="31"/>
      <c r="AE85" s="37"/>
      <c r="AF85" s="37"/>
      <c r="AG85" s="37"/>
    </row>
    <row r="86" spans="1:33" ht="15.75" customHeight="1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6"/>
      <c r="V86" s="1"/>
      <c r="W86" s="31"/>
      <c r="X86" s="31"/>
      <c r="Y86" s="31"/>
      <c r="Z86" s="31"/>
      <c r="AA86" s="2"/>
      <c r="AB86" s="31"/>
      <c r="AC86" s="31"/>
      <c r="AD86" s="31"/>
      <c r="AE86" s="37"/>
      <c r="AF86" s="37"/>
      <c r="AG86" s="37"/>
    </row>
    <row r="87" spans="1:33" ht="15.75" customHeight="1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6"/>
      <c r="V87" s="1"/>
      <c r="W87" s="31"/>
      <c r="X87" s="31"/>
      <c r="Y87" s="31"/>
      <c r="Z87" s="31"/>
      <c r="AA87" s="2"/>
      <c r="AB87" s="31"/>
      <c r="AC87" s="31"/>
      <c r="AD87" s="31"/>
      <c r="AE87" s="37"/>
      <c r="AF87" s="37"/>
      <c r="AG87" s="37"/>
    </row>
    <row r="88" spans="1:33" ht="15.75" customHeight="1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6"/>
      <c r="V88" s="1"/>
      <c r="W88" s="31"/>
      <c r="X88" s="31"/>
      <c r="Y88" s="31"/>
      <c r="Z88" s="31"/>
      <c r="AA88" s="2"/>
      <c r="AB88" s="31"/>
      <c r="AC88" s="31"/>
      <c r="AD88" s="31"/>
      <c r="AE88" s="37"/>
      <c r="AF88" s="37"/>
      <c r="AG88" s="37"/>
    </row>
    <row r="89" spans="1:33" ht="15.75" customHeight="1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6"/>
      <c r="V89" s="1"/>
      <c r="W89" s="31"/>
      <c r="X89" s="31"/>
      <c r="Y89" s="31"/>
      <c r="Z89" s="31"/>
      <c r="AA89" s="2"/>
      <c r="AB89" s="31"/>
      <c r="AC89" s="31"/>
      <c r="AD89" s="31"/>
      <c r="AE89" s="37"/>
      <c r="AF89" s="37"/>
      <c r="AG89" s="37"/>
    </row>
    <row r="90" spans="1:33" ht="15.75" customHeight="1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6"/>
      <c r="V90" s="1"/>
      <c r="W90" s="31"/>
      <c r="X90" s="31"/>
      <c r="Y90" s="31"/>
      <c r="Z90" s="31"/>
      <c r="AA90" s="2"/>
      <c r="AB90" s="31"/>
      <c r="AC90" s="31"/>
      <c r="AD90" s="31"/>
      <c r="AE90" s="37"/>
      <c r="AF90" s="37"/>
      <c r="AG90" s="37"/>
    </row>
    <row r="91" spans="1:33" ht="15.75" customHeight="1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6"/>
      <c r="V91" s="1"/>
      <c r="W91" s="31"/>
      <c r="X91" s="31"/>
      <c r="Y91" s="31"/>
      <c r="Z91" s="31"/>
      <c r="AA91" s="2"/>
      <c r="AB91" s="31"/>
      <c r="AC91" s="31"/>
      <c r="AD91" s="31"/>
      <c r="AE91" s="37"/>
      <c r="AF91" s="37"/>
      <c r="AG91" s="37"/>
    </row>
    <row r="92" spans="1:33" ht="15.75" customHeight="1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6"/>
      <c r="V92" s="1"/>
      <c r="W92" s="31"/>
      <c r="X92" s="31"/>
      <c r="Y92" s="31"/>
      <c r="Z92" s="31"/>
      <c r="AA92" s="2"/>
      <c r="AB92" s="31"/>
      <c r="AC92" s="31"/>
      <c r="AD92" s="31"/>
      <c r="AE92" s="37"/>
      <c r="AF92" s="37"/>
      <c r="AG92" s="37"/>
    </row>
    <row r="93" spans="1:33" ht="15.75" customHeight="1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6"/>
      <c r="V93" s="1"/>
      <c r="W93" s="31"/>
      <c r="X93" s="31"/>
      <c r="Y93" s="31"/>
      <c r="Z93" s="31"/>
      <c r="AA93" s="2"/>
      <c r="AB93" s="31"/>
      <c r="AC93" s="31"/>
      <c r="AD93" s="31"/>
      <c r="AE93" s="37"/>
      <c r="AF93" s="37"/>
      <c r="AG93" s="37"/>
    </row>
    <row r="94" spans="1:33" ht="15.75" customHeight="1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6"/>
      <c r="V94" s="1"/>
      <c r="W94" s="31"/>
      <c r="X94" s="31"/>
      <c r="Y94" s="31"/>
      <c r="Z94" s="31"/>
      <c r="AA94" s="2"/>
      <c r="AB94" s="31"/>
      <c r="AC94" s="31"/>
      <c r="AD94" s="31"/>
      <c r="AE94" s="37"/>
      <c r="AF94" s="37"/>
      <c r="AG94" s="37"/>
    </row>
    <row r="95" spans="1:33" ht="15.75" customHeight="1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6"/>
      <c r="V95" s="1"/>
      <c r="W95" s="31"/>
      <c r="X95" s="31"/>
      <c r="Y95" s="31"/>
      <c r="Z95" s="31"/>
      <c r="AA95" s="2"/>
      <c r="AB95" s="31"/>
      <c r="AC95" s="31"/>
      <c r="AD95" s="31"/>
      <c r="AE95" s="37"/>
      <c r="AF95" s="37"/>
      <c r="AG95" s="37"/>
    </row>
    <row r="96" spans="1:33" ht="15.75" customHeight="1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6"/>
      <c r="V96" s="1"/>
      <c r="W96" s="31"/>
      <c r="X96" s="31"/>
      <c r="Y96" s="31"/>
      <c r="Z96" s="31"/>
      <c r="AA96" s="2"/>
      <c r="AB96" s="31"/>
      <c r="AC96" s="31"/>
      <c r="AD96" s="31"/>
      <c r="AE96" s="37"/>
      <c r="AF96" s="37"/>
      <c r="AG96" s="37"/>
    </row>
    <row r="97" spans="1:33" ht="15.75" customHeight="1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8"/>
      <c r="R97" s="38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8"/>
      <c r="R98" s="38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8"/>
      <c r="R99" s="38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8"/>
      <c r="R100" s="38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8"/>
      <c r="R101" s="38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8"/>
      <c r="R102" s="38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8"/>
      <c r="R103" s="38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8"/>
      <c r="R104" s="38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8"/>
      <c r="R105" s="38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8"/>
      <c r="R106" s="38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8"/>
      <c r="R107" s="38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8"/>
      <c r="R108" s="38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8"/>
      <c r="R109" s="38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8"/>
      <c r="R110" s="38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8"/>
      <c r="R111" s="38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8"/>
      <c r="R112" s="38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8"/>
      <c r="R113" s="38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8"/>
      <c r="R114" s="38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>
      <c r="A115" s="31"/>
      <c r="B115" s="31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>
      <c r="A116" s="31"/>
      <c r="B116" s="31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>
      <c r="A117" s="31"/>
      <c r="B117" s="31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>
      <c r="A118" s="31"/>
      <c r="B118" s="31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>
      <c r="A119" s="31"/>
      <c r="B119" s="31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>
      <c r="A120" s="31"/>
      <c r="B120" s="31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>
      <c r="A121" s="31"/>
      <c r="B121" s="31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>
      <c r="A122" s="31"/>
      <c r="B122" s="31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>
      <c r="A123" s="31"/>
      <c r="B123" s="31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>
      <c r="A124" s="31"/>
      <c r="B124" s="31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>
      <c r="A125" s="31"/>
      <c r="B125" s="31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>
      <c r="A126" s="31"/>
      <c r="B126" s="31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>
      <c r="A127" s="31"/>
      <c r="B127" s="31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>
      <c r="A128" s="31"/>
      <c r="B128" s="31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>
      <c r="A129" s="31"/>
      <c r="B129" s="31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>
      <c r="A130" s="31"/>
      <c r="B130" s="31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>
      <c r="A131" s="31"/>
      <c r="B131" s="31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>
      <c r="A132" s="31"/>
      <c r="B132" s="31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>
      <c r="A133" s="31"/>
      <c r="B133" s="31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>
      <c r="A134" s="31"/>
      <c r="B134" s="31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>
      <c r="A135" s="31"/>
      <c r="B135" s="31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>
      <c r="A136" s="31"/>
      <c r="B136" s="31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>
      <c r="A137" s="31"/>
      <c r="B137" s="31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>
      <c r="A138" s="31"/>
      <c r="B138" s="31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>
      <c r="A139" s="31"/>
      <c r="B139" s="31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>
      <c r="A140" s="31"/>
      <c r="B140" s="31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>
      <c r="A141" s="31"/>
      <c r="B141" s="31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2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>
      <c r="A142" s="31"/>
      <c r="B142" s="31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2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>
      <c r="A143" s="31"/>
      <c r="B143" s="31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2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>
      <c r="A144" s="31"/>
      <c r="B144" s="31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2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>
      <c r="A145" s="31"/>
      <c r="B145" s="31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2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>
      <c r="A146" s="31"/>
      <c r="B146" s="31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2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>
      <c r="A147" s="31"/>
      <c r="B147" s="31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2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>
      <c r="A148" s="31"/>
      <c r="B148" s="31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2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</row>
    <row r="149" spans="1:33" ht="15.75" customHeight="1">
      <c r="A149" s="14"/>
      <c r="B149" s="14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>
      <c r="A150" s="14"/>
      <c r="B150" s="14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>
      <c r="A151" s="14"/>
      <c r="B151" s="14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>
      <c r="A152" s="14"/>
      <c r="B152" s="14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>
      <c r="A153" s="14"/>
      <c r="B153" s="14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>
      <c r="A154" s="14"/>
      <c r="B154" s="14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>
      <c r="A155" s="14"/>
      <c r="B155" s="14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>
      <c r="A156" s="14"/>
      <c r="B156" s="14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>
      <c r="A157" s="14"/>
      <c r="B157" s="14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>
      <c r="A158" s="14"/>
      <c r="B158" s="14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>
      <c r="A159" s="14"/>
      <c r="B159" s="14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>
      <c r="A160" s="14"/>
      <c r="B160" s="14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>
      <c r="A161" s="14"/>
      <c r="B161" s="14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>
      <c r="A162" s="14"/>
      <c r="B162" s="14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>
      <c r="A163" s="14"/>
      <c r="B163" s="14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>
      <c r="A164" s="14"/>
      <c r="B164" s="14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>
      <c r="A165" s="14"/>
      <c r="B165" s="14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>
      <c r="A166" s="14"/>
      <c r="B166" s="14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>
      <c r="A167" s="14"/>
      <c r="B167" s="14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>
      <c r="A168" s="14"/>
      <c r="B168" s="14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>
      <c r="A169" s="14"/>
      <c r="B169" s="14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>
      <c r="A170" s="14"/>
      <c r="B170" s="14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>
      <c r="A171" s="14"/>
      <c r="B171" s="14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>
      <c r="A172" s="14"/>
      <c r="B172" s="14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>
      <c r="A173" s="14"/>
      <c r="B173" s="14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>
      <c r="A174" s="14"/>
      <c r="B174" s="14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>
      <c r="A175" s="14"/>
      <c r="B175" s="14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>
      <c r="A176" s="14"/>
      <c r="B176" s="14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>
      <c r="A177" s="14"/>
      <c r="B177" s="14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>
      <c r="A178" s="14"/>
      <c r="B178" s="14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>
      <c r="A179" s="14"/>
      <c r="B179" s="14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>
      <c r="A180" s="14"/>
      <c r="B180" s="14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>
      <c r="A181" s="14"/>
      <c r="B181" s="14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>
      <c r="A182" s="14"/>
      <c r="B182" s="14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>
      <c r="A183" s="14"/>
      <c r="B183" s="14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>
      <c r="A184" s="14"/>
      <c r="B184" s="14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>
      <c r="A185" s="14"/>
      <c r="B185" s="14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>
      <c r="A186" s="14"/>
      <c r="B186" s="14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>
      <c r="A187" s="14"/>
      <c r="B187" s="14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>
      <c r="A188" s="14"/>
      <c r="B188" s="14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>
      <c r="A189" s="14"/>
      <c r="B189" s="14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>
      <c r="A190" s="14"/>
      <c r="B190" s="14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>
      <c r="A191" s="14"/>
      <c r="B191" s="14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>
      <c r="A192" s="14"/>
      <c r="B192" s="14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>
      <c r="A193" s="14"/>
      <c r="B193" s="14"/>
      <c r="C193" s="39"/>
      <c r="D193" s="39"/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>
      <c r="A194" s="14"/>
      <c r="B194" s="14"/>
      <c r="C194" s="39"/>
      <c r="D194" s="39"/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>
      <c r="A195" s="14"/>
      <c r="B195" s="14"/>
      <c r="C195" s="39"/>
      <c r="D195" s="39"/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>
      <c r="A196" s="14"/>
      <c r="B196" s="14"/>
      <c r="C196" s="39"/>
      <c r="D196" s="39"/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>
      <c r="A197" s="14"/>
      <c r="B197" s="14"/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>
      <c r="A198" s="14"/>
      <c r="B198" s="14"/>
      <c r="C198" s="39"/>
      <c r="D198" s="39"/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>
      <c r="A199" s="14"/>
      <c r="B199" s="14"/>
      <c r="C199" s="39"/>
      <c r="D199" s="39"/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>
      <c r="A200" s="14"/>
      <c r="B200" s="14"/>
      <c r="C200" s="39"/>
      <c r="D200" s="39"/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>
      <c r="A201" s="14"/>
      <c r="B201" s="14"/>
      <c r="C201" s="39"/>
      <c r="D201" s="39"/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>
      <c r="A202" s="14"/>
      <c r="B202" s="14"/>
      <c r="C202" s="39"/>
      <c r="D202" s="39"/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>
      <c r="A203" s="14"/>
      <c r="B203" s="14"/>
      <c r="C203" s="39"/>
      <c r="D203" s="39"/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>
      <c r="A204" s="14"/>
      <c r="B204" s="14"/>
      <c r="C204" s="39"/>
      <c r="D204" s="39"/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>
      <c r="A205" s="14"/>
      <c r="B205" s="14"/>
      <c r="C205" s="39"/>
      <c r="D205" s="39"/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>
      <c r="A206" s="14"/>
      <c r="B206" s="14"/>
      <c r="C206" s="39"/>
      <c r="D206" s="39"/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>
      <c r="A207" s="14"/>
      <c r="B207" s="14"/>
      <c r="C207" s="39"/>
      <c r="D207" s="39"/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>
      <c r="A208" s="14"/>
      <c r="B208" s="14"/>
      <c r="C208" s="39"/>
      <c r="D208" s="39"/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>
      <c r="A209" s="14"/>
      <c r="B209" s="14"/>
      <c r="C209" s="39"/>
      <c r="D209" s="39"/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>
      <c r="A210" s="14"/>
      <c r="B210" s="14"/>
      <c r="C210" s="39"/>
      <c r="D210" s="39"/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>
      <c r="A211" s="14"/>
      <c r="B211" s="14"/>
      <c r="C211" s="39"/>
      <c r="D211" s="39"/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>
      <c r="A212" s="14"/>
      <c r="B212" s="14"/>
      <c r="C212" s="39"/>
      <c r="D212" s="39"/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>
      <c r="A213" s="14"/>
      <c r="B213" s="14"/>
      <c r="C213" s="39"/>
      <c r="D213" s="39"/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>
      <c r="A214" s="14"/>
      <c r="B214" s="14"/>
      <c r="C214" s="39"/>
      <c r="D214" s="39"/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>
      <c r="A215" s="14"/>
      <c r="B215" s="14"/>
      <c r="C215" s="39"/>
      <c r="D215" s="39"/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>
      <c r="A216" s="14"/>
      <c r="B216" s="14"/>
      <c r="C216" s="39"/>
      <c r="D216" s="39"/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>
      <c r="A217" s="14"/>
      <c r="B217" s="14"/>
      <c r="C217" s="39"/>
      <c r="D217" s="39"/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>
      <c r="A218" s="14"/>
      <c r="B218" s="14"/>
      <c r="C218" s="39"/>
      <c r="D218" s="39"/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>
      <c r="A219" s="14"/>
      <c r="B219" s="14"/>
      <c r="C219" s="39"/>
      <c r="D219" s="39"/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>
      <c r="A220" s="14"/>
      <c r="B220" s="14"/>
      <c r="C220" s="39"/>
      <c r="D220" s="39"/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>
      <c r="R221" s="30"/>
      <c r="S221" s="40"/>
    </row>
    <row r="222" spans="1:33" ht="15.75" customHeight="1">
      <c r="R222" s="30"/>
      <c r="S222" s="40"/>
    </row>
    <row r="223" spans="1:33" ht="15.75" customHeight="1">
      <c r="R223" s="30"/>
      <c r="S223" s="40"/>
    </row>
    <row r="224" spans="1:33" ht="15.75" customHeight="1">
      <c r="R224" s="30"/>
      <c r="S224" s="40"/>
    </row>
    <row r="225" spans="18:18" ht="15.75" customHeight="1">
      <c r="R225" s="30"/>
    </row>
    <row r="226" spans="18:18" ht="15.75" customHeight="1">
      <c r="R226" s="30"/>
    </row>
    <row r="227" spans="18:18" ht="15.75" customHeight="1">
      <c r="R227" s="30"/>
    </row>
    <row r="228" spans="18:18" ht="15.75" customHeight="1">
      <c r="R228" s="30"/>
    </row>
    <row r="229" spans="18:18" ht="15.75" customHeight="1">
      <c r="R229" s="30"/>
    </row>
    <row r="230" spans="18:18" ht="15.75" customHeight="1">
      <c r="R230" s="30"/>
    </row>
    <row r="231" spans="18:18" ht="15.75" customHeight="1">
      <c r="R231" s="30"/>
    </row>
    <row r="232" spans="18:18" ht="15.75" customHeight="1">
      <c r="R232" s="30"/>
    </row>
    <row r="233" spans="18:18" ht="15.75" customHeight="1">
      <c r="R233" s="30"/>
    </row>
    <row r="234" spans="18:18" ht="15.75" customHeight="1">
      <c r="R234" s="30"/>
    </row>
    <row r="235" spans="18:18" ht="15.75" customHeight="1">
      <c r="R235" s="30"/>
    </row>
    <row r="236" spans="18:18" ht="15.75" customHeight="1">
      <c r="R236" s="30"/>
    </row>
    <row r="237" spans="18:18" ht="15.75" customHeight="1">
      <c r="R237" s="30"/>
    </row>
    <row r="238" spans="18:18" ht="15.75" customHeight="1">
      <c r="R238" s="30"/>
    </row>
    <row r="239" spans="18:18" ht="15.75" customHeight="1">
      <c r="R239" s="30"/>
    </row>
    <row r="240" spans="18:18" ht="15.75" customHeight="1">
      <c r="R240" s="30"/>
    </row>
    <row r="241" spans="18:18" ht="15.75" customHeight="1">
      <c r="R241" s="30"/>
    </row>
    <row r="242" spans="18:18" ht="15.75" customHeight="1">
      <c r="R242" s="30"/>
    </row>
    <row r="243" spans="18:18" ht="15.75" customHeight="1">
      <c r="R243" s="30"/>
    </row>
    <row r="244" spans="18:18" ht="15.75" customHeight="1">
      <c r="R244" s="30"/>
    </row>
    <row r="245" spans="18:18" ht="15.75" customHeight="1">
      <c r="R245" s="30"/>
    </row>
    <row r="246" spans="18:18" ht="15.75" customHeight="1">
      <c r="R246" s="30"/>
    </row>
    <row r="247" spans="18:18" ht="15.75" customHeight="1">
      <c r="R247" s="30"/>
    </row>
    <row r="248" spans="18:18" ht="15.75" customHeight="1">
      <c r="R248" s="30"/>
    </row>
    <row r="249" spans="18:18" ht="15.75" customHeight="1">
      <c r="R249" s="30"/>
    </row>
    <row r="250" spans="18:18" ht="15.75" customHeight="1">
      <c r="R250" s="30"/>
    </row>
    <row r="251" spans="18:18" ht="15.75" customHeight="1">
      <c r="R251" s="30"/>
    </row>
    <row r="252" spans="18:18" ht="15.75" customHeight="1">
      <c r="R252" s="30"/>
    </row>
    <row r="253" spans="18:18" ht="15.75" customHeight="1">
      <c r="R253" s="30"/>
    </row>
    <row r="254" spans="18:18" ht="15.75" customHeight="1">
      <c r="R254" s="30"/>
    </row>
    <row r="255" spans="18:18" ht="15.75" customHeight="1">
      <c r="R255" s="30"/>
    </row>
    <row r="256" spans="18:18" ht="15.75" customHeight="1">
      <c r="R256" s="30"/>
    </row>
    <row r="257" spans="18:18" ht="15.75" customHeight="1">
      <c r="R257" s="30"/>
    </row>
    <row r="258" spans="18:18" ht="15.75" customHeight="1">
      <c r="R258" s="30"/>
    </row>
    <row r="259" spans="18:18" ht="15.75" customHeight="1">
      <c r="R259" s="30"/>
    </row>
    <row r="260" spans="18:18" ht="15.75" customHeight="1">
      <c r="R260" s="30"/>
    </row>
    <row r="261" spans="18:18" ht="15.75" customHeight="1">
      <c r="R261" s="30"/>
    </row>
    <row r="262" spans="18:18" ht="15.75" customHeight="1">
      <c r="R262" s="30"/>
    </row>
    <row r="263" spans="18:18" ht="15.75" customHeight="1">
      <c r="R263" s="30"/>
    </row>
    <row r="264" spans="18:18" ht="15.75" customHeight="1">
      <c r="R264" s="30"/>
    </row>
    <row r="265" spans="18:18" ht="15.75" customHeight="1">
      <c r="R265" s="30"/>
    </row>
    <row r="266" spans="18:18" ht="15.75" customHeight="1">
      <c r="R266" s="30"/>
    </row>
    <row r="267" spans="18:18" ht="15.75" customHeight="1">
      <c r="R267" s="30"/>
    </row>
    <row r="268" spans="18:18" ht="15.75" customHeight="1">
      <c r="R268" s="30"/>
    </row>
    <row r="269" spans="18:18" ht="15.75" customHeight="1">
      <c r="R269" s="30"/>
    </row>
    <row r="270" spans="18:18" ht="15.75" customHeight="1">
      <c r="R270" s="30"/>
    </row>
    <row r="271" spans="18:18" ht="15.75" customHeight="1">
      <c r="R271" s="30"/>
    </row>
    <row r="272" spans="18:18" ht="15.75" customHeight="1">
      <c r="R272" s="30"/>
    </row>
    <row r="273" spans="18:18" ht="15.75" customHeight="1">
      <c r="R273" s="30"/>
    </row>
    <row r="274" spans="18:18" ht="15.75" customHeight="1">
      <c r="R274" s="30"/>
    </row>
    <row r="275" spans="18:18" ht="15.75" customHeight="1">
      <c r="R275" s="30"/>
    </row>
    <row r="276" spans="18:18" ht="15.75" customHeight="1">
      <c r="R276" s="30"/>
    </row>
    <row r="277" spans="18:18" ht="15.75" customHeight="1">
      <c r="R277" s="30"/>
    </row>
    <row r="278" spans="18:18" ht="15.75" customHeight="1">
      <c r="R278" s="30"/>
    </row>
    <row r="279" spans="18:18" ht="15.75" customHeight="1">
      <c r="R279" s="30"/>
    </row>
    <row r="280" spans="18:18" ht="15.75" customHeight="1">
      <c r="R280" s="30"/>
    </row>
    <row r="281" spans="18:18" ht="15.75" customHeight="1">
      <c r="R281" s="30"/>
    </row>
    <row r="282" spans="18:18" ht="15.75" customHeight="1">
      <c r="R282" s="30"/>
    </row>
    <row r="283" spans="18:18" ht="15.75" customHeight="1">
      <c r="R283" s="30"/>
    </row>
    <row r="284" spans="18:18" ht="15.75" customHeight="1">
      <c r="R284" s="30"/>
    </row>
    <row r="285" spans="18:18" ht="15.75" customHeight="1">
      <c r="R285" s="30"/>
    </row>
    <row r="286" spans="18:18" ht="15.75" customHeight="1">
      <c r="R286" s="30"/>
    </row>
    <row r="287" spans="18:18" ht="15.75" customHeight="1">
      <c r="R287" s="30"/>
    </row>
    <row r="288" spans="18:18" ht="15.75" customHeight="1">
      <c r="R288" s="30"/>
    </row>
    <row r="289" spans="18:18" ht="15.75" customHeight="1">
      <c r="R289" s="30"/>
    </row>
    <row r="290" spans="18:18" ht="15.75" customHeight="1">
      <c r="R290" s="30"/>
    </row>
    <row r="291" spans="18:18" ht="15.75" customHeight="1">
      <c r="R291" s="30"/>
    </row>
    <row r="292" spans="18:18" ht="15.75" customHeight="1">
      <c r="R292" s="30"/>
    </row>
    <row r="293" spans="18:18" ht="15.75" customHeight="1">
      <c r="R293" s="30"/>
    </row>
    <row r="294" spans="18:18" ht="15.75" customHeight="1">
      <c r="R294" s="30"/>
    </row>
    <row r="295" spans="18:18" ht="15.75" customHeight="1">
      <c r="R295" s="30"/>
    </row>
    <row r="296" spans="18:18" ht="15.75" customHeight="1">
      <c r="R296" s="30"/>
    </row>
    <row r="297" spans="18:18" ht="15.75" customHeight="1">
      <c r="R297" s="30"/>
    </row>
    <row r="298" spans="18:18" ht="15.75" customHeight="1">
      <c r="R298" s="30"/>
    </row>
    <row r="299" spans="18:18" ht="15.75" customHeight="1">
      <c r="R299" s="30"/>
    </row>
    <row r="300" spans="18:18" ht="15.75" customHeight="1">
      <c r="R300" s="30"/>
    </row>
    <row r="301" spans="18:18" ht="15.75" customHeight="1">
      <c r="R301" s="30"/>
    </row>
    <row r="302" spans="18:18" ht="15.75" customHeight="1">
      <c r="R302" s="30"/>
    </row>
    <row r="303" spans="18:18" ht="15.75" customHeight="1">
      <c r="R303" s="30"/>
    </row>
    <row r="304" spans="18:18" ht="15.75" customHeight="1">
      <c r="R304" s="30"/>
    </row>
    <row r="305" spans="18:18" ht="15.75" customHeight="1">
      <c r="R305" s="30"/>
    </row>
    <row r="306" spans="18:18" ht="15.75" customHeight="1">
      <c r="R306" s="30"/>
    </row>
    <row r="307" spans="18:18" ht="15.75" customHeight="1">
      <c r="R307" s="30"/>
    </row>
    <row r="308" spans="18:18" ht="15.75" customHeight="1">
      <c r="R308" s="30"/>
    </row>
    <row r="309" spans="18:18" ht="15.75" customHeight="1">
      <c r="R309" s="30"/>
    </row>
    <row r="310" spans="18:18" ht="15.75" customHeight="1">
      <c r="R310" s="30"/>
    </row>
    <row r="311" spans="18:18" ht="15.75" customHeight="1">
      <c r="R311" s="30"/>
    </row>
    <row r="312" spans="18:18" ht="15.75" customHeight="1">
      <c r="R312" s="30"/>
    </row>
    <row r="313" spans="18:18" ht="15.75" customHeight="1">
      <c r="R313" s="30"/>
    </row>
    <row r="314" spans="18:18" ht="15.75" customHeight="1">
      <c r="R314" s="30"/>
    </row>
    <row r="315" spans="18:18" ht="15.75" customHeight="1">
      <c r="R315" s="30"/>
    </row>
    <row r="316" spans="18:18" ht="15.75" customHeight="1">
      <c r="R316" s="30"/>
    </row>
    <row r="317" spans="18:18" ht="15.75" customHeight="1">
      <c r="R317" s="30"/>
    </row>
    <row r="318" spans="18:18" ht="15.75" customHeight="1">
      <c r="R318" s="30"/>
    </row>
    <row r="319" spans="18:18" ht="15.75" customHeight="1">
      <c r="R319" s="30"/>
    </row>
    <row r="320" spans="18:18" ht="15.75" customHeight="1">
      <c r="R320" s="30"/>
    </row>
    <row r="321" spans="18:18" ht="15.75" customHeight="1">
      <c r="R321" s="30"/>
    </row>
    <row r="322" spans="18:18" ht="15.75" customHeight="1">
      <c r="R322" s="30"/>
    </row>
    <row r="323" spans="18:18" ht="15.75" customHeight="1">
      <c r="R323" s="30"/>
    </row>
    <row r="324" spans="18:18" ht="15.75" customHeight="1">
      <c r="R324" s="30"/>
    </row>
    <row r="325" spans="18:18" ht="15.75" customHeight="1">
      <c r="R325" s="30"/>
    </row>
    <row r="326" spans="18:18" ht="15.75" customHeight="1">
      <c r="R326" s="30"/>
    </row>
    <row r="327" spans="18:18" ht="15.75" customHeight="1">
      <c r="R327" s="30"/>
    </row>
    <row r="328" spans="18:18" ht="15.75" customHeight="1">
      <c r="R328" s="30"/>
    </row>
    <row r="329" spans="18:18" ht="15.75" customHeight="1">
      <c r="R329" s="30"/>
    </row>
    <row r="330" spans="18:18" ht="15.75" customHeight="1">
      <c r="R330" s="30"/>
    </row>
    <row r="331" spans="18:18" ht="15.75" customHeight="1">
      <c r="R331" s="30"/>
    </row>
    <row r="332" spans="18:18" ht="15.75" customHeight="1">
      <c r="R332" s="30"/>
    </row>
    <row r="333" spans="18:18" ht="15.75" customHeight="1">
      <c r="R333" s="30"/>
    </row>
    <row r="334" spans="18:18" ht="15.75" customHeight="1">
      <c r="R334" s="30"/>
    </row>
    <row r="335" spans="18:18" ht="15.75" customHeight="1">
      <c r="R335" s="30"/>
    </row>
    <row r="336" spans="18:18" ht="15.75" customHeight="1">
      <c r="R336" s="30"/>
    </row>
    <row r="337" spans="18:18" ht="15.75" customHeight="1">
      <c r="R337" s="30"/>
    </row>
    <row r="338" spans="18:18" ht="15.75" customHeight="1">
      <c r="R338" s="30"/>
    </row>
    <row r="339" spans="18:18" ht="15.75" customHeight="1">
      <c r="R339" s="30"/>
    </row>
    <row r="340" spans="18:18" ht="15.75" customHeight="1">
      <c r="R340" s="30"/>
    </row>
    <row r="341" spans="18:18" ht="15.75" customHeight="1">
      <c r="R341" s="30"/>
    </row>
    <row r="342" spans="18:18" ht="15.75" customHeight="1">
      <c r="R342" s="30"/>
    </row>
    <row r="343" spans="18:18" ht="15.75" customHeight="1">
      <c r="R343" s="30"/>
    </row>
    <row r="344" spans="18:18" ht="15.75" customHeight="1">
      <c r="R344" s="30"/>
    </row>
    <row r="345" spans="18:18" ht="15.75" customHeight="1">
      <c r="R345" s="30"/>
    </row>
    <row r="346" spans="18:18" ht="15.75" customHeight="1">
      <c r="R346" s="30"/>
    </row>
    <row r="347" spans="18:18" ht="15.75" customHeight="1">
      <c r="R347" s="30"/>
    </row>
    <row r="348" spans="18:18" ht="15.75" customHeight="1">
      <c r="R348" s="30"/>
    </row>
    <row r="349" spans="18:18" ht="15.75" customHeight="1">
      <c r="R349" s="30"/>
    </row>
    <row r="350" spans="18:18" ht="15.75" customHeight="1">
      <c r="R350" s="30"/>
    </row>
    <row r="351" spans="18:18" ht="15.75" customHeight="1">
      <c r="R351" s="30"/>
    </row>
    <row r="352" spans="18:18" ht="15.75" customHeight="1">
      <c r="R352" s="30"/>
    </row>
    <row r="353" spans="18:18" ht="15.75" customHeight="1">
      <c r="R353" s="30"/>
    </row>
    <row r="354" spans="18:18" ht="15.75" customHeight="1">
      <c r="R354" s="30"/>
    </row>
    <row r="355" spans="18:18" ht="15.75" customHeight="1">
      <c r="R355" s="30"/>
    </row>
    <row r="356" spans="18:18" ht="15.75" customHeight="1">
      <c r="R356" s="30"/>
    </row>
    <row r="357" spans="18:18" ht="15.75" customHeight="1">
      <c r="R357" s="30"/>
    </row>
    <row r="358" spans="18:18" ht="15.75" customHeight="1">
      <c r="R358" s="30"/>
    </row>
    <row r="359" spans="18:18" ht="15.75" customHeight="1">
      <c r="R359" s="30"/>
    </row>
    <row r="360" spans="18:18" ht="15.75" customHeight="1">
      <c r="R360" s="30"/>
    </row>
    <row r="361" spans="18:18" ht="15.75" customHeight="1">
      <c r="R361" s="30"/>
    </row>
    <row r="362" spans="18:18" ht="15.75" customHeight="1">
      <c r="R362" s="30"/>
    </row>
    <row r="363" spans="18:18" ht="15.75" customHeight="1">
      <c r="R363" s="30"/>
    </row>
    <row r="364" spans="18:18" ht="15.75" customHeight="1">
      <c r="R364" s="30"/>
    </row>
    <row r="365" spans="18:18" ht="15.75" customHeight="1">
      <c r="R365" s="30"/>
    </row>
    <row r="366" spans="18:18" ht="15.75" customHeight="1">
      <c r="R366" s="30"/>
    </row>
    <row r="367" spans="18:18" ht="15.75" customHeight="1">
      <c r="R367" s="30"/>
    </row>
    <row r="368" spans="18:18" ht="15.75" customHeight="1">
      <c r="R368" s="30"/>
    </row>
    <row r="369" spans="18:18" ht="15.75" customHeight="1">
      <c r="R369" s="30"/>
    </row>
    <row r="370" spans="18:18" ht="15.75" customHeight="1">
      <c r="R370" s="30"/>
    </row>
    <row r="371" spans="18:18" ht="15.75" customHeight="1">
      <c r="R371" s="30"/>
    </row>
    <row r="372" spans="18:18" ht="15.75" customHeight="1">
      <c r="R372" s="30"/>
    </row>
    <row r="373" spans="18:18" ht="15.75" customHeight="1">
      <c r="R373" s="30"/>
    </row>
    <row r="374" spans="18:18" ht="15.75" customHeight="1">
      <c r="R374" s="30"/>
    </row>
    <row r="375" spans="18:18" ht="15.75" customHeight="1">
      <c r="R375" s="30"/>
    </row>
    <row r="376" spans="18:18" ht="15.75" customHeight="1">
      <c r="R376" s="30"/>
    </row>
    <row r="377" spans="18:18" ht="15.75" customHeight="1">
      <c r="R377" s="30"/>
    </row>
    <row r="378" spans="18:18" ht="15.75" customHeight="1">
      <c r="R378" s="30"/>
    </row>
    <row r="379" spans="18:18" ht="15.75" customHeight="1">
      <c r="R379" s="30"/>
    </row>
    <row r="380" spans="18:18" ht="15.75" customHeight="1">
      <c r="R380" s="30"/>
    </row>
    <row r="381" spans="18:18" ht="15.75" customHeight="1">
      <c r="R381" s="30"/>
    </row>
    <row r="382" spans="18:18" ht="15.75" customHeight="1">
      <c r="R382" s="30"/>
    </row>
    <row r="383" spans="18:18" ht="15.75" customHeight="1">
      <c r="R383" s="30"/>
    </row>
    <row r="384" spans="18:18" ht="15.75" customHeight="1">
      <c r="R384" s="30"/>
    </row>
    <row r="385" spans="18:18" ht="15.75" customHeight="1">
      <c r="R385" s="30"/>
    </row>
    <row r="386" spans="18:18" ht="15.75" customHeight="1">
      <c r="R386" s="30"/>
    </row>
    <row r="387" spans="18:18" ht="15.75" customHeight="1">
      <c r="R387" s="30"/>
    </row>
    <row r="388" spans="18:18" ht="15.75" customHeight="1">
      <c r="R388" s="30"/>
    </row>
    <row r="389" spans="18:18" ht="15.75" customHeight="1">
      <c r="R389" s="30"/>
    </row>
    <row r="390" spans="18:18" ht="15.75" customHeight="1">
      <c r="R390" s="30"/>
    </row>
    <row r="391" spans="18:18" ht="15.75" customHeight="1">
      <c r="R391" s="30"/>
    </row>
    <row r="392" spans="18:18" ht="15.75" customHeight="1">
      <c r="R392" s="30"/>
    </row>
    <row r="393" spans="18:18" ht="15.75" customHeight="1">
      <c r="R393" s="30"/>
    </row>
    <row r="394" spans="18:18" ht="15.75" customHeight="1">
      <c r="R394" s="30"/>
    </row>
    <row r="395" spans="18:18" ht="15.75" customHeight="1">
      <c r="R395" s="30"/>
    </row>
    <row r="396" spans="18:18" ht="15.75" customHeight="1">
      <c r="R396" s="30"/>
    </row>
    <row r="397" spans="18:18" ht="15.75" customHeight="1">
      <c r="R397" s="30"/>
    </row>
    <row r="398" spans="18:18" ht="15.75" customHeight="1">
      <c r="R398" s="30"/>
    </row>
    <row r="399" spans="18:18" ht="15.75" customHeight="1">
      <c r="R399" s="30"/>
    </row>
    <row r="400" spans="18:18" ht="15.75" customHeight="1">
      <c r="R400" s="30"/>
    </row>
    <row r="401" spans="18:18" ht="15.75" customHeight="1">
      <c r="R401" s="30"/>
    </row>
    <row r="402" spans="18:18" ht="15.75" customHeight="1">
      <c r="R402" s="30"/>
    </row>
    <row r="403" spans="18:18" ht="15.75" customHeight="1">
      <c r="R403" s="30"/>
    </row>
    <row r="404" spans="18:18" ht="15.75" customHeight="1">
      <c r="R404" s="30"/>
    </row>
    <row r="405" spans="18:18" ht="15.75" customHeight="1">
      <c r="R405" s="30"/>
    </row>
    <row r="406" spans="18:18" ht="15.75" customHeight="1">
      <c r="R406" s="30"/>
    </row>
    <row r="407" spans="18:18" ht="15.75" customHeight="1">
      <c r="R407" s="30"/>
    </row>
    <row r="408" spans="18:18" ht="15.75" customHeight="1">
      <c r="R408" s="30"/>
    </row>
    <row r="409" spans="18:18" ht="15.75" customHeight="1">
      <c r="R409" s="30"/>
    </row>
    <row r="410" spans="18:18" ht="15.75" customHeight="1">
      <c r="R410" s="30"/>
    </row>
    <row r="411" spans="18:18" ht="15.75" customHeight="1">
      <c r="R411" s="30"/>
    </row>
    <row r="412" spans="18:18" ht="15.75" customHeight="1">
      <c r="R412" s="30"/>
    </row>
    <row r="413" spans="18:18" ht="15.75" customHeight="1">
      <c r="R413" s="30"/>
    </row>
    <row r="414" spans="18:18" ht="15.75" customHeight="1">
      <c r="R414" s="30"/>
    </row>
    <row r="415" spans="18:18" ht="15.75" customHeight="1">
      <c r="R415" s="30"/>
    </row>
    <row r="416" spans="18:18" ht="15.75" customHeight="1">
      <c r="R416" s="30"/>
    </row>
    <row r="417" spans="18:18" ht="15.75" customHeight="1">
      <c r="R417" s="30"/>
    </row>
    <row r="418" spans="18:18" ht="15.75" customHeight="1">
      <c r="R418" s="30"/>
    </row>
    <row r="419" spans="18:18" ht="15.75" customHeight="1">
      <c r="R419" s="30"/>
    </row>
    <row r="420" spans="18:18" ht="15.75" customHeight="1">
      <c r="R420" s="30"/>
    </row>
    <row r="421" spans="18:18" ht="15.75" customHeight="1">
      <c r="R421" s="30"/>
    </row>
    <row r="422" spans="18:18" ht="15.75" customHeight="1">
      <c r="R422" s="30"/>
    </row>
    <row r="423" spans="18:18" ht="15.75" customHeight="1">
      <c r="R423" s="30"/>
    </row>
    <row r="424" spans="18:18" ht="15.75" customHeight="1">
      <c r="R424" s="30"/>
    </row>
    <row r="425" spans="18:18" ht="15.75" customHeight="1">
      <c r="R425" s="30"/>
    </row>
    <row r="426" spans="18:18" ht="15.75" customHeight="1">
      <c r="R426" s="30"/>
    </row>
    <row r="427" spans="18:18" ht="15.75" customHeight="1">
      <c r="R427" s="30"/>
    </row>
    <row r="428" spans="18:18" ht="15.75" customHeight="1">
      <c r="R428" s="30"/>
    </row>
    <row r="429" spans="18:18" ht="15.75" customHeight="1">
      <c r="R429" s="30"/>
    </row>
    <row r="430" spans="18:18" ht="15.75" customHeight="1">
      <c r="R430" s="30"/>
    </row>
    <row r="431" spans="18:18" ht="15.75" customHeight="1">
      <c r="R431" s="30"/>
    </row>
    <row r="432" spans="18:18" ht="15.75" customHeight="1">
      <c r="R432" s="30"/>
    </row>
    <row r="433" spans="18:18" ht="15.75" customHeight="1">
      <c r="R433" s="30"/>
    </row>
    <row r="434" spans="18:18" ht="15.75" customHeight="1">
      <c r="R434" s="30"/>
    </row>
    <row r="435" spans="18:18" ht="15.75" customHeight="1">
      <c r="R435" s="30"/>
    </row>
    <row r="436" spans="18:18" ht="15.75" customHeight="1">
      <c r="R436" s="30"/>
    </row>
    <row r="437" spans="18:18" ht="15.75" customHeight="1">
      <c r="R437" s="30"/>
    </row>
    <row r="438" spans="18:18" ht="15.75" customHeight="1">
      <c r="R438" s="30"/>
    </row>
    <row r="439" spans="18:18" ht="15.75" customHeight="1">
      <c r="R439" s="30"/>
    </row>
    <row r="440" spans="18:18" ht="15.75" customHeight="1">
      <c r="R440" s="30"/>
    </row>
    <row r="441" spans="18:18" ht="15.75" customHeight="1">
      <c r="R441" s="30"/>
    </row>
    <row r="442" spans="18:18" ht="15.75" customHeight="1">
      <c r="R442" s="30"/>
    </row>
    <row r="443" spans="18:18" ht="15.75" customHeight="1">
      <c r="R443" s="30"/>
    </row>
    <row r="444" spans="18:18" ht="15.75" customHeight="1">
      <c r="R444" s="30"/>
    </row>
    <row r="445" spans="18:18" ht="15.75" customHeight="1">
      <c r="R445" s="30"/>
    </row>
    <row r="446" spans="18:18" ht="15.75" customHeight="1">
      <c r="R446" s="30"/>
    </row>
    <row r="447" spans="18:18" ht="15.75" customHeight="1">
      <c r="R447" s="30"/>
    </row>
    <row r="448" spans="18:18" ht="15.75" customHeight="1">
      <c r="R448" s="30"/>
    </row>
    <row r="449" spans="18:18" ht="15.75" customHeight="1">
      <c r="R449" s="30"/>
    </row>
    <row r="450" spans="18:18" ht="15.75" customHeight="1">
      <c r="R450" s="30"/>
    </row>
    <row r="451" spans="18:18" ht="15.75" customHeight="1">
      <c r="R451" s="30"/>
    </row>
    <row r="452" spans="18:18" ht="15.75" customHeight="1">
      <c r="R452" s="30"/>
    </row>
    <row r="453" spans="18:18" ht="15.75" customHeight="1">
      <c r="R453" s="30"/>
    </row>
    <row r="454" spans="18:18" ht="15.75" customHeight="1">
      <c r="R454" s="30"/>
    </row>
    <row r="455" spans="18:18" ht="15.75" customHeight="1">
      <c r="R455" s="30"/>
    </row>
    <row r="456" spans="18:18" ht="15.75" customHeight="1">
      <c r="R456" s="30"/>
    </row>
    <row r="457" spans="18:18" ht="15.75" customHeight="1">
      <c r="R457" s="30"/>
    </row>
    <row r="458" spans="18:18" ht="15.75" customHeight="1">
      <c r="R458" s="30"/>
    </row>
    <row r="459" spans="18:18" ht="15.75" customHeight="1">
      <c r="R459" s="30"/>
    </row>
    <row r="460" spans="18:18" ht="15.75" customHeight="1">
      <c r="R460" s="30"/>
    </row>
    <row r="461" spans="18:18" ht="15.75" customHeight="1">
      <c r="R461" s="30"/>
    </row>
    <row r="462" spans="18:18" ht="15.75" customHeight="1">
      <c r="R462" s="30"/>
    </row>
    <row r="463" spans="18:18" ht="15.75" customHeight="1">
      <c r="R463" s="30"/>
    </row>
    <row r="464" spans="18:18" ht="15.75" customHeight="1">
      <c r="R464" s="30"/>
    </row>
    <row r="465" spans="18:18" ht="15.75" customHeight="1">
      <c r="R465" s="30"/>
    </row>
    <row r="466" spans="18:18" ht="15.75" customHeight="1">
      <c r="R466" s="30"/>
    </row>
    <row r="467" spans="18:18" ht="15.75" customHeight="1">
      <c r="R467" s="30"/>
    </row>
    <row r="468" spans="18:18" ht="15.75" customHeight="1">
      <c r="R468" s="30"/>
    </row>
    <row r="469" spans="18:18" ht="15.75" customHeight="1">
      <c r="R469" s="30"/>
    </row>
    <row r="470" spans="18:18" ht="15.75" customHeight="1">
      <c r="R470" s="30"/>
    </row>
    <row r="471" spans="18:18" ht="15.75" customHeight="1">
      <c r="R471" s="30"/>
    </row>
    <row r="472" spans="18:18" ht="15.75" customHeight="1">
      <c r="R472" s="30"/>
    </row>
    <row r="473" spans="18:18" ht="15.75" customHeight="1">
      <c r="R473" s="30"/>
    </row>
    <row r="474" spans="18:18" ht="15.75" customHeight="1">
      <c r="R474" s="30"/>
    </row>
    <row r="475" spans="18:18" ht="15.75" customHeight="1">
      <c r="R475" s="30"/>
    </row>
    <row r="476" spans="18:18" ht="15.75" customHeight="1">
      <c r="R476" s="30"/>
    </row>
    <row r="477" spans="18:18" ht="15.75" customHeight="1">
      <c r="R477" s="30"/>
    </row>
    <row r="478" spans="18:18" ht="15.75" customHeight="1">
      <c r="R478" s="30"/>
    </row>
    <row r="479" spans="18:18" ht="15.75" customHeight="1">
      <c r="R479" s="30"/>
    </row>
    <row r="480" spans="18:18" ht="15.75" customHeight="1">
      <c r="R480" s="30"/>
    </row>
    <row r="481" spans="18:18" ht="15.75" customHeight="1">
      <c r="R481" s="30"/>
    </row>
    <row r="482" spans="18:18" ht="15.75" customHeight="1">
      <c r="R482" s="30"/>
    </row>
    <row r="483" spans="18:18" ht="15.75" customHeight="1">
      <c r="R483" s="30"/>
    </row>
    <row r="484" spans="18:18" ht="15.75" customHeight="1">
      <c r="R484" s="30"/>
    </row>
    <row r="485" spans="18:18" ht="15.75" customHeight="1">
      <c r="R485" s="30"/>
    </row>
    <row r="486" spans="18:18" ht="15.75" customHeight="1">
      <c r="R486" s="30"/>
    </row>
    <row r="487" spans="18:18" ht="15.75" customHeight="1">
      <c r="R487" s="30"/>
    </row>
    <row r="488" spans="18:18" ht="15.75" customHeight="1">
      <c r="R488" s="30"/>
    </row>
    <row r="489" spans="18:18" ht="15.75" customHeight="1">
      <c r="R489" s="30"/>
    </row>
    <row r="490" spans="18:18" ht="15.75" customHeight="1">
      <c r="R490" s="30"/>
    </row>
    <row r="491" spans="18:18" ht="15.75" customHeight="1">
      <c r="R491" s="30"/>
    </row>
    <row r="492" spans="18:18" ht="15.75" customHeight="1">
      <c r="R492" s="30"/>
    </row>
    <row r="493" spans="18:18" ht="15.75" customHeight="1">
      <c r="R493" s="30"/>
    </row>
    <row r="494" spans="18:18" ht="15.75" customHeight="1">
      <c r="R494" s="30"/>
    </row>
    <row r="495" spans="18:18" ht="15.75" customHeight="1">
      <c r="R495" s="30"/>
    </row>
    <row r="496" spans="18:18" ht="15.75" customHeight="1">
      <c r="R496" s="30"/>
    </row>
    <row r="497" spans="18:18" ht="15.75" customHeight="1">
      <c r="R497" s="30"/>
    </row>
    <row r="498" spans="18:18" ht="15.75" customHeight="1">
      <c r="R498" s="30"/>
    </row>
    <row r="499" spans="18:18" ht="15.75" customHeight="1">
      <c r="R499" s="30"/>
    </row>
    <row r="500" spans="18:18" ht="15.75" customHeight="1">
      <c r="R500" s="30"/>
    </row>
    <row r="501" spans="18:18" ht="15.75" customHeight="1">
      <c r="R501" s="30"/>
    </row>
    <row r="502" spans="18:18" ht="15.75" customHeight="1">
      <c r="R502" s="30"/>
    </row>
    <row r="503" spans="18:18" ht="15.75" customHeight="1">
      <c r="R503" s="30"/>
    </row>
    <row r="504" spans="18:18" ht="15.75" customHeight="1">
      <c r="R504" s="30"/>
    </row>
    <row r="505" spans="18:18" ht="15.75" customHeight="1">
      <c r="R505" s="30"/>
    </row>
    <row r="506" spans="18:18" ht="15.75" customHeight="1">
      <c r="R506" s="30"/>
    </row>
    <row r="507" spans="18:18" ht="15.75" customHeight="1">
      <c r="R507" s="30"/>
    </row>
    <row r="508" spans="18:18" ht="15.75" customHeight="1">
      <c r="R508" s="30"/>
    </row>
    <row r="509" spans="18:18" ht="15.75" customHeight="1">
      <c r="R509" s="30"/>
    </row>
    <row r="510" spans="18:18" ht="15.75" customHeight="1">
      <c r="R510" s="30"/>
    </row>
    <row r="511" spans="18:18" ht="15.75" customHeight="1">
      <c r="R511" s="30"/>
    </row>
    <row r="512" spans="18:18" ht="15.75" customHeight="1">
      <c r="R512" s="30"/>
    </row>
    <row r="513" spans="18:18" ht="15.75" customHeight="1">
      <c r="R513" s="30"/>
    </row>
    <row r="514" spans="18:18" ht="15.75" customHeight="1">
      <c r="R514" s="30"/>
    </row>
    <row r="515" spans="18:18" ht="15.75" customHeight="1">
      <c r="R515" s="30"/>
    </row>
    <row r="516" spans="18:18" ht="15.75" customHeight="1">
      <c r="R516" s="30"/>
    </row>
    <row r="517" spans="18:18" ht="15.75" customHeight="1">
      <c r="R517" s="30"/>
    </row>
    <row r="518" spans="18:18" ht="15.75" customHeight="1">
      <c r="R518" s="30"/>
    </row>
    <row r="519" spans="18:18" ht="15.75" customHeight="1">
      <c r="R519" s="30"/>
    </row>
    <row r="520" spans="18:18" ht="15.75" customHeight="1">
      <c r="R520" s="30"/>
    </row>
    <row r="521" spans="18:18" ht="15.75" customHeight="1">
      <c r="R521" s="30"/>
    </row>
    <row r="522" spans="18:18" ht="15.75" customHeight="1">
      <c r="R522" s="30"/>
    </row>
    <row r="523" spans="18:18" ht="15.75" customHeight="1">
      <c r="R523" s="30"/>
    </row>
    <row r="524" spans="18:18" ht="15.75" customHeight="1">
      <c r="R524" s="30"/>
    </row>
    <row r="525" spans="18:18" ht="15.75" customHeight="1">
      <c r="R525" s="30"/>
    </row>
    <row r="526" spans="18:18" ht="15.75" customHeight="1">
      <c r="R526" s="30"/>
    </row>
    <row r="527" spans="18:18" ht="15.75" customHeight="1">
      <c r="R527" s="30"/>
    </row>
    <row r="528" spans="18:18" ht="15.75" customHeight="1">
      <c r="R528" s="30"/>
    </row>
    <row r="529" spans="18:18" ht="15.75" customHeight="1">
      <c r="R529" s="30"/>
    </row>
    <row r="530" spans="18:18" ht="15.75" customHeight="1">
      <c r="R530" s="30"/>
    </row>
    <row r="531" spans="18:18" ht="15.75" customHeight="1">
      <c r="R531" s="30"/>
    </row>
    <row r="532" spans="18:18" ht="15.75" customHeight="1">
      <c r="R532" s="30"/>
    </row>
    <row r="533" spans="18:18" ht="15.75" customHeight="1">
      <c r="R533" s="30"/>
    </row>
    <row r="534" spans="18:18" ht="15.75" customHeight="1">
      <c r="R534" s="30"/>
    </row>
    <row r="535" spans="18:18" ht="15.75" customHeight="1">
      <c r="R535" s="30"/>
    </row>
    <row r="536" spans="18:18" ht="15.75" customHeight="1">
      <c r="R536" s="30"/>
    </row>
    <row r="537" spans="18:18" ht="15.75" customHeight="1">
      <c r="R537" s="30"/>
    </row>
    <row r="538" spans="18:18" ht="15.75" customHeight="1">
      <c r="R538" s="30"/>
    </row>
    <row r="539" spans="18:18" ht="15.75" customHeight="1">
      <c r="R539" s="30"/>
    </row>
    <row r="540" spans="18:18" ht="15.75" customHeight="1">
      <c r="R540" s="30"/>
    </row>
    <row r="541" spans="18:18" ht="15.75" customHeight="1">
      <c r="R541" s="30"/>
    </row>
    <row r="542" spans="18:18" ht="15.75" customHeight="1">
      <c r="R542" s="30"/>
    </row>
    <row r="543" spans="18:18" ht="15.75" customHeight="1">
      <c r="R543" s="30"/>
    </row>
    <row r="544" spans="18:18" ht="15.75" customHeight="1">
      <c r="R544" s="30"/>
    </row>
    <row r="545" spans="18:18" ht="15.75" customHeight="1">
      <c r="R545" s="30"/>
    </row>
    <row r="546" spans="18:18" ht="15.75" customHeight="1">
      <c r="R546" s="30"/>
    </row>
    <row r="547" spans="18:18" ht="15.75" customHeight="1">
      <c r="R547" s="30"/>
    </row>
    <row r="548" spans="18:18" ht="15.75" customHeight="1">
      <c r="R548" s="30"/>
    </row>
    <row r="549" spans="18:18" ht="15.75" customHeight="1">
      <c r="R549" s="30"/>
    </row>
    <row r="550" spans="18:18" ht="15.75" customHeight="1">
      <c r="R550" s="30"/>
    </row>
    <row r="551" spans="18:18" ht="15.75" customHeight="1">
      <c r="R551" s="30"/>
    </row>
    <row r="552" spans="18:18" ht="15.75" customHeight="1">
      <c r="R552" s="30"/>
    </row>
    <row r="553" spans="18:18" ht="15.75" customHeight="1">
      <c r="R553" s="30"/>
    </row>
    <row r="554" spans="18:18" ht="15.75" customHeight="1">
      <c r="R554" s="30"/>
    </row>
    <row r="555" spans="18:18" ht="15.75" customHeight="1">
      <c r="R555" s="30"/>
    </row>
    <row r="556" spans="18:18" ht="15.75" customHeight="1">
      <c r="R556" s="30"/>
    </row>
    <row r="557" spans="18:18" ht="15.75" customHeight="1">
      <c r="R557" s="30"/>
    </row>
    <row r="558" spans="18:18" ht="15.75" customHeight="1">
      <c r="R558" s="30"/>
    </row>
    <row r="559" spans="18:18" ht="15.75" customHeight="1">
      <c r="R559" s="30"/>
    </row>
    <row r="560" spans="18:18" ht="15.75" customHeight="1">
      <c r="R560" s="30"/>
    </row>
    <row r="561" spans="18:18" ht="15.75" customHeight="1">
      <c r="R561" s="30"/>
    </row>
    <row r="562" spans="18:18" ht="15.75" customHeight="1">
      <c r="R562" s="30"/>
    </row>
    <row r="563" spans="18:18" ht="15.75" customHeight="1">
      <c r="R563" s="30"/>
    </row>
    <row r="564" spans="18:18" ht="15.75" customHeight="1">
      <c r="R564" s="30"/>
    </row>
    <row r="565" spans="18:18" ht="15.75" customHeight="1">
      <c r="R565" s="30"/>
    </row>
    <row r="566" spans="18:18" ht="15.75" customHeight="1">
      <c r="R566" s="30"/>
    </row>
    <row r="567" spans="18:18" ht="15.75" customHeight="1">
      <c r="R567" s="30"/>
    </row>
    <row r="568" spans="18:18" ht="15.75" customHeight="1">
      <c r="R568" s="30"/>
    </row>
    <row r="569" spans="18:18" ht="15.75" customHeight="1">
      <c r="R569" s="30"/>
    </row>
    <row r="570" spans="18:18" ht="15.75" customHeight="1">
      <c r="R570" s="30"/>
    </row>
    <row r="571" spans="18:18" ht="15.75" customHeight="1">
      <c r="R571" s="30"/>
    </row>
    <row r="572" spans="18:18" ht="15.75" customHeight="1">
      <c r="R572" s="30"/>
    </row>
    <row r="573" spans="18:18" ht="15.75" customHeight="1">
      <c r="R573" s="30"/>
    </row>
    <row r="574" spans="18:18" ht="15.75" customHeight="1">
      <c r="R574" s="30"/>
    </row>
    <row r="575" spans="18:18" ht="15.75" customHeight="1">
      <c r="R575" s="30"/>
    </row>
    <row r="576" spans="18:18" ht="15.75" customHeight="1">
      <c r="R576" s="30"/>
    </row>
    <row r="577" spans="18:18" ht="15.75" customHeight="1">
      <c r="R577" s="30"/>
    </row>
    <row r="578" spans="18:18" ht="15.75" customHeight="1">
      <c r="R578" s="30"/>
    </row>
    <row r="579" spans="18:18" ht="15.75" customHeight="1">
      <c r="R579" s="30"/>
    </row>
    <row r="580" spans="18:18" ht="15.75" customHeight="1">
      <c r="R580" s="30"/>
    </row>
    <row r="581" spans="18:18" ht="15.75" customHeight="1">
      <c r="R581" s="30"/>
    </row>
    <row r="582" spans="18:18" ht="15.75" customHeight="1">
      <c r="R582" s="30"/>
    </row>
    <row r="583" spans="18:18" ht="15.75" customHeight="1">
      <c r="R583" s="30"/>
    </row>
    <row r="584" spans="18:18" ht="15.75" customHeight="1">
      <c r="R584" s="30"/>
    </row>
    <row r="585" spans="18:18" ht="15.75" customHeight="1">
      <c r="R585" s="30"/>
    </row>
    <row r="586" spans="18:18" ht="15.75" customHeight="1">
      <c r="R586" s="30"/>
    </row>
    <row r="587" spans="18:18" ht="15.75" customHeight="1">
      <c r="R587" s="30"/>
    </row>
    <row r="588" spans="18:18" ht="15.75" customHeight="1">
      <c r="R588" s="30"/>
    </row>
    <row r="589" spans="18:18" ht="15.75" customHeight="1">
      <c r="R589" s="30"/>
    </row>
    <row r="590" spans="18:18" ht="15.75" customHeight="1">
      <c r="R590" s="30"/>
    </row>
    <row r="591" spans="18:18" ht="15.75" customHeight="1">
      <c r="R591" s="30"/>
    </row>
    <row r="592" spans="18:18" ht="15.75" customHeight="1">
      <c r="R592" s="30"/>
    </row>
    <row r="593" spans="18:18" ht="15.75" customHeight="1">
      <c r="R593" s="30"/>
    </row>
    <row r="594" spans="18:18" ht="15.75" customHeight="1">
      <c r="R594" s="30"/>
    </row>
    <row r="595" spans="18:18" ht="15.75" customHeight="1">
      <c r="R595" s="30"/>
    </row>
    <row r="596" spans="18:18" ht="15.75" customHeight="1">
      <c r="R596" s="30"/>
    </row>
    <row r="597" spans="18:18" ht="15.75" customHeight="1">
      <c r="R597" s="30"/>
    </row>
    <row r="598" spans="18:18" ht="15.75" customHeight="1">
      <c r="R598" s="30"/>
    </row>
    <row r="599" spans="18:18" ht="15.75" customHeight="1">
      <c r="R599" s="30"/>
    </row>
    <row r="600" spans="18:18" ht="15.75" customHeight="1">
      <c r="R600" s="30"/>
    </row>
    <row r="601" spans="18:18" ht="15.75" customHeight="1">
      <c r="R601" s="30"/>
    </row>
    <row r="602" spans="18:18" ht="15.75" customHeight="1">
      <c r="R602" s="30"/>
    </row>
    <row r="603" spans="18:18" ht="15.75" customHeight="1">
      <c r="R603" s="30"/>
    </row>
    <row r="604" spans="18:18" ht="15.75" customHeight="1">
      <c r="R604" s="30"/>
    </row>
    <row r="605" spans="18:18" ht="15.75" customHeight="1">
      <c r="R605" s="30"/>
    </row>
    <row r="606" spans="18:18" ht="15.75" customHeight="1">
      <c r="R606" s="30"/>
    </row>
    <row r="607" spans="18:18" ht="15.75" customHeight="1">
      <c r="R607" s="30"/>
    </row>
    <row r="608" spans="18:18" ht="15.75" customHeight="1">
      <c r="R608" s="30"/>
    </row>
    <row r="609" spans="18:18" ht="15.75" customHeight="1">
      <c r="R609" s="30"/>
    </row>
    <row r="610" spans="18:18" ht="15.75" customHeight="1">
      <c r="R610" s="30"/>
    </row>
    <row r="611" spans="18:18" ht="15.75" customHeight="1">
      <c r="R611" s="30"/>
    </row>
    <row r="612" spans="18:18" ht="15.75" customHeight="1">
      <c r="R612" s="30"/>
    </row>
    <row r="613" spans="18:18" ht="15.75" customHeight="1">
      <c r="R613" s="30"/>
    </row>
    <row r="614" spans="18:18" ht="15.75" customHeight="1">
      <c r="R614" s="30"/>
    </row>
    <row r="615" spans="18:18" ht="15.75" customHeight="1">
      <c r="R615" s="30"/>
    </row>
    <row r="616" spans="18:18" ht="15.75" customHeight="1">
      <c r="R616" s="30"/>
    </row>
    <row r="617" spans="18:18" ht="15.75" customHeight="1">
      <c r="R617" s="30"/>
    </row>
    <row r="618" spans="18:18" ht="15.75" customHeight="1">
      <c r="R618" s="30"/>
    </row>
    <row r="619" spans="18:18" ht="15.75" customHeight="1">
      <c r="R619" s="30"/>
    </row>
    <row r="620" spans="18:18" ht="15.75" customHeight="1">
      <c r="R620" s="30"/>
    </row>
    <row r="621" spans="18:18" ht="15.75" customHeight="1">
      <c r="R621" s="30"/>
    </row>
    <row r="622" spans="18:18" ht="15.75" customHeight="1">
      <c r="R622" s="30"/>
    </row>
    <row r="623" spans="18:18" ht="15.75" customHeight="1">
      <c r="R623" s="30"/>
    </row>
    <row r="624" spans="18:18" ht="15.75" customHeight="1">
      <c r="R624" s="30"/>
    </row>
    <row r="625" spans="18:18" ht="15.75" customHeight="1">
      <c r="R625" s="30"/>
    </row>
    <row r="626" spans="18:18" ht="15.75" customHeight="1">
      <c r="R626" s="30"/>
    </row>
    <row r="627" spans="18:18" ht="15.75" customHeight="1">
      <c r="R627" s="30"/>
    </row>
    <row r="628" spans="18:18" ht="15.75" customHeight="1">
      <c r="R628" s="30"/>
    </row>
    <row r="629" spans="18:18" ht="15.75" customHeight="1">
      <c r="R629" s="30"/>
    </row>
    <row r="630" spans="18:18" ht="15.75" customHeight="1">
      <c r="R630" s="30"/>
    </row>
    <row r="631" spans="18:18" ht="15.75" customHeight="1">
      <c r="R631" s="30"/>
    </row>
    <row r="632" spans="18:18" ht="15.75" customHeight="1">
      <c r="R632" s="30"/>
    </row>
    <row r="633" spans="18:18" ht="15.75" customHeight="1">
      <c r="R633" s="30"/>
    </row>
    <row r="634" spans="18:18" ht="15.75" customHeight="1">
      <c r="R634" s="30"/>
    </row>
    <row r="635" spans="18:18" ht="15.75" customHeight="1">
      <c r="R635" s="30"/>
    </row>
    <row r="636" spans="18:18" ht="15.75" customHeight="1">
      <c r="R636" s="30"/>
    </row>
    <row r="637" spans="18:18" ht="15.75" customHeight="1">
      <c r="R637" s="30"/>
    </row>
    <row r="638" spans="18:18" ht="15.75" customHeight="1">
      <c r="R638" s="30"/>
    </row>
    <row r="639" spans="18:18" ht="15.75" customHeight="1">
      <c r="R639" s="30"/>
    </row>
    <row r="640" spans="18:18" ht="15.75" customHeight="1">
      <c r="R640" s="30"/>
    </row>
    <row r="641" spans="18:18" ht="15.75" customHeight="1">
      <c r="R641" s="30"/>
    </row>
    <row r="642" spans="18:18" ht="15.75" customHeight="1">
      <c r="R642" s="30"/>
    </row>
    <row r="643" spans="18:18" ht="15.75" customHeight="1">
      <c r="R643" s="30"/>
    </row>
    <row r="644" spans="18:18" ht="15.75" customHeight="1">
      <c r="R644" s="30"/>
    </row>
    <row r="645" spans="18:18" ht="15.75" customHeight="1">
      <c r="R645" s="30"/>
    </row>
    <row r="646" spans="18:18" ht="15.75" customHeight="1">
      <c r="R646" s="30"/>
    </row>
    <row r="647" spans="18:18" ht="15.75" customHeight="1">
      <c r="R647" s="30"/>
    </row>
    <row r="648" spans="18:18" ht="15.75" customHeight="1">
      <c r="R648" s="30"/>
    </row>
    <row r="649" spans="18:18" ht="15.75" customHeight="1">
      <c r="R649" s="30"/>
    </row>
    <row r="650" spans="18:18" ht="15.75" customHeight="1">
      <c r="R650" s="30"/>
    </row>
    <row r="651" spans="18:18" ht="15.75" customHeight="1">
      <c r="R651" s="30"/>
    </row>
    <row r="652" spans="18:18" ht="15.75" customHeight="1">
      <c r="R652" s="30"/>
    </row>
    <row r="653" spans="18:18" ht="15.75" customHeight="1">
      <c r="R653" s="30"/>
    </row>
    <row r="654" spans="18:18" ht="15.75" customHeight="1">
      <c r="R654" s="30"/>
    </row>
    <row r="655" spans="18:18" ht="15.75" customHeight="1">
      <c r="R655" s="30"/>
    </row>
    <row r="656" spans="18:18" ht="15.75" customHeight="1">
      <c r="R656" s="30"/>
    </row>
    <row r="657" spans="18:18" ht="15.75" customHeight="1">
      <c r="R657" s="30"/>
    </row>
    <row r="658" spans="18:18" ht="15.75" customHeight="1">
      <c r="R658" s="30"/>
    </row>
    <row r="659" spans="18:18" ht="15.75" customHeight="1">
      <c r="R659" s="30"/>
    </row>
    <row r="660" spans="18:18" ht="15.75" customHeight="1">
      <c r="R660" s="30"/>
    </row>
    <row r="661" spans="18:18" ht="15.75" customHeight="1">
      <c r="R661" s="30"/>
    </row>
    <row r="662" spans="18:18" ht="15.75" customHeight="1">
      <c r="R662" s="30"/>
    </row>
    <row r="663" spans="18:18" ht="15.75" customHeight="1">
      <c r="R663" s="30"/>
    </row>
    <row r="664" spans="18:18" ht="15.75" customHeight="1">
      <c r="R664" s="30"/>
    </row>
    <row r="665" spans="18:18" ht="15.75" customHeight="1">
      <c r="R665" s="30"/>
    </row>
    <row r="666" spans="18:18" ht="15.75" customHeight="1">
      <c r="R666" s="30"/>
    </row>
    <row r="667" spans="18:18" ht="15.75" customHeight="1">
      <c r="R667" s="30"/>
    </row>
    <row r="668" spans="18:18" ht="15.75" customHeight="1">
      <c r="R668" s="30"/>
    </row>
    <row r="669" spans="18:18" ht="15.75" customHeight="1">
      <c r="R669" s="30"/>
    </row>
    <row r="670" spans="18:18" ht="15.75" customHeight="1">
      <c r="R670" s="30"/>
    </row>
    <row r="671" spans="18:18" ht="15.75" customHeight="1">
      <c r="R671" s="30"/>
    </row>
    <row r="672" spans="18:18" ht="15.75" customHeight="1">
      <c r="R672" s="30"/>
    </row>
    <row r="673" spans="18:18" ht="15.75" customHeight="1">
      <c r="R673" s="30"/>
    </row>
    <row r="674" spans="18:18" ht="15.75" customHeight="1">
      <c r="R674" s="30"/>
    </row>
    <row r="675" spans="18:18" ht="15.75" customHeight="1">
      <c r="R675" s="30"/>
    </row>
    <row r="676" spans="18:18" ht="15.75" customHeight="1">
      <c r="R676" s="30"/>
    </row>
    <row r="677" spans="18:18" ht="15.75" customHeight="1">
      <c r="R677" s="30"/>
    </row>
    <row r="678" spans="18:18" ht="15.75" customHeight="1">
      <c r="R678" s="30"/>
    </row>
    <row r="679" spans="18:18" ht="15.75" customHeight="1">
      <c r="R679" s="30"/>
    </row>
    <row r="680" spans="18:18" ht="15.75" customHeight="1">
      <c r="R680" s="30"/>
    </row>
    <row r="681" spans="18:18" ht="15.75" customHeight="1">
      <c r="R681" s="30"/>
    </row>
    <row r="682" spans="18:18" ht="15.75" customHeight="1">
      <c r="R682" s="30"/>
    </row>
    <row r="683" spans="18:18" ht="15.75" customHeight="1">
      <c r="R683" s="30"/>
    </row>
    <row r="684" spans="18:18" ht="15.75" customHeight="1">
      <c r="R684" s="30"/>
    </row>
    <row r="685" spans="18:18" ht="15.75" customHeight="1">
      <c r="R685" s="30"/>
    </row>
    <row r="686" spans="18:18" ht="15.75" customHeight="1">
      <c r="R686" s="30"/>
    </row>
    <row r="687" spans="18:18" ht="15.75" customHeight="1">
      <c r="R687" s="30"/>
    </row>
    <row r="688" spans="18:18" ht="15.75" customHeight="1">
      <c r="R688" s="30"/>
    </row>
    <row r="689" spans="18:18" ht="15.75" customHeight="1">
      <c r="R689" s="30"/>
    </row>
    <row r="690" spans="18:18" ht="15.75" customHeight="1">
      <c r="R690" s="30"/>
    </row>
    <row r="691" spans="18:18" ht="15.75" customHeight="1">
      <c r="R691" s="30"/>
    </row>
    <row r="692" spans="18:18" ht="15.75" customHeight="1">
      <c r="R692" s="30"/>
    </row>
    <row r="693" spans="18:18" ht="15.75" customHeight="1">
      <c r="R693" s="30"/>
    </row>
    <row r="694" spans="18:18" ht="15.75" customHeight="1">
      <c r="R694" s="30"/>
    </row>
    <row r="695" spans="18:18" ht="15.75" customHeight="1">
      <c r="R695" s="30"/>
    </row>
    <row r="696" spans="18:18" ht="15.75" customHeight="1">
      <c r="R696" s="30"/>
    </row>
    <row r="697" spans="18:18" ht="15.75" customHeight="1">
      <c r="R697" s="30"/>
    </row>
    <row r="698" spans="18:18" ht="15.75" customHeight="1">
      <c r="R698" s="30"/>
    </row>
    <row r="699" spans="18:18" ht="15.75" customHeight="1">
      <c r="R699" s="30"/>
    </row>
    <row r="700" spans="18:18" ht="15.75" customHeight="1">
      <c r="R700" s="30"/>
    </row>
    <row r="701" spans="18:18" ht="15.75" customHeight="1">
      <c r="R701" s="30"/>
    </row>
    <row r="702" spans="18:18" ht="15.75" customHeight="1">
      <c r="R702" s="30"/>
    </row>
    <row r="703" spans="18:18" ht="15.75" customHeight="1">
      <c r="R703" s="30"/>
    </row>
    <row r="704" spans="18:18" ht="15.75" customHeight="1">
      <c r="R704" s="30"/>
    </row>
    <row r="705" spans="18:18" ht="15.75" customHeight="1">
      <c r="R705" s="30"/>
    </row>
    <row r="706" spans="18:18" ht="15.75" customHeight="1">
      <c r="R706" s="30"/>
    </row>
    <row r="707" spans="18:18" ht="15.75" customHeight="1">
      <c r="R707" s="30"/>
    </row>
    <row r="708" spans="18:18" ht="15.75" customHeight="1">
      <c r="R708" s="30"/>
    </row>
    <row r="709" spans="18:18" ht="15.75" customHeight="1">
      <c r="R709" s="30"/>
    </row>
    <row r="710" spans="18:18" ht="15.75" customHeight="1">
      <c r="R710" s="30"/>
    </row>
    <row r="711" spans="18:18" ht="15.75" customHeight="1">
      <c r="R711" s="30"/>
    </row>
    <row r="712" spans="18:18" ht="15.75" customHeight="1">
      <c r="R712" s="30"/>
    </row>
    <row r="713" spans="18:18" ht="15.75" customHeight="1">
      <c r="R713" s="30"/>
    </row>
    <row r="714" spans="18:18" ht="15.75" customHeight="1">
      <c r="R714" s="30"/>
    </row>
    <row r="715" spans="18:18" ht="15.75" customHeight="1">
      <c r="R715" s="30"/>
    </row>
    <row r="716" spans="18:18" ht="15.75" customHeight="1">
      <c r="R716" s="30"/>
    </row>
    <row r="717" spans="18:18" ht="15.75" customHeight="1">
      <c r="R717" s="30"/>
    </row>
    <row r="718" spans="18:18" ht="15.75" customHeight="1">
      <c r="R718" s="30"/>
    </row>
    <row r="719" spans="18:18" ht="15.75" customHeight="1">
      <c r="R719" s="30"/>
    </row>
    <row r="720" spans="18:18" ht="15.75" customHeight="1">
      <c r="R720" s="30"/>
    </row>
    <row r="721" spans="18:18" ht="15.75" customHeight="1">
      <c r="R721" s="30"/>
    </row>
    <row r="722" spans="18:18" ht="15.75" customHeight="1">
      <c r="R722" s="30"/>
    </row>
    <row r="723" spans="18:18" ht="15.75" customHeight="1">
      <c r="R723" s="30"/>
    </row>
    <row r="724" spans="18:18" ht="15.75" customHeight="1">
      <c r="R724" s="30"/>
    </row>
    <row r="725" spans="18:18" ht="15.75" customHeight="1">
      <c r="R725" s="30"/>
    </row>
    <row r="726" spans="18:18" ht="15.75" customHeight="1">
      <c r="R726" s="30"/>
    </row>
    <row r="727" spans="18:18" ht="15.75" customHeight="1">
      <c r="R727" s="30"/>
    </row>
    <row r="728" spans="18:18" ht="15.75" customHeight="1">
      <c r="R728" s="30"/>
    </row>
    <row r="729" spans="18:18" ht="15.75" customHeight="1">
      <c r="R729" s="30"/>
    </row>
    <row r="730" spans="18:18" ht="15.75" customHeight="1">
      <c r="R730" s="30"/>
    </row>
    <row r="731" spans="18:18" ht="15.75" customHeight="1">
      <c r="R731" s="30"/>
    </row>
    <row r="732" spans="18:18" ht="15.75" customHeight="1">
      <c r="R732" s="30"/>
    </row>
    <row r="733" spans="18:18" ht="15.75" customHeight="1">
      <c r="R733" s="30"/>
    </row>
    <row r="734" spans="18:18" ht="15.75" customHeight="1">
      <c r="R734" s="30"/>
    </row>
    <row r="735" spans="18:18" ht="15.75" customHeight="1">
      <c r="R735" s="30"/>
    </row>
    <row r="736" spans="18:18" ht="15.75" customHeight="1">
      <c r="R736" s="30"/>
    </row>
    <row r="737" spans="18:18" ht="15.75" customHeight="1">
      <c r="R737" s="30"/>
    </row>
    <row r="738" spans="18:18" ht="15.75" customHeight="1">
      <c r="R738" s="30"/>
    </row>
    <row r="739" spans="18:18" ht="15.75" customHeight="1">
      <c r="R739" s="30"/>
    </row>
    <row r="740" spans="18:18" ht="15.75" customHeight="1">
      <c r="R740" s="30"/>
    </row>
    <row r="741" spans="18:18" ht="15.75" customHeight="1">
      <c r="R741" s="30"/>
    </row>
    <row r="742" spans="18:18" ht="15.75" customHeight="1">
      <c r="R742" s="30"/>
    </row>
    <row r="743" spans="18:18" ht="15.75" customHeight="1">
      <c r="R743" s="30"/>
    </row>
    <row r="744" spans="18:18" ht="15.75" customHeight="1">
      <c r="R744" s="30"/>
    </row>
    <row r="745" spans="18:18" ht="15.75" customHeight="1">
      <c r="R745" s="30"/>
    </row>
    <row r="746" spans="18:18" ht="15.75" customHeight="1">
      <c r="R746" s="30"/>
    </row>
    <row r="747" spans="18:18" ht="15.75" customHeight="1">
      <c r="R747" s="30"/>
    </row>
    <row r="748" spans="18:18" ht="15.75" customHeight="1">
      <c r="R748" s="30"/>
    </row>
    <row r="749" spans="18:18" ht="15.75" customHeight="1">
      <c r="R749" s="30"/>
    </row>
    <row r="750" spans="18:18" ht="15.75" customHeight="1">
      <c r="R750" s="30"/>
    </row>
    <row r="751" spans="18:18" ht="15.75" customHeight="1">
      <c r="R751" s="30"/>
    </row>
    <row r="752" spans="18:18" ht="15.75" customHeight="1">
      <c r="R752" s="30"/>
    </row>
    <row r="753" spans="18:18" ht="15.75" customHeight="1">
      <c r="R753" s="30"/>
    </row>
    <row r="754" spans="18:18" ht="15.75" customHeight="1">
      <c r="R754" s="30"/>
    </row>
    <row r="755" spans="18:18" ht="15.75" customHeight="1">
      <c r="R755" s="30"/>
    </row>
    <row r="756" spans="18:18" ht="15.75" customHeight="1">
      <c r="R756" s="30"/>
    </row>
    <row r="757" spans="18:18" ht="15.75" customHeight="1">
      <c r="R757" s="30"/>
    </row>
    <row r="758" spans="18:18" ht="15.75" customHeight="1">
      <c r="R758" s="30"/>
    </row>
    <row r="759" spans="18:18" ht="15.75" customHeight="1">
      <c r="R759" s="30"/>
    </row>
    <row r="760" spans="18:18" ht="15.75" customHeight="1">
      <c r="R760" s="30"/>
    </row>
    <row r="761" spans="18:18" ht="15.75" customHeight="1">
      <c r="R761" s="30"/>
    </row>
    <row r="762" spans="18:18" ht="15.75" customHeight="1">
      <c r="R762" s="30"/>
    </row>
    <row r="763" spans="18:18" ht="15.75" customHeight="1">
      <c r="R763" s="30"/>
    </row>
    <row r="764" spans="18:18" ht="15.75" customHeight="1">
      <c r="R764" s="30"/>
    </row>
    <row r="765" spans="18:18" ht="15.75" customHeight="1">
      <c r="R765" s="30"/>
    </row>
    <row r="766" spans="18:18" ht="15.75" customHeight="1">
      <c r="R766" s="30"/>
    </row>
    <row r="767" spans="18:18" ht="15.75" customHeight="1">
      <c r="R767" s="30"/>
    </row>
    <row r="768" spans="18:18" ht="15.75" customHeight="1">
      <c r="R768" s="30"/>
    </row>
    <row r="769" spans="18:18" ht="15.75" customHeight="1">
      <c r="R769" s="30"/>
    </row>
    <row r="770" spans="18:18" ht="15.75" customHeight="1">
      <c r="R770" s="30"/>
    </row>
    <row r="771" spans="18:18" ht="15.75" customHeight="1">
      <c r="R771" s="30"/>
    </row>
    <row r="772" spans="18:18" ht="15.75" customHeight="1">
      <c r="R772" s="30"/>
    </row>
    <row r="773" spans="18:18" ht="15.75" customHeight="1">
      <c r="R773" s="30"/>
    </row>
    <row r="774" spans="18:18" ht="15.75" customHeight="1">
      <c r="R774" s="30"/>
    </row>
    <row r="775" spans="18:18" ht="15.75" customHeight="1">
      <c r="R775" s="30"/>
    </row>
    <row r="776" spans="18:18" ht="15.75" customHeight="1">
      <c r="R776" s="30"/>
    </row>
    <row r="777" spans="18:18" ht="15.75" customHeight="1">
      <c r="R777" s="30"/>
    </row>
    <row r="778" spans="18:18" ht="15.75" customHeight="1">
      <c r="R778" s="30"/>
    </row>
    <row r="779" spans="18:18" ht="15.75" customHeight="1">
      <c r="R779" s="30"/>
    </row>
    <row r="780" spans="18:18" ht="15.75" customHeight="1">
      <c r="R780" s="30"/>
    </row>
    <row r="781" spans="18:18" ht="15.75" customHeight="1">
      <c r="R781" s="30"/>
    </row>
    <row r="782" spans="18:18" ht="15.75" customHeight="1">
      <c r="R782" s="30"/>
    </row>
    <row r="783" spans="18:18" ht="15.75" customHeight="1">
      <c r="R783" s="30"/>
    </row>
    <row r="784" spans="18:18" ht="15.75" customHeight="1">
      <c r="R784" s="30"/>
    </row>
    <row r="785" spans="18:18" ht="15.75" customHeight="1">
      <c r="R785" s="30"/>
    </row>
    <row r="786" spans="18:18" ht="15.75" customHeight="1">
      <c r="R786" s="30"/>
    </row>
    <row r="787" spans="18:18" ht="15.75" customHeight="1">
      <c r="R787" s="30"/>
    </row>
    <row r="788" spans="18:18" ht="15.75" customHeight="1">
      <c r="R788" s="30"/>
    </row>
    <row r="789" spans="18:18" ht="15.75" customHeight="1">
      <c r="R789" s="30"/>
    </row>
    <row r="790" spans="18:18" ht="15.75" customHeight="1">
      <c r="R790" s="30"/>
    </row>
    <row r="791" spans="18:18" ht="15.75" customHeight="1">
      <c r="R791" s="30"/>
    </row>
    <row r="792" spans="18:18" ht="15.75" customHeight="1">
      <c r="R792" s="30"/>
    </row>
    <row r="793" spans="18:18" ht="15.75" customHeight="1">
      <c r="R793" s="30"/>
    </row>
    <row r="794" spans="18:18" ht="15.75" customHeight="1">
      <c r="R794" s="30"/>
    </row>
    <row r="795" spans="18:18" ht="15.75" customHeight="1">
      <c r="R795" s="30"/>
    </row>
    <row r="796" spans="18:18" ht="15.75" customHeight="1">
      <c r="R796" s="30"/>
    </row>
    <row r="797" spans="18:18" ht="15.75" customHeight="1">
      <c r="R797" s="30"/>
    </row>
    <row r="798" spans="18:18" ht="15.75" customHeight="1">
      <c r="R798" s="30"/>
    </row>
    <row r="799" spans="18:18" ht="15.75" customHeight="1">
      <c r="R799" s="30"/>
    </row>
    <row r="800" spans="18:18" ht="15.75" customHeight="1">
      <c r="R800" s="30"/>
    </row>
    <row r="801" spans="18:18" ht="15.75" customHeight="1">
      <c r="R801" s="30"/>
    </row>
    <row r="802" spans="18:18" ht="15.75" customHeight="1">
      <c r="R802" s="30"/>
    </row>
    <row r="803" spans="18:18" ht="15.75" customHeight="1">
      <c r="R803" s="30"/>
    </row>
    <row r="804" spans="18:18" ht="15.75" customHeight="1">
      <c r="R804" s="30"/>
    </row>
    <row r="805" spans="18:18" ht="15.75" customHeight="1">
      <c r="R805" s="30"/>
    </row>
    <row r="806" spans="18:18" ht="15.75" customHeight="1">
      <c r="R806" s="30"/>
    </row>
    <row r="807" spans="18:18" ht="15.75" customHeight="1">
      <c r="R807" s="30"/>
    </row>
    <row r="808" spans="18:18" ht="15.75" customHeight="1">
      <c r="R808" s="30"/>
    </row>
    <row r="809" spans="18:18" ht="15.75" customHeight="1">
      <c r="R809" s="30"/>
    </row>
    <row r="810" spans="18:18" ht="15.75" customHeight="1">
      <c r="R810" s="30"/>
    </row>
    <row r="811" spans="18:18" ht="15.75" customHeight="1">
      <c r="R811" s="30"/>
    </row>
    <row r="812" spans="18:18" ht="15.75" customHeight="1">
      <c r="R812" s="30"/>
    </row>
    <row r="813" spans="18:18" ht="15.75" customHeight="1">
      <c r="R813" s="30"/>
    </row>
    <row r="814" spans="18:18" ht="15.75" customHeight="1">
      <c r="R814" s="30"/>
    </row>
    <row r="815" spans="18:18" ht="15.75" customHeight="1">
      <c r="R815" s="30"/>
    </row>
    <row r="816" spans="18:18" ht="15.75" customHeight="1">
      <c r="R816" s="30"/>
    </row>
    <row r="817" spans="18:18" ht="15.75" customHeight="1">
      <c r="R817" s="30"/>
    </row>
    <row r="818" spans="18:18" ht="15.75" customHeight="1">
      <c r="R818" s="30"/>
    </row>
    <row r="819" spans="18:18" ht="15.75" customHeight="1">
      <c r="R819" s="30"/>
    </row>
    <row r="820" spans="18:18" ht="15.75" customHeight="1">
      <c r="R820" s="30"/>
    </row>
    <row r="821" spans="18:18" ht="15.75" customHeight="1">
      <c r="R821" s="30"/>
    </row>
    <row r="822" spans="18:18" ht="15.75" customHeight="1">
      <c r="R822" s="30"/>
    </row>
    <row r="823" spans="18:18" ht="15.75" customHeight="1">
      <c r="R823" s="30"/>
    </row>
    <row r="824" spans="18:18" ht="15.75" customHeight="1">
      <c r="R824" s="30"/>
    </row>
    <row r="825" spans="18:18" ht="15.75" customHeight="1">
      <c r="R825" s="30"/>
    </row>
    <row r="826" spans="18:18" ht="15.75" customHeight="1">
      <c r="R826" s="30"/>
    </row>
    <row r="827" spans="18:18" ht="15.75" customHeight="1">
      <c r="R827" s="30"/>
    </row>
    <row r="828" spans="18:18" ht="15.75" customHeight="1">
      <c r="R828" s="30"/>
    </row>
    <row r="829" spans="18:18" ht="15.75" customHeight="1">
      <c r="R829" s="30"/>
    </row>
    <row r="830" spans="18:18" ht="15.75" customHeight="1">
      <c r="R830" s="30"/>
    </row>
    <row r="831" spans="18:18" ht="15.75" customHeight="1">
      <c r="R831" s="30"/>
    </row>
    <row r="832" spans="18:18" ht="15.75" customHeight="1">
      <c r="R832" s="30"/>
    </row>
    <row r="833" spans="18:18" ht="15.75" customHeight="1">
      <c r="R833" s="30"/>
    </row>
    <row r="834" spans="18:18" ht="15.75" customHeight="1">
      <c r="R834" s="30"/>
    </row>
    <row r="835" spans="18:18" ht="15.75" customHeight="1">
      <c r="R835" s="30"/>
    </row>
    <row r="836" spans="18:18" ht="15.75" customHeight="1">
      <c r="R836" s="30"/>
    </row>
    <row r="837" spans="18:18" ht="15.75" customHeight="1">
      <c r="R837" s="30"/>
    </row>
    <row r="838" spans="18:18" ht="15.75" customHeight="1">
      <c r="R838" s="30"/>
    </row>
    <row r="839" spans="18:18" ht="15.75" customHeight="1">
      <c r="R839" s="30"/>
    </row>
    <row r="840" spans="18:18" ht="15.75" customHeight="1">
      <c r="R840" s="30"/>
    </row>
    <row r="841" spans="18:18" ht="15.75" customHeight="1">
      <c r="R841" s="30"/>
    </row>
    <row r="842" spans="18:18" ht="15.75" customHeight="1">
      <c r="R842" s="30"/>
    </row>
    <row r="843" spans="18:18" ht="15.75" customHeight="1">
      <c r="R843" s="30"/>
    </row>
    <row r="844" spans="18:18" ht="15.75" customHeight="1">
      <c r="R844" s="30"/>
    </row>
    <row r="845" spans="18:18" ht="15.75" customHeight="1">
      <c r="R845" s="30"/>
    </row>
    <row r="846" spans="18:18" ht="15.75" customHeight="1">
      <c r="R846" s="30"/>
    </row>
    <row r="847" spans="18:18" ht="15.75" customHeight="1">
      <c r="R847" s="30"/>
    </row>
    <row r="848" spans="18:18" ht="15.75" customHeight="1">
      <c r="R848" s="30"/>
    </row>
    <row r="849" spans="18:18" ht="15.75" customHeight="1">
      <c r="R849" s="30"/>
    </row>
    <row r="850" spans="18:18" ht="15.75" customHeight="1">
      <c r="R850" s="30"/>
    </row>
    <row r="851" spans="18:18" ht="15.75" customHeight="1">
      <c r="R851" s="30"/>
    </row>
    <row r="852" spans="18:18" ht="15.75" customHeight="1">
      <c r="R852" s="30"/>
    </row>
    <row r="853" spans="18:18" ht="15.75" customHeight="1">
      <c r="R853" s="30"/>
    </row>
    <row r="854" spans="18:18" ht="15.75" customHeight="1">
      <c r="R854" s="30"/>
    </row>
    <row r="855" spans="18:18" ht="15.75" customHeight="1">
      <c r="R855" s="30"/>
    </row>
    <row r="856" spans="18:18" ht="15.75" customHeight="1">
      <c r="R856" s="30"/>
    </row>
    <row r="857" spans="18:18" ht="15.75" customHeight="1">
      <c r="R857" s="30"/>
    </row>
    <row r="858" spans="18:18" ht="15.75" customHeight="1">
      <c r="R858" s="30"/>
    </row>
    <row r="859" spans="18:18" ht="15.75" customHeight="1">
      <c r="R859" s="30"/>
    </row>
    <row r="860" spans="18:18" ht="15.75" customHeight="1">
      <c r="R860" s="30"/>
    </row>
    <row r="861" spans="18:18" ht="15.75" customHeight="1">
      <c r="R861" s="30"/>
    </row>
    <row r="862" spans="18:18" ht="15.75" customHeight="1">
      <c r="R862" s="30"/>
    </row>
    <row r="863" spans="18:18" ht="15.75" customHeight="1">
      <c r="R863" s="30"/>
    </row>
    <row r="864" spans="18:18" ht="15.75" customHeight="1">
      <c r="R864" s="30"/>
    </row>
    <row r="865" spans="18:18" ht="15.75" customHeight="1">
      <c r="R865" s="30"/>
    </row>
    <row r="866" spans="18:18" ht="15.75" customHeight="1">
      <c r="R866" s="30"/>
    </row>
    <row r="867" spans="18:18" ht="15.75" customHeight="1">
      <c r="R867" s="30"/>
    </row>
    <row r="868" spans="18:18" ht="15.75" customHeight="1">
      <c r="R868" s="30"/>
    </row>
    <row r="869" spans="18:18" ht="15.75" customHeight="1">
      <c r="R869" s="30"/>
    </row>
    <row r="870" spans="18:18" ht="15.75" customHeight="1">
      <c r="R870" s="30"/>
    </row>
    <row r="871" spans="18:18" ht="15.75" customHeight="1">
      <c r="R871" s="30"/>
    </row>
    <row r="872" spans="18:18" ht="15.75" customHeight="1">
      <c r="R872" s="30"/>
    </row>
    <row r="873" spans="18:18" ht="15.75" customHeight="1">
      <c r="R873" s="30"/>
    </row>
    <row r="874" spans="18:18" ht="15.75" customHeight="1">
      <c r="R874" s="30"/>
    </row>
    <row r="875" spans="18:18" ht="15.75" customHeight="1">
      <c r="R875" s="30"/>
    </row>
    <row r="876" spans="18:18" ht="15.75" customHeight="1">
      <c r="R876" s="30"/>
    </row>
    <row r="877" spans="18:18" ht="15.75" customHeight="1">
      <c r="R877" s="30"/>
    </row>
    <row r="878" spans="18:18" ht="15.75" customHeight="1">
      <c r="R878" s="30"/>
    </row>
    <row r="879" spans="18:18" ht="15.75" customHeight="1">
      <c r="R879" s="30"/>
    </row>
    <row r="880" spans="18:18" ht="15.75" customHeight="1">
      <c r="R880" s="30"/>
    </row>
    <row r="881" spans="18:18" ht="15.75" customHeight="1">
      <c r="R881" s="30"/>
    </row>
    <row r="882" spans="18:18" ht="15.75" customHeight="1">
      <c r="R882" s="30"/>
    </row>
    <row r="883" spans="18:18" ht="15.75" customHeight="1">
      <c r="R883" s="30"/>
    </row>
    <row r="884" spans="18:18" ht="15.75" customHeight="1">
      <c r="R884" s="30"/>
    </row>
    <row r="885" spans="18:18" ht="15.75" customHeight="1">
      <c r="R885" s="30"/>
    </row>
    <row r="886" spans="18:18" ht="15.75" customHeight="1">
      <c r="R886" s="30"/>
    </row>
    <row r="887" spans="18:18" ht="15.75" customHeight="1">
      <c r="R887" s="30"/>
    </row>
    <row r="888" spans="18:18" ht="15.75" customHeight="1">
      <c r="R888" s="30"/>
    </row>
    <row r="889" spans="18:18" ht="15.75" customHeight="1">
      <c r="R889" s="30"/>
    </row>
    <row r="890" spans="18:18" ht="15.75" customHeight="1">
      <c r="R890" s="30"/>
    </row>
    <row r="891" spans="18:18" ht="15.75" customHeight="1">
      <c r="R891" s="30"/>
    </row>
    <row r="892" spans="18:18" ht="15.75" customHeight="1">
      <c r="R892" s="30"/>
    </row>
    <row r="893" spans="18:18" ht="15.75" customHeight="1">
      <c r="R893" s="30"/>
    </row>
    <row r="894" spans="18:18" ht="15.75" customHeight="1">
      <c r="R894" s="30"/>
    </row>
    <row r="895" spans="18:18" ht="15.75" customHeight="1">
      <c r="R895" s="30"/>
    </row>
    <row r="896" spans="18:18" ht="15.75" customHeight="1">
      <c r="R896" s="30"/>
    </row>
    <row r="897" spans="18:18" ht="15.75" customHeight="1">
      <c r="R897" s="30"/>
    </row>
    <row r="898" spans="18:18" ht="15.75" customHeight="1">
      <c r="R898" s="30"/>
    </row>
    <row r="899" spans="18:18" ht="15.75" customHeight="1">
      <c r="R899" s="30"/>
    </row>
    <row r="900" spans="18:18" ht="15.75" customHeight="1">
      <c r="R900" s="30"/>
    </row>
    <row r="901" spans="18:18" ht="15.75" customHeight="1">
      <c r="R901" s="30"/>
    </row>
    <row r="902" spans="18:18" ht="15.75" customHeight="1">
      <c r="R902" s="30"/>
    </row>
    <row r="903" spans="18:18" ht="15.75" customHeight="1">
      <c r="R903" s="30"/>
    </row>
    <row r="904" spans="18:18" ht="15.75" customHeight="1">
      <c r="R904" s="30"/>
    </row>
    <row r="905" spans="18:18" ht="15.75" customHeight="1">
      <c r="R905" s="30"/>
    </row>
    <row r="906" spans="18:18" ht="15.75" customHeight="1">
      <c r="R906" s="30"/>
    </row>
    <row r="907" spans="18:18" ht="15.75" customHeight="1">
      <c r="R907" s="30"/>
    </row>
    <row r="908" spans="18:18" ht="15.75" customHeight="1">
      <c r="R908" s="30"/>
    </row>
    <row r="909" spans="18:18" ht="15.75" customHeight="1">
      <c r="R909" s="30"/>
    </row>
    <row r="910" spans="18:18" ht="15.75" customHeight="1">
      <c r="R910" s="30"/>
    </row>
    <row r="911" spans="18:18" ht="15.75" customHeight="1">
      <c r="R911" s="30"/>
    </row>
    <row r="912" spans="18:18" ht="15.75" customHeight="1">
      <c r="R912" s="30"/>
    </row>
    <row r="913" spans="18:18" ht="15.75" customHeight="1">
      <c r="R913" s="30"/>
    </row>
    <row r="914" spans="18:18" ht="15.75" customHeight="1">
      <c r="R914" s="30"/>
    </row>
    <row r="915" spans="18:18" ht="15.75" customHeight="1">
      <c r="R915" s="30"/>
    </row>
    <row r="916" spans="18:18" ht="15.75" customHeight="1">
      <c r="R916" s="30"/>
    </row>
    <row r="917" spans="18:18" ht="15.75" customHeight="1">
      <c r="R917" s="30"/>
    </row>
    <row r="918" spans="18:18" ht="15.75" customHeight="1">
      <c r="R918" s="30"/>
    </row>
    <row r="919" spans="18:18" ht="15.75" customHeight="1">
      <c r="R919" s="30"/>
    </row>
    <row r="920" spans="18:18" ht="15.75" customHeight="1">
      <c r="R920" s="30"/>
    </row>
    <row r="921" spans="18:18" ht="15.75" customHeight="1">
      <c r="R921" s="30"/>
    </row>
    <row r="922" spans="18:18" ht="15.75" customHeight="1">
      <c r="R922" s="30"/>
    </row>
    <row r="923" spans="18:18" ht="15.75" customHeight="1">
      <c r="R923" s="30"/>
    </row>
    <row r="924" spans="18:18" ht="15.75" customHeight="1">
      <c r="R924" s="30"/>
    </row>
    <row r="925" spans="18:18" ht="15.75" customHeight="1">
      <c r="R925" s="30"/>
    </row>
    <row r="926" spans="18:18" ht="15.75" customHeight="1">
      <c r="R926" s="30"/>
    </row>
    <row r="927" spans="18:18" ht="15.75" customHeight="1">
      <c r="R927" s="30"/>
    </row>
    <row r="928" spans="18:18" ht="15.75" customHeight="1">
      <c r="R928" s="30"/>
    </row>
    <row r="929" spans="18:18" ht="15.75" customHeight="1">
      <c r="R929" s="30"/>
    </row>
    <row r="930" spans="18:18" ht="15.75" customHeight="1">
      <c r="R930" s="30"/>
    </row>
    <row r="931" spans="18:18" ht="15.75" customHeight="1">
      <c r="R931" s="30"/>
    </row>
    <row r="932" spans="18:18" ht="15.75" customHeight="1">
      <c r="R932" s="30"/>
    </row>
    <row r="933" spans="18:18" ht="15.75" customHeight="1">
      <c r="R933" s="30"/>
    </row>
    <row r="934" spans="18:18" ht="15.75" customHeight="1">
      <c r="R934" s="30"/>
    </row>
    <row r="935" spans="18:18" ht="15.75" customHeight="1">
      <c r="R935" s="30"/>
    </row>
    <row r="936" spans="18:18" ht="15.75" customHeight="1">
      <c r="R936" s="30"/>
    </row>
    <row r="937" spans="18:18" ht="15.75" customHeight="1">
      <c r="R937" s="30"/>
    </row>
    <row r="938" spans="18:18" ht="15.75" customHeight="1">
      <c r="R938" s="30"/>
    </row>
    <row r="939" spans="18:18" ht="15.75" customHeight="1">
      <c r="R939" s="30"/>
    </row>
    <row r="940" spans="18:18" ht="15.75" customHeight="1">
      <c r="R940" s="30"/>
    </row>
    <row r="941" spans="18:18" ht="15.75" customHeight="1">
      <c r="R941" s="30"/>
    </row>
    <row r="942" spans="18:18" ht="15.75" customHeight="1">
      <c r="R942" s="30"/>
    </row>
    <row r="943" spans="18:18" ht="15.75" customHeight="1">
      <c r="R943" s="30"/>
    </row>
    <row r="944" spans="18:18" ht="15.75" customHeight="1">
      <c r="R944" s="30"/>
    </row>
    <row r="945" spans="18:18" ht="15.75" customHeight="1">
      <c r="R945" s="30"/>
    </row>
    <row r="946" spans="18:18" ht="15.75" customHeight="1">
      <c r="R946" s="30"/>
    </row>
    <row r="947" spans="18:18" ht="15.75" customHeight="1">
      <c r="R947" s="30"/>
    </row>
    <row r="948" spans="18:18" ht="15.75" customHeight="1">
      <c r="R948" s="30"/>
    </row>
    <row r="949" spans="18:18" ht="15.75" customHeight="1">
      <c r="R949" s="30"/>
    </row>
    <row r="950" spans="18:18" ht="15.75" customHeight="1">
      <c r="R950" s="30"/>
    </row>
    <row r="951" spans="18:18" ht="15.75" customHeight="1">
      <c r="R951" s="30"/>
    </row>
    <row r="952" spans="18:18" ht="15.75" customHeight="1">
      <c r="R952" s="30"/>
    </row>
    <row r="953" spans="18:18" ht="15.75" customHeight="1">
      <c r="R953" s="30"/>
    </row>
    <row r="954" spans="18:18" ht="15.75" customHeight="1">
      <c r="R954" s="30"/>
    </row>
    <row r="955" spans="18:18" ht="15.75" customHeight="1">
      <c r="R955" s="30"/>
    </row>
    <row r="956" spans="18:18" ht="15.75" customHeight="1">
      <c r="R956" s="30"/>
    </row>
    <row r="957" spans="18:18" ht="15.75" customHeight="1">
      <c r="R957" s="30"/>
    </row>
    <row r="958" spans="18:18" ht="15.75" customHeight="1">
      <c r="R958" s="30"/>
    </row>
    <row r="959" spans="18:18" ht="15.75" customHeight="1">
      <c r="R959" s="30"/>
    </row>
    <row r="960" spans="18:18" ht="15.75" customHeight="1">
      <c r="R960" s="30"/>
    </row>
    <row r="961" spans="18:18" ht="15.75" customHeight="1">
      <c r="R961" s="30"/>
    </row>
    <row r="962" spans="18:18" ht="15.75" customHeight="1">
      <c r="R962" s="30"/>
    </row>
    <row r="963" spans="18:18" ht="15.75" customHeight="1">
      <c r="R963" s="30"/>
    </row>
    <row r="964" spans="18:18" ht="15.75" customHeight="1">
      <c r="R964" s="30"/>
    </row>
    <row r="965" spans="18:18" ht="15.75" customHeight="1">
      <c r="R965" s="30"/>
    </row>
    <row r="966" spans="18:18" ht="15.75" customHeight="1">
      <c r="R966" s="30"/>
    </row>
    <row r="967" spans="18:18" ht="15.75" customHeight="1">
      <c r="R967" s="30"/>
    </row>
    <row r="968" spans="18:18" ht="15.75" customHeight="1">
      <c r="R968" s="30"/>
    </row>
    <row r="969" spans="18:18" ht="15.75" customHeight="1">
      <c r="R969" s="30"/>
    </row>
    <row r="970" spans="18:18" ht="15.75" customHeight="1">
      <c r="R970" s="30"/>
    </row>
    <row r="971" spans="18:18" ht="15.75" customHeight="1">
      <c r="R971" s="30"/>
    </row>
    <row r="972" spans="18:18" ht="15.75" customHeight="1">
      <c r="R972" s="30"/>
    </row>
    <row r="973" spans="18:18" ht="15.75" customHeight="1">
      <c r="R973" s="30"/>
    </row>
    <row r="974" spans="18:18" ht="15.75" customHeight="1">
      <c r="R974" s="30"/>
    </row>
    <row r="975" spans="18:18" ht="15.75" customHeight="1">
      <c r="R975" s="30"/>
    </row>
    <row r="976" spans="18:18" ht="15.75" customHeight="1">
      <c r="R976" s="30"/>
    </row>
    <row r="977" spans="18:18" ht="15.75" customHeight="1">
      <c r="R977" s="30"/>
    </row>
    <row r="978" spans="18:18" ht="15.75" customHeight="1">
      <c r="R978" s="30"/>
    </row>
    <row r="979" spans="18:18" ht="15.75" customHeight="1">
      <c r="R979" s="30"/>
    </row>
    <row r="980" spans="18:18" ht="15.75" customHeight="1">
      <c r="R980" s="30"/>
    </row>
    <row r="981" spans="18:18" ht="15.75" customHeight="1">
      <c r="R981" s="30"/>
    </row>
    <row r="982" spans="18:18" ht="15.75" customHeight="1">
      <c r="R982" s="30"/>
    </row>
    <row r="983" spans="18:18" ht="15.75" customHeight="1">
      <c r="R983" s="30"/>
    </row>
    <row r="984" spans="18:18" ht="15.75" customHeight="1">
      <c r="R984" s="30"/>
    </row>
    <row r="985" spans="18:18" ht="15.75" customHeight="1">
      <c r="R985" s="30"/>
    </row>
    <row r="986" spans="18:18" ht="15.75" customHeight="1">
      <c r="R986" s="30"/>
    </row>
    <row r="987" spans="18:18" ht="15.75" customHeight="1">
      <c r="R987" s="30"/>
    </row>
    <row r="988" spans="18:18" ht="15.75" customHeight="1">
      <c r="R988" s="30"/>
    </row>
    <row r="989" spans="18:18" ht="15.75" customHeight="1">
      <c r="R989" s="30"/>
    </row>
    <row r="990" spans="18:18" ht="15.75" customHeight="1">
      <c r="R990" s="30"/>
    </row>
    <row r="991" spans="18:18" ht="15.75" customHeight="1">
      <c r="R991" s="30"/>
    </row>
    <row r="992" spans="18:18" ht="15.75" customHeight="1">
      <c r="R992" s="30"/>
    </row>
    <row r="993" spans="18:18" ht="15.75" customHeight="1">
      <c r="R993" s="30"/>
    </row>
    <row r="994" spans="18:18" ht="15.75" customHeight="1">
      <c r="R994" s="30"/>
    </row>
    <row r="995" spans="18:18" ht="15.75" customHeight="1">
      <c r="R995" s="30"/>
    </row>
    <row r="996" spans="18:18" ht="15.75" customHeight="1">
      <c r="R996" s="30"/>
    </row>
    <row r="997" spans="18:18" ht="15.75" customHeight="1">
      <c r="R997" s="30"/>
    </row>
    <row r="998" spans="18:18" ht="15.75" customHeight="1">
      <c r="R998" s="30"/>
    </row>
    <row r="999" spans="18:18" ht="15.75" customHeight="1">
      <c r="R999" s="30"/>
    </row>
    <row r="1000" spans="18:18" ht="15.75" customHeight="1">
      <c r="R1000" s="3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2.6640625" defaultRowHeight="15" customHeight="1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8.6640625" customWidth="1"/>
    <col min="6" max="6" width="9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17.6640625" customWidth="1"/>
    <col min="16" max="16" width="10" customWidth="1"/>
    <col min="17" max="18" width="7.33203125" customWidth="1"/>
    <col min="19" max="19" width="7.1640625" customWidth="1"/>
    <col min="20" max="20" width="11.1640625" customWidth="1"/>
    <col min="21" max="21" width="19.6640625" customWidth="1"/>
    <col min="22" max="22" width="63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6640625" customWidth="1"/>
    <col min="32" max="32" width="10.1640625" customWidth="1"/>
    <col min="33" max="33" width="8.83203125" customWidth="1"/>
  </cols>
  <sheetData>
    <row r="1" spans="1:33" ht="18.75" customHeight="1">
      <c r="A1" s="46" t="str">
        <f ca="1">IFERROR(__xludf.DUMMYFUNCTION("IFERROR(VLOOKUP(B2,IMPORTRANGE(""https://docs.google.com/spreadsheets/d/1x0DhHglkXKoEBOD2MBsuK_EyIr1ouxD2ftIpqOYFa-k/edit?usp=sharing"",""Ubiquitty-SKU-Specific Info!B1:BJ5000""),3,FALSE),"""")"),"25 Ft Lighted Outdoor Extension Cord - 12/3 SJTW Heavy Duty Red Extension Cable with 3 Prong Grounded Plug for Safety - Great for Garden &amp; Major Appliances")</f>
        <v>25 Ft Lighted Outdoor Extension Cord - 12/3 SJTW Heavy Duty Red Extension Cable with 3 Prong Grounded Plug for Safety - Great for Garden &amp; Major Appliances</v>
      </c>
      <c r="B1" s="47"/>
      <c r="C1" s="48" t="s">
        <v>0</v>
      </c>
      <c r="D1" s="50" t="s">
        <v>1</v>
      </c>
      <c r="E1" s="50" t="s">
        <v>2</v>
      </c>
      <c r="F1" s="52" t="s">
        <v>3</v>
      </c>
      <c r="G1" s="52" t="s">
        <v>4</v>
      </c>
      <c r="H1" s="53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58" t="s">
        <v>10</v>
      </c>
      <c r="N1" s="59" t="s">
        <v>11</v>
      </c>
      <c r="O1" s="50" t="s">
        <v>12</v>
      </c>
      <c r="P1" s="50" t="s">
        <v>13</v>
      </c>
      <c r="Q1" s="57" t="s">
        <v>14</v>
      </c>
      <c r="R1" s="57" t="s">
        <v>15</v>
      </c>
      <c r="S1" s="60" t="s">
        <v>16</v>
      </c>
      <c r="T1" s="62" t="s">
        <v>2006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Info!B1:BJ5000""),2,FALSE),"""")"),"B07Q5G6VWY")</f>
        <v>B07Q5G6VWY</v>
      </c>
      <c r="B2" s="3" t="s">
        <v>1028</v>
      </c>
      <c r="C2" s="49"/>
      <c r="D2" s="49"/>
      <c r="E2" s="51"/>
      <c r="F2" s="49"/>
      <c r="G2" s="49"/>
      <c r="H2" s="54"/>
      <c r="I2" s="49"/>
      <c r="J2" s="49"/>
      <c r="K2" s="54"/>
      <c r="L2" s="54"/>
      <c r="M2" s="54"/>
      <c r="N2" s="49"/>
      <c r="O2" s="49"/>
      <c r="P2" s="51"/>
      <c r="Q2" s="49"/>
      <c r="R2" s="49"/>
      <c r="S2" s="61"/>
      <c r="T2" s="47"/>
      <c r="U2" s="63"/>
      <c r="V2" s="63"/>
      <c r="W2" s="47"/>
      <c r="X2" s="47"/>
      <c r="Y2" s="47"/>
      <c r="Z2" s="47"/>
      <c r="AA2" s="63"/>
      <c r="AB2" s="63"/>
      <c r="AC2" s="63"/>
      <c r="AD2" s="63"/>
      <c r="AE2" s="47"/>
      <c r="AF2" s="47"/>
      <c r="AG2" s="47"/>
    </row>
    <row r="3" spans="1:33" ht="152.25" customHeight="1">
      <c r="A3" s="55" t="s">
        <v>31</v>
      </c>
      <c r="B3" s="56"/>
      <c r="C3" s="4">
        <f>((AE32+AF32)/0.85)*-1</f>
        <v>20.429488485294119</v>
      </c>
      <c r="D3" s="5">
        <f>SUM(D4:D99765)</f>
        <v>562</v>
      </c>
      <c r="E3" s="5"/>
      <c r="F3" s="6">
        <f t="shared" ref="F3:G3" si="0">SUM(F4:F99765)</f>
        <v>14649.659999999998</v>
      </c>
      <c r="G3" s="6">
        <f t="shared" si="0"/>
        <v>-0.15000000000000002</v>
      </c>
      <c r="H3" s="7">
        <f t="shared" ref="H3:H32" si="1">G3/F3*-1</f>
        <v>1.0239145481874668E-5</v>
      </c>
      <c r="I3" s="8">
        <f t="shared" ref="I3:I32" si="2">J3/F3</f>
        <v>0.28119208186633349</v>
      </c>
      <c r="J3" s="6">
        <f>SUM(J4:J99765)</f>
        <v>4119.3683940339506</v>
      </c>
      <c r="K3" s="6">
        <f t="shared" ref="K3:K32" si="3">J3/D3</f>
        <v>7.3298370000604107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Sheet!a1:g5000""),2,FALSE),"""")"),"3.5 - March
7.5 - April
7.5 - May
7.5 - June
6.5 - July
5.5 - Aug
4.5 - Sept
4 - Oct
5 - Nov
4.5 - Dec
2.5 - Jan
2.5 - Feb")</f>
        <v>3.5 - March
7.5 - April
7.5 - May
7.5 - June
6.5 - July
5.5 - Aug
4.5 - Sept
4 - Oct
5 - Nov
4.5 - Dec
2.5 - Jan
2.5 -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QTY-11")</f>
        <v>Del QTY-11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QTY-0")</f>
        <v>US QTY-0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0</v>
      </c>
      <c r="X3" s="7">
        <f>W3/D3</f>
        <v>0</v>
      </c>
      <c r="Y3" s="6"/>
      <c r="Z3" s="5"/>
      <c r="AA3" s="5"/>
      <c r="AB3" s="5"/>
      <c r="AC3" s="5"/>
      <c r="AD3" s="6">
        <f>SUM(AD4:AD99765)</f>
        <v>-53.154260535921203</v>
      </c>
      <c r="AE3" s="6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Info!B2:BZ3000""),37,FALSE)),"""")*-1"),-11.3850652125)</f>
        <v>-11.385065212500001</v>
      </c>
      <c r="AG3" s="6">
        <f>SUM(AG4:AG99765)</f>
        <v>0</v>
      </c>
    </row>
    <row r="4" spans="1:33" ht="15.75" customHeight="1">
      <c r="A4" s="14" t="s">
        <v>181</v>
      </c>
      <c r="B4" s="14" t="s">
        <v>1029</v>
      </c>
      <c r="C4" s="15">
        <f t="shared" ref="C4:C32" si="4">IFERROR(F4/D4," - ")</f>
        <v>26.740526315789481</v>
      </c>
      <c r="D4" s="16">
        <v>19</v>
      </c>
      <c r="E4" s="16">
        <v>0</v>
      </c>
      <c r="F4" s="17">
        <v>508.07000000000016</v>
      </c>
      <c r="G4" s="17">
        <v>0</v>
      </c>
      <c r="H4" s="18">
        <f t="shared" si="1"/>
        <v>0</v>
      </c>
      <c r="I4" s="18">
        <f t="shared" si="2"/>
        <v>0.32142713094627096</v>
      </c>
      <c r="J4" s="17">
        <f t="shared" ref="J4:J32" si="5">F4*0.85+G4+AF4*D4+D4*AE4+AG4+AD4</f>
        <v>163.30748241987195</v>
      </c>
      <c r="K4" s="17">
        <f t="shared" si="3"/>
        <v>8.5951306536774705</v>
      </c>
      <c r="L4" s="16">
        <v>31</v>
      </c>
      <c r="M4" s="19">
        <f t="shared" ref="M4:M32" si="6">IFERROR(D4/L4,"-")</f>
        <v>0.61290322580645162</v>
      </c>
      <c r="N4" s="16">
        <v>146</v>
      </c>
      <c r="O4" s="20">
        <f t="shared" ref="O4:P4" si="7">D4/7</f>
        <v>2.7142857142857144</v>
      </c>
      <c r="P4" s="20">
        <f t="shared" si="7"/>
        <v>0</v>
      </c>
      <c r="Q4" s="16">
        <f t="shared" ref="Q4:Q32" si="8">ROUNDDOWN(N4/(O4+P4),0)</f>
        <v>53</v>
      </c>
      <c r="R4" s="16"/>
      <c r="S4" s="21">
        <v>2.2363405336721698</v>
      </c>
      <c r="T4" s="14">
        <v>90</v>
      </c>
      <c r="U4" s="22">
        <v>90</v>
      </c>
      <c r="V4" s="23" t="s">
        <v>1030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26" t="s">
        <v>35</v>
      </c>
      <c r="AB4" s="27">
        <f t="shared" ref="AB4:AB32" si="11">IF(OR(AA4="UsLargeStandardSize",AA4="UsSmallStandardSize"),-0.69,-0.48)</f>
        <v>-0.69</v>
      </c>
      <c r="AC4" s="28">
        <v>6.8531250000000002E-2</v>
      </c>
      <c r="AD4" s="25">
        <f t="shared" ref="AD4:AD32" si="12">IFERROR(AB4*AC4*D4*2,0)</f>
        <v>-1.7968893749999999</v>
      </c>
      <c r="AE4" s="25">
        <v>-5.8</v>
      </c>
      <c r="AF4" s="25">
        <v>-8.2397435897435898</v>
      </c>
      <c r="AG4" s="25">
        <v>0</v>
      </c>
    </row>
    <row r="5" spans="1:33" ht="15.75" customHeight="1">
      <c r="A5" s="14" t="s">
        <v>183</v>
      </c>
      <c r="B5" s="14" t="s">
        <v>1031</v>
      </c>
      <c r="C5" s="15">
        <f t="shared" si="4"/>
        <v>27.681578947368422</v>
      </c>
      <c r="D5" s="16">
        <v>38</v>
      </c>
      <c r="E5" s="16">
        <v>1</v>
      </c>
      <c r="F5" s="29">
        <v>1051.9000000000001</v>
      </c>
      <c r="G5" s="29">
        <v>0</v>
      </c>
      <c r="H5" s="18">
        <f t="shared" si="1"/>
        <v>0</v>
      </c>
      <c r="I5" s="18">
        <f t="shared" si="2"/>
        <v>0.33939233820118109</v>
      </c>
      <c r="J5" s="17">
        <f t="shared" si="5"/>
        <v>357.00680055382242</v>
      </c>
      <c r="K5" s="17">
        <f t="shared" si="3"/>
        <v>9.3949158040479581</v>
      </c>
      <c r="L5" s="16">
        <v>67</v>
      </c>
      <c r="M5" s="19">
        <f t="shared" si="6"/>
        <v>0.56716417910447758</v>
      </c>
      <c r="N5" s="16">
        <v>112</v>
      </c>
      <c r="O5" s="20">
        <f t="shared" ref="O5:P5" si="13">D5/7</f>
        <v>5.4285714285714288</v>
      </c>
      <c r="P5" s="20">
        <f t="shared" si="13"/>
        <v>0.14285714285714285</v>
      </c>
      <c r="Q5" s="16">
        <f t="shared" si="8"/>
        <v>20</v>
      </c>
      <c r="R5" s="16"/>
      <c r="S5" s="21">
        <v>1.81088825214899</v>
      </c>
      <c r="T5" s="14">
        <v>90</v>
      </c>
      <c r="U5" s="22">
        <v>90</v>
      </c>
      <c r="V5" s="23" t="s">
        <v>1032</v>
      </c>
      <c r="W5" s="14">
        <v>0</v>
      </c>
      <c r="X5" s="24">
        <f t="shared" si="9"/>
        <v>0</v>
      </c>
      <c r="Y5" s="25">
        <f t="shared" si="10"/>
        <v>0</v>
      </c>
      <c r="Z5" s="14">
        <v>0</v>
      </c>
      <c r="AA5" s="14" t="s">
        <v>35</v>
      </c>
      <c r="AB5" s="27">
        <f t="shared" si="11"/>
        <v>-0.69</v>
      </c>
      <c r="AC5" s="28">
        <v>6.8610660486674399E-2</v>
      </c>
      <c r="AD5" s="25">
        <f t="shared" si="12"/>
        <v>-3.5979430359212055</v>
      </c>
      <c r="AE5" s="25">
        <v>-5.8</v>
      </c>
      <c r="AF5" s="25">
        <v>-8.2397435897435898</v>
      </c>
      <c r="AG5" s="25">
        <v>0</v>
      </c>
    </row>
    <row r="6" spans="1:33" ht="15.75" customHeight="1">
      <c r="A6" s="14" t="s">
        <v>185</v>
      </c>
      <c r="B6" s="14" t="s">
        <v>68</v>
      </c>
      <c r="C6" s="15">
        <f t="shared" si="4"/>
        <v>30.09357142857143</v>
      </c>
      <c r="D6" s="16">
        <v>14</v>
      </c>
      <c r="E6" s="16">
        <v>0</v>
      </c>
      <c r="F6" s="29">
        <v>421.31</v>
      </c>
      <c r="G6" s="29">
        <v>0</v>
      </c>
      <c r="H6" s="18">
        <f t="shared" si="1"/>
        <v>0</v>
      </c>
      <c r="I6" s="18">
        <f t="shared" si="2"/>
        <v>0.38032106048655323</v>
      </c>
      <c r="J6" s="17">
        <f t="shared" si="5"/>
        <v>160.23306599358975</v>
      </c>
      <c r="K6" s="17">
        <f t="shared" si="3"/>
        <v>11.445218999542124</v>
      </c>
      <c r="L6" s="16">
        <v>55</v>
      </c>
      <c r="M6" s="19">
        <f t="shared" si="6"/>
        <v>0.25454545454545452</v>
      </c>
      <c r="N6" s="16">
        <v>92</v>
      </c>
      <c r="O6" s="20">
        <f t="shared" ref="O6:P6" si="14">D6/7</f>
        <v>2</v>
      </c>
      <c r="P6" s="20">
        <f t="shared" si="14"/>
        <v>0</v>
      </c>
      <c r="Q6" s="16">
        <f t="shared" si="8"/>
        <v>46</v>
      </c>
      <c r="R6" s="16"/>
      <c r="S6" s="21">
        <v>1.67776777677767</v>
      </c>
      <c r="T6" s="14">
        <v>90</v>
      </c>
      <c r="U6" s="22">
        <v>90</v>
      </c>
      <c r="V6" s="23" t="s">
        <v>850</v>
      </c>
      <c r="W6" s="14">
        <v>0</v>
      </c>
      <c r="X6" s="24">
        <f t="shared" si="9"/>
        <v>0</v>
      </c>
      <c r="Y6" s="25">
        <f t="shared" si="10"/>
        <v>0</v>
      </c>
      <c r="Z6" s="14">
        <v>0</v>
      </c>
      <c r="AA6" s="14" t="s">
        <v>35</v>
      </c>
      <c r="AB6" s="27">
        <f t="shared" si="11"/>
        <v>-0.69</v>
      </c>
      <c r="AC6" s="28">
        <v>6.8531250000000002E-2</v>
      </c>
      <c r="AD6" s="25">
        <f t="shared" si="12"/>
        <v>-1.3240237499999998</v>
      </c>
      <c r="AE6" s="25">
        <v>-5.8</v>
      </c>
      <c r="AF6" s="25">
        <v>-8.2397435897435898</v>
      </c>
      <c r="AG6" s="25">
        <v>0</v>
      </c>
    </row>
    <row r="7" spans="1:33" ht="15.75" customHeight="1">
      <c r="A7" s="14" t="s">
        <v>187</v>
      </c>
      <c r="B7" s="14" t="s">
        <v>1033</v>
      </c>
      <c r="C7" s="15">
        <f t="shared" si="4"/>
        <v>30.7075</v>
      </c>
      <c r="D7" s="16">
        <v>24</v>
      </c>
      <c r="E7" s="16">
        <v>0</v>
      </c>
      <c r="F7" s="29">
        <v>736.98</v>
      </c>
      <c r="G7" s="29">
        <v>0</v>
      </c>
      <c r="H7" s="18">
        <f t="shared" si="1"/>
        <v>0</v>
      </c>
      <c r="I7" s="18">
        <f t="shared" si="2"/>
        <v>0.3897112524711035</v>
      </c>
      <c r="J7" s="17">
        <f t="shared" si="5"/>
        <v>287.20939884615387</v>
      </c>
      <c r="K7" s="17">
        <f t="shared" si="3"/>
        <v>11.967058285256412</v>
      </c>
      <c r="L7" s="16">
        <v>45</v>
      </c>
      <c r="M7" s="19">
        <f t="shared" si="6"/>
        <v>0.53333333333333333</v>
      </c>
      <c r="N7" s="16">
        <v>78</v>
      </c>
      <c r="O7" s="20">
        <f t="shared" ref="O7:P7" si="15">D7/7</f>
        <v>3.4285714285714284</v>
      </c>
      <c r="P7" s="20">
        <f t="shared" si="15"/>
        <v>0</v>
      </c>
      <c r="Q7" s="16">
        <f t="shared" si="8"/>
        <v>22</v>
      </c>
      <c r="R7" s="16"/>
      <c r="S7" s="21">
        <v>1.7400204708290601</v>
      </c>
      <c r="T7" s="14">
        <v>90</v>
      </c>
      <c r="U7" s="22">
        <v>90</v>
      </c>
      <c r="V7" s="23" t="s">
        <v>850</v>
      </c>
      <c r="W7" s="14">
        <v>0</v>
      </c>
      <c r="X7" s="24">
        <f t="shared" si="9"/>
        <v>0</v>
      </c>
      <c r="Y7" s="25">
        <f t="shared" si="10"/>
        <v>0</v>
      </c>
      <c r="Z7" s="14">
        <v>0</v>
      </c>
      <c r="AA7" s="14" t="s">
        <v>35</v>
      </c>
      <c r="AB7" s="27">
        <f t="shared" si="11"/>
        <v>-0.69</v>
      </c>
      <c r="AC7" s="28">
        <v>6.8531250000000002E-2</v>
      </c>
      <c r="AD7" s="25">
        <f t="shared" si="12"/>
        <v>-2.269755</v>
      </c>
      <c r="AE7" s="25">
        <v>-5.8</v>
      </c>
      <c r="AF7" s="25">
        <v>-8.2397435897435898</v>
      </c>
      <c r="AG7" s="25">
        <v>0</v>
      </c>
    </row>
    <row r="8" spans="1:33" ht="15.75" customHeight="1">
      <c r="A8" s="14" t="s">
        <v>189</v>
      </c>
      <c r="B8" s="14" t="s">
        <v>68</v>
      </c>
      <c r="C8" s="15">
        <f t="shared" si="4"/>
        <v>33.569999999999993</v>
      </c>
      <c r="D8" s="16">
        <v>18</v>
      </c>
      <c r="E8" s="16">
        <v>0</v>
      </c>
      <c r="F8" s="29">
        <v>604.25999999999988</v>
      </c>
      <c r="G8" s="29">
        <v>0</v>
      </c>
      <c r="H8" s="18">
        <f t="shared" si="1"/>
        <v>0</v>
      </c>
      <c r="I8" s="18">
        <f t="shared" si="2"/>
        <v>0.42895224530831089</v>
      </c>
      <c r="J8" s="17">
        <f t="shared" si="5"/>
        <v>259.19868374999987</v>
      </c>
      <c r="K8" s="17">
        <f t="shared" si="3"/>
        <v>14.399926874999993</v>
      </c>
      <c r="L8" s="16">
        <v>32</v>
      </c>
      <c r="M8" s="19">
        <f t="shared" si="6"/>
        <v>0.5625</v>
      </c>
      <c r="N8" s="16">
        <v>55</v>
      </c>
      <c r="O8" s="20">
        <f t="shared" ref="O8:P8" si="16">D8/7</f>
        <v>2.5714285714285716</v>
      </c>
      <c r="P8" s="20">
        <f t="shared" si="16"/>
        <v>0</v>
      </c>
      <c r="Q8" s="16">
        <f t="shared" si="8"/>
        <v>21</v>
      </c>
      <c r="R8" s="16"/>
      <c r="S8" s="21">
        <v>1.85969084423305</v>
      </c>
      <c r="T8" s="14">
        <v>0</v>
      </c>
      <c r="U8" s="22" t="s">
        <v>34</v>
      </c>
      <c r="V8" s="23" t="s">
        <v>34</v>
      </c>
      <c r="W8" s="14">
        <v>0</v>
      </c>
      <c r="X8" s="24">
        <f t="shared" si="9"/>
        <v>0</v>
      </c>
      <c r="Y8" s="25">
        <f t="shared" si="10"/>
        <v>0</v>
      </c>
      <c r="Z8" s="14">
        <v>0</v>
      </c>
      <c r="AA8" s="14" t="s">
        <v>35</v>
      </c>
      <c r="AB8" s="27">
        <f t="shared" si="11"/>
        <v>-0.69</v>
      </c>
      <c r="AC8" s="28">
        <v>6.8531250000000002E-2</v>
      </c>
      <c r="AD8" s="25">
        <f t="shared" si="12"/>
        <v>-1.70231625</v>
      </c>
      <c r="AE8" s="25">
        <v>-5.8</v>
      </c>
      <c r="AF8" s="25">
        <v>-8.24</v>
      </c>
      <c r="AG8" s="25">
        <v>0</v>
      </c>
    </row>
    <row r="9" spans="1:33" ht="15.75" customHeight="1">
      <c r="A9" s="14" t="s">
        <v>191</v>
      </c>
      <c r="B9" s="14" t="s">
        <v>1034</v>
      </c>
      <c r="C9" s="15">
        <f t="shared" si="4"/>
        <v>33.362857142857138</v>
      </c>
      <c r="D9" s="16">
        <v>7</v>
      </c>
      <c r="E9" s="16">
        <v>0</v>
      </c>
      <c r="F9" s="29">
        <v>233.53999999999996</v>
      </c>
      <c r="G9" s="29">
        <v>0</v>
      </c>
      <c r="H9" s="18">
        <f t="shared" si="1"/>
        <v>0</v>
      </c>
      <c r="I9" s="18">
        <f t="shared" si="2"/>
        <v>0.42123487733666659</v>
      </c>
      <c r="J9" s="17">
        <f t="shared" si="5"/>
        <v>98.375193253205097</v>
      </c>
      <c r="K9" s="17">
        <f t="shared" si="3"/>
        <v>14.053599036172157</v>
      </c>
      <c r="L9" s="16">
        <v>50</v>
      </c>
      <c r="M9" s="19">
        <f t="shared" si="6"/>
        <v>0.14000000000000001</v>
      </c>
      <c r="N9" s="16">
        <v>43</v>
      </c>
      <c r="O9" s="20">
        <f t="shared" ref="O9:P9" si="17">D9/7</f>
        <v>1</v>
      </c>
      <c r="P9" s="20">
        <f t="shared" si="17"/>
        <v>0</v>
      </c>
      <c r="Q9" s="16">
        <f t="shared" si="8"/>
        <v>43</v>
      </c>
      <c r="R9" s="16"/>
      <c r="S9" s="21">
        <v>3.3333333333333299</v>
      </c>
      <c r="T9" s="14">
        <v>0</v>
      </c>
      <c r="U9" s="22" t="s">
        <v>34</v>
      </c>
      <c r="V9" s="23" t="s">
        <v>34</v>
      </c>
      <c r="W9" s="14">
        <v>0</v>
      </c>
      <c r="X9" s="24">
        <f t="shared" si="9"/>
        <v>0</v>
      </c>
      <c r="Y9" s="25">
        <f t="shared" si="10"/>
        <v>0</v>
      </c>
      <c r="Z9" s="14">
        <v>0</v>
      </c>
      <c r="AA9" s="14" t="s">
        <v>35</v>
      </c>
      <c r="AB9" s="27">
        <f t="shared" si="11"/>
        <v>-0.69</v>
      </c>
      <c r="AC9" s="28">
        <v>6.8531250000000002E-2</v>
      </c>
      <c r="AD9" s="25">
        <f t="shared" si="12"/>
        <v>-0.66201187499999992</v>
      </c>
      <c r="AE9" s="25">
        <v>-5.8</v>
      </c>
      <c r="AF9" s="25">
        <v>-8.4102564102564106</v>
      </c>
      <c r="AG9" s="25">
        <v>0</v>
      </c>
    </row>
    <row r="10" spans="1:33" ht="15.75" customHeight="1">
      <c r="A10" s="14" t="s">
        <v>192</v>
      </c>
      <c r="B10" s="14" t="s">
        <v>1035</v>
      </c>
      <c r="C10" s="15">
        <f t="shared" si="4"/>
        <v>29.958571428571435</v>
      </c>
      <c r="D10" s="16">
        <v>14</v>
      </c>
      <c r="E10" s="16">
        <v>0</v>
      </c>
      <c r="F10" s="29">
        <v>419.42000000000007</v>
      </c>
      <c r="G10" s="29">
        <v>0</v>
      </c>
      <c r="H10" s="18">
        <f t="shared" si="1"/>
        <v>0</v>
      </c>
      <c r="I10" s="18">
        <f t="shared" si="2"/>
        <v>0.37251296196273487</v>
      </c>
      <c r="J10" s="17">
        <f t="shared" si="5"/>
        <v>156.23938650641028</v>
      </c>
      <c r="K10" s="17">
        <f t="shared" si="3"/>
        <v>11.159956179029306</v>
      </c>
      <c r="L10" s="16">
        <v>48</v>
      </c>
      <c r="M10" s="19">
        <f t="shared" si="6"/>
        <v>0.29166666666666669</v>
      </c>
      <c r="N10" s="16">
        <v>54</v>
      </c>
      <c r="O10" s="20">
        <f t="shared" ref="O10:P10" si="18">D10/7</f>
        <v>2</v>
      </c>
      <c r="P10" s="20">
        <f t="shared" si="18"/>
        <v>0</v>
      </c>
      <c r="Q10" s="16">
        <f t="shared" si="8"/>
        <v>27</v>
      </c>
      <c r="R10" s="16"/>
      <c r="S10" s="21">
        <v>2.4878957169459901</v>
      </c>
      <c r="T10" s="14">
        <v>0</v>
      </c>
      <c r="U10" s="22" t="s">
        <v>34</v>
      </c>
      <c r="V10" s="23" t="s">
        <v>34</v>
      </c>
      <c r="W10" s="14">
        <v>0</v>
      </c>
      <c r="X10" s="24">
        <f t="shared" si="9"/>
        <v>0</v>
      </c>
      <c r="Y10" s="25">
        <f t="shared" si="10"/>
        <v>0</v>
      </c>
      <c r="Z10" s="14">
        <v>0</v>
      </c>
      <c r="AA10" s="14" t="s">
        <v>35</v>
      </c>
      <c r="AB10" s="27">
        <f t="shared" si="11"/>
        <v>-0.69</v>
      </c>
      <c r="AC10" s="28">
        <v>6.8531250000000002E-2</v>
      </c>
      <c r="AD10" s="25">
        <f t="shared" si="12"/>
        <v>-1.3240237499999998</v>
      </c>
      <c r="AE10" s="25">
        <v>-5.8</v>
      </c>
      <c r="AF10" s="25">
        <v>-8.4102564102564106</v>
      </c>
      <c r="AG10" s="25">
        <v>0</v>
      </c>
    </row>
    <row r="11" spans="1:33" ht="15.75" customHeight="1">
      <c r="A11" s="14" t="s">
        <v>193</v>
      </c>
      <c r="B11" s="14" t="s">
        <v>45</v>
      </c>
      <c r="C11" s="15">
        <f t="shared" si="4"/>
        <v>23.231458333333336</v>
      </c>
      <c r="D11" s="16">
        <v>48</v>
      </c>
      <c r="E11" s="16">
        <v>3</v>
      </c>
      <c r="F11" s="29">
        <v>1115.1100000000001</v>
      </c>
      <c r="G11" s="29">
        <v>-0.05</v>
      </c>
      <c r="H11" s="18">
        <f t="shared" si="1"/>
        <v>4.4838625785796913E-5</v>
      </c>
      <c r="I11" s="18">
        <f t="shared" si="2"/>
        <v>0.23420261885167595</v>
      </c>
      <c r="J11" s="17">
        <f t="shared" si="5"/>
        <v>261.16168230769239</v>
      </c>
      <c r="K11" s="17">
        <f t="shared" si="3"/>
        <v>5.4408683814102581</v>
      </c>
      <c r="L11" s="16">
        <v>79</v>
      </c>
      <c r="M11" s="19">
        <f t="shared" si="6"/>
        <v>0.60759493670886078</v>
      </c>
      <c r="N11" s="16">
        <v>18</v>
      </c>
      <c r="O11" s="20">
        <f t="shared" ref="O11:P11" si="19">D11/7</f>
        <v>6.8571428571428568</v>
      </c>
      <c r="P11" s="20">
        <f t="shared" si="19"/>
        <v>0.42857142857142855</v>
      </c>
      <c r="Q11" s="16">
        <f t="shared" si="8"/>
        <v>2</v>
      </c>
      <c r="R11" s="16"/>
      <c r="S11" s="21">
        <v>2.9521640091116099</v>
      </c>
      <c r="T11" s="14">
        <v>102</v>
      </c>
      <c r="U11" s="22" t="s">
        <v>34</v>
      </c>
      <c r="V11" s="23" t="s">
        <v>34</v>
      </c>
      <c r="W11" s="14">
        <v>0</v>
      </c>
      <c r="X11" s="24">
        <f t="shared" si="9"/>
        <v>0</v>
      </c>
      <c r="Y11" s="25">
        <f t="shared" si="10"/>
        <v>0</v>
      </c>
      <c r="Z11" s="14">
        <v>0</v>
      </c>
      <c r="AA11" s="14" t="s">
        <v>35</v>
      </c>
      <c r="AB11" s="27">
        <f t="shared" si="11"/>
        <v>-0.69</v>
      </c>
      <c r="AC11" s="28">
        <v>6.8531250000000002E-2</v>
      </c>
      <c r="AD11" s="25">
        <f t="shared" si="12"/>
        <v>-4.5395099999999999</v>
      </c>
      <c r="AE11" s="25">
        <v>-5.8</v>
      </c>
      <c r="AF11" s="25">
        <v>-8.4102564102564106</v>
      </c>
      <c r="AG11" s="25">
        <v>0</v>
      </c>
    </row>
    <row r="12" spans="1:33" ht="15.75" customHeight="1">
      <c r="A12" s="14" t="s">
        <v>195</v>
      </c>
      <c r="B12" s="14" t="s">
        <v>45</v>
      </c>
      <c r="C12" s="15">
        <f t="shared" si="4"/>
        <v>24.188571428571429</v>
      </c>
      <c r="D12" s="16">
        <v>7</v>
      </c>
      <c r="E12" s="16">
        <v>0</v>
      </c>
      <c r="F12" s="29">
        <v>169.32</v>
      </c>
      <c r="G12" s="29">
        <v>0</v>
      </c>
      <c r="H12" s="18">
        <f t="shared" si="1"/>
        <v>0</v>
      </c>
      <c r="I12" s="18">
        <f t="shared" si="2"/>
        <v>0.25861205559417155</v>
      </c>
      <c r="J12" s="17">
        <f t="shared" si="5"/>
        <v>43.788193253205122</v>
      </c>
      <c r="K12" s="17">
        <f t="shared" si="3"/>
        <v>6.2554561790293031</v>
      </c>
      <c r="L12" s="16">
        <v>49</v>
      </c>
      <c r="M12" s="19">
        <f t="shared" si="6"/>
        <v>0.14285714285714285</v>
      </c>
      <c r="N12" s="16">
        <v>4</v>
      </c>
      <c r="O12" s="20">
        <f t="shared" ref="O12:P12" si="20">D12/7</f>
        <v>1</v>
      </c>
      <c r="P12" s="20">
        <f t="shared" si="20"/>
        <v>0</v>
      </c>
      <c r="Q12" s="16">
        <f t="shared" si="8"/>
        <v>4</v>
      </c>
      <c r="R12" s="16"/>
      <c r="S12" s="21">
        <v>3.81873111782477</v>
      </c>
      <c r="T12" s="14">
        <v>102</v>
      </c>
      <c r="U12" s="22" t="s">
        <v>34</v>
      </c>
      <c r="V12" s="23" t="s">
        <v>34</v>
      </c>
      <c r="W12" s="14">
        <v>0</v>
      </c>
      <c r="X12" s="24">
        <f t="shared" si="9"/>
        <v>0</v>
      </c>
      <c r="Y12" s="25">
        <f t="shared" si="10"/>
        <v>0</v>
      </c>
      <c r="Z12" s="14">
        <v>0</v>
      </c>
      <c r="AA12" s="14" t="s">
        <v>35</v>
      </c>
      <c r="AB12" s="27">
        <f t="shared" si="11"/>
        <v>-0.69</v>
      </c>
      <c r="AC12" s="28">
        <v>6.8531250000000002E-2</v>
      </c>
      <c r="AD12" s="25">
        <f t="shared" si="12"/>
        <v>-0.66201187499999992</v>
      </c>
      <c r="AE12" s="25">
        <v>-5.8</v>
      </c>
      <c r="AF12" s="25">
        <v>-8.4102564102564106</v>
      </c>
      <c r="AG12" s="25">
        <v>0</v>
      </c>
    </row>
    <row r="13" spans="1:33" ht="15.75" customHeight="1">
      <c r="A13" s="14" t="s">
        <v>197</v>
      </c>
      <c r="B13" s="14" t="s">
        <v>45</v>
      </c>
      <c r="C13" s="15">
        <f t="shared" si="4"/>
        <v>21.95</v>
      </c>
      <c r="D13" s="16">
        <v>1</v>
      </c>
      <c r="E13" s="16">
        <v>0</v>
      </c>
      <c r="F13" s="17">
        <v>21.95</v>
      </c>
      <c r="G13" s="29">
        <v>0</v>
      </c>
      <c r="H13" s="18">
        <f t="shared" si="1"/>
        <v>0</v>
      </c>
      <c r="I13" s="18">
        <f t="shared" si="2"/>
        <v>0.19421079157175394</v>
      </c>
      <c r="J13" s="17">
        <f t="shared" si="5"/>
        <v>4.2629268749999989</v>
      </c>
      <c r="K13" s="17">
        <f t="shared" si="3"/>
        <v>4.2629268749999989</v>
      </c>
      <c r="L13" s="16">
        <v>20</v>
      </c>
      <c r="M13" s="19">
        <f t="shared" si="6"/>
        <v>0.05</v>
      </c>
      <c r="N13" s="16">
        <v>4</v>
      </c>
      <c r="O13" s="20">
        <f t="shared" ref="O13:P13" si="21">D13/7</f>
        <v>0.14285714285714285</v>
      </c>
      <c r="P13" s="20">
        <f t="shared" si="21"/>
        <v>0</v>
      </c>
      <c r="Q13" s="16">
        <f t="shared" si="8"/>
        <v>28</v>
      </c>
      <c r="R13" s="16"/>
      <c r="S13" s="21">
        <v>3.97419354838709</v>
      </c>
      <c r="T13" s="14">
        <v>102</v>
      </c>
      <c r="U13" s="22" t="s">
        <v>34</v>
      </c>
      <c r="V13" s="23" t="s">
        <v>34</v>
      </c>
      <c r="W13" s="14">
        <v>0</v>
      </c>
      <c r="X13" s="24">
        <f t="shared" si="9"/>
        <v>0</v>
      </c>
      <c r="Y13" s="25">
        <f t="shared" si="10"/>
        <v>0</v>
      </c>
      <c r="Z13" s="14">
        <v>0</v>
      </c>
      <c r="AA13" s="14" t="s">
        <v>35</v>
      </c>
      <c r="AB13" s="27">
        <f t="shared" si="11"/>
        <v>-0.69</v>
      </c>
      <c r="AC13" s="28">
        <v>6.8531250000000002E-2</v>
      </c>
      <c r="AD13" s="25">
        <f t="shared" si="12"/>
        <v>-9.4573124999999994E-2</v>
      </c>
      <c r="AE13" s="25">
        <v>-5.8</v>
      </c>
      <c r="AF13" s="25">
        <v>-8.5</v>
      </c>
      <c r="AG13" s="25">
        <v>0</v>
      </c>
    </row>
    <row r="14" spans="1:33" ht="15.75" customHeight="1">
      <c r="A14" s="14" t="s">
        <v>32</v>
      </c>
      <c r="B14" s="14" t="s">
        <v>45</v>
      </c>
      <c r="C14" s="15">
        <f t="shared" si="4"/>
        <v>21.95</v>
      </c>
      <c r="D14" s="16">
        <v>1</v>
      </c>
      <c r="E14" s="16">
        <v>0</v>
      </c>
      <c r="F14" s="17">
        <v>21.95</v>
      </c>
      <c r="G14" s="29">
        <v>0</v>
      </c>
      <c r="H14" s="18">
        <f t="shared" si="1"/>
        <v>0</v>
      </c>
      <c r="I14" s="18">
        <f t="shared" si="2"/>
        <v>0.19421079157175394</v>
      </c>
      <c r="J14" s="17">
        <f t="shared" si="5"/>
        <v>4.2629268749999989</v>
      </c>
      <c r="K14" s="17">
        <f t="shared" si="3"/>
        <v>4.2629268749999989</v>
      </c>
      <c r="L14" s="16">
        <v>32</v>
      </c>
      <c r="M14" s="19">
        <f t="shared" si="6"/>
        <v>3.125E-2</v>
      </c>
      <c r="N14" s="16">
        <v>5</v>
      </c>
      <c r="O14" s="20">
        <f t="shared" ref="O14:P14" si="22">D14/7</f>
        <v>0.14285714285714285</v>
      </c>
      <c r="P14" s="20">
        <f t="shared" si="22"/>
        <v>0</v>
      </c>
      <c r="Q14" s="16">
        <f t="shared" si="8"/>
        <v>35</v>
      </c>
      <c r="R14" s="16"/>
      <c r="S14" s="21" t="e">
        <v>#N/A</v>
      </c>
      <c r="T14" s="14">
        <v>102</v>
      </c>
      <c r="U14" s="22" t="s">
        <v>34</v>
      </c>
      <c r="V14" s="23" t="s">
        <v>34</v>
      </c>
      <c r="W14" s="14">
        <v>0</v>
      </c>
      <c r="X14" s="24">
        <f t="shared" si="9"/>
        <v>0</v>
      </c>
      <c r="Y14" s="25">
        <f t="shared" si="10"/>
        <v>0</v>
      </c>
      <c r="Z14" s="14">
        <v>0</v>
      </c>
      <c r="AA14" s="14" t="s">
        <v>35</v>
      </c>
      <c r="AB14" s="27">
        <f t="shared" si="11"/>
        <v>-0.69</v>
      </c>
      <c r="AC14" s="28">
        <v>6.8531250000000002E-2</v>
      </c>
      <c r="AD14" s="25">
        <f t="shared" si="12"/>
        <v>-9.4573124999999994E-2</v>
      </c>
      <c r="AE14" s="25">
        <v>-5.8</v>
      </c>
      <c r="AF14" s="25">
        <v>-8.5</v>
      </c>
      <c r="AG14" s="25">
        <v>0</v>
      </c>
    </row>
    <row r="15" spans="1:33" ht="15.75" customHeight="1">
      <c r="A15" s="14" t="s">
        <v>36</v>
      </c>
      <c r="B15" s="14" t="s">
        <v>1036</v>
      </c>
      <c r="C15" s="15">
        <f t="shared" si="4"/>
        <v>22.107297297297308</v>
      </c>
      <c r="D15" s="16">
        <v>37</v>
      </c>
      <c r="E15" s="16">
        <v>4</v>
      </c>
      <c r="F15" s="17">
        <v>817.97000000000037</v>
      </c>
      <c r="G15" s="29">
        <v>-0.02</v>
      </c>
      <c r="H15" s="18">
        <f t="shared" si="1"/>
        <v>2.4450774478281591E-5</v>
      </c>
      <c r="I15" s="18">
        <f t="shared" si="2"/>
        <v>0.20518514661295681</v>
      </c>
      <c r="J15" s="17">
        <f t="shared" si="5"/>
        <v>167.83529437500036</v>
      </c>
      <c r="K15" s="17">
        <f t="shared" si="3"/>
        <v>4.5360890371621716</v>
      </c>
      <c r="L15" s="16">
        <v>54</v>
      </c>
      <c r="M15" s="19">
        <f t="shared" si="6"/>
        <v>0.68518518518518523</v>
      </c>
      <c r="N15" s="16">
        <v>173</v>
      </c>
      <c r="O15" s="20">
        <f t="shared" ref="O15:P15" si="23">D15/7</f>
        <v>5.2857142857142856</v>
      </c>
      <c r="P15" s="20">
        <f t="shared" si="23"/>
        <v>0.5714285714285714</v>
      </c>
      <c r="Q15" s="16">
        <f t="shared" si="8"/>
        <v>29</v>
      </c>
      <c r="R15" s="16"/>
      <c r="S15" s="21">
        <v>1.9113680154142501</v>
      </c>
      <c r="T15" s="14">
        <v>102</v>
      </c>
      <c r="U15" s="22" t="s">
        <v>34</v>
      </c>
      <c r="V15" s="23" t="s">
        <v>34</v>
      </c>
      <c r="W15" s="14">
        <v>0</v>
      </c>
      <c r="X15" s="24">
        <f t="shared" si="9"/>
        <v>0</v>
      </c>
      <c r="Y15" s="25">
        <f t="shared" si="10"/>
        <v>0</v>
      </c>
      <c r="Z15" s="14">
        <v>0</v>
      </c>
      <c r="AA15" s="14" t="s">
        <v>35</v>
      </c>
      <c r="AB15" s="27">
        <f t="shared" si="11"/>
        <v>-0.69</v>
      </c>
      <c r="AC15" s="28">
        <v>6.8531250000000002E-2</v>
      </c>
      <c r="AD15" s="25">
        <f t="shared" si="12"/>
        <v>-3.4992056249999997</v>
      </c>
      <c r="AE15" s="25">
        <v>-5.8</v>
      </c>
      <c r="AF15" s="25">
        <v>-8.36</v>
      </c>
      <c r="AG15" s="25">
        <v>0</v>
      </c>
    </row>
    <row r="16" spans="1:33" ht="15.75" customHeight="1">
      <c r="A16" s="14" t="s">
        <v>38</v>
      </c>
      <c r="B16" s="14" t="s">
        <v>1037</v>
      </c>
      <c r="C16" s="15">
        <f t="shared" si="4"/>
        <v>25.11183333333334</v>
      </c>
      <c r="D16" s="16">
        <v>60</v>
      </c>
      <c r="E16" s="16">
        <v>5</v>
      </c>
      <c r="F16" s="17">
        <v>1506.7100000000005</v>
      </c>
      <c r="G16" s="29">
        <v>0</v>
      </c>
      <c r="H16" s="18">
        <f t="shared" si="1"/>
        <v>0</v>
      </c>
      <c r="I16" s="18">
        <f t="shared" si="2"/>
        <v>0.28235633433109242</v>
      </c>
      <c r="J16" s="17">
        <f t="shared" si="5"/>
        <v>425.42911250000037</v>
      </c>
      <c r="K16" s="17">
        <f t="shared" si="3"/>
        <v>7.0904852083333392</v>
      </c>
      <c r="L16" s="16">
        <v>74</v>
      </c>
      <c r="M16" s="19">
        <f t="shared" si="6"/>
        <v>0.81081081081081086</v>
      </c>
      <c r="N16" s="16">
        <v>106</v>
      </c>
      <c r="O16" s="20">
        <f t="shared" ref="O16:P16" si="24">D16/7</f>
        <v>8.5714285714285712</v>
      </c>
      <c r="P16" s="20">
        <f t="shared" si="24"/>
        <v>0.7142857142857143</v>
      </c>
      <c r="Q16" s="16">
        <f t="shared" si="8"/>
        <v>11</v>
      </c>
      <c r="R16" s="16"/>
      <c r="S16" s="21">
        <v>3.1698113207547101</v>
      </c>
      <c r="T16" s="14">
        <v>102</v>
      </c>
      <c r="U16" s="22" t="s">
        <v>34</v>
      </c>
      <c r="V16" s="23" t="s">
        <v>34</v>
      </c>
      <c r="W16" s="14">
        <v>0</v>
      </c>
      <c r="X16" s="24">
        <f t="shared" si="9"/>
        <v>0</v>
      </c>
      <c r="Y16" s="25">
        <f t="shared" si="10"/>
        <v>0</v>
      </c>
      <c r="Z16" s="14">
        <v>0</v>
      </c>
      <c r="AA16" s="14" t="s">
        <v>35</v>
      </c>
      <c r="AB16" s="27">
        <f t="shared" si="11"/>
        <v>-0.69</v>
      </c>
      <c r="AC16" s="28">
        <v>6.8531250000000002E-2</v>
      </c>
      <c r="AD16" s="25">
        <f t="shared" si="12"/>
        <v>-5.6743874999999999</v>
      </c>
      <c r="AE16" s="25">
        <v>-5.8</v>
      </c>
      <c r="AF16" s="25">
        <v>-8.36</v>
      </c>
      <c r="AG16" s="25">
        <v>0</v>
      </c>
    </row>
    <row r="17" spans="1:33" ht="15.75" customHeight="1">
      <c r="A17" s="14" t="s">
        <v>40</v>
      </c>
      <c r="B17" s="14" t="s">
        <v>1038</v>
      </c>
      <c r="C17" s="15">
        <f t="shared" si="4"/>
        <v>26.347096774193556</v>
      </c>
      <c r="D17" s="16">
        <v>31</v>
      </c>
      <c r="E17" s="16">
        <v>0</v>
      </c>
      <c r="F17" s="17">
        <v>816.76000000000022</v>
      </c>
      <c r="G17" s="29">
        <v>0</v>
      </c>
      <c r="H17" s="18">
        <f t="shared" si="1"/>
        <v>0</v>
      </c>
      <c r="I17" s="18">
        <f t="shared" si="2"/>
        <v>0.30896987257578751</v>
      </c>
      <c r="J17" s="17">
        <f t="shared" si="5"/>
        <v>252.35423312500026</v>
      </c>
      <c r="K17" s="17">
        <f t="shared" si="3"/>
        <v>8.1404591330645246</v>
      </c>
      <c r="L17" s="16">
        <v>50</v>
      </c>
      <c r="M17" s="19">
        <f t="shared" si="6"/>
        <v>0.62</v>
      </c>
      <c r="N17" s="16">
        <v>81</v>
      </c>
      <c r="O17" s="20">
        <f t="shared" ref="O17:P17" si="25">D17/7</f>
        <v>4.4285714285714288</v>
      </c>
      <c r="P17" s="20">
        <f t="shared" si="25"/>
        <v>0</v>
      </c>
      <c r="Q17" s="16">
        <f t="shared" si="8"/>
        <v>18</v>
      </c>
      <c r="R17" s="16"/>
      <c r="S17" s="21">
        <v>4</v>
      </c>
      <c r="T17" s="14">
        <v>102</v>
      </c>
      <c r="U17" s="22" t="s">
        <v>34</v>
      </c>
      <c r="V17" s="23" t="s">
        <v>34</v>
      </c>
      <c r="W17" s="14">
        <v>0</v>
      </c>
      <c r="X17" s="24">
        <f t="shared" si="9"/>
        <v>0</v>
      </c>
      <c r="Y17" s="25">
        <f t="shared" si="10"/>
        <v>0</v>
      </c>
      <c r="Z17" s="14">
        <v>0</v>
      </c>
      <c r="AA17" s="14" t="s">
        <v>35</v>
      </c>
      <c r="AB17" s="27">
        <f t="shared" si="11"/>
        <v>-0.69</v>
      </c>
      <c r="AC17" s="28">
        <v>6.8531250000000002E-2</v>
      </c>
      <c r="AD17" s="25">
        <f t="shared" si="12"/>
        <v>-2.9317668749999997</v>
      </c>
      <c r="AE17" s="25">
        <v>-5.8</v>
      </c>
      <c r="AF17" s="25">
        <v>-8.36</v>
      </c>
      <c r="AG17" s="25">
        <v>0</v>
      </c>
    </row>
    <row r="18" spans="1:33" ht="15.75" customHeight="1">
      <c r="A18" s="14" t="s">
        <v>42</v>
      </c>
      <c r="B18" s="14" t="s">
        <v>1039</v>
      </c>
      <c r="C18" s="15">
        <f t="shared" si="4"/>
        <v>26.122105263157891</v>
      </c>
      <c r="D18" s="16">
        <v>19</v>
      </c>
      <c r="E18" s="16">
        <v>0</v>
      </c>
      <c r="F18" s="17">
        <v>496.31999999999994</v>
      </c>
      <c r="G18" s="29">
        <v>0</v>
      </c>
      <c r="H18" s="18">
        <f t="shared" si="1"/>
        <v>0</v>
      </c>
      <c r="I18" s="18">
        <f t="shared" si="2"/>
        <v>0.30430994242625725</v>
      </c>
      <c r="J18" s="17">
        <f t="shared" si="5"/>
        <v>151.03511062499999</v>
      </c>
      <c r="K18" s="17">
        <f t="shared" si="3"/>
        <v>7.9492163486842102</v>
      </c>
      <c r="L18" s="16">
        <v>56</v>
      </c>
      <c r="M18" s="19">
        <f t="shared" si="6"/>
        <v>0.3392857142857143</v>
      </c>
      <c r="N18" s="16">
        <v>62</v>
      </c>
      <c r="O18" s="20">
        <f t="shared" ref="O18:P18" si="26">D18/7</f>
        <v>2.7142857142857144</v>
      </c>
      <c r="P18" s="20">
        <f t="shared" si="26"/>
        <v>0</v>
      </c>
      <c r="Q18" s="16">
        <f t="shared" si="8"/>
        <v>22</v>
      </c>
      <c r="R18" s="16"/>
      <c r="S18" s="21">
        <v>4.74193548387096</v>
      </c>
      <c r="T18" s="14">
        <v>102</v>
      </c>
      <c r="U18" s="22">
        <v>0</v>
      </c>
      <c r="V18" s="23" t="s">
        <v>34</v>
      </c>
      <c r="W18" s="14">
        <v>0</v>
      </c>
      <c r="X18" s="24">
        <f t="shared" si="9"/>
        <v>0</v>
      </c>
      <c r="Y18" s="25">
        <f t="shared" si="10"/>
        <v>0</v>
      </c>
      <c r="Z18" s="14">
        <v>0</v>
      </c>
      <c r="AA18" s="14" t="s">
        <v>35</v>
      </c>
      <c r="AB18" s="27">
        <f t="shared" si="11"/>
        <v>-0.69</v>
      </c>
      <c r="AC18" s="28">
        <v>6.8531250000000002E-2</v>
      </c>
      <c r="AD18" s="25">
        <f t="shared" si="12"/>
        <v>-1.7968893749999999</v>
      </c>
      <c r="AE18" s="25">
        <v>-5.8</v>
      </c>
      <c r="AF18" s="25">
        <v>-8.36</v>
      </c>
      <c r="AG18" s="25">
        <v>0</v>
      </c>
    </row>
    <row r="19" spans="1:33" ht="15.75" customHeight="1">
      <c r="A19" s="14" t="s">
        <v>44</v>
      </c>
      <c r="B19" s="14" t="s">
        <v>1040</v>
      </c>
      <c r="C19" s="15">
        <f t="shared" si="4"/>
        <v>24.703478260869566</v>
      </c>
      <c r="D19" s="16">
        <v>23</v>
      </c>
      <c r="E19" s="16">
        <v>0</v>
      </c>
      <c r="F19" s="17">
        <v>568.18000000000006</v>
      </c>
      <c r="G19" s="29">
        <v>-0.08</v>
      </c>
      <c r="H19" s="18">
        <f t="shared" si="1"/>
        <v>1.4080045056144179E-4</v>
      </c>
      <c r="I19" s="18">
        <f t="shared" si="2"/>
        <v>0.25732834335069887</v>
      </c>
      <c r="J19" s="17">
        <f t="shared" si="5"/>
        <v>146.20881812500011</v>
      </c>
      <c r="K19" s="17">
        <f t="shared" si="3"/>
        <v>6.3569051358695701</v>
      </c>
      <c r="L19" s="16">
        <v>76</v>
      </c>
      <c r="M19" s="19">
        <f t="shared" si="6"/>
        <v>0.30263157894736842</v>
      </c>
      <c r="N19" s="16">
        <v>39</v>
      </c>
      <c r="O19" s="20">
        <f t="shared" ref="O19:P19" si="27">D19/7</f>
        <v>3.2857142857142856</v>
      </c>
      <c r="P19" s="20">
        <f t="shared" si="27"/>
        <v>0</v>
      </c>
      <c r="Q19" s="16">
        <f t="shared" si="8"/>
        <v>11</v>
      </c>
      <c r="R19" s="16"/>
      <c r="S19" s="21">
        <v>2.8807785888077801</v>
      </c>
      <c r="T19" s="14">
        <v>102</v>
      </c>
      <c r="U19" s="22" t="s">
        <v>34</v>
      </c>
      <c r="V19" s="23" t="s">
        <v>34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14" t="s">
        <v>35</v>
      </c>
      <c r="AB19" s="27">
        <f t="shared" si="11"/>
        <v>-0.69</v>
      </c>
      <c r="AC19" s="28">
        <v>6.8531250000000002E-2</v>
      </c>
      <c r="AD19" s="25">
        <f t="shared" si="12"/>
        <v>-2.1751818749999998</v>
      </c>
      <c r="AE19" s="25">
        <v>-5.8</v>
      </c>
      <c r="AF19" s="25">
        <v>-8.7429999999999986</v>
      </c>
      <c r="AG19" s="25">
        <v>0</v>
      </c>
    </row>
    <row r="20" spans="1:33" ht="15.75" customHeight="1">
      <c r="A20" s="14" t="s">
        <v>46</v>
      </c>
      <c r="B20" s="14" t="s">
        <v>1041</v>
      </c>
      <c r="C20" s="15">
        <f t="shared" si="4"/>
        <v>24.121153846153845</v>
      </c>
      <c r="D20" s="16">
        <v>26</v>
      </c>
      <c r="E20" s="16">
        <v>1</v>
      </c>
      <c r="F20" s="17">
        <v>627.15</v>
      </c>
      <c r="G20" s="29">
        <v>0</v>
      </c>
      <c r="H20" s="18">
        <f t="shared" si="1"/>
        <v>0</v>
      </c>
      <c r="I20" s="18">
        <f t="shared" si="2"/>
        <v>0.24316447221557846</v>
      </c>
      <c r="J20" s="17">
        <f t="shared" si="5"/>
        <v>152.50059875000002</v>
      </c>
      <c r="K20" s="17">
        <f t="shared" si="3"/>
        <v>5.8654076442307703</v>
      </c>
      <c r="L20" s="16">
        <v>62</v>
      </c>
      <c r="M20" s="19">
        <f t="shared" si="6"/>
        <v>0.41935483870967744</v>
      </c>
      <c r="N20" s="16">
        <v>9</v>
      </c>
      <c r="O20" s="20">
        <f t="shared" ref="O20:P20" si="28">D20/7</f>
        <v>3.7142857142857144</v>
      </c>
      <c r="P20" s="20">
        <f t="shared" si="28"/>
        <v>0.14285714285714285</v>
      </c>
      <c r="Q20" s="16">
        <f t="shared" si="8"/>
        <v>2</v>
      </c>
      <c r="R20" s="16"/>
      <c r="S20" s="21">
        <v>4.5588235294117601</v>
      </c>
      <c r="T20" s="14">
        <v>102</v>
      </c>
      <c r="U20" s="22">
        <v>102</v>
      </c>
      <c r="V20" s="23" t="s">
        <v>1042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14" t="s">
        <v>35</v>
      </c>
      <c r="AB20" s="27">
        <f t="shared" si="11"/>
        <v>-0.69</v>
      </c>
      <c r="AC20" s="28">
        <v>6.8531250000000002E-2</v>
      </c>
      <c r="AD20" s="25">
        <f t="shared" si="12"/>
        <v>-2.4589012499999998</v>
      </c>
      <c r="AE20" s="25">
        <v>-5.8</v>
      </c>
      <c r="AF20" s="25">
        <v>-8.7429999999999986</v>
      </c>
      <c r="AG20" s="25">
        <v>0</v>
      </c>
    </row>
    <row r="21" spans="1:33" ht="15.75" customHeight="1">
      <c r="A21" s="14" t="s">
        <v>47</v>
      </c>
      <c r="B21" s="14" t="s">
        <v>68</v>
      </c>
      <c r="C21" s="15">
        <f t="shared" si="4"/>
        <v>29.289230769230773</v>
      </c>
      <c r="D21" s="16">
        <v>13</v>
      </c>
      <c r="E21" s="16">
        <v>1</v>
      </c>
      <c r="F21" s="17">
        <v>380.76000000000005</v>
      </c>
      <c r="G21" s="29">
        <v>0</v>
      </c>
      <c r="H21" s="18">
        <f t="shared" si="1"/>
        <v>0</v>
      </c>
      <c r="I21" s="18">
        <f t="shared" si="2"/>
        <v>0.35024043853083314</v>
      </c>
      <c r="J21" s="17">
        <f t="shared" si="5"/>
        <v>133.35754937500005</v>
      </c>
      <c r="K21" s="17">
        <f t="shared" si="3"/>
        <v>10.258273028846158</v>
      </c>
      <c r="L21" s="16">
        <v>31</v>
      </c>
      <c r="M21" s="19">
        <f t="shared" si="6"/>
        <v>0.41935483870967744</v>
      </c>
      <c r="N21" s="16">
        <v>86</v>
      </c>
      <c r="O21" s="20">
        <f t="shared" ref="O21:P21" si="29">D21/7</f>
        <v>1.8571428571428572</v>
      </c>
      <c r="P21" s="20">
        <f t="shared" si="29"/>
        <v>0.14285714285714285</v>
      </c>
      <c r="Q21" s="16">
        <f t="shared" si="8"/>
        <v>43</v>
      </c>
      <c r="R21" s="16"/>
      <c r="S21" s="21">
        <v>4.8455284552845503</v>
      </c>
      <c r="T21" s="14">
        <v>402</v>
      </c>
      <c r="U21" s="22">
        <v>102</v>
      </c>
      <c r="V21" s="23" t="s">
        <v>1043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14" t="s">
        <v>35</v>
      </c>
      <c r="AB21" s="27">
        <f t="shared" si="11"/>
        <v>-0.69</v>
      </c>
      <c r="AC21" s="28">
        <v>6.8531250000000002E-2</v>
      </c>
      <c r="AD21" s="25">
        <f t="shared" si="12"/>
        <v>-1.2294506249999999</v>
      </c>
      <c r="AE21" s="25">
        <v>-5.8</v>
      </c>
      <c r="AF21" s="25">
        <v>-8.7429999999999986</v>
      </c>
      <c r="AG21" s="25">
        <v>0</v>
      </c>
    </row>
    <row r="22" spans="1:33" ht="15.75" customHeight="1">
      <c r="A22" s="14" t="s">
        <v>48</v>
      </c>
      <c r="B22" s="14" t="s">
        <v>1044</v>
      </c>
      <c r="C22" s="15">
        <f t="shared" si="4"/>
        <v>29.229285714285716</v>
      </c>
      <c r="D22" s="16">
        <v>14</v>
      </c>
      <c r="E22" s="16">
        <v>0</v>
      </c>
      <c r="F22" s="29">
        <v>409.21000000000004</v>
      </c>
      <c r="G22" s="29">
        <v>0</v>
      </c>
      <c r="H22" s="18">
        <f t="shared" si="1"/>
        <v>0</v>
      </c>
      <c r="I22" s="18">
        <f t="shared" si="2"/>
        <v>0.34921550365338094</v>
      </c>
      <c r="J22" s="17">
        <f t="shared" si="5"/>
        <v>142.90247625000003</v>
      </c>
      <c r="K22" s="17">
        <f t="shared" si="3"/>
        <v>10.20731973214286</v>
      </c>
      <c r="L22" s="16">
        <v>39</v>
      </c>
      <c r="M22" s="19">
        <f t="shared" si="6"/>
        <v>0.35897435897435898</v>
      </c>
      <c r="N22" s="16">
        <v>74</v>
      </c>
      <c r="O22" s="20">
        <f t="shared" ref="O22:P22" si="30">D22/7</f>
        <v>2</v>
      </c>
      <c r="P22" s="20">
        <f t="shared" si="30"/>
        <v>0</v>
      </c>
      <c r="Q22" s="16">
        <f t="shared" si="8"/>
        <v>37</v>
      </c>
      <c r="R22" s="16"/>
      <c r="S22" s="21">
        <v>6.1522842639593902</v>
      </c>
      <c r="T22" s="14">
        <v>444</v>
      </c>
      <c r="U22" s="22">
        <v>102</v>
      </c>
      <c r="V22" s="23" t="s">
        <v>1045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35</v>
      </c>
      <c r="AB22" s="27">
        <f t="shared" si="11"/>
        <v>-0.69</v>
      </c>
      <c r="AC22" s="28">
        <v>6.8531250000000002E-2</v>
      </c>
      <c r="AD22" s="25">
        <f t="shared" si="12"/>
        <v>-1.3240237499999998</v>
      </c>
      <c r="AE22" s="25">
        <v>-5.8</v>
      </c>
      <c r="AF22" s="25">
        <v>-8.7429999999999986</v>
      </c>
      <c r="AG22" s="25">
        <v>0</v>
      </c>
    </row>
    <row r="23" spans="1:33" ht="15.75" customHeight="1">
      <c r="A23" s="14" t="s">
        <v>49</v>
      </c>
      <c r="B23" s="14" t="s">
        <v>1046</v>
      </c>
      <c r="C23" s="15">
        <f t="shared" si="4"/>
        <v>27.908888888888882</v>
      </c>
      <c r="D23" s="16">
        <v>9</v>
      </c>
      <c r="E23" s="16">
        <v>0</v>
      </c>
      <c r="F23" s="17">
        <v>251.17999999999995</v>
      </c>
      <c r="G23" s="29">
        <v>0</v>
      </c>
      <c r="H23" s="18">
        <f t="shared" si="1"/>
        <v>0</v>
      </c>
      <c r="I23" s="18">
        <f t="shared" si="2"/>
        <v>0.32552289941476231</v>
      </c>
      <c r="J23" s="17">
        <f t="shared" si="5"/>
        <v>81.764841874999988</v>
      </c>
      <c r="K23" s="17">
        <f t="shared" si="3"/>
        <v>9.084982430555554</v>
      </c>
      <c r="L23" s="16">
        <v>30</v>
      </c>
      <c r="M23" s="19">
        <f t="shared" si="6"/>
        <v>0.3</v>
      </c>
      <c r="N23" s="16">
        <v>58</v>
      </c>
      <c r="O23" s="20">
        <f t="shared" ref="O23:P23" si="31">D23/7</f>
        <v>1.2857142857142858</v>
      </c>
      <c r="P23" s="20">
        <f t="shared" si="31"/>
        <v>0</v>
      </c>
      <c r="Q23" s="16">
        <f t="shared" si="8"/>
        <v>45</v>
      </c>
      <c r="R23" s="16"/>
      <c r="S23" s="21">
        <v>7.4782608695652097</v>
      </c>
      <c r="T23" s="14">
        <v>648</v>
      </c>
      <c r="U23" s="22">
        <v>102</v>
      </c>
      <c r="V23" s="23" t="s">
        <v>1045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35</v>
      </c>
      <c r="AB23" s="27">
        <f t="shared" si="11"/>
        <v>-0.69</v>
      </c>
      <c r="AC23" s="28">
        <v>6.8531250000000002E-2</v>
      </c>
      <c r="AD23" s="25">
        <f t="shared" si="12"/>
        <v>-0.85115812499999999</v>
      </c>
      <c r="AE23" s="25">
        <v>-5.8</v>
      </c>
      <c r="AF23" s="25">
        <v>-8.7429999999999986</v>
      </c>
      <c r="AG23" s="25">
        <v>0</v>
      </c>
    </row>
    <row r="24" spans="1:33" ht="15.75" customHeight="1">
      <c r="A24" s="14" t="s">
        <v>50</v>
      </c>
      <c r="B24" s="14" t="s">
        <v>1047</v>
      </c>
      <c r="C24" s="15">
        <f t="shared" si="4"/>
        <v>24.090454545454541</v>
      </c>
      <c r="D24" s="16">
        <v>22</v>
      </c>
      <c r="E24" s="16">
        <v>0</v>
      </c>
      <c r="F24" s="17">
        <v>529.9899999999999</v>
      </c>
      <c r="G24" s="17">
        <v>0</v>
      </c>
      <c r="H24" s="18">
        <f t="shared" si="1"/>
        <v>0</v>
      </c>
      <c r="I24" s="18">
        <f t="shared" si="2"/>
        <v>0.24239116068227701</v>
      </c>
      <c r="J24" s="17">
        <f t="shared" si="5"/>
        <v>128.46489124999997</v>
      </c>
      <c r="K24" s="17">
        <f t="shared" si="3"/>
        <v>5.839313238636362</v>
      </c>
      <c r="L24" s="16">
        <v>35</v>
      </c>
      <c r="M24" s="19">
        <f t="shared" si="6"/>
        <v>0.62857142857142856</v>
      </c>
      <c r="N24" s="16">
        <v>48</v>
      </c>
      <c r="O24" s="20">
        <f t="shared" ref="O24:P24" si="32">D24/7</f>
        <v>3.1428571428571428</v>
      </c>
      <c r="P24" s="20">
        <f t="shared" si="32"/>
        <v>0</v>
      </c>
      <c r="Q24" s="16">
        <f t="shared" si="8"/>
        <v>15</v>
      </c>
      <c r="R24" s="16"/>
      <c r="S24" s="21">
        <v>3.8929765886287599</v>
      </c>
      <c r="T24" s="14">
        <v>708</v>
      </c>
      <c r="U24" s="22">
        <v>102</v>
      </c>
      <c r="V24" s="23" t="s">
        <v>1048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14" t="s">
        <v>35</v>
      </c>
      <c r="AB24" s="27">
        <f t="shared" si="11"/>
        <v>-0.69</v>
      </c>
      <c r="AC24" s="28">
        <v>6.8531250000000002E-2</v>
      </c>
      <c r="AD24" s="25">
        <f t="shared" si="12"/>
        <v>-2.0806087499999997</v>
      </c>
      <c r="AE24" s="25">
        <v>-5.8</v>
      </c>
      <c r="AF24" s="25">
        <v>-8.7429999999999986</v>
      </c>
      <c r="AG24" s="25">
        <v>0</v>
      </c>
    </row>
    <row r="25" spans="1:33" ht="15.75" customHeight="1">
      <c r="A25" s="14" t="s">
        <v>51</v>
      </c>
      <c r="B25" s="14"/>
      <c r="C25" s="15">
        <f t="shared" si="4"/>
        <v>24.598571428571432</v>
      </c>
      <c r="D25" s="16">
        <v>21</v>
      </c>
      <c r="E25" s="16">
        <v>4</v>
      </c>
      <c r="F25" s="17">
        <v>516.57000000000005</v>
      </c>
      <c r="G25" s="17">
        <v>0</v>
      </c>
      <c r="H25" s="18">
        <f t="shared" si="1"/>
        <v>0</v>
      </c>
      <c r="I25" s="18">
        <f t="shared" si="2"/>
        <v>0.2550641043324236</v>
      </c>
      <c r="J25" s="17">
        <f t="shared" si="5"/>
        <v>131.75846437500007</v>
      </c>
      <c r="K25" s="17">
        <f t="shared" si="3"/>
        <v>6.2742125892857175</v>
      </c>
      <c r="L25" s="16">
        <v>45</v>
      </c>
      <c r="M25" s="19">
        <f t="shared" si="6"/>
        <v>0.46666666666666667</v>
      </c>
      <c r="N25" s="16">
        <v>22</v>
      </c>
      <c r="O25" s="20">
        <f t="shared" ref="O25:P25" si="33">D25/7</f>
        <v>3</v>
      </c>
      <c r="P25" s="20">
        <f t="shared" si="33"/>
        <v>0.5714285714285714</v>
      </c>
      <c r="Q25" s="16">
        <f t="shared" si="8"/>
        <v>6</v>
      </c>
      <c r="R25" s="16"/>
      <c r="S25" s="21">
        <v>5.2612612612612617</v>
      </c>
      <c r="T25" s="14">
        <v>912</v>
      </c>
      <c r="U25" s="22">
        <v>102</v>
      </c>
      <c r="V25" s="23" t="s">
        <v>1049</v>
      </c>
      <c r="W25" s="30">
        <v>0</v>
      </c>
      <c r="X25" s="24">
        <f t="shared" si="9"/>
        <v>0</v>
      </c>
      <c r="Y25" s="25">
        <f t="shared" si="10"/>
        <v>0</v>
      </c>
      <c r="Z25" s="30">
        <v>0</v>
      </c>
      <c r="AA25" s="14" t="s">
        <v>35</v>
      </c>
      <c r="AB25" s="27">
        <f t="shared" si="11"/>
        <v>-0.69</v>
      </c>
      <c r="AC25" s="28">
        <v>6.8531250000000002E-2</v>
      </c>
      <c r="AD25" s="25">
        <f t="shared" si="12"/>
        <v>-1.986035625</v>
      </c>
      <c r="AE25" s="25">
        <v>-5.8</v>
      </c>
      <c r="AF25" s="25">
        <v>-8.74</v>
      </c>
      <c r="AG25" s="25">
        <v>0</v>
      </c>
    </row>
    <row r="26" spans="1:33" ht="15.75" customHeight="1">
      <c r="A26" s="14" t="s">
        <v>52</v>
      </c>
      <c r="B26" s="14" t="s">
        <v>45</v>
      </c>
      <c r="C26" s="15">
        <f t="shared" si="4"/>
        <v>25.559285714285714</v>
      </c>
      <c r="D26" s="16">
        <v>14</v>
      </c>
      <c r="E26" s="16">
        <v>1</v>
      </c>
      <c r="F26" s="17">
        <v>357.83</v>
      </c>
      <c r="G26" s="17">
        <v>0</v>
      </c>
      <c r="H26" s="18">
        <f t="shared" si="1"/>
        <v>0</v>
      </c>
      <c r="I26" s="18">
        <f t="shared" si="2"/>
        <v>0.27730899100131373</v>
      </c>
      <c r="J26" s="17">
        <f t="shared" si="5"/>
        <v>99.22947625000009</v>
      </c>
      <c r="K26" s="17">
        <f t="shared" si="3"/>
        <v>7.0878197321428633</v>
      </c>
      <c r="L26" s="16">
        <v>39</v>
      </c>
      <c r="M26" s="19">
        <f t="shared" si="6"/>
        <v>0.35897435897435898</v>
      </c>
      <c r="N26" s="16">
        <v>4</v>
      </c>
      <c r="O26" s="20">
        <f t="shared" ref="O26:P26" si="34">D26/7</f>
        <v>2</v>
      </c>
      <c r="P26" s="20">
        <f t="shared" si="34"/>
        <v>0.14285714285714285</v>
      </c>
      <c r="Q26" s="16">
        <f t="shared" si="8"/>
        <v>1</v>
      </c>
      <c r="R26" s="16"/>
      <c r="S26" s="21">
        <v>6.7796610169491522</v>
      </c>
      <c r="T26" s="14">
        <v>912</v>
      </c>
      <c r="U26" s="22">
        <v>102</v>
      </c>
      <c r="V26" s="23" t="s">
        <v>1050</v>
      </c>
      <c r="W26" s="30">
        <v>0</v>
      </c>
      <c r="X26" s="24">
        <f t="shared" si="9"/>
        <v>0</v>
      </c>
      <c r="Y26" s="25">
        <f t="shared" si="10"/>
        <v>0</v>
      </c>
      <c r="Z26" s="30">
        <v>0</v>
      </c>
      <c r="AA26" s="14" t="s">
        <v>35</v>
      </c>
      <c r="AB26" s="27">
        <f t="shared" si="11"/>
        <v>-0.69</v>
      </c>
      <c r="AC26" s="28">
        <v>6.8531250000000002E-2</v>
      </c>
      <c r="AD26" s="25">
        <f t="shared" si="12"/>
        <v>-1.3240237499999998</v>
      </c>
      <c r="AE26" s="25">
        <v>-5.8</v>
      </c>
      <c r="AF26" s="25">
        <v>-8.7429999999999897</v>
      </c>
      <c r="AG26" s="25">
        <v>0</v>
      </c>
    </row>
    <row r="27" spans="1:33" ht="15.75" customHeight="1">
      <c r="A27" s="14" t="s">
        <v>53</v>
      </c>
      <c r="B27" s="14" t="s">
        <v>1051</v>
      </c>
      <c r="C27" s="15">
        <f t="shared" si="4"/>
        <v>25.63</v>
      </c>
      <c r="D27" s="16">
        <v>4</v>
      </c>
      <c r="E27" s="16">
        <v>0</v>
      </c>
      <c r="F27" s="17">
        <v>102.52</v>
      </c>
      <c r="G27" s="17">
        <v>0</v>
      </c>
      <c r="H27" s="18">
        <f t="shared" si="1"/>
        <v>0</v>
      </c>
      <c r="I27" s="18">
        <f t="shared" si="2"/>
        <v>0.15742984295747164</v>
      </c>
      <c r="J27" s="17">
        <f t="shared" si="5"/>
        <v>16.139707499999993</v>
      </c>
      <c r="K27" s="17">
        <f t="shared" si="3"/>
        <v>4.0349268749999982</v>
      </c>
      <c r="L27" s="16">
        <v>32</v>
      </c>
      <c r="M27" s="19">
        <f t="shared" si="6"/>
        <v>0.125</v>
      </c>
      <c r="N27" s="16">
        <v>102</v>
      </c>
      <c r="O27" s="20">
        <f t="shared" ref="O27:P27" si="35">D27/7</f>
        <v>0.5714285714285714</v>
      </c>
      <c r="P27" s="20">
        <f t="shared" si="35"/>
        <v>0</v>
      </c>
      <c r="Q27" s="16">
        <f t="shared" si="8"/>
        <v>178</v>
      </c>
      <c r="R27" s="16"/>
      <c r="S27" s="21">
        <v>5.9516908212560384</v>
      </c>
      <c r="T27" s="14">
        <v>810</v>
      </c>
      <c r="U27" s="22">
        <v>138</v>
      </c>
      <c r="V27" s="23" t="s">
        <v>1052</v>
      </c>
      <c r="W27" s="30">
        <v>0</v>
      </c>
      <c r="X27" s="24">
        <f t="shared" si="9"/>
        <v>0</v>
      </c>
      <c r="Y27" s="25">
        <f t="shared" si="10"/>
        <v>0</v>
      </c>
      <c r="Z27" s="30">
        <v>0</v>
      </c>
      <c r="AA27" s="14" t="s">
        <v>35</v>
      </c>
      <c r="AB27" s="27">
        <f t="shared" si="11"/>
        <v>-0.69</v>
      </c>
      <c r="AC27" s="28">
        <v>6.8531250000000002E-2</v>
      </c>
      <c r="AD27" s="25">
        <f t="shared" si="12"/>
        <v>-0.37829249999999998</v>
      </c>
      <c r="AE27" s="25">
        <v>-5.98</v>
      </c>
      <c r="AF27" s="25">
        <v>-11.676</v>
      </c>
      <c r="AG27" s="25">
        <v>0</v>
      </c>
    </row>
    <row r="28" spans="1:33" ht="15.75" customHeight="1">
      <c r="A28" s="14" t="s">
        <v>54</v>
      </c>
      <c r="B28" s="14" t="s">
        <v>1053</v>
      </c>
      <c r="C28" s="15">
        <f t="shared" si="4"/>
        <v>23.469354838709677</v>
      </c>
      <c r="D28" s="16">
        <v>31</v>
      </c>
      <c r="E28" s="16">
        <v>1</v>
      </c>
      <c r="F28" s="17">
        <v>727.55</v>
      </c>
      <c r="G28" s="17">
        <v>0</v>
      </c>
      <c r="H28" s="18">
        <f t="shared" si="1"/>
        <v>0</v>
      </c>
      <c r="I28" s="18">
        <f t="shared" si="2"/>
        <v>9.367017129406896E-2</v>
      </c>
      <c r="J28" s="17">
        <f t="shared" si="5"/>
        <v>68.149733124999869</v>
      </c>
      <c r="K28" s="17">
        <f t="shared" si="3"/>
        <v>2.1983784879032218</v>
      </c>
      <c r="L28" s="16">
        <v>56</v>
      </c>
      <c r="M28" s="19">
        <f t="shared" si="6"/>
        <v>0.5535714285714286</v>
      </c>
      <c r="N28" s="16">
        <v>72</v>
      </c>
      <c r="O28" s="20">
        <f t="shared" ref="O28:P28" si="36">D28/7</f>
        <v>4.4285714285714288</v>
      </c>
      <c r="P28" s="20">
        <f t="shared" si="36"/>
        <v>0.14285714285714285</v>
      </c>
      <c r="Q28" s="16">
        <f t="shared" si="8"/>
        <v>15</v>
      </c>
      <c r="R28" s="16"/>
      <c r="S28" s="21">
        <v>3.3224043715847</v>
      </c>
      <c r="T28" s="14">
        <v>1110</v>
      </c>
      <c r="U28" s="22">
        <v>44395</v>
      </c>
      <c r="V28" s="23" t="s">
        <v>1054</v>
      </c>
      <c r="W28" s="30">
        <v>0</v>
      </c>
      <c r="X28" s="24">
        <f t="shared" si="9"/>
        <v>0</v>
      </c>
      <c r="Y28" s="25">
        <f t="shared" si="10"/>
        <v>0</v>
      </c>
      <c r="Z28" s="30">
        <v>0</v>
      </c>
      <c r="AA28" s="14" t="s">
        <v>35</v>
      </c>
      <c r="AB28" s="27">
        <f t="shared" si="11"/>
        <v>-0.69</v>
      </c>
      <c r="AC28" s="28">
        <v>6.8531250000000002E-2</v>
      </c>
      <c r="AD28" s="25">
        <f t="shared" si="12"/>
        <v>-2.9317668749999997</v>
      </c>
      <c r="AE28" s="25">
        <v>-5.98</v>
      </c>
      <c r="AF28" s="25">
        <v>-11.676</v>
      </c>
      <c r="AG28" s="25">
        <v>0</v>
      </c>
    </row>
    <row r="29" spans="1:33" ht="15.75" customHeight="1">
      <c r="A29" s="14" t="s">
        <v>55</v>
      </c>
      <c r="B29" s="14" t="s">
        <v>760</v>
      </c>
      <c r="C29" s="15">
        <f t="shared" si="4"/>
        <v>24.75</v>
      </c>
      <c r="D29" s="16">
        <v>13</v>
      </c>
      <c r="E29" s="16">
        <v>3</v>
      </c>
      <c r="F29" s="17">
        <v>321.75</v>
      </c>
      <c r="G29" s="17">
        <v>0</v>
      </c>
      <c r="H29" s="18">
        <f t="shared" si="1"/>
        <v>0</v>
      </c>
      <c r="I29" s="18">
        <f t="shared" si="2"/>
        <v>0.13280512626262625</v>
      </c>
      <c r="J29" s="17">
        <f t="shared" si="5"/>
        <v>42.730049374999993</v>
      </c>
      <c r="K29" s="17">
        <f t="shared" si="3"/>
        <v>3.2869268749999994</v>
      </c>
      <c r="L29" s="16">
        <v>45</v>
      </c>
      <c r="M29" s="19">
        <f t="shared" si="6"/>
        <v>0.28888888888888886</v>
      </c>
      <c r="N29" s="16">
        <v>41</v>
      </c>
      <c r="O29" s="20">
        <f t="shared" ref="O29:P29" si="37">D29/7</f>
        <v>1.8571428571428572</v>
      </c>
      <c r="P29" s="20">
        <f t="shared" si="37"/>
        <v>0.42857142857142855</v>
      </c>
      <c r="Q29" s="16">
        <f t="shared" si="8"/>
        <v>17</v>
      </c>
      <c r="R29" s="16"/>
      <c r="S29" s="21">
        <v>3.5857142857142859</v>
      </c>
      <c r="T29" s="14">
        <v>1212</v>
      </c>
      <c r="U29" s="22">
        <v>44395</v>
      </c>
      <c r="V29" s="23" t="s">
        <v>1055</v>
      </c>
      <c r="W29" s="30">
        <v>0</v>
      </c>
      <c r="X29" s="24">
        <f t="shared" si="9"/>
        <v>0</v>
      </c>
      <c r="Y29" s="25">
        <f t="shared" si="10"/>
        <v>0</v>
      </c>
      <c r="Z29" s="30">
        <v>0</v>
      </c>
      <c r="AA29" s="14" t="s">
        <v>35</v>
      </c>
      <c r="AB29" s="27">
        <f t="shared" si="11"/>
        <v>-0.69</v>
      </c>
      <c r="AC29" s="28">
        <v>6.8531250000000002E-2</v>
      </c>
      <c r="AD29" s="25">
        <f t="shared" si="12"/>
        <v>-1.2294506249999999</v>
      </c>
      <c r="AE29" s="25">
        <v>-5.98</v>
      </c>
      <c r="AF29" s="25">
        <v>-11.676</v>
      </c>
      <c r="AG29" s="25">
        <v>0</v>
      </c>
    </row>
    <row r="30" spans="1:33" ht="15.75" customHeight="1">
      <c r="A30" s="14" t="s">
        <v>57</v>
      </c>
      <c r="B30" s="14" t="s">
        <v>68</v>
      </c>
      <c r="C30" s="15">
        <f t="shared" si="4"/>
        <v>26.885714285714283</v>
      </c>
      <c r="D30" s="16">
        <v>14</v>
      </c>
      <c r="E30" s="16">
        <v>2</v>
      </c>
      <c r="F30" s="17">
        <v>376.4</v>
      </c>
      <c r="G30" s="17">
        <v>0</v>
      </c>
      <c r="H30" s="18">
        <f t="shared" si="1"/>
        <v>0</v>
      </c>
      <c r="I30" s="18">
        <f t="shared" si="2"/>
        <v>0.2005979364373007</v>
      </c>
      <c r="J30" s="17">
        <f t="shared" si="5"/>
        <v>75.505063274999983</v>
      </c>
      <c r="K30" s="17">
        <f t="shared" si="3"/>
        <v>5.3932188053571419</v>
      </c>
      <c r="L30" s="16">
        <v>33</v>
      </c>
      <c r="M30" s="19">
        <f t="shared" si="6"/>
        <v>0.42424242424242425</v>
      </c>
      <c r="N30" s="16">
        <v>41</v>
      </c>
      <c r="O30" s="20">
        <f t="shared" ref="O30:P30" si="38">D30/7</f>
        <v>2</v>
      </c>
      <c r="P30" s="20">
        <f t="shared" si="38"/>
        <v>0.2857142857142857</v>
      </c>
      <c r="Q30" s="16">
        <f t="shared" si="8"/>
        <v>17</v>
      </c>
      <c r="R30" s="16"/>
      <c r="S30" s="21">
        <v>3.7795275590551181</v>
      </c>
      <c r="T30" s="14">
        <v>606</v>
      </c>
      <c r="U30" s="22">
        <v>138</v>
      </c>
      <c r="V30" s="23" t="s">
        <v>1056</v>
      </c>
      <c r="W30" s="30">
        <v>0</v>
      </c>
      <c r="X30" s="24">
        <f t="shared" si="9"/>
        <v>0</v>
      </c>
      <c r="Y30" s="25">
        <f t="shared" si="10"/>
        <v>0</v>
      </c>
      <c r="Z30" s="30">
        <v>0</v>
      </c>
      <c r="AA30" s="14" t="s">
        <v>35</v>
      </c>
      <c r="AB30" s="27">
        <f t="shared" si="11"/>
        <v>-0.69</v>
      </c>
      <c r="AC30" s="28">
        <v>6.8531250000000002E-2</v>
      </c>
      <c r="AD30" s="25">
        <f t="shared" si="12"/>
        <v>-1.3240237499999998</v>
      </c>
      <c r="AE30" s="25">
        <v>-5.98</v>
      </c>
      <c r="AF30" s="25">
        <v>-11.385065212500001</v>
      </c>
      <c r="AG30" s="25">
        <v>0</v>
      </c>
    </row>
    <row r="31" spans="1:33" ht="15.75" customHeight="1">
      <c r="A31" s="14" t="s">
        <v>58</v>
      </c>
      <c r="B31" s="14" t="s">
        <v>68</v>
      </c>
      <c r="C31" s="15">
        <f t="shared" si="4"/>
        <v>26.95</v>
      </c>
      <c r="D31" s="16">
        <v>10</v>
      </c>
      <c r="E31" s="16">
        <v>0</v>
      </c>
      <c r="F31" s="17">
        <v>269.5</v>
      </c>
      <c r="G31" s="17">
        <v>0</v>
      </c>
      <c r="H31" s="18">
        <f t="shared" si="1"/>
        <v>0</v>
      </c>
      <c r="I31" s="18">
        <f t="shared" si="2"/>
        <v>0.20214700046382178</v>
      </c>
      <c r="J31" s="17">
        <f t="shared" si="5"/>
        <v>54.478616624999972</v>
      </c>
      <c r="K31" s="17">
        <f t="shared" si="3"/>
        <v>5.4478616624999976</v>
      </c>
      <c r="L31" s="16">
        <v>24</v>
      </c>
      <c r="M31" s="19">
        <f t="shared" si="6"/>
        <v>0.41666666666666669</v>
      </c>
      <c r="N31" s="16">
        <v>25</v>
      </c>
      <c r="O31" s="20">
        <f t="shared" ref="O31:P31" si="39">D31/7</f>
        <v>1.4285714285714286</v>
      </c>
      <c r="P31" s="20">
        <f t="shared" si="39"/>
        <v>0</v>
      </c>
      <c r="Q31" s="16">
        <f t="shared" si="8"/>
        <v>17</v>
      </c>
      <c r="R31" s="16"/>
      <c r="S31" s="21">
        <v>5.0222222222222204</v>
      </c>
      <c r="T31" s="14">
        <v>204</v>
      </c>
      <c r="U31" s="22" t="s">
        <v>34</v>
      </c>
      <c r="V31" s="23" t="s">
        <v>1057</v>
      </c>
      <c r="W31" s="30">
        <v>0</v>
      </c>
      <c r="X31" s="24">
        <f t="shared" si="9"/>
        <v>0</v>
      </c>
      <c r="Y31" s="25">
        <f t="shared" si="10"/>
        <v>0</v>
      </c>
      <c r="Z31" s="30">
        <v>0</v>
      </c>
      <c r="AA31" s="14" t="s">
        <v>35</v>
      </c>
      <c r="AB31" s="27">
        <f t="shared" si="11"/>
        <v>-0.69</v>
      </c>
      <c r="AC31" s="28">
        <v>6.8531250000000002E-2</v>
      </c>
      <c r="AD31" s="25">
        <f t="shared" si="12"/>
        <v>-0.94573124999999991</v>
      </c>
      <c r="AE31" s="25">
        <v>-5.98</v>
      </c>
      <c r="AF31" s="25">
        <v>-11.385065212500001</v>
      </c>
      <c r="AG31" s="25">
        <v>0</v>
      </c>
    </row>
    <row r="32" spans="1:33" ht="15.75" customHeight="1">
      <c r="A32" s="14" t="s">
        <v>60</v>
      </c>
      <c r="B32" s="14"/>
      <c r="C32" s="15">
        <f t="shared" si="4"/>
        <v>26.95</v>
      </c>
      <c r="D32" s="16">
        <v>10</v>
      </c>
      <c r="E32" s="16">
        <v>0</v>
      </c>
      <c r="F32" s="17">
        <v>269.5</v>
      </c>
      <c r="G32" s="17">
        <v>0</v>
      </c>
      <c r="H32" s="18">
        <f t="shared" si="1"/>
        <v>0</v>
      </c>
      <c r="I32" s="18">
        <f t="shared" si="2"/>
        <v>0.20214700046382178</v>
      </c>
      <c r="J32" s="17">
        <f t="shared" si="5"/>
        <v>54.478616624999972</v>
      </c>
      <c r="K32" s="17">
        <f t="shared" si="3"/>
        <v>5.4478616624999976</v>
      </c>
      <c r="L32" s="16">
        <v>29</v>
      </c>
      <c r="M32" s="19">
        <f t="shared" si="6"/>
        <v>0.34482758620689657</v>
      </c>
      <c r="N32" s="16">
        <v>14</v>
      </c>
      <c r="O32" s="20">
        <f t="shared" ref="O32:P32" si="40">D32/7</f>
        <v>1.4285714285714286</v>
      </c>
      <c r="P32" s="20">
        <f t="shared" si="40"/>
        <v>0</v>
      </c>
      <c r="Q32" s="16">
        <f t="shared" si="8"/>
        <v>9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3.9620853080568721</v>
      </c>
      <c r="T32" s="14">
        <f ca="1">IFERROR(__xludf.DUMMYFUNCTION("IFERROR(VLOOKUP($B$2,IMPORTRANGE(""https://docs.google.com/spreadsheets/d/1KiWZV1ko8G7lnRucBRBd29jj3Be6ltMfljMDqzOkQmI/edit#gid=1381463014"",""Lookup!A:D""),4,FALSE),"""")"),204)</f>
        <v>204</v>
      </c>
      <c r="U32" s="22">
        <f ca="1">IFERROR(__xludf.DUMMYFUNCTION("IFERROR(VLOOKUP($B$2,IMPORTRANGE(""https://docs.google.com/spreadsheets/d/1KiWZV1ko8G7lnRucBRBd29jj3Be6ltMfljMDqzOkQmI/edit#gid=1381463014"",""Lookup!A:D""),3,FALSE),"""")"),402)</f>
        <v>402</v>
      </c>
      <c r="V32" s="23" t="str">
        <f ca="1">IFERROR(__xludf.DUMMYFUNCTION("IFERROR(VLOOKUP($B$2,IMPORTRANGE(""https://docs.google.com/spreadsheets/d/1KiWZV1ko8G7lnRucBRBd29jj3Be6ltMfljMDqzOkQmI/edit#gid=1381463014"",""Lookup!A:D""),2,FALSE),"""")"),"| 413  - 138 units 07/26| 414  - 162 units 08/02| 418  - 102 units 09/03")</f>
        <v>| 413  - 138 units 07/26| 414  - 162 units 08/02| 418  - 102 units 09/03</v>
      </c>
      <c r="W32" s="30">
        <v>0</v>
      </c>
      <c r="X32" s="24">
        <f t="shared" si="9"/>
        <v>0</v>
      </c>
      <c r="Y32" s="25">
        <f t="shared" si="10"/>
        <v>0</v>
      </c>
      <c r="Z32" s="30">
        <v>0</v>
      </c>
      <c r="AA32" s="14" t="s">
        <v>35</v>
      </c>
      <c r="AB32" s="27">
        <f t="shared" si="11"/>
        <v>-0.69</v>
      </c>
      <c r="AC32" s="28">
        <v>6.8531250000000002E-2</v>
      </c>
      <c r="AD32" s="25">
        <f t="shared" si="12"/>
        <v>-0.94573124999999991</v>
      </c>
      <c r="AE32" s="25">
        <v>-5.98</v>
      </c>
      <c r="AF32" s="25">
        <v>-11.385065212500001</v>
      </c>
      <c r="AG32" s="25">
        <v>0</v>
      </c>
    </row>
    <row r="33" spans="1:33" ht="15.75" customHeight="1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16"/>
      <c r="S33" s="21"/>
      <c r="T33" s="31"/>
      <c r="U33" s="36"/>
      <c r="V33" s="1"/>
      <c r="W33" s="31"/>
      <c r="X33" s="31"/>
      <c r="Y33" s="31"/>
      <c r="Z33" s="31"/>
      <c r="AA33" s="2"/>
      <c r="AB33" s="31"/>
      <c r="AC33" s="31"/>
      <c r="AD33" s="31"/>
      <c r="AE33" s="37"/>
      <c r="AF33" s="37"/>
      <c r="AG33" s="37"/>
    </row>
    <row r="34" spans="1:33" ht="15.75" customHeight="1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6"/>
      <c r="V34" s="1"/>
      <c r="W34" s="31"/>
      <c r="X34" s="31"/>
      <c r="Y34" s="31"/>
      <c r="Z34" s="31"/>
      <c r="AA34" s="2"/>
      <c r="AB34" s="31"/>
      <c r="AC34" s="31"/>
      <c r="AD34" s="31"/>
      <c r="AE34" s="37"/>
      <c r="AF34" s="37"/>
      <c r="AG34" s="37"/>
    </row>
    <row r="35" spans="1:33" ht="15.75" customHeight="1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6"/>
      <c r="V35" s="1"/>
      <c r="W35" s="31"/>
      <c r="X35" s="31"/>
      <c r="Y35" s="31"/>
      <c r="Z35" s="31"/>
      <c r="AA35" s="2"/>
      <c r="AB35" s="31"/>
      <c r="AC35" s="31"/>
      <c r="AD35" s="31"/>
      <c r="AE35" s="37"/>
      <c r="AF35" s="37"/>
      <c r="AG35" s="37"/>
    </row>
    <row r="36" spans="1:33" ht="15.75" customHeight="1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6"/>
      <c r="V36" s="1"/>
      <c r="W36" s="31"/>
      <c r="X36" s="31"/>
      <c r="Y36" s="31"/>
      <c r="Z36" s="31"/>
      <c r="AA36" s="2"/>
      <c r="AB36" s="31"/>
      <c r="AC36" s="31"/>
      <c r="AD36" s="31"/>
      <c r="AE36" s="37"/>
      <c r="AF36" s="37"/>
      <c r="AG36" s="37"/>
    </row>
    <row r="37" spans="1:33" ht="15.75" customHeight="1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6"/>
      <c r="V37" s="1"/>
      <c r="W37" s="31"/>
      <c r="X37" s="31"/>
      <c r="Y37" s="31"/>
      <c r="Z37" s="31"/>
      <c r="AA37" s="2"/>
      <c r="AB37" s="31"/>
      <c r="AC37" s="31"/>
      <c r="AD37" s="31"/>
      <c r="AE37" s="37"/>
      <c r="AF37" s="37"/>
      <c r="AG37" s="37"/>
    </row>
    <row r="38" spans="1:33" ht="15.75" customHeight="1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6"/>
      <c r="V38" s="1"/>
      <c r="W38" s="31"/>
      <c r="X38" s="31"/>
      <c r="Y38" s="31"/>
      <c r="Z38" s="31"/>
      <c r="AA38" s="2"/>
      <c r="AB38" s="31"/>
      <c r="AC38" s="31"/>
      <c r="AD38" s="31"/>
      <c r="AE38" s="37"/>
      <c r="AF38" s="37"/>
      <c r="AG38" s="37"/>
    </row>
    <row r="39" spans="1:33" ht="15.75" customHeight="1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6"/>
      <c r="V39" s="1"/>
      <c r="W39" s="31"/>
      <c r="X39" s="31"/>
      <c r="Y39" s="31"/>
      <c r="Z39" s="31"/>
      <c r="AA39" s="2"/>
      <c r="AB39" s="31"/>
      <c r="AC39" s="31"/>
      <c r="AD39" s="31"/>
      <c r="AE39" s="37"/>
      <c r="AF39" s="37"/>
      <c r="AG39" s="37"/>
    </row>
    <row r="40" spans="1:33" ht="15.75" customHeight="1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6"/>
      <c r="V40" s="1"/>
      <c r="W40" s="31"/>
      <c r="X40" s="31"/>
      <c r="Y40" s="31"/>
      <c r="Z40" s="31"/>
      <c r="AA40" s="2"/>
      <c r="AB40" s="31"/>
      <c r="AC40" s="31"/>
      <c r="AD40" s="31"/>
      <c r="AE40" s="37"/>
      <c r="AF40" s="37"/>
      <c r="AG40" s="37"/>
    </row>
    <row r="41" spans="1:33" ht="15.75" customHeight="1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6"/>
      <c r="V41" s="1"/>
      <c r="W41" s="31"/>
      <c r="X41" s="31"/>
      <c r="Y41" s="31"/>
      <c r="Z41" s="31"/>
      <c r="AA41" s="2"/>
      <c r="AB41" s="31"/>
      <c r="AC41" s="31"/>
      <c r="AD41" s="31"/>
      <c r="AE41" s="37"/>
      <c r="AF41" s="37"/>
      <c r="AG41" s="37"/>
    </row>
    <row r="42" spans="1:33" ht="15.75" customHeight="1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6"/>
      <c r="V42" s="1"/>
      <c r="W42" s="31"/>
      <c r="X42" s="31"/>
      <c r="Y42" s="31"/>
      <c r="Z42" s="31"/>
      <c r="AA42" s="2"/>
      <c r="AB42" s="31"/>
      <c r="AC42" s="31"/>
      <c r="AD42" s="31"/>
      <c r="AE42" s="37"/>
      <c r="AF42" s="37"/>
      <c r="AG42" s="37"/>
    </row>
    <row r="43" spans="1:33" ht="15.75" customHeight="1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6"/>
      <c r="V43" s="1"/>
      <c r="W43" s="31"/>
      <c r="X43" s="31"/>
      <c r="Y43" s="31"/>
      <c r="Z43" s="31"/>
      <c r="AA43" s="2"/>
      <c r="AB43" s="31"/>
      <c r="AC43" s="31"/>
      <c r="AD43" s="31"/>
      <c r="AE43" s="37"/>
      <c r="AF43" s="37"/>
      <c r="AG43" s="37"/>
    </row>
    <row r="44" spans="1:33" ht="15.75" customHeight="1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6"/>
      <c r="V44" s="1"/>
      <c r="W44" s="31"/>
      <c r="X44" s="31"/>
      <c r="Y44" s="31"/>
      <c r="Z44" s="31"/>
      <c r="AA44" s="2"/>
      <c r="AB44" s="31"/>
      <c r="AC44" s="31"/>
      <c r="AD44" s="31"/>
      <c r="AE44" s="37"/>
      <c r="AF44" s="37"/>
      <c r="AG44" s="37"/>
    </row>
    <row r="45" spans="1:33" ht="15.75" customHeight="1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6"/>
      <c r="V45" s="1"/>
      <c r="W45" s="31"/>
      <c r="X45" s="31"/>
      <c r="Y45" s="31"/>
      <c r="Z45" s="31"/>
      <c r="AA45" s="2"/>
      <c r="AB45" s="31"/>
      <c r="AC45" s="31"/>
      <c r="AD45" s="31"/>
      <c r="AE45" s="37"/>
      <c r="AF45" s="37"/>
      <c r="AG45" s="37"/>
    </row>
    <row r="46" spans="1:33" ht="15.75" customHeight="1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6"/>
      <c r="V46" s="1"/>
      <c r="W46" s="31"/>
      <c r="X46" s="31"/>
      <c r="Y46" s="31"/>
      <c r="Z46" s="31"/>
      <c r="AA46" s="2"/>
      <c r="AB46" s="31"/>
      <c r="AC46" s="31"/>
      <c r="AD46" s="31"/>
      <c r="AE46" s="37"/>
      <c r="AF46" s="37"/>
      <c r="AG46" s="37"/>
    </row>
    <row r="47" spans="1:33" ht="15.75" customHeight="1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6"/>
      <c r="V47" s="1"/>
      <c r="W47" s="31"/>
      <c r="X47" s="31"/>
      <c r="Y47" s="31"/>
      <c r="Z47" s="31"/>
      <c r="AA47" s="2"/>
      <c r="AB47" s="31"/>
      <c r="AC47" s="31"/>
      <c r="AD47" s="31"/>
      <c r="AE47" s="37"/>
      <c r="AF47" s="37"/>
      <c r="AG47" s="37"/>
    </row>
    <row r="48" spans="1:33" ht="15.75" customHeight="1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6"/>
      <c r="V48" s="1"/>
      <c r="W48" s="31"/>
      <c r="X48" s="31"/>
      <c r="Y48" s="31"/>
      <c r="Z48" s="31"/>
      <c r="AA48" s="2"/>
      <c r="AB48" s="31"/>
      <c r="AC48" s="31"/>
      <c r="AD48" s="31"/>
      <c r="AE48" s="37"/>
      <c r="AF48" s="37"/>
      <c r="AG48" s="37"/>
    </row>
    <row r="49" spans="1:33" ht="15.75" customHeight="1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6"/>
      <c r="V49" s="1"/>
      <c r="W49" s="31"/>
      <c r="X49" s="31"/>
      <c r="Y49" s="31"/>
      <c r="Z49" s="31"/>
      <c r="AA49" s="2"/>
      <c r="AB49" s="31"/>
      <c r="AC49" s="31"/>
      <c r="AD49" s="31"/>
      <c r="AE49" s="37"/>
      <c r="AF49" s="37"/>
      <c r="AG49" s="37"/>
    </row>
    <row r="50" spans="1:33" ht="15.75" customHeight="1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6"/>
      <c r="V50" s="1"/>
      <c r="W50" s="31"/>
      <c r="X50" s="31"/>
      <c r="Y50" s="31"/>
      <c r="Z50" s="31"/>
      <c r="AA50" s="2"/>
      <c r="AB50" s="31"/>
      <c r="AC50" s="31"/>
      <c r="AD50" s="31"/>
      <c r="AE50" s="37"/>
      <c r="AF50" s="37"/>
      <c r="AG50" s="37"/>
    </row>
    <row r="51" spans="1:33" ht="15.75" customHeight="1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6"/>
      <c r="V51" s="1"/>
      <c r="W51" s="31"/>
      <c r="X51" s="31"/>
      <c r="Y51" s="31"/>
      <c r="Z51" s="31"/>
      <c r="AA51" s="2"/>
      <c r="AB51" s="31"/>
      <c r="AC51" s="31"/>
      <c r="AD51" s="31"/>
      <c r="AE51" s="37"/>
      <c r="AF51" s="37"/>
      <c r="AG51" s="37"/>
    </row>
    <row r="52" spans="1:33" ht="15.75" customHeight="1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6"/>
      <c r="V52" s="1"/>
      <c r="W52" s="31"/>
      <c r="X52" s="31"/>
      <c r="Y52" s="31"/>
      <c r="Z52" s="31"/>
      <c r="AA52" s="2"/>
      <c r="AB52" s="31"/>
      <c r="AC52" s="31"/>
      <c r="AD52" s="31"/>
      <c r="AE52" s="37"/>
      <c r="AF52" s="37"/>
      <c r="AG52" s="37"/>
    </row>
    <row r="53" spans="1:33" ht="15.75" customHeight="1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6"/>
      <c r="V53" s="1"/>
      <c r="W53" s="31"/>
      <c r="X53" s="31"/>
      <c r="Y53" s="31"/>
      <c r="Z53" s="31"/>
      <c r="AA53" s="2"/>
      <c r="AB53" s="31"/>
      <c r="AC53" s="31"/>
      <c r="AD53" s="31"/>
      <c r="AE53" s="37"/>
      <c r="AF53" s="37"/>
      <c r="AG53" s="37"/>
    </row>
    <row r="54" spans="1:33" ht="15.75" customHeight="1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6"/>
      <c r="V54" s="1"/>
      <c r="W54" s="31"/>
      <c r="X54" s="31"/>
      <c r="Y54" s="31"/>
      <c r="Z54" s="31"/>
      <c r="AA54" s="2"/>
      <c r="AB54" s="31"/>
      <c r="AC54" s="31"/>
      <c r="AD54" s="31"/>
      <c r="AE54" s="37"/>
      <c r="AF54" s="37"/>
      <c r="AG54" s="37"/>
    </row>
    <row r="55" spans="1:33" ht="15.75" customHeight="1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6"/>
      <c r="V55" s="1"/>
      <c r="W55" s="31"/>
      <c r="X55" s="31"/>
      <c r="Y55" s="31"/>
      <c r="Z55" s="31"/>
      <c r="AA55" s="2"/>
      <c r="AB55" s="31"/>
      <c r="AC55" s="31"/>
      <c r="AD55" s="31"/>
      <c r="AE55" s="37"/>
      <c r="AF55" s="37"/>
      <c r="AG55" s="37"/>
    </row>
    <row r="56" spans="1:33" ht="15.75" customHeight="1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6"/>
      <c r="V56" s="1"/>
      <c r="W56" s="31"/>
      <c r="X56" s="31"/>
      <c r="Y56" s="31"/>
      <c r="Z56" s="31"/>
      <c r="AA56" s="2"/>
      <c r="AB56" s="31"/>
      <c r="AC56" s="31"/>
      <c r="AD56" s="31"/>
      <c r="AE56" s="37"/>
      <c r="AF56" s="37"/>
      <c r="AG56" s="37"/>
    </row>
    <row r="57" spans="1:33" ht="15.75" customHeight="1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6"/>
      <c r="V57" s="1"/>
      <c r="W57" s="31"/>
      <c r="X57" s="31"/>
      <c r="Y57" s="31"/>
      <c r="Z57" s="31"/>
      <c r="AA57" s="2"/>
      <c r="AB57" s="31"/>
      <c r="AC57" s="31"/>
      <c r="AD57" s="31"/>
      <c r="AE57" s="37"/>
      <c r="AF57" s="37"/>
      <c r="AG57" s="37"/>
    </row>
    <row r="58" spans="1:33" ht="15.75" customHeight="1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6"/>
      <c r="V58" s="1"/>
      <c r="W58" s="31"/>
      <c r="X58" s="31"/>
      <c r="Y58" s="31"/>
      <c r="Z58" s="31"/>
      <c r="AA58" s="2"/>
      <c r="AB58" s="31"/>
      <c r="AC58" s="31"/>
      <c r="AD58" s="31"/>
      <c r="AE58" s="37"/>
      <c r="AF58" s="37"/>
      <c r="AG58" s="37"/>
    </row>
    <row r="59" spans="1:33" ht="15.75" customHeight="1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6"/>
      <c r="V59" s="1"/>
      <c r="W59" s="31"/>
      <c r="X59" s="31"/>
      <c r="Y59" s="31"/>
      <c r="Z59" s="31"/>
      <c r="AA59" s="2"/>
      <c r="AB59" s="31"/>
      <c r="AC59" s="31"/>
      <c r="AD59" s="31"/>
      <c r="AE59" s="37"/>
      <c r="AF59" s="37"/>
      <c r="AG59" s="37"/>
    </row>
    <row r="60" spans="1:33" ht="15.75" customHeight="1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6"/>
      <c r="V60" s="1"/>
      <c r="W60" s="31"/>
      <c r="X60" s="31"/>
      <c r="Y60" s="31"/>
      <c r="Z60" s="31"/>
      <c r="AA60" s="2"/>
      <c r="AB60" s="31"/>
      <c r="AC60" s="31"/>
      <c r="AD60" s="31"/>
      <c r="AE60" s="37"/>
      <c r="AF60" s="37"/>
      <c r="AG60" s="37"/>
    </row>
    <row r="61" spans="1:33" ht="15.75" customHeight="1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6"/>
      <c r="V61" s="1"/>
      <c r="W61" s="31"/>
      <c r="X61" s="31"/>
      <c r="Y61" s="31"/>
      <c r="Z61" s="31"/>
      <c r="AA61" s="2"/>
      <c r="AB61" s="31"/>
      <c r="AC61" s="31"/>
      <c r="AD61" s="31"/>
      <c r="AE61" s="37"/>
      <c r="AF61" s="37"/>
      <c r="AG61" s="37"/>
    </row>
    <row r="62" spans="1:33" ht="15.75" customHeight="1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6"/>
      <c r="V62" s="1"/>
      <c r="W62" s="31"/>
      <c r="X62" s="31"/>
      <c r="Y62" s="31"/>
      <c r="Z62" s="31"/>
      <c r="AA62" s="2"/>
      <c r="AB62" s="31"/>
      <c r="AC62" s="31"/>
      <c r="AD62" s="31"/>
      <c r="AE62" s="37"/>
      <c r="AF62" s="37"/>
      <c r="AG62" s="37"/>
    </row>
    <row r="63" spans="1:33" ht="15.75" customHeight="1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6"/>
      <c r="V63" s="1"/>
      <c r="W63" s="31"/>
      <c r="X63" s="31"/>
      <c r="Y63" s="31"/>
      <c r="Z63" s="31"/>
      <c r="AA63" s="2"/>
      <c r="AB63" s="31"/>
      <c r="AC63" s="31"/>
      <c r="AD63" s="31"/>
      <c r="AE63" s="37"/>
      <c r="AF63" s="37"/>
      <c r="AG63" s="37"/>
    </row>
    <row r="64" spans="1:33" ht="15.75" customHeight="1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6"/>
      <c r="V64" s="1"/>
      <c r="W64" s="31"/>
      <c r="X64" s="31"/>
      <c r="Y64" s="31"/>
      <c r="Z64" s="31"/>
      <c r="AA64" s="2"/>
      <c r="AB64" s="31"/>
      <c r="AC64" s="31"/>
      <c r="AD64" s="31"/>
      <c r="AE64" s="37"/>
      <c r="AF64" s="37"/>
      <c r="AG64" s="37"/>
    </row>
    <row r="65" spans="1:33" ht="15.75" customHeight="1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6"/>
      <c r="V65" s="1"/>
      <c r="W65" s="31"/>
      <c r="X65" s="31"/>
      <c r="Y65" s="31"/>
      <c r="Z65" s="31"/>
      <c r="AA65" s="2"/>
      <c r="AB65" s="31"/>
      <c r="AC65" s="31"/>
      <c r="AD65" s="31"/>
      <c r="AE65" s="37"/>
      <c r="AF65" s="37"/>
      <c r="AG65" s="37"/>
    </row>
    <row r="66" spans="1:33" ht="15.75" customHeight="1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6"/>
      <c r="V66" s="1"/>
      <c r="W66" s="31"/>
      <c r="X66" s="31"/>
      <c r="Y66" s="31"/>
      <c r="Z66" s="31"/>
      <c r="AA66" s="2"/>
      <c r="AB66" s="31"/>
      <c r="AC66" s="31"/>
      <c r="AD66" s="31"/>
      <c r="AE66" s="37"/>
      <c r="AF66" s="37"/>
      <c r="AG66" s="37"/>
    </row>
    <row r="67" spans="1:33" ht="15.75" customHeight="1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6"/>
      <c r="V67" s="1"/>
      <c r="W67" s="31"/>
      <c r="X67" s="31"/>
      <c r="Y67" s="31"/>
      <c r="Z67" s="31"/>
      <c r="AA67" s="2"/>
      <c r="AB67" s="31"/>
      <c r="AC67" s="31"/>
      <c r="AD67" s="31"/>
      <c r="AE67" s="37"/>
      <c r="AF67" s="37"/>
      <c r="AG67" s="37"/>
    </row>
    <row r="68" spans="1:33" ht="15.75" customHeight="1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6"/>
      <c r="V68" s="1"/>
      <c r="W68" s="31"/>
      <c r="X68" s="31"/>
      <c r="Y68" s="31"/>
      <c r="Z68" s="31"/>
      <c r="AA68" s="2"/>
      <c r="AB68" s="31"/>
      <c r="AC68" s="31"/>
      <c r="AD68" s="31"/>
      <c r="AE68" s="37"/>
      <c r="AF68" s="37"/>
      <c r="AG68" s="37"/>
    </row>
    <row r="69" spans="1:33" ht="15.75" customHeight="1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6"/>
      <c r="V69" s="1"/>
      <c r="W69" s="31"/>
      <c r="X69" s="31"/>
      <c r="Y69" s="31"/>
      <c r="Z69" s="31"/>
      <c r="AA69" s="2"/>
      <c r="AB69" s="31"/>
      <c r="AC69" s="31"/>
      <c r="AD69" s="31"/>
      <c r="AE69" s="37"/>
      <c r="AF69" s="37"/>
      <c r="AG69" s="37"/>
    </row>
    <row r="70" spans="1:33" ht="15.75" customHeight="1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6"/>
      <c r="V70" s="1"/>
      <c r="W70" s="31"/>
      <c r="X70" s="31"/>
      <c r="Y70" s="31"/>
      <c r="Z70" s="31"/>
      <c r="AA70" s="2"/>
      <c r="AB70" s="31"/>
      <c r="AC70" s="31"/>
      <c r="AD70" s="31"/>
      <c r="AE70" s="37"/>
      <c r="AF70" s="37"/>
      <c r="AG70" s="37"/>
    </row>
    <row r="71" spans="1:33" ht="15.75" customHeight="1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6"/>
      <c r="V71" s="1"/>
      <c r="W71" s="31"/>
      <c r="X71" s="31"/>
      <c r="Y71" s="31"/>
      <c r="Z71" s="31"/>
      <c r="AA71" s="2"/>
      <c r="AB71" s="31"/>
      <c r="AC71" s="31"/>
      <c r="AD71" s="31"/>
      <c r="AE71" s="37"/>
      <c r="AF71" s="37"/>
      <c r="AG71" s="37"/>
    </row>
    <row r="72" spans="1:33" ht="15.75" customHeight="1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6"/>
      <c r="V72" s="1"/>
      <c r="W72" s="31"/>
      <c r="X72" s="31"/>
      <c r="Y72" s="31"/>
      <c r="Z72" s="31"/>
      <c r="AA72" s="2"/>
      <c r="AB72" s="31"/>
      <c r="AC72" s="31"/>
      <c r="AD72" s="31"/>
      <c r="AE72" s="37"/>
      <c r="AF72" s="37"/>
      <c r="AG72" s="37"/>
    </row>
    <row r="73" spans="1:33" ht="15.75" customHeight="1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6"/>
      <c r="V73" s="1"/>
      <c r="W73" s="31"/>
      <c r="X73" s="31"/>
      <c r="Y73" s="31"/>
      <c r="Z73" s="31"/>
      <c r="AA73" s="2"/>
      <c r="AB73" s="31"/>
      <c r="AC73" s="31"/>
      <c r="AD73" s="31"/>
      <c r="AE73" s="37"/>
      <c r="AF73" s="37"/>
      <c r="AG73" s="37"/>
    </row>
    <row r="74" spans="1:33" ht="15.75" customHeight="1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6"/>
      <c r="V74" s="1"/>
      <c r="W74" s="31"/>
      <c r="X74" s="31"/>
      <c r="Y74" s="31"/>
      <c r="Z74" s="31"/>
      <c r="AA74" s="2"/>
      <c r="AB74" s="31"/>
      <c r="AC74" s="31"/>
      <c r="AD74" s="31"/>
      <c r="AE74" s="37"/>
      <c r="AF74" s="37"/>
      <c r="AG74" s="37"/>
    </row>
    <row r="75" spans="1:33" ht="15.75" customHeight="1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6"/>
      <c r="V75" s="1"/>
      <c r="W75" s="31"/>
      <c r="X75" s="31"/>
      <c r="Y75" s="31"/>
      <c r="Z75" s="31"/>
      <c r="AA75" s="2"/>
      <c r="AB75" s="31"/>
      <c r="AC75" s="31"/>
      <c r="AD75" s="31"/>
      <c r="AE75" s="37"/>
      <c r="AF75" s="37"/>
      <c r="AG75" s="37"/>
    </row>
    <row r="76" spans="1:33" ht="15.75" customHeight="1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6"/>
      <c r="V76" s="1"/>
      <c r="W76" s="31"/>
      <c r="X76" s="31"/>
      <c r="Y76" s="31"/>
      <c r="Z76" s="31"/>
      <c r="AA76" s="2"/>
      <c r="AB76" s="31"/>
      <c r="AC76" s="31"/>
      <c r="AD76" s="31"/>
      <c r="AE76" s="37"/>
      <c r="AF76" s="37"/>
      <c r="AG76" s="37"/>
    </row>
    <row r="77" spans="1:33" ht="15.75" customHeight="1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6"/>
      <c r="V77" s="1"/>
      <c r="W77" s="31"/>
      <c r="X77" s="31"/>
      <c r="Y77" s="31"/>
      <c r="Z77" s="31"/>
      <c r="AA77" s="2"/>
      <c r="AB77" s="31"/>
      <c r="AC77" s="31"/>
      <c r="AD77" s="31"/>
      <c r="AE77" s="37"/>
      <c r="AF77" s="37"/>
      <c r="AG77" s="37"/>
    </row>
    <row r="78" spans="1:33" ht="15.75" customHeight="1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6"/>
      <c r="V78" s="1"/>
      <c r="W78" s="31"/>
      <c r="X78" s="31"/>
      <c r="Y78" s="31"/>
      <c r="Z78" s="31"/>
      <c r="AA78" s="2"/>
      <c r="AB78" s="31"/>
      <c r="AC78" s="31"/>
      <c r="AD78" s="31"/>
      <c r="AE78" s="37"/>
      <c r="AF78" s="37"/>
      <c r="AG78" s="37"/>
    </row>
    <row r="79" spans="1:33" ht="15.75" customHeight="1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6"/>
      <c r="V79" s="1"/>
      <c r="W79" s="31"/>
      <c r="X79" s="31"/>
      <c r="Y79" s="31"/>
      <c r="Z79" s="31"/>
      <c r="AA79" s="2"/>
      <c r="AB79" s="31"/>
      <c r="AC79" s="31"/>
      <c r="AD79" s="31"/>
      <c r="AE79" s="37"/>
      <c r="AF79" s="37"/>
      <c r="AG79" s="37"/>
    </row>
    <row r="80" spans="1:33" ht="15.75" customHeight="1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6"/>
      <c r="V80" s="1"/>
      <c r="W80" s="31"/>
      <c r="X80" s="31"/>
      <c r="Y80" s="31"/>
      <c r="Z80" s="31"/>
      <c r="AA80" s="2"/>
      <c r="AB80" s="31"/>
      <c r="AC80" s="31"/>
      <c r="AD80" s="31"/>
      <c r="AE80" s="37"/>
      <c r="AF80" s="37"/>
      <c r="AG80" s="37"/>
    </row>
    <row r="81" spans="1:33" ht="15.75" customHeight="1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6"/>
      <c r="V81" s="1"/>
      <c r="W81" s="31"/>
      <c r="X81" s="31"/>
      <c r="Y81" s="31"/>
      <c r="Z81" s="31"/>
      <c r="AA81" s="2"/>
      <c r="AB81" s="31"/>
      <c r="AC81" s="31"/>
      <c r="AD81" s="31"/>
      <c r="AE81" s="37"/>
      <c r="AF81" s="37"/>
      <c r="AG81" s="37"/>
    </row>
    <row r="82" spans="1:33" ht="15.75" customHeight="1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6"/>
      <c r="V82" s="1"/>
      <c r="W82" s="31"/>
      <c r="X82" s="31"/>
      <c r="Y82" s="31"/>
      <c r="Z82" s="31"/>
      <c r="AA82" s="2"/>
      <c r="AB82" s="31"/>
      <c r="AC82" s="31"/>
      <c r="AD82" s="31"/>
      <c r="AE82" s="37"/>
      <c r="AF82" s="37"/>
      <c r="AG82" s="37"/>
    </row>
    <row r="83" spans="1:33" ht="15.75" customHeight="1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6"/>
      <c r="V83" s="1"/>
      <c r="W83" s="31"/>
      <c r="X83" s="31"/>
      <c r="Y83" s="31"/>
      <c r="Z83" s="31"/>
      <c r="AA83" s="2"/>
      <c r="AB83" s="31"/>
      <c r="AC83" s="31"/>
      <c r="AD83" s="31"/>
      <c r="AE83" s="37"/>
      <c r="AF83" s="37"/>
      <c r="AG83" s="37"/>
    </row>
    <row r="84" spans="1:33" ht="15.75" customHeight="1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6"/>
      <c r="V84" s="1"/>
      <c r="W84" s="31"/>
      <c r="X84" s="31"/>
      <c r="Y84" s="31"/>
      <c r="Z84" s="31"/>
      <c r="AA84" s="2"/>
      <c r="AB84" s="31"/>
      <c r="AC84" s="31"/>
      <c r="AD84" s="31"/>
      <c r="AE84" s="37"/>
      <c r="AF84" s="37"/>
      <c r="AG84" s="37"/>
    </row>
    <row r="85" spans="1:33" ht="15.75" customHeight="1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6"/>
      <c r="V85" s="1"/>
      <c r="W85" s="31"/>
      <c r="X85" s="31"/>
      <c r="Y85" s="31"/>
      <c r="Z85" s="31"/>
      <c r="AA85" s="2"/>
      <c r="AB85" s="31"/>
      <c r="AC85" s="31"/>
      <c r="AD85" s="31"/>
      <c r="AE85" s="37"/>
      <c r="AF85" s="37"/>
      <c r="AG85" s="37"/>
    </row>
    <row r="86" spans="1:33" ht="15.75" customHeight="1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6"/>
      <c r="V86" s="1"/>
      <c r="W86" s="31"/>
      <c r="X86" s="31"/>
      <c r="Y86" s="31"/>
      <c r="Z86" s="31"/>
      <c r="AA86" s="2"/>
      <c r="AB86" s="31"/>
      <c r="AC86" s="31"/>
      <c r="AD86" s="31"/>
      <c r="AE86" s="37"/>
      <c r="AF86" s="37"/>
      <c r="AG86" s="37"/>
    </row>
    <row r="87" spans="1:33" ht="15.75" customHeight="1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6"/>
      <c r="V87" s="1"/>
      <c r="W87" s="31"/>
      <c r="X87" s="31"/>
      <c r="Y87" s="31"/>
      <c r="Z87" s="31"/>
      <c r="AA87" s="2"/>
      <c r="AB87" s="31"/>
      <c r="AC87" s="31"/>
      <c r="AD87" s="31"/>
      <c r="AE87" s="37"/>
      <c r="AF87" s="37"/>
      <c r="AG87" s="37"/>
    </row>
    <row r="88" spans="1:33" ht="15.75" customHeight="1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6"/>
      <c r="V88" s="1"/>
      <c r="W88" s="31"/>
      <c r="X88" s="31"/>
      <c r="Y88" s="31"/>
      <c r="Z88" s="31"/>
      <c r="AA88" s="2"/>
      <c r="AB88" s="31"/>
      <c r="AC88" s="31"/>
      <c r="AD88" s="31"/>
      <c r="AE88" s="37"/>
      <c r="AF88" s="37"/>
      <c r="AG88" s="37"/>
    </row>
    <row r="89" spans="1:33" ht="15.75" customHeight="1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6"/>
      <c r="V89" s="1"/>
      <c r="W89" s="31"/>
      <c r="X89" s="31"/>
      <c r="Y89" s="31"/>
      <c r="Z89" s="31"/>
      <c r="AA89" s="2"/>
      <c r="AB89" s="31"/>
      <c r="AC89" s="31"/>
      <c r="AD89" s="31"/>
      <c r="AE89" s="37"/>
      <c r="AF89" s="37"/>
      <c r="AG89" s="37"/>
    </row>
    <row r="90" spans="1:33" ht="15.75" customHeight="1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6"/>
      <c r="V90" s="1"/>
      <c r="W90" s="31"/>
      <c r="X90" s="31"/>
      <c r="Y90" s="31"/>
      <c r="Z90" s="31"/>
      <c r="AA90" s="2"/>
      <c r="AB90" s="31"/>
      <c r="AC90" s="31"/>
      <c r="AD90" s="31"/>
      <c r="AE90" s="37"/>
      <c r="AF90" s="37"/>
      <c r="AG90" s="37"/>
    </row>
    <row r="91" spans="1:33" ht="15.75" customHeight="1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6"/>
      <c r="V91" s="1"/>
      <c r="W91" s="31"/>
      <c r="X91" s="31"/>
      <c r="Y91" s="31"/>
      <c r="Z91" s="31"/>
      <c r="AA91" s="2"/>
      <c r="AB91" s="31"/>
      <c r="AC91" s="31"/>
      <c r="AD91" s="31"/>
      <c r="AE91" s="37"/>
      <c r="AF91" s="37"/>
      <c r="AG91" s="37"/>
    </row>
    <row r="92" spans="1:33" ht="15.75" customHeight="1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6"/>
      <c r="V92" s="1"/>
      <c r="W92" s="31"/>
      <c r="X92" s="31"/>
      <c r="Y92" s="31"/>
      <c r="Z92" s="31"/>
      <c r="AA92" s="2"/>
      <c r="AB92" s="31"/>
      <c r="AC92" s="31"/>
      <c r="AD92" s="31"/>
      <c r="AE92" s="37"/>
      <c r="AF92" s="37"/>
      <c r="AG92" s="37"/>
    </row>
    <row r="93" spans="1:33" ht="15.75" customHeight="1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6"/>
      <c r="V93" s="1"/>
      <c r="W93" s="31"/>
      <c r="X93" s="31"/>
      <c r="Y93" s="31"/>
      <c r="Z93" s="31"/>
      <c r="AA93" s="2"/>
      <c r="AB93" s="31"/>
      <c r="AC93" s="31"/>
      <c r="AD93" s="31"/>
      <c r="AE93" s="37"/>
      <c r="AF93" s="37"/>
      <c r="AG93" s="37"/>
    </row>
    <row r="94" spans="1:33" ht="15.75" customHeight="1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6"/>
      <c r="V94" s="1"/>
      <c r="W94" s="31"/>
      <c r="X94" s="31"/>
      <c r="Y94" s="31"/>
      <c r="Z94" s="31"/>
      <c r="AA94" s="2"/>
      <c r="AB94" s="31"/>
      <c r="AC94" s="31"/>
      <c r="AD94" s="31"/>
      <c r="AE94" s="37"/>
      <c r="AF94" s="37"/>
      <c r="AG94" s="37"/>
    </row>
    <row r="95" spans="1:33" ht="15.75" customHeight="1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6"/>
      <c r="V95" s="1"/>
      <c r="W95" s="31"/>
      <c r="X95" s="31"/>
      <c r="Y95" s="31"/>
      <c r="Z95" s="31"/>
      <c r="AA95" s="2"/>
      <c r="AB95" s="31"/>
      <c r="AC95" s="31"/>
      <c r="AD95" s="31"/>
      <c r="AE95" s="37"/>
      <c r="AF95" s="37"/>
      <c r="AG95" s="37"/>
    </row>
    <row r="96" spans="1:33" ht="15.75" customHeight="1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6"/>
      <c r="V96" s="1"/>
      <c r="W96" s="31"/>
      <c r="X96" s="31"/>
      <c r="Y96" s="31"/>
      <c r="Z96" s="31"/>
      <c r="AA96" s="2"/>
      <c r="AB96" s="31"/>
      <c r="AC96" s="31"/>
      <c r="AD96" s="31"/>
      <c r="AE96" s="37"/>
      <c r="AF96" s="37"/>
      <c r="AG96" s="37"/>
    </row>
    <row r="97" spans="1:33" ht="15.75" customHeight="1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8"/>
      <c r="R97" s="38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8"/>
      <c r="R98" s="38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8"/>
      <c r="R99" s="38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8"/>
      <c r="R100" s="38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8"/>
      <c r="R101" s="38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8"/>
      <c r="R102" s="38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8"/>
      <c r="R103" s="38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8"/>
      <c r="R104" s="38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8"/>
      <c r="R105" s="38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8"/>
      <c r="R106" s="38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8"/>
      <c r="R107" s="38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8"/>
      <c r="R108" s="38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8"/>
      <c r="R109" s="38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8"/>
      <c r="R110" s="38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8"/>
      <c r="R111" s="38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8"/>
      <c r="R112" s="38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8"/>
      <c r="R113" s="38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8"/>
      <c r="R114" s="38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>
      <c r="A115" s="31"/>
      <c r="B115" s="31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>
      <c r="A116" s="31"/>
      <c r="B116" s="31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>
      <c r="A117" s="31"/>
      <c r="B117" s="31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>
      <c r="A118" s="31"/>
      <c r="B118" s="31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>
      <c r="A119" s="31"/>
      <c r="B119" s="31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>
      <c r="A120" s="31"/>
      <c r="B120" s="31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>
      <c r="A121" s="31"/>
      <c r="B121" s="31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>
      <c r="A122" s="31"/>
      <c r="B122" s="31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>
      <c r="A123" s="31"/>
      <c r="B123" s="31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>
      <c r="A124" s="31"/>
      <c r="B124" s="31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>
      <c r="A125" s="31"/>
      <c r="B125" s="31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>
      <c r="A126" s="31"/>
      <c r="B126" s="31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>
      <c r="A127" s="31"/>
      <c r="B127" s="31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>
      <c r="A128" s="31"/>
      <c r="B128" s="31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>
      <c r="A129" s="31"/>
      <c r="B129" s="31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>
      <c r="A130" s="31"/>
      <c r="B130" s="31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>
      <c r="A131" s="31"/>
      <c r="B131" s="31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>
      <c r="A132" s="31"/>
      <c r="B132" s="31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>
      <c r="A133" s="31"/>
      <c r="B133" s="31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>
      <c r="A134" s="31"/>
      <c r="B134" s="31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>
      <c r="A135" s="31"/>
      <c r="B135" s="31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>
      <c r="A136" s="31"/>
      <c r="B136" s="31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>
      <c r="A137" s="31"/>
      <c r="B137" s="31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>
      <c r="A138" s="31"/>
      <c r="B138" s="31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>
      <c r="A139" s="31"/>
      <c r="B139" s="31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>
      <c r="A140" s="31"/>
      <c r="B140" s="31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>
      <c r="A141" s="31"/>
      <c r="B141" s="31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2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>
      <c r="A142" s="31"/>
      <c r="B142" s="31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2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>
      <c r="A143" s="31"/>
      <c r="B143" s="31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2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>
      <c r="A144" s="31"/>
      <c r="B144" s="31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2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>
      <c r="A145" s="31"/>
      <c r="B145" s="31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2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>
      <c r="A146" s="31"/>
      <c r="B146" s="31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2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>
      <c r="A147" s="31"/>
      <c r="B147" s="31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2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>
      <c r="A148" s="31"/>
      <c r="B148" s="31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2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</row>
    <row r="149" spans="1:33" ht="15.75" customHeight="1">
      <c r="A149" s="14"/>
      <c r="B149" s="14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>
      <c r="A150" s="14"/>
      <c r="B150" s="14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>
      <c r="A151" s="14"/>
      <c r="B151" s="14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>
      <c r="A152" s="14"/>
      <c r="B152" s="14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>
      <c r="A153" s="14"/>
      <c r="B153" s="14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>
      <c r="A154" s="14"/>
      <c r="B154" s="14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>
      <c r="A155" s="14"/>
      <c r="B155" s="14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>
      <c r="A156" s="14"/>
      <c r="B156" s="14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>
      <c r="A157" s="14"/>
      <c r="B157" s="14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>
      <c r="A158" s="14"/>
      <c r="B158" s="14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>
      <c r="A159" s="14"/>
      <c r="B159" s="14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>
      <c r="A160" s="14"/>
      <c r="B160" s="14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>
      <c r="A161" s="14"/>
      <c r="B161" s="14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>
      <c r="A162" s="14"/>
      <c r="B162" s="14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>
      <c r="A163" s="14"/>
      <c r="B163" s="14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>
      <c r="A164" s="14"/>
      <c r="B164" s="14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>
      <c r="A165" s="14"/>
      <c r="B165" s="14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>
      <c r="A166" s="14"/>
      <c r="B166" s="14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>
      <c r="A167" s="14"/>
      <c r="B167" s="14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>
      <c r="A168" s="14"/>
      <c r="B168" s="14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>
      <c r="A169" s="14"/>
      <c r="B169" s="14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>
      <c r="A170" s="14"/>
      <c r="B170" s="14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>
      <c r="A171" s="14"/>
      <c r="B171" s="14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>
      <c r="A172" s="14"/>
      <c r="B172" s="14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>
      <c r="A173" s="14"/>
      <c r="B173" s="14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>
      <c r="A174" s="14"/>
      <c r="B174" s="14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>
      <c r="A175" s="14"/>
      <c r="B175" s="14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>
      <c r="A176" s="14"/>
      <c r="B176" s="14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>
      <c r="A177" s="14"/>
      <c r="B177" s="14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>
      <c r="A178" s="14"/>
      <c r="B178" s="14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>
      <c r="A179" s="14"/>
      <c r="B179" s="14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>
      <c r="A180" s="14"/>
      <c r="B180" s="14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>
      <c r="A181" s="14"/>
      <c r="B181" s="14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>
      <c r="A182" s="14"/>
      <c r="B182" s="14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>
      <c r="A183" s="14"/>
      <c r="B183" s="14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>
      <c r="A184" s="14"/>
      <c r="B184" s="14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>
      <c r="A185" s="14"/>
      <c r="B185" s="14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>
      <c r="A186" s="14"/>
      <c r="B186" s="14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>
      <c r="A187" s="14"/>
      <c r="B187" s="14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>
      <c r="A188" s="14"/>
      <c r="B188" s="14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>
      <c r="A189" s="14"/>
      <c r="B189" s="14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>
      <c r="A190" s="14"/>
      <c r="B190" s="14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>
      <c r="A191" s="14"/>
      <c r="B191" s="14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>
      <c r="A192" s="14"/>
      <c r="B192" s="14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>
      <c r="A193" s="14"/>
      <c r="B193" s="14"/>
      <c r="C193" s="39"/>
      <c r="D193" s="39"/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>
      <c r="A194" s="14"/>
      <c r="B194" s="14"/>
      <c r="C194" s="39"/>
      <c r="D194" s="39"/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>
      <c r="A195" s="14"/>
      <c r="B195" s="14"/>
      <c r="C195" s="39"/>
      <c r="D195" s="39"/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>
      <c r="A196" s="14"/>
      <c r="B196" s="14"/>
      <c r="C196" s="39"/>
      <c r="D196" s="39"/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>
      <c r="A197" s="14"/>
      <c r="B197" s="14"/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>
      <c r="A198" s="14"/>
      <c r="B198" s="14"/>
      <c r="C198" s="39"/>
      <c r="D198" s="39"/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>
      <c r="A199" s="14"/>
      <c r="B199" s="14"/>
      <c r="C199" s="39"/>
      <c r="D199" s="39"/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>
      <c r="A200" s="14"/>
      <c r="B200" s="14"/>
      <c r="C200" s="39"/>
      <c r="D200" s="39"/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>
      <c r="A201" s="14"/>
      <c r="B201" s="14"/>
      <c r="C201" s="39"/>
      <c r="D201" s="39"/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>
      <c r="A202" s="14"/>
      <c r="B202" s="14"/>
      <c r="C202" s="39"/>
      <c r="D202" s="39"/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>
      <c r="A203" s="14"/>
      <c r="B203" s="14"/>
      <c r="C203" s="39"/>
      <c r="D203" s="39"/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>
      <c r="A204" s="14"/>
      <c r="B204" s="14"/>
      <c r="C204" s="39"/>
      <c r="D204" s="39"/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>
      <c r="A205" s="14"/>
      <c r="B205" s="14"/>
      <c r="C205" s="39"/>
      <c r="D205" s="39"/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>
      <c r="A206" s="14"/>
      <c r="B206" s="14"/>
      <c r="C206" s="39"/>
      <c r="D206" s="39"/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>
      <c r="A207" s="14"/>
      <c r="B207" s="14"/>
      <c r="C207" s="39"/>
      <c r="D207" s="39"/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>
      <c r="A208" s="14"/>
      <c r="B208" s="14"/>
      <c r="C208" s="39"/>
      <c r="D208" s="39"/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>
      <c r="A209" s="14"/>
      <c r="B209" s="14"/>
      <c r="C209" s="39"/>
      <c r="D209" s="39"/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>
      <c r="A210" s="14"/>
      <c r="B210" s="14"/>
      <c r="C210" s="39"/>
      <c r="D210" s="39"/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>
      <c r="A211" s="14"/>
      <c r="B211" s="14"/>
      <c r="C211" s="39"/>
      <c r="D211" s="39"/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>
      <c r="A212" s="14"/>
      <c r="B212" s="14"/>
      <c r="C212" s="39"/>
      <c r="D212" s="39"/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>
      <c r="A213" s="14"/>
      <c r="B213" s="14"/>
      <c r="C213" s="39"/>
      <c r="D213" s="39"/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>
      <c r="A214" s="14"/>
      <c r="B214" s="14"/>
      <c r="C214" s="39"/>
      <c r="D214" s="39"/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>
      <c r="A215" s="14"/>
      <c r="B215" s="14"/>
      <c r="C215" s="39"/>
      <c r="D215" s="39"/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>
      <c r="A216" s="14"/>
      <c r="B216" s="14"/>
      <c r="C216" s="39"/>
      <c r="D216" s="39"/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>
      <c r="A217" s="14"/>
      <c r="B217" s="14"/>
      <c r="C217" s="39"/>
      <c r="D217" s="39"/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>
      <c r="A218" s="14"/>
      <c r="B218" s="14"/>
      <c r="C218" s="39"/>
      <c r="D218" s="39"/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>
      <c r="A219" s="14"/>
      <c r="B219" s="14"/>
      <c r="C219" s="39"/>
      <c r="D219" s="39"/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>
      <c r="A220" s="14"/>
      <c r="B220" s="14"/>
      <c r="C220" s="39"/>
      <c r="D220" s="39"/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>
      <c r="R221" s="30"/>
      <c r="S221" s="40"/>
    </row>
    <row r="222" spans="1:33" ht="15.75" customHeight="1">
      <c r="R222" s="30"/>
      <c r="S222" s="40"/>
    </row>
    <row r="223" spans="1:33" ht="15.75" customHeight="1">
      <c r="R223" s="30"/>
      <c r="S223" s="40"/>
    </row>
    <row r="224" spans="1:33" ht="15.75" customHeight="1">
      <c r="R224" s="30"/>
      <c r="S224" s="40"/>
    </row>
    <row r="225" spans="18:18" ht="15.75" customHeight="1">
      <c r="R225" s="30"/>
    </row>
    <row r="226" spans="18:18" ht="15.75" customHeight="1">
      <c r="R226" s="30"/>
    </row>
    <row r="227" spans="18:18" ht="15.75" customHeight="1">
      <c r="R227" s="30"/>
    </row>
    <row r="228" spans="18:18" ht="15.75" customHeight="1">
      <c r="R228" s="30"/>
    </row>
    <row r="229" spans="18:18" ht="15.75" customHeight="1">
      <c r="R229" s="30"/>
    </row>
    <row r="230" spans="18:18" ht="15.75" customHeight="1">
      <c r="R230" s="30"/>
    </row>
    <row r="231" spans="18:18" ht="15.75" customHeight="1">
      <c r="R231" s="30"/>
    </row>
    <row r="232" spans="18:18" ht="15.75" customHeight="1">
      <c r="R232" s="30"/>
    </row>
    <row r="233" spans="18:18" ht="15.75" customHeight="1">
      <c r="R233" s="30"/>
    </row>
    <row r="234" spans="18:18" ht="15.75" customHeight="1">
      <c r="R234" s="30"/>
    </row>
    <row r="235" spans="18:18" ht="15.75" customHeight="1">
      <c r="R235" s="30"/>
    </row>
    <row r="236" spans="18:18" ht="15.75" customHeight="1">
      <c r="R236" s="30"/>
    </row>
    <row r="237" spans="18:18" ht="15.75" customHeight="1">
      <c r="R237" s="30"/>
    </row>
    <row r="238" spans="18:18" ht="15.75" customHeight="1">
      <c r="R238" s="30"/>
    </row>
    <row r="239" spans="18:18" ht="15.75" customHeight="1">
      <c r="R239" s="30"/>
    </row>
    <row r="240" spans="18:18" ht="15.75" customHeight="1">
      <c r="R240" s="30"/>
    </row>
    <row r="241" spans="18:18" ht="15.75" customHeight="1">
      <c r="R241" s="30"/>
    </row>
    <row r="242" spans="18:18" ht="15.75" customHeight="1">
      <c r="R242" s="30"/>
    </row>
    <row r="243" spans="18:18" ht="15.75" customHeight="1">
      <c r="R243" s="30"/>
    </row>
    <row r="244" spans="18:18" ht="15.75" customHeight="1">
      <c r="R244" s="30"/>
    </row>
    <row r="245" spans="18:18" ht="15.75" customHeight="1">
      <c r="R245" s="30"/>
    </row>
    <row r="246" spans="18:18" ht="15.75" customHeight="1">
      <c r="R246" s="30"/>
    </row>
    <row r="247" spans="18:18" ht="15.75" customHeight="1">
      <c r="R247" s="30"/>
    </row>
    <row r="248" spans="18:18" ht="15.75" customHeight="1">
      <c r="R248" s="30"/>
    </row>
    <row r="249" spans="18:18" ht="15.75" customHeight="1">
      <c r="R249" s="30"/>
    </row>
    <row r="250" spans="18:18" ht="15.75" customHeight="1">
      <c r="R250" s="30"/>
    </row>
    <row r="251" spans="18:18" ht="15.75" customHeight="1">
      <c r="R251" s="30"/>
    </row>
    <row r="252" spans="18:18" ht="15.75" customHeight="1">
      <c r="R252" s="30"/>
    </row>
    <row r="253" spans="18:18" ht="15.75" customHeight="1">
      <c r="R253" s="30"/>
    </row>
    <row r="254" spans="18:18" ht="15.75" customHeight="1">
      <c r="R254" s="30"/>
    </row>
    <row r="255" spans="18:18" ht="15.75" customHeight="1">
      <c r="R255" s="30"/>
    </row>
    <row r="256" spans="18:18" ht="15.75" customHeight="1">
      <c r="R256" s="30"/>
    </row>
    <row r="257" spans="18:18" ht="15.75" customHeight="1">
      <c r="R257" s="30"/>
    </row>
    <row r="258" spans="18:18" ht="15.75" customHeight="1">
      <c r="R258" s="30"/>
    </row>
    <row r="259" spans="18:18" ht="15.75" customHeight="1">
      <c r="R259" s="30"/>
    </row>
    <row r="260" spans="18:18" ht="15.75" customHeight="1">
      <c r="R260" s="30"/>
    </row>
    <row r="261" spans="18:18" ht="15.75" customHeight="1">
      <c r="R261" s="30"/>
    </row>
    <row r="262" spans="18:18" ht="15.75" customHeight="1">
      <c r="R262" s="30"/>
    </row>
    <row r="263" spans="18:18" ht="15.75" customHeight="1">
      <c r="R263" s="30"/>
    </row>
    <row r="264" spans="18:18" ht="15.75" customHeight="1">
      <c r="R264" s="30"/>
    </row>
    <row r="265" spans="18:18" ht="15.75" customHeight="1">
      <c r="R265" s="30"/>
    </row>
    <row r="266" spans="18:18" ht="15.75" customHeight="1">
      <c r="R266" s="30"/>
    </row>
    <row r="267" spans="18:18" ht="15.75" customHeight="1">
      <c r="R267" s="30"/>
    </row>
    <row r="268" spans="18:18" ht="15.75" customHeight="1">
      <c r="R268" s="30"/>
    </row>
    <row r="269" spans="18:18" ht="15.75" customHeight="1">
      <c r="R269" s="30"/>
    </row>
    <row r="270" spans="18:18" ht="15.75" customHeight="1">
      <c r="R270" s="30"/>
    </row>
    <row r="271" spans="18:18" ht="15.75" customHeight="1">
      <c r="R271" s="30"/>
    </row>
    <row r="272" spans="18:18" ht="15.75" customHeight="1">
      <c r="R272" s="30"/>
    </row>
    <row r="273" spans="18:18" ht="15.75" customHeight="1">
      <c r="R273" s="30"/>
    </row>
    <row r="274" spans="18:18" ht="15.75" customHeight="1">
      <c r="R274" s="30"/>
    </row>
    <row r="275" spans="18:18" ht="15.75" customHeight="1">
      <c r="R275" s="30"/>
    </row>
    <row r="276" spans="18:18" ht="15.75" customHeight="1">
      <c r="R276" s="30"/>
    </row>
    <row r="277" spans="18:18" ht="15.75" customHeight="1">
      <c r="R277" s="30"/>
    </row>
    <row r="278" spans="18:18" ht="15.75" customHeight="1">
      <c r="R278" s="30"/>
    </row>
    <row r="279" spans="18:18" ht="15.75" customHeight="1">
      <c r="R279" s="30"/>
    </row>
    <row r="280" spans="18:18" ht="15.75" customHeight="1">
      <c r="R280" s="30"/>
    </row>
    <row r="281" spans="18:18" ht="15.75" customHeight="1">
      <c r="R281" s="30"/>
    </row>
    <row r="282" spans="18:18" ht="15.75" customHeight="1">
      <c r="R282" s="30"/>
    </row>
    <row r="283" spans="18:18" ht="15.75" customHeight="1">
      <c r="R283" s="30"/>
    </row>
    <row r="284" spans="18:18" ht="15.75" customHeight="1">
      <c r="R284" s="30"/>
    </row>
    <row r="285" spans="18:18" ht="15.75" customHeight="1">
      <c r="R285" s="30"/>
    </row>
    <row r="286" spans="18:18" ht="15.75" customHeight="1">
      <c r="R286" s="30"/>
    </row>
    <row r="287" spans="18:18" ht="15.75" customHeight="1">
      <c r="R287" s="30"/>
    </row>
    <row r="288" spans="18:18" ht="15.75" customHeight="1">
      <c r="R288" s="30"/>
    </row>
    <row r="289" spans="18:18" ht="15.75" customHeight="1">
      <c r="R289" s="30"/>
    </row>
    <row r="290" spans="18:18" ht="15.75" customHeight="1">
      <c r="R290" s="30"/>
    </row>
    <row r="291" spans="18:18" ht="15.75" customHeight="1">
      <c r="R291" s="30"/>
    </row>
    <row r="292" spans="18:18" ht="15.75" customHeight="1">
      <c r="R292" s="30"/>
    </row>
    <row r="293" spans="18:18" ht="15.75" customHeight="1">
      <c r="R293" s="30"/>
    </row>
    <row r="294" spans="18:18" ht="15.75" customHeight="1">
      <c r="R294" s="30"/>
    </row>
    <row r="295" spans="18:18" ht="15.75" customHeight="1">
      <c r="R295" s="30"/>
    </row>
    <row r="296" spans="18:18" ht="15.75" customHeight="1">
      <c r="R296" s="30"/>
    </row>
    <row r="297" spans="18:18" ht="15.75" customHeight="1">
      <c r="R297" s="30"/>
    </row>
    <row r="298" spans="18:18" ht="15.75" customHeight="1">
      <c r="R298" s="30"/>
    </row>
    <row r="299" spans="18:18" ht="15.75" customHeight="1">
      <c r="R299" s="30"/>
    </row>
    <row r="300" spans="18:18" ht="15.75" customHeight="1">
      <c r="R300" s="30"/>
    </row>
    <row r="301" spans="18:18" ht="15.75" customHeight="1">
      <c r="R301" s="30"/>
    </row>
    <row r="302" spans="18:18" ht="15.75" customHeight="1">
      <c r="R302" s="30"/>
    </row>
    <row r="303" spans="18:18" ht="15.75" customHeight="1">
      <c r="R303" s="30"/>
    </row>
    <row r="304" spans="18:18" ht="15.75" customHeight="1">
      <c r="R304" s="30"/>
    </row>
    <row r="305" spans="18:18" ht="15.75" customHeight="1">
      <c r="R305" s="30"/>
    </row>
    <row r="306" spans="18:18" ht="15.75" customHeight="1">
      <c r="R306" s="30"/>
    </row>
    <row r="307" spans="18:18" ht="15.75" customHeight="1">
      <c r="R307" s="30"/>
    </row>
    <row r="308" spans="18:18" ht="15.75" customHeight="1">
      <c r="R308" s="30"/>
    </row>
    <row r="309" spans="18:18" ht="15.75" customHeight="1">
      <c r="R309" s="30"/>
    </row>
    <row r="310" spans="18:18" ht="15.75" customHeight="1">
      <c r="R310" s="30"/>
    </row>
    <row r="311" spans="18:18" ht="15.75" customHeight="1">
      <c r="R311" s="30"/>
    </row>
    <row r="312" spans="18:18" ht="15.75" customHeight="1">
      <c r="R312" s="30"/>
    </row>
    <row r="313" spans="18:18" ht="15.75" customHeight="1">
      <c r="R313" s="30"/>
    </row>
    <row r="314" spans="18:18" ht="15.75" customHeight="1">
      <c r="R314" s="30"/>
    </row>
    <row r="315" spans="18:18" ht="15.75" customHeight="1">
      <c r="R315" s="30"/>
    </row>
    <row r="316" spans="18:18" ht="15.75" customHeight="1">
      <c r="R316" s="30"/>
    </row>
    <row r="317" spans="18:18" ht="15.75" customHeight="1">
      <c r="R317" s="30"/>
    </row>
    <row r="318" spans="18:18" ht="15.75" customHeight="1">
      <c r="R318" s="30"/>
    </row>
    <row r="319" spans="18:18" ht="15.75" customHeight="1">
      <c r="R319" s="30"/>
    </row>
    <row r="320" spans="18:18" ht="15.75" customHeight="1">
      <c r="R320" s="30"/>
    </row>
    <row r="321" spans="18:18" ht="15.75" customHeight="1">
      <c r="R321" s="30"/>
    </row>
    <row r="322" spans="18:18" ht="15.75" customHeight="1">
      <c r="R322" s="30"/>
    </row>
    <row r="323" spans="18:18" ht="15.75" customHeight="1">
      <c r="R323" s="30"/>
    </row>
    <row r="324" spans="18:18" ht="15.75" customHeight="1">
      <c r="R324" s="30"/>
    </row>
    <row r="325" spans="18:18" ht="15.75" customHeight="1">
      <c r="R325" s="30"/>
    </row>
    <row r="326" spans="18:18" ht="15.75" customHeight="1">
      <c r="R326" s="30"/>
    </row>
    <row r="327" spans="18:18" ht="15.75" customHeight="1">
      <c r="R327" s="30"/>
    </row>
    <row r="328" spans="18:18" ht="15.75" customHeight="1">
      <c r="R328" s="30"/>
    </row>
    <row r="329" spans="18:18" ht="15.75" customHeight="1">
      <c r="R329" s="30"/>
    </row>
    <row r="330" spans="18:18" ht="15.75" customHeight="1">
      <c r="R330" s="30"/>
    </row>
    <row r="331" spans="18:18" ht="15.75" customHeight="1">
      <c r="R331" s="30"/>
    </row>
    <row r="332" spans="18:18" ht="15.75" customHeight="1">
      <c r="R332" s="30"/>
    </row>
    <row r="333" spans="18:18" ht="15.75" customHeight="1">
      <c r="R333" s="30"/>
    </row>
    <row r="334" spans="18:18" ht="15.75" customHeight="1">
      <c r="R334" s="30"/>
    </row>
    <row r="335" spans="18:18" ht="15.75" customHeight="1">
      <c r="R335" s="30"/>
    </row>
    <row r="336" spans="18:18" ht="15.75" customHeight="1">
      <c r="R336" s="30"/>
    </row>
    <row r="337" spans="18:18" ht="15.75" customHeight="1">
      <c r="R337" s="30"/>
    </row>
    <row r="338" spans="18:18" ht="15.75" customHeight="1">
      <c r="R338" s="30"/>
    </row>
    <row r="339" spans="18:18" ht="15.75" customHeight="1">
      <c r="R339" s="30"/>
    </row>
    <row r="340" spans="18:18" ht="15.75" customHeight="1">
      <c r="R340" s="30"/>
    </row>
    <row r="341" spans="18:18" ht="15.75" customHeight="1">
      <c r="R341" s="30"/>
    </row>
    <row r="342" spans="18:18" ht="15.75" customHeight="1">
      <c r="R342" s="30"/>
    </row>
    <row r="343" spans="18:18" ht="15.75" customHeight="1">
      <c r="R343" s="30"/>
    </row>
    <row r="344" spans="18:18" ht="15.75" customHeight="1">
      <c r="R344" s="30"/>
    </row>
    <row r="345" spans="18:18" ht="15.75" customHeight="1">
      <c r="R345" s="30"/>
    </row>
    <row r="346" spans="18:18" ht="15.75" customHeight="1">
      <c r="R346" s="30"/>
    </row>
    <row r="347" spans="18:18" ht="15.75" customHeight="1">
      <c r="R347" s="30"/>
    </row>
    <row r="348" spans="18:18" ht="15.75" customHeight="1">
      <c r="R348" s="30"/>
    </row>
    <row r="349" spans="18:18" ht="15.75" customHeight="1">
      <c r="R349" s="30"/>
    </row>
    <row r="350" spans="18:18" ht="15.75" customHeight="1">
      <c r="R350" s="30"/>
    </row>
    <row r="351" spans="18:18" ht="15.75" customHeight="1">
      <c r="R351" s="30"/>
    </row>
    <row r="352" spans="18:18" ht="15.75" customHeight="1">
      <c r="R352" s="30"/>
    </row>
    <row r="353" spans="18:18" ht="15.75" customHeight="1">
      <c r="R353" s="30"/>
    </row>
    <row r="354" spans="18:18" ht="15.75" customHeight="1">
      <c r="R354" s="30"/>
    </row>
    <row r="355" spans="18:18" ht="15.75" customHeight="1">
      <c r="R355" s="30"/>
    </row>
    <row r="356" spans="18:18" ht="15.75" customHeight="1">
      <c r="R356" s="30"/>
    </row>
    <row r="357" spans="18:18" ht="15.75" customHeight="1">
      <c r="R357" s="30"/>
    </row>
    <row r="358" spans="18:18" ht="15.75" customHeight="1">
      <c r="R358" s="30"/>
    </row>
    <row r="359" spans="18:18" ht="15.75" customHeight="1">
      <c r="R359" s="30"/>
    </row>
    <row r="360" spans="18:18" ht="15.75" customHeight="1">
      <c r="R360" s="30"/>
    </row>
    <row r="361" spans="18:18" ht="15.75" customHeight="1">
      <c r="R361" s="30"/>
    </row>
    <row r="362" spans="18:18" ht="15.75" customHeight="1">
      <c r="R362" s="30"/>
    </row>
    <row r="363" spans="18:18" ht="15.75" customHeight="1">
      <c r="R363" s="30"/>
    </row>
    <row r="364" spans="18:18" ht="15.75" customHeight="1">
      <c r="R364" s="30"/>
    </row>
    <row r="365" spans="18:18" ht="15.75" customHeight="1">
      <c r="R365" s="30"/>
    </row>
    <row r="366" spans="18:18" ht="15.75" customHeight="1">
      <c r="R366" s="30"/>
    </row>
    <row r="367" spans="18:18" ht="15.75" customHeight="1">
      <c r="R367" s="30"/>
    </row>
    <row r="368" spans="18:18" ht="15.75" customHeight="1">
      <c r="R368" s="30"/>
    </row>
    <row r="369" spans="18:18" ht="15.75" customHeight="1">
      <c r="R369" s="30"/>
    </row>
    <row r="370" spans="18:18" ht="15.75" customHeight="1">
      <c r="R370" s="30"/>
    </row>
    <row r="371" spans="18:18" ht="15.75" customHeight="1">
      <c r="R371" s="30"/>
    </row>
    <row r="372" spans="18:18" ht="15.75" customHeight="1">
      <c r="R372" s="30"/>
    </row>
    <row r="373" spans="18:18" ht="15.75" customHeight="1">
      <c r="R373" s="30"/>
    </row>
    <row r="374" spans="18:18" ht="15.75" customHeight="1">
      <c r="R374" s="30"/>
    </row>
    <row r="375" spans="18:18" ht="15.75" customHeight="1">
      <c r="R375" s="30"/>
    </row>
    <row r="376" spans="18:18" ht="15.75" customHeight="1">
      <c r="R376" s="30"/>
    </row>
    <row r="377" spans="18:18" ht="15.75" customHeight="1">
      <c r="R377" s="30"/>
    </row>
    <row r="378" spans="18:18" ht="15.75" customHeight="1">
      <c r="R378" s="30"/>
    </row>
    <row r="379" spans="18:18" ht="15.75" customHeight="1">
      <c r="R379" s="30"/>
    </row>
    <row r="380" spans="18:18" ht="15.75" customHeight="1">
      <c r="R380" s="30"/>
    </row>
    <row r="381" spans="18:18" ht="15.75" customHeight="1">
      <c r="R381" s="30"/>
    </row>
    <row r="382" spans="18:18" ht="15.75" customHeight="1">
      <c r="R382" s="30"/>
    </row>
    <row r="383" spans="18:18" ht="15.75" customHeight="1">
      <c r="R383" s="30"/>
    </row>
    <row r="384" spans="18:18" ht="15.75" customHeight="1">
      <c r="R384" s="30"/>
    </row>
    <row r="385" spans="18:18" ht="15.75" customHeight="1">
      <c r="R385" s="30"/>
    </row>
    <row r="386" spans="18:18" ht="15.75" customHeight="1">
      <c r="R386" s="30"/>
    </row>
    <row r="387" spans="18:18" ht="15.75" customHeight="1">
      <c r="R387" s="30"/>
    </row>
    <row r="388" spans="18:18" ht="15.75" customHeight="1">
      <c r="R388" s="30"/>
    </row>
    <row r="389" spans="18:18" ht="15.75" customHeight="1">
      <c r="R389" s="30"/>
    </row>
    <row r="390" spans="18:18" ht="15.75" customHeight="1">
      <c r="R390" s="30"/>
    </row>
    <row r="391" spans="18:18" ht="15.75" customHeight="1">
      <c r="R391" s="30"/>
    </row>
    <row r="392" spans="18:18" ht="15.75" customHeight="1">
      <c r="R392" s="30"/>
    </row>
    <row r="393" spans="18:18" ht="15.75" customHeight="1">
      <c r="R393" s="30"/>
    </row>
    <row r="394" spans="18:18" ht="15.75" customHeight="1">
      <c r="R394" s="30"/>
    </row>
    <row r="395" spans="18:18" ht="15.75" customHeight="1">
      <c r="R395" s="30"/>
    </row>
    <row r="396" spans="18:18" ht="15.75" customHeight="1">
      <c r="R396" s="30"/>
    </row>
    <row r="397" spans="18:18" ht="15.75" customHeight="1">
      <c r="R397" s="30"/>
    </row>
    <row r="398" spans="18:18" ht="15.75" customHeight="1">
      <c r="R398" s="30"/>
    </row>
    <row r="399" spans="18:18" ht="15.75" customHeight="1">
      <c r="R399" s="30"/>
    </row>
    <row r="400" spans="18:18" ht="15.75" customHeight="1">
      <c r="R400" s="30"/>
    </row>
    <row r="401" spans="18:18" ht="15.75" customHeight="1">
      <c r="R401" s="30"/>
    </row>
    <row r="402" spans="18:18" ht="15.75" customHeight="1">
      <c r="R402" s="30"/>
    </row>
    <row r="403" spans="18:18" ht="15.75" customHeight="1">
      <c r="R403" s="30"/>
    </row>
    <row r="404" spans="18:18" ht="15.75" customHeight="1">
      <c r="R404" s="30"/>
    </row>
    <row r="405" spans="18:18" ht="15.75" customHeight="1">
      <c r="R405" s="30"/>
    </row>
    <row r="406" spans="18:18" ht="15.75" customHeight="1">
      <c r="R406" s="30"/>
    </row>
    <row r="407" spans="18:18" ht="15.75" customHeight="1">
      <c r="R407" s="30"/>
    </row>
    <row r="408" spans="18:18" ht="15.75" customHeight="1">
      <c r="R408" s="30"/>
    </row>
    <row r="409" spans="18:18" ht="15.75" customHeight="1">
      <c r="R409" s="30"/>
    </row>
    <row r="410" spans="18:18" ht="15.75" customHeight="1">
      <c r="R410" s="30"/>
    </row>
    <row r="411" spans="18:18" ht="15.75" customHeight="1">
      <c r="R411" s="30"/>
    </row>
    <row r="412" spans="18:18" ht="15.75" customHeight="1">
      <c r="R412" s="30"/>
    </row>
    <row r="413" spans="18:18" ht="15.75" customHeight="1">
      <c r="R413" s="30"/>
    </row>
    <row r="414" spans="18:18" ht="15.75" customHeight="1">
      <c r="R414" s="30"/>
    </row>
    <row r="415" spans="18:18" ht="15.75" customHeight="1">
      <c r="R415" s="30"/>
    </row>
    <row r="416" spans="18:18" ht="15.75" customHeight="1">
      <c r="R416" s="30"/>
    </row>
    <row r="417" spans="18:18" ht="15.75" customHeight="1">
      <c r="R417" s="30"/>
    </row>
    <row r="418" spans="18:18" ht="15.75" customHeight="1">
      <c r="R418" s="30"/>
    </row>
    <row r="419" spans="18:18" ht="15.75" customHeight="1">
      <c r="R419" s="30"/>
    </row>
    <row r="420" spans="18:18" ht="15.75" customHeight="1">
      <c r="R420" s="30"/>
    </row>
    <row r="421" spans="18:18" ht="15.75" customHeight="1">
      <c r="R421" s="30"/>
    </row>
    <row r="422" spans="18:18" ht="15.75" customHeight="1">
      <c r="R422" s="30"/>
    </row>
    <row r="423" spans="18:18" ht="15.75" customHeight="1">
      <c r="R423" s="30"/>
    </row>
    <row r="424" spans="18:18" ht="15.75" customHeight="1">
      <c r="R424" s="30"/>
    </row>
    <row r="425" spans="18:18" ht="15.75" customHeight="1">
      <c r="R425" s="30"/>
    </row>
    <row r="426" spans="18:18" ht="15.75" customHeight="1">
      <c r="R426" s="30"/>
    </row>
    <row r="427" spans="18:18" ht="15.75" customHeight="1">
      <c r="R427" s="30"/>
    </row>
    <row r="428" spans="18:18" ht="15.75" customHeight="1">
      <c r="R428" s="30"/>
    </row>
    <row r="429" spans="18:18" ht="15.75" customHeight="1">
      <c r="R429" s="30"/>
    </row>
    <row r="430" spans="18:18" ht="15.75" customHeight="1">
      <c r="R430" s="30"/>
    </row>
    <row r="431" spans="18:18" ht="15.75" customHeight="1">
      <c r="R431" s="30"/>
    </row>
    <row r="432" spans="18:18" ht="15.75" customHeight="1">
      <c r="R432" s="30"/>
    </row>
    <row r="433" spans="18:18" ht="15.75" customHeight="1">
      <c r="R433" s="30"/>
    </row>
    <row r="434" spans="18:18" ht="15.75" customHeight="1">
      <c r="R434" s="30"/>
    </row>
    <row r="435" spans="18:18" ht="15.75" customHeight="1">
      <c r="R435" s="30"/>
    </row>
    <row r="436" spans="18:18" ht="15.75" customHeight="1">
      <c r="R436" s="30"/>
    </row>
    <row r="437" spans="18:18" ht="15.75" customHeight="1">
      <c r="R437" s="30"/>
    </row>
    <row r="438" spans="18:18" ht="15.75" customHeight="1">
      <c r="R438" s="30"/>
    </row>
    <row r="439" spans="18:18" ht="15.75" customHeight="1">
      <c r="R439" s="30"/>
    </row>
    <row r="440" spans="18:18" ht="15.75" customHeight="1">
      <c r="R440" s="30"/>
    </row>
    <row r="441" spans="18:18" ht="15.75" customHeight="1">
      <c r="R441" s="30"/>
    </row>
    <row r="442" spans="18:18" ht="15.75" customHeight="1">
      <c r="R442" s="30"/>
    </row>
    <row r="443" spans="18:18" ht="15.75" customHeight="1">
      <c r="R443" s="30"/>
    </row>
    <row r="444" spans="18:18" ht="15.75" customHeight="1">
      <c r="R444" s="30"/>
    </row>
    <row r="445" spans="18:18" ht="15.75" customHeight="1">
      <c r="R445" s="30"/>
    </row>
    <row r="446" spans="18:18" ht="15.75" customHeight="1">
      <c r="R446" s="30"/>
    </row>
    <row r="447" spans="18:18" ht="15.75" customHeight="1">
      <c r="R447" s="30"/>
    </row>
    <row r="448" spans="18:18" ht="15.75" customHeight="1">
      <c r="R448" s="30"/>
    </row>
    <row r="449" spans="18:18" ht="15.75" customHeight="1">
      <c r="R449" s="30"/>
    </row>
    <row r="450" spans="18:18" ht="15.75" customHeight="1">
      <c r="R450" s="30"/>
    </row>
    <row r="451" spans="18:18" ht="15.75" customHeight="1">
      <c r="R451" s="30"/>
    </row>
    <row r="452" spans="18:18" ht="15.75" customHeight="1">
      <c r="R452" s="30"/>
    </row>
    <row r="453" spans="18:18" ht="15.75" customHeight="1">
      <c r="R453" s="30"/>
    </row>
    <row r="454" spans="18:18" ht="15.75" customHeight="1">
      <c r="R454" s="30"/>
    </row>
    <row r="455" spans="18:18" ht="15.75" customHeight="1">
      <c r="R455" s="30"/>
    </row>
    <row r="456" spans="18:18" ht="15.75" customHeight="1">
      <c r="R456" s="30"/>
    </row>
    <row r="457" spans="18:18" ht="15.75" customHeight="1">
      <c r="R457" s="30"/>
    </row>
    <row r="458" spans="18:18" ht="15.75" customHeight="1">
      <c r="R458" s="30"/>
    </row>
    <row r="459" spans="18:18" ht="15.75" customHeight="1">
      <c r="R459" s="30"/>
    </row>
    <row r="460" spans="18:18" ht="15.75" customHeight="1">
      <c r="R460" s="30"/>
    </row>
    <row r="461" spans="18:18" ht="15.75" customHeight="1">
      <c r="R461" s="30"/>
    </row>
    <row r="462" spans="18:18" ht="15.75" customHeight="1">
      <c r="R462" s="30"/>
    </row>
    <row r="463" spans="18:18" ht="15.75" customHeight="1">
      <c r="R463" s="30"/>
    </row>
    <row r="464" spans="18:18" ht="15.75" customHeight="1">
      <c r="R464" s="30"/>
    </row>
    <row r="465" spans="18:18" ht="15.75" customHeight="1">
      <c r="R465" s="30"/>
    </row>
    <row r="466" spans="18:18" ht="15.75" customHeight="1">
      <c r="R466" s="30"/>
    </row>
    <row r="467" spans="18:18" ht="15.75" customHeight="1">
      <c r="R467" s="30"/>
    </row>
    <row r="468" spans="18:18" ht="15.75" customHeight="1">
      <c r="R468" s="30"/>
    </row>
    <row r="469" spans="18:18" ht="15.75" customHeight="1">
      <c r="R469" s="30"/>
    </row>
    <row r="470" spans="18:18" ht="15.75" customHeight="1">
      <c r="R470" s="30"/>
    </row>
    <row r="471" spans="18:18" ht="15.75" customHeight="1">
      <c r="R471" s="30"/>
    </row>
    <row r="472" spans="18:18" ht="15.75" customHeight="1">
      <c r="R472" s="30"/>
    </row>
    <row r="473" spans="18:18" ht="15.75" customHeight="1">
      <c r="R473" s="30"/>
    </row>
    <row r="474" spans="18:18" ht="15.75" customHeight="1">
      <c r="R474" s="30"/>
    </row>
    <row r="475" spans="18:18" ht="15.75" customHeight="1">
      <c r="R475" s="30"/>
    </row>
    <row r="476" spans="18:18" ht="15.75" customHeight="1">
      <c r="R476" s="30"/>
    </row>
    <row r="477" spans="18:18" ht="15.75" customHeight="1">
      <c r="R477" s="30"/>
    </row>
    <row r="478" spans="18:18" ht="15.75" customHeight="1">
      <c r="R478" s="30"/>
    </row>
    <row r="479" spans="18:18" ht="15.75" customHeight="1">
      <c r="R479" s="30"/>
    </row>
    <row r="480" spans="18:18" ht="15.75" customHeight="1">
      <c r="R480" s="30"/>
    </row>
    <row r="481" spans="18:18" ht="15.75" customHeight="1">
      <c r="R481" s="30"/>
    </row>
    <row r="482" spans="18:18" ht="15.75" customHeight="1">
      <c r="R482" s="30"/>
    </row>
    <row r="483" spans="18:18" ht="15.75" customHeight="1">
      <c r="R483" s="30"/>
    </row>
    <row r="484" spans="18:18" ht="15.75" customHeight="1">
      <c r="R484" s="30"/>
    </row>
    <row r="485" spans="18:18" ht="15.75" customHeight="1">
      <c r="R485" s="30"/>
    </row>
    <row r="486" spans="18:18" ht="15.75" customHeight="1">
      <c r="R486" s="30"/>
    </row>
    <row r="487" spans="18:18" ht="15.75" customHeight="1">
      <c r="R487" s="30"/>
    </row>
    <row r="488" spans="18:18" ht="15.75" customHeight="1">
      <c r="R488" s="30"/>
    </row>
    <row r="489" spans="18:18" ht="15.75" customHeight="1">
      <c r="R489" s="30"/>
    </row>
    <row r="490" spans="18:18" ht="15.75" customHeight="1">
      <c r="R490" s="30"/>
    </row>
    <row r="491" spans="18:18" ht="15.75" customHeight="1">
      <c r="R491" s="30"/>
    </row>
    <row r="492" spans="18:18" ht="15.75" customHeight="1">
      <c r="R492" s="30"/>
    </row>
    <row r="493" spans="18:18" ht="15.75" customHeight="1">
      <c r="R493" s="30"/>
    </row>
    <row r="494" spans="18:18" ht="15.75" customHeight="1">
      <c r="R494" s="30"/>
    </row>
    <row r="495" spans="18:18" ht="15.75" customHeight="1">
      <c r="R495" s="30"/>
    </row>
    <row r="496" spans="18:18" ht="15.75" customHeight="1">
      <c r="R496" s="30"/>
    </row>
    <row r="497" spans="18:18" ht="15.75" customHeight="1">
      <c r="R497" s="30"/>
    </row>
    <row r="498" spans="18:18" ht="15.75" customHeight="1">
      <c r="R498" s="30"/>
    </row>
    <row r="499" spans="18:18" ht="15.75" customHeight="1">
      <c r="R499" s="30"/>
    </row>
    <row r="500" spans="18:18" ht="15.75" customHeight="1">
      <c r="R500" s="30"/>
    </row>
    <row r="501" spans="18:18" ht="15.75" customHeight="1">
      <c r="R501" s="30"/>
    </row>
    <row r="502" spans="18:18" ht="15.75" customHeight="1">
      <c r="R502" s="30"/>
    </row>
    <row r="503" spans="18:18" ht="15.75" customHeight="1">
      <c r="R503" s="30"/>
    </row>
    <row r="504" spans="18:18" ht="15.75" customHeight="1">
      <c r="R504" s="30"/>
    </row>
    <row r="505" spans="18:18" ht="15.75" customHeight="1">
      <c r="R505" s="30"/>
    </row>
    <row r="506" spans="18:18" ht="15.75" customHeight="1">
      <c r="R506" s="30"/>
    </row>
    <row r="507" spans="18:18" ht="15.75" customHeight="1">
      <c r="R507" s="30"/>
    </row>
    <row r="508" spans="18:18" ht="15.75" customHeight="1">
      <c r="R508" s="30"/>
    </row>
    <row r="509" spans="18:18" ht="15.75" customHeight="1">
      <c r="R509" s="30"/>
    </row>
    <row r="510" spans="18:18" ht="15.75" customHeight="1">
      <c r="R510" s="30"/>
    </row>
    <row r="511" spans="18:18" ht="15.75" customHeight="1">
      <c r="R511" s="30"/>
    </row>
    <row r="512" spans="18:18" ht="15.75" customHeight="1">
      <c r="R512" s="30"/>
    </row>
    <row r="513" spans="18:18" ht="15.75" customHeight="1">
      <c r="R513" s="30"/>
    </row>
    <row r="514" spans="18:18" ht="15.75" customHeight="1">
      <c r="R514" s="30"/>
    </row>
    <row r="515" spans="18:18" ht="15.75" customHeight="1">
      <c r="R515" s="30"/>
    </row>
    <row r="516" spans="18:18" ht="15.75" customHeight="1">
      <c r="R516" s="30"/>
    </row>
    <row r="517" spans="18:18" ht="15.75" customHeight="1">
      <c r="R517" s="30"/>
    </row>
    <row r="518" spans="18:18" ht="15.75" customHeight="1">
      <c r="R518" s="30"/>
    </row>
    <row r="519" spans="18:18" ht="15.75" customHeight="1">
      <c r="R519" s="30"/>
    </row>
    <row r="520" spans="18:18" ht="15.75" customHeight="1">
      <c r="R520" s="30"/>
    </row>
    <row r="521" spans="18:18" ht="15.75" customHeight="1">
      <c r="R521" s="30"/>
    </row>
    <row r="522" spans="18:18" ht="15.75" customHeight="1">
      <c r="R522" s="30"/>
    </row>
    <row r="523" spans="18:18" ht="15.75" customHeight="1">
      <c r="R523" s="30"/>
    </row>
    <row r="524" spans="18:18" ht="15.75" customHeight="1">
      <c r="R524" s="30"/>
    </row>
    <row r="525" spans="18:18" ht="15.75" customHeight="1">
      <c r="R525" s="30"/>
    </row>
    <row r="526" spans="18:18" ht="15.75" customHeight="1">
      <c r="R526" s="30"/>
    </row>
    <row r="527" spans="18:18" ht="15.75" customHeight="1">
      <c r="R527" s="30"/>
    </row>
    <row r="528" spans="18:18" ht="15.75" customHeight="1">
      <c r="R528" s="30"/>
    </row>
    <row r="529" spans="18:18" ht="15.75" customHeight="1">
      <c r="R529" s="30"/>
    </row>
    <row r="530" spans="18:18" ht="15.75" customHeight="1">
      <c r="R530" s="30"/>
    </row>
    <row r="531" spans="18:18" ht="15.75" customHeight="1">
      <c r="R531" s="30"/>
    </row>
    <row r="532" spans="18:18" ht="15.75" customHeight="1">
      <c r="R532" s="30"/>
    </row>
    <row r="533" spans="18:18" ht="15.75" customHeight="1">
      <c r="R533" s="30"/>
    </row>
    <row r="534" spans="18:18" ht="15.75" customHeight="1">
      <c r="R534" s="30"/>
    </row>
    <row r="535" spans="18:18" ht="15.75" customHeight="1">
      <c r="R535" s="30"/>
    </row>
    <row r="536" spans="18:18" ht="15.75" customHeight="1">
      <c r="R536" s="30"/>
    </row>
    <row r="537" spans="18:18" ht="15.75" customHeight="1">
      <c r="R537" s="30"/>
    </row>
    <row r="538" spans="18:18" ht="15.75" customHeight="1">
      <c r="R538" s="30"/>
    </row>
    <row r="539" spans="18:18" ht="15.75" customHeight="1">
      <c r="R539" s="30"/>
    </row>
    <row r="540" spans="18:18" ht="15.75" customHeight="1">
      <c r="R540" s="30"/>
    </row>
    <row r="541" spans="18:18" ht="15.75" customHeight="1">
      <c r="R541" s="30"/>
    </row>
    <row r="542" spans="18:18" ht="15.75" customHeight="1">
      <c r="R542" s="30"/>
    </row>
    <row r="543" spans="18:18" ht="15.75" customHeight="1">
      <c r="R543" s="30"/>
    </row>
    <row r="544" spans="18:18" ht="15.75" customHeight="1">
      <c r="R544" s="30"/>
    </row>
    <row r="545" spans="18:18" ht="15.75" customHeight="1">
      <c r="R545" s="30"/>
    </row>
    <row r="546" spans="18:18" ht="15.75" customHeight="1">
      <c r="R546" s="30"/>
    </row>
    <row r="547" spans="18:18" ht="15.75" customHeight="1">
      <c r="R547" s="30"/>
    </row>
    <row r="548" spans="18:18" ht="15.75" customHeight="1">
      <c r="R548" s="30"/>
    </row>
    <row r="549" spans="18:18" ht="15.75" customHeight="1">
      <c r="R549" s="30"/>
    </row>
    <row r="550" spans="18:18" ht="15.75" customHeight="1">
      <c r="R550" s="30"/>
    </row>
    <row r="551" spans="18:18" ht="15.75" customHeight="1">
      <c r="R551" s="30"/>
    </row>
    <row r="552" spans="18:18" ht="15.75" customHeight="1">
      <c r="R552" s="30"/>
    </row>
    <row r="553" spans="18:18" ht="15.75" customHeight="1">
      <c r="R553" s="30"/>
    </row>
    <row r="554" spans="18:18" ht="15.75" customHeight="1">
      <c r="R554" s="30"/>
    </row>
    <row r="555" spans="18:18" ht="15.75" customHeight="1">
      <c r="R555" s="30"/>
    </row>
    <row r="556" spans="18:18" ht="15.75" customHeight="1">
      <c r="R556" s="30"/>
    </row>
    <row r="557" spans="18:18" ht="15.75" customHeight="1">
      <c r="R557" s="30"/>
    </row>
    <row r="558" spans="18:18" ht="15.75" customHeight="1">
      <c r="R558" s="30"/>
    </row>
    <row r="559" spans="18:18" ht="15.75" customHeight="1">
      <c r="R559" s="30"/>
    </row>
    <row r="560" spans="18:18" ht="15.75" customHeight="1">
      <c r="R560" s="30"/>
    </row>
    <row r="561" spans="18:18" ht="15.75" customHeight="1">
      <c r="R561" s="30"/>
    </row>
    <row r="562" spans="18:18" ht="15.75" customHeight="1">
      <c r="R562" s="30"/>
    </row>
    <row r="563" spans="18:18" ht="15.75" customHeight="1">
      <c r="R563" s="30"/>
    </row>
    <row r="564" spans="18:18" ht="15.75" customHeight="1">
      <c r="R564" s="30"/>
    </row>
    <row r="565" spans="18:18" ht="15.75" customHeight="1">
      <c r="R565" s="30"/>
    </row>
    <row r="566" spans="18:18" ht="15.75" customHeight="1">
      <c r="R566" s="30"/>
    </row>
    <row r="567" spans="18:18" ht="15.75" customHeight="1">
      <c r="R567" s="30"/>
    </row>
    <row r="568" spans="18:18" ht="15.75" customHeight="1">
      <c r="R568" s="30"/>
    </row>
    <row r="569" spans="18:18" ht="15.75" customHeight="1">
      <c r="R569" s="30"/>
    </row>
    <row r="570" spans="18:18" ht="15.75" customHeight="1">
      <c r="R570" s="30"/>
    </row>
    <row r="571" spans="18:18" ht="15.75" customHeight="1">
      <c r="R571" s="30"/>
    </row>
    <row r="572" spans="18:18" ht="15.75" customHeight="1">
      <c r="R572" s="30"/>
    </row>
    <row r="573" spans="18:18" ht="15.75" customHeight="1">
      <c r="R573" s="30"/>
    </row>
    <row r="574" spans="18:18" ht="15.75" customHeight="1">
      <c r="R574" s="30"/>
    </row>
    <row r="575" spans="18:18" ht="15.75" customHeight="1">
      <c r="R575" s="30"/>
    </row>
    <row r="576" spans="18:18" ht="15.75" customHeight="1">
      <c r="R576" s="30"/>
    </row>
    <row r="577" spans="18:18" ht="15.75" customHeight="1">
      <c r="R577" s="30"/>
    </row>
    <row r="578" spans="18:18" ht="15.75" customHeight="1">
      <c r="R578" s="30"/>
    </row>
    <row r="579" spans="18:18" ht="15.75" customHeight="1">
      <c r="R579" s="30"/>
    </row>
    <row r="580" spans="18:18" ht="15.75" customHeight="1">
      <c r="R580" s="30"/>
    </row>
    <row r="581" spans="18:18" ht="15.75" customHeight="1">
      <c r="R581" s="30"/>
    </row>
    <row r="582" spans="18:18" ht="15.75" customHeight="1">
      <c r="R582" s="30"/>
    </row>
    <row r="583" spans="18:18" ht="15.75" customHeight="1">
      <c r="R583" s="30"/>
    </row>
    <row r="584" spans="18:18" ht="15.75" customHeight="1">
      <c r="R584" s="30"/>
    </row>
    <row r="585" spans="18:18" ht="15.75" customHeight="1">
      <c r="R585" s="30"/>
    </row>
    <row r="586" spans="18:18" ht="15.75" customHeight="1">
      <c r="R586" s="30"/>
    </row>
    <row r="587" spans="18:18" ht="15.75" customHeight="1">
      <c r="R587" s="30"/>
    </row>
    <row r="588" spans="18:18" ht="15.75" customHeight="1">
      <c r="R588" s="30"/>
    </row>
    <row r="589" spans="18:18" ht="15.75" customHeight="1">
      <c r="R589" s="30"/>
    </row>
    <row r="590" spans="18:18" ht="15.75" customHeight="1">
      <c r="R590" s="30"/>
    </row>
    <row r="591" spans="18:18" ht="15.75" customHeight="1">
      <c r="R591" s="30"/>
    </row>
    <row r="592" spans="18:18" ht="15.75" customHeight="1">
      <c r="R592" s="30"/>
    </row>
    <row r="593" spans="18:18" ht="15.75" customHeight="1">
      <c r="R593" s="30"/>
    </row>
    <row r="594" spans="18:18" ht="15.75" customHeight="1">
      <c r="R594" s="30"/>
    </row>
    <row r="595" spans="18:18" ht="15.75" customHeight="1">
      <c r="R595" s="30"/>
    </row>
    <row r="596" spans="18:18" ht="15.75" customHeight="1">
      <c r="R596" s="30"/>
    </row>
    <row r="597" spans="18:18" ht="15.75" customHeight="1">
      <c r="R597" s="30"/>
    </row>
    <row r="598" spans="18:18" ht="15.75" customHeight="1">
      <c r="R598" s="30"/>
    </row>
    <row r="599" spans="18:18" ht="15.75" customHeight="1">
      <c r="R599" s="30"/>
    </row>
    <row r="600" spans="18:18" ht="15.75" customHeight="1">
      <c r="R600" s="30"/>
    </row>
    <row r="601" spans="18:18" ht="15.75" customHeight="1">
      <c r="R601" s="30"/>
    </row>
    <row r="602" spans="18:18" ht="15.75" customHeight="1">
      <c r="R602" s="30"/>
    </row>
    <row r="603" spans="18:18" ht="15.75" customHeight="1">
      <c r="R603" s="30"/>
    </row>
    <row r="604" spans="18:18" ht="15.75" customHeight="1">
      <c r="R604" s="30"/>
    </row>
    <row r="605" spans="18:18" ht="15.75" customHeight="1">
      <c r="R605" s="30"/>
    </row>
    <row r="606" spans="18:18" ht="15.75" customHeight="1">
      <c r="R606" s="30"/>
    </row>
    <row r="607" spans="18:18" ht="15.75" customHeight="1">
      <c r="R607" s="30"/>
    </row>
    <row r="608" spans="18:18" ht="15.75" customHeight="1">
      <c r="R608" s="30"/>
    </row>
    <row r="609" spans="18:18" ht="15.75" customHeight="1">
      <c r="R609" s="30"/>
    </row>
    <row r="610" spans="18:18" ht="15.75" customHeight="1">
      <c r="R610" s="30"/>
    </row>
    <row r="611" spans="18:18" ht="15.75" customHeight="1">
      <c r="R611" s="30"/>
    </row>
    <row r="612" spans="18:18" ht="15.75" customHeight="1">
      <c r="R612" s="30"/>
    </row>
    <row r="613" spans="18:18" ht="15.75" customHeight="1">
      <c r="R613" s="30"/>
    </row>
    <row r="614" spans="18:18" ht="15.75" customHeight="1">
      <c r="R614" s="30"/>
    </row>
    <row r="615" spans="18:18" ht="15.75" customHeight="1">
      <c r="R615" s="30"/>
    </row>
    <row r="616" spans="18:18" ht="15.75" customHeight="1">
      <c r="R616" s="30"/>
    </row>
    <row r="617" spans="18:18" ht="15.75" customHeight="1">
      <c r="R617" s="30"/>
    </row>
    <row r="618" spans="18:18" ht="15.75" customHeight="1">
      <c r="R618" s="30"/>
    </row>
    <row r="619" spans="18:18" ht="15.75" customHeight="1">
      <c r="R619" s="30"/>
    </row>
    <row r="620" spans="18:18" ht="15.75" customHeight="1">
      <c r="R620" s="30"/>
    </row>
    <row r="621" spans="18:18" ht="15.75" customHeight="1">
      <c r="R621" s="30"/>
    </row>
    <row r="622" spans="18:18" ht="15.75" customHeight="1">
      <c r="R622" s="30"/>
    </row>
    <row r="623" spans="18:18" ht="15.75" customHeight="1">
      <c r="R623" s="30"/>
    </row>
    <row r="624" spans="18:18" ht="15.75" customHeight="1">
      <c r="R624" s="30"/>
    </row>
    <row r="625" spans="18:18" ht="15.75" customHeight="1">
      <c r="R625" s="30"/>
    </row>
    <row r="626" spans="18:18" ht="15.75" customHeight="1">
      <c r="R626" s="30"/>
    </row>
    <row r="627" spans="18:18" ht="15.75" customHeight="1">
      <c r="R627" s="30"/>
    </row>
    <row r="628" spans="18:18" ht="15.75" customHeight="1">
      <c r="R628" s="30"/>
    </row>
    <row r="629" spans="18:18" ht="15.75" customHeight="1">
      <c r="R629" s="30"/>
    </row>
    <row r="630" spans="18:18" ht="15.75" customHeight="1">
      <c r="R630" s="30"/>
    </row>
    <row r="631" spans="18:18" ht="15.75" customHeight="1">
      <c r="R631" s="30"/>
    </row>
    <row r="632" spans="18:18" ht="15.75" customHeight="1">
      <c r="R632" s="30"/>
    </row>
    <row r="633" spans="18:18" ht="15.75" customHeight="1">
      <c r="R633" s="30"/>
    </row>
    <row r="634" spans="18:18" ht="15.75" customHeight="1">
      <c r="R634" s="30"/>
    </row>
    <row r="635" spans="18:18" ht="15.75" customHeight="1">
      <c r="R635" s="30"/>
    </row>
    <row r="636" spans="18:18" ht="15.75" customHeight="1">
      <c r="R636" s="30"/>
    </row>
    <row r="637" spans="18:18" ht="15.75" customHeight="1">
      <c r="R637" s="30"/>
    </row>
    <row r="638" spans="18:18" ht="15.75" customHeight="1">
      <c r="R638" s="30"/>
    </row>
    <row r="639" spans="18:18" ht="15.75" customHeight="1">
      <c r="R639" s="30"/>
    </row>
    <row r="640" spans="18:18" ht="15.75" customHeight="1">
      <c r="R640" s="30"/>
    </row>
    <row r="641" spans="18:18" ht="15.75" customHeight="1">
      <c r="R641" s="30"/>
    </row>
    <row r="642" spans="18:18" ht="15.75" customHeight="1">
      <c r="R642" s="30"/>
    </row>
    <row r="643" spans="18:18" ht="15.75" customHeight="1">
      <c r="R643" s="30"/>
    </row>
    <row r="644" spans="18:18" ht="15.75" customHeight="1">
      <c r="R644" s="30"/>
    </row>
    <row r="645" spans="18:18" ht="15.75" customHeight="1">
      <c r="R645" s="30"/>
    </row>
    <row r="646" spans="18:18" ht="15.75" customHeight="1">
      <c r="R646" s="30"/>
    </row>
    <row r="647" spans="18:18" ht="15.75" customHeight="1">
      <c r="R647" s="30"/>
    </row>
    <row r="648" spans="18:18" ht="15.75" customHeight="1">
      <c r="R648" s="30"/>
    </row>
    <row r="649" spans="18:18" ht="15.75" customHeight="1">
      <c r="R649" s="30"/>
    </row>
    <row r="650" spans="18:18" ht="15.75" customHeight="1">
      <c r="R650" s="30"/>
    </row>
    <row r="651" spans="18:18" ht="15.75" customHeight="1">
      <c r="R651" s="30"/>
    </row>
    <row r="652" spans="18:18" ht="15.75" customHeight="1">
      <c r="R652" s="30"/>
    </row>
    <row r="653" spans="18:18" ht="15.75" customHeight="1">
      <c r="R653" s="30"/>
    </row>
    <row r="654" spans="18:18" ht="15.75" customHeight="1">
      <c r="R654" s="30"/>
    </row>
    <row r="655" spans="18:18" ht="15.75" customHeight="1">
      <c r="R655" s="30"/>
    </row>
    <row r="656" spans="18:18" ht="15.75" customHeight="1">
      <c r="R656" s="30"/>
    </row>
    <row r="657" spans="18:18" ht="15.75" customHeight="1">
      <c r="R657" s="30"/>
    </row>
    <row r="658" spans="18:18" ht="15.75" customHeight="1">
      <c r="R658" s="30"/>
    </row>
    <row r="659" spans="18:18" ht="15.75" customHeight="1">
      <c r="R659" s="30"/>
    </row>
    <row r="660" spans="18:18" ht="15.75" customHeight="1">
      <c r="R660" s="30"/>
    </row>
    <row r="661" spans="18:18" ht="15.75" customHeight="1">
      <c r="R661" s="30"/>
    </row>
    <row r="662" spans="18:18" ht="15.75" customHeight="1">
      <c r="R662" s="30"/>
    </row>
    <row r="663" spans="18:18" ht="15.75" customHeight="1">
      <c r="R663" s="30"/>
    </row>
    <row r="664" spans="18:18" ht="15.75" customHeight="1">
      <c r="R664" s="30"/>
    </row>
    <row r="665" spans="18:18" ht="15.75" customHeight="1">
      <c r="R665" s="30"/>
    </row>
    <row r="666" spans="18:18" ht="15.75" customHeight="1">
      <c r="R666" s="30"/>
    </row>
    <row r="667" spans="18:18" ht="15.75" customHeight="1">
      <c r="R667" s="30"/>
    </row>
    <row r="668" spans="18:18" ht="15.75" customHeight="1">
      <c r="R668" s="30"/>
    </row>
    <row r="669" spans="18:18" ht="15.75" customHeight="1">
      <c r="R669" s="30"/>
    </row>
    <row r="670" spans="18:18" ht="15.75" customHeight="1">
      <c r="R670" s="30"/>
    </row>
    <row r="671" spans="18:18" ht="15.75" customHeight="1">
      <c r="R671" s="30"/>
    </row>
    <row r="672" spans="18:18" ht="15.75" customHeight="1">
      <c r="R672" s="30"/>
    </row>
    <row r="673" spans="18:18" ht="15.75" customHeight="1">
      <c r="R673" s="30"/>
    </row>
    <row r="674" spans="18:18" ht="15.75" customHeight="1">
      <c r="R674" s="30"/>
    </row>
    <row r="675" spans="18:18" ht="15.75" customHeight="1">
      <c r="R675" s="30"/>
    </row>
    <row r="676" spans="18:18" ht="15.75" customHeight="1">
      <c r="R676" s="30"/>
    </row>
    <row r="677" spans="18:18" ht="15.75" customHeight="1">
      <c r="R677" s="30"/>
    </row>
    <row r="678" spans="18:18" ht="15.75" customHeight="1">
      <c r="R678" s="30"/>
    </row>
    <row r="679" spans="18:18" ht="15.75" customHeight="1">
      <c r="R679" s="30"/>
    </row>
    <row r="680" spans="18:18" ht="15.75" customHeight="1">
      <c r="R680" s="30"/>
    </row>
    <row r="681" spans="18:18" ht="15.75" customHeight="1">
      <c r="R681" s="30"/>
    </row>
    <row r="682" spans="18:18" ht="15.75" customHeight="1">
      <c r="R682" s="30"/>
    </row>
    <row r="683" spans="18:18" ht="15.75" customHeight="1">
      <c r="R683" s="30"/>
    </row>
    <row r="684" spans="18:18" ht="15.75" customHeight="1">
      <c r="R684" s="30"/>
    </row>
    <row r="685" spans="18:18" ht="15.75" customHeight="1">
      <c r="R685" s="30"/>
    </row>
    <row r="686" spans="18:18" ht="15.75" customHeight="1">
      <c r="R686" s="30"/>
    </row>
    <row r="687" spans="18:18" ht="15.75" customHeight="1">
      <c r="R687" s="30"/>
    </row>
    <row r="688" spans="18:18" ht="15.75" customHeight="1">
      <c r="R688" s="30"/>
    </row>
    <row r="689" spans="18:18" ht="15.75" customHeight="1">
      <c r="R689" s="30"/>
    </row>
    <row r="690" spans="18:18" ht="15.75" customHeight="1">
      <c r="R690" s="30"/>
    </row>
    <row r="691" spans="18:18" ht="15.75" customHeight="1">
      <c r="R691" s="30"/>
    </row>
    <row r="692" spans="18:18" ht="15.75" customHeight="1">
      <c r="R692" s="30"/>
    </row>
    <row r="693" spans="18:18" ht="15.75" customHeight="1">
      <c r="R693" s="30"/>
    </row>
    <row r="694" spans="18:18" ht="15.75" customHeight="1">
      <c r="R694" s="30"/>
    </row>
    <row r="695" spans="18:18" ht="15.75" customHeight="1">
      <c r="R695" s="30"/>
    </row>
    <row r="696" spans="18:18" ht="15.75" customHeight="1">
      <c r="R696" s="30"/>
    </row>
    <row r="697" spans="18:18" ht="15.75" customHeight="1">
      <c r="R697" s="30"/>
    </row>
    <row r="698" spans="18:18" ht="15.75" customHeight="1">
      <c r="R698" s="30"/>
    </row>
    <row r="699" spans="18:18" ht="15.75" customHeight="1">
      <c r="R699" s="30"/>
    </row>
    <row r="700" spans="18:18" ht="15.75" customHeight="1">
      <c r="R700" s="30"/>
    </row>
    <row r="701" spans="18:18" ht="15.75" customHeight="1">
      <c r="R701" s="30"/>
    </row>
    <row r="702" spans="18:18" ht="15.75" customHeight="1">
      <c r="R702" s="30"/>
    </row>
    <row r="703" spans="18:18" ht="15.75" customHeight="1">
      <c r="R703" s="30"/>
    </row>
    <row r="704" spans="18:18" ht="15.75" customHeight="1">
      <c r="R704" s="30"/>
    </row>
    <row r="705" spans="18:18" ht="15.75" customHeight="1">
      <c r="R705" s="30"/>
    </row>
    <row r="706" spans="18:18" ht="15.75" customHeight="1">
      <c r="R706" s="30"/>
    </row>
    <row r="707" spans="18:18" ht="15.75" customHeight="1">
      <c r="R707" s="30"/>
    </row>
    <row r="708" spans="18:18" ht="15.75" customHeight="1">
      <c r="R708" s="30"/>
    </row>
    <row r="709" spans="18:18" ht="15.75" customHeight="1">
      <c r="R709" s="30"/>
    </row>
    <row r="710" spans="18:18" ht="15.75" customHeight="1">
      <c r="R710" s="30"/>
    </row>
    <row r="711" spans="18:18" ht="15.75" customHeight="1">
      <c r="R711" s="30"/>
    </row>
    <row r="712" spans="18:18" ht="15.75" customHeight="1">
      <c r="R712" s="30"/>
    </row>
    <row r="713" spans="18:18" ht="15.75" customHeight="1">
      <c r="R713" s="30"/>
    </row>
    <row r="714" spans="18:18" ht="15.75" customHeight="1">
      <c r="R714" s="30"/>
    </row>
    <row r="715" spans="18:18" ht="15.75" customHeight="1">
      <c r="R715" s="30"/>
    </row>
    <row r="716" spans="18:18" ht="15.75" customHeight="1">
      <c r="R716" s="30"/>
    </row>
    <row r="717" spans="18:18" ht="15.75" customHeight="1">
      <c r="R717" s="30"/>
    </row>
    <row r="718" spans="18:18" ht="15.75" customHeight="1">
      <c r="R718" s="30"/>
    </row>
    <row r="719" spans="18:18" ht="15.75" customHeight="1">
      <c r="R719" s="30"/>
    </row>
    <row r="720" spans="18:18" ht="15.75" customHeight="1">
      <c r="R720" s="30"/>
    </row>
    <row r="721" spans="18:18" ht="15.75" customHeight="1">
      <c r="R721" s="30"/>
    </row>
    <row r="722" spans="18:18" ht="15.75" customHeight="1">
      <c r="R722" s="30"/>
    </row>
    <row r="723" spans="18:18" ht="15.75" customHeight="1">
      <c r="R723" s="30"/>
    </row>
    <row r="724" spans="18:18" ht="15.75" customHeight="1">
      <c r="R724" s="30"/>
    </row>
    <row r="725" spans="18:18" ht="15.75" customHeight="1">
      <c r="R725" s="30"/>
    </row>
    <row r="726" spans="18:18" ht="15.75" customHeight="1">
      <c r="R726" s="30"/>
    </row>
    <row r="727" spans="18:18" ht="15.75" customHeight="1">
      <c r="R727" s="30"/>
    </row>
    <row r="728" spans="18:18" ht="15.75" customHeight="1">
      <c r="R728" s="30"/>
    </row>
    <row r="729" spans="18:18" ht="15.75" customHeight="1">
      <c r="R729" s="30"/>
    </row>
    <row r="730" spans="18:18" ht="15.75" customHeight="1">
      <c r="R730" s="30"/>
    </row>
    <row r="731" spans="18:18" ht="15.75" customHeight="1">
      <c r="R731" s="30"/>
    </row>
    <row r="732" spans="18:18" ht="15.75" customHeight="1">
      <c r="R732" s="30"/>
    </row>
    <row r="733" spans="18:18" ht="15.75" customHeight="1">
      <c r="R733" s="30"/>
    </row>
    <row r="734" spans="18:18" ht="15.75" customHeight="1">
      <c r="R734" s="30"/>
    </row>
    <row r="735" spans="18:18" ht="15.75" customHeight="1">
      <c r="R735" s="30"/>
    </row>
    <row r="736" spans="18:18" ht="15.75" customHeight="1">
      <c r="R736" s="30"/>
    </row>
    <row r="737" spans="18:18" ht="15.75" customHeight="1">
      <c r="R737" s="30"/>
    </row>
    <row r="738" spans="18:18" ht="15.75" customHeight="1">
      <c r="R738" s="30"/>
    </row>
    <row r="739" spans="18:18" ht="15.75" customHeight="1">
      <c r="R739" s="30"/>
    </row>
    <row r="740" spans="18:18" ht="15.75" customHeight="1">
      <c r="R740" s="30"/>
    </row>
    <row r="741" spans="18:18" ht="15.75" customHeight="1">
      <c r="R741" s="30"/>
    </row>
    <row r="742" spans="18:18" ht="15.75" customHeight="1">
      <c r="R742" s="30"/>
    </row>
    <row r="743" spans="18:18" ht="15.75" customHeight="1">
      <c r="R743" s="30"/>
    </row>
    <row r="744" spans="18:18" ht="15.75" customHeight="1">
      <c r="R744" s="30"/>
    </row>
    <row r="745" spans="18:18" ht="15.75" customHeight="1">
      <c r="R745" s="30"/>
    </row>
    <row r="746" spans="18:18" ht="15.75" customHeight="1">
      <c r="R746" s="30"/>
    </row>
    <row r="747" spans="18:18" ht="15.75" customHeight="1">
      <c r="R747" s="30"/>
    </row>
    <row r="748" spans="18:18" ht="15.75" customHeight="1">
      <c r="R748" s="30"/>
    </row>
    <row r="749" spans="18:18" ht="15.75" customHeight="1">
      <c r="R749" s="30"/>
    </row>
    <row r="750" spans="18:18" ht="15.75" customHeight="1">
      <c r="R750" s="30"/>
    </row>
    <row r="751" spans="18:18" ht="15.75" customHeight="1">
      <c r="R751" s="30"/>
    </row>
    <row r="752" spans="18:18" ht="15.75" customHeight="1">
      <c r="R752" s="30"/>
    </row>
    <row r="753" spans="18:18" ht="15.75" customHeight="1">
      <c r="R753" s="30"/>
    </row>
    <row r="754" spans="18:18" ht="15.75" customHeight="1">
      <c r="R754" s="30"/>
    </row>
    <row r="755" spans="18:18" ht="15.75" customHeight="1">
      <c r="R755" s="30"/>
    </row>
    <row r="756" spans="18:18" ht="15.75" customHeight="1">
      <c r="R756" s="30"/>
    </row>
    <row r="757" spans="18:18" ht="15.75" customHeight="1">
      <c r="R757" s="30"/>
    </row>
    <row r="758" spans="18:18" ht="15.75" customHeight="1">
      <c r="R758" s="30"/>
    </row>
    <row r="759" spans="18:18" ht="15.75" customHeight="1">
      <c r="R759" s="30"/>
    </row>
    <row r="760" spans="18:18" ht="15.75" customHeight="1">
      <c r="R760" s="30"/>
    </row>
    <row r="761" spans="18:18" ht="15.75" customHeight="1">
      <c r="R761" s="30"/>
    </row>
    <row r="762" spans="18:18" ht="15.75" customHeight="1">
      <c r="R762" s="30"/>
    </row>
    <row r="763" spans="18:18" ht="15.75" customHeight="1">
      <c r="R763" s="30"/>
    </row>
    <row r="764" spans="18:18" ht="15.75" customHeight="1">
      <c r="R764" s="30"/>
    </row>
    <row r="765" spans="18:18" ht="15.75" customHeight="1">
      <c r="R765" s="30"/>
    </row>
    <row r="766" spans="18:18" ht="15.75" customHeight="1">
      <c r="R766" s="30"/>
    </row>
    <row r="767" spans="18:18" ht="15.75" customHeight="1">
      <c r="R767" s="30"/>
    </row>
    <row r="768" spans="18:18" ht="15.75" customHeight="1">
      <c r="R768" s="30"/>
    </row>
    <row r="769" spans="18:18" ht="15.75" customHeight="1">
      <c r="R769" s="30"/>
    </row>
    <row r="770" spans="18:18" ht="15.75" customHeight="1">
      <c r="R770" s="30"/>
    </row>
    <row r="771" spans="18:18" ht="15.75" customHeight="1">
      <c r="R771" s="30"/>
    </row>
    <row r="772" spans="18:18" ht="15.75" customHeight="1">
      <c r="R772" s="30"/>
    </row>
    <row r="773" spans="18:18" ht="15.75" customHeight="1">
      <c r="R773" s="30"/>
    </row>
    <row r="774" spans="18:18" ht="15.75" customHeight="1">
      <c r="R774" s="30"/>
    </row>
    <row r="775" spans="18:18" ht="15.75" customHeight="1">
      <c r="R775" s="30"/>
    </row>
    <row r="776" spans="18:18" ht="15.75" customHeight="1">
      <c r="R776" s="30"/>
    </row>
    <row r="777" spans="18:18" ht="15.75" customHeight="1">
      <c r="R777" s="30"/>
    </row>
    <row r="778" spans="18:18" ht="15.75" customHeight="1">
      <c r="R778" s="30"/>
    </row>
    <row r="779" spans="18:18" ht="15.75" customHeight="1">
      <c r="R779" s="30"/>
    </row>
    <row r="780" spans="18:18" ht="15.75" customHeight="1">
      <c r="R780" s="30"/>
    </row>
    <row r="781" spans="18:18" ht="15.75" customHeight="1">
      <c r="R781" s="30"/>
    </row>
    <row r="782" spans="18:18" ht="15.75" customHeight="1">
      <c r="R782" s="30"/>
    </row>
    <row r="783" spans="18:18" ht="15.75" customHeight="1">
      <c r="R783" s="30"/>
    </row>
    <row r="784" spans="18:18" ht="15.75" customHeight="1">
      <c r="R784" s="30"/>
    </row>
    <row r="785" spans="18:18" ht="15.75" customHeight="1">
      <c r="R785" s="30"/>
    </row>
    <row r="786" spans="18:18" ht="15.75" customHeight="1">
      <c r="R786" s="30"/>
    </row>
    <row r="787" spans="18:18" ht="15.75" customHeight="1">
      <c r="R787" s="30"/>
    </row>
    <row r="788" spans="18:18" ht="15.75" customHeight="1">
      <c r="R788" s="30"/>
    </row>
    <row r="789" spans="18:18" ht="15.75" customHeight="1">
      <c r="R789" s="30"/>
    </row>
    <row r="790" spans="18:18" ht="15.75" customHeight="1">
      <c r="R790" s="30"/>
    </row>
    <row r="791" spans="18:18" ht="15.75" customHeight="1">
      <c r="R791" s="30"/>
    </row>
    <row r="792" spans="18:18" ht="15.75" customHeight="1">
      <c r="R792" s="30"/>
    </row>
    <row r="793" spans="18:18" ht="15.75" customHeight="1">
      <c r="R793" s="30"/>
    </row>
    <row r="794" spans="18:18" ht="15.75" customHeight="1">
      <c r="R794" s="30"/>
    </row>
    <row r="795" spans="18:18" ht="15.75" customHeight="1">
      <c r="R795" s="30"/>
    </row>
    <row r="796" spans="18:18" ht="15.75" customHeight="1">
      <c r="R796" s="30"/>
    </row>
    <row r="797" spans="18:18" ht="15.75" customHeight="1">
      <c r="R797" s="30"/>
    </row>
    <row r="798" spans="18:18" ht="15.75" customHeight="1">
      <c r="R798" s="30"/>
    </row>
    <row r="799" spans="18:18" ht="15.75" customHeight="1">
      <c r="R799" s="30"/>
    </row>
    <row r="800" spans="18:18" ht="15.75" customHeight="1">
      <c r="R800" s="30"/>
    </row>
    <row r="801" spans="18:18" ht="15.75" customHeight="1">
      <c r="R801" s="30"/>
    </row>
    <row r="802" spans="18:18" ht="15.75" customHeight="1">
      <c r="R802" s="30"/>
    </row>
    <row r="803" spans="18:18" ht="15.75" customHeight="1">
      <c r="R803" s="30"/>
    </row>
    <row r="804" spans="18:18" ht="15.75" customHeight="1">
      <c r="R804" s="30"/>
    </row>
    <row r="805" spans="18:18" ht="15.75" customHeight="1">
      <c r="R805" s="30"/>
    </row>
    <row r="806" spans="18:18" ht="15.75" customHeight="1">
      <c r="R806" s="30"/>
    </row>
    <row r="807" spans="18:18" ht="15.75" customHeight="1">
      <c r="R807" s="30"/>
    </row>
    <row r="808" spans="18:18" ht="15.75" customHeight="1">
      <c r="R808" s="30"/>
    </row>
    <row r="809" spans="18:18" ht="15.75" customHeight="1">
      <c r="R809" s="30"/>
    </row>
    <row r="810" spans="18:18" ht="15.75" customHeight="1">
      <c r="R810" s="30"/>
    </row>
    <row r="811" spans="18:18" ht="15.75" customHeight="1">
      <c r="R811" s="30"/>
    </row>
    <row r="812" spans="18:18" ht="15.75" customHeight="1">
      <c r="R812" s="30"/>
    </row>
    <row r="813" spans="18:18" ht="15.75" customHeight="1">
      <c r="R813" s="30"/>
    </row>
    <row r="814" spans="18:18" ht="15.75" customHeight="1">
      <c r="R814" s="30"/>
    </row>
    <row r="815" spans="18:18" ht="15.75" customHeight="1">
      <c r="R815" s="30"/>
    </row>
    <row r="816" spans="18:18" ht="15.75" customHeight="1">
      <c r="R816" s="30"/>
    </row>
    <row r="817" spans="18:18" ht="15.75" customHeight="1">
      <c r="R817" s="30"/>
    </row>
    <row r="818" spans="18:18" ht="15.75" customHeight="1">
      <c r="R818" s="30"/>
    </row>
    <row r="819" spans="18:18" ht="15.75" customHeight="1">
      <c r="R819" s="30"/>
    </row>
    <row r="820" spans="18:18" ht="15.75" customHeight="1">
      <c r="R820" s="30"/>
    </row>
    <row r="821" spans="18:18" ht="15.75" customHeight="1">
      <c r="R821" s="30"/>
    </row>
    <row r="822" spans="18:18" ht="15.75" customHeight="1">
      <c r="R822" s="30"/>
    </row>
    <row r="823" spans="18:18" ht="15.75" customHeight="1">
      <c r="R823" s="30"/>
    </row>
    <row r="824" spans="18:18" ht="15.75" customHeight="1">
      <c r="R824" s="30"/>
    </row>
    <row r="825" spans="18:18" ht="15.75" customHeight="1">
      <c r="R825" s="30"/>
    </row>
    <row r="826" spans="18:18" ht="15.75" customHeight="1">
      <c r="R826" s="30"/>
    </row>
    <row r="827" spans="18:18" ht="15.75" customHeight="1">
      <c r="R827" s="30"/>
    </row>
    <row r="828" spans="18:18" ht="15.75" customHeight="1">
      <c r="R828" s="30"/>
    </row>
    <row r="829" spans="18:18" ht="15.75" customHeight="1">
      <c r="R829" s="30"/>
    </row>
    <row r="830" spans="18:18" ht="15.75" customHeight="1">
      <c r="R830" s="30"/>
    </row>
    <row r="831" spans="18:18" ht="15.75" customHeight="1">
      <c r="R831" s="30"/>
    </row>
    <row r="832" spans="18:18" ht="15.75" customHeight="1">
      <c r="R832" s="30"/>
    </row>
    <row r="833" spans="18:18" ht="15.75" customHeight="1">
      <c r="R833" s="30"/>
    </row>
    <row r="834" spans="18:18" ht="15.75" customHeight="1">
      <c r="R834" s="30"/>
    </row>
    <row r="835" spans="18:18" ht="15.75" customHeight="1">
      <c r="R835" s="30"/>
    </row>
    <row r="836" spans="18:18" ht="15.75" customHeight="1">
      <c r="R836" s="30"/>
    </row>
    <row r="837" spans="18:18" ht="15.75" customHeight="1">
      <c r="R837" s="30"/>
    </row>
    <row r="838" spans="18:18" ht="15.75" customHeight="1">
      <c r="R838" s="30"/>
    </row>
    <row r="839" spans="18:18" ht="15.75" customHeight="1">
      <c r="R839" s="30"/>
    </row>
    <row r="840" spans="18:18" ht="15.75" customHeight="1">
      <c r="R840" s="30"/>
    </row>
    <row r="841" spans="18:18" ht="15.75" customHeight="1">
      <c r="R841" s="30"/>
    </row>
    <row r="842" spans="18:18" ht="15.75" customHeight="1">
      <c r="R842" s="30"/>
    </row>
    <row r="843" spans="18:18" ht="15.75" customHeight="1">
      <c r="R843" s="30"/>
    </row>
    <row r="844" spans="18:18" ht="15.75" customHeight="1">
      <c r="R844" s="30"/>
    </row>
    <row r="845" spans="18:18" ht="15.75" customHeight="1">
      <c r="R845" s="30"/>
    </row>
    <row r="846" spans="18:18" ht="15.75" customHeight="1">
      <c r="R846" s="30"/>
    </row>
    <row r="847" spans="18:18" ht="15.75" customHeight="1">
      <c r="R847" s="30"/>
    </row>
    <row r="848" spans="18:18" ht="15.75" customHeight="1">
      <c r="R848" s="30"/>
    </row>
    <row r="849" spans="18:18" ht="15.75" customHeight="1">
      <c r="R849" s="30"/>
    </row>
    <row r="850" spans="18:18" ht="15.75" customHeight="1">
      <c r="R850" s="30"/>
    </row>
    <row r="851" spans="18:18" ht="15.75" customHeight="1">
      <c r="R851" s="30"/>
    </row>
    <row r="852" spans="18:18" ht="15.75" customHeight="1">
      <c r="R852" s="30"/>
    </row>
    <row r="853" spans="18:18" ht="15.75" customHeight="1">
      <c r="R853" s="30"/>
    </row>
    <row r="854" spans="18:18" ht="15.75" customHeight="1">
      <c r="R854" s="30"/>
    </row>
    <row r="855" spans="18:18" ht="15.75" customHeight="1">
      <c r="R855" s="30"/>
    </row>
    <row r="856" spans="18:18" ht="15.75" customHeight="1">
      <c r="R856" s="30"/>
    </row>
    <row r="857" spans="18:18" ht="15.75" customHeight="1">
      <c r="R857" s="30"/>
    </row>
    <row r="858" spans="18:18" ht="15.75" customHeight="1">
      <c r="R858" s="30"/>
    </row>
    <row r="859" spans="18:18" ht="15.75" customHeight="1">
      <c r="R859" s="30"/>
    </row>
    <row r="860" spans="18:18" ht="15.75" customHeight="1">
      <c r="R860" s="30"/>
    </row>
    <row r="861" spans="18:18" ht="15.75" customHeight="1">
      <c r="R861" s="30"/>
    </row>
    <row r="862" spans="18:18" ht="15.75" customHeight="1">
      <c r="R862" s="30"/>
    </row>
    <row r="863" spans="18:18" ht="15.75" customHeight="1">
      <c r="R863" s="30"/>
    </row>
    <row r="864" spans="18:18" ht="15.75" customHeight="1">
      <c r="R864" s="30"/>
    </row>
    <row r="865" spans="18:18" ht="15.75" customHeight="1">
      <c r="R865" s="30"/>
    </row>
    <row r="866" spans="18:18" ht="15.75" customHeight="1">
      <c r="R866" s="30"/>
    </row>
    <row r="867" spans="18:18" ht="15.75" customHeight="1">
      <c r="R867" s="30"/>
    </row>
    <row r="868" spans="18:18" ht="15.75" customHeight="1">
      <c r="R868" s="30"/>
    </row>
    <row r="869" spans="18:18" ht="15.75" customHeight="1">
      <c r="R869" s="30"/>
    </row>
    <row r="870" spans="18:18" ht="15.75" customHeight="1">
      <c r="R870" s="30"/>
    </row>
    <row r="871" spans="18:18" ht="15.75" customHeight="1">
      <c r="R871" s="30"/>
    </row>
    <row r="872" spans="18:18" ht="15.75" customHeight="1">
      <c r="R872" s="30"/>
    </row>
    <row r="873" spans="18:18" ht="15.75" customHeight="1">
      <c r="R873" s="30"/>
    </row>
    <row r="874" spans="18:18" ht="15.75" customHeight="1">
      <c r="R874" s="30"/>
    </row>
    <row r="875" spans="18:18" ht="15.75" customHeight="1">
      <c r="R875" s="30"/>
    </row>
    <row r="876" spans="18:18" ht="15.75" customHeight="1">
      <c r="R876" s="30"/>
    </row>
    <row r="877" spans="18:18" ht="15.75" customHeight="1">
      <c r="R877" s="30"/>
    </row>
    <row r="878" spans="18:18" ht="15.75" customHeight="1">
      <c r="R878" s="30"/>
    </row>
    <row r="879" spans="18:18" ht="15.75" customHeight="1">
      <c r="R879" s="30"/>
    </row>
    <row r="880" spans="18:18" ht="15.75" customHeight="1">
      <c r="R880" s="30"/>
    </row>
    <row r="881" spans="18:18" ht="15.75" customHeight="1">
      <c r="R881" s="30"/>
    </row>
    <row r="882" spans="18:18" ht="15.75" customHeight="1">
      <c r="R882" s="30"/>
    </row>
    <row r="883" spans="18:18" ht="15.75" customHeight="1">
      <c r="R883" s="30"/>
    </row>
    <row r="884" spans="18:18" ht="15.75" customHeight="1">
      <c r="R884" s="30"/>
    </row>
    <row r="885" spans="18:18" ht="15.75" customHeight="1">
      <c r="R885" s="30"/>
    </row>
    <row r="886" spans="18:18" ht="15.75" customHeight="1">
      <c r="R886" s="30"/>
    </row>
    <row r="887" spans="18:18" ht="15.75" customHeight="1">
      <c r="R887" s="30"/>
    </row>
    <row r="888" spans="18:18" ht="15.75" customHeight="1">
      <c r="R888" s="30"/>
    </row>
    <row r="889" spans="18:18" ht="15.75" customHeight="1">
      <c r="R889" s="30"/>
    </row>
    <row r="890" spans="18:18" ht="15.75" customHeight="1">
      <c r="R890" s="30"/>
    </row>
    <row r="891" spans="18:18" ht="15.75" customHeight="1">
      <c r="R891" s="30"/>
    </row>
    <row r="892" spans="18:18" ht="15.75" customHeight="1">
      <c r="R892" s="30"/>
    </row>
    <row r="893" spans="18:18" ht="15.75" customHeight="1">
      <c r="R893" s="30"/>
    </row>
    <row r="894" spans="18:18" ht="15.75" customHeight="1">
      <c r="R894" s="30"/>
    </row>
    <row r="895" spans="18:18" ht="15.75" customHeight="1">
      <c r="R895" s="30"/>
    </row>
    <row r="896" spans="18:18" ht="15.75" customHeight="1">
      <c r="R896" s="30"/>
    </row>
    <row r="897" spans="18:18" ht="15.75" customHeight="1">
      <c r="R897" s="30"/>
    </row>
    <row r="898" spans="18:18" ht="15.75" customHeight="1">
      <c r="R898" s="30"/>
    </row>
    <row r="899" spans="18:18" ht="15.75" customHeight="1">
      <c r="R899" s="30"/>
    </row>
    <row r="900" spans="18:18" ht="15.75" customHeight="1">
      <c r="R900" s="30"/>
    </row>
    <row r="901" spans="18:18" ht="15.75" customHeight="1">
      <c r="R901" s="30"/>
    </row>
    <row r="902" spans="18:18" ht="15.75" customHeight="1">
      <c r="R902" s="30"/>
    </row>
    <row r="903" spans="18:18" ht="15.75" customHeight="1">
      <c r="R903" s="30"/>
    </row>
    <row r="904" spans="18:18" ht="15.75" customHeight="1">
      <c r="R904" s="30"/>
    </row>
    <row r="905" spans="18:18" ht="15.75" customHeight="1">
      <c r="R905" s="30"/>
    </row>
    <row r="906" spans="18:18" ht="15.75" customHeight="1">
      <c r="R906" s="30"/>
    </row>
    <row r="907" spans="18:18" ht="15.75" customHeight="1">
      <c r="R907" s="30"/>
    </row>
    <row r="908" spans="18:18" ht="15.75" customHeight="1">
      <c r="R908" s="30"/>
    </row>
    <row r="909" spans="18:18" ht="15.75" customHeight="1">
      <c r="R909" s="30"/>
    </row>
    <row r="910" spans="18:18" ht="15.75" customHeight="1">
      <c r="R910" s="30"/>
    </row>
    <row r="911" spans="18:18" ht="15.75" customHeight="1">
      <c r="R911" s="30"/>
    </row>
    <row r="912" spans="18:18" ht="15.75" customHeight="1">
      <c r="R912" s="30"/>
    </row>
    <row r="913" spans="18:18" ht="15.75" customHeight="1">
      <c r="R913" s="30"/>
    </row>
    <row r="914" spans="18:18" ht="15.75" customHeight="1">
      <c r="R914" s="30"/>
    </row>
    <row r="915" spans="18:18" ht="15.75" customHeight="1">
      <c r="R915" s="30"/>
    </row>
    <row r="916" spans="18:18" ht="15.75" customHeight="1">
      <c r="R916" s="30"/>
    </row>
    <row r="917" spans="18:18" ht="15.75" customHeight="1">
      <c r="R917" s="30"/>
    </row>
    <row r="918" spans="18:18" ht="15.75" customHeight="1">
      <c r="R918" s="30"/>
    </row>
    <row r="919" spans="18:18" ht="15.75" customHeight="1">
      <c r="R919" s="30"/>
    </row>
    <row r="920" spans="18:18" ht="15.75" customHeight="1">
      <c r="R920" s="30"/>
    </row>
    <row r="921" spans="18:18" ht="15.75" customHeight="1">
      <c r="R921" s="30"/>
    </row>
    <row r="922" spans="18:18" ht="15.75" customHeight="1">
      <c r="R922" s="30"/>
    </row>
    <row r="923" spans="18:18" ht="15.75" customHeight="1">
      <c r="R923" s="30"/>
    </row>
    <row r="924" spans="18:18" ht="15.75" customHeight="1">
      <c r="R924" s="30"/>
    </row>
    <row r="925" spans="18:18" ht="15.75" customHeight="1">
      <c r="R925" s="30"/>
    </row>
    <row r="926" spans="18:18" ht="15.75" customHeight="1">
      <c r="R926" s="30"/>
    </row>
    <row r="927" spans="18:18" ht="15.75" customHeight="1">
      <c r="R927" s="30"/>
    </row>
    <row r="928" spans="18:18" ht="15.75" customHeight="1">
      <c r="R928" s="30"/>
    </row>
    <row r="929" spans="18:18" ht="15.75" customHeight="1">
      <c r="R929" s="30"/>
    </row>
    <row r="930" spans="18:18" ht="15.75" customHeight="1">
      <c r="R930" s="30"/>
    </row>
    <row r="931" spans="18:18" ht="15.75" customHeight="1">
      <c r="R931" s="30"/>
    </row>
    <row r="932" spans="18:18" ht="15.75" customHeight="1">
      <c r="R932" s="30"/>
    </row>
    <row r="933" spans="18:18" ht="15.75" customHeight="1">
      <c r="R933" s="30"/>
    </row>
    <row r="934" spans="18:18" ht="15.75" customHeight="1">
      <c r="R934" s="30"/>
    </row>
    <row r="935" spans="18:18" ht="15.75" customHeight="1">
      <c r="R935" s="30"/>
    </row>
    <row r="936" spans="18:18" ht="15.75" customHeight="1">
      <c r="R936" s="30"/>
    </row>
    <row r="937" spans="18:18" ht="15.75" customHeight="1">
      <c r="R937" s="30"/>
    </row>
    <row r="938" spans="18:18" ht="15.75" customHeight="1">
      <c r="R938" s="30"/>
    </row>
    <row r="939" spans="18:18" ht="15.75" customHeight="1">
      <c r="R939" s="30"/>
    </row>
    <row r="940" spans="18:18" ht="15.75" customHeight="1">
      <c r="R940" s="30"/>
    </row>
    <row r="941" spans="18:18" ht="15.75" customHeight="1">
      <c r="R941" s="30"/>
    </row>
    <row r="942" spans="18:18" ht="15.75" customHeight="1">
      <c r="R942" s="30"/>
    </row>
    <row r="943" spans="18:18" ht="15.75" customHeight="1">
      <c r="R943" s="30"/>
    </row>
    <row r="944" spans="18:18" ht="15.75" customHeight="1">
      <c r="R944" s="30"/>
    </row>
    <row r="945" spans="18:18" ht="15.75" customHeight="1">
      <c r="R945" s="30"/>
    </row>
    <row r="946" spans="18:18" ht="15.75" customHeight="1">
      <c r="R946" s="30"/>
    </row>
    <row r="947" spans="18:18" ht="15.75" customHeight="1">
      <c r="R947" s="30"/>
    </row>
    <row r="948" spans="18:18" ht="15.75" customHeight="1">
      <c r="R948" s="30"/>
    </row>
    <row r="949" spans="18:18" ht="15.75" customHeight="1">
      <c r="R949" s="30"/>
    </row>
    <row r="950" spans="18:18" ht="15.75" customHeight="1">
      <c r="R950" s="30"/>
    </row>
    <row r="951" spans="18:18" ht="15.75" customHeight="1">
      <c r="R951" s="30"/>
    </row>
    <row r="952" spans="18:18" ht="15.75" customHeight="1">
      <c r="R952" s="30"/>
    </row>
    <row r="953" spans="18:18" ht="15.75" customHeight="1">
      <c r="R953" s="30"/>
    </row>
    <row r="954" spans="18:18" ht="15.75" customHeight="1">
      <c r="R954" s="30"/>
    </row>
    <row r="955" spans="18:18" ht="15.75" customHeight="1">
      <c r="R955" s="30"/>
    </row>
    <row r="956" spans="18:18" ht="15.75" customHeight="1">
      <c r="R956" s="30"/>
    </row>
    <row r="957" spans="18:18" ht="15.75" customHeight="1">
      <c r="R957" s="30"/>
    </row>
    <row r="958" spans="18:18" ht="15.75" customHeight="1">
      <c r="R958" s="30"/>
    </row>
    <row r="959" spans="18:18" ht="15.75" customHeight="1">
      <c r="R959" s="30"/>
    </row>
    <row r="960" spans="18:18" ht="15.75" customHeight="1">
      <c r="R960" s="30"/>
    </row>
    <row r="961" spans="18:18" ht="15.75" customHeight="1">
      <c r="R961" s="30"/>
    </row>
    <row r="962" spans="18:18" ht="15.75" customHeight="1">
      <c r="R962" s="30"/>
    </row>
    <row r="963" spans="18:18" ht="15.75" customHeight="1">
      <c r="R963" s="30"/>
    </row>
    <row r="964" spans="18:18" ht="15.75" customHeight="1">
      <c r="R964" s="30"/>
    </row>
    <row r="965" spans="18:18" ht="15.75" customHeight="1">
      <c r="R965" s="30"/>
    </row>
    <row r="966" spans="18:18" ht="15.75" customHeight="1">
      <c r="R966" s="30"/>
    </row>
    <row r="967" spans="18:18" ht="15.75" customHeight="1">
      <c r="R967" s="30"/>
    </row>
    <row r="968" spans="18:18" ht="15.75" customHeight="1">
      <c r="R968" s="30"/>
    </row>
    <row r="969" spans="18:18" ht="15.75" customHeight="1">
      <c r="R969" s="30"/>
    </row>
    <row r="970" spans="18:18" ht="15.75" customHeight="1">
      <c r="R970" s="30"/>
    </row>
    <row r="971" spans="18:18" ht="15.75" customHeight="1">
      <c r="R971" s="30"/>
    </row>
    <row r="972" spans="18:18" ht="15.75" customHeight="1">
      <c r="R972" s="30"/>
    </row>
    <row r="973" spans="18:18" ht="15.75" customHeight="1">
      <c r="R973" s="30"/>
    </row>
    <row r="974" spans="18:18" ht="15.75" customHeight="1">
      <c r="R974" s="30"/>
    </row>
    <row r="975" spans="18:18" ht="15.75" customHeight="1">
      <c r="R975" s="30"/>
    </row>
    <row r="976" spans="18:18" ht="15.75" customHeight="1">
      <c r="R976" s="30"/>
    </row>
    <row r="977" spans="18:18" ht="15.75" customHeight="1">
      <c r="R977" s="30"/>
    </row>
    <row r="978" spans="18:18" ht="15.75" customHeight="1">
      <c r="R978" s="30"/>
    </row>
    <row r="979" spans="18:18" ht="15.75" customHeight="1">
      <c r="R979" s="30"/>
    </row>
    <row r="980" spans="18:18" ht="15.75" customHeight="1">
      <c r="R980" s="30"/>
    </row>
    <row r="981" spans="18:18" ht="15.75" customHeight="1">
      <c r="R981" s="30"/>
    </row>
    <row r="982" spans="18:18" ht="15.75" customHeight="1">
      <c r="R982" s="30"/>
    </row>
    <row r="983" spans="18:18" ht="15.75" customHeight="1">
      <c r="R983" s="30"/>
    </row>
    <row r="984" spans="18:18" ht="15.75" customHeight="1">
      <c r="R984" s="30"/>
    </row>
    <row r="985" spans="18:18" ht="15.75" customHeight="1">
      <c r="R985" s="30"/>
    </row>
    <row r="986" spans="18:18" ht="15.75" customHeight="1">
      <c r="R986" s="30"/>
    </row>
    <row r="987" spans="18:18" ht="15.75" customHeight="1">
      <c r="R987" s="30"/>
    </row>
    <row r="988" spans="18:18" ht="15.75" customHeight="1">
      <c r="R988" s="30"/>
    </row>
    <row r="989" spans="18:18" ht="15.75" customHeight="1">
      <c r="R989" s="30"/>
    </row>
    <row r="990" spans="18:18" ht="15.75" customHeight="1">
      <c r="R990" s="30"/>
    </row>
    <row r="991" spans="18:18" ht="15.75" customHeight="1">
      <c r="R991" s="30"/>
    </row>
    <row r="992" spans="18:18" ht="15.75" customHeight="1">
      <c r="R992" s="30"/>
    </row>
    <row r="993" spans="18:18" ht="15.75" customHeight="1">
      <c r="R993" s="30"/>
    </row>
    <row r="994" spans="18:18" ht="15.75" customHeight="1">
      <c r="R994" s="30"/>
    </row>
    <row r="995" spans="18:18" ht="15.75" customHeight="1">
      <c r="R995" s="30"/>
    </row>
    <row r="996" spans="18:18" ht="15.75" customHeight="1">
      <c r="R996" s="30"/>
    </row>
    <row r="997" spans="18:18" ht="15.75" customHeight="1">
      <c r="R997" s="30"/>
    </row>
    <row r="998" spans="18:18" ht="15.75" customHeight="1">
      <c r="R998" s="30"/>
    </row>
    <row r="999" spans="18:18" ht="15.75" customHeight="1">
      <c r="R999" s="30"/>
    </row>
    <row r="1000" spans="18:18" ht="15.75" customHeight="1">
      <c r="R1000" s="3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2.6640625" defaultRowHeight="15" customHeight="1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8.6640625" customWidth="1"/>
    <col min="6" max="6" width="9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17.6640625" customWidth="1"/>
    <col min="16" max="16" width="10" customWidth="1"/>
    <col min="17" max="18" width="7.33203125" customWidth="1"/>
    <col min="19" max="19" width="7.1640625" customWidth="1"/>
    <col min="20" max="20" width="16.33203125" customWidth="1"/>
    <col min="21" max="21" width="20.6640625" customWidth="1"/>
    <col min="22" max="22" width="97.8320312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6640625" customWidth="1"/>
    <col min="32" max="32" width="10.1640625" customWidth="1"/>
    <col min="33" max="33" width="8.83203125" customWidth="1"/>
  </cols>
  <sheetData>
    <row r="1" spans="1:33" ht="18.75" customHeight="1">
      <c r="A1" s="46" t="str">
        <f ca="1">IFERROR(__xludf.DUMMYFUNCTION("IFERROR(VLOOKUP(B2,IMPORTRANGE(""https://docs.google.com/spreadsheets/d/1x0DhHglkXKoEBOD2MBsuK_EyIr1ouxD2ftIpqOYFa-k/edit?usp=sharing"",""Ubiquitty-SKU-Specific Info!B1:BJ5000""),3,FALSE),"""")"),"50 Ft Lighted Outdoor Extension Cord - 12/3 SJTW Heavy Duty Red Extension Cable with 3 Prong Grounded Plug for Safety - Great for Garden &amp; Major Appliances")</f>
        <v>50 Ft Lighted Outdoor Extension Cord - 12/3 SJTW Heavy Duty Red Extension Cable with 3 Prong Grounded Plug for Safety - Great for Garden &amp; Major Appliances</v>
      </c>
      <c r="B1" s="47"/>
      <c r="C1" s="48" t="s">
        <v>0</v>
      </c>
      <c r="D1" s="50" t="s">
        <v>1</v>
      </c>
      <c r="E1" s="50" t="s">
        <v>2</v>
      </c>
      <c r="F1" s="52" t="s">
        <v>3</v>
      </c>
      <c r="G1" s="52" t="s">
        <v>4</v>
      </c>
      <c r="H1" s="53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58" t="s">
        <v>10</v>
      </c>
      <c r="N1" s="59" t="s">
        <v>11</v>
      </c>
      <c r="O1" s="50" t="s">
        <v>12</v>
      </c>
      <c r="P1" s="50" t="s">
        <v>13</v>
      </c>
      <c r="Q1" s="57" t="s">
        <v>14</v>
      </c>
      <c r="R1" s="57" t="s">
        <v>15</v>
      </c>
      <c r="S1" s="60" t="s">
        <v>16</v>
      </c>
      <c r="T1" s="62" t="s">
        <v>2006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Info!B1:BJ5000""),2,FALSE),"""")"),"B07Q5J8DJ9")</f>
        <v>B07Q5J8DJ9</v>
      </c>
      <c r="B2" s="3" t="s">
        <v>1058</v>
      </c>
      <c r="C2" s="49"/>
      <c r="D2" s="49"/>
      <c r="E2" s="51"/>
      <c r="F2" s="49"/>
      <c r="G2" s="49"/>
      <c r="H2" s="54"/>
      <c r="I2" s="49"/>
      <c r="J2" s="49"/>
      <c r="K2" s="54"/>
      <c r="L2" s="54"/>
      <c r="M2" s="54"/>
      <c r="N2" s="49"/>
      <c r="O2" s="49"/>
      <c r="P2" s="51"/>
      <c r="Q2" s="49"/>
      <c r="R2" s="49"/>
      <c r="S2" s="61"/>
      <c r="T2" s="47"/>
      <c r="U2" s="63"/>
      <c r="V2" s="63"/>
      <c r="W2" s="47"/>
      <c r="X2" s="47"/>
      <c r="Y2" s="47"/>
      <c r="Z2" s="47"/>
      <c r="AA2" s="63"/>
      <c r="AB2" s="63"/>
      <c r="AC2" s="63"/>
      <c r="AD2" s="63"/>
      <c r="AE2" s="47"/>
      <c r="AF2" s="47"/>
      <c r="AG2" s="47"/>
    </row>
    <row r="3" spans="1:33" ht="147.75" customHeight="1">
      <c r="A3" s="55" t="s">
        <v>31</v>
      </c>
      <c r="B3" s="56"/>
      <c r="C3" s="4">
        <f>((AE32+AF32)/0.85)*-1</f>
        <v>35.232364843749998</v>
      </c>
      <c r="D3" s="5">
        <f>SUM(D4:D99765)</f>
        <v>405</v>
      </c>
      <c r="E3" s="5"/>
      <c r="F3" s="6">
        <f t="shared" ref="F3:G3" si="0">SUM(F4:F99765)</f>
        <v>16987.500000000004</v>
      </c>
      <c r="G3" s="6">
        <f t="shared" si="0"/>
        <v>-67.63</v>
      </c>
      <c r="H3" s="7">
        <f t="shared" ref="H3:H32" si="1">G3/F3*-1</f>
        <v>3.9811626195732147E-3</v>
      </c>
      <c r="I3" s="8">
        <f t="shared" ref="I3:I32" si="2">J3/F3</f>
        <v>0.23844716557158646</v>
      </c>
      <c r="J3" s="6">
        <f>SUM(J4:J99765)</f>
        <v>4050.6212251473257</v>
      </c>
      <c r="K3" s="6">
        <f t="shared" ref="K3:K32" si="3">J3/D3</f>
        <v>10.001533889252656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Sheet!a1:g5000""),2,FALSE),"""")"),"3.5 - March
1.5 - April
1.5 - May
3.5 - June
3 - July
3 - Aug
4 - Sept
2 - Oct
2.5 - Nov
2.5 - Dec
3.5 - Jan
3.5 - Feb")</f>
        <v>3.5 - March
1.5 - April
1.5 - May
3.5 - June
3 - July
3 - Aug
4 - Sept
2 - Oct
2.5 - Nov
2.5 - Dec
3.5 - Jan
3.5 -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QTY-7")</f>
        <v>Del QTY-7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QTY-0")</f>
        <v>US QTY-0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7</v>
      </c>
      <c r="X3" s="7">
        <f>W3/D3</f>
        <v>1.7283950617283949E-2</v>
      </c>
      <c r="Y3" s="6"/>
      <c r="Z3" s="5"/>
      <c r="AA3" s="5"/>
      <c r="AB3" s="5"/>
      <c r="AC3" s="5"/>
      <c r="AD3" s="6">
        <f>SUM(AD4:AD99765)</f>
        <v>-144.8062831249195</v>
      </c>
      <c r="AE3" s="6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Info!B2:BZ3000""),37,FALSE)),"""")*-1"),-22.7675101171875)</f>
        <v>-22.767510117187499</v>
      </c>
      <c r="AG3" s="6">
        <f>SUM(AG4:AG99765)</f>
        <v>0</v>
      </c>
    </row>
    <row r="4" spans="1:33" ht="15.75" customHeight="1">
      <c r="A4" s="14" t="s">
        <v>181</v>
      </c>
      <c r="B4" s="14" t="s">
        <v>1059</v>
      </c>
      <c r="C4" s="15">
        <f t="shared" ref="C4:C32" si="4">IFERROR(F4/D4," - ")</f>
        <v>37.972758620689653</v>
      </c>
      <c r="D4" s="16">
        <v>29</v>
      </c>
      <c r="E4" s="16">
        <v>0</v>
      </c>
      <c r="F4" s="17">
        <v>1101.21</v>
      </c>
      <c r="G4" s="17">
        <v>0</v>
      </c>
      <c r="H4" s="18">
        <f t="shared" si="1"/>
        <v>0</v>
      </c>
      <c r="I4" s="18">
        <f t="shared" si="2"/>
        <v>0.23395176266673867</v>
      </c>
      <c r="J4" s="17">
        <f t="shared" ref="J4:J32" si="5">F4*0.85+G4+AF4*D4+D4*AE4+AG4+AD4</f>
        <v>257.6300205662393</v>
      </c>
      <c r="K4" s="17">
        <f t="shared" si="3"/>
        <v>8.8837938126289409</v>
      </c>
      <c r="L4" s="16">
        <v>38</v>
      </c>
      <c r="M4" s="19">
        <f t="shared" ref="M4:M32" si="6">IFERROR(D4/L4,"-")</f>
        <v>0.76315789473684215</v>
      </c>
      <c r="N4" s="16">
        <v>32</v>
      </c>
      <c r="O4" s="20">
        <f t="shared" ref="O4:P4" si="7">D4/7</f>
        <v>4.1428571428571432</v>
      </c>
      <c r="P4" s="20">
        <f t="shared" si="7"/>
        <v>0</v>
      </c>
      <c r="Q4" s="16">
        <f t="shared" ref="Q4:Q32" si="8">ROUNDDOWN(N4/(O4+P4),0)</f>
        <v>7</v>
      </c>
      <c r="R4" s="16"/>
      <c r="S4" s="21">
        <v>2.4751958224543</v>
      </c>
      <c r="T4" s="14">
        <v>212</v>
      </c>
      <c r="U4" s="22" t="s">
        <v>34</v>
      </c>
      <c r="V4" s="23" t="s">
        <v>34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26" t="s">
        <v>35</v>
      </c>
      <c r="AB4" s="27">
        <f t="shared" ref="AB4:AB32" si="11">IF(OR(AA4="UsLargeStandardSize",AA4="UsSmallStandardSize"),-0.69,-0.48)</f>
        <v>-0.69</v>
      </c>
      <c r="AC4" s="28">
        <v>0.25908564814814816</v>
      </c>
      <c r="AD4" s="25">
        <f t="shared" ref="AD4:AD32" si="12">IFERROR(AB4*AC4*D4*2,0)</f>
        <v>-10.368607638888889</v>
      </c>
      <c r="AE4" s="25">
        <v>-7.32</v>
      </c>
      <c r="AF4" s="25">
        <v>-15.715512820512821</v>
      </c>
      <c r="AG4" s="25">
        <v>0</v>
      </c>
    </row>
    <row r="5" spans="1:33" ht="15.75" customHeight="1">
      <c r="A5" s="14" t="s">
        <v>183</v>
      </c>
      <c r="B5" s="14" t="s">
        <v>68</v>
      </c>
      <c r="C5" s="15">
        <f t="shared" si="4"/>
        <v>40.842500000000001</v>
      </c>
      <c r="D5" s="16">
        <v>8</v>
      </c>
      <c r="E5" s="16">
        <v>0</v>
      </c>
      <c r="F5" s="29">
        <v>326.74</v>
      </c>
      <c r="G5" s="29">
        <v>0</v>
      </c>
      <c r="H5" s="18">
        <f t="shared" si="1"/>
        <v>0</v>
      </c>
      <c r="I5" s="18">
        <f t="shared" si="2"/>
        <v>0.27722739029632837</v>
      </c>
      <c r="J5" s="17">
        <f t="shared" si="5"/>
        <v>90.581277505422335</v>
      </c>
      <c r="K5" s="17">
        <f t="shared" si="3"/>
        <v>11.322659688177792</v>
      </c>
      <c r="L5" s="16">
        <v>66</v>
      </c>
      <c r="M5" s="19">
        <f t="shared" si="6"/>
        <v>0.12121212121212122</v>
      </c>
      <c r="N5" s="16">
        <v>61</v>
      </c>
      <c r="O5" s="20">
        <f t="shared" ref="O5:P5" si="13">D5/7</f>
        <v>1.1428571428571428</v>
      </c>
      <c r="P5" s="20">
        <f t="shared" si="13"/>
        <v>0</v>
      </c>
      <c r="Q5" s="16">
        <f t="shared" si="8"/>
        <v>53</v>
      </c>
      <c r="R5" s="16"/>
      <c r="S5" s="21">
        <v>2.9759036144578301</v>
      </c>
      <c r="T5" s="14">
        <v>212</v>
      </c>
      <c r="U5" s="22" t="s">
        <v>34</v>
      </c>
      <c r="V5" s="23" t="s">
        <v>34</v>
      </c>
      <c r="W5" s="14">
        <v>0</v>
      </c>
      <c r="X5" s="24">
        <f t="shared" si="9"/>
        <v>0</v>
      </c>
      <c r="Y5" s="25">
        <f t="shared" si="10"/>
        <v>0</v>
      </c>
      <c r="Z5" s="14">
        <v>0</v>
      </c>
      <c r="AA5" s="14" t="s">
        <v>35</v>
      </c>
      <c r="AB5" s="27">
        <f t="shared" si="11"/>
        <v>-0.69</v>
      </c>
      <c r="AC5" s="28">
        <v>0.25938586326767094</v>
      </c>
      <c r="AD5" s="25">
        <f t="shared" si="12"/>
        <v>-2.8636199304750871</v>
      </c>
      <c r="AE5" s="25">
        <v>-7.32</v>
      </c>
      <c r="AF5" s="25">
        <v>-15.715512820512821</v>
      </c>
      <c r="AG5" s="25">
        <v>0</v>
      </c>
    </row>
    <row r="6" spans="1:33" ht="15.75" customHeight="1">
      <c r="A6" s="14" t="s">
        <v>185</v>
      </c>
      <c r="B6" s="14" t="s">
        <v>1060</v>
      </c>
      <c r="C6" s="15">
        <f t="shared" si="4"/>
        <v>42.885833333333345</v>
      </c>
      <c r="D6" s="16">
        <v>24</v>
      </c>
      <c r="E6" s="16">
        <v>0</v>
      </c>
      <c r="F6" s="29">
        <v>1029.2600000000002</v>
      </c>
      <c r="G6" s="29">
        <v>0</v>
      </c>
      <c r="H6" s="18">
        <f t="shared" si="1"/>
        <v>0</v>
      </c>
      <c r="I6" s="18">
        <f t="shared" si="2"/>
        <v>0.30452730664849093</v>
      </c>
      <c r="J6" s="17">
        <f t="shared" si="5"/>
        <v>313.43777564102584</v>
      </c>
      <c r="K6" s="17">
        <f t="shared" si="3"/>
        <v>13.059907318376077</v>
      </c>
      <c r="L6" s="16">
        <v>47</v>
      </c>
      <c r="M6" s="19">
        <f t="shared" si="6"/>
        <v>0.51063829787234039</v>
      </c>
      <c r="N6" s="16">
        <v>39</v>
      </c>
      <c r="O6" s="20">
        <f t="shared" ref="O6:P6" si="14">D6/7</f>
        <v>3.4285714285714284</v>
      </c>
      <c r="P6" s="20">
        <f t="shared" si="14"/>
        <v>0</v>
      </c>
      <c r="Q6" s="16">
        <f t="shared" si="8"/>
        <v>11</v>
      </c>
      <c r="R6" s="16"/>
      <c r="S6" s="21">
        <v>2.8619718309859099</v>
      </c>
      <c r="T6" s="14">
        <v>224</v>
      </c>
      <c r="U6" s="22">
        <v>12</v>
      </c>
      <c r="V6" s="23" t="s">
        <v>1061</v>
      </c>
      <c r="W6" s="14">
        <v>0</v>
      </c>
      <c r="X6" s="24">
        <f t="shared" si="9"/>
        <v>0</v>
      </c>
      <c r="Y6" s="25">
        <f t="shared" si="10"/>
        <v>0</v>
      </c>
      <c r="Z6" s="14">
        <v>0</v>
      </c>
      <c r="AA6" s="14" t="s">
        <v>35</v>
      </c>
      <c r="AB6" s="27">
        <f t="shared" si="11"/>
        <v>-0.69</v>
      </c>
      <c r="AC6" s="28">
        <v>0.25908564814814816</v>
      </c>
      <c r="AD6" s="25">
        <f t="shared" si="12"/>
        <v>-8.580916666666667</v>
      </c>
      <c r="AE6" s="25">
        <v>-7.32</v>
      </c>
      <c r="AF6" s="25">
        <v>-15.715512820512821</v>
      </c>
      <c r="AG6" s="25">
        <v>0</v>
      </c>
    </row>
    <row r="7" spans="1:33" ht="15.75" customHeight="1">
      <c r="A7" s="14" t="s">
        <v>187</v>
      </c>
      <c r="B7" s="14" t="s">
        <v>1062</v>
      </c>
      <c r="C7" s="15">
        <f t="shared" si="4"/>
        <v>47.34142857142858</v>
      </c>
      <c r="D7" s="16">
        <v>7</v>
      </c>
      <c r="E7" s="16">
        <v>2</v>
      </c>
      <c r="F7" s="29">
        <v>331.39000000000004</v>
      </c>
      <c r="G7" s="29">
        <v>-0.08</v>
      </c>
      <c r="H7" s="18">
        <f t="shared" si="1"/>
        <v>2.4140740517215363E-4</v>
      </c>
      <c r="I7" s="18">
        <f t="shared" si="2"/>
        <v>0.35562371494402117</v>
      </c>
      <c r="J7" s="17">
        <f t="shared" si="5"/>
        <v>117.85014289529919</v>
      </c>
      <c r="K7" s="17">
        <f t="shared" si="3"/>
        <v>16.835734699328455</v>
      </c>
      <c r="L7" s="16">
        <v>30</v>
      </c>
      <c r="M7" s="19">
        <f t="shared" si="6"/>
        <v>0.23333333333333334</v>
      </c>
      <c r="N7" s="16">
        <v>90</v>
      </c>
      <c r="O7" s="20">
        <f t="shared" ref="O7:P7" si="15">D7/7</f>
        <v>1</v>
      </c>
      <c r="P7" s="20">
        <f t="shared" si="15"/>
        <v>0.2857142857142857</v>
      </c>
      <c r="Q7" s="16">
        <f t="shared" si="8"/>
        <v>70</v>
      </c>
      <c r="R7" s="16"/>
      <c r="S7" s="21">
        <v>2.8653295128939802</v>
      </c>
      <c r="T7" s="14">
        <v>212</v>
      </c>
      <c r="U7" s="22">
        <v>12</v>
      </c>
      <c r="V7" s="23" t="s">
        <v>1063</v>
      </c>
      <c r="W7" s="14">
        <v>0</v>
      </c>
      <c r="X7" s="24">
        <f t="shared" si="9"/>
        <v>0</v>
      </c>
      <c r="Y7" s="25">
        <f t="shared" si="10"/>
        <v>0</v>
      </c>
      <c r="Z7" s="14">
        <v>0</v>
      </c>
      <c r="AA7" s="14" t="s">
        <v>35</v>
      </c>
      <c r="AB7" s="27">
        <f t="shared" si="11"/>
        <v>-0.69</v>
      </c>
      <c r="AC7" s="28">
        <v>0.25908564814814816</v>
      </c>
      <c r="AD7" s="25">
        <f t="shared" si="12"/>
        <v>-2.5027673611111112</v>
      </c>
      <c r="AE7" s="25">
        <v>-7.32</v>
      </c>
      <c r="AF7" s="25">
        <v>-15.715512820512821</v>
      </c>
      <c r="AG7" s="25">
        <v>0</v>
      </c>
    </row>
    <row r="8" spans="1:33" ht="15.75" customHeight="1">
      <c r="A8" s="14" t="s">
        <v>189</v>
      </c>
      <c r="B8" s="14" t="s">
        <v>68</v>
      </c>
      <c r="C8" s="15">
        <f t="shared" si="4"/>
        <v>44.903749999999995</v>
      </c>
      <c r="D8" s="16">
        <v>16</v>
      </c>
      <c r="E8" s="16">
        <v>2</v>
      </c>
      <c r="F8" s="29">
        <v>718.45999999999992</v>
      </c>
      <c r="G8" s="29">
        <v>0</v>
      </c>
      <c r="H8" s="18">
        <f t="shared" si="1"/>
        <v>0</v>
      </c>
      <c r="I8" s="18">
        <f t="shared" si="2"/>
        <v>0.32894021781155364</v>
      </c>
      <c r="J8" s="17">
        <f t="shared" si="5"/>
        <v>236.33038888888882</v>
      </c>
      <c r="K8" s="17">
        <f t="shared" si="3"/>
        <v>14.770649305555551</v>
      </c>
      <c r="L8" s="16">
        <v>27</v>
      </c>
      <c r="M8" s="19">
        <f t="shared" si="6"/>
        <v>0.59259259259259256</v>
      </c>
      <c r="N8" s="16">
        <v>71</v>
      </c>
      <c r="O8" s="20">
        <f t="shared" ref="O8:P8" si="16">D8/7</f>
        <v>2.2857142857142856</v>
      </c>
      <c r="P8" s="20">
        <f t="shared" si="16"/>
        <v>0.2857142857142857</v>
      </c>
      <c r="Q8" s="16">
        <f t="shared" si="8"/>
        <v>27</v>
      </c>
      <c r="R8" s="16"/>
      <c r="S8" s="21">
        <v>3.6258992805755299</v>
      </c>
      <c r="T8" s="14">
        <v>212</v>
      </c>
      <c r="U8" s="22">
        <v>88</v>
      </c>
      <c r="V8" s="23" t="s">
        <v>1064</v>
      </c>
      <c r="W8" s="14">
        <v>0</v>
      </c>
      <c r="X8" s="24">
        <f t="shared" si="9"/>
        <v>0</v>
      </c>
      <c r="Y8" s="25">
        <f t="shared" si="10"/>
        <v>0</v>
      </c>
      <c r="Z8" s="14">
        <v>0</v>
      </c>
      <c r="AA8" s="14" t="s">
        <v>35</v>
      </c>
      <c r="AB8" s="27">
        <f t="shared" si="11"/>
        <v>-0.69</v>
      </c>
      <c r="AC8" s="28">
        <v>0.25908564814814816</v>
      </c>
      <c r="AD8" s="25">
        <f t="shared" si="12"/>
        <v>-5.7206111111111113</v>
      </c>
      <c r="AE8" s="25">
        <v>-7.32</v>
      </c>
      <c r="AF8" s="25">
        <v>-15.72</v>
      </c>
      <c r="AG8" s="25">
        <v>0</v>
      </c>
    </row>
    <row r="9" spans="1:33" ht="15.75" customHeight="1">
      <c r="A9" s="14" t="s">
        <v>191</v>
      </c>
      <c r="B9" s="14" t="s">
        <v>68</v>
      </c>
      <c r="C9" s="15">
        <f t="shared" si="4"/>
        <v>41.341999999999999</v>
      </c>
      <c r="D9" s="16">
        <v>20</v>
      </c>
      <c r="E9" s="16">
        <v>0</v>
      </c>
      <c r="F9" s="29">
        <v>826.83999999999992</v>
      </c>
      <c r="G9" s="29">
        <v>-0.05</v>
      </c>
      <c r="H9" s="18">
        <f t="shared" si="1"/>
        <v>6.0471191524357806E-5</v>
      </c>
      <c r="I9" s="18">
        <f t="shared" si="2"/>
        <v>0.27626081529844848</v>
      </c>
      <c r="J9" s="17">
        <f t="shared" si="5"/>
        <v>228.42349252136913</v>
      </c>
      <c r="K9" s="17">
        <f t="shared" si="3"/>
        <v>11.421174626068456</v>
      </c>
      <c r="L9" s="16">
        <v>70</v>
      </c>
      <c r="M9" s="19">
        <f t="shared" si="6"/>
        <v>0.2857142857142857</v>
      </c>
      <c r="N9" s="16">
        <v>52</v>
      </c>
      <c r="O9" s="20">
        <f t="shared" ref="O9:P9" si="17">D9/7</f>
        <v>2.8571428571428572</v>
      </c>
      <c r="P9" s="20">
        <f t="shared" si="17"/>
        <v>0</v>
      </c>
      <c r="Q9" s="16">
        <f t="shared" si="8"/>
        <v>18</v>
      </c>
      <c r="R9" s="16"/>
      <c r="S9" s="21">
        <v>4.27947598253275</v>
      </c>
      <c r="T9" s="14">
        <v>212</v>
      </c>
      <c r="U9" s="22">
        <v>12</v>
      </c>
      <c r="V9" s="23" t="s">
        <v>1065</v>
      </c>
      <c r="W9" s="14">
        <v>0</v>
      </c>
      <c r="X9" s="24">
        <f t="shared" si="9"/>
        <v>0</v>
      </c>
      <c r="Y9" s="25">
        <f t="shared" si="10"/>
        <v>0</v>
      </c>
      <c r="Z9" s="14">
        <v>0</v>
      </c>
      <c r="AA9" s="14" t="s">
        <v>35</v>
      </c>
      <c r="AB9" s="27">
        <f t="shared" si="11"/>
        <v>-0.69</v>
      </c>
      <c r="AC9" s="28">
        <v>0.25908564814814816</v>
      </c>
      <c r="AD9" s="25">
        <f t="shared" si="12"/>
        <v>-7.1507638888888891</v>
      </c>
      <c r="AE9" s="25">
        <v>-7.32</v>
      </c>
      <c r="AF9" s="25">
        <v>-16.0394871794871</v>
      </c>
      <c r="AG9" s="25">
        <v>0</v>
      </c>
    </row>
    <row r="10" spans="1:33" ht="15.75" customHeight="1">
      <c r="A10" s="14" t="s">
        <v>192</v>
      </c>
      <c r="B10" s="14" t="s">
        <v>45</v>
      </c>
      <c r="C10" s="15">
        <f t="shared" si="4"/>
        <v>41.196666666666673</v>
      </c>
      <c r="D10" s="16">
        <v>42</v>
      </c>
      <c r="E10" s="16">
        <v>1</v>
      </c>
      <c r="F10" s="29">
        <v>1730.2600000000002</v>
      </c>
      <c r="G10" s="29">
        <v>-0.05</v>
      </c>
      <c r="H10" s="18">
        <f t="shared" si="1"/>
        <v>2.8897391143527559E-5</v>
      </c>
      <c r="I10" s="18">
        <f t="shared" si="2"/>
        <v>0.27426856905602354</v>
      </c>
      <c r="J10" s="17">
        <f t="shared" si="5"/>
        <v>474.55593429487533</v>
      </c>
      <c r="K10" s="17">
        <f t="shared" si="3"/>
        <v>11.29895081654465</v>
      </c>
      <c r="L10" s="16">
        <v>73</v>
      </c>
      <c r="M10" s="19">
        <f t="shared" si="6"/>
        <v>0.57534246575342463</v>
      </c>
      <c r="N10" s="16">
        <v>17</v>
      </c>
      <c r="O10" s="20">
        <f t="shared" ref="O10:P10" si="18">D10/7</f>
        <v>6</v>
      </c>
      <c r="P10" s="20">
        <f t="shared" si="18"/>
        <v>0.14285714285714285</v>
      </c>
      <c r="Q10" s="16">
        <f t="shared" si="8"/>
        <v>2</v>
      </c>
      <c r="R10" s="16"/>
      <c r="S10" s="21">
        <v>4.59130434782608</v>
      </c>
      <c r="T10" s="14">
        <v>212</v>
      </c>
      <c r="U10" s="22">
        <v>12</v>
      </c>
      <c r="V10" s="23" t="s">
        <v>1066</v>
      </c>
      <c r="W10" s="14">
        <v>0</v>
      </c>
      <c r="X10" s="24">
        <f t="shared" si="9"/>
        <v>0</v>
      </c>
      <c r="Y10" s="25">
        <f t="shared" si="10"/>
        <v>0</v>
      </c>
      <c r="Z10" s="14">
        <v>0</v>
      </c>
      <c r="AA10" s="14" t="s">
        <v>35</v>
      </c>
      <c r="AB10" s="27">
        <f t="shared" si="11"/>
        <v>-0.69</v>
      </c>
      <c r="AC10" s="28">
        <v>0.25908564814814816</v>
      </c>
      <c r="AD10" s="25">
        <f t="shared" si="12"/>
        <v>-15.016604166666667</v>
      </c>
      <c r="AE10" s="25">
        <v>-7.32</v>
      </c>
      <c r="AF10" s="25">
        <v>-16.0394871794871</v>
      </c>
      <c r="AG10" s="25">
        <v>0</v>
      </c>
    </row>
    <row r="11" spans="1:33" ht="15.75" customHeight="1">
      <c r="A11" s="14" t="s">
        <v>193</v>
      </c>
      <c r="B11" s="14" t="s">
        <v>68</v>
      </c>
      <c r="C11" s="15">
        <f t="shared" si="4"/>
        <v>40.950588235294113</v>
      </c>
      <c r="D11" s="16">
        <v>17</v>
      </c>
      <c r="E11" s="16">
        <v>0</v>
      </c>
      <c r="F11" s="29">
        <v>696.16</v>
      </c>
      <c r="G11" s="29">
        <v>0</v>
      </c>
      <c r="H11" s="18">
        <f t="shared" si="1"/>
        <v>0</v>
      </c>
      <c r="I11" s="18">
        <f t="shared" si="2"/>
        <v>0.2708379806986379</v>
      </c>
      <c r="J11" s="17">
        <f t="shared" si="5"/>
        <v>188.54656864316377</v>
      </c>
      <c r="K11" s="17">
        <f t="shared" si="3"/>
        <v>11.090974626068457</v>
      </c>
      <c r="L11" s="16">
        <v>56</v>
      </c>
      <c r="M11" s="19">
        <f t="shared" si="6"/>
        <v>0.30357142857142855</v>
      </c>
      <c r="N11" s="16">
        <v>89</v>
      </c>
      <c r="O11" s="20">
        <f t="shared" ref="O11:P11" si="19">D11/7</f>
        <v>2.4285714285714284</v>
      </c>
      <c r="P11" s="20">
        <f t="shared" si="19"/>
        <v>0</v>
      </c>
      <c r="Q11" s="16">
        <f t="shared" si="8"/>
        <v>36</v>
      </c>
      <c r="R11" s="16"/>
      <c r="S11" s="21">
        <v>4.0308880308880299</v>
      </c>
      <c r="T11" s="14">
        <v>332</v>
      </c>
      <c r="U11" s="22">
        <v>12</v>
      </c>
      <c r="V11" s="23" t="s">
        <v>1067</v>
      </c>
      <c r="W11" s="14">
        <v>0</v>
      </c>
      <c r="X11" s="24">
        <f t="shared" si="9"/>
        <v>0</v>
      </c>
      <c r="Y11" s="25">
        <f t="shared" si="10"/>
        <v>0</v>
      </c>
      <c r="Z11" s="14">
        <v>0</v>
      </c>
      <c r="AA11" s="14" t="s">
        <v>35</v>
      </c>
      <c r="AB11" s="27">
        <f t="shared" si="11"/>
        <v>-0.69</v>
      </c>
      <c r="AC11" s="28">
        <v>0.25908564814814816</v>
      </c>
      <c r="AD11" s="25">
        <f t="shared" si="12"/>
        <v>-6.0781493055555558</v>
      </c>
      <c r="AE11" s="25">
        <v>-7.32</v>
      </c>
      <c r="AF11" s="25">
        <v>-16.0394871794871</v>
      </c>
      <c r="AG11" s="25">
        <v>0</v>
      </c>
    </row>
    <row r="12" spans="1:33" ht="15.75" customHeight="1">
      <c r="A12" s="14" t="s">
        <v>195</v>
      </c>
      <c r="B12" s="14" t="s">
        <v>68</v>
      </c>
      <c r="C12" s="15">
        <f t="shared" si="4"/>
        <v>41.788636363636378</v>
      </c>
      <c r="D12" s="16">
        <v>22</v>
      </c>
      <c r="E12" s="16">
        <v>0</v>
      </c>
      <c r="F12" s="29">
        <v>919.35000000000025</v>
      </c>
      <c r="G12" s="29">
        <v>-0.08</v>
      </c>
      <c r="H12" s="18">
        <f t="shared" si="1"/>
        <v>8.7018001849132514E-5</v>
      </c>
      <c r="I12" s="18">
        <f t="shared" si="2"/>
        <v>0.28236573859085884</v>
      </c>
      <c r="J12" s="17">
        <f t="shared" si="5"/>
        <v>259.59294177350614</v>
      </c>
      <c r="K12" s="17">
        <f t="shared" si="3"/>
        <v>11.799679171523007</v>
      </c>
      <c r="L12" s="16">
        <v>45</v>
      </c>
      <c r="M12" s="19">
        <f t="shared" si="6"/>
        <v>0.48888888888888887</v>
      </c>
      <c r="N12" s="16">
        <v>69</v>
      </c>
      <c r="O12" s="20">
        <f t="shared" ref="O12:P12" si="20">D12/7</f>
        <v>3.1428571428571428</v>
      </c>
      <c r="P12" s="20">
        <f t="shared" si="20"/>
        <v>0</v>
      </c>
      <c r="Q12" s="16">
        <f t="shared" si="8"/>
        <v>21</v>
      </c>
      <c r="R12" s="16"/>
      <c r="S12" s="21">
        <v>4.5106382978723403</v>
      </c>
      <c r="T12" s="14">
        <v>332</v>
      </c>
      <c r="U12" s="22">
        <v>12</v>
      </c>
      <c r="V12" s="23" t="s">
        <v>1068</v>
      </c>
      <c r="W12" s="14">
        <v>1</v>
      </c>
      <c r="X12" s="24">
        <f t="shared" si="9"/>
        <v>4.5454545454545456E-2</v>
      </c>
      <c r="Y12" s="25">
        <f t="shared" si="10"/>
        <v>0.08</v>
      </c>
      <c r="Z12" s="14">
        <v>0</v>
      </c>
      <c r="AA12" s="14" t="s">
        <v>35</v>
      </c>
      <c r="AB12" s="27">
        <f t="shared" si="11"/>
        <v>-0.69</v>
      </c>
      <c r="AC12" s="28">
        <v>0.25908564814814816</v>
      </c>
      <c r="AD12" s="25">
        <f t="shared" si="12"/>
        <v>-7.8658402777777781</v>
      </c>
      <c r="AE12" s="25">
        <v>-7.32</v>
      </c>
      <c r="AF12" s="25">
        <v>-16.0394871794871</v>
      </c>
      <c r="AG12" s="25">
        <v>0</v>
      </c>
    </row>
    <row r="13" spans="1:33" ht="15.75" customHeight="1">
      <c r="A13" s="14" t="s">
        <v>197</v>
      </c>
      <c r="B13" s="14" t="s">
        <v>1069</v>
      </c>
      <c r="C13" s="15">
        <f t="shared" si="4"/>
        <v>41.060476190476187</v>
      </c>
      <c r="D13" s="16">
        <v>21</v>
      </c>
      <c r="E13" s="16">
        <v>1</v>
      </c>
      <c r="F13" s="17">
        <v>862.27</v>
      </c>
      <c r="G13" s="29">
        <v>0</v>
      </c>
      <c r="H13" s="18">
        <f t="shared" si="1"/>
        <v>0</v>
      </c>
      <c r="I13" s="18">
        <f t="shared" si="2"/>
        <v>0.26823523712603548</v>
      </c>
      <c r="J13" s="17">
        <f t="shared" si="5"/>
        <v>231.29119791666659</v>
      </c>
      <c r="K13" s="17">
        <f t="shared" si="3"/>
        <v>11.013866567460314</v>
      </c>
      <c r="L13" s="16">
        <v>36</v>
      </c>
      <c r="M13" s="19">
        <f t="shared" si="6"/>
        <v>0.58333333333333337</v>
      </c>
      <c r="N13" s="16">
        <v>30</v>
      </c>
      <c r="O13" s="20">
        <f t="shared" ref="O13:P13" si="21">D13/7</f>
        <v>3</v>
      </c>
      <c r="P13" s="20">
        <f t="shared" si="21"/>
        <v>0.14285714285714285</v>
      </c>
      <c r="Q13" s="16">
        <f t="shared" si="8"/>
        <v>9</v>
      </c>
      <c r="R13" s="16"/>
      <c r="S13" s="21">
        <v>4.7368421052631504</v>
      </c>
      <c r="T13" s="14">
        <v>320</v>
      </c>
      <c r="U13" s="22">
        <v>88</v>
      </c>
      <c r="V13" s="23" t="s">
        <v>1070</v>
      </c>
      <c r="W13" s="14">
        <v>0</v>
      </c>
      <c r="X13" s="24">
        <f t="shared" si="9"/>
        <v>0</v>
      </c>
      <c r="Y13" s="25">
        <f t="shared" si="10"/>
        <v>0</v>
      </c>
      <c r="Z13" s="14">
        <v>0</v>
      </c>
      <c r="AA13" s="14" t="s">
        <v>35</v>
      </c>
      <c r="AB13" s="27">
        <f t="shared" si="11"/>
        <v>-0.69</v>
      </c>
      <c r="AC13" s="28">
        <v>0.25908564814814816</v>
      </c>
      <c r="AD13" s="25">
        <f t="shared" si="12"/>
        <v>-7.5083020833333336</v>
      </c>
      <c r="AE13" s="25">
        <v>-7.32</v>
      </c>
      <c r="AF13" s="25">
        <v>-16.21</v>
      </c>
      <c r="AG13" s="25">
        <v>0</v>
      </c>
    </row>
    <row r="14" spans="1:33" ht="15.75" customHeight="1">
      <c r="A14" s="14" t="s">
        <v>32</v>
      </c>
      <c r="B14" s="14" t="s">
        <v>68</v>
      </c>
      <c r="C14" s="15">
        <f t="shared" si="4"/>
        <v>41.895000000000003</v>
      </c>
      <c r="D14" s="16">
        <v>24</v>
      </c>
      <c r="E14" s="16">
        <v>1</v>
      </c>
      <c r="F14" s="17">
        <v>1005.4800000000001</v>
      </c>
      <c r="G14" s="29">
        <v>0</v>
      </c>
      <c r="H14" s="18">
        <f t="shared" si="1"/>
        <v>0</v>
      </c>
      <c r="I14" s="18">
        <f t="shared" si="2"/>
        <v>0.27982364973279766</v>
      </c>
      <c r="J14" s="17">
        <f t="shared" si="5"/>
        <v>281.35708333333343</v>
      </c>
      <c r="K14" s="17">
        <f t="shared" si="3"/>
        <v>11.723211805555559</v>
      </c>
      <c r="L14" s="16">
        <v>49</v>
      </c>
      <c r="M14" s="19">
        <f t="shared" si="6"/>
        <v>0.48979591836734693</v>
      </c>
      <c r="N14" s="16">
        <v>10</v>
      </c>
      <c r="O14" s="20">
        <f t="shared" ref="O14:P14" si="22">D14/7</f>
        <v>3.4285714285714284</v>
      </c>
      <c r="P14" s="20">
        <f t="shared" si="22"/>
        <v>0.14285714285714285</v>
      </c>
      <c r="Q14" s="16">
        <f t="shared" si="8"/>
        <v>2</v>
      </c>
      <c r="R14" s="16"/>
      <c r="S14" s="21">
        <v>5.8279569892473102</v>
      </c>
      <c r="T14" s="14">
        <v>320</v>
      </c>
      <c r="U14" s="22">
        <v>88</v>
      </c>
      <c r="V14" s="23" t="s">
        <v>1070</v>
      </c>
      <c r="W14" s="14">
        <v>0</v>
      </c>
      <c r="X14" s="24">
        <f t="shared" si="9"/>
        <v>0</v>
      </c>
      <c r="Y14" s="25">
        <f t="shared" si="10"/>
        <v>0</v>
      </c>
      <c r="Z14" s="14">
        <v>0</v>
      </c>
      <c r="AA14" s="14" t="s">
        <v>35</v>
      </c>
      <c r="AB14" s="27">
        <f t="shared" si="11"/>
        <v>-0.69</v>
      </c>
      <c r="AC14" s="28">
        <v>0.25908564814814816</v>
      </c>
      <c r="AD14" s="25">
        <f t="shared" si="12"/>
        <v>-8.580916666666667</v>
      </c>
      <c r="AE14" s="25">
        <v>-7.32</v>
      </c>
      <c r="AF14" s="25">
        <v>-16.21</v>
      </c>
      <c r="AG14" s="25">
        <v>0</v>
      </c>
    </row>
    <row r="15" spans="1:33" ht="15.75" customHeight="1">
      <c r="A15" s="14" t="s">
        <v>36</v>
      </c>
      <c r="B15" s="14" t="s">
        <v>1071</v>
      </c>
      <c r="C15" s="15">
        <f t="shared" si="4"/>
        <v>41.95</v>
      </c>
      <c r="D15" s="16">
        <v>2</v>
      </c>
      <c r="E15" s="16">
        <v>0</v>
      </c>
      <c r="F15" s="17">
        <v>83.9</v>
      </c>
      <c r="G15" s="29">
        <v>-0.05</v>
      </c>
      <c r="H15" s="18">
        <f t="shared" si="1"/>
        <v>5.9594755661501785E-4</v>
      </c>
      <c r="I15" s="18">
        <f t="shared" si="2"/>
        <v>0.23372972122897631</v>
      </c>
      <c r="J15" s="17">
        <f t="shared" si="5"/>
        <v>19.609923611111114</v>
      </c>
      <c r="K15" s="17">
        <f t="shared" si="3"/>
        <v>9.804961805555557</v>
      </c>
      <c r="L15" s="16">
        <v>32</v>
      </c>
      <c r="M15" s="19">
        <f t="shared" si="6"/>
        <v>6.25E-2</v>
      </c>
      <c r="N15" s="16">
        <v>19</v>
      </c>
      <c r="O15" s="20">
        <f t="shared" ref="O15:P15" si="23">D15/7</f>
        <v>0.2857142857142857</v>
      </c>
      <c r="P15" s="20">
        <f t="shared" si="23"/>
        <v>0</v>
      </c>
      <c r="Q15" s="16">
        <f t="shared" si="8"/>
        <v>66</v>
      </c>
      <c r="R15" s="16"/>
      <c r="S15" s="21">
        <v>7.3698630136986303</v>
      </c>
      <c r="T15" s="14">
        <v>320</v>
      </c>
      <c r="U15" s="22">
        <v>88</v>
      </c>
      <c r="V15" s="23" t="s">
        <v>1070</v>
      </c>
      <c r="W15" s="14">
        <v>0</v>
      </c>
      <c r="X15" s="24">
        <f t="shared" si="9"/>
        <v>0</v>
      </c>
      <c r="Y15" s="25">
        <f t="shared" si="10"/>
        <v>0</v>
      </c>
      <c r="Z15" s="14">
        <v>0</v>
      </c>
      <c r="AA15" s="14" t="s">
        <v>35</v>
      </c>
      <c r="AB15" s="27">
        <f t="shared" si="11"/>
        <v>-0.69</v>
      </c>
      <c r="AC15" s="28">
        <v>0.25908564814814816</v>
      </c>
      <c r="AD15" s="25">
        <f t="shared" si="12"/>
        <v>-0.71507638888888891</v>
      </c>
      <c r="AE15" s="25">
        <v>-7.32</v>
      </c>
      <c r="AF15" s="25">
        <v>-18.149999999999999</v>
      </c>
      <c r="AG15" s="25">
        <v>0</v>
      </c>
    </row>
    <row r="16" spans="1:33" ht="15.75" customHeight="1">
      <c r="A16" s="14" t="s">
        <v>38</v>
      </c>
      <c r="B16" s="14" t="s">
        <v>68</v>
      </c>
      <c r="C16" s="15">
        <f t="shared" si="4"/>
        <v>41.199999999999996</v>
      </c>
      <c r="D16" s="16">
        <v>8</v>
      </c>
      <c r="E16" s="16">
        <v>2</v>
      </c>
      <c r="F16" s="17">
        <v>329.59999999999997</v>
      </c>
      <c r="G16" s="29">
        <v>0</v>
      </c>
      <c r="H16" s="18">
        <f t="shared" si="1"/>
        <v>0</v>
      </c>
      <c r="I16" s="18">
        <f t="shared" si="2"/>
        <v>0.22311800498921247</v>
      </c>
      <c r="J16" s="17">
        <f t="shared" si="5"/>
        <v>73.539694444444422</v>
      </c>
      <c r="K16" s="17">
        <f t="shared" si="3"/>
        <v>9.1924618055555527</v>
      </c>
      <c r="L16" s="16">
        <v>33</v>
      </c>
      <c r="M16" s="19">
        <f t="shared" si="6"/>
        <v>0.24242424242424243</v>
      </c>
      <c r="N16" s="16">
        <v>10</v>
      </c>
      <c r="O16" s="20">
        <f t="shared" ref="O16:P16" si="24">D16/7</f>
        <v>1.1428571428571428</v>
      </c>
      <c r="P16" s="20">
        <f t="shared" si="24"/>
        <v>0.2857142857142857</v>
      </c>
      <c r="Q16" s="16">
        <f t="shared" si="8"/>
        <v>7</v>
      </c>
      <c r="R16" s="16"/>
      <c r="S16" s="21">
        <v>4.3760683760683703</v>
      </c>
      <c r="T16" s="14">
        <v>320</v>
      </c>
      <c r="U16" s="22">
        <v>88</v>
      </c>
      <c r="V16" s="23" t="s">
        <v>1070</v>
      </c>
      <c r="W16" s="14">
        <v>0</v>
      </c>
      <c r="X16" s="24">
        <f t="shared" si="9"/>
        <v>0</v>
      </c>
      <c r="Y16" s="25">
        <f t="shared" si="10"/>
        <v>0</v>
      </c>
      <c r="Z16" s="14">
        <v>0</v>
      </c>
      <c r="AA16" s="14" t="s">
        <v>35</v>
      </c>
      <c r="AB16" s="27">
        <f t="shared" si="11"/>
        <v>-0.69</v>
      </c>
      <c r="AC16" s="28">
        <v>0.25908564814814816</v>
      </c>
      <c r="AD16" s="25">
        <f t="shared" si="12"/>
        <v>-2.8603055555555557</v>
      </c>
      <c r="AE16" s="25">
        <v>-7.32</v>
      </c>
      <c r="AF16" s="25">
        <v>-18.149999999999999</v>
      </c>
      <c r="AG16" s="25">
        <v>0</v>
      </c>
    </row>
    <row r="17" spans="1:33" ht="15.75" customHeight="1">
      <c r="A17" s="14" t="s">
        <v>40</v>
      </c>
      <c r="B17" s="14" t="s">
        <v>1072</v>
      </c>
      <c r="C17" s="15">
        <f t="shared" si="4"/>
        <v>40.949999999999996</v>
      </c>
      <c r="D17" s="16">
        <v>8</v>
      </c>
      <c r="E17" s="16">
        <v>0</v>
      </c>
      <c r="F17" s="17">
        <v>327.59999999999997</v>
      </c>
      <c r="G17" s="29">
        <v>0</v>
      </c>
      <c r="H17" s="18">
        <f t="shared" si="1"/>
        <v>0</v>
      </c>
      <c r="I17" s="18">
        <f t="shared" si="2"/>
        <v>0.21929088658255325</v>
      </c>
      <c r="J17" s="17">
        <f t="shared" si="5"/>
        <v>71.839694444444433</v>
      </c>
      <c r="K17" s="17">
        <f t="shared" si="3"/>
        <v>8.9799618055555541</v>
      </c>
      <c r="L17" s="16">
        <v>32</v>
      </c>
      <c r="M17" s="19">
        <f t="shared" si="6"/>
        <v>0.25</v>
      </c>
      <c r="N17" s="16">
        <v>89</v>
      </c>
      <c r="O17" s="20">
        <f t="shared" ref="O17:P17" si="25">D17/7</f>
        <v>1.1428571428571428</v>
      </c>
      <c r="P17" s="20">
        <f t="shared" si="25"/>
        <v>0</v>
      </c>
      <c r="Q17" s="16">
        <f t="shared" si="8"/>
        <v>77</v>
      </c>
      <c r="R17" s="16"/>
      <c r="S17" s="21">
        <v>3.3548387096774102</v>
      </c>
      <c r="T17" s="14">
        <v>320</v>
      </c>
      <c r="U17" s="22">
        <v>88</v>
      </c>
      <c r="V17" s="23" t="s">
        <v>1073</v>
      </c>
      <c r="W17" s="14">
        <v>0</v>
      </c>
      <c r="X17" s="24">
        <f t="shared" si="9"/>
        <v>0</v>
      </c>
      <c r="Y17" s="25">
        <f t="shared" si="10"/>
        <v>0</v>
      </c>
      <c r="Z17" s="14">
        <v>0</v>
      </c>
      <c r="AA17" s="14" t="s">
        <v>35</v>
      </c>
      <c r="AB17" s="27">
        <f t="shared" si="11"/>
        <v>-0.69</v>
      </c>
      <c r="AC17" s="28">
        <v>0.25908564814814816</v>
      </c>
      <c r="AD17" s="25">
        <f t="shared" si="12"/>
        <v>-2.8603055555555557</v>
      </c>
      <c r="AE17" s="25">
        <v>-7.32</v>
      </c>
      <c r="AF17" s="25">
        <v>-18.149999999999999</v>
      </c>
      <c r="AG17" s="25">
        <v>0</v>
      </c>
    </row>
    <row r="18" spans="1:33" ht="15.75" customHeight="1">
      <c r="A18" s="14" t="s">
        <v>42</v>
      </c>
      <c r="B18" s="14" t="s">
        <v>1074</v>
      </c>
      <c r="C18" s="15">
        <f t="shared" si="4"/>
        <v>35.140000000000015</v>
      </c>
      <c r="D18" s="16">
        <v>25</v>
      </c>
      <c r="E18" s="16">
        <v>0</v>
      </c>
      <c r="F18" s="17">
        <v>878.50000000000034</v>
      </c>
      <c r="G18" s="29">
        <v>0</v>
      </c>
      <c r="H18" s="18">
        <f t="shared" si="1"/>
        <v>0</v>
      </c>
      <c r="I18" s="18">
        <f t="shared" si="2"/>
        <v>0.11501029611711913</v>
      </c>
      <c r="J18" s="17">
        <f t="shared" si="5"/>
        <v>101.0365451388892</v>
      </c>
      <c r="K18" s="17">
        <f t="shared" si="3"/>
        <v>4.041461805555568</v>
      </c>
      <c r="L18" s="16">
        <v>64</v>
      </c>
      <c r="M18" s="19">
        <f t="shared" si="6"/>
        <v>0.390625</v>
      </c>
      <c r="N18" s="16">
        <v>66</v>
      </c>
      <c r="O18" s="20">
        <f t="shared" ref="O18:P18" si="26">D18/7</f>
        <v>3.5714285714285716</v>
      </c>
      <c r="P18" s="20">
        <f t="shared" si="26"/>
        <v>0</v>
      </c>
      <c r="Q18" s="16">
        <f t="shared" si="8"/>
        <v>18</v>
      </c>
      <c r="R18" s="16"/>
      <c r="S18" s="21">
        <v>4.3518518518518503</v>
      </c>
      <c r="T18" s="14">
        <v>120</v>
      </c>
      <c r="U18" s="22">
        <v>0</v>
      </c>
      <c r="V18" s="23" t="s">
        <v>1075</v>
      </c>
      <c r="W18" s="14">
        <v>0</v>
      </c>
      <c r="X18" s="24">
        <f t="shared" si="9"/>
        <v>0</v>
      </c>
      <c r="Y18" s="25">
        <f t="shared" si="10"/>
        <v>0</v>
      </c>
      <c r="Z18" s="14">
        <v>0</v>
      </c>
      <c r="AA18" s="14" t="s">
        <v>35</v>
      </c>
      <c r="AB18" s="27">
        <f t="shared" si="11"/>
        <v>-0.69</v>
      </c>
      <c r="AC18" s="28">
        <v>0.25908564814814816</v>
      </c>
      <c r="AD18" s="25">
        <f t="shared" si="12"/>
        <v>-8.9384548611111114</v>
      </c>
      <c r="AE18" s="25">
        <v>-7.32</v>
      </c>
      <c r="AF18" s="25">
        <v>-18.149999999999999</v>
      </c>
      <c r="AG18" s="25">
        <v>0</v>
      </c>
    </row>
    <row r="19" spans="1:33" ht="15.75" customHeight="1">
      <c r="A19" s="14" t="s">
        <v>44</v>
      </c>
      <c r="B19" s="14" t="s">
        <v>1076</v>
      </c>
      <c r="C19" s="15">
        <f t="shared" si="4"/>
        <v>40.056071428571443</v>
      </c>
      <c r="D19" s="16">
        <v>28</v>
      </c>
      <c r="E19" s="16">
        <v>0</v>
      </c>
      <c r="F19" s="17">
        <v>1121.5700000000004</v>
      </c>
      <c r="G19" s="29">
        <v>-7.0000000000000007E-2</v>
      </c>
      <c r="H19" s="18">
        <f t="shared" si="1"/>
        <v>6.241251103364033E-5</v>
      </c>
      <c r="I19" s="18">
        <f t="shared" si="2"/>
        <v>0.18415741376423733</v>
      </c>
      <c r="J19" s="17">
        <f t="shared" si="5"/>
        <v>206.54543055555573</v>
      </c>
      <c r="K19" s="17">
        <f t="shared" si="3"/>
        <v>7.376622519841276</v>
      </c>
      <c r="L19" s="16">
        <v>59</v>
      </c>
      <c r="M19" s="19">
        <f t="shared" si="6"/>
        <v>0.47457627118644069</v>
      </c>
      <c r="N19" s="16">
        <v>36</v>
      </c>
      <c r="O19" s="20">
        <f t="shared" ref="O19:P19" si="27">D19/7</f>
        <v>4</v>
      </c>
      <c r="P19" s="20">
        <f t="shared" si="27"/>
        <v>0</v>
      </c>
      <c r="Q19" s="16">
        <f t="shared" si="8"/>
        <v>9</v>
      </c>
      <c r="R19" s="16"/>
      <c r="S19" s="21">
        <v>6.9774436090225498</v>
      </c>
      <c r="T19" s="14">
        <v>120</v>
      </c>
      <c r="U19" s="22">
        <v>120</v>
      </c>
      <c r="V19" s="23" t="s">
        <v>1077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14" t="s">
        <v>35</v>
      </c>
      <c r="AB19" s="27">
        <f t="shared" si="11"/>
        <v>-0.69</v>
      </c>
      <c r="AC19" s="28">
        <v>0.25908564814814816</v>
      </c>
      <c r="AD19" s="25">
        <f t="shared" si="12"/>
        <v>-10.011069444444445</v>
      </c>
      <c r="AE19" s="25">
        <v>-7.32</v>
      </c>
      <c r="AF19" s="25">
        <v>-18.991</v>
      </c>
      <c r="AG19" s="25">
        <v>0</v>
      </c>
    </row>
    <row r="20" spans="1:33" ht="15.75" customHeight="1">
      <c r="A20" s="14" t="s">
        <v>46</v>
      </c>
      <c r="B20" s="14" t="s">
        <v>1078</v>
      </c>
      <c r="C20" s="15">
        <f t="shared" si="4"/>
        <v>44.143599999999999</v>
      </c>
      <c r="D20" s="16">
        <v>25</v>
      </c>
      <c r="E20" s="16">
        <v>0</v>
      </c>
      <c r="F20" s="17">
        <v>1103.5899999999999</v>
      </c>
      <c r="G20" s="29">
        <v>0</v>
      </c>
      <c r="H20" s="18">
        <f t="shared" si="1"/>
        <v>0</v>
      </c>
      <c r="I20" s="18">
        <f t="shared" si="2"/>
        <v>0.24586852466848091</v>
      </c>
      <c r="J20" s="17">
        <f t="shared" si="5"/>
        <v>271.33804513888884</v>
      </c>
      <c r="K20" s="17">
        <f t="shared" si="3"/>
        <v>10.853521805555554</v>
      </c>
      <c r="L20" s="16">
        <v>55</v>
      </c>
      <c r="M20" s="19">
        <f t="shared" si="6"/>
        <v>0.45454545454545453</v>
      </c>
      <c r="N20" s="16">
        <v>13</v>
      </c>
      <c r="O20" s="20">
        <f t="shared" ref="O20:P20" si="28">D20/7</f>
        <v>3.5714285714285716</v>
      </c>
      <c r="P20" s="20">
        <f t="shared" si="28"/>
        <v>0</v>
      </c>
      <c r="Q20" s="16">
        <f t="shared" si="8"/>
        <v>3</v>
      </c>
      <c r="R20" s="16"/>
      <c r="S20" s="21">
        <v>4.7627906976744097</v>
      </c>
      <c r="T20" s="14">
        <v>120</v>
      </c>
      <c r="U20" s="22">
        <v>120</v>
      </c>
      <c r="V20" s="23" t="s">
        <v>1079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14" t="s">
        <v>35</v>
      </c>
      <c r="AB20" s="27">
        <f t="shared" si="11"/>
        <v>-0.69</v>
      </c>
      <c r="AC20" s="28">
        <v>0.25908564814814816</v>
      </c>
      <c r="AD20" s="25">
        <f t="shared" si="12"/>
        <v>-8.9384548611111114</v>
      </c>
      <c r="AE20" s="25">
        <v>-7.32</v>
      </c>
      <c r="AF20" s="25">
        <v>-18.991</v>
      </c>
      <c r="AG20" s="25">
        <v>0</v>
      </c>
    </row>
    <row r="21" spans="1:33" ht="15.75" customHeight="1">
      <c r="A21" s="14" t="s">
        <v>47</v>
      </c>
      <c r="B21" s="14" t="s">
        <v>1080</v>
      </c>
      <c r="C21" s="15">
        <f t="shared" si="4"/>
        <v>49.158000000000001</v>
      </c>
      <c r="D21" s="16">
        <v>5</v>
      </c>
      <c r="E21" s="16">
        <v>0</v>
      </c>
      <c r="F21" s="17">
        <v>245.79000000000002</v>
      </c>
      <c r="G21" s="29">
        <v>0</v>
      </c>
      <c r="H21" s="18">
        <f t="shared" si="1"/>
        <v>0</v>
      </c>
      <c r="I21" s="18">
        <f t="shared" si="2"/>
        <v>0.30749342539475882</v>
      </c>
      <c r="J21" s="17">
        <f t="shared" si="5"/>
        <v>75.57880902777778</v>
      </c>
      <c r="K21" s="17">
        <f t="shared" si="3"/>
        <v>15.115761805555556</v>
      </c>
      <c r="L21" s="16">
        <v>17</v>
      </c>
      <c r="M21" s="19">
        <f t="shared" si="6"/>
        <v>0.29411764705882354</v>
      </c>
      <c r="N21" s="16">
        <v>8</v>
      </c>
      <c r="O21" s="20">
        <f t="shared" ref="O21:P21" si="29">D21/7</f>
        <v>0.7142857142857143</v>
      </c>
      <c r="P21" s="20">
        <f t="shared" si="29"/>
        <v>0</v>
      </c>
      <c r="Q21" s="16">
        <f t="shared" si="8"/>
        <v>11</v>
      </c>
      <c r="R21" s="16"/>
      <c r="S21" s="21">
        <v>4</v>
      </c>
      <c r="T21" s="14">
        <v>120</v>
      </c>
      <c r="U21" s="22">
        <v>120</v>
      </c>
      <c r="V21" s="23" t="s">
        <v>1081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14" t="s">
        <v>35</v>
      </c>
      <c r="AB21" s="27">
        <f t="shared" si="11"/>
        <v>-0.69</v>
      </c>
      <c r="AC21" s="28">
        <v>0.25908564814814816</v>
      </c>
      <c r="AD21" s="25">
        <f t="shared" si="12"/>
        <v>-1.7876909722222223</v>
      </c>
      <c r="AE21" s="25">
        <v>-7.32</v>
      </c>
      <c r="AF21" s="25">
        <v>-18.991</v>
      </c>
      <c r="AG21" s="25">
        <v>0</v>
      </c>
    </row>
    <row r="22" spans="1:33" ht="15.75" customHeight="1">
      <c r="A22" s="14" t="s">
        <v>48</v>
      </c>
      <c r="B22" s="14" t="s">
        <v>820</v>
      </c>
      <c r="C22" s="15">
        <f t="shared" si="4"/>
        <v>51.47</v>
      </c>
      <c r="D22" s="16">
        <v>2</v>
      </c>
      <c r="E22" s="16">
        <v>0</v>
      </c>
      <c r="F22" s="29">
        <v>102.94</v>
      </c>
      <c r="G22" s="29">
        <v>0</v>
      </c>
      <c r="H22" s="18">
        <f t="shared" si="1"/>
        <v>0</v>
      </c>
      <c r="I22" s="18">
        <f t="shared" si="2"/>
        <v>0.3318624792219847</v>
      </c>
      <c r="J22" s="17">
        <f t="shared" si="5"/>
        <v>34.161923611111106</v>
      </c>
      <c r="K22" s="17">
        <f t="shared" si="3"/>
        <v>17.080961805555553</v>
      </c>
      <c r="L22" s="16">
        <v>16</v>
      </c>
      <c r="M22" s="19">
        <f t="shared" si="6"/>
        <v>0.125</v>
      </c>
      <c r="N22" s="16">
        <v>4</v>
      </c>
      <c r="O22" s="20">
        <f t="shared" ref="O22:P22" si="30">D22/7</f>
        <v>0.2857142857142857</v>
      </c>
      <c r="P22" s="20">
        <f t="shared" si="30"/>
        <v>0</v>
      </c>
      <c r="Q22" s="16">
        <f t="shared" si="8"/>
        <v>14</v>
      </c>
      <c r="R22" s="16"/>
      <c r="S22" s="21">
        <v>5.7037037037036997</v>
      </c>
      <c r="T22" s="14">
        <v>276</v>
      </c>
      <c r="U22" s="22">
        <v>120</v>
      </c>
      <c r="V22" s="23" t="s">
        <v>1082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35</v>
      </c>
      <c r="AB22" s="27">
        <f t="shared" si="11"/>
        <v>-0.69</v>
      </c>
      <c r="AC22" s="28">
        <v>0.25908564814814816</v>
      </c>
      <c r="AD22" s="25">
        <f t="shared" si="12"/>
        <v>-0.71507638888888891</v>
      </c>
      <c r="AE22" s="25">
        <v>-7.32</v>
      </c>
      <c r="AF22" s="25">
        <v>-18.991</v>
      </c>
      <c r="AG22" s="25">
        <v>0</v>
      </c>
    </row>
    <row r="23" spans="1:33" ht="15.75" customHeight="1">
      <c r="A23" s="14" t="s">
        <v>49</v>
      </c>
      <c r="B23" s="14" t="s">
        <v>68</v>
      </c>
      <c r="C23" s="15">
        <f t="shared" si="4"/>
        <v>50.38</v>
      </c>
      <c r="D23" s="16">
        <v>2</v>
      </c>
      <c r="E23" s="16">
        <v>0</v>
      </c>
      <c r="F23" s="17">
        <v>100.76</v>
      </c>
      <c r="G23" s="29">
        <v>0</v>
      </c>
      <c r="H23" s="18">
        <f t="shared" si="1"/>
        <v>0</v>
      </c>
      <c r="I23" s="18">
        <f t="shared" si="2"/>
        <v>0.32065227879228969</v>
      </c>
      <c r="J23" s="17">
        <f t="shared" si="5"/>
        <v>32.308923611111112</v>
      </c>
      <c r="K23" s="17">
        <f t="shared" si="3"/>
        <v>16.154461805555556</v>
      </c>
      <c r="L23" s="16">
        <v>21</v>
      </c>
      <c r="M23" s="19">
        <f t="shared" si="6"/>
        <v>9.5238095238095233E-2</v>
      </c>
      <c r="N23" s="16">
        <v>2</v>
      </c>
      <c r="O23" s="20">
        <f t="shared" ref="O23:P23" si="31">D23/7</f>
        <v>0.2857142857142857</v>
      </c>
      <c r="P23" s="20">
        <f t="shared" si="31"/>
        <v>0</v>
      </c>
      <c r="Q23" s="16">
        <f t="shared" si="8"/>
        <v>7</v>
      </c>
      <c r="R23" s="16"/>
      <c r="S23" s="21">
        <v>8.2040816326530592</v>
      </c>
      <c r="T23" s="14">
        <v>312</v>
      </c>
      <c r="U23" s="22">
        <v>120</v>
      </c>
      <c r="V23" s="23" t="s">
        <v>1082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35</v>
      </c>
      <c r="AB23" s="27">
        <f t="shared" si="11"/>
        <v>-0.69</v>
      </c>
      <c r="AC23" s="28">
        <v>0.25908564814814816</v>
      </c>
      <c r="AD23" s="25">
        <f t="shared" si="12"/>
        <v>-0.71507638888888891</v>
      </c>
      <c r="AE23" s="25">
        <v>-7.32</v>
      </c>
      <c r="AF23" s="25">
        <v>-18.991</v>
      </c>
      <c r="AG23" s="25">
        <v>0</v>
      </c>
    </row>
    <row r="24" spans="1:33" ht="15.75" customHeight="1">
      <c r="A24" s="14" t="s">
        <v>50</v>
      </c>
      <c r="B24" s="14" t="s">
        <v>45</v>
      </c>
      <c r="C24" s="15">
        <f t="shared" si="4"/>
        <v>49.95</v>
      </c>
      <c r="D24" s="16">
        <v>2</v>
      </c>
      <c r="E24" s="16">
        <v>0</v>
      </c>
      <c r="F24" s="17">
        <v>99.9</v>
      </c>
      <c r="G24" s="17">
        <v>0</v>
      </c>
      <c r="H24" s="18">
        <f t="shared" si="1"/>
        <v>0</v>
      </c>
      <c r="I24" s="18">
        <f t="shared" si="2"/>
        <v>0.3160953314425537</v>
      </c>
      <c r="J24" s="17">
        <f t="shared" si="5"/>
        <v>31.577923611111117</v>
      </c>
      <c r="K24" s="17">
        <f t="shared" si="3"/>
        <v>15.788961805555559</v>
      </c>
      <c r="L24" s="16">
        <v>27</v>
      </c>
      <c r="M24" s="19">
        <f t="shared" si="6"/>
        <v>7.407407407407407E-2</v>
      </c>
      <c r="N24" s="16">
        <v>0</v>
      </c>
      <c r="O24" s="20">
        <f t="shared" ref="O24:P24" si="32">D24/7</f>
        <v>0.2857142857142857</v>
      </c>
      <c r="P24" s="20">
        <f t="shared" si="32"/>
        <v>0</v>
      </c>
      <c r="Q24" s="16">
        <f t="shared" si="8"/>
        <v>0</v>
      </c>
      <c r="R24" s="16"/>
      <c r="S24" s="21" t="e">
        <v>#N/A</v>
      </c>
      <c r="T24" s="14">
        <v>520</v>
      </c>
      <c r="U24" s="22">
        <v>120</v>
      </c>
      <c r="V24" s="23" t="s">
        <v>1083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14" t="s">
        <v>35</v>
      </c>
      <c r="AB24" s="27">
        <f t="shared" si="11"/>
        <v>-0.69</v>
      </c>
      <c r="AC24" s="28">
        <v>0.25908564814814816</v>
      </c>
      <c r="AD24" s="25">
        <f t="shared" si="12"/>
        <v>-0.71507638888888891</v>
      </c>
      <c r="AE24" s="25">
        <v>-7.32</v>
      </c>
      <c r="AF24" s="25">
        <v>-18.991</v>
      </c>
      <c r="AG24" s="25">
        <v>0</v>
      </c>
    </row>
    <row r="25" spans="1:33" ht="15.75" customHeight="1">
      <c r="A25" s="14" t="s">
        <v>51</v>
      </c>
      <c r="B25" s="14"/>
      <c r="C25" s="15" t="str">
        <f t="shared" si="4"/>
        <v xml:space="preserve"> - </v>
      </c>
      <c r="D25" s="16">
        <v>0</v>
      </c>
      <c r="E25" s="16">
        <v>0</v>
      </c>
      <c r="F25" s="17">
        <v>0</v>
      </c>
      <c r="G25" s="17">
        <v>0</v>
      </c>
      <c r="H25" s="18" t="e">
        <f t="shared" si="1"/>
        <v>#DIV/0!</v>
      </c>
      <c r="I25" s="18" t="e">
        <f t="shared" si="2"/>
        <v>#DIV/0!</v>
      </c>
      <c r="J25" s="17">
        <f t="shared" si="5"/>
        <v>0</v>
      </c>
      <c r="K25" s="17" t="e">
        <f t="shared" si="3"/>
        <v>#DIV/0!</v>
      </c>
      <c r="L25" s="16">
        <v>0</v>
      </c>
      <c r="M25" s="19" t="str">
        <f t="shared" si="6"/>
        <v>-</v>
      </c>
      <c r="N25" s="16">
        <v>0</v>
      </c>
      <c r="O25" s="20">
        <f t="shared" ref="O25:P25" si="33">D25/7</f>
        <v>0</v>
      </c>
      <c r="P25" s="20">
        <f t="shared" si="33"/>
        <v>0</v>
      </c>
      <c r="Q25" s="16" t="e">
        <f t="shared" si="8"/>
        <v>#DIV/0!</v>
      </c>
      <c r="R25" s="16"/>
      <c r="S25" s="21">
        <v>0</v>
      </c>
      <c r="T25" s="14">
        <v>520</v>
      </c>
      <c r="U25" s="22">
        <v>120</v>
      </c>
      <c r="V25" s="23" t="s">
        <v>1084</v>
      </c>
      <c r="W25" s="30">
        <v>0</v>
      </c>
      <c r="X25" s="24">
        <f t="shared" si="9"/>
        <v>0</v>
      </c>
      <c r="Y25" s="25">
        <f t="shared" si="10"/>
        <v>0</v>
      </c>
      <c r="Z25" s="30">
        <v>0</v>
      </c>
      <c r="AA25" s="14" t="s">
        <v>35</v>
      </c>
      <c r="AB25" s="27">
        <f t="shared" si="11"/>
        <v>-0.69</v>
      </c>
      <c r="AC25" s="28">
        <v>0.25908564814814816</v>
      </c>
      <c r="AD25" s="25">
        <f t="shared" si="12"/>
        <v>0</v>
      </c>
      <c r="AE25" s="25">
        <v>-7.32</v>
      </c>
      <c r="AF25" s="25">
        <v>-18.989999999999899</v>
      </c>
      <c r="AG25" s="25">
        <v>0</v>
      </c>
    </row>
    <row r="26" spans="1:33" ht="15.75" customHeight="1">
      <c r="A26" s="14" t="s">
        <v>52</v>
      </c>
      <c r="B26" s="14"/>
      <c r="C26" s="15" t="str">
        <f t="shared" si="4"/>
        <v xml:space="preserve"> - </v>
      </c>
      <c r="D26" s="16">
        <v>0</v>
      </c>
      <c r="E26" s="16">
        <v>0</v>
      </c>
      <c r="F26" s="17">
        <v>0</v>
      </c>
      <c r="G26" s="17">
        <v>0</v>
      </c>
      <c r="H26" s="18" t="e">
        <f t="shared" si="1"/>
        <v>#DIV/0!</v>
      </c>
      <c r="I26" s="18" t="e">
        <f t="shared" si="2"/>
        <v>#DIV/0!</v>
      </c>
      <c r="J26" s="17">
        <f t="shared" si="5"/>
        <v>0</v>
      </c>
      <c r="K26" s="17" t="e">
        <f t="shared" si="3"/>
        <v>#DIV/0!</v>
      </c>
      <c r="L26" s="16">
        <v>0</v>
      </c>
      <c r="M26" s="19" t="str">
        <f t="shared" si="6"/>
        <v>-</v>
      </c>
      <c r="N26" s="16">
        <v>0</v>
      </c>
      <c r="O26" s="20">
        <f t="shared" ref="O26:P26" si="34">D26/7</f>
        <v>0</v>
      </c>
      <c r="P26" s="20">
        <f t="shared" si="34"/>
        <v>0</v>
      </c>
      <c r="Q26" s="16" t="e">
        <f t="shared" si="8"/>
        <v>#DIV/0!</v>
      </c>
      <c r="R26" s="16"/>
      <c r="S26" s="21">
        <v>0</v>
      </c>
      <c r="T26" s="14">
        <v>520</v>
      </c>
      <c r="U26" s="22">
        <v>120</v>
      </c>
      <c r="V26" s="23" t="s">
        <v>1085</v>
      </c>
      <c r="W26" s="30">
        <v>0</v>
      </c>
      <c r="X26" s="24">
        <f t="shared" si="9"/>
        <v>0</v>
      </c>
      <c r="Y26" s="25">
        <f t="shared" si="10"/>
        <v>0</v>
      </c>
      <c r="Z26" s="30">
        <v>0</v>
      </c>
      <c r="AA26" s="14" t="s">
        <v>35</v>
      </c>
      <c r="AB26" s="27">
        <f t="shared" si="11"/>
        <v>-0.69</v>
      </c>
      <c r="AC26" s="28">
        <v>0.25908564814814816</v>
      </c>
      <c r="AD26" s="25">
        <f t="shared" si="12"/>
        <v>0</v>
      </c>
      <c r="AE26" s="25">
        <v>-7.32</v>
      </c>
      <c r="AF26" s="25">
        <v>-18.991</v>
      </c>
      <c r="AG26" s="25">
        <v>0</v>
      </c>
    </row>
    <row r="27" spans="1:33" ht="15.75" customHeight="1">
      <c r="A27" s="14" t="s">
        <v>53</v>
      </c>
      <c r="B27" s="14" t="s">
        <v>1086</v>
      </c>
      <c r="C27" s="15">
        <f t="shared" si="4"/>
        <v>50.313333333333333</v>
      </c>
      <c r="D27" s="16">
        <v>3</v>
      </c>
      <c r="E27" s="16">
        <v>0</v>
      </c>
      <c r="F27" s="17">
        <v>150.94</v>
      </c>
      <c r="G27" s="17">
        <v>0</v>
      </c>
      <c r="H27" s="18">
        <f t="shared" si="1"/>
        <v>0</v>
      </c>
      <c r="I27" s="18">
        <f t="shared" si="2"/>
        <v>0.24210868833090418</v>
      </c>
      <c r="J27" s="17">
        <f t="shared" si="5"/>
        <v>36.543885416666676</v>
      </c>
      <c r="K27" s="17">
        <f t="shared" si="3"/>
        <v>12.181295138888892</v>
      </c>
      <c r="L27" s="16">
        <v>26</v>
      </c>
      <c r="M27" s="19">
        <f t="shared" si="6"/>
        <v>0.11538461538461539</v>
      </c>
      <c r="N27" s="16">
        <v>118</v>
      </c>
      <c r="O27" s="20">
        <f t="shared" ref="O27:P27" si="35">D27/7</f>
        <v>0.42857142857142855</v>
      </c>
      <c r="P27" s="20">
        <f t="shared" si="35"/>
        <v>0</v>
      </c>
      <c r="Q27" s="16">
        <f t="shared" si="8"/>
        <v>275</v>
      </c>
      <c r="R27" s="16"/>
      <c r="S27" s="21">
        <v>2.2383419689119171</v>
      </c>
      <c r="T27" s="14">
        <v>400</v>
      </c>
      <c r="U27" s="22">
        <v>56</v>
      </c>
      <c r="V27" s="23" t="s">
        <v>1087</v>
      </c>
      <c r="W27" s="30">
        <v>0</v>
      </c>
      <c r="X27" s="24">
        <f t="shared" si="9"/>
        <v>0</v>
      </c>
      <c r="Y27" s="25">
        <f t="shared" si="10"/>
        <v>0</v>
      </c>
      <c r="Z27" s="30">
        <v>0</v>
      </c>
      <c r="AA27" s="14" t="s">
        <v>35</v>
      </c>
      <c r="AB27" s="27">
        <f t="shared" si="11"/>
        <v>-0.69</v>
      </c>
      <c r="AC27" s="28">
        <v>0.25908564814814816</v>
      </c>
      <c r="AD27" s="25">
        <f t="shared" si="12"/>
        <v>-1.0726145833333334</v>
      </c>
      <c r="AE27" s="25">
        <v>-7.18</v>
      </c>
      <c r="AF27" s="25">
        <v>-23.047499999999999</v>
      </c>
      <c r="AG27" s="25">
        <v>0</v>
      </c>
    </row>
    <row r="28" spans="1:33" ht="15.75" customHeight="1">
      <c r="A28" s="14" t="s">
        <v>54</v>
      </c>
      <c r="B28" s="14" t="s">
        <v>1088</v>
      </c>
      <c r="C28" s="15">
        <f t="shared" si="4"/>
        <v>40.690000000000005</v>
      </c>
      <c r="D28" s="16">
        <v>15</v>
      </c>
      <c r="E28" s="16">
        <v>0</v>
      </c>
      <c r="F28" s="17">
        <v>610.35</v>
      </c>
      <c r="G28" s="17">
        <v>0</v>
      </c>
      <c r="H28" s="18">
        <f t="shared" si="1"/>
        <v>0</v>
      </c>
      <c r="I28" s="18">
        <f t="shared" si="2"/>
        <v>9.8340177084186742E-2</v>
      </c>
      <c r="J28" s="17">
        <f t="shared" si="5"/>
        <v>60.021927083333381</v>
      </c>
      <c r="K28" s="17">
        <f t="shared" si="3"/>
        <v>4.0014618055555591</v>
      </c>
      <c r="L28" s="16">
        <v>39</v>
      </c>
      <c r="M28" s="19">
        <f t="shared" si="6"/>
        <v>0.38461538461538464</v>
      </c>
      <c r="N28" s="16">
        <v>103</v>
      </c>
      <c r="O28" s="20">
        <f t="shared" ref="O28:P28" si="36">D28/7</f>
        <v>2.1428571428571428</v>
      </c>
      <c r="P28" s="20">
        <f t="shared" si="36"/>
        <v>0</v>
      </c>
      <c r="Q28" s="16">
        <f t="shared" si="8"/>
        <v>48</v>
      </c>
      <c r="R28" s="16"/>
      <c r="S28" s="21">
        <v>2.8292682926829271</v>
      </c>
      <c r="T28" s="14">
        <v>700</v>
      </c>
      <c r="U28" s="22">
        <v>44395</v>
      </c>
      <c r="V28" s="23" t="s">
        <v>1089</v>
      </c>
      <c r="W28" s="30">
        <v>0</v>
      </c>
      <c r="X28" s="24">
        <f t="shared" si="9"/>
        <v>0</v>
      </c>
      <c r="Y28" s="25">
        <f t="shared" si="10"/>
        <v>0</v>
      </c>
      <c r="Z28" s="30">
        <v>0</v>
      </c>
      <c r="AA28" s="14" t="s">
        <v>35</v>
      </c>
      <c r="AB28" s="27">
        <f t="shared" si="11"/>
        <v>-0.69</v>
      </c>
      <c r="AC28" s="28">
        <v>0.25908564814814816</v>
      </c>
      <c r="AD28" s="25">
        <f t="shared" si="12"/>
        <v>-5.3630729166666669</v>
      </c>
      <c r="AE28" s="25">
        <v>-7.18</v>
      </c>
      <c r="AF28" s="25">
        <v>-23.047499999999999</v>
      </c>
      <c r="AG28" s="25">
        <v>0</v>
      </c>
    </row>
    <row r="29" spans="1:33" ht="15.75" customHeight="1">
      <c r="A29" s="14" t="s">
        <v>55</v>
      </c>
      <c r="B29" s="14" t="s">
        <v>64</v>
      </c>
      <c r="C29" s="15">
        <f t="shared" si="4"/>
        <v>43.283333333333331</v>
      </c>
      <c r="D29" s="16">
        <v>9</v>
      </c>
      <c r="E29" s="16">
        <v>2</v>
      </c>
      <c r="F29" s="17">
        <v>389.55</v>
      </c>
      <c r="G29" s="17">
        <v>-0.08</v>
      </c>
      <c r="H29" s="18">
        <f t="shared" si="1"/>
        <v>2.0536516493389808E-4</v>
      </c>
      <c r="I29" s="18">
        <f t="shared" si="2"/>
        <v>0.14317072583750484</v>
      </c>
      <c r="J29" s="17">
        <f t="shared" si="5"/>
        <v>55.772156250000009</v>
      </c>
      <c r="K29" s="17">
        <f t="shared" si="3"/>
        <v>6.1969062500000014</v>
      </c>
      <c r="L29" s="16">
        <v>47</v>
      </c>
      <c r="M29" s="19">
        <f t="shared" si="6"/>
        <v>0.19148936170212766</v>
      </c>
      <c r="N29" s="16">
        <v>87</v>
      </c>
      <c r="O29" s="20">
        <f t="shared" ref="O29:P29" si="37">D29/7</f>
        <v>1.2857142857142858</v>
      </c>
      <c r="P29" s="20">
        <f t="shared" si="37"/>
        <v>0.2857142857142857</v>
      </c>
      <c r="Q29" s="16">
        <f t="shared" si="8"/>
        <v>55</v>
      </c>
      <c r="R29" s="16"/>
      <c r="S29" s="21">
        <v>4.1724137931034484</v>
      </c>
      <c r="T29" s="14">
        <v>820</v>
      </c>
      <c r="U29" s="22">
        <v>44395</v>
      </c>
      <c r="V29" s="23" t="s">
        <v>1090</v>
      </c>
      <c r="W29" s="30">
        <v>0</v>
      </c>
      <c r="X29" s="24">
        <f t="shared" si="9"/>
        <v>0</v>
      </c>
      <c r="Y29" s="25">
        <f t="shared" si="10"/>
        <v>0</v>
      </c>
      <c r="Z29" s="30">
        <v>0</v>
      </c>
      <c r="AA29" s="14" t="s">
        <v>35</v>
      </c>
      <c r="AB29" s="27">
        <f t="shared" si="11"/>
        <v>-0.69</v>
      </c>
      <c r="AC29" s="28">
        <v>0.25908564814814816</v>
      </c>
      <c r="AD29" s="25">
        <f t="shared" si="12"/>
        <v>-3.2178437500000001</v>
      </c>
      <c r="AE29" s="25">
        <v>-7.18</v>
      </c>
      <c r="AF29" s="25">
        <v>-23.047499999999999</v>
      </c>
      <c r="AG29" s="25">
        <v>0</v>
      </c>
    </row>
    <row r="30" spans="1:33" ht="15.75" customHeight="1">
      <c r="A30" s="14" t="s">
        <v>57</v>
      </c>
      <c r="B30" s="14" t="s">
        <v>1091</v>
      </c>
      <c r="C30" s="15">
        <f t="shared" si="4"/>
        <v>45.949999999999996</v>
      </c>
      <c r="D30" s="16">
        <v>6</v>
      </c>
      <c r="E30" s="16">
        <v>0</v>
      </c>
      <c r="F30" s="17">
        <v>275.7</v>
      </c>
      <c r="G30" s="17">
        <v>-16.11</v>
      </c>
      <c r="H30" s="18">
        <f t="shared" si="1"/>
        <v>5.8433079434167576E-2</v>
      </c>
      <c r="I30" s="18">
        <f t="shared" si="2"/>
        <v>0.1320446504541469</v>
      </c>
      <c r="J30" s="17">
        <f t="shared" si="5"/>
        <v>36.404710130208301</v>
      </c>
      <c r="K30" s="17">
        <f t="shared" si="3"/>
        <v>6.0674516883680498</v>
      </c>
      <c r="L30" s="16">
        <v>32</v>
      </c>
      <c r="M30" s="19">
        <f t="shared" si="6"/>
        <v>0.1875</v>
      </c>
      <c r="N30" s="16">
        <v>86</v>
      </c>
      <c r="O30" s="20">
        <f t="shared" ref="O30:P30" si="38">D30/7</f>
        <v>0.8571428571428571</v>
      </c>
      <c r="P30" s="20">
        <f t="shared" si="38"/>
        <v>0</v>
      </c>
      <c r="Q30" s="16">
        <f t="shared" si="8"/>
        <v>100</v>
      </c>
      <c r="R30" s="16"/>
      <c r="S30" s="21">
        <v>2.4693877551020411</v>
      </c>
      <c r="T30" s="14">
        <v>400</v>
      </c>
      <c r="U30" s="22">
        <v>56</v>
      </c>
      <c r="V30" s="23" t="s">
        <v>1092</v>
      </c>
      <c r="W30" s="30">
        <v>1</v>
      </c>
      <c r="X30" s="24">
        <f t="shared" si="9"/>
        <v>0.16666666666666666</v>
      </c>
      <c r="Y30" s="25">
        <f t="shared" si="10"/>
        <v>5.37</v>
      </c>
      <c r="Z30" s="30">
        <v>2</v>
      </c>
      <c r="AA30" s="14" t="s">
        <v>35</v>
      </c>
      <c r="AB30" s="27">
        <f t="shared" si="11"/>
        <v>-0.69</v>
      </c>
      <c r="AC30" s="28">
        <v>0.25908564814814816</v>
      </c>
      <c r="AD30" s="25">
        <f t="shared" si="12"/>
        <v>-2.1452291666666667</v>
      </c>
      <c r="AE30" s="25">
        <v>-7.18</v>
      </c>
      <c r="AF30" s="25">
        <v>-22.767510117187499</v>
      </c>
      <c r="AG30" s="25">
        <v>0</v>
      </c>
    </row>
    <row r="31" spans="1:33" ht="15.75" customHeight="1">
      <c r="A31" s="14" t="s">
        <v>58</v>
      </c>
      <c r="B31" s="14" t="s">
        <v>66</v>
      </c>
      <c r="C31" s="15">
        <f t="shared" si="4"/>
        <v>46.229166666666686</v>
      </c>
      <c r="D31" s="16">
        <v>24</v>
      </c>
      <c r="E31" s="16">
        <v>0</v>
      </c>
      <c r="F31" s="17">
        <v>1109.5000000000005</v>
      </c>
      <c r="G31" s="17">
        <v>-45.829999999999991</v>
      </c>
      <c r="H31" s="18">
        <f t="shared" si="1"/>
        <v>4.1306894997746708E-2</v>
      </c>
      <c r="I31" s="18">
        <f t="shared" si="2"/>
        <v>0.15315352908592478</v>
      </c>
      <c r="J31" s="17">
        <f t="shared" si="5"/>
        <v>169.92384052083361</v>
      </c>
      <c r="K31" s="17">
        <f t="shared" si="3"/>
        <v>7.0801600217014</v>
      </c>
      <c r="L31" s="16">
        <v>56</v>
      </c>
      <c r="M31" s="19">
        <f t="shared" si="6"/>
        <v>0.42857142857142855</v>
      </c>
      <c r="N31" s="16">
        <v>62</v>
      </c>
      <c r="O31" s="20">
        <f t="shared" ref="O31:P31" si="39">D31/7</f>
        <v>3.4285714285714284</v>
      </c>
      <c r="P31" s="20">
        <f t="shared" si="39"/>
        <v>0</v>
      </c>
      <c r="Q31" s="16">
        <f t="shared" si="8"/>
        <v>18</v>
      </c>
      <c r="R31" s="16"/>
      <c r="S31" s="21">
        <v>3.0632911392405</v>
      </c>
      <c r="T31" s="14">
        <v>224</v>
      </c>
      <c r="U31" s="22" t="s">
        <v>34</v>
      </c>
      <c r="V31" s="23" t="s">
        <v>1093</v>
      </c>
      <c r="W31" s="30">
        <v>5</v>
      </c>
      <c r="X31" s="24">
        <f t="shared" si="9"/>
        <v>0.20833333333333334</v>
      </c>
      <c r="Y31" s="25">
        <f t="shared" si="10"/>
        <v>9.1659999999999986</v>
      </c>
      <c r="Z31" s="30">
        <v>0</v>
      </c>
      <c r="AA31" s="14" t="s">
        <v>35</v>
      </c>
      <c r="AB31" s="27">
        <f t="shared" si="11"/>
        <v>-0.69</v>
      </c>
      <c r="AC31" s="28">
        <v>0.25908564814814816</v>
      </c>
      <c r="AD31" s="25">
        <f t="shared" si="12"/>
        <v>-8.580916666666667</v>
      </c>
      <c r="AE31" s="25">
        <v>-7.18</v>
      </c>
      <c r="AF31" s="25">
        <v>-22.767510117187502</v>
      </c>
      <c r="AG31" s="25">
        <v>0</v>
      </c>
    </row>
    <row r="32" spans="1:33" ht="15.75" customHeight="1">
      <c r="A32" s="14" t="s">
        <v>60</v>
      </c>
      <c r="B32" s="14"/>
      <c r="C32" s="15">
        <f t="shared" si="4"/>
        <v>46.353636363636362</v>
      </c>
      <c r="D32" s="16">
        <v>11</v>
      </c>
      <c r="E32" s="16">
        <v>1</v>
      </c>
      <c r="F32" s="17">
        <v>509.89</v>
      </c>
      <c r="G32" s="17">
        <v>-5.23</v>
      </c>
      <c r="H32" s="18">
        <f t="shared" si="1"/>
        <v>1.0257114279550492E-2</v>
      </c>
      <c r="I32" s="18">
        <f t="shared" si="2"/>
        <v>0.18596357757957327</v>
      </c>
      <c r="J32" s="17">
        <f t="shared" si="5"/>
        <v>94.820968572048614</v>
      </c>
      <c r="K32" s="17">
        <f t="shared" si="3"/>
        <v>8.6200880520044194</v>
      </c>
      <c r="L32" s="16">
        <v>46</v>
      </c>
      <c r="M32" s="19">
        <f t="shared" si="6"/>
        <v>0.2391304347826087</v>
      </c>
      <c r="N32" s="16">
        <v>49</v>
      </c>
      <c r="O32" s="20">
        <f t="shared" ref="O32:P32" si="40">D32/7</f>
        <v>1.5714285714285714</v>
      </c>
      <c r="P32" s="20">
        <f t="shared" si="40"/>
        <v>0.14285714285714285</v>
      </c>
      <c r="Q32" s="16">
        <f t="shared" si="8"/>
        <v>28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2.2135922330097091</v>
      </c>
      <c r="T32" s="14">
        <f ca="1">IFERROR(__xludf.DUMMYFUNCTION("IFERROR(VLOOKUP($B$2,IMPORTRANGE(""https://docs.google.com/spreadsheets/d/1KiWZV1ko8G7lnRucBRBd29jj3Be6ltMfljMDqzOkQmI/edit#gid=1381463014"",""Lookup!A:D""),4,FALSE),"""")"),224)</f>
        <v>224</v>
      </c>
      <c r="U32" s="22">
        <f ca="1">IFERROR(__xludf.DUMMYFUNCTION("IFERROR(VLOOKUP($B$2,IMPORTRANGE(""https://docs.google.com/spreadsheets/d/1KiWZV1ko8G7lnRucBRBd29jj3Be6ltMfljMDqzOkQmI/edit#gid=1381463014"",""Lookup!A:D""),3,FALSE),"""")"),176)</f>
        <v>176</v>
      </c>
      <c r="V32" s="23" t="str">
        <f ca="1">IFERROR(__xludf.DUMMYFUNCTION("IFERROR(VLOOKUP($B$2,IMPORTRANGE(""https://docs.google.com/spreadsheets/d/1KiWZV1ko8G7lnRucBRBd29jj3Be6ltMfljMDqzOkQmI/edit#gid=1381463014"",""Lookup!A:D""),2,FALSE),"""")"),"| 413  - 56 units 07/26| 417  - 60 units 08/14| 415  - 60 units 08/21")</f>
        <v>| 413  - 56 units 07/26| 417  - 60 units 08/14| 415  - 60 units 08/21</v>
      </c>
      <c r="W32" s="30">
        <v>0</v>
      </c>
      <c r="X32" s="24">
        <f t="shared" si="9"/>
        <v>0</v>
      </c>
      <c r="Y32" s="25">
        <f t="shared" si="10"/>
        <v>5.23</v>
      </c>
      <c r="Z32" s="30">
        <v>1</v>
      </c>
      <c r="AA32" s="14" t="s">
        <v>35</v>
      </c>
      <c r="AB32" s="27">
        <f t="shared" si="11"/>
        <v>-0.69</v>
      </c>
      <c r="AC32" s="28">
        <v>0.25908564814814816</v>
      </c>
      <c r="AD32" s="25">
        <f t="shared" si="12"/>
        <v>-3.932920138888889</v>
      </c>
      <c r="AE32" s="25">
        <v>-7.18</v>
      </c>
      <c r="AF32" s="25">
        <v>-22.767510117187499</v>
      </c>
      <c r="AG32" s="25">
        <v>0</v>
      </c>
    </row>
    <row r="33" spans="1:33" ht="15.75" customHeight="1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16"/>
      <c r="S33" s="21"/>
      <c r="T33" s="31"/>
      <c r="U33" s="36"/>
      <c r="V33" s="1"/>
      <c r="W33" s="31"/>
      <c r="X33" s="31"/>
      <c r="Y33" s="31"/>
      <c r="Z33" s="31"/>
      <c r="AA33" s="2"/>
      <c r="AB33" s="31"/>
      <c r="AC33" s="31"/>
      <c r="AD33" s="31"/>
      <c r="AE33" s="37"/>
      <c r="AF33" s="37"/>
      <c r="AG33" s="37"/>
    </row>
    <row r="34" spans="1:33" ht="15.75" customHeight="1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6"/>
      <c r="V34" s="1"/>
      <c r="W34" s="31"/>
      <c r="X34" s="31"/>
      <c r="Y34" s="31"/>
      <c r="Z34" s="31"/>
      <c r="AA34" s="2"/>
      <c r="AB34" s="31"/>
      <c r="AC34" s="31"/>
      <c r="AD34" s="31"/>
      <c r="AE34" s="37"/>
      <c r="AF34" s="37"/>
      <c r="AG34" s="37"/>
    </row>
    <row r="35" spans="1:33" ht="15.75" customHeight="1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6"/>
      <c r="V35" s="1"/>
      <c r="W35" s="31"/>
      <c r="X35" s="31"/>
      <c r="Y35" s="31"/>
      <c r="Z35" s="31"/>
      <c r="AA35" s="2"/>
      <c r="AB35" s="31"/>
      <c r="AC35" s="31"/>
      <c r="AD35" s="31"/>
      <c r="AE35" s="37"/>
      <c r="AF35" s="37"/>
      <c r="AG35" s="37"/>
    </row>
    <row r="36" spans="1:33" ht="15.75" customHeight="1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6"/>
      <c r="V36" s="1"/>
      <c r="W36" s="31"/>
      <c r="X36" s="31"/>
      <c r="Y36" s="31"/>
      <c r="Z36" s="31"/>
      <c r="AA36" s="2"/>
      <c r="AB36" s="31"/>
      <c r="AC36" s="31"/>
      <c r="AD36" s="31"/>
      <c r="AE36" s="37"/>
      <c r="AF36" s="37"/>
      <c r="AG36" s="37"/>
    </row>
    <row r="37" spans="1:33" ht="15.75" customHeight="1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6"/>
      <c r="V37" s="1"/>
      <c r="W37" s="31"/>
      <c r="X37" s="31"/>
      <c r="Y37" s="31"/>
      <c r="Z37" s="31"/>
      <c r="AA37" s="2"/>
      <c r="AB37" s="31"/>
      <c r="AC37" s="31"/>
      <c r="AD37" s="31"/>
      <c r="AE37" s="37"/>
      <c r="AF37" s="37"/>
      <c r="AG37" s="37"/>
    </row>
    <row r="38" spans="1:33" ht="15.75" customHeight="1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6"/>
      <c r="V38" s="1"/>
      <c r="W38" s="31"/>
      <c r="X38" s="31"/>
      <c r="Y38" s="31"/>
      <c r="Z38" s="31"/>
      <c r="AA38" s="2"/>
      <c r="AB38" s="31"/>
      <c r="AC38" s="31"/>
      <c r="AD38" s="31"/>
      <c r="AE38" s="37"/>
      <c r="AF38" s="37"/>
      <c r="AG38" s="37"/>
    </row>
    <row r="39" spans="1:33" ht="15.75" customHeight="1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6"/>
      <c r="V39" s="1"/>
      <c r="W39" s="31"/>
      <c r="X39" s="31"/>
      <c r="Y39" s="31"/>
      <c r="Z39" s="31"/>
      <c r="AA39" s="2"/>
      <c r="AB39" s="31"/>
      <c r="AC39" s="31"/>
      <c r="AD39" s="31"/>
      <c r="AE39" s="37"/>
      <c r="AF39" s="37"/>
      <c r="AG39" s="37"/>
    </row>
    <row r="40" spans="1:33" ht="15.75" customHeight="1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6"/>
      <c r="V40" s="1"/>
      <c r="W40" s="31"/>
      <c r="X40" s="31"/>
      <c r="Y40" s="31"/>
      <c r="Z40" s="31"/>
      <c r="AA40" s="2"/>
      <c r="AB40" s="31"/>
      <c r="AC40" s="31"/>
      <c r="AD40" s="31"/>
      <c r="AE40" s="37"/>
      <c r="AF40" s="37"/>
      <c r="AG40" s="37"/>
    </row>
    <row r="41" spans="1:33" ht="15.75" customHeight="1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6"/>
      <c r="V41" s="1"/>
      <c r="W41" s="31"/>
      <c r="X41" s="31"/>
      <c r="Y41" s="31"/>
      <c r="Z41" s="31"/>
      <c r="AA41" s="2"/>
      <c r="AB41" s="31"/>
      <c r="AC41" s="31"/>
      <c r="AD41" s="31"/>
      <c r="AE41" s="37"/>
      <c r="AF41" s="37"/>
      <c r="AG41" s="37"/>
    </row>
    <row r="42" spans="1:33" ht="15.75" customHeight="1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6"/>
      <c r="V42" s="1"/>
      <c r="W42" s="31"/>
      <c r="X42" s="31"/>
      <c r="Y42" s="31"/>
      <c r="Z42" s="31"/>
      <c r="AA42" s="2"/>
      <c r="AB42" s="31"/>
      <c r="AC42" s="31"/>
      <c r="AD42" s="31"/>
      <c r="AE42" s="37"/>
      <c r="AF42" s="37"/>
      <c r="AG42" s="37"/>
    </row>
    <row r="43" spans="1:33" ht="15.75" customHeight="1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6"/>
      <c r="V43" s="1"/>
      <c r="W43" s="31"/>
      <c r="X43" s="31"/>
      <c r="Y43" s="31"/>
      <c r="Z43" s="31"/>
      <c r="AA43" s="2"/>
      <c r="AB43" s="31"/>
      <c r="AC43" s="31"/>
      <c r="AD43" s="31"/>
      <c r="AE43" s="37"/>
      <c r="AF43" s="37"/>
      <c r="AG43" s="37"/>
    </row>
    <row r="44" spans="1:33" ht="15.75" customHeight="1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6"/>
      <c r="V44" s="1"/>
      <c r="W44" s="31"/>
      <c r="X44" s="31"/>
      <c r="Y44" s="31"/>
      <c r="Z44" s="31"/>
      <c r="AA44" s="2"/>
      <c r="AB44" s="31"/>
      <c r="AC44" s="31"/>
      <c r="AD44" s="31"/>
      <c r="AE44" s="37"/>
      <c r="AF44" s="37"/>
      <c r="AG44" s="37"/>
    </row>
    <row r="45" spans="1:33" ht="15.75" customHeight="1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6"/>
      <c r="V45" s="1"/>
      <c r="W45" s="31"/>
      <c r="X45" s="31"/>
      <c r="Y45" s="31"/>
      <c r="Z45" s="31"/>
      <c r="AA45" s="2"/>
      <c r="AB45" s="31"/>
      <c r="AC45" s="31"/>
      <c r="AD45" s="31"/>
      <c r="AE45" s="37"/>
      <c r="AF45" s="37"/>
      <c r="AG45" s="37"/>
    </row>
    <row r="46" spans="1:33" ht="15.75" customHeight="1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6"/>
      <c r="V46" s="1"/>
      <c r="W46" s="31"/>
      <c r="X46" s="31"/>
      <c r="Y46" s="31"/>
      <c r="Z46" s="31"/>
      <c r="AA46" s="2"/>
      <c r="AB46" s="31"/>
      <c r="AC46" s="31"/>
      <c r="AD46" s="31"/>
      <c r="AE46" s="37"/>
      <c r="AF46" s="37"/>
      <c r="AG46" s="37"/>
    </row>
    <row r="47" spans="1:33" ht="15.75" customHeight="1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6"/>
      <c r="V47" s="1"/>
      <c r="W47" s="31"/>
      <c r="X47" s="31"/>
      <c r="Y47" s="31"/>
      <c r="Z47" s="31"/>
      <c r="AA47" s="2"/>
      <c r="AB47" s="31"/>
      <c r="AC47" s="31"/>
      <c r="AD47" s="31"/>
      <c r="AE47" s="37"/>
      <c r="AF47" s="37"/>
      <c r="AG47" s="37"/>
    </row>
    <row r="48" spans="1:33" ht="15.75" customHeight="1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6"/>
      <c r="V48" s="1"/>
      <c r="W48" s="31"/>
      <c r="X48" s="31"/>
      <c r="Y48" s="31"/>
      <c r="Z48" s="31"/>
      <c r="AA48" s="2"/>
      <c r="AB48" s="31"/>
      <c r="AC48" s="31"/>
      <c r="AD48" s="31"/>
      <c r="AE48" s="37"/>
      <c r="AF48" s="37"/>
      <c r="AG48" s="37"/>
    </row>
    <row r="49" spans="1:33" ht="15.75" customHeight="1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6"/>
      <c r="V49" s="1"/>
      <c r="W49" s="31"/>
      <c r="X49" s="31"/>
      <c r="Y49" s="31"/>
      <c r="Z49" s="31"/>
      <c r="AA49" s="2"/>
      <c r="AB49" s="31"/>
      <c r="AC49" s="31"/>
      <c r="AD49" s="31"/>
      <c r="AE49" s="37"/>
      <c r="AF49" s="37"/>
      <c r="AG49" s="37"/>
    </row>
    <row r="50" spans="1:33" ht="15.75" customHeight="1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6"/>
      <c r="V50" s="1"/>
      <c r="W50" s="31"/>
      <c r="X50" s="31"/>
      <c r="Y50" s="31"/>
      <c r="Z50" s="31"/>
      <c r="AA50" s="2"/>
      <c r="AB50" s="31"/>
      <c r="AC50" s="31"/>
      <c r="AD50" s="31"/>
      <c r="AE50" s="37"/>
      <c r="AF50" s="37"/>
      <c r="AG50" s="37"/>
    </row>
    <row r="51" spans="1:33" ht="15.75" customHeight="1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6"/>
      <c r="V51" s="1"/>
      <c r="W51" s="31"/>
      <c r="X51" s="31"/>
      <c r="Y51" s="31"/>
      <c r="Z51" s="31"/>
      <c r="AA51" s="2"/>
      <c r="AB51" s="31"/>
      <c r="AC51" s="31"/>
      <c r="AD51" s="31"/>
      <c r="AE51" s="37"/>
      <c r="AF51" s="37"/>
      <c r="AG51" s="37"/>
    </row>
    <row r="52" spans="1:33" ht="15.75" customHeight="1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6"/>
      <c r="V52" s="1"/>
      <c r="W52" s="31"/>
      <c r="X52" s="31"/>
      <c r="Y52" s="31"/>
      <c r="Z52" s="31"/>
      <c r="AA52" s="2"/>
      <c r="AB52" s="31"/>
      <c r="AC52" s="31"/>
      <c r="AD52" s="31"/>
      <c r="AE52" s="37"/>
      <c r="AF52" s="37"/>
      <c r="AG52" s="37"/>
    </row>
    <row r="53" spans="1:33" ht="15.75" customHeight="1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6"/>
      <c r="V53" s="1"/>
      <c r="W53" s="31"/>
      <c r="X53" s="31"/>
      <c r="Y53" s="31"/>
      <c r="Z53" s="31"/>
      <c r="AA53" s="2"/>
      <c r="AB53" s="31"/>
      <c r="AC53" s="31"/>
      <c r="AD53" s="31"/>
      <c r="AE53" s="37"/>
      <c r="AF53" s="37"/>
      <c r="AG53" s="37"/>
    </row>
    <row r="54" spans="1:33" ht="15.75" customHeight="1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6"/>
      <c r="V54" s="1"/>
      <c r="W54" s="31"/>
      <c r="X54" s="31"/>
      <c r="Y54" s="31"/>
      <c r="Z54" s="31"/>
      <c r="AA54" s="2"/>
      <c r="AB54" s="31"/>
      <c r="AC54" s="31"/>
      <c r="AD54" s="31"/>
      <c r="AE54" s="37"/>
      <c r="AF54" s="37"/>
      <c r="AG54" s="37"/>
    </row>
    <row r="55" spans="1:33" ht="15.75" customHeight="1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6"/>
      <c r="V55" s="1"/>
      <c r="W55" s="31"/>
      <c r="X55" s="31"/>
      <c r="Y55" s="31"/>
      <c r="Z55" s="31"/>
      <c r="AA55" s="2"/>
      <c r="AB55" s="31"/>
      <c r="AC55" s="31"/>
      <c r="AD55" s="31"/>
      <c r="AE55" s="37"/>
      <c r="AF55" s="37"/>
      <c r="AG55" s="37"/>
    </row>
    <row r="56" spans="1:33" ht="15.75" customHeight="1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6"/>
      <c r="V56" s="1"/>
      <c r="W56" s="31"/>
      <c r="X56" s="31"/>
      <c r="Y56" s="31"/>
      <c r="Z56" s="31"/>
      <c r="AA56" s="2"/>
      <c r="AB56" s="31"/>
      <c r="AC56" s="31"/>
      <c r="AD56" s="31"/>
      <c r="AE56" s="37"/>
      <c r="AF56" s="37"/>
      <c r="AG56" s="37"/>
    </row>
    <row r="57" spans="1:33" ht="15.75" customHeight="1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6"/>
      <c r="V57" s="1"/>
      <c r="W57" s="31"/>
      <c r="X57" s="31"/>
      <c r="Y57" s="31"/>
      <c r="Z57" s="31"/>
      <c r="AA57" s="2"/>
      <c r="AB57" s="31"/>
      <c r="AC57" s="31"/>
      <c r="AD57" s="31"/>
      <c r="AE57" s="37"/>
      <c r="AF57" s="37"/>
      <c r="AG57" s="37"/>
    </row>
    <row r="58" spans="1:33" ht="15.75" customHeight="1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6"/>
      <c r="V58" s="1"/>
      <c r="W58" s="31"/>
      <c r="X58" s="31"/>
      <c r="Y58" s="31"/>
      <c r="Z58" s="31"/>
      <c r="AA58" s="2"/>
      <c r="AB58" s="31"/>
      <c r="AC58" s="31"/>
      <c r="AD58" s="31"/>
      <c r="AE58" s="37"/>
      <c r="AF58" s="37"/>
      <c r="AG58" s="37"/>
    </row>
    <row r="59" spans="1:33" ht="15.75" customHeight="1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6"/>
      <c r="V59" s="1"/>
      <c r="W59" s="31"/>
      <c r="X59" s="31"/>
      <c r="Y59" s="31"/>
      <c r="Z59" s="31"/>
      <c r="AA59" s="2"/>
      <c r="AB59" s="31"/>
      <c r="AC59" s="31"/>
      <c r="AD59" s="31"/>
      <c r="AE59" s="37"/>
      <c r="AF59" s="37"/>
      <c r="AG59" s="37"/>
    </row>
    <row r="60" spans="1:33" ht="15.75" customHeight="1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6"/>
      <c r="V60" s="1"/>
      <c r="W60" s="31"/>
      <c r="X60" s="31"/>
      <c r="Y60" s="31"/>
      <c r="Z60" s="31"/>
      <c r="AA60" s="2"/>
      <c r="AB60" s="31"/>
      <c r="AC60" s="31"/>
      <c r="AD60" s="31"/>
      <c r="AE60" s="37"/>
      <c r="AF60" s="37"/>
      <c r="AG60" s="37"/>
    </row>
    <row r="61" spans="1:33" ht="15.75" customHeight="1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6"/>
      <c r="V61" s="1"/>
      <c r="W61" s="31"/>
      <c r="X61" s="31"/>
      <c r="Y61" s="31"/>
      <c r="Z61" s="31"/>
      <c r="AA61" s="2"/>
      <c r="AB61" s="31"/>
      <c r="AC61" s="31"/>
      <c r="AD61" s="31"/>
      <c r="AE61" s="37"/>
      <c r="AF61" s="37"/>
      <c r="AG61" s="37"/>
    </row>
    <row r="62" spans="1:33" ht="15.75" customHeight="1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6"/>
      <c r="V62" s="1"/>
      <c r="W62" s="31"/>
      <c r="X62" s="31"/>
      <c r="Y62" s="31"/>
      <c r="Z62" s="31"/>
      <c r="AA62" s="2"/>
      <c r="AB62" s="31"/>
      <c r="AC62" s="31"/>
      <c r="AD62" s="31"/>
      <c r="AE62" s="37"/>
      <c r="AF62" s="37"/>
      <c r="AG62" s="37"/>
    </row>
    <row r="63" spans="1:33" ht="15.75" customHeight="1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6"/>
      <c r="V63" s="1"/>
      <c r="W63" s="31"/>
      <c r="X63" s="31"/>
      <c r="Y63" s="31"/>
      <c r="Z63" s="31"/>
      <c r="AA63" s="2"/>
      <c r="AB63" s="31"/>
      <c r="AC63" s="31"/>
      <c r="AD63" s="31"/>
      <c r="AE63" s="37"/>
      <c r="AF63" s="37"/>
      <c r="AG63" s="37"/>
    </row>
    <row r="64" spans="1:33" ht="15.75" customHeight="1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6"/>
      <c r="V64" s="1"/>
      <c r="W64" s="31"/>
      <c r="X64" s="31"/>
      <c r="Y64" s="31"/>
      <c r="Z64" s="31"/>
      <c r="AA64" s="2"/>
      <c r="AB64" s="31"/>
      <c r="AC64" s="31"/>
      <c r="AD64" s="31"/>
      <c r="AE64" s="37"/>
      <c r="AF64" s="37"/>
      <c r="AG64" s="37"/>
    </row>
    <row r="65" spans="1:33" ht="15.75" customHeight="1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6"/>
      <c r="V65" s="1"/>
      <c r="W65" s="31"/>
      <c r="X65" s="31"/>
      <c r="Y65" s="31"/>
      <c r="Z65" s="31"/>
      <c r="AA65" s="2"/>
      <c r="AB65" s="31"/>
      <c r="AC65" s="31"/>
      <c r="AD65" s="31"/>
      <c r="AE65" s="37"/>
      <c r="AF65" s="37"/>
      <c r="AG65" s="37"/>
    </row>
    <row r="66" spans="1:33" ht="15.75" customHeight="1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6"/>
      <c r="V66" s="1"/>
      <c r="W66" s="31"/>
      <c r="X66" s="31"/>
      <c r="Y66" s="31"/>
      <c r="Z66" s="31"/>
      <c r="AA66" s="2"/>
      <c r="AB66" s="31"/>
      <c r="AC66" s="31"/>
      <c r="AD66" s="31"/>
      <c r="AE66" s="37"/>
      <c r="AF66" s="37"/>
      <c r="AG66" s="37"/>
    </row>
    <row r="67" spans="1:33" ht="15.75" customHeight="1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6"/>
      <c r="V67" s="1"/>
      <c r="W67" s="31"/>
      <c r="X67" s="31"/>
      <c r="Y67" s="31"/>
      <c r="Z67" s="31"/>
      <c r="AA67" s="2"/>
      <c r="AB67" s="31"/>
      <c r="AC67" s="31"/>
      <c r="AD67" s="31"/>
      <c r="AE67" s="37"/>
      <c r="AF67" s="37"/>
      <c r="AG67" s="37"/>
    </row>
    <row r="68" spans="1:33" ht="15.75" customHeight="1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6"/>
      <c r="V68" s="1"/>
      <c r="W68" s="31"/>
      <c r="X68" s="31"/>
      <c r="Y68" s="31"/>
      <c r="Z68" s="31"/>
      <c r="AA68" s="2"/>
      <c r="AB68" s="31"/>
      <c r="AC68" s="31"/>
      <c r="AD68" s="31"/>
      <c r="AE68" s="37"/>
      <c r="AF68" s="37"/>
      <c r="AG68" s="37"/>
    </row>
    <row r="69" spans="1:33" ht="15.75" customHeight="1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6"/>
      <c r="V69" s="1"/>
      <c r="W69" s="31"/>
      <c r="X69" s="31"/>
      <c r="Y69" s="31"/>
      <c r="Z69" s="31"/>
      <c r="AA69" s="2"/>
      <c r="AB69" s="31"/>
      <c r="AC69" s="31"/>
      <c r="AD69" s="31"/>
      <c r="AE69" s="37"/>
      <c r="AF69" s="37"/>
      <c r="AG69" s="37"/>
    </row>
    <row r="70" spans="1:33" ht="15.75" customHeight="1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6"/>
      <c r="V70" s="1"/>
      <c r="W70" s="31"/>
      <c r="X70" s="31"/>
      <c r="Y70" s="31"/>
      <c r="Z70" s="31"/>
      <c r="AA70" s="2"/>
      <c r="AB70" s="31"/>
      <c r="AC70" s="31"/>
      <c r="AD70" s="31"/>
      <c r="AE70" s="37"/>
      <c r="AF70" s="37"/>
      <c r="AG70" s="37"/>
    </row>
    <row r="71" spans="1:33" ht="15.75" customHeight="1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6"/>
      <c r="V71" s="1"/>
      <c r="W71" s="31"/>
      <c r="X71" s="31"/>
      <c r="Y71" s="31"/>
      <c r="Z71" s="31"/>
      <c r="AA71" s="2"/>
      <c r="AB71" s="31"/>
      <c r="AC71" s="31"/>
      <c r="AD71" s="31"/>
      <c r="AE71" s="37"/>
      <c r="AF71" s="37"/>
      <c r="AG71" s="37"/>
    </row>
    <row r="72" spans="1:33" ht="15.75" customHeight="1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6"/>
      <c r="V72" s="1"/>
      <c r="W72" s="31"/>
      <c r="X72" s="31"/>
      <c r="Y72" s="31"/>
      <c r="Z72" s="31"/>
      <c r="AA72" s="2"/>
      <c r="AB72" s="31"/>
      <c r="AC72" s="31"/>
      <c r="AD72" s="31"/>
      <c r="AE72" s="37"/>
      <c r="AF72" s="37"/>
      <c r="AG72" s="37"/>
    </row>
    <row r="73" spans="1:33" ht="15.75" customHeight="1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6"/>
      <c r="V73" s="1"/>
      <c r="W73" s="31"/>
      <c r="X73" s="31"/>
      <c r="Y73" s="31"/>
      <c r="Z73" s="31"/>
      <c r="AA73" s="2"/>
      <c r="AB73" s="31"/>
      <c r="AC73" s="31"/>
      <c r="AD73" s="31"/>
      <c r="AE73" s="37"/>
      <c r="AF73" s="37"/>
      <c r="AG73" s="37"/>
    </row>
    <row r="74" spans="1:33" ht="15.75" customHeight="1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6"/>
      <c r="V74" s="1"/>
      <c r="W74" s="31"/>
      <c r="X74" s="31"/>
      <c r="Y74" s="31"/>
      <c r="Z74" s="31"/>
      <c r="AA74" s="2"/>
      <c r="AB74" s="31"/>
      <c r="AC74" s="31"/>
      <c r="AD74" s="31"/>
      <c r="AE74" s="37"/>
      <c r="AF74" s="37"/>
      <c r="AG74" s="37"/>
    </row>
    <row r="75" spans="1:33" ht="15.75" customHeight="1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6"/>
      <c r="V75" s="1"/>
      <c r="W75" s="31"/>
      <c r="X75" s="31"/>
      <c r="Y75" s="31"/>
      <c r="Z75" s="31"/>
      <c r="AA75" s="2"/>
      <c r="AB75" s="31"/>
      <c r="AC75" s="31"/>
      <c r="AD75" s="31"/>
      <c r="AE75" s="37"/>
      <c r="AF75" s="37"/>
      <c r="AG75" s="37"/>
    </row>
    <row r="76" spans="1:33" ht="15.75" customHeight="1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6"/>
      <c r="V76" s="1"/>
      <c r="W76" s="31"/>
      <c r="X76" s="31"/>
      <c r="Y76" s="31"/>
      <c r="Z76" s="31"/>
      <c r="AA76" s="2"/>
      <c r="AB76" s="31"/>
      <c r="AC76" s="31"/>
      <c r="AD76" s="31"/>
      <c r="AE76" s="37"/>
      <c r="AF76" s="37"/>
      <c r="AG76" s="37"/>
    </row>
    <row r="77" spans="1:33" ht="15.75" customHeight="1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6"/>
      <c r="V77" s="1"/>
      <c r="W77" s="31"/>
      <c r="X77" s="31"/>
      <c r="Y77" s="31"/>
      <c r="Z77" s="31"/>
      <c r="AA77" s="2"/>
      <c r="AB77" s="31"/>
      <c r="AC77" s="31"/>
      <c r="AD77" s="31"/>
      <c r="AE77" s="37"/>
      <c r="AF77" s="37"/>
      <c r="AG77" s="37"/>
    </row>
    <row r="78" spans="1:33" ht="15.75" customHeight="1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6"/>
      <c r="V78" s="1"/>
      <c r="W78" s="31"/>
      <c r="X78" s="31"/>
      <c r="Y78" s="31"/>
      <c r="Z78" s="31"/>
      <c r="AA78" s="2"/>
      <c r="AB78" s="31"/>
      <c r="AC78" s="31"/>
      <c r="AD78" s="31"/>
      <c r="AE78" s="37"/>
      <c r="AF78" s="37"/>
      <c r="AG78" s="37"/>
    </row>
    <row r="79" spans="1:33" ht="15.75" customHeight="1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6"/>
      <c r="V79" s="1"/>
      <c r="W79" s="31"/>
      <c r="X79" s="31"/>
      <c r="Y79" s="31"/>
      <c r="Z79" s="31"/>
      <c r="AA79" s="2"/>
      <c r="AB79" s="31"/>
      <c r="AC79" s="31"/>
      <c r="AD79" s="31"/>
      <c r="AE79" s="37"/>
      <c r="AF79" s="37"/>
      <c r="AG79" s="37"/>
    </row>
    <row r="80" spans="1:33" ht="15.75" customHeight="1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6"/>
      <c r="V80" s="1"/>
      <c r="W80" s="31"/>
      <c r="X80" s="31"/>
      <c r="Y80" s="31"/>
      <c r="Z80" s="31"/>
      <c r="AA80" s="2"/>
      <c r="AB80" s="31"/>
      <c r="AC80" s="31"/>
      <c r="AD80" s="31"/>
      <c r="AE80" s="37"/>
      <c r="AF80" s="37"/>
      <c r="AG80" s="37"/>
    </row>
    <row r="81" spans="1:33" ht="15.75" customHeight="1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6"/>
      <c r="V81" s="1"/>
      <c r="W81" s="31"/>
      <c r="X81" s="31"/>
      <c r="Y81" s="31"/>
      <c r="Z81" s="31"/>
      <c r="AA81" s="2"/>
      <c r="AB81" s="31"/>
      <c r="AC81" s="31"/>
      <c r="AD81" s="31"/>
      <c r="AE81" s="37"/>
      <c r="AF81" s="37"/>
      <c r="AG81" s="37"/>
    </row>
    <row r="82" spans="1:33" ht="15.75" customHeight="1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6"/>
      <c r="V82" s="1"/>
      <c r="W82" s="31"/>
      <c r="X82" s="31"/>
      <c r="Y82" s="31"/>
      <c r="Z82" s="31"/>
      <c r="AA82" s="2"/>
      <c r="AB82" s="31"/>
      <c r="AC82" s="31"/>
      <c r="AD82" s="31"/>
      <c r="AE82" s="37"/>
      <c r="AF82" s="37"/>
      <c r="AG82" s="37"/>
    </row>
    <row r="83" spans="1:33" ht="15.75" customHeight="1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6"/>
      <c r="V83" s="1"/>
      <c r="W83" s="31"/>
      <c r="X83" s="31"/>
      <c r="Y83" s="31"/>
      <c r="Z83" s="31"/>
      <c r="AA83" s="2"/>
      <c r="AB83" s="31"/>
      <c r="AC83" s="31"/>
      <c r="AD83" s="31"/>
      <c r="AE83" s="37"/>
      <c r="AF83" s="37"/>
      <c r="AG83" s="37"/>
    </row>
    <row r="84" spans="1:33" ht="15.75" customHeight="1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6"/>
      <c r="V84" s="1"/>
      <c r="W84" s="31"/>
      <c r="X84" s="31"/>
      <c r="Y84" s="31"/>
      <c r="Z84" s="31"/>
      <c r="AA84" s="2"/>
      <c r="AB84" s="31"/>
      <c r="AC84" s="31"/>
      <c r="AD84" s="31"/>
      <c r="AE84" s="37"/>
      <c r="AF84" s="37"/>
      <c r="AG84" s="37"/>
    </row>
    <row r="85" spans="1:33" ht="15.75" customHeight="1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6"/>
      <c r="V85" s="1"/>
      <c r="W85" s="31"/>
      <c r="X85" s="31"/>
      <c r="Y85" s="31"/>
      <c r="Z85" s="31"/>
      <c r="AA85" s="2"/>
      <c r="AB85" s="31"/>
      <c r="AC85" s="31"/>
      <c r="AD85" s="31"/>
      <c r="AE85" s="37"/>
      <c r="AF85" s="37"/>
      <c r="AG85" s="37"/>
    </row>
    <row r="86" spans="1:33" ht="15.75" customHeight="1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6"/>
      <c r="V86" s="1"/>
      <c r="W86" s="31"/>
      <c r="X86" s="31"/>
      <c r="Y86" s="31"/>
      <c r="Z86" s="31"/>
      <c r="AA86" s="2"/>
      <c r="AB86" s="31"/>
      <c r="AC86" s="31"/>
      <c r="AD86" s="31"/>
      <c r="AE86" s="37"/>
      <c r="AF86" s="37"/>
      <c r="AG86" s="37"/>
    </row>
    <row r="87" spans="1:33" ht="15.75" customHeight="1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6"/>
      <c r="V87" s="1"/>
      <c r="W87" s="31"/>
      <c r="X87" s="31"/>
      <c r="Y87" s="31"/>
      <c r="Z87" s="31"/>
      <c r="AA87" s="2"/>
      <c r="AB87" s="31"/>
      <c r="AC87" s="31"/>
      <c r="AD87" s="31"/>
      <c r="AE87" s="37"/>
      <c r="AF87" s="37"/>
      <c r="AG87" s="37"/>
    </row>
    <row r="88" spans="1:33" ht="15.75" customHeight="1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6"/>
      <c r="V88" s="1"/>
      <c r="W88" s="31"/>
      <c r="X88" s="31"/>
      <c r="Y88" s="31"/>
      <c r="Z88" s="31"/>
      <c r="AA88" s="2"/>
      <c r="AB88" s="31"/>
      <c r="AC88" s="31"/>
      <c r="AD88" s="31"/>
      <c r="AE88" s="37"/>
      <c r="AF88" s="37"/>
      <c r="AG88" s="37"/>
    </row>
    <row r="89" spans="1:33" ht="15.75" customHeight="1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6"/>
      <c r="V89" s="1"/>
      <c r="W89" s="31"/>
      <c r="X89" s="31"/>
      <c r="Y89" s="31"/>
      <c r="Z89" s="31"/>
      <c r="AA89" s="2"/>
      <c r="AB89" s="31"/>
      <c r="AC89" s="31"/>
      <c r="AD89" s="31"/>
      <c r="AE89" s="37"/>
      <c r="AF89" s="37"/>
      <c r="AG89" s="37"/>
    </row>
    <row r="90" spans="1:33" ht="15.75" customHeight="1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6"/>
      <c r="V90" s="1"/>
      <c r="W90" s="31"/>
      <c r="X90" s="31"/>
      <c r="Y90" s="31"/>
      <c r="Z90" s="31"/>
      <c r="AA90" s="2"/>
      <c r="AB90" s="31"/>
      <c r="AC90" s="31"/>
      <c r="AD90" s="31"/>
      <c r="AE90" s="37"/>
      <c r="AF90" s="37"/>
      <c r="AG90" s="37"/>
    </row>
    <row r="91" spans="1:33" ht="15.75" customHeight="1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6"/>
      <c r="V91" s="1"/>
      <c r="W91" s="31"/>
      <c r="X91" s="31"/>
      <c r="Y91" s="31"/>
      <c r="Z91" s="31"/>
      <c r="AA91" s="2"/>
      <c r="AB91" s="31"/>
      <c r="AC91" s="31"/>
      <c r="AD91" s="31"/>
      <c r="AE91" s="37"/>
      <c r="AF91" s="37"/>
      <c r="AG91" s="37"/>
    </row>
    <row r="92" spans="1:33" ht="15.75" customHeight="1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6"/>
      <c r="V92" s="1"/>
      <c r="W92" s="31"/>
      <c r="X92" s="31"/>
      <c r="Y92" s="31"/>
      <c r="Z92" s="31"/>
      <c r="AA92" s="2"/>
      <c r="AB92" s="31"/>
      <c r="AC92" s="31"/>
      <c r="AD92" s="31"/>
      <c r="AE92" s="37"/>
      <c r="AF92" s="37"/>
      <c r="AG92" s="37"/>
    </row>
    <row r="93" spans="1:33" ht="15.75" customHeight="1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6"/>
      <c r="V93" s="1"/>
      <c r="W93" s="31"/>
      <c r="X93" s="31"/>
      <c r="Y93" s="31"/>
      <c r="Z93" s="31"/>
      <c r="AA93" s="2"/>
      <c r="AB93" s="31"/>
      <c r="AC93" s="31"/>
      <c r="AD93" s="31"/>
      <c r="AE93" s="37"/>
      <c r="AF93" s="37"/>
      <c r="AG93" s="37"/>
    </row>
    <row r="94" spans="1:33" ht="15.75" customHeight="1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6"/>
      <c r="V94" s="1"/>
      <c r="W94" s="31"/>
      <c r="X94" s="31"/>
      <c r="Y94" s="31"/>
      <c r="Z94" s="31"/>
      <c r="AA94" s="2"/>
      <c r="AB94" s="31"/>
      <c r="AC94" s="31"/>
      <c r="AD94" s="31"/>
      <c r="AE94" s="37"/>
      <c r="AF94" s="37"/>
      <c r="AG94" s="37"/>
    </row>
    <row r="95" spans="1:33" ht="15.75" customHeight="1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6"/>
      <c r="V95" s="1"/>
      <c r="W95" s="31"/>
      <c r="X95" s="31"/>
      <c r="Y95" s="31"/>
      <c r="Z95" s="31"/>
      <c r="AA95" s="2"/>
      <c r="AB95" s="31"/>
      <c r="AC95" s="31"/>
      <c r="AD95" s="31"/>
      <c r="AE95" s="37"/>
      <c r="AF95" s="37"/>
      <c r="AG95" s="37"/>
    </row>
    <row r="96" spans="1:33" ht="15.75" customHeight="1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6"/>
      <c r="V96" s="1"/>
      <c r="W96" s="31"/>
      <c r="X96" s="31"/>
      <c r="Y96" s="31"/>
      <c r="Z96" s="31"/>
      <c r="AA96" s="2"/>
      <c r="AB96" s="31"/>
      <c r="AC96" s="31"/>
      <c r="AD96" s="31"/>
      <c r="AE96" s="37"/>
      <c r="AF96" s="37"/>
      <c r="AG96" s="37"/>
    </row>
    <row r="97" spans="1:33" ht="15.75" customHeight="1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8"/>
      <c r="R97" s="38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8"/>
      <c r="R98" s="38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8"/>
      <c r="R99" s="38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8"/>
      <c r="R100" s="38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8"/>
      <c r="R101" s="38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8"/>
      <c r="R102" s="38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8"/>
      <c r="R103" s="38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8"/>
      <c r="R104" s="38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8"/>
      <c r="R105" s="38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8"/>
      <c r="R106" s="38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8"/>
      <c r="R107" s="38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8"/>
      <c r="R108" s="38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8"/>
      <c r="R109" s="38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8"/>
      <c r="R110" s="38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8"/>
      <c r="R111" s="38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8"/>
      <c r="R112" s="38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8"/>
      <c r="R113" s="38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8"/>
      <c r="R114" s="38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>
      <c r="A115" s="31"/>
      <c r="B115" s="31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>
      <c r="A116" s="31"/>
      <c r="B116" s="31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>
      <c r="A117" s="31"/>
      <c r="B117" s="31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>
      <c r="A118" s="31"/>
      <c r="B118" s="31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>
      <c r="A119" s="31"/>
      <c r="B119" s="31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>
      <c r="A120" s="31"/>
      <c r="B120" s="31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>
      <c r="A121" s="31"/>
      <c r="B121" s="31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>
      <c r="A122" s="31"/>
      <c r="B122" s="31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>
      <c r="A123" s="31"/>
      <c r="B123" s="31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>
      <c r="A124" s="31"/>
      <c r="B124" s="31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>
      <c r="A125" s="31"/>
      <c r="B125" s="31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>
      <c r="A126" s="31"/>
      <c r="B126" s="31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>
      <c r="A127" s="31"/>
      <c r="B127" s="31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>
      <c r="A128" s="31"/>
      <c r="B128" s="31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>
      <c r="A129" s="31"/>
      <c r="B129" s="31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>
      <c r="A130" s="31"/>
      <c r="B130" s="31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>
      <c r="A131" s="31"/>
      <c r="B131" s="31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>
      <c r="A132" s="31"/>
      <c r="B132" s="31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>
      <c r="A133" s="31"/>
      <c r="B133" s="31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>
      <c r="A134" s="31"/>
      <c r="B134" s="31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>
      <c r="A135" s="31"/>
      <c r="B135" s="31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>
      <c r="A136" s="31"/>
      <c r="B136" s="31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>
      <c r="A137" s="31"/>
      <c r="B137" s="31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>
      <c r="A138" s="31"/>
      <c r="B138" s="31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>
      <c r="A139" s="31"/>
      <c r="B139" s="31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>
      <c r="A140" s="31"/>
      <c r="B140" s="31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>
      <c r="A141" s="31"/>
      <c r="B141" s="31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2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>
      <c r="A142" s="31"/>
      <c r="B142" s="31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2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>
      <c r="A143" s="31"/>
      <c r="B143" s="31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2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>
      <c r="A144" s="31"/>
      <c r="B144" s="31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2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>
      <c r="A145" s="31"/>
      <c r="B145" s="31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2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>
      <c r="A146" s="31"/>
      <c r="B146" s="31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2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>
      <c r="A147" s="31"/>
      <c r="B147" s="31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2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>
      <c r="A148" s="31"/>
      <c r="B148" s="31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2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</row>
    <row r="149" spans="1:33" ht="15.75" customHeight="1">
      <c r="A149" s="14"/>
      <c r="B149" s="14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>
      <c r="A150" s="14"/>
      <c r="B150" s="14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>
      <c r="A151" s="14"/>
      <c r="B151" s="14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>
      <c r="A152" s="14"/>
      <c r="B152" s="14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>
      <c r="A153" s="14"/>
      <c r="B153" s="14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>
      <c r="A154" s="14"/>
      <c r="B154" s="14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>
      <c r="A155" s="14"/>
      <c r="B155" s="14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>
      <c r="A156" s="14"/>
      <c r="B156" s="14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>
      <c r="A157" s="14"/>
      <c r="B157" s="14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>
      <c r="A158" s="14"/>
      <c r="B158" s="14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>
      <c r="A159" s="14"/>
      <c r="B159" s="14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>
      <c r="A160" s="14"/>
      <c r="B160" s="14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>
      <c r="A161" s="14"/>
      <c r="B161" s="14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>
      <c r="A162" s="14"/>
      <c r="B162" s="14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>
      <c r="A163" s="14"/>
      <c r="B163" s="14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>
      <c r="A164" s="14"/>
      <c r="B164" s="14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>
      <c r="A165" s="14"/>
      <c r="B165" s="14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>
      <c r="A166" s="14"/>
      <c r="B166" s="14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>
      <c r="A167" s="14"/>
      <c r="B167" s="14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>
      <c r="A168" s="14"/>
      <c r="B168" s="14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>
      <c r="A169" s="14"/>
      <c r="B169" s="14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>
      <c r="A170" s="14"/>
      <c r="B170" s="14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>
      <c r="A171" s="14"/>
      <c r="B171" s="14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>
      <c r="A172" s="14"/>
      <c r="B172" s="14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>
      <c r="A173" s="14"/>
      <c r="B173" s="14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>
      <c r="A174" s="14"/>
      <c r="B174" s="14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>
      <c r="A175" s="14"/>
      <c r="B175" s="14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>
      <c r="A176" s="14"/>
      <c r="B176" s="14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>
      <c r="A177" s="14"/>
      <c r="B177" s="14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>
      <c r="A178" s="14"/>
      <c r="B178" s="14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>
      <c r="A179" s="14"/>
      <c r="B179" s="14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>
      <c r="A180" s="14"/>
      <c r="B180" s="14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>
      <c r="A181" s="14"/>
      <c r="B181" s="14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>
      <c r="A182" s="14"/>
      <c r="B182" s="14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>
      <c r="A183" s="14"/>
      <c r="B183" s="14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>
      <c r="A184" s="14"/>
      <c r="B184" s="14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>
      <c r="A185" s="14"/>
      <c r="B185" s="14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>
      <c r="A186" s="14"/>
      <c r="B186" s="14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>
      <c r="A187" s="14"/>
      <c r="B187" s="14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>
      <c r="A188" s="14"/>
      <c r="B188" s="14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>
      <c r="A189" s="14"/>
      <c r="B189" s="14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>
      <c r="A190" s="14"/>
      <c r="B190" s="14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>
      <c r="A191" s="14"/>
      <c r="B191" s="14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>
      <c r="A192" s="14"/>
      <c r="B192" s="14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>
      <c r="A193" s="14"/>
      <c r="B193" s="14"/>
      <c r="C193" s="39"/>
      <c r="D193" s="39"/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>
      <c r="A194" s="14"/>
      <c r="B194" s="14"/>
      <c r="C194" s="39"/>
      <c r="D194" s="39"/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>
      <c r="A195" s="14"/>
      <c r="B195" s="14"/>
      <c r="C195" s="39"/>
      <c r="D195" s="39"/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>
      <c r="A196" s="14"/>
      <c r="B196" s="14"/>
      <c r="C196" s="39"/>
      <c r="D196" s="39"/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>
      <c r="A197" s="14"/>
      <c r="B197" s="14"/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>
      <c r="A198" s="14"/>
      <c r="B198" s="14"/>
      <c r="C198" s="39"/>
      <c r="D198" s="39"/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>
      <c r="A199" s="14"/>
      <c r="B199" s="14"/>
      <c r="C199" s="39"/>
      <c r="D199" s="39"/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>
      <c r="A200" s="14"/>
      <c r="B200" s="14"/>
      <c r="C200" s="39"/>
      <c r="D200" s="39"/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>
      <c r="A201" s="14"/>
      <c r="B201" s="14"/>
      <c r="C201" s="39"/>
      <c r="D201" s="39"/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>
      <c r="A202" s="14"/>
      <c r="B202" s="14"/>
      <c r="C202" s="39"/>
      <c r="D202" s="39"/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>
      <c r="A203" s="14"/>
      <c r="B203" s="14"/>
      <c r="C203" s="39"/>
      <c r="D203" s="39"/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>
      <c r="A204" s="14"/>
      <c r="B204" s="14"/>
      <c r="C204" s="39"/>
      <c r="D204" s="39"/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>
      <c r="A205" s="14"/>
      <c r="B205" s="14"/>
      <c r="C205" s="39"/>
      <c r="D205" s="39"/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>
      <c r="A206" s="14"/>
      <c r="B206" s="14"/>
      <c r="C206" s="39"/>
      <c r="D206" s="39"/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>
      <c r="A207" s="14"/>
      <c r="B207" s="14"/>
      <c r="C207" s="39"/>
      <c r="D207" s="39"/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>
      <c r="A208" s="14"/>
      <c r="B208" s="14"/>
      <c r="C208" s="39"/>
      <c r="D208" s="39"/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>
      <c r="A209" s="14"/>
      <c r="B209" s="14"/>
      <c r="C209" s="39"/>
      <c r="D209" s="39"/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>
      <c r="A210" s="14"/>
      <c r="B210" s="14"/>
      <c r="C210" s="39"/>
      <c r="D210" s="39"/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>
      <c r="A211" s="14"/>
      <c r="B211" s="14"/>
      <c r="C211" s="39"/>
      <c r="D211" s="39"/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>
      <c r="A212" s="14"/>
      <c r="B212" s="14"/>
      <c r="C212" s="39"/>
      <c r="D212" s="39"/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>
      <c r="A213" s="14"/>
      <c r="B213" s="14"/>
      <c r="C213" s="39"/>
      <c r="D213" s="39"/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>
      <c r="A214" s="14"/>
      <c r="B214" s="14"/>
      <c r="C214" s="39"/>
      <c r="D214" s="39"/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>
      <c r="A215" s="14"/>
      <c r="B215" s="14"/>
      <c r="C215" s="39"/>
      <c r="D215" s="39"/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>
      <c r="A216" s="14"/>
      <c r="B216" s="14"/>
      <c r="C216" s="39"/>
      <c r="D216" s="39"/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>
      <c r="A217" s="14"/>
      <c r="B217" s="14"/>
      <c r="C217" s="39"/>
      <c r="D217" s="39"/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>
      <c r="A218" s="14"/>
      <c r="B218" s="14"/>
      <c r="C218" s="39"/>
      <c r="D218" s="39"/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>
      <c r="A219" s="14"/>
      <c r="B219" s="14"/>
      <c r="C219" s="39"/>
      <c r="D219" s="39"/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>
      <c r="A220" s="14"/>
      <c r="B220" s="14"/>
      <c r="C220" s="39"/>
      <c r="D220" s="39"/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>
      <c r="R221" s="30"/>
      <c r="S221" s="40"/>
    </row>
    <row r="222" spans="1:33" ht="15.75" customHeight="1">
      <c r="R222" s="30"/>
      <c r="S222" s="40"/>
    </row>
    <row r="223" spans="1:33" ht="15.75" customHeight="1">
      <c r="R223" s="30"/>
      <c r="S223" s="40"/>
    </row>
    <row r="224" spans="1:33" ht="15.75" customHeight="1">
      <c r="R224" s="30"/>
      <c r="S224" s="40"/>
    </row>
    <row r="225" spans="18:18" ht="15.75" customHeight="1">
      <c r="R225" s="30"/>
    </row>
    <row r="226" spans="18:18" ht="15.75" customHeight="1">
      <c r="R226" s="30"/>
    </row>
    <row r="227" spans="18:18" ht="15.75" customHeight="1">
      <c r="R227" s="30"/>
    </row>
    <row r="228" spans="18:18" ht="15.75" customHeight="1">
      <c r="R228" s="30"/>
    </row>
    <row r="229" spans="18:18" ht="15.75" customHeight="1">
      <c r="R229" s="30"/>
    </row>
    <row r="230" spans="18:18" ht="15.75" customHeight="1">
      <c r="R230" s="30"/>
    </row>
    <row r="231" spans="18:18" ht="15.75" customHeight="1">
      <c r="R231" s="30"/>
    </row>
    <row r="232" spans="18:18" ht="15.75" customHeight="1">
      <c r="R232" s="30"/>
    </row>
    <row r="233" spans="18:18" ht="15.75" customHeight="1">
      <c r="R233" s="30"/>
    </row>
    <row r="234" spans="18:18" ht="15.75" customHeight="1">
      <c r="R234" s="30"/>
    </row>
    <row r="235" spans="18:18" ht="15.75" customHeight="1">
      <c r="R235" s="30"/>
    </row>
    <row r="236" spans="18:18" ht="15.75" customHeight="1">
      <c r="R236" s="30"/>
    </row>
    <row r="237" spans="18:18" ht="15.75" customHeight="1">
      <c r="R237" s="30"/>
    </row>
    <row r="238" spans="18:18" ht="15.75" customHeight="1">
      <c r="R238" s="30"/>
    </row>
    <row r="239" spans="18:18" ht="15.75" customHeight="1">
      <c r="R239" s="30"/>
    </row>
    <row r="240" spans="18:18" ht="15.75" customHeight="1">
      <c r="R240" s="30"/>
    </row>
    <row r="241" spans="18:18" ht="15.75" customHeight="1">
      <c r="R241" s="30"/>
    </row>
    <row r="242" spans="18:18" ht="15.75" customHeight="1">
      <c r="R242" s="30"/>
    </row>
    <row r="243" spans="18:18" ht="15.75" customHeight="1">
      <c r="R243" s="30"/>
    </row>
    <row r="244" spans="18:18" ht="15.75" customHeight="1">
      <c r="R244" s="30"/>
    </row>
    <row r="245" spans="18:18" ht="15.75" customHeight="1">
      <c r="R245" s="30"/>
    </row>
    <row r="246" spans="18:18" ht="15.75" customHeight="1">
      <c r="R246" s="30"/>
    </row>
    <row r="247" spans="18:18" ht="15.75" customHeight="1">
      <c r="R247" s="30"/>
    </row>
    <row r="248" spans="18:18" ht="15.75" customHeight="1">
      <c r="R248" s="30"/>
    </row>
    <row r="249" spans="18:18" ht="15.75" customHeight="1">
      <c r="R249" s="30"/>
    </row>
    <row r="250" spans="18:18" ht="15.75" customHeight="1">
      <c r="R250" s="30"/>
    </row>
    <row r="251" spans="18:18" ht="15.75" customHeight="1">
      <c r="R251" s="30"/>
    </row>
    <row r="252" spans="18:18" ht="15.75" customHeight="1">
      <c r="R252" s="30"/>
    </row>
    <row r="253" spans="18:18" ht="15.75" customHeight="1">
      <c r="R253" s="30"/>
    </row>
    <row r="254" spans="18:18" ht="15.75" customHeight="1">
      <c r="R254" s="30"/>
    </row>
    <row r="255" spans="18:18" ht="15.75" customHeight="1">
      <c r="R255" s="30"/>
    </row>
    <row r="256" spans="18:18" ht="15.75" customHeight="1">
      <c r="R256" s="30"/>
    </row>
    <row r="257" spans="18:18" ht="15.75" customHeight="1">
      <c r="R257" s="30"/>
    </row>
    <row r="258" spans="18:18" ht="15.75" customHeight="1">
      <c r="R258" s="30"/>
    </row>
    <row r="259" spans="18:18" ht="15.75" customHeight="1">
      <c r="R259" s="30"/>
    </row>
    <row r="260" spans="18:18" ht="15.75" customHeight="1">
      <c r="R260" s="30"/>
    </row>
    <row r="261" spans="18:18" ht="15.75" customHeight="1">
      <c r="R261" s="30"/>
    </row>
    <row r="262" spans="18:18" ht="15.75" customHeight="1">
      <c r="R262" s="30"/>
    </row>
    <row r="263" spans="18:18" ht="15.75" customHeight="1">
      <c r="R263" s="30"/>
    </row>
    <row r="264" spans="18:18" ht="15.75" customHeight="1">
      <c r="R264" s="30"/>
    </row>
    <row r="265" spans="18:18" ht="15.75" customHeight="1">
      <c r="R265" s="30"/>
    </row>
    <row r="266" spans="18:18" ht="15.75" customHeight="1">
      <c r="R266" s="30"/>
    </row>
    <row r="267" spans="18:18" ht="15.75" customHeight="1">
      <c r="R267" s="30"/>
    </row>
    <row r="268" spans="18:18" ht="15.75" customHeight="1">
      <c r="R268" s="30"/>
    </row>
    <row r="269" spans="18:18" ht="15.75" customHeight="1">
      <c r="R269" s="30"/>
    </row>
    <row r="270" spans="18:18" ht="15.75" customHeight="1">
      <c r="R270" s="30"/>
    </row>
    <row r="271" spans="18:18" ht="15.75" customHeight="1">
      <c r="R271" s="30"/>
    </row>
    <row r="272" spans="18:18" ht="15.75" customHeight="1">
      <c r="R272" s="30"/>
    </row>
    <row r="273" spans="18:18" ht="15.75" customHeight="1">
      <c r="R273" s="30"/>
    </row>
    <row r="274" spans="18:18" ht="15.75" customHeight="1">
      <c r="R274" s="30"/>
    </row>
    <row r="275" spans="18:18" ht="15.75" customHeight="1">
      <c r="R275" s="30"/>
    </row>
    <row r="276" spans="18:18" ht="15.75" customHeight="1">
      <c r="R276" s="30"/>
    </row>
    <row r="277" spans="18:18" ht="15.75" customHeight="1">
      <c r="R277" s="30"/>
    </row>
    <row r="278" spans="18:18" ht="15.75" customHeight="1">
      <c r="R278" s="30"/>
    </row>
    <row r="279" spans="18:18" ht="15.75" customHeight="1">
      <c r="R279" s="30"/>
    </row>
    <row r="280" spans="18:18" ht="15.75" customHeight="1">
      <c r="R280" s="30"/>
    </row>
    <row r="281" spans="18:18" ht="15.75" customHeight="1">
      <c r="R281" s="30"/>
    </row>
    <row r="282" spans="18:18" ht="15.75" customHeight="1">
      <c r="R282" s="30"/>
    </row>
    <row r="283" spans="18:18" ht="15.75" customHeight="1">
      <c r="R283" s="30"/>
    </row>
    <row r="284" spans="18:18" ht="15.75" customHeight="1">
      <c r="R284" s="30"/>
    </row>
    <row r="285" spans="18:18" ht="15.75" customHeight="1">
      <c r="R285" s="30"/>
    </row>
    <row r="286" spans="18:18" ht="15.75" customHeight="1">
      <c r="R286" s="30"/>
    </row>
    <row r="287" spans="18:18" ht="15.75" customHeight="1">
      <c r="R287" s="30"/>
    </row>
    <row r="288" spans="18:18" ht="15.75" customHeight="1">
      <c r="R288" s="30"/>
    </row>
    <row r="289" spans="18:18" ht="15.75" customHeight="1">
      <c r="R289" s="30"/>
    </row>
    <row r="290" spans="18:18" ht="15.75" customHeight="1">
      <c r="R290" s="30"/>
    </row>
    <row r="291" spans="18:18" ht="15.75" customHeight="1">
      <c r="R291" s="30"/>
    </row>
    <row r="292" spans="18:18" ht="15.75" customHeight="1">
      <c r="R292" s="30"/>
    </row>
    <row r="293" spans="18:18" ht="15.75" customHeight="1">
      <c r="R293" s="30"/>
    </row>
    <row r="294" spans="18:18" ht="15.75" customHeight="1">
      <c r="R294" s="30"/>
    </row>
    <row r="295" spans="18:18" ht="15.75" customHeight="1">
      <c r="R295" s="30"/>
    </row>
    <row r="296" spans="18:18" ht="15.75" customHeight="1">
      <c r="R296" s="30"/>
    </row>
    <row r="297" spans="18:18" ht="15.75" customHeight="1">
      <c r="R297" s="30"/>
    </row>
    <row r="298" spans="18:18" ht="15.75" customHeight="1">
      <c r="R298" s="30"/>
    </row>
    <row r="299" spans="18:18" ht="15.75" customHeight="1">
      <c r="R299" s="30"/>
    </row>
    <row r="300" spans="18:18" ht="15.75" customHeight="1">
      <c r="R300" s="30"/>
    </row>
    <row r="301" spans="18:18" ht="15.75" customHeight="1">
      <c r="R301" s="30"/>
    </row>
    <row r="302" spans="18:18" ht="15.75" customHeight="1">
      <c r="R302" s="30"/>
    </row>
    <row r="303" spans="18:18" ht="15.75" customHeight="1">
      <c r="R303" s="30"/>
    </row>
    <row r="304" spans="18:18" ht="15.75" customHeight="1">
      <c r="R304" s="30"/>
    </row>
    <row r="305" spans="18:18" ht="15.75" customHeight="1">
      <c r="R305" s="30"/>
    </row>
    <row r="306" spans="18:18" ht="15.75" customHeight="1">
      <c r="R306" s="30"/>
    </row>
    <row r="307" spans="18:18" ht="15.75" customHeight="1">
      <c r="R307" s="30"/>
    </row>
    <row r="308" spans="18:18" ht="15.75" customHeight="1">
      <c r="R308" s="30"/>
    </row>
    <row r="309" spans="18:18" ht="15.75" customHeight="1">
      <c r="R309" s="30"/>
    </row>
    <row r="310" spans="18:18" ht="15.75" customHeight="1">
      <c r="R310" s="30"/>
    </row>
    <row r="311" spans="18:18" ht="15.75" customHeight="1">
      <c r="R311" s="30"/>
    </row>
    <row r="312" spans="18:18" ht="15.75" customHeight="1">
      <c r="R312" s="30"/>
    </row>
    <row r="313" spans="18:18" ht="15.75" customHeight="1">
      <c r="R313" s="30"/>
    </row>
    <row r="314" spans="18:18" ht="15.75" customHeight="1">
      <c r="R314" s="30"/>
    </row>
    <row r="315" spans="18:18" ht="15.75" customHeight="1">
      <c r="R315" s="30"/>
    </row>
    <row r="316" spans="18:18" ht="15.75" customHeight="1">
      <c r="R316" s="30"/>
    </row>
    <row r="317" spans="18:18" ht="15.75" customHeight="1">
      <c r="R317" s="30"/>
    </row>
    <row r="318" spans="18:18" ht="15.75" customHeight="1">
      <c r="R318" s="30"/>
    </row>
    <row r="319" spans="18:18" ht="15.75" customHeight="1">
      <c r="R319" s="30"/>
    </row>
    <row r="320" spans="18:18" ht="15.75" customHeight="1">
      <c r="R320" s="30"/>
    </row>
    <row r="321" spans="18:18" ht="15.75" customHeight="1">
      <c r="R321" s="30"/>
    </row>
    <row r="322" spans="18:18" ht="15.75" customHeight="1">
      <c r="R322" s="30"/>
    </row>
    <row r="323" spans="18:18" ht="15.75" customHeight="1">
      <c r="R323" s="30"/>
    </row>
    <row r="324" spans="18:18" ht="15.75" customHeight="1">
      <c r="R324" s="30"/>
    </row>
    <row r="325" spans="18:18" ht="15.75" customHeight="1">
      <c r="R325" s="30"/>
    </row>
    <row r="326" spans="18:18" ht="15.75" customHeight="1">
      <c r="R326" s="30"/>
    </row>
    <row r="327" spans="18:18" ht="15.75" customHeight="1">
      <c r="R327" s="30"/>
    </row>
    <row r="328" spans="18:18" ht="15.75" customHeight="1">
      <c r="R328" s="30"/>
    </row>
    <row r="329" spans="18:18" ht="15.75" customHeight="1">
      <c r="R329" s="30"/>
    </row>
    <row r="330" spans="18:18" ht="15.75" customHeight="1">
      <c r="R330" s="30"/>
    </row>
    <row r="331" spans="18:18" ht="15.75" customHeight="1">
      <c r="R331" s="30"/>
    </row>
    <row r="332" spans="18:18" ht="15.75" customHeight="1">
      <c r="R332" s="30"/>
    </row>
    <row r="333" spans="18:18" ht="15.75" customHeight="1">
      <c r="R333" s="30"/>
    </row>
    <row r="334" spans="18:18" ht="15.75" customHeight="1">
      <c r="R334" s="30"/>
    </row>
    <row r="335" spans="18:18" ht="15.75" customHeight="1">
      <c r="R335" s="30"/>
    </row>
    <row r="336" spans="18:18" ht="15.75" customHeight="1">
      <c r="R336" s="30"/>
    </row>
    <row r="337" spans="18:18" ht="15.75" customHeight="1">
      <c r="R337" s="30"/>
    </row>
    <row r="338" spans="18:18" ht="15.75" customHeight="1">
      <c r="R338" s="30"/>
    </row>
    <row r="339" spans="18:18" ht="15.75" customHeight="1">
      <c r="R339" s="30"/>
    </row>
    <row r="340" spans="18:18" ht="15.75" customHeight="1">
      <c r="R340" s="30"/>
    </row>
    <row r="341" spans="18:18" ht="15.75" customHeight="1">
      <c r="R341" s="30"/>
    </row>
    <row r="342" spans="18:18" ht="15.75" customHeight="1">
      <c r="R342" s="30"/>
    </row>
    <row r="343" spans="18:18" ht="15.75" customHeight="1">
      <c r="R343" s="30"/>
    </row>
    <row r="344" spans="18:18" ht="15.75" customHeight="1">
      <c r="R344" s="30"/>
    </row>
    <row r="345" spans="18:18" ht="15.75" customHeight="1">
      <c r="R345" s="30"/>
    </row>
    <row r="346" spans="18:18" ht="15.75" customHeight="1">
      <c r="R346" s="30"/>
    </row>
    <row r="347" spans="18:18" ht="15.75" customHeight="1">
      <c r="R347" s="30"/>
    </row>
    <row r="348" spans="18:18" ht="15.75" customHeight="1">
      <c r="R348" s="30"/>
    </row>
    <row r="349" spans="18:18" ht="15.75" customHeight="1">
      <c r="R349" s="30"/>
    </row>
    <row r="350" spans="18:18" ht="15.75" customHeight="1">
      <c r="R350" s="30"/>
    </row>
    <row r="351" spans="18:18" ht="15.75" customHeight="1">
      <c r="R351" s="30"/>
    </row>
    <row r="352" spans="18:18" ht="15.75" customHeight="1">
      <c r="R352" s="30"/>
    </row>
    <row r="353" spans="18:18" ht="15.75" customHeight="1">
      <c r="R353" s="30"/>
    </row>
    <row r="354" spans="18:18" ht="15.75" customHeight="1">
      <c r="R354" s="30"/>
    </row>
    <row r="355" spans="18:18" ht="15.75" customHeight="1">
      <c r="R355" s="30"/>
    </row>
    <row r="356" spans="18:18" ht="15.75" customHeight="1">
      <c r="R356" s="30"/>
    </row>
    <row r="357" spans="18:18" ht="15.75" customHeight="1">
      <c r="R357" s="30"/>
    </row>
    <row r="358" spans="18:18" ht="15.75" customHeight="1">
      <c r="R358" s="30"/>
    </row>
    <row r="359" spans="18:18" ht="15.75" customHeight="1">
      <c r="R359" s="30"/>
    </row>
    <row r="360" spans="18:18" ht="15.75" customHeight="1">
      <c r="R360" s="30"/>
    </row>
    <row r="361" spans="18:18" ht="15.75" customHeight="1">
      <c r="R361" s="30"/>
    </row>
    <row r="362" spans="18:18" ht="15.75" customHeight="1">
      <c r="R362" s="30"/>
    </row>
    <row r="363" spans="18:18" ht="15.75" customHeight="1">
      <c r="R363" s="30"/>
    </row>
    <row r="364" spans="18:18" ht="15.75" customHeight="1">
      <c r="R364" s="30"/>
    </row>
    <row r="365" spans="18:18" ht="15.75" customHeight="1">
      <c r="R365" s="30"/>
    </row>
    <row r="366" spans="18:18" ht="15.75" customHeight="1">
      <c r="R366" s="30"/>
    </row>
    <row r="367" spans="18:18" ht="15.75" customHeight="1">
      <c r="R367" s="30"/>
    </row>
    <row r="368" spans="18:18" ht="15.75" customHeight="1">
      <c r="R368" s="30"/>
    </row>
    <row r="369" spans="18:18" ht="15.75" customHeight="1">
      <c r="R369" s="30"/>
    </row>
    <row r="370" spans="18:18" ht="15.75" customHeight="1">
      <c r="R370" s="30"/>
    </row>
    <row r="371" spans="18:18" ht="15.75" customHeight="1">
      <c r="R371" s="30"/>
    </row>
    <row r="372" spans="18:18" ht="15.75" customHeight="1">
      <c r="R372" s="30"/>
    </row>
    <row r="373" spans="18:18" ht="15.75" customHeight="1">
      <c r="R373" s="30"/>
    </row>
    <row r="374" spans="18:18" ht="15.75" customHeight="1">
      <c r="R374" s="30"/>
    </row>
    <row r="375" spans="18:18" ht="15.75" customHeight="1">
      <c r="R375" s="30"/>
    </row>
    <row r="376" spans="18:18" ht="15.75" customHeight="1">
      <c r="R376" s="30"/>
    </row>
    <row r="377" spans="18:18" ht="15.75" customHeight="1">
      <c r="R377" s="30"/>
    </row>
    <row r="378" spans="18:18" ht="15.75" customHeight="1">
      <c r="R378" s="30"/>
    </row>
    <row r="379" spans="18:18" ht="15.75" customHeight="1">
      <c r="R379" s="30"/>
    </row>
    <row r="380" spans="18:18" ht="15.75" customHeight="1">
      <c r="R380" s="30"/>
    </row>
    <row r="381" spans="18:18" ht="15.75" customHeight="1">
      <c r="R381" s="30"/>
    </row>
    <row r="382" spans="18:18" ht="15.75" customHeight="1">
      <c r="R382" s="30"/>
    </row>
    <row r="383" spans="18:18" ht="15.75" customHeight="1">
      <c r="R383" s="30"/>
    </row>
    <row r="384" spans="18:18" ht="15.75" customHeight="1">
      <c r="R384" s="30"/>
    </row>
    <row r="385" spans="18:18" ht="15.75" customHeight="1">
      <c r="R385" s="30"/>
    </row>
    <row r="386" spans="18:18" ht="15.75" customHeight="1">
      <c r="R386" s="30"/>
    </row>
    <row r="387" spans="18:18" ht="15.75" customHeight="1">
      <c r="R387" s="30"/>
    </row>
    <row r="388" spans="18:18" ht="15.75" customHeight="1">
      <c r="R388" s="30"/>
    </row>
    <row r="389" spans="18:18" ht="15.75" customHeight="1">
      <c r="R389" s="30"/>
    </row>
    <row r="390" spans="18:18" ht="15.75" customHeight="1">
      <c r="R390" s="30"/>
    </row>
    <row r="391" spans="18:18" ht="15.75" customHeight="1">
      <c r="R391" s="30"/>
    </row>
    <row r="392" spans="18:18" ht="15.75" customHeight="1">
      <c r="R392" s="30"/>
    </row>
    <row r="393" spans="18:18" ht="15.75" customHeight="1">
      <c r="R393" s="30"/>
    </row>
    <row r="394" spans="18:18" ht="15.75" customHeight="1">
      <c r="R394" s="30"/>
    </row>
    <row r="395" spans="18:18" ht="15.75" customHeight="1">
      <c r="R395" s="30"/>
    </row>
    <row r="396" spans="18:18" ht="15.75" customHeight="1">
      <c r="R396" s="30"/>
    </row>
    <row r="397" spans="18:18" ht="15.75" customHeight="1">
      <c r="R397" s="30"/>
    </row>
    <row r="398" spans="18:18" ht="15.75" customHeight="1">
      <c r="R398" s="30"/>
    </row>
    <row r="399" spans="18:18" ht="15.75" customHeight="1">
      <c r="R399" s="30"/>
    </row>
    <row r="400" spans="18:18" ht="15.75" customHeight="1">
      <c r="R400" s="30"/>
    </row>
    <row r="401" spans="18:18" ht="15.75" customHeight="1">
      <c r="R401" s="30"/>
    </row>
    <row r="402" spans="18:18" ht="15.75" customHeight="1">
      <c r="R402" s="30"/>
    </row>
    <row r="403" spans="18:18" ht="15.75" customHeight="1">
      <c r="R403" s="30"/>
    </row>
    <row r="404" spans="18:18" ht="15.75" customHeight="1">
      <c r="R404" s="30"/>
    </row>
    <row r="405" spans="18:18" ht="15.75" customHeight="1">
      <c r="R405" s="30"/>
    </row>
    <row r="406" spans="18:18" ht="15.75" customHeight="1">
      <c r="R406" s="30"/>
    </row>
    <row r="407" spans="18:18" ht="15.75" customHeight="1">
      <c r="R407" s="30"/>
    </row>
    <row r="408" spans="18:18" ht="15.75" customHeight="1">
      <c r="R408" s="30"/>
    </row>
    <row r="409" spans="18:18" ht="15.75" customHeight="1">
      <c r="R409" s="30"/>
    </row>
    <row r="410" spans="18:18" ht="15.75" customHeight="1">
      <c r="R410" s="30"/>
    </row>
    <row r="411" spans="18:18" ht="15.75" customHeight="1">
      <c r="R411" s="30"/>
    </row>
    <row r="412" spans="18:18" ht="15.75" customHeight="1">
      <c r="R412" s="30"/>
    </row>
    <row r="413" spans="18:18" ht="15.75" customHeight="1">
      <c r="R413" s="30"/>
    </row>
    <row r="414" spans="18:18" ht="15.75" customHeight="1">
      <c r="R414" s="30"/>
    </row>
    <row r="415" spans="18:18" ht="15.75" customHeight="1">
      <c r="R415" s="30"/>
    </row>
    <row r="416" spans="18:18" ht="15.75" customHeight="1">
      <c r="R416" s="30"/>
    </row>
    <row r="417" spans="18:18" ht="15.75" customHeight="1">
      <c r="R417" s="30"/>
    </row>
    <row r="418" spans="18:18" ht="15.75" customHeight="1">
      <c r="R418" s="30"/>
    </row>
    <row r="419" spans="18:18" ht="15.75" customHeight="1">
      <c r="R419" s="30"/>
    </row>
    <row r="420" spans="18:18" ht="15.75" customHeight="1">
      <c r="R420" s="30"/>
    </row>
    <row r="421" spans="18:18" ht="15.75" customHeight="1">
      <c r="R421" s="30"/>
    </row>
    <row r="422" spans="18:18" ht="15.75" customHeight="1">
      <c r="R422" s="30"/>
    </row>
    <row r="423" spans="18:18" ht="15.75" customHeight="1">
      <c r="R423" s="30"/>
    </row>
    <row r="424" spans="18:18" ht="15.75" customHeight="1">
      <c r="R424" s="30"/>
    </row>
    <row r="425" spans="18:18" ht="15.75" customHeight="1">
      <c r="R425" s="30"/>
    </row>
    <row r="426" spans="18:18" ht="15.75" customHeight="1">
      <c r="R426" s="30"/>
    </row>
    <row r="427" spans="18:18" ht="15.75" customHeight="1">
      <c r="R427" s="30"/>
    </row>
    <row r="428" spans="18:18" ht="15.75" customHeight="1">
      <c r="R428" s="30"/>
    </row>
    <row r="429" spans="18:18" ht="15.75" customHeight="1">
      <c r="R429" s="30"/>
    </row>
    <row r="430" spans="18:18" ht="15.75" customHeight="1">
      <c r="R430" s="30"/>
    </row>
    <row r="431" spans="18:18" ht="15.75" customHeight="1">
      <c r="R431" s="30"/>
    </row>
    <row r="432" spans="18:18" ht="15.75" customHeight="1">
      <c r="R432" s="30"/>
    </row>
    <row r="433" spans="18:18" ht="15.75" customHeight="1">
      <c r="R433" s="30"/>
    </row>
    <row r="434" spans="18:18" ht="15.75" customHeight="1">
      <c r="R434" s="30"/>
    </row>
    <row r="435" spans="18:18" ht="15.75" customHeight="1">
      <c r="R435" s="30"/>
    </row>
    <row r="436" spans="18:18" ht="15.75" customHeight="1">
      <c r="R436" s="30"/>
    </row>
    <row r="437" spans="18:18" ht="15.75" customHeight="1">
      <c r="R437" s="30"/>
    </row>
    <row r="438" spans="18:18" ht="15.75" customHeight="1">
      <c r="R438" s="30"/>
    </row>
    <row r="439" spans="18:18" ht="15.75" customHeight="1">
      <c r="R439" s="30"/>
    </row>
    <row r="440" spans="18:18" ht="15.75" customHeight="1">
      <c r="R440" s="30"/>
    </row>
    <row r="441" spans="18:18" ht="15.75" customHeight="1">
      <c r="R441" s="30"/>
    </row>
    <row r="442" spans="18:18" ht="15.75" customHeight="1">
      <c r="R442" s="30"/>
    </row>
    <row r="443" spans="18:18" ht="15.75" customHeight="1">
      <c r="R443" s="30"/>
    </row>
    <row r="444" spans="18:18" ht="15.75" customHeight="1">
      <c r="R444" s="30"/>
    </row>
    <row r="445" spans="18:18" ht="15.75" customHeight="1">
      <c r="R445" s="30"/>
    </row>
    <row r="446" spans="18:18" ht="15.75" customHeight="1">
      <c r="R446" s="30"/>
    </row>
    <row r="447" spans="18:18" ht="15.75" customHeight="1">
      <c r="R447" s="30"/>
    </row>
    <row r="448" spans="18:18" ht="15.75" customHeight="1">
      <c r="R448" s="30"/>
    </row>
    <row r="449" spans="18:18" ht="15.75" customHeight="1">
      <c r="R449" s="30"/>
    </row>
    <row r="450" spans="18:18" ht="15.75" customHeight="1">
      <c r="R450" s="30"/>
    </row>
    <row r="451" spans="18:18" ht="15.75" customHeight="1">
      <c r="R451" s="30"/>
    </row>
    <row r="452" spans="18:18" ht="15.75" customHeight="1">
      <c r="R452" s="30"/>
    </row>
    <row r="453" spans="18:18" ht="15.75" customHeight="1">
      <c r="R453" s="30"/>
    </row>
    <row r="454" spans="18:18" ht="15.75" customHeight="1">
      <c r="R454" s="30"/>
    </row>
    <row r="455" spans="18:18" ht="15.75" customHeight="1">
      <c r="R455" s="30"/>
    </row>
    <row r="456" spans="18:18" ht="15.75" customHeight="1">
      <c r="R456" s="30"/>
    </row>
    <row r="457" spans="18:18" ht="15.75" customHeight="1">
      <c r="R457" s="30"/>
    </row>
    <row r="458" spans="18:18" ht="15.75" customHeight="1">
      <c r="R458" s="30"/>
    </row>
    <row r="459" spans="18:18" ht="15.75" customHeight="1">
      <c r="R459" s="30"/>
    </row>
    <row r="460" spans="18:18" ht="15.75" customHeight="1">
      <c r="R460" s="30"/>
    </row>
    <row r="461" spans="18:18" ht="15.75" customHeight="1">
      <c r="R461" s="30"/>
    </row>
    <row r="462" spans="18:18" ht="15.75" customHeight="1">
      <c r="R462" s="30"/>
    </row>
    <row r="463" spans="18:18" ht="15.75" customHeight="1">
      <c r="R463" s="30"/>
    </row>
    <row r="464" spans="18:18" ht="15.75" customHeight="1">
      <c r="R464" s="30"/>
    </row>
    <row r="465" spans="18:18" ht="15.75" customHeight="1">
      <c r="R465" s="30"/>
    </row>
    <row r="466" spans="18:18" ht="15.75" customHeight="1">
      <c r="R466" s="30"/>
    </row>
    <row r="467" spans="18:18" ht="15.75" customHeight="1">
      <c r="R467" s="30"/>
    </row>
    <row r="468" spans="18:18" ht="15.75" customHeight="1">
      <c r="R468" s="30"/>
    </row>
    <row r="469" spans="18:18" ht="15.75" customHeight="1">
      <c r="R469" s="30"/>
    </row>
    <row r="470" spans="18:18" ht="15.75" customHeight="1">
      <c r="R470" s="30"/>
    </row>
    <row r="471" spans="18:18" ht="15.75" customHeight="1">
      <c r="R471" s="30"/>
    </row>
    <row r="472" spans="18:18" ht="15.75" customHeight="1">
      <c r="R472" s="30"/>
    </row>
    <row r="473" spans="18:18" ht="15.75" customHeight="1">
      <c r="R473" s="30"/>
    </row>
    <row r="474" spans="18:18" ht="15.75" customHeight="1">
      <c r="R474" s="30"/>
    </row>
    <row r="475" spans="18:18" ht="15.75" customHeight="1">
      <c r="R475" s="30"/>
    </row>
    <row r="476" spans="18:18" ht="15.75" customHeight="1">
      <c r="R476" s="30"/>
    </row>
    <row r="477" spans="18:18" ht="15.75" customHeight="1">
      <c r="R477" s="30"/>
    </row>
    <row r="478" spans="18:18" ht="15.75" customHeight="1">
      <c r="R478" s="30"/>
    </row>
    <row r="479" spans="18:18" ht="15.75" customHeight="1">
      <c r="R479" s="30"/>
    </row>
    <row r="480" spans="18:18" ht="15.75" customHeight="1">
      <c r="R480" s="30"/>
    </row>
    <row r="481" spans="18:18" ht="15.75" customHeight="1">
      <c r="R481" s="30"/>
    </row>
    <row r="482" spans="18:18" ht="15.75" customHeight="1">
      <c r="R482" s="30"/>
    </row>
    <row r="483" spans="18:18" ht="15.75" customHeight="1">
      <c r="R483" s="30"/>
    </row>
    <row r="484" spans="18:18" ht="15.75" customHeight="1">
      <c r="R484" s="30"/>
    </row>
    <row r="485" spans="18:18" ht="15.75" customHeight="1">
      <c r="R485" s="30"/>
    </row>
    <row r="486" spans="18:18" ht="15.75" customHeight="1">
      <c r="R486" s="30"/>
    </row>
    <row r="487" spans="18:18" ht="15.75" customHeight="1">
      <c r="R487" s="30"/>
    </row>
    <row r="488" spans="18:18" ht="15.75" customHeight="1">
      <c r="R488" s="30"/>
    </row>
    <row r="489" spans="18:18" ht="15.75" customHeight="1">
      <c r="R489" s="30"/>
    </row>
    <row r="490" spans="18:18" ht="15.75" customHeight="1">
      <c r="R490" s="30"/>
    </row>
    <row r="491" spans="18:18" ht="15.75" customHeight="1">
      <c r="R491" s="30"/>
    </row>
    <row r="492" spans="18:18" ht="15.75" customHeight="1">
      <c r="R492" s="30"/>
    </row>
    <row r="493" spans="18:18" ht="15.75" customHeight="1">
      <c r="R493" s="30"/>
    </row>
    <row r="494" spans="18:18" ht="15.75" customHeight="1">
      <c r="R494" s="30"/>
    </row>
    <row r="495" spans="18:18" ht="15.75" customHeight="1">
      <c r="R495" s="30"/>
    </row>
    <row r="496" spans="18:18" ht="15.75" customHeight="1">
      <c r="R496" s="30"/>
    </row>
    <row r="497" spans="18:18" ht="15.75" customHeight="1">
      <c r="R497" s="30"/>
    </row>
    <row r="498" spans="18:18" ht="15.75" customHeight="1">
      <c r="R498" s="30"/>
    </row>
    <row r="499" spans="18:18" ht="15.75" customHeight="1">
      <c r="R499" s="30"/>
    </row>
    <row r="500" spans="18:18" ht="15.75" customHeight="1">
      <c r="R500" s="30"/>
    </row>
    <row r="501" spans="18:18" ht="15.75" customHeight="1">
      <c r="R501" s="30"/>
    </row>
    <row r="502" spans="18:18" ht="15.75" customHeight="1">
      <c r="R502" s="30"/>
    </row>
    <row r="503" spans="18:18" ht="15.75" customHeight="1">
      <c r="R503" s="30"/>
    </row>
    <row r="504" spans="18:18" ht="15.75" customHeight="1">
      <c r="R504" s="30"/>
    </row>
    <row r="505" spans="18:18" ht="15.75" customHeight="1">
      <c r="R505" s="30"/>
    </row>
    <row r="506" spans="18:18" ht="15.75" customHeight="1">
      <c r="R506" s="30"/>
    </row>
    <row r="507" spans="18:18" ht="15.75" customHeight="1">
      <c r="R507" s="30"/>
    </row>
    <row r="508" spans="18:18" ht="15.75" customHeight="1">
      <c r="R508" s="30"/>
    </row>
    <row r="509" spans="18:18" ht="15.75" customHeight="1">
      <c r="R509" s="30"/>
    </row>
    <row r="510" spans="18:18" ht="15.75" customHeight="1">
      <c r="R510" s="30"/>
    </row>
    <row r="511" spans="18:18" ht="15.75" customHeight="1">
      <c r="R511" s="30"/>
    </row>
    <row r="512" spans="18:18" ht="15.75" customHeight="1">
      <c r="R512" s="30"/>
    </row>
    <row r="513" spans="18:18" ht="15.75" customHeight="1">
      <c r="R513" s="30"/>
    </row>
    <row r="514" spans="18:18" ht="15.75" customHeight="1">
      <c r="R514" s="30"/>
    </row>
    <row r="515" spans="18:18" ht="15.75" customHeight="1">
      <c r="R515" s="30"/>
    </row>
    <row r="516" spans="18:18" ht="15.75" customHeight="1">
      <c r="R516" s="30"/>
    </row>
    <row r="517" spans="18:18" ht="15.75" customHeight="1">
      <c r="R517" s="30"/>
    </row>
    <row r="518" spans="18:18" ht="15.75" customHeight="1">
      <c r="R518" s="30"/>
    </row>
    <row r="519" spans="18:18" ht="15.75" customHeight="1">
      <c r="R519" s="30"/>
    </row>
    <row r="520" spans="18:18" ht="15.75" customHeight="1">
      <c r="R520" s="30"/>
    </row>
    <row r="521" spans="18:18" ht="15.75" customHeight="1">
      <c r="R521" s="30"/>
    </row>
    <row r="522" spans="18:18" ht="15.75" customHeight="1">
      <c r="R522" s="30"/>
    </row>
    <row r="523" spans="18:18" ht="15.75" customHeight="1">
      <c r="R523" s="30"/>
    </row>
    <row r="524" spans="18:18" ht="15.75" customHeight="1">
      <c r="R524" s="30"/>
    </row>
    <row r="525" spans="18:18" ht="15.75" customHeight="1">
      <c r="R525" s="30"/>
    </row>
    <row r="526" spans="18:18" ht="15.75" customHeight="1">
      <c r="R526" s="30"/>
    </row>
    <row r="527" spans="18:18" ht="15.75" customHeight="1">
      <c r="R527" s="30"/>
    </row>
    <row r="528" spans="18:18" ht="15.75" customHeight="1">
      <c r="R528" s="30"/>
    </row>
    <row r="529" spans="18:18" ht="15.75" customHeight="1">
      <c r="R529" s="30"/>
    </row>
    <row r="530" spans="18:18" ht="15.75" customHeight="1">
      <c r="R530" s="30"/>
    </row>
    <row r="531" spans="18:18" ht="15.75" customHeight="1">
      <c r="R531" s="30"/>
    </row>
    <row r="532" spans="18:18" ht="15.75" customHeight="1">
      <c r="R532" s="30"/>
    </row>
    <row r="533" spans="18:18" ht="15.75" customHeight="1">
      <c r="R533" s="30"/>
    </row>
    <row r="534" spans="18:18" ht="15.75" customHeight="1">
      <c r="R534" s="30"/>
    </row>
    <row r="535" spans="18:18" ht="15.75" customHeight="1">
      <c r="R535" s="30"/>
    </row>
    <row r="536" spans="18:18" ht="15.75" customHeight="1">
      <c r="R536" s="30"/>
    </row>
    <row r="537" spans="18:18" ht="15.75" customHeight="1">
      <c r="R537" s="30"/>
    </row>
    <row r="538" spans="18:18" ht="15.75" customHeight="1">
      <c r="R538" s="30"/>
    </row>
    <row r="539" spans="18:18" ht="15.75" customHeight="1">
      <c r="R539" s="30"/>
    </row>
    <row r="540" spans="18:18" ht="15.75" customHeight="1">
      <c r="R540" s="30"/>
    </row>
    <row r="541" spans="18:18" ht="15.75" customHeight="1">
      <c r="R541" s="30"/>
    </row>
    <row r="542" spans="18:18" ht="15.75" customHeight="1">
      <c r="R542" s="30"/>
    </row>
    <row r="543" spans="18:18" ht="15.75" customHeight="1">
      <c r="R543" s="30"/>
    </row>
    <row r="544" spans="18:18" ht="15.75" customHeight="1">
      <c r="R544" s="30"/>
    </row>
    <row r="545" spans="18:18" ht="15.75" customHeight="1">
      <c r="R545" s="30"/>
    </row>
    <row r="546" spans="18:18" ht="15.75" customHeight="1">
      <c r="R546" s="30"/>
    </row>
    <row r="547" spans="18:18" ht="15.75" customHeight="1">
      <c r="R547" s="30"/>
    </row>
    <row r="548" spans="18:18" ht="15.75" customHeight="1">
      <c r="R548" s="30"/>
    </row>
    <row r="549" spans="18:18" ht="15.75" customHeight="1">
      <c r="R549" s="30"/>
    </row>
    <row r="550" spans="18:18" ht="15.75" customHeight="1">
      <c r="R550" s="30"/>
    </row>
    <row r="551" spans="18:18" ht="15.75" customHeight="1">
      <c r="R551" s="30"/>
    </row>
    <row r="552" spans="18:18" ht="15.75" customHeight="1">
      <c r="R552" s="30"/>
    </row>
    <row r="553" spans="18:18" ht="15.75" customHeight="1">
      <c r="R553" s="30"/>
    </row>
    <row r="554" spans="18:18" ht="15.75" customHeight="1">
      <c r="R554" s="30"/>
    </row>
    <row r="555" spans="18:18" ht="15.75" customHeight="1">
      <c r="R555" s="30"/>
    </row>
    <row r="556" spans="18:18" ht="15.75" customHeight="1">
      <c r="R556" s="30"/>
    </row>
    <row r="557" spans="18:18" ht="15.75" customHeight="1">
      <c r="R557" s="30"/>
    </row>
    <row r="558" spans="18:18" ht="15.75" customHeight="1">
      <c r="R558" s="30"/>
    </row>
    <row r="559" spans="18:18" ht="15.75" customHeight="1">
      <c r="R559" s="30"/>
    </row>
    <row r="560" spans="18:18" ht="15.75" customHeight="1">
      <c r="R560" s="30"/>
    </row>
    <row r="561" spans="18:18" ht="15.75" customHeight="1">
      <c r="R561" s="30"/>
    </row>
    <row r="562" spans="18:18" ht="15.75" customHeight="1">
      <c r="R562" s="30"/>
    </row>
    <row r="563" spans="18:18" ht="15.75" customHeight="1">
      <c r="R563" s="30"/>
    </row>
    <row r="564" spans="18:18" ht="15.75" customHeight="1">
      <c r="R564" s="30"/>
    </row>
    <row r="565" spans="18:18" ht="15.75" customHeight="1">
      <c r="R565" s="30"/>
    </row>
    <row r="566" spans="18:18" ht="15.75" customHeight="1">
      <c r="R566" s="30"/>
    </row>
    <row r="567" spans="18:18" ht="15.75" customHeight="1">
      <c r="R567" s="30"/>
    </row>
    <row r="568" spans="18:18" ht="15.75" customHeight="1">
      <c r="R568" s="30"/>
    </row>
    <row r="569" spans="18:18" ht="15.75" customHeight="1">
      <c r="R569" s="30"/>
    </row>
    <row r="570" spans="18:18" ht="15.75" customHeight="1">
      <c r="R570" s="30"/>
    </row>
    <row r="571" spans="18:18" ht="15.75" customHeight="1">
      <c r="R571" s="30"/>
    </row>
    <row r="572" spans="18:18" ht="15.75" customHeight="1">
      <c r="R572" s="30"/>
    </row>
    <row r="573" spans="18:18" ht="15.75" customHeight="1">
      <c r="R573" s="30"/>
    </row>
    <row r="574" spans="18:18" ht="15.75" customHeight="1">
      <c r="R574" s="30"/>
    </row>
    <row r="575" spans="18:18" ht="15.75" customHeight="1">
      <c r="R575" s="30"/>
    </row>
    <row r="576" spans="18:18" ht="15.75" customHeight="1">
      <c r="R576" s="30"/>
    </row>
    <row r="577" spans="18:18" ht="15.75" customHeight="1">
      <c r="R577" s="30"/>
    </row>
    <row r="578" spans="18:18" ht="15.75" customHeight="1">
      <c r="R578" s="30"/>
    </row>
    <row r="579" spans="18:18" ht="15.75" customHeight="1">
      <c r="R579" s="30"/>
    </row>
    <row r="580" spans="18:18" ht="15.75" customHeight="1">
      <c r="R580" s="30"/>
    </row>
    <row r="581" spans="18:18" ht="15.75" customHeight="1">
      <c r="R581" s="30"/>
    </row>
    <row r="582" spans="18:18" ht="15.75" customHeight="1">
      <c r="R582" s="30"/>
    </row>
    <row r="583" spans="18:18" ht="15.75" customHeight="1">
      <c r="R583" s="30"/>
    </row>
    <row r="584" spans="18:18" ht="15.75" customHeight="1">
      <c r="R584" s="30"/>
    </row>
    <row r="585" spans="18:18" ht="15.75" customHeight="1">
      <c r="R585" s="30"/>
    </row>
    <row r="586" spans="18:18" ht="15.75" customHeight="1">
      <c r="R586" s="30"/>
    </row>
    <row r="587" spans="18:18" ht="15.75" customHeight="1">
      <c r="R587" s="30"/>
    </row>
    <row r="588" spans="18:18" ht="15.75" customHeight="1">
      <c r="R588" s="30"/>
    </row>
    <row r="589" spans="18:18" ht="15.75" customHeight="1">
      <c r="R589" s="30"/>
    </row>
    <row r="590" spans="18:18" ht="15.75" customHeight="1">
      <c r="R590" s="30"/>
    </row>
    <row r="591" spans="18:18" ht="15.75" customHeight="1">
      <c r="R591" s="30"/>
    </row>
    <row r="592" spans="18:18" ht="15.75" customHeight="1">
      <c r="R592" s="30"/>
    </row>
    <row r="593" spans="18:18" ht="15.75" customHeight="1">
      <c r="R593" s="30"/>
    </row>
    <row r="594" spans="18:18" ht="15.75" customHeight="1">
      <c r="R594" s="30"/>
    </row>
    <row r="595" spans="18:18" ht="15.75" customHeight="1">
      <c r="R595" s="30"/>
    </row>
    <row r="596" spans="18:18" ht="15.75" customHeight="1">
      <c r="R596" s="30"/>
    </row>
    <row r="597" spans="18:18" ht="15.75" customHeight="1">
      <c r="R597" s="30"/>
    </row>
    <row r="598" spans="18:18" ht="15.75" customHeight="1">
      <c r="R598" s="30"/>
    </row>
    <row r="599" spans="18:18" ht="15.75" customHeight="1">
      <c r="R599" s="30"/>
    </row>
    <row r="600" spans="18:18" ht="15.75" customHeight="1">
      <c r="R600" s="30"/>
    </row>
    <row r="601" spans="18:18" ht="15.75" customHeight="1">
      <c r="R601" s="30"/>
    </row>
    <row r="602" spans="18:18" ht="15.75" customHeight="1">
      <c r="R602" s="30"/>
    </row>
    <row r="603" spans="18:18" ht="15.75" customHeight="1">
      <c r="R603" s="30"/>
    </row>
    <row r="604" spans="18:18" ht="15.75" customHeight="1">
      <c r="R604" s="30"/>
    </row>
    <row r="605" spans="18:18" ht="15.75" customHeight="1">
      <c r="R605" s="30"/>
    </row>
    <row r="606" spans="18:18" ht="15.75" customHeight="1">
      <c r="R606" s="30"/>
    </row>
    <row r="607" spans="18:18" ht="15.75" customHeight="1">
      <c r="R607" s="30"/>
    </row>
    <row r="608" spans="18:18" ht="15.75" customHeight="1">
      <c r="R608" s="30"/>
    </row>
    <row r="609" spans="18:18" ht="15.75" customHeight="1">
      <c r="R609" s="30"/>
    </row>
    <row r="610" spans="18:18" ht="15.75" customHeight="1">
      <c r="R610" s="30"/>
    </row>
    <row r="611" spans="18:18" ht="15.75" customHeight="1">
      <c r="R611" s="30"/>
    </row>
    <row r="612" spans="18:18" ht="15.75" customHeight="1">
      <c r="R612" s="30"/>
    </row>
    <row r="613" spans="18:18" ht="15.75" customHeight="1">
      <c r="R613" s="30"/>
    </row>
    <row r="614" spans="18:18" ht="15.75" customHeight="1">
      <c r="R614" s="30"/>
    </row>
    <row r="615" spans="18:18" ht="15.75" customHeight="1">
      <c r="R615" s="30"/>
    </row>
    <row r="616" spans="18:18" ht="15.75" customHeight="1">
      <c r="R616" s="30"/>
    </row>
    <row r="617" spans="18:18" ht="15.75" customHeight="1">
      <c r="R617" s="30"/>
    </row>
    <row r="618" spans="18:18" ht="15.75" customHeight="1">
      <c r="R618" s="30"/>
    </row>
    <row r="619" spans="18:18" ht="15.75" customHeight="1">
      <c r="R619" s="30"/>
    </row>
    <row r="620" spans="18:18" ht="15.75" customHeight="1">
      <c r="R620" s="30"/>
    </row>
    <row r="621" spans="18:18" ht="15.75" customHeight="1">
      <c r="R621" s="30"/>
    </row>
    <row r="622" spans="18:18" ht="15.75" customHeight="1">
      <c r="R622" s="30"/>
    </row>
    <row r="623" spans="18:18" ht="15.75" customHeight="1">
      <c r="R623" s="30"/>
    </row>
    <row r="624" spans="18:18" ht="15.75" customHeight="1">
      <c r="R624" s="30"/>
    </row>
    <row r="625" spans="18:18" ht="15.75" customHeight="1">
      <c r="R625" s="30"/>
    </row>
    <row r="626" spans="18:18" ht="15.75" customHeight="1">
      <c r="R626" s="30"/>
    </row>
    <row r="627" spans="18:18" ht="15.75" customHeight="1">
      <c r="R627" s="30"/>
    </row>
    <row r="628" spans="18:18" ht="15.75" customHeight="1">
      <c r="R628" s="30"/>
    </row>
    <row r="629" spans="18:18" ht="15.75" customHeight="1">
      <c r="R629" s="30"/>
    </row>
    <row r="630" spans="18:18" ht="15.75" customHeight="1">
      <c r="R630" s="30"/>
    </row>
    <row r="631" spans="18:18" ht="15.75" customHeight="1">
      <c r="R631" s="30"/>
    </row>
    <row r="632" spans="18:18" ht="15.75" customHeight="1">
      <c r="R632" s="30"/>
    </row>
    <row r="633" spans="18:18" ht="15.75" customHeight="1">
      <c r="R633" s="30"/>
    </row>
    <row r="634" spans="18:18" ht="15.75" customHeight="1">
      <c r="R634" s="30"/>
    </row>
    <row r="635" spans="18:18" ht="15.75" customHeight="1">
      <c r="R635" s="30"/>
    </row>
    <row r="636" spans="18:18" ht="15.75" customHeight="1">
      <c r="R636" s="30"/>
    </row>
    <row r="637" spans="18:18" ht="15.75" customHeight="1">
      <c r="R637" s="30"/>
    </row>
    <row r="638" spans="18:18" ht="15.75" customHeight="1">
      <c r="R638" s="30"/>
    </row>
    <row r="639" spans="18:18" ht="15.75" customHeight="1">
      <c r="R639" s="30"/>
    </row>
    <row r="640" spans="18:18" ht="15.75" customHeight="1">
      <c r="R640" s="30"/>
    </row>
    <row r="641" spans="18:18" ht="15.75" customHeight="1">
      <c r="R641" s="30"/>
    </row>
    <row r="642" spans="18:18" ht="15.75" customHeight="1">
      <c r="R642" s="30"/>
    </row>
    <row r="643" spans="18:18" ht="15.75" customHeight="1">
      <c r="R643" s="30"/>
    </row>
    <row r="644" spans="18:18" ht="15.75" customHeight="1">
      <c r="R644" s="30"/>
    </row>
    <row r="645" spans="18:18" ht="15.75" customHeight="1">
      <c r="R645" s="30"/>
    </row>
    <row r="646" spans="18:18" ht="15.75" customHeight="1">
      <c r="R646" s="30"/>
    </row>
    <row r="647" spans="18:18" ht="15.75" customHeight="1">
      <c r="R647" s="30"/>
    </row>
    <row r="648" spans="18:18" ht="15.75" customHeight="1">
      <c r="R648" s="30"/>
    </row>
    <row r="649" spans="18:18" ht="15.75" customHeight="1">
      <c r="R649" s="30"/>
    </row>
    <row r="650" spans="18:18" ht="15.75" customHeight="1">
      <c r="R650" s="30"/>
    </row>
    <row r="651" spans="18:18" ht="15.75" customHeight="1">
      <c r="R651" s="30"/>
    </row>
    <row r="652" spans="18:18" ht="15.75" customHeight="1">
      <c r="R652" s="30"/>
    </row>
    <row r="653" spans="18:18" ht="15.75" customHeight="1">
      <c r="R653" s="30"/>
    </row>
    <row r="654" spans="18:18" ht="15.75" customHeight="1">
      <c r="R654" s="30"/>
    </row>
    <row r="655" spans="18:18" ht="15.75" customHeight="1">
      <c r="R655" s="30"/>
    </row>
    <row r="656" spans="18:18" ht="15.75" customHeight="1">
      <c r="R656" s="30"/>
    </row>
    <row r="657" spans="18:18" ht="15.75" customHeight="1">
      <c r="R657" s="30"/>
    </row>
    <row r="658" spans="18:18" ht="15.75" customHeight="1">
      <c r="R658" s="30"/>
    </row>
    <row r="659" spans="18:18" ht="15.75" customHeight="1">
      <c r="R659" s="30"/>
    </row>
    <row r="660" spans="18:18" ht="15.75" customHeight="1">
      <c r="R660" s="30"/>
    </row>
    <row r="661" spans="18:18" ht="15.75" customHeight="1">
      <c r="R661" s="30"/>
    </row>
    <row r="662" spans="18:18" ht="15.75" customHeight="1">
      <c r="R662" s="30"/>
    </row>
    <row r="663" spans="18:18" ht="15.75" customHeight="1">
      <c r="R663" s="30"/>
    </row>
    <row r="664" spans="18:18" ht="15.75" customHeight="1">
      <c r="R664" s="30"/>
    </row>
    <row r="665" spans="18:18" ht="15.75" customHeight="1">
      <c r="R665" s="30"/>
    </row>
    <row r="666" spans="18:18" ht="15.75" customHeight="1">
      <c r="R666" s="30"/>
    </row>
    <row r="667" spans="18:18" ht="15.75" customHeight="1">
      <c r="R667" s="30"/>
    </row>
    <row r="668" spans="18:18" ht="15.75" customHeight="1">
      <c r="R668" s="30"/>
    </row>
    <row r="669" spans="18:18" ht="15.75" customHeight="1">
      <c r="R669" s="30"/>
    </row>
    <row r="670" spans="18:18" ht="15.75" customHeight="1">
      <c r="R670" s="30"/>
    </row>
    <row r="671" spans="18:18" ht="15.75" customHeight="1">
      <c r="R671" s="30"/>
    </row>
    <row r="672" spans="18:18" ht="15.75" customHeight="1">
      <c r="R672" s="30"/>
    </row>
    <row r="673" spans="18:18" ht="15.75" customHeight="1">
      <c r="R673" s="30"/>
    </row>
    <row r="674" spans="18:18" ht="15.75" customHeight="1">
      <c r="R674" s="30"/>
    </row>
    <row r="675" spans="18:18" ht="15.75" customHeight="1">
      <c r="R675" s="30"/>
    </row>
    <row r="676" spans="18:18" ht="15.75" customHeight="1">
      <c r="R676" s="30"/>
    </row>
    <row r="677" spans="18:18" ht="15.75" customHeight="1">
      <c r="R677" s="30"/>
    </row>
    <row r="678" spans="18:18" ht="15.75" customHeight="1">
      <c r="R678" s="30"/>
    </row>
    <row r="679" spans="18:18" ht="15.75" customHeight="1">
      <c r="R679" s="30"/>
    </row>
    <row r="680" spans="18:18" ht="15.75" customHeight="1">
      <c r="R680" s="30"/>
    </row>
    <row r="681" spans="18:18" ht="15.75" customHeight="1">
      <c r="R681" s="30"/>
    </row>
    <row r="682" spans="18:18" ht="15.75" customHeight="1">
      <c r="R682" s="30"/>
    </row>
    <row r="683" spans="18:18" ht="15.75" customHeight="1">
      <c r="R683" s="30"/>
    </row>
    <row r="684" spans="18:18" ht="15.75" customHeight="1">
      <c r="R684" s="30"/>
    </row>
    <row r="685" spans="18:18" ht="15.75" customHeight="1">
      <c r="R685" s="30"/>
    </row>
    <row r="686" spans="18:18" ht="15.75" customHeight="1">
      <c r="R686" s="30"/>
    </row>
    <row r="687" spans="18:18" ht="15.75" customHeight="1">
      <c r="R687" s="30"/>
    </row>
    <row r="688" spans="18:18" ht="15.75" customHeight="1">
      <c r="R688" s="30"/>
    </row>
    <row r="689" spans="18:18" ht="15.75" customHeight="1">
      <c r="R689" s="30"/>
    </row>
    <row r="690" spans="18:18" ht="15.75" customHeight="1">
      <c r="R690" s="30"/>
    </row>
    <row r="691" spans="18:18" ht="15.75" customHeight="1">
      <c r="R691" s="30"/>
    </row>
    <row r="692" spans="18:18" ht="15.75" customHeight="1">
      <c r="R692" s="30"/>
    </row>
    <row r="693" spans="18:18" ht="15.75" customHeight="1">
      <c r="R693" s="30"/>
    </row>
    <row r="694" spans="18:18" ht="15.75" customHeight="1">
      <c r="R694" s="30"/>
    </row>
    <row r="695" spans="18:18" ht="15.75" customHeight="1">
      <c r="R695" s="30"/>
    </row>
    <row r="696" spans="18:18" ht="15.75" customHeight="1">
      <c r="R696" s="30"/>
    </row>
    <row r="697" spans="18:18" ht="15.75" customHeight="1">
      <c r="R697" s="30"/>
    </row>
    <row r="698" spans="18:18" ht="15.75" customHeight="1">
      <c r="R698" s="30"/>
    </row>
    <row r="699" spans="18:18" ht="15.75" customHeight="1">
      <c r="R699" s="30"/>
    </row>
    <row r="700" spans="18:18" ht="15.75" customHeight="1">
      <c r="R700" s="30"/>
    </row>
    <row r="701" spans="18:18" ht="15.75" customHeight="1">
      <c r="R701" s="30"/>
    </row>
    <row r="702" spans="18:18" ht="15.75" customHeight="1">
      <c r="R702" s="30"/>
    </row>
    <row r="703" spans="18:18" ht="15.75" customHeight="1">
      <c r="R703" s="30"/>
    </row>
    <row r="704" spans="18:18" ht="15.75" customHeight="1">
      <c r="R704" s="30"/>
    </row>
    <row r="705" spans="18:18" ht="15.75" customHeight="1">
      <c r="R705" s="30"/>
    </row>
    <row r="706" spans="18:18" ht="15.75" customHeight="1">
      <c r="R706" s="30"/>
    </row>
    <row r="707" spans="18:18" ht="15.75" customHeight="1">
      <c r="R707" s="30"/>
    </row>
    <row r="708" spans="18:18" ht="15.75" customHeight="1">
      <c r="R708" s="30"/>
    </row>
    <row r="709" spans="18:18" ht="15.75" customHeight="1">
      <c r="R709" s="30"/>
    </row>
    <row r="710" spans="18:18" ht="15.75" customHeight="1">
      <c r="R710" s="30"/>
    </row>
    <row r="711" spans="18:18" ht="15.75" customHeight="1">
      <c r="R711" s="30"/>
    </row>
    <row r="712" spans="18:18" ht="15.75" customHeight="1">
      <c r="R712" s="30"/>
    </row>
    <row r="713" spans="18:18" ht="15.75" customHeight="1">
      <c r="R713" s="30"/>
    </row>
    <row r="714" spans="18:18" ht="15.75" customHeight="1">
      <c r="R714" s="30"/>
    </row>
    <row r="715" spans="18:18" ht="15.75" customHeight="1">
      <c r="R715" s="30"/>
    </row>
    <row r="716" spans="18:18" ht="15.75" customHeight="1">
      <c r="R716" s="30"/>
    </row>
    <row r="717" spans="18:18" ht="15.75" customHeight="1">
      <c r="R717" s="30"/>
    </row>
    <row r="718" spans="18:18" ht="15.75" customHeight="1">
      <c r="R718" s="30"/>
    </row>
    <row r="719" spans="18:18" ht="15.75" customHeight="1">
      <c r="R719" s="30"/>
    </row>
    <row r="720" spans="18:18" ht="15.75" customHeight="1">
      <c r="R720" s="30"/>
    </row>
    <row r="721" spans="18:18" ht="15.75" customHeight="1">
      <c r="R721" s="30"/>
    </row>
    <row r="722" spans="18:18" ht="15.75" customHeight="1">
      <c r="R722" s="30"/>
    </row>
    <row r="723" spans="18:18" ht="15.75" customHeight="1">
      <c r="R723" s="30"/>
    </row>
    <row r="724" spans="18:18" ht="15.75" customHeight="1">
      <c r="R724" s="30"/>
    </row>
    <row r="725" spans="18:18" ht="15.75" customHeight="1">
      <c r="R725" s="30"/>
    </row>
    <row r="726" spans="18:18" ht="15.75" customHeight="1">
      <c r="R726" s="30"/>
    </row>
    <row r="727" spans="18:18" ht="15.75" customHeight="1">
      <c r="R727" s="30"/>
    </row>
    <row r="728" spans="18:18" ht="15.75" customHeight="1">
      <c r="R728" s="30"/>
    </row>
    <row r="729" spans="18:18" ht="15.75" customHeight="1">
      <c r="R729" s="30"/>
    </row>
    <row r="730" spans="18:18" ht="15.75" customHeight="1">
      <c r="R730" s="30"/>
    </row>
    <row r="731" spans="18:18" ht="15.75" customHeight="1">
      <c r="R731" s="30"/>
    </row>
    <row r="732" spans="18:18" ht="15.75" customHeight="1">
      <c r="R732" s="30"/>
    </row>
    <row r="733" spans="18:18" ht="15.75" customHeight="1">
      <c r="R733" s="30"/>
    </row>
    <row r="734" spans="18:18" ht="15.75" customHeight="1">
      <c r="R734" s="30"/>
    </row>
    <row r="735" spans="18:18" ht="15.75" customHeight="1">
      <c r="R735" s="30"/>
    </row>
    <row r="736" spans="18:18" ht="15.75" customHeight="1">
      <c r="R736" s="30"/>
    </row>
    <row r="737" spans="18:18" ht="15.75" customHeight="1">
      <c r="R737" s="30"/>
    </row>
    <row r="738" spans="18:18" ht="15.75" customHeight="1">
      <c r="R738" s="30"/>
    </row>
    <row r="739" spans="18:18" ht="15.75" customHeight="1">
      <c r="R739" s="30"/>
    </row>
    <row r="740" spans="18:18" ht="15.75" customHeight="1">
      <c r="R740" s="30"/>
    </row>
    <row r="741" spans="18:18" ht="15.75" customHeight="1">
      <c r="R741" s="30"/>
    </row>
    <row r="742" spans="18:18" ht="15.75" customHeight="1">
      <c r="R742" s="30"/>
    </row>
    <row r="743" spans="18:18" ht="15.75" customHeight="1">
      <c r="R743" s="30"/>
    </row>
    <row r="744" spans="18:18" ht="15.75" customHeight="1">
      <c r="R744" s="30"/>
    </row>
    <row r="745" spans="18:18" ht="15.75" customHeight="1">
      <c r="R745" s="30"/>
    </row>
    <row r="746" spans="18:18" ht="15.75" customHeight="1">
      <c r="R746" s="30"/>
    </row>
    <row r="747" spans="18:18" ht="15.75" customHeight="1">
      <c r="R747" s="30"/>
    </row>
    <row r="748" spans="18:18" ht="15.75" customHeight="1">
      <c r="R748" s="30"/>
    </row>
    <row r="749" spans="18:18" ht="15.75" customHeight="1">
      <c r="R749" s="30"/>
    </row>
    <row r="750" spans="18:18" ht="15.75" customHeight="1">
      <c r="R750" s="30"/>
    </row>
    <row r="751" spans="18:18" ht="15.75" customHeight="1">
      <c r="R751" s="30"/>
    </row>
    <row r="752" spans="18:18" ht="15.75" customHeight="1">
      <c r="R752" s="30"/>
    </row>
    <row r="753" spans="18:18" ht="15.75" customHeight="1">
      <c r="R753" s="30"/>
    </row>
    <row r="754" spans="18:18" ht="15.75" customHeight="1">
      <c r="R754" s="30"/>
    </row>
    <row r="755" spans="18:18" ht="15.75" customHeight="1">
      <c r="R755" s="30"/>
    </row>
    <row r="756" spans="18:18" ht="15.75" customHeight="1">
      <c r="R756" s="30"/>
    </row>
    <row r="757" spans="18:18" ht="15.75" customHeight="1">
      <c r="R757" s="30"/>
    </row>
    <row r="758" spans="18:18" ht="15.75" customHeight="1">
      <c r="R758" s="30"/>
    </row>
    <row r="759" spans="18:18" ht="15.75" customHeight="1">
      <c r="R759" s="30"/>
    </row>
    <row r="760" spans="18:18" ht="15.75" customHeight="1">
      <c r="R760" s="30"/>
    </row>
    <row r="761" spans="18:18" ht="15.75" customHeight="1">
      <c r="R761" s="30"/>
    </row>
    <row r="762" spans="18:18" ht="15.75" customHeight="1">
      <c r="R762" s="30"/>
    </row>
    <row r="763" spans="18:18" ht="15.75" customHeight="1">
      <c r="R763" s="30"/>
    </row>
    <row r="764" spans="18:18" ht="15.75" customHeight="1">
      <c r="R764" s="30"/>
    </row>
    <row r="765" spans="18:18" ht="15.75" customHeight="1">
      <c r="R765" s="30"/>
    </row>
    <row r="766" spans="18:18" ht="15.75" customHeight="1">
      <c r="R766" s="30"/>
    </row>
    <row r="767" spans="18:18" ht="15.75" customHeight="1">
      <c r="R767" s="30"/>
    </row>
    <row r="768" spans="18:18" ht="15.75" customHeight="1">
      <c r="R768" s="30"/>
    </row>
    <row r="769" spans="18:18" ht="15.75" customHeight="1">
      <c r="R769" s="30"/>
    </row>
    <row r="770" spans="18:18" ht="15.75" customHeight="1">
      <c r="R770" s="30"/>
    </row>
    <row r="771" spans="18:18" ht="15.75" customHeight="1">
      <c r="R771" s="30"/>
    </row>
    <row r="772" spans="18:18" ht="15.75" customHeight="1">
      <c r="R772" s="30"/>
    </row>
    <row r="773" spans="18:18" ht="15.75" customHeight="1">
      <c r="R773" s="30"/>
    </row>
    <row r="774" spans="18:18" ht="15.75" customHeight="1">
      <c r="R774" s="30"/>
    </row>
    <row r="775" spans="18:18" ht="15.75" customHeight="1">
      <c r="R775" s="30"/>
    </row>
    <row r="776" spans="18:18" ht="15.75" customHeight="1">
      <c r="R776" s="30"/>
    </row>
    <row r="777" spans="18:18" ht="15.75" customHeight="1">
      <c r="R777" s="30"/>
    </row>
    <row r="778" spans="18:18" ht="15.75" customHeight="1">
      <c r="R778" s="30"/>
    </row>
    <row r="779" spans="18:18" ht="15.75" customHeight="1">
      <c r="R779" s="30"/>
    </row>
    <row r="780" spans="18:18" ht="15.75" customHeight="1">
      <c r="R780" s="30"/>
    </row>
    <row r="781" spans="18:18" ht="15.75" customHeight="1">
      <c r="R781" s="30"/>
    </row>
    <row r="782" spans="18:18" ht="15.75" customHeight="1">
      <c r="R782" s="30"/>
    </row>
    <row r="783" spans="18:18" ht="15.75" customHeight="1">
      <c r="R783" s="30"/>
    </row>
    <row r="784" spans="18:18" ht="15.75" customHeight="1">
      <c r="R784" s="30"/>
    </row>
    <row r="785" spans="18:18" ht="15.75" customHeight="1">
      <c r="R785" s="30"/>
    </row>
    <row r="786" spans="18:18" ht="15.75" customHeight="1">
      <c r="R786" s="30"/>
    </row>
    <row r="787" spans="18:18" ht="15.75" customHeight="1">
      <c r="R787" s="30"/>
    </row>
    <row r="788" spans="18:18" ht="15.75" customHeight="1">
      <c r="R788" s="30"/>
    </row>
    <row r="789" spans="18:18" ht="15.75" customHeight="1">
      <c r="R789" s="30"/>
    </row>
    <row r="790" spans="18:18" ht="15.75" customHeight="1">
      <c r="R790" s="30"/>
    </row>
    <row r="791" spans="18:18" ht="15.75" customHeight="1">
      <c r="R791" s="30"/>
    </row>
    <row r="792" spans="18:18" ht="15.75" customHeight="1">
      <c r="R792" s="30"/>
    </row>
    <row r="793" spans="18:18" ht="15.75" customHeight="1">
      <c r="R793" s="30"/>
    </row>
    <row r="794" spans="18:18" ht="15.75" customHeight="1">
      <c r="R794" s="30"/>
    </row>
    <row r="795" spans="18:18" ht="15.75" customHeight="1">
      <c r="R795" s="30"/>
    </row>
    <row r="796" spans="18:18" ht="15.75" customHeight="1">
      <c r="R796" s="30"/>
    </row>
    <row r="797" spans="18:18" ht="15.75" customHeight="1">
      <c r="R797" s="30"/>
    </row>
    <row r="798" spans="18:18" ht="15.75" customHeight="1">
      <c r="R798" s="30"/>
    </row>
    <row r="799" spans="18:18" ht="15.75" customHeight="1">
      <c r="R799" s="30"/>
    </row>
    <row r="800" spans="18:18" ht="15.75" customHeight="1">
      <c r="R800" s="30"/>
    </row>
    <row r="801" spans="18:18" ht="15.75" customHeight="1">
      <c r="R801" s="30"/>
    </row>
    <row r="802" spans="18:18" ht="15.75" customHeight="1">
      <c r="R802" s="30"/>
    </row>
    <row r="803" spans="18:18" ht="15.75" customHeight="1">
      <c r="R803" s="30"/>
    </row>
    <row r="804" spans="18:18" ht="15.75" customHeight="1">
      <c r="R804" s="30"/>
    </row>
    <row r="805" spans="18:18" ht="15.75" customHeight="1">
      <c r="R805" s="30"/>
    </row>
    <row r="806" spans="18:18" ht="15.75" customHeight="1">
      <c r="R806" s="30"/>
    </row>
    <row r="807" spans="18:18" ht="15.75" customHeight="1">
      <c r="R807" s="30"/>
    </row>
    <row r="808" spans="18:18" ht="15.75" customHeight="1">
      <c r="R808" s="30"/>
    </row>
    <row r="809" spans="18:18" ht="15.75" customHeight="1">
      <c r="R809" s="30"/>
    </row>
    <row r="810" spans="18:18" ht="15.75" customHeight="1">
      <c r="R810" s="30"/>
    </row>
    <row r="811" spans="18:18" ht="15.75" customHeight="1">
      <c r="R811" s="30"/>
    </row>
    <row r="812" spans="18:18" ht="15.75" customHeight="1">
      <c r="R812" s="30"/>
    </row>
    <row r="813" spans="18:18" ht="15.75" customHeight="1">
      <c r="R813" s="30"/>
    </row>
    <row r="814" spans="18:18" ht="15.75" customHeight="1">
      <c r="R814" s="30"/>
    </row>
    <row r="815" spans="18:18" ht="15.75" customHeight="1">
      <c r="R815" s="30"/>
    </row>
    <row r="816" spans="18:18" ht="15.75" customHeight="1">
      <c r="R816" s="30"/>
    </row>
    <row r="817" spans="18:18" ht="15.75" customHeight="1">
      <c r="R817" s="30"/>
    </row>
    <row r="818" spans="18:18" ht="15.75" customHeight="1">
      <c r="R818" s="30"/>
    </row>
    <row r="819" spans="18:18" ht="15.75" customHeight="1">
      <c r="R819" s="30"/>
    </row>
    <row r="820" spans="18:18" ht="15.75" customHeight="1">
      <c r="R820" s="30"/>
    </row>
    <row r="821" spans="18:18" ht="15.75" customHeight="1">
      <c r="R821" s="30"/>
    </row>
    <row r="822" spans="18:18" ht="15.75" customHeight="1">
      <c r="R822" s="30"/>
    </row>
    <row r="823" spans="18:18" ht="15.75" customHeight="1">
      <c r="R823" s="30"/>
    </row>
    <row r="824" spans="18:18" ht="15.75" customHeight="1">
      <c r="R824" s="30"/>
    </row>
    <row r="825" spans="18:18" ht="15.75" customHeight="1">
      <c r="R825" s="30"/>
    </row>
    <row r="826" spans="18:18" ht="15.75" customHeight="1">
      <c r="R826" s="30"/>
    </row>
    <row r="827" spans="18:18" ht="15.75" customHeight="1">
      <c r="R827" s="30"/>
    </row>
    <row r="828" spans="18:18" ht="15.75" customHeight="1">
      <c r="R828" s="30"/>
    </row>
    <row r="829" spans="18:18" ht="15.75" customHeight="1">
      <c r="R829" s="30"/>
    </row>
    <row r="830" spans="18:18" ht="15.75" customHeight="1">
      <c r="R830" s="30"/>
    </row>
    <row r="831" spans="18:18" ht="15.75" customHeight="1">
      <c r="R831" s="30"/>
    </row>
    <row r="832" spans="18:18" ht="15.75" customHeight="1">
      <c r="R832" s="30"/>
    </row>
    <row r="833" spans="18:18" ht="15.75" customHeight="1">
      <c r="R833" s="30"/>
    </row>
    <row r="834" spans="18:18" ht="15.75" customHeight="1">
      <c r="R834" s="30"/>
    </row>
    <row r="835" spans="18:18" ht="15.75" customHeight="1">
      <c r="R835" s="30"/>
    </row>
    <row r="836" spans="18:18" ht="15.75" customHeight="1">
      <c r="R836" s="30"/>
    </row>
    <row r="837" spans="18:18" ht="15.75" customHeight="1">
      <c r="R837" s="30"/>
    </row>
    <row r="838" spans="18:18" ht="15.75" customHeight="1">
      <c r="R838" s="30"/>
    </row>
    <row r="839" spans="18:18" ht="15.75" customHeight="1">
      <c r="R839" s="30"/>
    </row>
    <row r="840" spans="18:18" ht="15.75" customHeight="1">
      <c r="R840" s="30"/>
    </row>
    <row r="841" spans="18:18" ht="15.75" customHeight="1">
      <c r="R841" s="30"/>
    </row>
    <row r="842" spans="18:18" ht="15.75" customHeight="1">
      <c r="R842" s="30"/>
    </row>
    <row r="843" spans="18:18" ht="15.75" customHeight="1">
      <c r="R843" s="30"/>
    </row>
    <row r="844" spans="18:18" ht="15.75" customHeight="1">
      <c r="R844" s="30"/>
    </row>
    <row r="845" spans="18:18" ht="15.75" customHeight="1">
      <c r="R845" s="30"/>
    </row>
    <row r="846" spans="18:18" ht="15.75" customHeight="1">
      <c r="R846" s="30"/>
    </row>
    <row r="847" spans="18:18" ht="15.75" customHeight="1">
      <c r="R847" s="30"/>
    </row>
    <row r="848" spans="18:18" ht="15.75" customHeight="1">
      <c r="R848" s="30"/>
    </row>
    <row r="849" spans="18:18" ht="15.75" customHeight="1">
      <c r="R849" s="30"/>
    </row>
    <row r="850" spans="18:18" ht="15.75" customHeight="1">
      <c r="R850" s="30"/>
    </row>
    <row r="851" spans="18:18" ht="15.75" customHeight="1">
      <c r="R851" s="30"/>
    </row>
    <row r="852" spans="18:18" ht="15.75" customHeight="1">
      <c r="R852" s="30"/>
    </row>
    <row r="853" spans="18:18" ht="15.75" customHeight="1">
      <c r="R853" s="30"/>
    </row>
    <row r="854" spans="18:18" ht="15.75" customHeight="1">
      <c r="R854" s="30"/>
    </row>
    <row r="855" spans="18:18" ht="15.75" customHeight="1">
      <c r="R855" s="30"/>
    </row>
    <row r="856" spans="18:18" ht="15.75" customHeight="1">
      <c r="R856" s="30"/>
    </row>
    <row r="857" spans="18:18" ht="15.75" customHeight="1">
      <c r="R857" s="30"/>
    </row>
    <row r="858" spans="18:18" ht="15.75" customHeight="1">
      <c r="R858" s="30"/>
    </row>
    <row r="859" spans="18:18" ht="15.75" customHeight="1">
      <c r="R859" s="30"/>
    </row>
    <row r="860" spans="18:18" ht="15.75" customHeight="1">
      <c r="R860" s="30"/>
    </row>
    <row r="861" spans="18:18" ht="15.75" customHeight="1">
      <c r="R861" s="30"/>
    </row>
    <row r="862" spans="18:18" ht="15.75" customHeight="1">
      <c r="R862" s="30"/>
    </row>
    <row r="863" spans="18:18" ht="15.75" customHeight="1">
      <c r="R863" s="30"/>
    </row>
    <row r="864" spans="18:18" ht="15.75" customHeight="1">
      <c r="R864" s="30"/>
    </row>
    <row r="865" spans="18:18" ht="15.75" customHeight="1">
      <c r="R865" s="30"/>
    </row>
    <row r="866" spans="18:18" ht="15.75" customHeight="1">
      <c r="R866" s="30"/>
    </row>
    <row r="867" spans="18:18" ht="15.75" customHeight="1">
      <c r="R867" s="30"/>
    </row>
    <row r="868" spans="18:18" ht="15.75" customHeight="1">
      <c r="R868" s="30"/>
    </row>
    <row r="869" spans="18:18" ht="15.75" customHeight="1">
      <c r="R869" s="30"/>
    </row>
    <row r="870" spans="18:18" ht="15.75" customHeight="1">
      <c r="R870" s="30"/>
    </row>
    <row r="871" spans="18:18" ht="15.75" customHeight="1">
      <c r="R871" s="30"/>
    </row>
    <row r="872" spans="18:18" ht="15.75" customHeight="1">
      <c r="R872" s="30"/>
    </row>
    <row r="873" spans="18:18" ht="15.75" customHeight="1">
      <c r="R873" s="30"/>
    </row>
    <row r="874" spans="18:18" ht="15.75" customHeight="1">
      <c r="R874" s="30"/>
    </row>
    <row r="875" spans="18:18" ht="15.75" customHeight="1">
      <c r="R875" s="30"/>
    </row>
    <row r="876" spans="18:18" ht="15.75" customHeight="1">
      <c r="R876" s="30"/>
    </row>
    <row r="877" spans="18:18" ht="15.75" customHeight="1">
      <c r="R877" s="30"/>
    </row>
    <row r="878" spans="18:18" ht="15.75" customHeight="1">
      <c r="R878" s="30"/>
    </row>
    <row r="879" spans="18:18" ht="15.75" customHeight="1">
      <c r="R879" s="30"/>
    </row>
    <row r="880" spans="18:18" ht="15.75" customHeight="1">
      <c r="R880" s="30"/>
    </row>
    <row r="881" spans="18:18" ht="15.75" customHeight="1">
      <c r="R881" s="30"/>
    </row>
    <row r="882" spans="18:18" ht="15.75" customHeight="1">
      <c r="R882" s="30"/>
    </row>
    <row r="883" spans="18:18" ht="15.75" customHeight="1">
      <c r="R883" s="30"/>
    </row>
    <row r="884" spans="18:18" ht="15.75" customHeight="1">
      <c r="R884" s="30"/>
    </row>
    <row r="885" spans="18:18" ht="15.75" customHeight="1">
      <c r="R885" s="30"/>
    </row>
    <row r="886" spans="18:18" ht="15.75" customHeight="1">
      <c r="R886" s="30"/>
    </row>
    <row r="887" spans="18:18" ht="15.75" customHeight="1">
      <c r="R887" s="30"/>
    </row>
    <row r="888" spans="18:18" ht="15.75" customHeight="1">
      <c r="R888" s="30"/>
    </row>
    <row r="889" spans="18:18" ht="15.75" customHeight="1">
      <c r="R889" s="30"/>
    </row>
    <row r="890" spans="18:18" ht="15.75" customHeight="1">
      <c r="R890" s="30"/>
    </row>
    <row r="891" spans="18:18" ht="15.75" customHeight="1">
      <c r="R891" s="30"/>
    </row>
    <row r="892" spans="18:18" ht="15.75" customHeight="1">
      <c r="R892" s="30"/>
    </row>
    <row r="893" spans="18:18" ht="15.75" customHeight="1">
      <c r="R893" s="30"/>
    </row>
    <row r="894" spans="18:18" ht="15.75" customHeight="1">
      <c r="R894" s="30"/>
    </row>
    <row r="895" spans="18:18" ht="15.75" customHeight="1">
      <c r="R895" s="30"/>
    </row>
    <row r="896" spans="18:18" ht="15.75" customHeight="1">
      <c r="R896" s="30"/>
    </row>
    <row r="897" spans="18:18" ht="15.75" customHeight="1">
      <c r="R897" s="30"/>
    </row>
    <row r="898" spans="18:18" ht="15.75" customHeight="1">
      <c r="R898" s="30"/>
    </row>
    <row r="899" spans="18:18" ht="15.75" customHeight="1">
      <c r="R899" s="30"/>
    </row>
    <row r="900" spans="18:18" ht="15.75" customHeight="1">
      <c r="R900" s="30"/>
    </row>
    <row r="901" spans="18:18" ht="15.75" customHeight="1">
      <c r="R901" s="30"/>
    </row>
    <row r="902" spans="18:18" ht="15.75" customHeight="1">
      <c r="R902" s="30"/>
    </row>
    <row r="903" spans="18:18" ht="15.75" customHeight="1">
      <c r="R903" s="30"/>
    </row>
    <row r="904" spans="18:18" ht="15.75" customHeight="1">
      <c r="R904" s="30"/>
    </row>
    <row r="905" spans="18:18" ht="15.75" customHeight="1">
      <c r="R905" s="30"/>
    </row>
    <row r="906" spans="18:18" ht="15.75" customHeight="1">
      <c r="R906" s="30"/>
    </row>
    <row r="907" spans="18:18" ht="15.75" customHeight="1">
      <c r="R907" s="30"/>
    </row>
    <row r="908" spans="18:18" ht="15.75" customHeight="1">
      <c r="R908" s="30"/>
    </row>
    <row r="909" spans="18:18" ht="15.75" customHeight="1">
      <c r="R909" s="30"/>
    </row>
    <row r="910" spans="18:18" ht="15.75" customHeight="1">
      <c r="R910" s="30"/>
    </row>
    <row r="911" spans="18:18" ht="15.75" customHeight="1">
      <c r="R911" s="30"/>
    </row>
    <row r="912" spans="18:18" ht="15.75" customHeight="1">
      <c r="R912" s="30"/>
    </row>
    <row r="913" spans="18:18" ht="15.75" customHeight="1">
      <c r="R913" s="30"/>
    </row>
    <row r="914" spans="18:18" ht="15.75" customHeight="1">
      <c r="R914" s="30"/>
    </row>
    <row r="915" spans="18:18" ht="15.75" customHeight="1">
      <c r="R915" s="30"/>
    </row>
    <row r="916" spans="18:18" ht="15.75" customHeight="1">
      <c r="R916" s="30"/>
    </row>
    <row r="917" spans="18:18" ht="15.75" customHeight="1">
      <c r="R917" s="30"/>
    </row>
    <row r="918" spans="18:18" ht="15.75" customHeight="1">
      <c r="R918" s="30"/>
    </row>
    <row r="919" spans="18:18" ht="15.75" customHeight="1">
      <c r="R919" s="30"/>
    </row>
    <row r="920" spans="18:18" ht="15.75" customHeight="1">
      <c r="R920" s="30"/>
    </row>
    <row r="921" spans="18:18" ht="15.75" customHeight="1">
      <c r="R921" s="30"/>
    </row>
    <row r="922" spans="18:18" ht="15.75" customHeight="1">
      <c r="R922" s="30"/>
    </row>
    <row r="923" spans="18:18" ht="15.75" customHeight="1">
      <c r="R923" s="30"/>
    </row>
    <row r="924" spans="18:18" ht="15.75" customHeight="1">
      <c r="R924" s="30"/>
    </row>
    <row r="925" spans="18:18" ht="15.75" customHeight="1">
      <c r="R925" s="30"/>
    </row>
    <row r="926" spans="18:18" ht="15.75" customHeight="1">
      <c r="R926" s="30"/>
    </row>
    <row r="927" spans="18:18" ht="15.75" customHeight="1">
      <c r="R927" s="30"/>
    </row>
    <row r="928" spans="18:18" ht="15.75" customHeight="1">
      <c r="R928" s="30"/>
    </row>
    <row r="929" spans="18:18" ht="15.75" customHeight="1">
      <c r="R929" s="30"/>
    </row>
    <row r="930" spans="18:18" ht="15.75" customHeight="1">
      <c r="R930" s="30"/>
    </row>
    <row r="931" spans="18:18" ht="15.75" customHeight="1">
      <c r="R931" s="30"/>
    </row>
    <row r="932" spans="18:18" ht="15.75" customHeight="1">
      <c r="R932" s="30"/>
    </row>
    <row r="933" spans="18:18" ht="15.75" customHeight="1">
      <c r="R933" s="30"/>
    </row>
    <row r="934" spans="18:18" ht="15.75" customHeight="1">
      <c r="R934" s="30"/>
    </row>
    <row r="935" spans="18:18" ht="15.75" customHeight="1">
      <c r="R935" s="30"/>
    </row>
    <row r="936" spans="18:18" ht="15.75" customHeight="1">
      <c r="R936" s="30"/>
    </row>
    <row r="937" spans="18:18" ht="15.75" customHeight="1">
      <c r="R937" s="30"/>
    </row>
    <row r="938" spans="18:18" ht="15.75" customHeight="1">
      <c r="R938" s="30"/>
    </row>
    <row r="939" spans="18:18" ht="15.75" customHeight="1">
      <c r="R939" s="30"/>
    </row>
    <row r="940" spans="18:18" ht="15.75" customHeight="1">
      <c r="R940" s="30"/>
    </row>
    <row r="941" spans="18:18" ht="15.75" customHeight="1">
      <c r="R941" s="30"/>
    </row>
    <row r="942" spans="18:18" ht="15.75" customHeight="1">
      <c r="R942" s="30"/>
    </row>
    <row r="943" spans="18:18" ht="15.75" customHeight="1">
      <c r="R943" s="30"/>
    </row>
    <row r="944" spans="18:18" ht="15.75" customHeight="1">
      <c r="R944" s="30"/>
    </row>
    <row r="945" spans="18:18" ht="15.75" customHeight="1">
      <c r="R945" s="30"/>
    </row>
    <row r="946" spans="18:18" ht="15.75" customHeight="1">
      <c r="R946" s="30"/>
    </row>
    <row r="947" spans="18:18" ht="15.75" customHeight="1">
      <c r="R947" s="30"/>
    </row>
    <row r="948" spans="18:18" ht="15.75" customHeight="1">
      <c r="R948" s="30"/>
    </row>
    <row r="949" spans="18:18" ht="15.75" customHeight="1">
      <c r="R949" s="30"/>
    </row>
    <row r="950" spans="18:18" ht="15.75" customHeight="1">
      <c r="R950" s="30"/>
    </row>
    <row r="951" spans="18:18" ht="15.75" customHeight="1">
      <c r="R951" s="30"/>
    </row>
    <row r="952" spans="18:18" ht="15.75" customHeight="1">
      <c r="R952" s="30"/>
    </row>
    <row r="953" spans="18:18" ht="15.75" customHeight="1">
      <c r="R953" s="30"/>
    </row>
    <row r="954" spans="18:18" ht="15.75" customHeight="1">
      <c r="R954" s="30"/>
    </row>
    <row r="955" spans="18:18" ht="15.75" customHeight="1">
      <c r="R955" s="30"/>
    </row>
    <row r="956" spans="18:18" ht="15.75" customHeight="1">
      <c r="R956" s="30"/>
    </row>
    <row r="957" spans="18:18" ht="15.75" customHeight="1">
      <c r="R957" s="30"/>
    </row>
    <row r="958" spans="18:18" ht="15.75" customHeight="1">
      <c r="R958" s="30"/>
    </row>
    <row r="959" spans="18:18" ht="15.75" customHeight="1">
      <c r="R959" s="30"/>
    </row>
    <row r="960" spans="18:18" ht="15.75" customHeight="1">
      <c r="R960" s="30"/>
    </row>
    <row r="961" spans="18:18" ht="15.75" customHeight="1">
      <c r="R961" s="30"/>
    </row>
    <row r="962" spans="18:18" ht="15.75" customHeight="1">
      <c r="R962" s="30"/>
    </row>
    <row r="963" spans="18:18" ht="15.75" customHeight="1">
      <c r="R963" s="30"/>
    </row>
    <row r="964" spans="18:18" ht="15.75" customHeight="1">
      <c r="R964" s="30"/>
    </row>
    <row r="965" spans="18:18" ht="15.75" customHeight="1">
      <c r="R965" s="30"/>
    </row>
    <row r="966" spans="18:18" ht="15.75" customHeight="1">
      <c r="R966" s="30"/>
    </row>
    <row r="967" spans="18:18" ht="15.75" customHeight="1">
      <c r="R967" s="30"/>
    </row>
    <row r="968" spans="18:18" ht="15.75" customHeight="1">
      <c r="R968" s="30"/>
    </row>
    <row r="969" spans="18:18" ht="15.75" customHeight="1">
      <c r="R969" s="30"/>
    </row>
    <row r="970" spans="18:18" ht="15.75" customHeight="1">
      <c r="R970" s="30"/>
    </row>
    <row r="971" spans="18:18" ht="15.75" customHeight="1">
      <c r="R971" s="30"/>
    </row>
    <row r="972" spans="18:18" ht="15.75" customHeight="1">
      <c r="R972" s="30"/>
    </row>
    <row r="973" spans="18:18" ht="15.75" customHeight="1">
      <c r="R973" s="30"/>
    </row>
    <row r="974" spans="18:18" ht="15.75" customHeight="1">
      <c r="R974" s="30"/>
    </row>
    <row r="975" spans="18:18" ht="15.75" customHeight="1">
      <c r="R975" s="30"/>
    </row>
    <row r="976" spans="18:18" ht="15.75" customHeight="1">
      <c r="R976" s="30"/>
    </row>
    <row r="977" spans="18:18" ht="15.75" customHeight="1">
      <c r="R977" s="30"/>
    </row>
    <row r="978" spans="18:18" ht="15.75" customHeight="1">
      <c r="R978" s="30"/>
    </row>
    <row r="979" spans="18:18" ht="15.75" customHeight="1">
      <c r="R979" s="30"/>
    </row>
    <row r="980" spans="18:18" ht="15.75" customHeight="1">
      <c r="R980" s="30"/>
    </row>
    <row r="981" spans="18:18" ht="15.75" customHeight="1">
      <c r="R981" s="30"/>
    </row>
    <row r="982" spans="18:18" ht="15.75" customHeight="1">
      <c r="R982" s="30"/>
    </row>
    <row r="983" spans="18:18" ht="15.75" customHeight="1">
      <c r="R983" s="30"/>
    </row>
    <row r="984" spans="18:18" ht="15.75" customHeight="1">
      <c r="R984" s="30"/>
    </row>
    <row r="985" spans="18:18" ht="15.75" customHeight="1">
      <c r="R985" s="30"/>
    </row>
    <row r="986" spans="18:18" ht="15.75" customHeight="1">
      <c r="R986" s="30"/>
    </row>
    <row r="987" spans="18:18" ht="15.75" customHeight="1">
      <c r="R987" s="30"/>
    </row>
    <row r="988" spans="18:18" ht="15.75" customHeight="1">
      <c r="R988" s="30"/>
    </row>
    <row r="989" spans="18:18" ht="15.75" customHeight="1">
      <c r="R989" s="30"/>
    </row>
    <row r="990" spans="18:18" ht="15.75" customHeight="1">
      <c r="R990" s="30"/>
    </row>
    <row r="991" spans="18:18" ht="15.75" customHeight="1">
      <c r="R991" s="30"/>
    </row>
    <row r="992" spans="18:18" ht="15.75" customHeight="1">
      <c r="R992" s="30"/>
    </row>
    <row r="993" spans="18:18" ht="15.75" customHeight="1">
      <c r="R993" s="30"/>
    </row>
    <row r="994" spans="18:18" ht="15.75" customHeight="1">
      <c r="R994" s="30"/>
    </row>
    <row r="995" spans="18:18" ht="15.75" customHeight="1">
      <c r="R995" s="30"/>
    </row>
    <row r="996" spans="18:18" ht="15.75" customHeight="1">
      <c r="R996" s="30"/>
    </row>
    <row r="997" spans="18:18" ht="15.75" customHeight="1">
      <c r="R997" s="30"/>
    </row>
    <row r="998" spans="18:18" ht="15.75" customHeight="1">
      <c r="R998" s="30"/>
    </row>
    <row r="999" spans="18:18" ht="15.75" customHeight="1">
      <c r="R999" s="30"/>
    </row>
    <row r="1000" spans="18:18" ht="15.75" customHeight="1">
      <c r="R1000" s="3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2.6640625" defaultRowHeight="15" customHeight="1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8.6640625" customWidth="1"/>
    <col min="6" max="6" width="9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17.6640625" customWidth="1"/>
    <col min="16" max="16" width="10" customWidth="1"/>
    <col min="17" max="18" width="7.33203125" customWidth="1"/>
    <col min="19" max="19" width="7.1640625" customWidth="1"/>
    <col min="20" max="20" width="16.1640625" customWidth="1"/>
    <col min="21" max="21" width="18.6640625" customWidth="1"/>
    <col min="22" max="22" width="81.664062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6640625" customWidth="1"/>
    <col min="32" max="32" width="10.1640625" customWidth="1"/>
    <col min="33" max="33" width="8.83203125" customWidth="1"/>
  </cols>
  <sheetData>
    <row r="1" spans="1:33" ht="18.75" customHeight="1">
      <c r="A1" s="46" t="str">
        <f ca="1">IFERROR(__xludf.DUMMYFUNCTION("IFERROR(VLOOKUP(B2,IMPORTRANGE(""https://docs.google.com/spreadsheets/d/1x0DhHglkXKoEBOD2MBsuK_EyIr1ouxD2ftIpqOYFa-k/edit?usp=sharing"",""Ubiquitty-SKU-Specific Info!B1:BJ5000""),3,FALSE),"""")"),"6 Foot Lighted Outdoor Extension Cord - 12/3 SJTW Heavy Duty Yellow Extension Cable with 3 Prong Grounded Plug for Safety - Great for Garden and Major Appliances")</f>
        <v>6 Foot Lighted Outdoor Extension Cord - 12/3 SJTW Heavy Duty Yellow Extension Cable with 3 Prong Grounded Plug for Safety - Great for Garden and Major Appliances</v>
      </c>
      <c r="B1" s="47"/>
      <c r="C1" s="48" t="s">
        <v>0</v>
      </c>
      <c r="D1" s="50" t="s">
        <v>1</v>
      </c>
      <c r="E1" s="50" t="s">
        <v>2</v>
      </c>
      <c r="F1" s="52" t="s">
        <v>3</v>
      </c>
      <c r="G1" s="52" t="s">
        <v>4</v>
      </c>
      <c r="H1" s="53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58" t="s">
        <v>10</v>
      </c>
      <c r="N1" s="59" t="s">
        <v>11</v>
      </c>
      <c r="O1" s="50" t="s">
        <v>12</v>
      </c>
      <c r="P1" s="50" t="s">
        <v>13</v>
      </c>
      <c r="Q1" s="57" t="s">
        <v>14</v>
      </c>
      <c r="R1" s="57" t="s">
        <v>15</v>
      </c>
      <c r="S1" s="60" t="s">
        <v>16</v>
      </c>
      <c r="T1" s="62" t="s">
        <v>2006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Info!B1:BJ5000""),2,FALSE),"""")"),"B081HCXRZQ")</f>
        <v>B081HCXRZQ</v>
      </c>
      <c r="B2" s="3" t="s">
        <v>1094</v>
      </c>
      <c r="C2" s="49"/>
      <c r="D2" s="49"/>
      <c r="E2" s="51"/>
      <c r="F2" s="49"/>
      <c r="G2" s="49"/>
      <c r="H2" s="54"/>
      <c r="I2" s="49"/>
      <c r="J2" s="49"/>
      <c r="K2" s="54"/>
      <c r="L2" s="54"/>
      <c r="M2" s="54"/>
      <c r="N2" s="49"/>
      <c r="O2" s="49"/>
      <c r="P2" s="51"/>
      <c r="Q2" s="49"/>
      <c r="R2" s="49"/>
      <c r="S2" s="61"/>
      <c r="T2" s="47"/>
      <c r="U2" s="63"/>
      <c r="V2" s="63"/>
      <c r="W2" s="47"/>
      <c r="X2" s="47"/>
      <c r="Y2" s="47"/>
      <c r="Z2" s="47"/>
      <c r="AA2" s="63"/>
      <c r="AB2" s="63"/>
      <c r="AC2" s="63"/>
      <c r="AD2" s="63"/>
      <c r="AE2" s="47"/>
      <c r="AF2" s="47"/>
      <c r="AG2" s="47"/>
    </row>
    <row r="3" spans="1:33" ht="167.25" customHeight="1">
      <c r="A3" s="55" t="s">
        <v>31</v>
      </c>
      <c r="B3" s="56"/>
      <c r="C3" s="4">
        <f>((AE32+AF32)/0.85)*-1</f>
        <v>9.2117679355294122</v>
      </c>
      <c r="D3" s="5">
        <f>SUM(D4:D99765)</f>
        <v>1688</v>
      </c>
      <c r="E3" s="5"/>
      <c r="F3" s="6">
        <f t="shared" ref="F3:G3" si="0">SUM(F4:F99765)</f>
        <v>32283.32</v>
      </c>
      <c r="G3" s="6">
        <f t="shared" si="0"/>
        <v>-0.16</v>
      </c>
      <c r="H3" s="7">
        <f t="shared" ref="H3:H32" si="1">G3/F3*-1</f>
        <v>4.9561197547216333E-6</v>
      </c>
      <c r="I3" s="8">
        <f t="shared" ref="I3:I32" si="2">J3/F3</f>
        <v>0.43759217292386388</v>
      </c>
      <c r="J3" s="6">
        <f>SUM(J4:J99765)</f>
        <v>14126.928147996434</v>
      </c>
      <c r="K3" s="6">
        <f t="shared" ref="K3:K32" si="3">J3/D3</f>
        <v>8.3690332630310635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Sheet!a1:g5000""),2,FALSE),"""")"),"10 - March
14 - April
12 - May
12 - June
15 - July
15 - Aug
15 - Sept
15 - Oct
16 - Nov
16 - Dec
11 - Jan
10 - Feb")</f>
        <v>10 - March
14 - April
12 - May
12 - June
15 - July
15 - Aug
15 - Sept
15 - Oct
16 - Nov
16 - Dec
11 - Jan
10 -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QTY-0")</f>
        <v>Del QTY-0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QTY-0")</f>
        <v>US QTY-0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0</v>
      </c>
      <c r="X3" s="7">
        <f>W3/D3</f>
        <v>0</v>
      </c>
      <c r="Y3" s="6"/>
      <c r="Z3" s="5"/>
      <c r="AA3" s="5"/>
      <c r="AB3" s="5"/>
      <c r="AC3" s="5"/>
      <c r="AD3" s="6">
        <f>SUM(AD4:AD99765)</f>
        <v>-106.77105706836616</v>
      </c>
      <c r="AE3" s="6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Info!B2:BZ3000""),37,FALSE)),"""")*-1"),-3.5800027452)</f>
        <v>-3.5800027451999998</v>
      </c>
      <c r="AG3" s="6">
        <f>SUM(AG4:AG99765)</f>
        <v>0</v>
      </c>
    </row>
    <row r="4" spans="1:33" ht="15.75" customHeight="1">
      <c r="A4" s="14" t="s">
        <v>181</v>
      </c>
      <c r="B4" s="14" t="s">
        <v>1095</v>
      </c>
      <c r="C4" s="15">
        <f t="shared" ref="C4:C32" si="4">IFERROR(F4/D4," - ")</f>
        <v>17.682307692307706</v>
      </c>
      <c r="D4" s="16">
        <v>78</v>
      </c>
      <c r="E4" s="16">
        <v>1</v>
      </c>
      <c r="F4" s="17">
        <v>1379.2200000000009</v>
      </c>
      <c r="G4" s="17">
        <v>0</v>
      </c>
      <c r="H4" s="18">
        <f t="shared" si="1"/>
        <v>0</v>
      </c>
      <c r="I4" s="18">
        <f t="shared" si="2"/>
        <v>0.41742397877060972</v>
      </c>
      <c r="J4" s="17">
        <f t="shared" ref="J4:J32" si="5">F4*0.85+G4+AF4*D4+D4*AE4+AG4+AD4</f>
        <v>575.71950000000072</v>
      </c>
      <c r="K4" s="17">
        <f t="shared" si="3"/>
        <v>7.3810192307692404</v>
      </c>
      <c r="L4" s="16">
        <v>197</v>
      </c>
      <c r="M4" s="19">
        <f t="shared" ref="M4:M32" si="6">IFERROR(D4/L4,"-")</f>
        <v>0.39593908629441626</v>
      </c>
      <c r="N4" s="16">
        <v>365</v>
      </c>
      <c r="O4" s="20">
        <f t="shared" ref="O4:P4" si="7">D4/7</f>
        <v>11.142857142857142</v>
      </c>
      <c r="P4" s="20">
        <f t="shared" si="7"/>
        <v>0.14285714285714285</v>
      </c>
      <c r="Q4" s="16">
        <f t="shared" ref="Q4:Q32" si="8">ROUNDDOWN(N4/(O4+P4),0)</f>
        <v>32</v>
      </c>
      <c r="R4" s="16"/>
      <c r="S4" s="21">
        <v>3.7996768982229399</v>
      </c>
      <c r="T4" s="14">
        <v>660</v>
      </c>
      <c r="U4" s="22" t="s">
        <v>34</v>
      </c>
      <c r="V4" s="23" t="s">
        <v>34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26" t="s">
        <v>35</v>
      </c>
      <c r="AB4" s="27">
        <f t="shared" ref="AB4:AB32" si="11">IF(OR(AA4="UsLargeStandardSize",AA4="UsSmallStandardSize"),-0.69,-0.48)</f>
        <v>-0.69</v>
      </c>
      <c r="AC4" s="28">
        <v>4.583333333333333E-2</v>
      </c>
      <c r="AD4" s="25">
        <f t="shared" ref="AD4:AD32" si="12">IFERROR(AB4*AC4*D4*2,0)</f>
        <v>-4.9334999999999987</v>
      </c>
      <c r="AE4" s="25">
        <v>-4.9000000000000004</v>
      </c>
      <c r="AF4" s="25">
        <v>-2.6856923076923076</v>
      </c>
      <c r="AG4" s="25">
        <v>0</v>
      </c>
    </row>
    <row r="5" spans="1:33" ht="15.75" customHeight="1">
      <c r="A5" s="14" t="s">
        <v>183</v>
      </c>
      <c r="B5" s="14" t="s">
        <v>1096</v>
      </c>
      <c r="C5" s="15">
        <f t="shared" si="4"/>
        <v>18.851304347826101</v>
      </c>
      <c r="D5" s="16">
        <v>69</v>
      </c>
      <c r="E5" s="16">
        <v>0</v>
      </c>
      <c r="F5" s="29">
        <v>1300.7400000000009</v>
      </c>
      <c r="G5" s="29">
        <v>-0.08</v>
      </c>
      <c r="H5" s="18">
        <f t="shared" si="1"/>
        <v>6.1503451881236786E-5</v>
      </c>
      <c r="I5" s="18">
        <f t="shared" si="2"/>
        <v>0.44418325238007988</v>
      </c>
      <c r="J5" s="17">
        <f t="shared" si="5"/>
        <v>577.7669237008655</v>
      </c>
      <c r="K5" s="17">
        <f t="shared" si="3"/>
        <v>8.3734336768241384</v>
      </c>
      <c r="L5" s="16">
        <v>234</v>
      </c>
      <c r="M5" s="19">
        <f t="shared" si="6"/>
        <v>0.29487179487179488</v>
      </c>
      <c r="N5" s="16">
        <v>296</v>
      </c>
      <c r="O5" s="20">
        <f t="shared" ref="O5:P5" si="13">D5/7</f>
        <v>9.8571428571428577</v>
      </c>
      <c r="P5" s="20">
        <f t="shared" si="13"/>
        <v>0</v>
      </c>
      <c r="Q5" s="16">
        <f t="shared" si="8"/>
        <v>30</v>
      </c>
      <c r="R5" s="16"/>
      <c r="S5" s="21">
        <v>3.6796116504854299</v>
      </c>
      <c r="T5" s="14">
        <v>660</v>
      </c>
      <c r="U5" s="22" t="s">
        <v>34</v>
      </c>
      <c r="V5" s="23" t="s">
        <v>34</v>
      </c>
      <c r="W5" s="14">
        <v>0</v>
      </c>
      <c r="X5" s="24">
        <f t="shared" si="9"/>
        <v>0</v>
      </c>
      <c r="Y5" s="25">
        <f t="shared" si="10"/>
        <v>0</v>
      </c>
      <c r="Z5" s="14">
        <v>0</v>
      </c>
      <c r="AA5" s="14" t="s">
        <v>35</v>
      </c>
      <c r="AB5" s="27">
        <f t="shared" si="11"/>
        <v>-0.69</v>
      </c>
      <c r="AC5" s="28">
        <v>4.588644264194669E-2</v>
      </c>
      <c r="AD5" s="25">
        <f t="shared" si="12"/>
        <v>-4.3693070683661634</v>
      </c>
      <c r="AE5" s="25">
        <v>-4.9000000000000004</v>
      </c>
      <c r="AF5" s="25">
        <v>-2.6856923076923076</v>
      </c>
      <c r="AG5" s="25">
        <v>0</v>
      </c>
    </row>
    <row r="6" spans="1:33" ht="15.75" customHeight="1">
      <c r="A6" s="14" t="s">
        <v>185</v>
      </c>
      <c r="B6" s="14" t="s">
        <v>1097</v>
      </c>
      <c r="C6" s="15">
        <f t="shared" si="4"/>
        <v>21.792564102564103</v>
      </c>
      <c r="D6" s="16">
        <v>78</v>
      </c>
      <c r="E6" s="16">
        <v>9</v>
      </c>
      <c r="F6" s="29">
        <v>1699.82</v>
      </c>
      <c r="G6" s="29">
        <v>0</v>
      </c>
      <c r="H6" s="18">
        <f t="shared" si="1"/>
        <v>0</v>
      </c>
      <c r="I6" s="18">
        <f t="shared" si="2"/>
        <v>0.49901136590933159</v>
      </c>
      <c r="J6" s="17">
        <f t="shared" si="5"/>
        <v>848.22950000000003</v>
      </c>
      <c r="K6" s="17">
        <f t="shared" si="3"/>
        <v>10.87473717948718</v>
      </c>
      <c r="L6" s="16">
        <v>233</v>
      </c>
      <c r="M6" s="19">
        <f t="shared" si="6"/>
        <v>0.33476394849785407</v>
      </c>
      <c r="N6" s="16">
        <v>206</v>
      </c>
      <c r="O6" s="20">
        <f t="shared" ref="O6:P6" si="14">D6/7</f>
        <v>11.142857142857142</v>
      </c>
      <c r="P6" s="20">
        <f t="shared" si="14"/>
        <v>1.2857142857142858</v>
      </c>
      <c r="Q6" s="16">
        <f t="shared" si="8"/>
        <v>16</v>
      </c>
      <c r="R6" s="16"/>
      <c r="S6" s="21">
        <v>3.0084580351333701</v>
      </c>
      <c r="T6" s="14">
        <v>1240</v>
      </c>
      <c r="U6" s="22">
        <v>260</v>
      </c>
      <c r="V6" s="23" t="s">
        <v>1098</v>
      </c>
      <c r="W6" s="14">
        <v>0</v>
      </c>
      <c r="X6" s="24">
        <f t="shared" si="9"/>
        <v>0</v>
      </c>
      <c r="Y6" s="25">
        <f t="shared" si="10"/>
        <v>0</v>
      </c>
      <c r="Z6" s="14">
        <v>0</v>
      </c>
      <c r="AA6" s="14" t="s">
        <v>35</v>
      </c>
      <c r="AB6" s="27">
        <f t="shared" si="11"/>
        <v>-0.69</v>
      </c>
      <c r="AC6" s="28">
        <v>4.583333333333333E-2</v>
      </c>
      <c r="AD6" s="25">
        <f t="shared" si="12"/>
        <v>-4.9334999999999987</v>
      </c>
      <c r="AE6" s="25">
        <v>-4.9000000000000004</v>
      </c>
      <c r="AF6" s="25">
        <v>-2.6856923076923076</v>
      </c>
      <c r="AG6" s="25">
        <v>0</v>
      </c>
    </row>
    <row r="7" spans="1:33" ht="15.75" customHeight="1">
      <c r="A7" s="14" t="s">
        <v>187</v>
      </c>
      <c r="B7" s="14" t="s">
        <v>1099</v>
      </c>
      <c r="C7" s="15">
        <f t="shared" si="4"/>
        <v>24.909019607843131</v>
      </c>
      <c r="D7" s="16">
        <v>51</v>
      </c>
      <c r="E7" s="16">
        <v>0</v>
      </c>
      <c r="F7" s="29">
        <v>1270.3599999999997</v>
      </c>
      <c r="G7" s="29">
        <v>0</v>
      </c>
      <c r="H7" s="18">
        <f t="shared" si="1"/>
        <v>0</v>
      </c>
      <c r="I7" s="18">
        <f t="shared" si="2"/>
        <v>0.54292479478863642</v>
      </c>
      <c r="J7" s="17">
        <f t="shared" si="5"/>
        <v>689.70994230769202</v>
      </c>
      <c r="K7" s="17">
        <f t="shared" si="3"/>
        <v>13.523724358974354</v>
      </c>
      <c r="L7" s="16">
        <v>213</v>
      </c>
      <c r="M7" s="19">
        <f t="shared" si="6"/>
        <v>0.23943661971830985</v>
      </c>
      <c r="N7" s="16">
        <v>229</v>
      </c>
      <c r="O7" s="20">
        <f t="shared" ref="O7:P7" si="15">D7/7</f>
        <v>7.2857142857142856</v>
      </c>
      <c r="P7" s="20">
        <f t="shared" si="15"/>
        <v>0</v>
      </c>
      <c r="Q7" s="16">
        <f t="shared" si="8"/>
        <v>31</v>
      </c>
      <c r="R7" s="16"/>
      <c r="S7" s="21">
        <v>2.93561103810775</v>
      </c>
      <c r="T7" s="14">
        <v>920</v>
      </c>
      <c r="U7" s="22">
        <v>260</v>
      </c>
      <c r="V7" s="23" t="s">
        <v>1100</v>
      </c>
      <c r="W7" s="14">
        <v>0</v>
      </c>
      <c r="X7" s="24">
        <f t="shared" si="9"/>
        <v>0</v>
      </c>
      <c r="Y7" s="25">
        <f t="shared" si="10"/>
        <v>0</v>
      </c>
      <c r="Z7" s="14">
        <v>0</v>
      </c>
      <c r="AA7" s="14" t="s">
        <v>35</v>
      </c>
      <c r="AB7" s="27">
        <f t="shared" si="11"/>
        <v>-0.69</v>
      </c>
      <c r="AC7" s="28">
        <v>4.583333333333333E-2</v>
      </c>
      <c r="AD7" s="25">
        <f t="shared" si="12"/>
        <v>-3.2257499999999992</v>
      </c>
      <c r="AE7" s="25">
        <v>-4.9000000000000004</v>
      </c>
      <c r="AF7" s="25">
        <v>-2.6856923076923076</v>
      </c>
      <c r="AG7" s="25">
        <v>0</v>
      </c>
    </row>
    <row r="8" spans="1:33" ht="15.75" customHeight="1">
      <c r="A8" s="14" t="s">
        <v>189</v>
      </c>
      <c r="B8" s="14" t="s">
        <v>1037</v>
      </c>
      <c r="C8" s="15">
        <f t="shared" si="4"/>
        <v>25.438181818181821</v>
      </c>
      <c r="D8" s="16">
        <v>66</v>
      </c>
      <c r="E8" s="16">
        <v>0</v>
      </c>
      <c r="F8" s="29">
        <v>1678.9200000000003</v>
      </c>
      <c r="G8" s="29">
        <v>0</v>
      </c>
      <c r="H8" s="18">
        <f t="shared" si="1"/>
        <v>0</v>
      </c>
      <c r="I8" s="18">
        <f t="shared" si="2"/>
        <v>0.54914319919948529</v>
      </c>
      <c r="J8" s="17">
        <f t="shared" si="5"/>
        <v>921.96750000000009</v>
      </c>
      <c r="K8" s="17">
        <f t="shared" si="3"/>
        <v>13.969204545454547</v>
      </c>
      <c r="L8" s="16">
        <v>206</v>
      </c>
      <c r="M8" s="19">
        <f t="shared" si="6"/>
        <v>0.32038834951456313</v>
      </c>
      <c r="N8" s="16">
        <v>143</v>
      </c>
      <c r="O8" s="20">
        <f t="shared" ref="O8:P8" si="16">D8/7</f>
        <v>9.4285714285714288</v>
      </c>
      <c r="P8" s="20">
        <f t="shared" si="16"/>
        <v>0</v>
      </c>
      <c r="Q8" s="16">
        <f t="shared" si="8"/>
        <v>15</v>
      </c>
      <c r="R8" s="16"/>
      <c r="S8" s="21">
        <v>3.7198312236286899</v>
      </c>
      <c r="T8" s="14">
        <v>920</v>
      </c>
      <c r="U8" s="22">
        <v>260</v>
      </c>
      <c r="V8" s="23" t="s">
        <v>1101</v>
      </c>
      <c r="W8" s="14">
        <v>0</v>
      </c>
      <c r="X8" s="24">
        <f t="shared" si="9"/>
        <v>0</v>
      </c>
      <c r="Y8" s="25">
        <f t="shared" si="10"/>
        <v>0</v>
      </c>
      <c r="Z8" s="14">
        <v>0</v>
      </c>
      <c r="AA8" s="14" t="s">
        <v>35</v>
      </c>
      <c r="AB8" s="27">
        <f t="shared" si="11"/>
        <v>-0.69</v>
      </c>
      <c r="AC8" s="28">
        <v>4.583333333333333E-2</v>
      </c>
      <c r="AD8" s="25">
        <f t="shared" si="12"/>
        <v>-4.1744999999999992</v>
      </c>
      <c r="AE8" s="25">
        <v>-4.9000000000000004</v>
      </c>
      <c r="AF8" s="25">
        <v>-2.69</v>
      </c>
      <c r="AG8" s="25">
        <v>0</v>
      </c>
    </row>
    <row r="9" spans="1:33" ht="15.75" customHeight="1">
      <c r="A9" s="14" t="s">
        <v>191</v>
      </c>
      <c r="B9" s="14" t="s">
        <v>1029</v>
      </c>
      <c r="C9" s="15">
        <f t="shared" si="4"/>
        <v>26.00681818181819</v>
      </c>
      <c r="D9" s="16">
        <v>44</v>
      </c>
      <c r="E9" s="16">
        <v>0</v>
      </c>
      <c r="F9" s="29">
        <v>1144.3000000000004</v>
      </c>
      <c r="G9" s="29">
        <v>0</v>
      </c>
      <c r="H9" s="18">
        <f t="shared" si="1"/>
        <v>0</v>
      </c>
      <c r="I9" s="18">
        <f t="shared" si="2"/>
        <v>0.55386390067155611</v>
      </c>
      <c r="J9" s="17">
        <f t="shared" si="5"/>
        <v>633.78646153846194</v>
      </c>
      <c r="K9" s="17">
        <f t="shared" si="3"/>
        <v>14.404237762237772</v>
      </c>
      <c r="L9" s="16">
        <v>236</v>
      </c>
      <c r="M9" s="19">
        <f t="shared" si="6"/>
        <v>0.1864406779661017</v>
      </c>
      <c r="N9" s="16">
        <v>99</v>
      </c>
      <c r="O9" s="20">
        <f t="shared" ref="O9:P9" si="17">D9/7</f>
        <v>6.2857142857142856</v>
      </c>
      <c r="P9" s="20">
        <f t="shared" si="17"/>
        <v>0</v>
      </c>
      <c r="Q9" s="16">
        <f t="shared" si="8"/>
        <v>15</v>
      </c>
      <c r="R9" s="16"/>
      <c r="S9" s="21">
        <v>3.9380692167577398</v>
      </c>
      <c r="T9" s="14">
        <v>920</v>
      </c>
      <c r="U9" s="22">
        <v>260</v>
      </c>
      <c r="V9" s="23" t="s">
        <v>1102</v>
      </c>
      <c r="W9" s="14">
        <v>0</v>
      </c>
      <c r="X9" s="24">
        <f t="shared" si="9"/>
        <v>0</v>
      </c>
      <c r="Y9" s="25">
        <f t="shared" si="10"/>
        <v>0</v>
      </c>
      <c r="Z9" s="14">
        <v>0</v>
      </c>
      <c r="AA9" s="14" t="s">
        <v>35</v>
      </c>
      <c r="AB9" s="27">
        <f t="shared" si="11"/>
        <v>-0.69</v>
      </c>
      <c r="AC9" s="28">
        <v>4.583333333333333E-2</v>
      </c>
      <c r="AD9" s="25">
        <f t="shared" si="12"/>
        <v>-2.7829999999999995</v>
      </c>
      <c r="AE9" s="25">
        <v>-4.9000000000000004</v>
      </c>
      <c r="AF9" s="25">
        <v>-2.7383076923076901</v>
      </c>
      <c r="AG9" s="25">
        <v>0</v>
      </c>
    </row>
    <row r="10" spans="1:33" ht="15.75" customHeight="1">
      <c r="A10" s="14" t="s">
        <v>192</v>
      </c>
      <c r="B10" s="14" t="s">
        <v>1103</v>
      </c>
      <c r="C10" s="15">
        <f t="shared" si="4"/>
        <v>24.751707317073176</v>
      </c>
      <c r="D10" s="16">
        <v>41</v>
      </c>
      <c r="E10" s="16">
        <v>0</v>
      </c>
      <c r="F10" s="29">
        <v>1014.8200000000003</v>
      </c>
      <c r="G10" s="29">
        <v>0</v>
      </c>
      <c r="H10" s="18">
        <f t="shared" si="1"/>
        <v>0</v>
      </c>
      <c r="I10" s="18">
        <f t="shared" si="2"/>
        <v>0.53884741591157514</v>
      </c>
      <c r="J10" s="17">
        <f t="shared" si="5"/>
        <v>546.83313461538489</v>
      </c>
      <c r="K10" s="17">
        <f t="shared" si="3"/>
        <v>13.33739352720451</v>
      </c>
      <c r="L10" s="16">
        <v>233</v>
      </c>
      <c r="M10" s="19">
        <f t="shared" si="6"/>
        <v>0.17596566523605151</v>
      </c>
      <c r="N10" s="16">
        <v>57</v>
      </c>
      <c r="O10" s="20">
        <f t="shared" ref="O10:P10" si="18">D10/7</f>
        <v>5.8571428571428568</v>
      </c>
      <c r="P10" s="20">
        <f t="shared" si="18"/>
        <v>0</v>
      </c>
      <c r="Q10" s="16">
        <f t="shared" si="8"/>
        <v>9</v>
      </c>
      <c r="R10" s="16"/>
      <c r="S10" s="21">
        <v>2.91891891891891</v>
      </c>
      <c r="T10" s="14">
        <v>660</v>
      </c>
      <c r="U10" s="22">
        <v>80</v>
      </c>
      <c r="V10" s="23" t="s">
        <v>1104</v>
      </c>
      <c r="W10" s="14">
        <v>0</v>
      </c>
      <c r="X10" s="24">
        <f t="shared" si="9"/>
        <v>0</v>
      </c>
      <c r="Y10" s="25">
        <f t="shared" si="10"/>
        <v>0</v>
      </c>
      <c r="Z10" s="14">
        <v>0</v>
      </c>
      <c r="AA10" s="14" t="s">
        <v>35</v>
      </c>
      <c r="AB10" s="27">
        <f t="shared" si="11"/>
        <v>-0.69</v>
      </c>
      <c r="AC10" s="28">
        <v>4.583333333333333E-2</v>
      </c>
      <c r="AD10" s="25">
        <f t="shared" si="12"/>
        <v>-2.5932499999999994</v>
      </c>
      <c r="AE10" s="25">
        <v>-4.9000000000000004</v>
      </c>
      <c r="AF10" s="25">
        <v>-2.7383076923076901</v>
      </c>
      <c r="AG10" s="25">
        <v>0</v>
      </c>
    </row>
    <row r="11" spans="1:33" ht="15.75" customHeight="1">
      <c r="A11" s="14" t="s">
        <v>193</v>
      </c>
      <c r="B11" s="14" t="s">
        <v>1105</v>
      </c>
      <c r="C11" s="15">
        <f t="shared" si="4"/>
        <v>27.160714285714288</v>
      </c>
      <c r="D11" s="16">
        <v>14</v>
      </c>
      <c r="E11" s="16">
        <v>0</v>
      </c>
      <c r="F11" s="29">
        <v>380.25000000000006</v>
      </c>
      <c r="G11" s="29">
        <v>0</v>
      </c>
      <c r="H11" s="18">
        <f t="shared" si="1"/>
        <v>0</v>
      </c>
      <c r="I11" s="18">
        <f t="shared" si="2"/>
        <v>0.56644495018459506</v>
      </c>
      <c r="J11" s="17">
        <f t="shared" si="5"/>
        <v>215.39069230769232</v>
      </c>
      <c r="K11" s="17">
        <f t="shared" si="3"/>
        <v>15.385049450549451</v>
      </c>
      <c r="L11" s="16">
        <v>139</v>
      </c>
      <c r="M11" s="19">
        <f t="shared" si="6"/>
        <v>0.10071942446043165</v>
      </c>
      <c r="N11" s="16">
        <v>38</v>
      </c>
      <c r="O11" s="20">
        <f t="shared" ref="O11:P11" si="19">D11/7</f>
        <v>2</v>
      </c>
      <c r="P11" s="20">
        <f t="shared" si="19"/>
        <v>0</v>
      </c>
      <c r="Q11" s="16">
        <f t="shared" si="8"/>
        <v>19</v>
      </c>
      <c r="R11" s="16"/>
      <c r="S11" s="21">
        <v>3.1886001676445899</v>
      </c>
      <c r="T11" s="14">
        <v>1860</v>
      </c>
      <c r="U11" s="22">
        <v>80</v>
      </c>
      <c r="V11" s="23" t="s">
        <v>1106</v>
      </c>
      <c r="W11" s="14">
        <v>0</v>
      </c>
      <c r="X11" s="24">
        <f t="shared" si="9"/>
        <v>0</v>
      </c>
      <c r="Y11" s="25">
        <f t="shared" si="10"/>
        <v>0</v>
      </c>
      <c r="Z11" s="14">
        <v>0</v>
      </c>
      <c r="AA11" s="14" t="s">
        <v>35</v>
      </c>
      <c r="AB11" s="27">
        <f t="shared" si="11"/>
        <v>-0.69</v>
      </c>
      <c r="AC11" s="28">
        <v>4.583333333333333E-2</v>
      </c>
      <c r="AD11" s="25">
        <f t="shared" si="12"/>
        <v>-0.88549999999999984</v>
      </c>
      <c r="AE11" s="25">
        <v>-4.9000000000000004</v>
      </c>
      <c r="AF11" s="25">
        <v>-2.7383076923076901</v>
      </c>
      <c r="AG11" s="25">
        <v>0</v>
      </c>
    </row>
    <row r="12" spans="1:33" ht="15.75" customHeight="1">
      <c r="A12" s="14" t="s">
        <v>195</v>
      </c>
      <c r="B12" s="14" t="s">
        <v>45</v>
      </c>
      <c r="C12" s="15">
        <f t="shared" si="4"/>
        <v>26.519117647058817</v>
      </c>
      <c r="D12" s="16">
        <v>34</v>
      </c>
      <c r="E12" s="16">
        <v>0</v>
      </c>
      <c r="F12" s="29">
        <v>901.64999999999975</v>
      </c>
      <c r="G12" s="29">
        <v>0</v>
      </c>
      <c r="H12" s="18">
        <f t="shared" si="1"/>
        <v>0</v>
      </c>
      <c r="I12" s="18">
        <f t="shared" si="2"/>
        <v>0.55958469302006142</v>
      </c>
      <c r="J12" s="17">
        <f t="shared" si="5"/>
        <v>504.54953846153825</v>
      </c>
      <c r="K12" s="17">
        <f t="shared" si="3"/>
        <v>14.839692307692301</v>
      </c>
      <c r="L12" s="16">
        <v>135</v>
      </c>
      <c r="M12" s="19">
        <f t="shared" si="6"/>
        <v>0.25185185185185183</v>
      </c>
      <c r="N12" s="16">
        <v>19</v>
      </c>
      <c r="O12" s="20">
        <f t="shared" ref="O12:P12" si="20">D12/7</f>
        <v>4.8571428571428568</v>
      </c>
      <c r="P12" s="20">
        <f t="shared" si="20"/>
        <v>0</v>
      </c>
      <c r="Q12" s="16">
        <f t="shared" si="8"/>
        <v>3</v>
      </c>
      <c r="R12" s="16"/>
      <c r="S12" s="21">
        <v>3.4029268292682899</v>
      </c>
      <c r="T12" s="14">
        <v>1780</v>
      </c>
      <c r="U12" s="22">
        <v>320</v>
      </c>
      <c r="V12" s="23" t="s">
        <v>1107</v>
      </c>
      <c r="W12" s="14">
        <v>0</v>
      </c>
      <c r="X12" s="24">
        <f t="shared" si="9"/>
        <v>0</v>
      </c>
      <c r="Y12" s="25">
        <f t="shared" si="10"/>
        <v>0</v>
      </c>
      <c r="Z12" s="14">
        <v>0</v>
      </c>
      <c r="AA12" s="14" t="s">
        <v>35</v>
      </c>
      <c r="AB12" s="27">
        <f t="shared" si="11"/>
        <v>-0.69</v>
      </c>
      <c r="AC12" s="28">
        <v>4.583333333333333E-2</v>
      </c>
      <c r="AD12" s="25">
        <f t="shared" si="12"/>
        <v>-2.1504999999999996</v>
      </c>
      <c r="AE12" s="25">
        <v>-4.9000000000000004</v>
      </c>
      <c r="AF12" s="25">
        <v>-2.7383076923076901</v>
      </c>
      <c r="AG12" s="25">
        <v>0</v>
      </c>
    </row>
    <row r="13" spans="1:33" ht="15.75" customHeight="1">
      <c r="A13" s="14" t="s">
        <v>197</v>
      </c>
      <c r="B13" s="14" t="s">
        <v>1108</v>
      </c>
      <c r="C13" s="15">
        <f t="shared" si="4"/>
        <v>24.950000000000003</v>
      </c>
      <c r="D13" s="16">
        <v>24</v>
      </c>
      <c r="E13" s="16">
        <v>1</v>
      </c>
      <c r="F13" s="17">
        <v>598.80000000000007</v>
      </c>
      <c r="G13" s="29">
        <v>0</v>
      </c>
      <c r="H13" s="18">
        <f t="shared" si="1"/>
        <v>0</v>
      </c>
      <c r="I13" s="18">
        <f t="shared" si="2"/>
        <v>0.54021042084168336</v>
      </c>
      <c r="J13" s="17">
        <f t="shared" si="5"/>
        <v>323.47800000000001</v>
      </c>
      <c r="K13" s="17">
        <f t="shared" si="3"/>
        <v>13.478250000000001</v>
      </c>
      <c r="L13" s="16">
        <v>114</v>
      </c>
      <c r="M13" s="19">
        <f t="shared" si="6"/>
        <v>0.21052631578947367</v>
      </c>
      <c r="N13" s="16">
        <v>64</v>
      </c>
      <c r="O13" s="20">
        <f t="shared" ref="O13:P13" si="21">D13/7</f>
        <v>3.4285714285714284</v>
      </c>
      <c r="P13" s="20">
        <f t="shared" si="21"/>
        <v>0.14285714285714285</v>
      </c>
      <c r="Q13" s="16">
        <f t="shared" si="8"/>
        <v>17</v>
      </c>
      <c r="R13" s="16"/>
      <c r="S13" s="21">
        <v>3.4344685242518</v>
      </c>
      <c r="T13" s="14">
        <v>1460</v>
      </c>
      <c r="U13" s="22">
        <v>260</v>
      </c>
      <c r="V13" s="23" t="s">
        <v>1109</v>
      </c>
      <c r="W13" s="14">
        <v>0</v>
      </c>
      <c r="X13" s="24">
        <f t="shared" si="9"/>
        <v>0</v>
      </c>
      <c r="Y13" s="25">
        <f t="shared" si="10"/>
        <v>0</v>
      </c>
      <c r="Z13" s="14">
        <v>0</v>
      </c>
      <c r="AA13" s="14" t="s">
        <v>35</v>
      </c>
      <c r="AB13" s="27">
        <f t="shared" si="11"/>
        <v>-0.69</v>
      </c>
      <c r="AC13" s="28">
        <v>4.583333333333333E-2</v>
      </c>
      <c r="AD13" s="25">
        <f t="shared" si="12"/>
        <v>-1.5179999999999998</v>
      </c>
      <c r="AE13" s="25">
        <v>-4.9000000000000004</v>
      </c>
      <c r="AF13" s="25">
        <v>-2.766</v>
      </c>
      <c r="AG13" s="25">
        <v>0</v>
      </c>
    </row>
    <row r="14" spans="1:33" ht="15.75" customHeight="1">
      <c r="A14" s="14" t="s">
        <v>32</v>
      </c>
      <c r="B14" s="14" t="s">
        <v>45</v>
      </c>
      <c r="C14" s="15">
        <f t="shared" si="4"/>
        <v>20.040625000000009</v>
      </c>
      <c r="D14" s="16">
        <v>48</v>
      </c>
      <c r="E14" s="16">
        <v>1</v>
      </c>
      <c r="F14" s="17">
        <v>961.95000000000039</v>
      </c>
      <c r="G14" s="29">
        <v>0</v>
      </c>
      <c r="H14" s="18">
        <f t="shared" si="1"/>
        <v>0</v>
      </c>
      <c r="I14" s="18">
        <f t="shared" si="2"/>
        <v>0.46432091065024167</v>
      </c>
      <c r="J14" s="17">
        <f t="shared" si="5"/>
        <v>446.65350000000018</v>
      </c>
      <c r="K14" s="17">
        <f t="shared" si="3"/>
        <v>9.3052812500000037</v>
      </c>
      <c r="L14" s="16">
        <v>163</v>
      </c>
      <c r="M14" s="19">
        <f t="shared" si="6"/>
        <v>0.29447852760736198</v>
      </c>
      <c r="N14" s="16">
        <v>12</v>
      </c>
      <c r="O14" s="20">
        <f t="shared" ref="O14:P14" si="22">D14/7</f>
        <v>6.8571428571428568</v>
      </c>
      <c r="P14" s="20">
        <f t="shared" si="22"/>
        <v>0.14285714285714285</v>
      </c>
      <c r="Q14" s="16">
        <f t="shared" si="8"/>
        <v>1</v>
      </c>
      <c r="R14" s="16"/>
      <c r="S14" s="21">
        <v>2.5874587458745801</v>
      </c>
      <c r="T14" s="14">
        <v>1460</v>
      </c>
      <c r="U14" s="22">
        <v>260</v>
      </c>
      <c r="V14" s="23" t="s">
        <v>1109</v>
      </c>
      <c r="W14" s="14">
        <v>0</v>
      </c>
      <c r="X14" s="24">
        <f t="shared" si="9"/>
        <v>0</v>
      </c>
      <c r="Y14" s="25">
        <f t="shared" si="10"/>
        <v>0</v>
      </c>
      <c r="Z14" s="14">
        <v>0</v>
      </c>
      <c r="AA14" s="14" t="s">
        <v>35</v>
      </c>
      <c r="AB14" s="27">
        <f t="shared" si="11"/>
        <v>-0.69</v>
      </c>
      <c r="AC14" s="28">
        <v>4.583333333333333E-2</v>
      </c>
      <c r="AD14" s="25">
        <f t="shared" si="12"/>
        <v>-3.0359999999999996</v>
      </c>
      <c r="AE14" s="25">
        <v>-4.9000000000000004</v>
      </c>
      <c r="AF14" s="25">
        <v>-2.766</v>
      </c>
      <c r="AG14" s="25">
        <v>0</v>
      </c>
    </row>
    <row r="15" spans="1:33" ht="15.75" customHeight="1">
      <c r="A15" s="14" t="s">
        <v>36</v>
      </c>
      <c r="B15" s="14" t="s">
        <v>68</v>
      </c>
      <c r="C15" s="15">
        <f t="shared" si="4"/>
        <v>15.705294117647066</v>
      </c>
      <c r="D15" s="16">
        <v>68</v>
      </c>
      <c r="E15" s="16">
        <v>0</v>
      </c>
      <c r="F15" s="17">
        <v>1067.9600000000005</v>
      </c>
      <c r="G15" s="29">
        <v>0</v>
      </c>
      <c r="H15" s="18">
        <f t="shared" si="1"/>
        <v>0</v>
      </c>
      <c r="I15" s="18">
        <f t="shared" si="2"/>
        <v>0.34193883666054931</v>
      </c>
      <c r="J15" s="17">
        <f t="shared" si="5"/>
        <v>365.17700000000042</v>
      </c>
      <c r="K15" s="17">
        <f t="shared" si="3"/>
        <v>5.3702500000000057</v>
      </c>
      <c r="L15" s="16">
        <v>162</v>
      </c>
      <c r="M15" s="19">
        <f t="shared" si="6"/>
        <v>0.41975308641975306</v>
      </c>
      <c r="N15" s="16">
        <v>262</v>
      </c>
      <c r="O15" s="20">
        <f t="shared" ref="O15:P15" si="23">D15/7</f>
        <v>9.7142857142857135</v>
      </c>
      <c r="P15" s="20">
        <f t="shared" si="23"/>
        <v>0</v>
      </c>
      <c r="Q15" s="16">
        <f t="shared" si="8"/>
        <v>26</v>
      </c>
      <c r="R15" s="16"/>
      <c r="S15" s="21">
        <v>2.4726661059713999</v>
      </c>
      <c r="T15" s="14">
        <v>1460</v>
      </c>
      <c r="U15" s="22">
        <v>260</v>
      </c>
      <c r="V15" s="23" t="s">
        <v>1109</v>
      </c>
      <c r="W15" s="14">
        <v>0</v>
      </c>
      <c r="X15" s="24">
        <f t="shared" si="9"/>
        <v>0</v>
      </c>
      <c r="Y15" s="25">
        <f t="shared" si="10"/>
        <v>0</v>
      </c>
      <c r="Z15" s="14">
        <v>0</v>
      </c>
      <c r="AA15" s="14" t="s">
        <v>35</v>
      </c>
      <c r="AB15" s="27">
        <f t="shared" si="11"/>
        <v>-0.69</v>
      </c>
      <c r="AC15" s="28">
        <v>4.583333333333333E-2</v>
      </c>
      <c r="AD15" s="25">
        <f t="shared" si="12"/>
        <v>-4.3009999999999993</v>
      </c>
      <c r="AE15" s="25">
        <v>-4.9000000000000004</v>
      </c>
      <c r="AF15" s="25">
        <v>-3.016</v>
      </c>
      <c r="AG15" s="25">
        <v>0</v>
      </c>
    </row>
    <row r="16" spans="1:33" ht="15.75" customHeight="1">
      <c r="A16" s="14" t="s">
        <v>38</v>
      </c>
      <c r="B16" s="14" t="s">
        <v>1110</v>
      </c>
      <c r="C16" s="15">
        <f t="shared" si="4"/>
        <v>15.584901960784325</v>
      </c>
      <c r="D16" s="16">
        <v>102</v>
      </c>
      <c r="E16" s="16">
        <v>0</v>
      </c>
      <c r="F16" s="17">
        <v>1589.6600000000012</v>
      </c>
      <c r="G16" s="29">
        <v>0</v>
      </c>
      <c r="H16" s="18">
        <f t="shared" si="1"/>
        <v>0</v>
      </c>
      <c r="I16" s="18">
        <f t="shared" si="2"/>
        <v>0.33801410364480483</v>
      </c>
      <c r="J16" s="17">
        <f t="shared" si="5"/>
        <v>537.3275000000009</v>
      </c>
      <c r="K16" s="17">
        <f t="shared" si="3"/>
        <v>5.2679166666666752</v>
      </c>
      <c r="L16" s="16">
        <v>184</v>
      </c>
      <c r="M16" s="19">
        <f t="shared" si="6"/>
        <v>0.55434782608695654</v>
      </c>
      <c r="N16" s="16">
        <v>177</v>
      </c>
      <c r="O16" s="20">
        <f t="shared" ref="O16:P16" si="24">D16/7</f>
        <v>14.571428571428571</v>
      </c>
      <c r="P16" s="20">
        <f t="shared" si="24"/>
        <v>0</v>
      </c>
      <c r="Q16" s="16">
        <f t="shared" si="8"/>
        <v>12</v>
      </c>
      <c r="R16" s="16"/>
      <c r="S16" s="21">
        <v>3.1063372717508</v>
      </c>
      <c r="T16" s="14">
        <v>1460</v>
      </c>
      <c r="U16" s="22">
        <v>260</v>
      </c>
      <c r="V16" s="23" t="s">
        <v>1111</v>
      </c>
      <c r="W16" s="14">
        <v>0</v>
      </c>
      <c r="X16" s="24">
        <f t="shared" si="9"/>
        <v>0</v>
      </c>
      <c r="Y16" s="25">
        <f t="shared" si="10"/>
        <v>0</v>
      </c>
      <c r="Z16" s="14">
        <v>0</v>
      </c>
      <c r="AA16" s="14" t="s">
        <v>35</v>
      </c>
      <c r="AB16" s="27">
        <f t="shared" si="11"/>
        <v>-0.69</v>
      </c>
      <c r="AC16" s="28">
        <v>4.583333333333333E-2</v>
      </c>
      <c r="AD16" s="25">
        <f t="shared" si="12"/>
        <v>-6.4514999999999985</v>
      </c>
      <c r="AE16" s="25">
        <v>-4.9000000000000004</v>
      </c>
      <c r="AF16" s="25">
        <v>-3.016</v>
      </c>
      <c r="AG16" s="25">
        <v>0</v>
      </c>
    </row>
    <row r="17" spans="1:33" ht="15.75" customHeight="1">
      <c r="A17" s="14" t="s">
        <v>40</v>
      </c>
      <c r="B17" s="14" t="s">
        <v>1112</v>
      </c>
      <c r="C17" s="15">
        <f t="shared" si="4"/>
        <v>16.303854166666664</v>
      </c>
      <c r="D17" s="16">
        <v>96</v>
      </c>
      <c r="E17" s="16">
        <v>0</v>
      </c>
      <c r="F17" s="17">
        <v>1565.1699999999996</v>
      </c>
      <c r="G17" s="29">
        <v>0</v>
      </c>
      <c r="H17" s="18">
        <f t="shared" si="1"/>
        <v>0</v>
      </c>
      <c r="I17" s="18">
        <f t="shared" si="2"/>
        <v>0.36059118178855948</v>
      </c>
      <c r="J17" s="17">
        <f t="shared" si="5"/>
        <v>564.3864999999995</v>
      </c>
      <c r="K17" s="17">
        <f t="shared" si="3"/>
        <v>5.8790260416666618</v>
      </c>
      <c r="L17" s="16">
        <v>146</v>
      </c>
      <c r="M17" s="19">
        <f t="shared" si="6"/>
        <v>0.65753424657534243</v>
      </c>
      <c r="N17" s="16">
        <v>81</v>
      </c>
      <c r="O17" s="20">
        <f t="shared" ref="O17:P17" si="25">D17/7</f>
        <v>13.714285714285714</v>
      </c>
      <c r="P17" s="20">
        <f t="shared" si="25"/>
        <v>0</v>
      </c>
      <c r="Q17" s="16">
        <f t="shared" si="8"/>
        <v>5</v>
      </c>
      <c r="R17" s="16"/>
      <c r="S17" s="21">
        <v>3.8416886543535602</v>
      </c>
      <c r="T17" s="14">
        <v>1200</v>
      </c>
      <c r="U17" s="22" t="s">
        <v>34</v>
      </c>
      <c r="V17" s="23" t="s">
        <v>34</v>
      </c>
      <c r="W17" s="14">
        <v>0</v>
      </c>
      <c r="X17" s="24">
        <f t="shared" si="9"/>
        <v>0</v>
      </c>
      <c r="Y17" s="25">
        <f t="shared" si="10"/>
        <v>0</v>
      </c>
      <c r="Z17" s="14">
        <v>0</v>
      </c>
      <c r="AA17" s="14" t="s">
        <v>35</v>
      </c>
      <c r="AB17" s="27">
        <f t="shared" si="11"/>
        <v>-0.69</v>
      </c>
      <c r="AC17" s="28">
        <v>4.583333333333333E-2</v>
      </c>
      <c r="AD17" s="25">
        <f t="shared" si="12"/>
        <v>-6.0719999999999992</v>
      </c>
      <c r="AE17" s="25">
        <v>-4.9000000000000004</v>
      </c>
      <c r="AF17" s="25">
        <v>-3.016</v>
      </c>
      <c r="AG17" s="25">
        <v>0</v>
      </c>
    </row>
    <row r="18" spans="1:33" ht="15.75" customHeight="1">
      <c r="A18" s="14" t="s">
        <v>42</v>
      </c>
      <c r="B18" s="14" t="s">
        <v>852</v>
      </c>
      <c r="C18" s="15">
        <f t="shared" si="4"/>
        <v>17.794722222222219</v>
      </c>
      <c r="D18" s="16">
        <v>72</v>
      </c>
      <c r="E18" s="16">
        <v>2</v>
      </c>
      <c r="F18" s="17">
        <v>1281.2199999999998</v>
      </c>
      <c r="G18" s="29">
        <v>0</v>
      </c>
      <c r="H18" s="18">
        <f t="shared" si="1"/>
        <v>0</v>
      </c>
      <c r="I18" s="18">
        <f t="shared" si="2"/>
        <v>0.40159457392173076</v>
      </c>
      <c r="J18" s="17">
        <f t="shared" si="5"/>
        <v>514.53099999999984</v>
      </c>
      <c r="K18" s="17">
        <f t="shared" si="3"/>
        <v>7.1462638888888863</v>
      </c>
      <c r="L18" s="16">
        <v>148</v>
      </c>
      <c r="M18" s="19">
        <f t="shared" si="6"/>
        <v>0.48648648648648651</v>
      </c>
      <c r="N18" s="16">
        <v>267</v>
      </c>
      <c r="O18" s="20">
        <f t="shared" ref="O18:P18" si="26">D18/7</f>
        <v>10.285714285714286</v>
      </c>
      <c r="P18" s="20">
        <f t="shared" si="26"/>
        <v>0.2857142857142857</v>
      </c>
      <c r="Q18" s="16">
        <f t="shared" si="8"/>
        <v>25</v>
      </c>
      <c r="R18" s="16"/>
      <c r="S18" s="21">
        <v>3.9096945551128801</v>
      </c>
      <c r="T18" s="14">
        <v>1200</v>
      </c>
      <c r="U18" s="22">
        <v>0</v>
      </c>
      <c r="V18" s="23" t="s">
        <v>1113</v>
      </c>
      <c r="W18" s="14">
        <v>0</v>
      </c>
      <c r="X18" s="24">
        <f t="shared" si="9"/>
        <v>0</v>
      </c>
      <c r="Y18" s="25">
        <f t="shared" si="10"/>
        <v>0</v>
      </c>
      <c r="Z18" s="14">
        <v>0</v>
      </c>
      <c r="AA18" s="14" t="s">
        <v>35</v>
      </c>
      <c r="AB18" s="27">
        <f t="shared" si="11"/>
        <v>-0.69</v>
      </c>
      <c r="AC18" s="28">
        <v>4.583333333333333E-2</v>
      </c>
      <c r="AD18" s="25">
        <f t="shared" si="12"/>
        <v>-4.5539999999999994</v>
      </c>
      <c r="AE18" s="25">
        <v>-4.9000000000000004</v>
      </c>
      <c r="AF18" s="25">
        <v>-3.016</v>
      </c>
      <c r="AG18" s="25">
        <v>0</v>
      </c>
    </row>
    <row r="19" spans="1:33" ht="15.75" customHeight="1">
      <c r="A19" s="14" t="s">
        <v>44</v>
      </c>
      <c r="B19" s="14" t="s">
        <v>1096</v>
      </c>
      <c r="C19" s="15">
        <f t="shared" si="4"/>
        <v>19.692968749999991</v>
      </c>
      <c r="D19" s="16">
        <v>64</v>
      </c>
      <c r="E19" s="16">
        <v>2</v>
      </c>
      <c r="F19" s="17">
        <v>1260.3499999999995</v>
      </c>
      <c r="G19" s="29">
        <v>0</v>
      </c>
      <c r="H19" s="18">
        <f t="shared" si="1"/>
        <v>0</v>
      </c>
      <c r="I19" s="18">
        <f t="shared" si="2"/>
        <v>0.43770817630023379</v>
      </c>
      <c r="J19" s="17">
        <f t="shared" si="5"/>
        <v>551.66549999999938</v>
      </c>
      <c r="K19" s="17">
        <f t="shared" si="3"/>
        <v>8.6197734374999904</v>
      </c>
      <c r="L19" s="16">
        <v>154</v>
      </c>
      <c r="M19" s="19">
        <f t="shared" si="6"/>
        <v>0.41558441558441561</v>
      </c>
      <c r="N19" s="16">
        <v>204</v>
      </c>
      <c r="O19" s="20">
        <f t="shared" ref="O19:P19" si="27">D19/7</f>
        <v>9.1428571428571423</v>
      </c>
      <c r="P19" s="20">
        <f t="shared" si="27"/>
        <v>0.2857142857142857</v>
      </c>
      <c r="Q19" s="16">
        <f t="shared" si="8"/>
        <v>21</v>
      </c>
      <c r="R19" s="16"/>
      <c r="S19" s="21">
        <v>3.1527313266443699</v>
      </c>
      <c r="T19" s="14">
        <v>1200</v>
      </c>
      <c r="U19" s="22">
        <v>800</v>
      </c>
      <c r="V19" s="23" t="s">
        <v>1113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14" t="s">
        <v>35</v>
      </c>
      <c r="AB19" s="27">
        <f t="shared" si="11"/>
        <v>-0.69</v>
      </c>
      <c r="AC19" s="28">
        <v>4.583333333333333E-2</v>
      </c>
      <c r="AD19" s="25">
        <f t="shared" si="12"/>
        <v>-4.0479999999999992</v>
      </c>
      <c r="AE19" s="25">
        <v>-4.9000000000000004</v>
      </c>
      <c r="AF19" s="25">
        <v>-3.1560000000000001</v>
      </c>
      <c r="AG19" s="25">
        <v>0</v>
      </c>
    </row>
    <row r="20" spans="1:33" ht="15.75" customHeight="1">
      <c r="A20" s="14" t="s">
        <v>46</v>
      </c>
      <c r="B20" s="14" t="s">
        <v>1114</v>
      </c>
      <c r="C20" s="15">
        <f t="shared" si="4"/>
        <v>20.768444444444434</v>
      </c>
      <c r="D20" s="16">
        <v>45</v>
      </c>
      <c r="E20" s="16">
        <v>2</v>
      </c>
      <c r="F20" s="17">
        <v>934.57999999999959</v>
      </c>
      <c r="G20" s="29">
        <v>0</v>
      </c>
      <c r="H20" s="18">
        <f t="shared" si="1"/>
        <v>0</v>
      </c>
      <c r="I20" s="18">
        <f t="shared" si="2"/>
        <v>0.45905834706499155</v>
      </c>
      <c r="J20" s="17">
        <f t="shared" si="5"/>
        <v>429.02674999999959</v>
      </c>
      <c r="K20" s="17">
        <f t="shared" si="3"/>
        <v>9.5339277777777696</v>
      </c>
      <c r="L20" s="16">
        <v>139</v>
      </c>
      <c r="M20" s="19">
        <f t="shared" si="6"/>
        <v>0.32374100719424459</v>
      </c>
      <c r="N20" s="16">
        <v>151</v>
      </c>
      <c r="O20" s="20">
        <f t="shared" ref="O20:P20" si="28">D20/7</f>
        <v>6.4285714285714288</v>
      </c>
      <c r="P20" s="20">
        <f t="shared" si="28"/>
        <v>0.2857142857142857</v>
      </c>
      <c r="Q20" s="16">
        <f t="shared" si="8"/>
        <v>22</v>
      </c>
      <c r="R20" s="16"/>
      <c r="S20" s="21">
        <v>4.12</v>
      </c>
      <c r="T20" s="14">
        <v>800</v>
      </c>
      <c r="U20" s="22">
        <v>200</v>
      </c>
      <c r="V20" s="23" t="s">
        <v>1115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14" t="s">
        <v>35</v>
      </c>
      <c r="AB20" s="27">
        <f t="shared" si="11"/>
        <v>-0.69</v>
      </c>
      <c r="AC20" s="28">
        <v>4.583333333333333E-2</v>
      </c>
      <c r="AD20" s="25">
        <f t="shared" si="12"/>
        <v>-2.8462499999999995</v>
      </c>
      <c r="AE20" s="25">
        <v>-4.9000000000000004</v>
      </c>
      <c r="AF20" s="25">
        <v>-3.1560000000000001</v>
      </c>
      <c r="AG20" s="25">
        <v>0</v>
      </c>
    </row>
    <row r="21" spans="1:33" ht="15.75" customHeight="1">
      <c r="A21" s="14" t="s">
        <v>47</v>
      </c>
      <c r="B21" s="14" t="s">
        <v>1116</v>
      </c>
      <c r="C21" s="15">
        <f t="shared" si="4"/>
        <v>22.904999999999998</v>
      </c>
      <c r="D21" s="16">
        <v>54</v>
      </c>
      <c r="E21" s="16">
        <v>0</v>
      </c>
      <c r="F21" s="17">
        <v>1236.8699999999999</v>
      </c>
      <c r="G21" s="29">
        <v>0</v>
      </c>
      <c r="H21" s="18">
        <f t="shared" si="1"/>
        <v>0</v>
      </c>
      <c r="I21" s="18">
        <f t="shared" si="2"/>
        <v>0.49552499454267618</v>
      </c>
      <c r="J21" s="17">
        <f t="shared" si="5"/>
        <v>612.89999999999986</v>
      </c>
      <c r="K21" s="17">
        <f t="shared" si="3"/>
        <v>11.349999999999998</v>
      </c>
      <c r="L21" s="16">
        <v>55</v>
      </c>
      <c r="M21" s="19">
        <f t="shared" si="6"/>
        <v>0.98181818181818181</v>
      </c>
      <c r="N21" s="16">
        <v>103</v>
      </c>
      <c r="O21" s="20">
        <f t="shared" ref="O21:P21" si="29">D21/7</f>
        <v>7.7142857142857144</v>
      </c>
      <c r="P21" s="20">
        <f t="shared" si="29"/>
        <v>0</v>
      </c>
      <c r="Q21" s="16">
        <f t="shared" si="8"/>
        <v>13</v>
      </c>
      <c r="R21" s="16"/>
      <c r="S21" s="21">
        <v>5.5905511811023603</v>
      </c>
      <c r="T21" s="14">
        <v>1200</v>
      </c>
      <c r="U21" s="22">
        <v>200</v>
      </c>
      <c r="V21" s="23" t="s">
        <v>1117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14" t="s">
        <v>35</v>
      </c>
      <c r="AB21" s="27">
        <f t="shared" si="11"/>
        <v>-0.69</v>
      </c>
      <c r="AC21" s="28">
        <v>4.583333333333333E-2</v>
      </c>
      <c r="AD21" s="25">
        <f t="shared" si="12"/>
        <v>-3.4154999999999993</v>
      </c>
      <c r="AE21" s="25">
        <v>-4.9000000000000004</v>
      </c>
      <c r="AF21" s="25">
        <v>-3.1560000000000001</v>
      </c>
      <c r="AG21" s="25">
        <v>0</v>
      </c>
    </row>
    <row r="22" spans="1:33" ht="15.75" customHeight="1">
      <c r="A22" s="14" t="s">
        <v>48</v>
      </c>
      <c r="B22" s="14" t="s">
        <v>911</v>
      </c>
      <c r="C22" s="15">
        <f t="shared" si="4"/>
        <v>25.44947368421052</v>
      </c>
      <c r="D22" s="16">
        <v>19</v>
      </c>
      <c r="E22" s="16">
        <v>0</v>
      </c>
      <c r="F22" s="29">
        <v>483.53999999999991</v>
      </c>
      <c r="G22" s="29">
        <v>0</v>
      </c>
      <c r="H22" s="18">
        <f t="shared" si="1"/>
        <v>0</v>
      </c>
      <c r="I22" s="18">
        <f t="shared" si="2"/>
        <v>0.53096589734044741</v>
      </c>
      <c r="J22" s="17">
        <f t="shared" si="5"/>
        <v>256.74324999999988</v>
      </c>
      <c r="K22" s="17">
        <f t="shared" si="3"/>
        <v>13.512802631578941</v>
      </c>
      <c r="L22" s="16">
        <v>77</v>
      </c>
      <c r="M22" s="19">
        <f t="shared" si="6"/>
        <v>0.24675324675324675</v>
      </c>
      <c r="N22" s="16">
        <v>80</v>
      </c>
      <c r="O22" s="20">
        <f t="shared" ref="O22:P22" si="30">D22/7</f>
        <v>2.7142857142857144</v>
      </c>
      <c r="P22" s="20">
        <f t="shared" si="30"/>
        <v>0</v>
      </c>
      <c r="Q22" s="16">
        <f t="shared" si="8"/>
        <v>29</v>
      </c>
      <c r="R22" s="16"/>
      <c r="S22" s="21">
        <v>4.74482758620689</v>
      </c>
      <c r="T22" s="14">
        <v>1200</v>
      </c>
      <c r="U22" s="22">
        <v>200</v>
      </c>
      <c r="V22" s="23" t="s">
        <v>1118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35</v>
      </c>
      <c r="AB22" s="27">
        <f t="shared" si="11"/>
        <v>-0.69</v>
      </c>
      <c r="AC22" s="28">
        <v>4.583333333333333E-2</v>
      </c>
      <c r="AD22" s="25">
        <f t="shared" si="12"/>
        <v>-1.2017499999999997</v>
      </c>
      <c r="AE22" s="25">
        <v>-4.9000000000000004</v>
      </c>
      <c r="AF22" s="25">
        <v>-3.1560000000000001</v>
      </c>
      <c r="AG22" s="25">
        <v>0</v>
      </c>
    </row>
    <row r="23" spans="1:33" ht="15.75" customHeight="1">
      <c r="A23" s="14" t="s">
        <v>49</v>
      </c>
      <c r="B23" s="14" t="s">
        <v>1119</v>
      </c>
      <c r="C23" s="15">
        <f t="shared" si="4"/>
        <v>25.648571428571419</v>
      </c>
      <c r="D23" s="16">
        <v>14</v>
      </c>
      <c r="E23" s="16">
        <v>0</v>
      </c>
      <c r="F23" s="17">
        <v>359.07999999999987</v>
      </c>
      <c r="G23" s="29">
        <v>0</v>
      </c>
      <c r="H23" s="18">
        <f t="shared" si="1"/>
        <v>0</v>
      </c>
      <c r="I23" s="18">
        <f t="shared" si="2"/>
        <v>0.53344240837696311</v>
      </c>
      <c r="J23" s="17">
        <f t="shared" si="5"/>
        <v>191.54849999999985</v>
      </c>
      <c r="K23" s="17">
        <f t="shared" si="3"/>
        <v>13.682035714285703</v>
      </c>
      <c r="L23" s="16">
        <v>78</v>
      </c>
      <c r="M23" s="19">
        <f t="shared" si="6"/>
        <v>0.17948717948717949</v>
      </c>
      <c r="N23" s="16">
        <v>69</v>
      </c>
      <c r="O23" s="20">
        <f t="shared" ref="O23:P23" si="31">D23/7</f>
        <v>2</v>
      </c>
      <c r="P23" s="20">
        <f t="shared" si="31"/>
        <v>0</v>
      </c>
      <c r="Q23" s="16">
        <f t="shared" si="8"/>
        <v>34</v>
      </c>
      <c r="R23" s="16"/>
      <c r="S23" s="21">
        <v>5.6801705756929604</v>
      </c>
      <c r="T23" s="14">
        <v>1800</v>
      </c>
      <c r="U23" s="22">
        <v>200</v>
      </c>
      <c r="V23" s="23" t="s">
        <v>1120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35</v>
      </c>
      <c r="AB23" s="27">
        <f t="shared" si="11"/>
        <v>-0.69</v>
      </c>
      <c r="AC23" s="28">
        <v>4.583333333333333E-2</v>
      </c>
      <c r="AD23" s="25">
        <f t="shared" si="12"/>
        <v>-0.88549999999999984</v>
      </c>
      <c r="AE23" s="25">
        <v>-4.9000000000000004</v>
      </c>
      <c r="AF23" s="25">
        <v>-3.1560000000000001</v>
      </c>
      <c r="AG23" s="25">
        <v>0</v>
      </c>
    </row>
    <row r="24" spans="1:33" ht="15.75" customHeight="1">
      <c r="A24" s="14" t="s">
        <v>50</v>
      </c>
      <c r="B24" s="14" t="s">
        <v>1121</v>
      </c>
      <c r="C24" s="15">
        <f t="shared" si="4"/>
        <v>21.20900000000001</v>
      </c>
      <c r="D24" s="16">
        <v>40</v>
      </c>
      <c r="E24" s="16">
        <v>0</v>
      </c>
      <c r="F24" s="17">
        <v>848.36000000000035</v>
      </c>
      <c r="G24" s="17">
        <v>0</v>
      </c>
      <c r="H24" s="18">
        <f t="shared" si="1"/>
        <v>0</v>
      </c>
      <c r="I24" s="18">
        <f t="shared" si="2"/>
        <v>0.46717902777122944</v>
      </c>
      <c r="J24" s="17">
        <f t="shared" si="5"/>
        <v>396.33600000000035</v>
      </c>
      <c r="K24" s="17">
        <f t="shared" si="3"/>
        <v>9.9084000000000092</v>
      </c>
      <c r="L24" s="16">
        <v>111</v>
      </c>
      <c r="M24" s="19">
        <f t="shared" si="6"/>
        <v>0.36036036036036034</v>
      </c>
      <c r="N24" s="16">
        <v>35</v>
      </c>
      <c r="O24" s="20">
        <f t="shared" ref="O24:P24" si="32">D24/7</f>
        <v>5.7142857142857144</v>
      </c>
      <c r="P24" s="20">
        <f t="shared" si="32"/>
        <v>0</v>
      </c>
      <c r="Q24" s="16">
        <f t="shared" si="8"/>
        <v>6</v>
      </c>
      <c r="R24" s="16"/>
      <c r="S24" s="21">
        <v>4.6829268292682897</v>
      </c>
      <c r="T24" s="14">
        <v>1800</v>
      </c>
      <c r="U24" s="22">
        <v>200</v>
      </c>
      <c r="V24" s="23" t="s">
        <v>1122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14" t="s">
        <v>35</v>
      </c>
      <c r="AB24" s="27">
        <f t="shared" si="11"/>
        <v>-0.69</v>
      </c>
      <c r="AC24" s="28">
        <v>4.583333333333333E-2</v>
      </c>
      <c r="AD24" s="25">
        <f t="shared" si="12"/>
        <v>-2.5299999999999994</v>
      </c>
      <c r="AE24" s="25">
        <v>-4.9000000000000004</v>
      </c>
      <c r="AF24" s="25">
        <v>-3.1560000000000001</v>
      </c>
      <c r="AG24" s="25">
        <v>0</v>
      </c>
    </row>
    <row r="25" spans="1:33" ht="15.75" customHeight="1">
      <c r="A25" s="14" t="s">
        <v>51</v>
      </c>
      <c r="B25" s="14" t="s">
        <v>45</v>
      </c>
      <c r="C25" s="15">
        <f t="shared" si="4"/>
        <v>21.350370370370371</v>
      </c>
      <c r="D25" s="16">
        <v>27</v>
      </c>
      <c r="E25" s="16">
        <v>1</v>
      </c>
      <c r="F25" s="17">
        <v>576.46</v>
      </c>
      <c r="G25" s="17">
        <v>0</v>
      </c>
      <c r="H25" s="18">
        <f t="shared" si="1"/>
        <v>0</v>
      </c>
      <c r="I25" s="18">
        <f t="shared" si="2"/>
        <v>0.46952650660930517</v>
      </c>
      <c r="J25" s="17">
        <f t="shared" si="5"/>
        <v>270.66325000000006</v>
      </c>
      <c r="K25" s="17">
        <f t="shared" si="3"/>
        <v>10.024564814814816</v>
      </c>
      <c r="L25" s="16">
        <v>99</v>
      </c>
      <c r="M25" s="19">
        <f t="shared" si="6"/>
        <v>0.27272727272727271</v>
      </c>
      <c r="N25" s="16">
        <v>2</v>
      </c>
      <c r="O25" s="20">
        <f t="shared" ref="O25:P25" si="33">D25/7</f>
        <v>3.8571428571428572</v>
      </c>
      <c r="P25" s="20">
        <f t="shared" si="33"/>
        <v>0.14285714285714285</v>
      </c>
      <c r="Q25" s="16">
        <f t="shared" si="8"/>
        <v>0</v>
      </c>
      <c r="R25" s="16"/>
      <c r="S25" s="21">
        <v>8.2634730538922163</v>
      </c>
      <c r="T25" s="14">
        <v>1800</v>
      </c>
      <c r="U25" s="22">
        <v>200</v>
      </c>
      <c r="V25" s="23" t="s">
        <v>1123</v>
      </c>
      <c r="W25" s="30">
        <v>0</v>
      </c>
      <c r="X25" s="24">
        <f t="shared" si="9"/>
        <v>0</v>
      </c>
      <c r="Y25" s="25">
        <f t="shared" si="10"/>
        <v>0</v>
      </c>
      <c r="Z25" s="30">
        <v>0</v>
      </c>
      <c r="AA25" s="14" t="s">
        <v>35</v>
      </c>
      <c r="AB25" s="27">
        <f t="shared" si="11"/>
        <v>-0.69</v>
      </c>
      <c r="AC25" s="28">
        <v>4.583333333333333E-2</v>
      </c>
      <c r="AD25" s="25">
        <f t="shared" si="12"/>
        <v>-1.7077499999999997</v>
      </c>
      <c r="AE25" s="25">
        <v>-4.9000000000000004</v>
      </c>
      <c r="AF25" s="25">
        <v>-3.16</v>
      </c>
      <c r="AG25" s="25">
        <v>0</v>
      </c>
    </row>
    <row r="26" spans="1:33" ht="15.75" customHeight="1">
      <c r="A26" s="14" t="s">
        <v>52</v>
      </c>
      <c r="B26" s="14" t="s">
        <v>45</v>
      </c>
      <c r="C26" s="15">
        <f t="shared" si="4"/>
        <v>21.94</v>
      </c>
      <c r="D26" s="16">
        <v>1</v>
      </c>
      <c r="E26" s="16">
        <v>0</v>
      </c>
      <c r="F26" s="17">
        <v>21.94</v>
      </c>
      <c r="G26" s="17">
        <v>0</v>
      </c>
      <c r="H26" s="18">
        <f t="shared" si="1"/>
        <v>0</v>
      </c>
      <c r="I26" s="18">
        <f t="shared" si="2"/>
        <v>0.47993391066545121</v>
      </c>
      <c r="J26" s="17">
        <f t="shared" si="5"/>
        <v>10.52975</v>
      </c>
      <c r="K26" s="17">
        <f t="shared" si="3"/>
        <v>10.52975</v>
      </c>
      <c r="L26" s="16">
        <v>2</v>
      </c>
      <c r="M26" s="19">
        <f t="shared" si="6"/>
        <v>0.5</v>
      </c>
      <c r="N26" s="16">
        <v>1</v>
      </c>
      <c r="O26" s="20">
        <f t="shared" ref="O26:P26" si="34">D26/7</f>
        <v>0.14285714285714285</v>
      </c>
      <c r="P26" s="20">
        <f t="shared" si="34"/>
        <v>0</v>
      </c>
      <c r="Q26" s="16">
        <f t="shared" si="8"/>
        <v>7</v>
      </c>
      <c r="R26" s="16"/>
      <c r="S26" s="21">
        <v>5.0151515151515156</v>
      </c>
      <c r="T26" s="14">
        <v>1800</v>
      </c>
      <c r="U26" s="22">
        <v>200</v>
      </c>
      <c r="V26" s="23" t="s">
        <v>1124</v>
      </c>
      <c r="W26" s="30">
        <v>0</v>
      </c>
      <c r="X26" s="24">
        <f t="shared" si="9"/>
        <v>0</v>
      </c>
      <c r="Y26" s="25">
        <f t="shared" si="10"/>
        <v>0</v>
      </c>
      <c r="Z26" s="30">
        <v>0</v>
      </c>
      <c r="AA26" s="14" t="s">
        <v>35</v>
      </c>
      <c r="AB26" s="27">
        <f t="shared" si="11"/>
        <v>-0.69</v>
      </c>
      <c r="AC26" s="28">
        <v>4.583333333333333E-2</v>
      </c>
      <c r="AD26" s="25">
        <f t="shared" si="12"/>
        <v>-6.3249999999999987E-2</v>
      </c>
      <c r="AE26" s="25">
        <v>-4.9000000000000004</v>
      </c>
      <c r="AF26" s="25">
        <v>-3.1560000000000001</v>
      </c>
      <c r="AG26" s="25">
        <v>0</v>
      </c>
    </row>
    <row r="27" spans="1:33" ht="15.75" customHeight="1">
      <c r="A27" s="14" t="s">
        <v>53</v>
      </c>
      <c r="B27" s="14" t="s">
        <v>1125</v>
      </c>
      <c r="C27" s="15">
        <f t="shared" si="4"/>
        <v>21.94</v>
      </c>
      <c r="D27" s="16">
        <v>7</v>
      </c>
      <c r="E27" s="16">
        <v>0</v>
      </c>
      <c r="F27" s="17">
        <v>153.58000000000001</v>
      </c>
      <c r="G27" s="17">
        <v>0</v>
      </c>
      <c r="H27" s="18">
        <f t="shared" si="1"/>
        <v>0</v>
      </c>
      <c r="I27" s="18">
        <f t="shared" si="2"/>
        <v>0.45694849589790337</v>
      </c>
      <c r="J27" s="17">
        <f t="shared" si="5"/>
        <v>70.178150000000002</v>
      </c>
      <c r="K27" s="17">
        <f t="shared" si="3"/>
        <v>10.025450000000001</v>
      </c>
      <c r="L27" s="16">
        <v>32</v>
      </c>
      <c r="M27" s="19">
        <f t="shared" si="6"/>
        <v>0.21875</v>
      </c>
      <c r="N27" s="16">
        <v>599</v>
      </c>
      <c r="O27" s="20">
        <f t="shared" ref="O27:P27" si="35">D27/7</f>
        <v>1</v>
      </c>
      <c r="P27" s="20">
        <f t="shared" si="35"/>
        <v>0</v>
      </c>
      <c r="Q27" s="16">
        <f t="shared" si="8"/>
        <v>599</v>
      </c>
      <c r="R27" s="16"/>
      <c r="S27" s="21">
        <v>2.4984863773965689</v>
      </c>
      <c r="T27" s="14">
        <v>1000</v>
      </c>
      <c r="U27" s="22">
        <v>200</v>
      </c>
      <c r="V27" s="23" t="s">
        <v>1126</v>
      </c>
      <c r="W27" s="30">
        <v>0</v>
      </c>
      <c r="X27" s="24">
        <f t="shared" si="9"/>
        <v>0</v>
      </c>
      <c r="Y27" s="25">
        <f t="shared" si="10"/>
        <v>0</v>
      </c>
      <c r="Z27" s="30">
        <v>0</v>
      </c>
      <c r="AA27" s="14" t="s">
        <v>35</v>
      </c>
      <c r="AB27" s="27">
        <f t="shared" si="11"/>
        <v>-0.69</v>
      </c>
      <c r="AC27" s="28">
        <v>4.583333333333333E-2</v>
      </c>
      <c r="AD27" s="25">
        <f t="shared" si="12"/>
        <v>-0.44274999999999992</v>
      </c>
      <c r="AE27" s="25">
        <v>-4.9000000000000004</v>
      </c>
      <c r="AF27" s="25">
        <v>-3.6602999999999999</v>
      </c>
      <c r="AG27" s="25">
        <v>0</v>
      </c>
    </row>
    <row r="28" spans="1:33" ht="15.75" customHeight="1">
      <c r="A28" s="14" t="s">
        <v>54</v>
      </c>
      <c r="B28" s="14" t="s">
        <v>1127</v>
      </c>
      <c r="C28" s="15">
        <f t="shared" si="4"/>
        <v>15.82720430107527</v>
      </c>
      <c r="D28" s="16">
        <v>93</v>
      </c>
      <c r="E28" s="16">
        <v>1</v>
      </c>
      <c r="F28" s="17">
        <v>1471.93</v>
      </c>
      <c r="G28" s="17">
        <v>0</v>
      </c>
      <c r="H28" s="18">
        <f t="shared" si="1"/>
        <v>0</v>
      </c>
      <c r="I28" s="18">
        <f t="shared" si="2"/>
        <v>0.34621235384834881</v>
      </c>
      <c r="J28" s="17">
        <f t="shared" si="5"/>
        <v>509.60035000000005</v>
      </c>
      <c r="K28" s="17">
        <f t="shared" si="3"/>
        <v>5.4795736559139794</v>
      </c>
      <c r="L28" s="16">
        <v>157</v>
      </c>
      <c r="M28" s="19">
        <f t="shared" si="6"/>
        <v>0.59235668789808915</v>
      </c>
      <c r="N28" s="16">
        <v>718</v>
      </c>
      <c r="O28" s="20">
        <f t="shared" ref="O28:P28" si="36">D28/7</f>
        <v>13.285714285714286</v>
      </c>
      <c r="P28" s="20">
        <f t="shared" si="36"/>
        <v>0.14285714285714285</v>
      </c>
      <c r="Q28" s="16">
        <f t="shared" si="8"/>
        <v>53</v>
      </c>
      <c r="R28" s="16"/>
      <c r="S28" s="21">
        <v>1.9022900763358781</v>
      </c>
      <c r="T28" s="14">
        <v>1600</v>
      </c>
      <c r="U28" s="22">
        <v>44384</v>
      </c>
      <c r="V28" s="23" t="s">
        <v>1126</v>
      </c>
      <c r="W28" s="30">
        <v>0</v>
      </c>
      <c r="X28" s="24">
        <f t="shared" si="9"/>
        <v>0</v>
      </c>
      <c r="Y28" s="25">
        <f t="shared" si="10"/>
        <v>0</v>
      </c>
      <c r="Z28" s="30">
        <v>0</v>
      </c>
      <c r="AA28" s="14" t="s">
        <v>35</v>
      </c>
      <c r="AB28" s="27">
        <f t="shared" si="11"/>
        <v>-0.69</v>
      </c>
      <c r="AC28" s="28">
        <v>4.583333333333333E-2</v>
      </c>
      <c r="AD28" s="25">
        <f t="shared" si="12"/>
        <v>-5.8822499999999991</v>
      </c>
      <c r="AE28" s="25">
        <v>-4.25</v>
      </c>
      <c r="AF28" s="25">
        <v>-3.6602999999999999</v>
      </c>
      <c r="AG28" s="25">
        <v>0</v>
      </c>
    </row>
    <row r="29" spans="1:33" ht="15.75" customHeight="1">
      <c r="A29" s="14" t="s">
        <v>55</v>
      </c>
      <c r="B29" s="14" t="s">
        <v>1128</v>
      </c>
      <c r="C29" s="15">
        <f t="shared" si="4"/>
        <v>15.618672566371682</v>
      </c>
      <c r="D29" s="16">
        <v>113</v>
      </c>
      <c r="E29" s="16">
        <v>0</v>
      </c>
      <c r="F29" s="17">
        <v>1764.91</v>
      </c>
      <c r="G29" s="17">
        <v>0</v>
      </c>
      <c r="H29" s="18">
        <f t="shared" si="1"/>
        <v>0</v>
      </c>
      <c r="I29" s="18">
        <f t="shared" si="2"/>
        <v>0.33948606444521251</v>
      </c>
      <c r="J29" s="17">
        <f t="shared" si="5"/>
        <v>599.16235000000006</v>
      </c>
      <c r="K29" s="17">
        <f t="shared" si="3"/>
        <v>5.30232168141593</v>
      </c>
      <c r="L29" s="16">
        <v>225</v>
      </c>
      <c r="M29" s="19">
        <f t="shared" si="6"/>
        <v>0.50222222222222224</v>
      </c>
      <c r="N29" s="16">
        <v>600</v>
      </c>
      <c r="O29" s="20">
        <f t="shared" ref="O29:P29" si="37">D29/7</f>
        <v>16.142857142857142</v>
      </c>
      <c r="P29" s="20">
        <f t="shared" si="37"/>
        <v>0</v>
      </c>
      <c r="Q29" s="16">
        <f t="shared" si="8"/>
        <v>37</v>
      </c>
      <c r="R29" s="16"/>
      <c r="S29" s="21">
        <v>2.581560283687943</v>
      </c>
      <c r="T29" s="14">
        <v>1840</v>
      </c>
      <c r="U29" s="22">
        <v>44386</v>
      </c>
      <c r="V29" s="23" t="s">
        <v>1129</v>
      </c>
      <c r="W29" s="30">
        <v>0</v>
      </c>
      <c r="X29" s="24">
        <f t="shared" si="9"/>
        <v>0</v>
      </c>
      <c r="Y29" s="25">
        <f t="shared" si="10"/>
        <v>0</v>
      </c>
      <c r="Z29" s="30">
        <v>0</v>
      </c>
      <c r="AA29" s="14" t="s">
        <v>35</v>
      </c>
      <c r="AB29" s="27">
        <f t="shared" si="11"/>
        <v>-0.69</v>
      </c>
      <c r="AC29" s="28">
        <v>4.583333333333333E-2</v>
      </c>
      <c r="AD29" s="25">
        <f t="shared" si="12"/>
        <v>-7.1472499999999988</v>
      </c>
      <c r="AE29" s="25">
        <v>-4.25</v>
      </c>
      <c r="AF29" s="25">
        <v>-3.6602999999999999</v>
      </c>
      <c r="AG29" s="25">
        <v>0</v>
      </c>
    </row>
    <row r="30" spans="1:33" ht="15.75" customHeight="1">
      <c r="A30" s="14" t="s">
        <v>57</v>
      </c>
      <c r="B30" s="14" t="s">
        <v>1130</v>
      </c>
      <c r="C30" s="15">
        <f t="shared" si="4"/>
        <v>16.07353982300884</v>
      </c>
      <c r="D30" s="16">
        <v>113</v>
      </c>
      <c r="E30" s="16">
        <v>3</v>
      </c>
      <c r="F30" s="17">
        <v>1816.309999999999</v>
      </c>
      <c r="G30" s="17">
        <v>0</v>
      </c>
      <c r="H30" s="18">
        <f t="shared" si="1"/>
        <v>0</v>
      </c>
      <c r="I30" s="18">
        <f t="shared" si="2"/>
        <v>0.35892878406901885</v>
      </c>
      <c r="J30" s="17">
        <f t="shared" si="5"/>
        <v>651.92593979239928</v>
      </c>
      <c r="K30" s="17">
        <f t="shared" si="3"/>
        <v>5.7692561043575159</v>
      </c>
      <c r="L30" s="16">
        <v>195</v>
      </c>
      <c r="M30" s="19">
        <f t="shared" si="6"/>
        <v>0.57948717948717954</v>
      </c>
      <c r="N30" s="16">
        <v>403</v>
      </c>
      <c r="O30" s="20">
        <f t="shared" ref="O30:P30" si="38">D30/7</f>
        <v>16.142857142857142</v>
      </c>
      <c r="P30" s="20">
        <f t="shared" si="38"/>
        <v>0.42857142857142855</v>
      </c>
      <c r="Q30" s="16">
        <f t="shared" si="8"/>
        <v>24</v>
      </c>
      <c r="R30" s="16"/>
      <c r="S30" s="21">
        <v>3.2190237797246559</v>
      </c>
      <c r="T30" s="14">
        <v>800</v>
      </c>
      <c r="U30" s="22">
        <v>240</v>
      </c>
      <c r="V30" s="23" t="s">
        <v>1131</v>
      </c>
      <c r="W30" s="30">
        <v>0</v>
      </c>
      <c r="X30" s="24">
        <f t="shared" si="9"/>
        <v>0</v>
      </c>
      <c r="Y30" s="25">
        <f t="shared" si="10"/>
        <v>0</v>
      </c>
      <c r="Z30" s="30">
        <v>0</v>
      </c>
      <c r="AA30" s="14" t="s">
        <v>35</v>
      </c>
      <c r="AB30" s="27">
        <f t="shared" si="11"/>
        <v>-0.69</v>
      </c>
      <c r="AC30" s="28">
        <v>4.583333333333333E-2</v>
      </c>
      <c r="AD30" s="25">
        <f t="shared" si="12"/>
        <v>-7.1472499999999988</v>
      </c>
      <c r="AE30" s="25">
        <v>-4.25</v>
      </c>
      <c r="AF30" s="25">
        <v>-3.5800027451999998</v>
      </c>
      <c r="AG30" s="25">
        <v>0</v>
      </c>
    </row>
    <row r="31" spans="1:33" ht="15.75" customHeight="1">
      <c r="A31" s="14" t="s">
        <v>58</v>
      </c>
      <c r="B31" s="14" t="s">
        <v>1132</v>
      </c>
      <c r="C31" s="15">
        <f t="shared" si="4"/>
        <v>16.234831460674158</v>
      </c>
      <c r="D31" s="16">
        <v>89</v>
      </c>
      <c r="E31" s="16">
        <v>4</v>
      </c>
      <c r="F31" s="17">
        <v>1444.9</v>
      </c>
      <c r="G31" s="17">
        <v>-0.08</v>
      </c>
      <c r="H31" s="18">
        <f t="shared" si="1"/>
        <v>5.5367153436223959E-5</v>
      </c>
      <c r="I31" s="18">
        <f t="shared" si="2"/>
        <v>0.36375216670856114</v>
      </c>
      <c r="J31" s="17">
        <f t="shared" si="5"/>
        <v>525.58550567719999</v>
      </c>
      <c r="K31" s="17">
        <f t="shared" si="3"/>
        <v>5.905455119968539</v>
      </c>
      <c r="L31" s="16">
        <v>164</v>
      </c>
      <c r="M31" s="19">
        <f t="shared" si="6"/>
        <v>0.54268292682926833</v>
      </c>
      <c r="N31" s="16">
        <v>350</v>
      </c>
      <c r="O31" s="20">
        <f t="shared" ref="O31:P31" si="39">D31/7</f>
        <v>12.714285714285714</v>
      </c>
      <c r="P31" s="20">
        <f t="shared" si="39"/>
        <v>0.5714285714285714</v>
      </c>
      <c r="Q31" s="16">
        <f t="shared" si="8"/>
        <v>26</v>
      </c>
      <c r="R31" s="16"/>
      <c r="S31" s="21">
        <v>3.4227848101265801</v>
      </c>
      <c r="T31" s="14">
        <v>560</v>
      </c>
      <c r="U31" s="22" t="s">
        <v>34</v>
      </c>
      <c r="V31" s="23" t="s">
        <v>1133</v>
      </c>
      <c r="W31" s="30">
        <v>0</v>
      </c>
      <c r="X31" s="24">
        <f t="shared" si="9"/>
        <v>0</v>
      </c>
      <c r="Y31" s="25">
        <f t="shared" si="10"/>
        <v>0</v>
      </c>
      <c r="Z31" s="30">
        <v>0</v>
      </c>
      <c r="AA31" s="14" t="s">
        <v>35</v>
      </c>
      <c r="AB31" s="27">
        <f t="shared" si="11"/>
        <v>-0.69</v>
      </c>
      <c r="AC31" s="28">
        <v>4.583333333333333E-2</v>
      </c>
      <c r="AD31" s="25">
        <f t="shared" si="12"/>
        <v>-5.629249999999999</v>
      </c>
      <c r="AE31" s="25">
        <v>-4.25</v>
      </c>
      <c r="AF31" s="25">
        <v>-3.5800027452000003</v>
      </c>
      <c r="AG31" s="25">
        <v>0</v>
      </c>
    </row>
    <row r="32" spans="1:33" ht="15.75" customHeight="1">
      <c r="A32" s="14" t="s">
        <v>60</v>
      </c>
      <c r="B32" s="14"/>
      <c r="C32" s="15">
        <f t="shared" si="4"/>
        <v>16.739274193548386</v>
      </c>
      <c r="D32" s="16">
        <v>124</v>
      </c>
      <c r="E32" s="16">
        <v>4</v>
      </c>
      <c r="F32" s="17">
        <v>2075.67</v>
      </c>
      <c r="G32" s="17">
        <v>0</v>
      </c>
      <c r="H32" s="18">
        <f t="shared" si="1"/>
        <v>0</v>
      </c>
      <c r="I32" s="18">
        <f t="shared" si="2"/>
        <v>0.37845908048736082</v>
      </c>
      <c r="J32" s="17">
        <f t="shared" si="5"/>
        <v>785.55615959520026</v>
      </c>
      <c r="K32" s="17">
        <f t="shared" si="3"/>
        <v>6.3351303193161312</v>
      </c>
      <c r="L32" s="16">
        <v>214</v>
      </c>
      <c r="M32" s="19">
        <f t="shared" si="6"/>
        <v>0.57943925233644855</v>
      </c>
      <c r="N32" s="16">
        <v>209</v>
      </c>
      <c r="O32" s="20">
        <f t="shared" ref="O32:P32" si="40">D32/7</f>
        <v>17.714285714285715</v>
      </c>
      <c r="P32" s="20">
        <f t="shared" si="40"/>
        <v>0.5714285714285714</v>
      </c>
      <c r="Q32" s="16">
        <f t="shared" si="8"/>
        <v>11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2.689908256880734</v>
      </c>
      <c r="T32" s="14">
        <f ca="1">IFERROR(__xludf.DUMMYFUNCTION("IFERROR(VLOOKUP($B$2,IMPORTRANGE(""https://docs.google.com/spreadsheets/d/1KiWZV1ko8G7lnRucBRBd29jj3Be6ltMfljMDqzOkQmI/edit#gid=1381463014"",""Lookup!A:D""),4,FALSE),"""")"),560)</f>
        <v>560</v>
      </c>
      <c r="U32" s="22">
        <f ca="1">IFERROR(__xludf.DUMMYFUNCTION("IFERROR(VLOOKUP($B$2,IMPORTRANGE(""https://docs.google.com/spreadsheets/d/1KiWZV1ko8G7lnRucBRBd29jj3Be6ltMfljMDqzOkQmI/edit#gid=1381463014"",""Lookup!A:D""),3,FALSE),"""")"),640)</f>
        <v>640</v>
      </c>
      <c r="V32" s="23" t="str">
        <f ca="1">IFERROR(__xludf.DUMMYFUNCTION("IFERROR(VLOOKUP($B$2,IMPORTRANGE(""https://docs.google.com/spreadsheets/d/1KiWZV1ko8G7lnRucBRBd29jj3Be6ltMfljMDqzOkQmI/edit#gid=1381463014"",""Lookup!A:D""),2,FALSE),"""")"),"| 410  - 400 units 07/20| 418  - 240 units 09/03")</f>
        <v>| 410  - 400 units 07/20| 418  - 240 units 09/03</v>
      </c>
      <c r="W32" s="30">
        <v>0</v>
      </c>
      <c r="X32" s="24">
        <f t="shared" si="9"/>
        <v>0</v>
      </c>
      <c r="Y32" s="25">
        <f t="shared" si="10"/>
        <v>0</v>
      </c>
      <c r="Z32" s="30">
        <v>0</v>
      </c>
      <c r="AA32" s="14" t="s">
        <v>35</v>
      </c>
      <c r="AB32" s="27">
        <f t="shared" si="11"/>
        <v>-0.69</v>
      </c>
      <c r="AC32" s="28">
        <v>4.583333333333333E-2</v>
      </c>
      <c r="AD32" s="25">
        <f t="shared" si="12"/>
        <v>-7.8429999999999982</v>
      </c>
      <c r="AE32" s="25">
        <v>-4.25</v>
      </c>
      <c r="AF32" s="25">
        <v>-3.5800027451999998</v>
      </c>
      <c r="AG32" s="25">
        <v>0</v>
      </c>
    </row>
    <row r="33" spans="1:33" ht="15.75" customHeight="1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16"/>
      <c r="S33" s="21"/>
      <c r="T33" s="31"/>
      <c r="U33" s="36"/>
      <c r="V33" s="1"/>
      <c r="W33" s="31"/>
      <c r="X33" s="31"/>
      <c r="Y33" s="31"/>
      <c r="Z33" s="31"/>
      <c r="AA33" s="2"/>
      <c r="AB33" s="31"/>
      <c r="AC33" s="31"/>
      <c r="AD33" s="31"/>
      <c r="AE33" s="37"/>
      <c r="AF33" s="37"/>
      <c r="AG33" s="37"/>
    </row>
    <row r="34" spans="1:33" ht="15.75" customHeight="1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6"/>
      <c r="V34" s="1"/>
      <c r="W34" s="31"/>
      <c r="X34" s="31"/>
      <c r="Y34" s="31"/>
      <c r="Z34" s="31"/>
      <c r="AA34" s="2"/>
      <c r="AB34" s="31"/>
      <c r="AC34" s="31"/>
      <c r="AD34" s="31"/>
      <c r="AE34" s="37"/>
      <c r="AF34" s="37"/>
      <c r="AG34" s="37"/>
    </row>
    <row r="35" spans="1:33" ht="15.75" customHeight="1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6"/>
      <c r="V35" s="1"/>
      <c r="W35" s="31"/>
      <c r="X35" s="31"/>
      <c r="Y35" s="31"/>
      <c r="Z35" s="31"/>
      <c r="AA35" s="2"/>
      <c r="AB35" s="31"/>
      <c r="AC35" s="31"/>
      <c r="AD35" s="31"/>
      <c r="AE35" s="37"/>
      <c r="AF35" s="37"/>
      <c r="AG35" s="37"/>
    </row>
    <row r="36" spans="1:33" ht="15.75" customHeight="1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6"/>
      <c r="V36" s="1"/>
      <c r="W36" s="31"/>
      <c r="X36" s="31"/>
      <c r="Y36" s="31"/>
      <c r="Z36" s="31"/>
      <c r="AA36" s="2"/>
      <c r="AB36" s="31"/>
      <c r="AC36" s="31"/>
      <c r="AD36" s="31"/>
      <c r="AE36" s="37"/>
      <c r="AF36" s="37"/>
      <c r="AG36" s="37"/>
    </row>
    <row r="37" spans="1:33" ht="15.75" customHeight="1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6"/>
      <c r="V37" s="1"/>
      <c r="W37" s="31"/>
      <c r="X37" s="31"/>
      <c r="Y37" s="31"/>
      <c r="Z37" s="31"/>
      <c r="AA37" s="2"/>
      <c r="AB37" s="31"/>
      <c r="AC37" s="31"/>
      <c r="AD37" s="31"/>
      <c r="AE37" s="37"/>
      <c r="AF37" s="37"/>
      <c r="AG37" s="37"/>
    </row>
    <row r="38" spans="1:33" ht="15.75" customHeight="1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6"/>
      <c r="V38" s="1"/>
      <c r="W38" s="31"/>
      <c r="X38" s="31"/>
      <c r="Y38" s="31"/>
      <c r="Z38" s="31"/>
      <c r="AA38" s="2"/>
      <c r="AB38" s="31"/>
      <c r="AC38" s="31"/>
      <c r="AD38" s="31"/>
      <c r="AE38" s="37"/>
      <c r="AF38" s="37"/>
      <c r="AG38" s="37"/>
    </row>
    <row r="39" spans="1:33" ht="15.75" customHeight="1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6"/>
      <c r="V39" s="1"/>
      <c r="W39" s="31"/>
      <c r="X39" s="31"/>
      <c r="Y39" s="31"/>
      <c r="Z39" s="31"/>
      <c r="AA39" s="2"/>
      <c r="AB39" s="31"/>
      <c r="AC39" s="31"/>
      <c r="AD39" s="31"/>
      <c r="AE39" s="37"/>
      <c r="AF39" s="37"/>
      <c r="AG39" s="37"/>
    </row>
    <row r="40" spans="1:33" ht="15.75" customHeight="1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6"/>
      <c r="V40" s="1"/>
      <c r="W40" s="31"/>
      <c r="X40" s="31"/>
      <c r="Y40" s="31"/>
      <c r="Z40" s="31"/>
      <c r="AA40" s="2"/>
      <c r="AB40" s="31"/>
      <c r="AC40" s="31"/>
      <c r="AD40" s="31"/>
      <c r="AE40" s="37"/>
      <c r="AF40" s="37"/>
      <c r="AG40" s="37"/>
    </row>
    <row r="41" spans="1:33" ht="15.75" customHeight="1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6"/>
      <c r="V41" s="1"/>
      <c r="W41" s="31"/>
      <c r="X41" s="31"/>
      <c r="Y41" s="31"/>
      <c r="Z41" s="31"/>
      <c r="AA41" s="2"/>
      <c r="AB41" s="31"/>
      <c r="AC41" s="31"/>
      <c r="AD41" s="31"/>
      <c r="AE41" s="37"/>
      <c r="AF41" s="37"/>
      <c r="AG41" s="37"/>
    </row>
    <row r="42" spans="1:33" ht="15.75" customHeight="1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6"/>
      <c r="V42" s="1"/>
      <c r="W42" s="31"/>
      <c r="X42" s="31"/>
      <c r="Y42" s="31"/>
      <c r="Z42" s="31"/>
      <c r="AA42" s="2"/>
      <c r="AB42" s="31"/>
      <c r="AC42" s="31"/>
      <c r="AD42" s="31"/>
      <c r="AE42" s="37"/>
      <c r="AF42" s="37"/>
      <c r="AG42" s="37"/>
    </row>
    <row r="43" spans="1:33" ht="15.75" customHeight="1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6"/>
      <c r="V43" s="1"/>
      <c r="W43" s="31"/>
      <c r="X43" s="31"/>
      <c r="Y43" s="31"/>
      <c r="Z43" s="31"/>
      <c r="AA43" s="2"/>
      <c r="AB43" s="31"/>
      <c r="AC43" s="31"/>
      <c r="AD43" s="31"/>
      <c r="AE43" s="37"/>
      <c r="AF43" s="37"/>
      <c r="AG43" s="37"/>
    </row>
    <row r="44" spans="1:33" ht="15.75" customHeight="1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6"/>
      <c r="V44" s="1"/>
      <c r="W44" s="31"/>
      <c r="X44" s="31"/>
      <c r="Y44" s="31"/>
      <c r="Z44" s="31"/>
      <c r="AA44" s="2"/>
      <c r="AB44" s="31"/>
      <c r="AC44" s="31"/>
      <c r="AD44" s="31"/>
      <c r="AE44" s="37"/>
      <c r="AF44" s="37"/>
      <c r="AG44" s="37"/>
    </row>
    <row r="45" spans="1:33" ht="15.75" customHeight="1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6"/>
      <c r="V45" s="1"/>
      <c r="W45" s="31"/>
      <c r="X45" s="31"/>
      <c r="Y45" s="31"/>
      <c r="Z45" s="31"/>
      <c r="AA45" s="2"/>
      <c r="AB45" s="31"/>
      <c r="AC45" s="31"/>
      <c r="AD45" s="31"/>
      <c r="AE45" s="37"/>
      <c r="AF45" s="37"/>
      <c r="AG45" s="37"/>
    </row>
    <row r="46" spans="1:33" ht="15.75" customHeight="1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6"/>
      <c r="V46" s="1"/>
      <c r="W46" s="31"/>
      <c r="X46" s="31"/>
      <c r="Y46" s="31"/>
      <c r="Z46" s="31"/>
      <c r="AA46" s="2"/>
      <c r="AB46" s="31"/>
      <c r="AC46" s="31"/>
      <c r="AD46" s="31"/>
      <c r="AE46" s="37"/>
      <c r="AF46" s="37"/>
      <c r="AG46" s="37"/>
    </row>
    <row r="47" spans="1:33" ht="15.75" customHeight="1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6"/>
      <c r="V47" s="1"/>
      <c r="W47" s="31"/>
      <c r="X47" s="31"/>
      <c r="Y47" s="31"/>
      <c r="Z47" s="31"/>
      <c r="AA47" s="2"/>
      <c r="AB47" s="31"/>
      <c r="AC47" s="31"/>
      <c r="AD47" s="31"/>
      <c r="AE47" s="37"/>
      <c r="AF47" s="37"/>
      <c r="AG47" s="37"/>
    </row>
    <row r="48" spans="1:33" ht="15.75" customHeight="1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6"/>
      <c r="V48" s="1"/>
      <c r="W48" s="31"/>
      <c r="X48" s="31"/>
      <c r="Y48" s="31"/>
      <c r="Z48" s="31"/>
      <c r="AA48" s="2"/>
      <c r="AB48" s="31"/>
      <c r="AC48" s="31"/>
      <c r="AD48" s="31"/>
      <c r="AE48" s="37"/>
      <c r="AF48" s="37"/>
      <c r="AG48" s="37"/>
    </row>
    <row r="49" spans="1:33" ht="15.75" customHeight="1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6"/>
      <c r="V49" s="1"/>
      <c r="W49" s="31"/>
      <c r="X49" s="31"/>
      <c r="Y49" s="31"/>
      <c r="Z49" s="31"/>
      <c r="AA49" s="2"/>
      <c r="AB49" s="31"/>
      <c r="AC49" s="31"/>
      <c r="AD49" s="31"/>
      <c r="AE49" s="37"/>
      <c r="AF49" s="37"/>
      <c r="AG49" s="37"/>
    </row>
    <row r="50" spans="1:33" ht="15.75" customHeight="1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6"/>
      <c r="V50" s="1"/>
      <c r="W50" s="31"/>
      <c r="X50" s="31"/>
      <c r="Y50" s="31"/>
      <c r="Z50" s="31"/>
      <c r="AA50" s="2"/>
      <c r="AB50" s="31"/>
      <c r="AC50" s="31"/>
      <c r="AD50" s="31"/>
      <c r="AE50" s="37"/>
      <c r="AF50" s="37"/>
      <c r="AG50" s="37"/>
    </row>
    <row r="51" spans="1:33" ht="15.75" customHeight="1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6"/>
      <c r="V51" s="1"/>
      <c r="W51" s="31"/>
      <c r="X51" s="31"/>
      <c r="Y51" s="31"/>
      <c r="Z51" s="31"/>
      <c r="AA51" s="2"/>
      <c r="AB51" s="31"/>
      <c r="AC51" s="31"/>
      <c r="AD51" s="31"/>
      <c r="AE51" s="37"/>
      <c r="AF51" s="37"/>
      <c r="AG51" s="37"/>
    </row>
    <row r="52" spans="1:33" ht="15.75" customHeight="1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6"/>
      <c r="V52" s="1"/>
      <c r="W52" s="31"/>
      <c r="X52" s="31"/>
      <c r="Y52" s="31"/>
      <c r="Z52" s="31"/>
      <c r="AA52" s="2"/>
      <c r="AB52" s="31"/>
      <c r="AC52" s="31"/>
      <c r="AD52" s="31"/>
      <c r="AE52" s="37"/>
      <c r="AF52" s="37"/>
      <c r="AG52" s="37"/>
    </row>
    <row r="53" spans="1:33" ht="15.75" customHeight="1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6"/>
      <c r="V53" s="1"/>
      <c r="W53" s="31"/>
      <c r="X53" s="31"/>
      <c r="Y53" s="31"/>
      <c r="Z53" s="31"/>
      <c r="AA53" s="2"/>
      <c r="AB53" s="31"/>
      <c r="AC53" s="31"/>
      <c r="AD53" s="31"/>
      <c r="AE53" s="37"/>
      <c r="AF53" s="37"/>
      <c r="AG53" s="37"/>
    </row>
    <row r="54" spans="1:33" ht="15.75" customHeight="1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6"/>
      <c r="V54" s="1"/>
      <c r="W54" s="31"/>
      <c r="X54" s="31"/>
      <c r="Y54" s="31"/>
      <c r="Z54" s="31"/>
      <c r="AA54" s="2"/>
      <c r="AB54" s="31"/>
      <c r="AC54" s="31"/>
      <c r="AD54" s="31"/>
      <c r="AE54" s="37"/>
      <c r="AF54" s="37"/>
      <c r="AG54" s="37"/>
    </row>
    <row r="55" spans="1:33" ht="15.75" customHeight="1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6"/>
      <c r="V55" s="1"/>
      <c r="W55" s="31"/>
      <c r="X55" s="31"/>
      <c r="Y55" s="31"/>
      <c r="Z55" s="31"/>
      <c r="AA55" s="2"/>
      <c r="AB55" s="31"/>
      <c r="AC55" s="31"/>
      <c r="AD55" s="31"/>
      <c r="AE55" s="37"/>
      <c r="AF55" s="37"/>
      <c r="AG55" s="37"/>
    </row>
    <row r="56" spans="1:33" ht="15.75" customHeight="1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6"/>
      <c r="V56" s="1"/>
      <c r="W56" s="31"/>
      <c r="X56" s="31"/>
      <c r="Y56" s="31"/>
      <c r="Z56" s="31"/>
      <c r="AA56" s="2"/>
      <c r="AB56" s="31"/>
      <c r="AC56" s="31"/>
      <c r="AD56" s="31"/>
      <c r="AE56" s="37"/>
      <c r="AF56" s="37"/>
      <c r="AG56" s="37"/>
    </row>
    <row r="57" spans="1:33" ht="15.75" customHeight="1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6"/>
      <c r="V57" s="1"/>
      <c r="W57" s="31"/>
      <c r="X57" s="31"/>
      <c r="Y57" s="31"/>
      <c r="Z57" s="31"/>
      <c r="AA57" s="2"/>
      <c r="AB57" s="31"/>
      <c r="AC57" s="31"/>
      <c r="AD57" s="31"/>
      <c r="AE57" s="37"/>
      <c r="AF57" s="37"/>
      <c r="AG57" s="37"/>
    </row>
    <row r="58" spans="1:33" ht="15.75" customHeight="1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6"/>
      <c r="V58" s="1"/>
      <c r="W58" s="31"/>
      <c r="X58" s="31"/>
      <c r="Y58" s="31"/>
      <c r="Z58" s="31"/>
      <c r="AA58" s="2"/>
      <c r="AB58" s="31"/>
      <c r="AC58" s="31"/>
      <c r="AD58" s="31"/>
      <c r="AE58" s="37"/>
      <c r="AF58" s="37"/>
      <c r="AG58" s="37"/>
    </row>
    <row r="59" spans="1:33" ht="15.75" customHeight="1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6"/>
      <c r="V59" s="1"/>
      <c r="W59" s="31"/>
      <c r="X59" s="31"/>
      <c r="Y59" s="31"/>
      <c r="Z59" s="31"/>
      <c r="AA59" s="2"/>
      <c r="AB59" s="31"/>
      <c r="AC59" s="31"/>
      <c r="AD59" s="31"/>
      <c r="AE59" s="37"/>
      <c r="AF59" s="37"/>
      <c r="AG59" s="37"/>
    </row>
    <row r="60" spans="1:33" ht="15.75" customHeight="1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6"/>
      <c r="V60" s="1"/>
      <c r="W60" s="31"/>
      <c r="X60" s="31"/>
      <c r="Y60" s="31"/>
      <c r="Z60" s="31"/>
      <c r="AA60" s="2"/>
      <c r="AB60" s="31"/>
      <c r="AC60" s="31"/>
      <c r="AD60" s="31"/>
      <c r="AE60" s="37"/>
      <c r="AF60" s="37"/>
      <c r="AG60" s="37"/>
    </row>
    <row r="61" spans="1:33" ht="15.75" customHeight="1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6"/>
      <c r="V61" s="1"/>
      <c r="W61" s="31"/>
      <c r="X61" s="31"/>
      <c r="Y61" s="31"/>
      <c r="Z61" s="31"/>
      <c r="AA61" s="2"/>
      <c r="AB61" s="31"/>
      <c r="AC61" s="31"/>
      <c r="AD61" s="31"/>
      <c r="AE61" s="37"/>
      <c r="AF61" s="37"/>
      <c r="AG61" s="37"/>
    </row>
    <row r="62" spans="1:33" ht="15.75" customHeight="1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6"/>
      <c r="V62" s="1"/>
      <c r="W62" s="31"/>
      <c r="X62" s="31"/>
      <c r="Y62" s="31"/>
      <c r="Z62" s="31"/>
      <c r="AA62" s="2"/>
      <c r="AB62" s="31"/>
      <c r="AC62" s="31"/>
      <c r="AD62" s="31"/>
      <c r="AE62" s="37"/>
      <c r="AF62" s="37"/>
      <c r="AG62" s="37"/>
    </row>
    <row r="63" spans="1:33" ht="15.75" customHeight="1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6"/>
      <c r="V63" s="1"/>
      <c r="W63" s="31"/>
      <c r="X63" s="31"/>
      <c r="Y63" s="31"/>
      <c r="Z63" s="31"/>
      <c r="AA63" s="2"/>
      <c r="AB63" s="31"/>
      <c r="AC63" s="31"/>
      <c r="AD63" s="31"/>
      <c r="AE63" s="37"/>
      <c r="AF63" s="37"/>
      <c r="AG63" s="37"/>
    </row>
    <row r="64" spans="1:33" ht="15.75" customHeight="1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6"/>
      <c r="V64" s="1"/>
      <c r="W64" s="31"/>
      <c r="X64" s="31"/>
      <c r="Y64" s="31"/>
      <c r="Z64" s="31"/>
      <c r="AA64" s="2"/>
      <c r="AB64" s="31"/>
      <c r="AC64" s="31"/>
      <c r="AD64" s="31"/>
      <c r="AE64" s="37"/>
      <c r="AF64" s="37"/>
      <c r="AG64" s="37"/>
    </row>
    <row r="65" spans="1:33" ht="15.75" customHeight="1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6"/>
      <c r="V65" s="1"/>
      <c r="W65" s="31"/>
      <c r="X65" s="31"/>
      <c r="Y65" s="31"/>
      <c r="Z65" s="31"/>
      <c r="AA65" s="2"/>
      <c r="AB65" s="31"/>
      <c r="AC65" s="31"/>
      <c r="AD65" s="31"/>
      <c r="AE65" s="37"/>
      <c r="AF65" s="37"/>
      <c r="AG65" s="37"/>
    </row>
    <row r="66" spans="1:33" ht="15.75" customHeight="1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6"/>
      <c r="V66" s="1"/>
      <c r="W66" s="31"/>
      <c r="X66" s="31"/>
      <c r="Y66" s="31"/>
      <c r="Z66" s="31"/>
      <c r="AA66" s="2"/>
      <c r="AB66" s="31"/>
      <c r="AC66" s="31"/>
      <c r="AD66" s="31"/>
      <c r="AE66" s="37"/>
      <c r="AF66" s="37"/>
      <c r="AG66" s="37"/>
    </row>
    <row r="67" spans="1:33" ht="15.75" customHeight="1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6"/>
      <c r="V67" s="1"/>
      <c r="W67" s="31"/>
      <c r="X67" s="31"/>
      <c r="Y67" s="31"/>
      <c r="Z67" s="31"/>
      <c r="AA67" s="2"/>
      <c r="AB67" s="31"/>
      <c r="AC67" s="31"/>
      <c r="AD67" s="31"/>
      <c r="AE67" s="37"/>
      <c r="AF67" s="37"/>
      <c r="AG67" s="37"/>
    </row>
    <row r="68" spans="1:33" ht="15.75" customHeight="1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6"/>
      <c r="V68" s="1"/>
      <c r="W68" s="31"/>
      <c r="X68" s="31"/>
      <c r="Y68" s="31"/>
      <c r="Z68" s="31"/>
      <c r="AA68" s="2"/>
      <c r="AB68" s="31"/>
      <c r="AC68" s="31"/>
      <c r="AD68" s="31"/>
      <c r="AE68" s="37"/>
      <c r="AF68" s="37"/>
      <c r="AG68" s="37"/>
    </row>
    <row r="69" spans="1:33" ht="15.75" customHeight="1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6"/>
      <c r="V69" s="1"/>
      <c r="W69" s="31"/>
      <c r="X69" s="31"/>
      <c r="Y69" s="31"/>
      <c r="Z69" s="31"/>
      <c r="AA69" s="2"/>
      <c r="AB69" s="31"/>
      <c r="AC69" s="31"/>
      <c r="AD69" s="31"/>
      <c r="AE69" s="37"/>
      <c r="AF69" s="37"/>
      <c r="AG69" s="37"/>
    </row>
    <row r="70" spans="1:33" ht="15.75" customHeight="1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6"/>
      <c r="V70" s="1"/>
      <c r="W70" s="31"/>
      <c r="X70" s="31"/>
      <c r="Y70" s="31"/>
      <c r="Z70" s="31"/>
      <c r="AA70" s="2"/>
      <c r="AB70" s="31"/>
      <c r="AC70" s="31"/>
      <c r="AD70" s="31"/>
      <c r="AE70" s="37"/>
      <c r="AF70" s="37"/>
      <c r="AG70" s="37"/>
    </row>
    <row r="71" spans="1:33" ht="15.75" customHeight="1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6"/>
      <c r="V71" s="1"/>
      <c r="W71" s="31"/>
      <c r="X71" s="31"/>
      <c r="Y71" s="31"/>
      <c r="Z71" s="31"/>
      <c r="AA71" s="2"/>
      <c r="AB71" s="31"/>
      <c r="AC71" s="31"/>
      <c r="AD71" s="31"/>
      <c r="AE71" s="37"/>
      <c r="AF71" s="37"/>
      <c r="AG71" s="37"/>
    </row>
    <row r="72" spans="1:33" ht="15.75" customHeight="1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6"/>
      <c r="V72" s="1"/>
      <c r="W72" s="31"/>
      <c r="X72" s="31"/>
      <c r="Y72" s="31"/>
      <c r="Z72" s="31"/>
      <c r="AA72" s="2"/>
      <c r="AB72" s="31"/>
      <c r="AC72" s="31"/>
      <c r="AD72" s="31"/>
      <c r="AE72" s="37"/>
      <c r="AF72" s="37"/>
      <c r="AG72" s="37"/>
    </row>
    <row r="73" spans="1:33" ht="15.75" customHeight="1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6"/>
      <c r="V73" s="1"/>
      <c r="W73" s="31"/>
      <c r="X73" s="31"/>
      <c r="Y73" s="31"/>
      <c r="Z73" s="31"/>
      <c r="AA73" s="2"/>
      <c r="AB73" s="31"/>
      <c r="AC73" s="31"/>
      <c r="AD73" s="31"/>
      <c r="AE73" s="37"/>
      <c r="AF73" s="37"/>
      <c r="AG73" s="37"/>
    </row>
    <row r="74" spans="1:33" ht="15.75" customHeight="1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6"/>
      <c r="V74" s="1"/>
      <c r="W74" s="31"/>
      <c r="X74" s="31"/>
      <c r="Y74" s="31"/>
      <c r="Z74" s="31"/>
      <c r="AA74" s="2"/>
      <c r="AB74" s="31"/>
      <c r="AC74" s="31"/>
      <c r="AD74" s="31"/>
      <c r="AE74" s="37"/>
      <c r="AF74" s="37"/>
      <c r="AG74" s="37"/>
    </row>
    <row r="75" spans="1:33" ht="15.75" customHeight="1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6"/>
      <c r="V75" s="1"/>
      <c r="W75" s="31"/>
      <c r="X75" s="31"/>
      <c r="Y75" s="31"/>
      <c r="Z75" s="31"/>
      <c r="AA75" s="2"/>
      <c r="AB75" s="31"/>
      <c r="AC75" s="31"/>
      <c r="AD75" s="31"/>
      <c r="AE75" s="37"/>
      <c r="AF75" s="37"/>
      <c r="AG75" s="37"/>
    </row>
    <row r="76" spans="1:33" ht="15.75" customHeight="1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6"/>
      <c r="V76" s="1"/>
      <c r="W76" s="31"/>
      <c r="X76" s="31"/>
      <c r="Y76" s="31"/>
      <c r="Z76" s="31"/>
      <c r="AA76" s="2"/>
      <c r="AB76" s="31"/>
      <c r="AC76" s="31"/>
      <c r="AD76" s="31"/>
      <c r="AE76" s="37"/>
      <c r="AF76" s="37"/>
      <c r="AG76" s="37"/>
    </row>
    <row r="77" spans="1:33" ht="15.75" customHeight="1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6"/>
      <c r="V77" s="1"/>
      <c r="W77" s="31"/>
      <c r="X77" s="31"/>
      <c r="Y77" s="31"/>
      <c r="Z77" s="31"/>
      <c r="AA77" s="2"/>
      <c r="AB77" s="31"/>
      <c r="AC77" s="31"/>
      <c r="AD77" s="31"/>
      <c r="AE77" s="37"/>
      <c r="AF77" s="37"/>
      <c r="AG77" s="37"/>
    </row>
    <row r="78" spans="1:33" ht="15.75" customHeight="1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6"/>
      <c r="V78" s="1"/>
      <c r="W78" s="31"/>
      <c r="X78" s="31"/>
      <c r="Y78" s="31"/>
      <c r="Z78" s="31"/>
      <c r="AA78" s="2"/>
      <c r="AB78" s="31"/>
      <c r="AC78" s="31"/>
      <c r="AD78" s="31"/>
      <c r="AE78" s="37"/>
      <c r="AF78" s="37"/>
      <c r="AG78" s="37"/>
    </row>
    <row r="79" spans="1:33" ht="15.75" customHeight="1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6"/>
      <c r="V79" s="1"/>
      <c r="W79" s="31"/>
      <c r="X79" s="31"/>
      <c r="Y79" s="31"/>
      <c r="Z79" s="31"/>
      <c r="AA79" s="2"/>
      <c r="AB79" s="31"/>
      <c r="AC79" s="31"/>
      <c r="AD79" s="31"/>
      <c r="AE79" s="37"/>
      <c r="AF79" s="37"/>
      <c r="AG79" s="37"/>
    </row>
    <row r="80" spans="1:33" ht="15.75" customHeight="1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6"/>
      <c r="V80" s="1"/>
      <c r="W80" s="31"/>
      <c r="X80" s="31"/>
      <c r="Y80" s="31"/>
      <c r="Z80" s="31"/>
      <c r="AA80" s="2"/>
      <c r="AB80" s="31"/>
      <c r="AC80" s="31"/>
      <c r="AD80" s="31"/>
      <c r="AE80" s="37"/>
      <c r="AF80" s="37"/>
      <c r="AG80" s="37"/>
    </row>
    <row r="81" spans="1:33" ht="15.75" customHeight="1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6"/>
      <c r="V81" s="1"/>
      <c r="W81" s="31"/>
      <c r="X81" s="31"/>
      <c r="Y81" s="31"/>
      <c r="Z81" s="31"/>
      <c r="AA81" s="2"/>
      <c r="AB81" s="31"/>
      <c r="AC81" s="31"/>
      <c r="AD81" s="31"/>
      <c r="AE81" s="37"/>
      <c r="AF81" s="37"/>
      <c r="AG81" s="37"/>
    </row>
    <row r="82" spans="1:33" ht="15.75" customHeight="1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6"/>
      <c r="V82" s="1"/>
      <c r="W82" s="31"/>
      <c r="X82" s="31"/>
      <c r="Y82" s="31"/>
      <c r="Z82" s="31"/>
      <c r="AA82" s="2"/>
      <c r="AB82" s="31"/>
      <c r="AC82" s="31"/>
      <c r="AD82" s="31"/>
      <c r="AE82" s="37"/>
      <c r="AF82" s="37"/>
      <c r="AG82" s="37"/>
    </row>
    <row r="83" spans="1:33" ht="15.75" customHeight="1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6"/>
      <c r="V83" s="1"/>
      <c r="W83" s="31"/>
      <c r="X83" s="31"/>
      <c r="Y83" s="31"/>
      <c r="Z83" s="31"/>
      <c r="AA83" s="2"/>
      <c r="AB83" s="31"/>
      <c r="AC83" s="31"/>
      <c r="AD83" s="31"/>
      <c r="AE83" s="37"/>
      <c r="AF83" s="37"/>
      <c r="AG83" s="37"/>
    </row>
    <row r="84" spans="1:33" ht="15.75" customHeight="1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6"/>
      <c r="V84" s="1"/>
      <c r="W84" s="31"/>
      <c r="X84" s="31"/>
      <c r="Y84" s="31"/>
      <c r="Z84" s="31"/>
      <c r="AA84" s="2"/>
      <c r="AB84" s="31"/>
      <c r="AC84" s="31"/>
      <c r="AD84" s="31"/>
      <c r="AE84" s="37"/>
      <c r="AF84" s="37"/>
      <c r="AG84" s="37"/>
    </row>
    <row r="85" spans="1:33" ht="15.75" customHeight="1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6"/>
      <c r="V85" s="1"/>
      <c r="W85" s="31"/>
      <c r="X85" s="31"/>
      <c r="Y85" s="31"/>
      <c r="Z85" s="31"/>
      <c r="AA85" s="2"/>
      <c r="AB85" s="31"/>
      <c r="AC85" s="31"/>
      <c r="AD85" s="31"/>
      <c r="AE85" s="37"/>
      <c r="AF85" s="37"/>
      <c r="AG85" s="37"/>
    </row>
    <row r="86" spans="1:33" ht="15.75" customHeight="1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6"/>
      <c r="V86" s="1"/>
      <c r="W86" s="31"/>
      <c r="X86" s="31"/>
      <c r="Y86" s="31"/>
      <c r="Z86" s="31"/>
      <c r="AA86" s="2"/>
      <c r="AB86" s="31"/>
      <c r="AC86" s="31"/>
      <c r="AD86" s="31"/>
      <c r="AE86" s="37"/>
      <c r="AF86" s="37"/>
      <c r="AG86" s="37"/>
    </row>
    <row r="87" spans="1:33" ht="15.75" customHeight="1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6"/>
      <c r="V87" s="1"/>
      <c r="W87" s="31"/>
      <c r="X87" s="31"/>
      <c r="Y87" s="31"/>
      <c r="Z87" s="31"/>
      <c r="AA87" s="2"/>
      <c r="AB87" s="31"/>
      <c r="AC87" s="31"/>
      <c r="AD87" s="31"/>
      <c r="AE87" s="37"/>
      <c r="AF87" s="37"/>
      <c r="AG87" s="37"/>
    </row>
    <row r="88" spans="1:33" ht="15.75" customHeight="1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6"/>
      <c r="V88" s="1"/>
      <c r="W88" s="31"/>
      <c r="X88" s="31"/>
      <c r="Y88" s="31"/>
      <c r="Z88" s="31"/>
      <c r="AA88" s="2"/>
      <c r="AB88" s="31"/>
      <c r="AC88" s="31"/>
      <c r="AD88" s="31"/>
      <c r="AE88" s="37"/>
      <c r="AF88" s="37"/>
      <c r="AG88" s="37"/>
    </row>
    <row r="89" spans="1:33" ht="15.75" customHeight="1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6"/>
      <c r="V89" s="1"/>
      <c r="W89" s="31"/>
      <c r="X89" s="31"/>
      <c r="Y89" s="31"/>
      <c r="Z89" s="31"/>
      <c r="AA89" s="2"/>
      <c r="AB89" s="31"/>
      <c r="AC89" s="31"/>
      <c r="AD89" s="31"/>
      <c r="AE89" s="37"/>
      <c r="AF89" s="37"/>
      <c r="AG89" s="37"/>
    </row>
    <row r="90" spans="1:33" ht="15.75" customHeight="1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6"/>
      <c r="V90" s="1"/>
      <c r="W90" s="31"/>
      <c r="X90" s="31"/>
      <c r="Y90" s="31"/>
      <c r="Z90" s="31"/>
      <c r="AA90" s="2"/>
      <c r="AB90" s="31"/>
      <c r="AC90" s="31"/>
      <c r="AD90" s="31"/>
      <c r="AE90" s="37"/>
      <c r="AF90" s="37"/>
      <c r="AG90" s="37"/>
    </row>
    <row r="91" spans="1:33" ht="15.75" customHeight="1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6"/>
      <c r="V91" s="1"/>
      <c r="W91" s="31"/>
      <c r="X91" s="31"/>
      <c r="Y91" s="31"/>
      <c r="Z91" s="31"/>
      <c r="AA91" s="2"/>
      <c r="AB91" s="31"/>
      <c r="AC91" s="31"/>
      <c r="AD91" s="31"/>
      <c r="AE91" s="37"/>
      <c r="AF91" s="37"/>
      <c r="AG91" s="37"/>
    </row>
    <row r="92" spans="1:33" ht="15.75" customHeight="1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6"/>
      <c r="V92" s="1"/>
      <c r="W92" s="31"/>
      <c r="X92" s="31"/>
      <c r="Y92" s="31"/>
      <c r="Z92" s="31"/>
      <c r="AA92" s="2"/>
      <c r="AB92" s="31"/>
      <c r="AC92" s="31"/>
      <c r="AD92" s="31"/>
      <c r="AE92" s="37"/>
      <c r="AF92" s="37"/>
      <c r="AG92" s="37"/>
    </row>
    <row r="93" spans="1:33" ht="15.75" customHeight="1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6"/>
      <c r="V93" s="1"/>
      <c r="W93" s="31"/>
      <c r="X93" s="31"/>
      <c r="Y93" s="31"/>
      <c r="Z93" s="31"/>
      <c r="AA93" s="2"/>
      <c r="AB93" s="31"/>
      <c r="AC93" s="31"/>
      <c r="AD93" s="31"/>
      <c r="AE93" s="37"/>
      <c r="AF93" s="37"/>
      <c r="AG93" s="37"/>
    </row>
    <row r="94" spans="1:33" ht="15.75" customHeight="1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6"/>
      <c r="V94" s="1"/>
      <c r="W94" s="31"/>
      <c r="X94" s="31"/>
      <c r="Y94" s="31"/>
      <c r="Z94" s="31"/>
      <c r="AA94" s="2"/>
      <c r="AB94" s="31"/>
      <c r="AC94" s="31"/>
      <c r="AD94" s="31"/>
      <c r="AE94" s="37"/>
      <c r="AF94" s="37"/>
      <c r="AG94" s="37"/>
    </row>
    <row r="95" spans="1:33" ht="15.75" customHeight="1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6"/>
      <c r="V95" s="1"/>
      <c r="W95" s="31"/>
      <c r="X95" s="31"/>
      <c r="Y95" s="31"/>
      <c r="Z95" s="31"/>
      <c r="AA95" s="2"/>
      <c r="AB95" s="31"/>
      <c r="AC95" s="31"/>
      <c r="AD95" s="31"/>
      <c r="AE95" s="37"/>
      <c r="AF95" s="37"/>
      <c r="AG95" s="37"/>
    </row>
    <row r="96" spans="1:33" ht="15.75" customHeight="1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6"/>
      <c r="V96" s="1"/>
      <c r="W96" s="31"/>
      <c r="X96" s="31"/>
      <c r="Y96" s="31"/>
      <c r="Z96" s="31"/>
      <c r="AA96" s="2"/>
      <c r="AB96" s="31"/>
      <c r="AC96" s="31"/>
      <c r="AD96" s="31"/>
      <c r="AE96" s="37"/>
      <c r="AF96" s="37"/>
      <c r="AG96" s="37"/>
    </row>
    <row r="97" spans="1:33" ht="15.75" customHeight="1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8"/>
      <c r="R97" s="38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8"/>
      <c r="R98" s="38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8"/>
      <c r="R99" s="38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8"/>
      <c r="R100" s="38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8"/>
      <c r="R101" s="38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8"/>
      <c r="R102" s="38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8"/>
      <c r="R103" s="38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8"/>
      <c r="R104" s="38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8"/>
      <c r="R105" s="38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8"/>
      <c r="R106" s="38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8"/>
      <c r="R107" s="38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8"/>
      <c r="R108" s="38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8"/>
      <c r="R109" s="38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8"/>
      <c r="R110" s="38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8"/>
      <c r="R111" s="38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8"/>
      <c r="R112" s="38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8"/>
      <c r="R113" s="38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8"/>
      <c r="R114" s="38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>
      <c r="A115" s="31"/>
      <c r="B115" s="31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>
      <c r="A116" s="31"/>
      <c r="B116" s="31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>
      <c r="A117" s="31"/>
      <c r="B117" s="31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>
      <c r="A118" s="31"/>
      <c r="B118" s="31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>
      <c r="A119" s="31"/>
      <c r="B119" s="31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>
      <c r="A120" s="31"/>
      <c r="B120" s="31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>
      <c r="A121" s="31"/>
      <c r="B121" s="31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>
      <c r="A122" s="31"/>
      <c r="B122" s="31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>
      <c r="A123" s="31"/>
      <c r="B123" s="31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>
      <c r="A124" s="31"/>
      <c r="B124" s="31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>
      <c r="A125" s="31"/>
      <c r="B125" s="31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>
      <c r="A126" s="31"/>
      <c r="B126" s="31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>
      <c r="A127" s="31"/>
      <c r="B127" s="31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>
      <c r="A128" s="31"/>
      <c r="B128" s="31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>
      <c r="A129" s="31"/>
      <c r="B129" s="31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>
      <c r="A130" s="31"/>
      <c r="B130" s="31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>
      <c r="A131" s="31"/>
      <c r="B131" s="31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>
      <c r="A132" s="31"/>
      <c r="B132" s="31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>
      <c r="A133" s="31"/>
      <c r="B133" s="31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>
      <c r="A134" s="31"/>
      <c r="B134" s="31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>
      <c r="A135" s="31"/>
      <c r="B135" s="31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>
      <c r="A136" s="31"/>
      <c r="B136" s="31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>
      <c r="A137" s="31"/>
      <c r="B137" s="31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>
      <c r="A138" s="31"/>
      <c r="B138" s="31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>
      <c r="A139" s="31"/>
      <c r="B139" s="31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>
      <c r="A140" s="31"/>
      <c r="B140" s="31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>
      <c r="A141" s="31"/>
      <c r="B141" s="31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2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>
      <c r="A142" s="31"/>
      <c r="B142" s="31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2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>
      <c r="A143" s="31"/>
      <c r="B143" s="31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2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>
      <c r="A144" s="31"/>
      <c r="B144" s="31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2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>
      <c r="A145" s="31"/>
      <c r="B145" s="31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2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>
      <c r="A146" s="31"/>
      <c r="B146" s="31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2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>
      <c r="A147" s="31"/>
      <c r="B147" s="31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2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>
      <c r="A148" s="31"/>
      <c r="B148" s="31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2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</row>
    <row r="149" spans="1:33" ht="15.75" customHeight="1">
      <c r="A149" s="14"/>
      <c r="B149" s="14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>
      <c r="A150" s="14"/>
      <c r="B150" s="14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>
      <c r="A151" s="14"/>
      <c r="B151" s="14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>
      <c r="A152" s="14"/>
      <c r="B152" s="14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>
      <c r="A153" s="14"/>
      <c r="B153" s="14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>
      <c r="A154" s="14"/>
      <c r="B154" s="14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>
      <c r="A155" s="14"/>
      <c r="B155" s="14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>
      <c r="A156" s="14"/>
      <c r="B156" s="14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>
      <c r="A157" s="14"/>
      <c r="B157" s="14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>
      <c r="A158" s="14"/>
      <c r="B158" s="14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>
      <c r="A159" s="14"/>
      <c r="B159" s="14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>
      <c r="A160" s="14"/>
      <c r="B160" s="14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>
      <c r="A161" s="14"/>
      <c r="B161" s="14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>
      <c r="A162" s="14"/>
      <c r="B162" s="14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>
      <c r="A163" s="14"/>
      <c r="B163" s="14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>
      <c r="A164" s="14"/>
      <c r="B164" s="14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>
      <c r="A165" s="14"/>
      <c r="B165" s="14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>
      <c r="A166" s="14"/>
      <c r="B166" s="14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>
      <c r="A167" s="14"/>
      <c r="B167" s="14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>
      <c r="A168" s="14"/>
      <c r="B168" s="14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>
      <c r="A169" s="14"/>
      <c r="B169" s="14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>
      <c r="A170" s="14"/>
      <c r="B170" s="14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>
      <c r="A171" s="14"/>
      <c r="B171" s="14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>
      <c r="A172" s="14"/>
      <c r="B172" s="14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>
      <c r="A173" s="14"/>
      <c r="B173" s="14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>
      <c r="A174" s="14"/>
      <c r="B174" s="14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>
      <c r="A175" s="14"/>
      <c r="B175" s="14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>
      <c r="A176" s="14"/>
      <c r="B176" s="14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>
      <c r="A177" s="14"/>
      <c r="B177" s="14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>
      <c r="A178" s="14"/>
      <c r="B178" s="14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>
      <c r="A179" s="14"/>
      <c r="B179" s="14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>
      <c r="A180" s="14"/>
      <c r="B180" s="14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>
      <c r="A181" s="14"/>
      <c r="B181" s="14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>
      <c r="A182" s="14"/>
      <c r="B182" s="14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>
      <c r="A183" s="14"/>
      <c r="B183" s="14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>
      <c r="A184" s="14"/>
      <c r="B184" s="14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>
      <c r="A185" s="14"/>
      <c r="B185" s="14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>
      <c r="A186" s="14"/>
      <c r="B186" s="14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>
      <c r="A187" s="14"/>
      <c r="B187" s="14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>
      <c r="A188" s="14"/>
      <c r="B188" s="14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>
      <c r="A189" s="14"/>
      <c r="B189" s="14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>
      <c r="A190" s="14"/>
      <c r="B190" s="14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>
      <c r="A191" s="14"/>
      <c r="B191" s="14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>
      <c r="A192" s="14"/>
      <c r="B192" s="14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>
      <c r="A193" s="14"/>
      <c r="B193" s="14"/>
      <c r="C193" s="39"/>
      <c r="D193" s="39"/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>
      <c r="A194" s="14"/>
      <c r="B194" s="14"/>
      <c r="C194" s="39"/>
      <c r="D194" s="39"/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>
      <c r="A195" s="14"/>
      <c r="B195" s="14"/>
      <c r="C195" s="39"/>
      <c r="D195" s="39"/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>
      <c r="A196" s="14"/>
      <c r="B196" s="14"/>
      <c r="C196" s="39"/>
      <c r="D196" s="39"/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>
      <c r="A197" s="14"/>
      <c r="B197" s="14"/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>
      <c r="A198" s="14"/>
      <c r="B198" s="14"/>
      <c r="C198" s="39"/>
      <c r="D198" s="39"/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>
      <c r="A199" s="14"/>
      <c r="B199" s="14"/>
      <c r="C199" s="39"/>
      <c r="D199" s="39"/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>
      <c r="A200" s="14"/>
      <c r="B200" s="14"/>
      <c r="C200" s="39"/>
      <c r="D200" s="39"/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>
      <c r="A201" s="14"/>
      <c r="B201" s="14"/>
      <c r="C201" s="39"/>
      <c r="D201" s="39"/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>
      <c r="A202" s="14"/>
      <c r="B202" s="14"/>
      <c r="C202" s="39"/>
      <c r="D202" s="39"/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>
      <c r="A203" s="14"/>
      <c r="B203" s="14"/>
      <c r="C203" s="39"/>
      <c r="D203" s="39"/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>
      <c r="A204" s="14"/>
      <c r="B204" s="14"/>
      <c r="C204" s="39"/>
      <c r="D204" s="39"/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>
      <c r="A205" s="14"/>
      <c r="B205" s="14"/>
      <c r="C205" s="39"/>
      <c r="D205" s="39"/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>
      <c r="A206" s="14"/>
      <c r="B206" s="14"/>
      <c r="C206" s="39"/>
      <c r="D206" s="39"/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>
      <c r="A207" s="14"/>
      <c r="B207" s="14"/>
      <c r="C207" s="39"/>
      <c r="D207" s="39"/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>
      <c r="A208" s="14"/>
      <c r="B208" s="14"/>
      <c r="C208" s="39"/>
      <c r="D208" s="39"/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>
      <c r="A209" s="14"/>
      <c r="B209" s="14"/>
      <c r="C209" s="39"/>
      <c r="D209" s="39"/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>
      <c r="A210" s="14"/>
      <c r="B210" s="14"/>
      <c r="C210" s="39"/>
      <c r="D210" s="39"/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>
      <c r="A211" s="14"/>
      <c r="B211" s="14"/>
      <c r="C211" s="39"/>
      <c r="D211" s="39"/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>
      <c r="A212" s="14"/>
      <c r="B212" s="14"/>
      <c r="C212" s="39"/>
      <c r="D212" s="39"/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>
      <c r="A213" s="14"/>
      <c r="B213" s="14"/>
      <c r="C213" s="39"/>
      <c r="D213" s="39"/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>
      <c r="A214" s="14"/>
      <c r="B214" s="14"/>
      <c r="C214" s="39"/>
      <c r="D214" s="39"/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>
      <c r="A215" s="14"/>
      <c r="B215" s="14"/>
      <c r="C215" s="39"/>
      <c r="D215" s="39"/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>
      <c r="A216" s="14"/>
      <c r="B216" s="14"/>
      <c r="C216" s="39"/>
      <c r="D216" s="39"/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>
      <c r="A217" s="14"/>
      <c r="B217" s="14"/>
      <c r="C217" s="39"/>
      <c r="D217" s="39"/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>
      <c r="A218" s="14"/>
      <c r="B218" s="14"/>
      <c r="C218" s="39"/>
      <c r="D218" s="39"/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>
      <c r="A219" s="14"/>
      <c r="B219" s="14"/>
      <c r="C219" s="39"/>
      <c r="D219" s="39"/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>
      <c r="A220" s="14"/>
      <c r="B220" s="14"/>
      <c r="C220" s="39"/>
      <c r="D220" s="39"/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>
      <c r="R221" s="30"/>
      <c r="S221" s="40"/>
    </row>
    <row r="222" spans="1:33" ht="15.75" customHeight="1">
      <c r="R222" s="30"/>
      <c r="S222" s="40"/>
    </row>
    <row r="223" spans="1:33" ht="15.75" customHeight="1">
      <c r="R223" s="30"/>
      <c r="S223" s="40"/>
    </row>
    <row r="224" spans="1:33" ht="15.75" customHeight="1">
      <c r="R224" s="30"/>
      <c r="S224" s="40"/>
    </row>
    <row r="225" spans="18:18" ht="15.75" customHeight="1">
      <c r="R225" s="30"/>
    </row>
    <row r="226" spans="18:18" ht="15.75" customHeight="1">
      <c r="R226" s="30"/>
    </row>
    <row r="227" spans="18:18" ht="15.75" customHeight="1">
      <c r="R227" s="30"/>
    </row>
    <row r="228" spans="18:18" ht="15.75" customHeight="1">
      <c r="R228" s="30"/>
    </row>
    <row r="229" spans="18:18" ht="15.75" customHeight="1">
      <c r="R229" s="30"/>
    </row>
    <row r="230" spans="18:18" ht="15.75" customHeight="1">
      <c r="R230" s="30"/>
    </row>
    <row r="231" spans="18:18" ht="15.75" customHeight="1">
      <c r="R231" s="30"/>
    </row>
    <row r="232" spans="18:18" ht="15.75" customHeight="1">
      <c r="R232" s="30"/>
    </row>
    <row r="233" spans="18:18" ht="15.75" customHeight="1">
      <c r="R233" s="30"/>
    </row>
    <row r="234" spans="18:18" ht="15.75" customHeight="1">
      <c r="R234" s="30"/>
    </row>
    <row r="235" spans="18:18" ht="15.75" customHeight="1">
      <c r="R235" s="30"/>
    </row>
    <row r="236" spans="18:18" ht="15.75" customHeight="1">
      <c r="R236" s="30"/>
    </row>
    <row r="237" spans="18:18" ht="15.75" customHeight="1">
      <c r="R237" s="30"/>
    </row>
    <row r="238" spans="18:18" ht="15.75" customHeight="1">
      <c r="R238" s="30"/>
    </row>
    <row r="239" spans="18:18" ht="15.75" customHeight="1">
      <c r="R239" s="30"/>
    </row>
    <row r="240" spans="18:18" ht="15.75" customHeight="1">
      <c r="R240" s="30"/>
    </row>
    <row r="241" spans="18:18" ht="15.75" customHeight="1">
      <c r="R241" s="30"/>
    </row>
    <row r="242" spans="18:18" ht="15.75" customHeight="1">
      <c r="R242" s="30"/>
    </row>
    <row r="243" spans="18:18" ht="15.75" customHeight="1">
      <c r="R243" s="30"/>
    </row>
    <row r="244" spans="18:18" ht="15.75" customHeight="1">
      <c r="R244" s="30"/>
    </row>
    <row r="245" spans="18:18" ht="15.75" customHeight="1">
      <c r="R245" s="30"/>
    </row>
    <row r="246" spans="18:18" ht="15.75" customHeight="1">
      <c r="R246" s="30"/>
    </row>
    <row r="247" spans="18:18" ht="15.75" customHeight="1">
      <c r="R247" s="30"/>
    </row>
    <row r="248" spans="18:18" ht="15.75" customHeight="1">
      <c r="R248" s="30"/>
    </row>
    <row r="249" spans="18:18" ht="15.75" customHeight="1">
      <c r="R249" s="30"/>
    </row>
    <row r="250" spans="18:18" ht="15.75" customHeight="1">
      <c r="R250" s="30"/>
    </row>
    <row r="251" spans="18:18" ht="15.75" customHeight="1">
      <c r="R251" s="30"/>
    </row>
    <row r="252" spans="18:18" ht="15.75" customHeight="1">
      <c r="R252" s="30"/>
    </row>
    <row r="253" spans="18:18" ht="15.75" customHeight="1">
      <c r="R253" s="30"/>
    </row>
    <row r="254" spans="18:18" ht="15.75" customHeight="1">
      <c r="R254" s="30"/>
    </row>
    <row r="255" spans="18:18" ht="15.75" customHeight="1">
      <c r="R255" s="30"/>
    </row>
    <row r="256" spans="18:18" ht="15.75" customHeight="1">
      <c r="R256" s="30"/>
    </row>
    <row r="257" spans="18:18" ht="15.75" customHeight="1">
      <c r="R257" s="30"/>
    </row>
    <row r="258" spans="18:18" ht="15.75" customHeight="1">
      <c r="R258" s="30"/>
    </row>
    <row r="259" spans="18:18" ht="15.75" customHeight="1">
      <c r="R259" s="30"/>
    </row>
    <row r="260" spans="18:18" ht="15.75" customHeight="1">
      <c r="R260" s="30"/>
    </row>
    <row r="261" spans="18:18" ht="15.75" customHeight="1">
      <c r="R261" s="30"/>
    </row>
    <row r="262" spans="18:18" ht="15.75" customHeight="1">
      <c r="R262" s="30"/>
    </row>
    <row r="263" spans="18:18" ht="15.75" customHeight="1">
      <c r="R263" s="30"/>
    </row>
    <row r="264" spans="18:18" ht="15.75" customHeight="1">
      <c r="R264" s="30"/>
    </row>
    <row r="265" spans="18:18" ht="15.75" customHeight="1">
      <c r="R265" s="30"/>
    </row>
    <row r="266" spans="18:18" ht="15.75" customHeight="1">
      <c r="R266" s="30"/>
    </row>
    <row r="267" spans="18:18" ht="15.75" customHeight="1">
      <c r="R267" s="30"/>
    </row>
    <row r="268" spans="18:18" ht="15.75" customHeight="1">
      <c r="R268" s="30"/>
    </row>
    <row r="269" spans="18:18" ht="15.75" customHeight="1">
      <c r="R269" s="30"/>
    </row>
    <row r="270" spans="18:18" ht="15.75" customHeight="1">
      <c r="R270" s="30"/>
    </row>
    <row r="271" spans="18:18" ht="15.75" customHeight="1">
      <c r="R271" s="30"/>
    </row>
    <row r="272" spans="18:18" ht="15.75" customHeight="1">
      <c r="R272" s="30"/>
    </row>
    <row r="273" spans="18:18" ht="15.75" customHeight="1">
      <c r="R273" s="30"/>
    </row>
    <row r="274" spans="18:18" ht="15.75" customHeight="1">
      <c r="R274" s="30"/>
    </row>
    <row r="275" spans="18:18" ht="15.75" customHeight="1">
      <c r="R275" s="30"/>
    </row>
    <row r="276" spans="18:18" ht="15.75" customHeight="1">
      <c r="R276" s="30"/>
    </row>
    <row r="277" spans="18:18" ht="15.75" customHeight="1">
      <c r="R277" s="30"/>
    </row>
    <row r="278" spans="18:18" ht="15.75" customHeight="1">
      <c r="R278" s="30"/>
    </row>
    <row r="279" spans="18:18" ht="15.75" customHeight="1">
      <c r="R279" s="30"/>
    </row>
    <row r="280" spans="18:18" ht="15.75" customHeight="1">
      <c r="R280" s="30"/>
    </row>
    <row r="281" spans="18:18" ht="15.75" customHeight="1">
      <c r="R281" s="30"/>
    </row>
    <row r="282" spans="18:18" ht="15.75" customHeight="1">
      <c r="R282" s="30"/>
    </row>
    <row r="283" spans="18:18" ht="15.75" customHeight="1">
      <c r="R283" s="30"/>
    </row>
    <row r="284" spans="18:18" ht="15.75" customHeight="1">
      <c r="R284" s="30"/>
    </row>
    <row r="285" spans="18:18" ht="15.75" customHeight="1">
      <c r="R285" s="30"/>
    </row>
    <row r="286" spans="18:18" ht="15.75" customHeight="1">
      <c r="R286" s="30"/>
    </row>
    <row r="287" spans="18:18" ht="15.75" customHeight="1">
      <c r="R287" s="30"/>
    </row>
    <row r="288" spans="18:18" ht="15.75" customHeight="1">
      <c r="R288" s="30"/>
    </row>
    <row r="289" spans="18:18" ht="15.75" customHeight="1">
      <c r="R289" s="30"/>
    </row>
    <row r="290" spans="18:18" ht="15.75" customHeight="1">
      <c r="R290" s="30"/>
    </row>
    <row r="291" spans="18:18" ht="15.75" customHeight="1">
      <c r="R291" s="30"/>
    </row>
    <row r="292" spans="18:18" ht="15.75" customHeight="1">
      <c r="R292" s="30"/>
    </row>
    <row r="293" spans="18:18" ht="15.75" customHeight="1">
      <c r="R293" s="30"/>
    </row>
    <row r="294" spans="18:18" ht="15.75" customHeight="1">
      <c r="R294" s="30"/>
    </row>
    <row r="295" spans="18:18" ht="15.75" customHeight="1">
      <c r="R295" s="30"/>
    </row>
    <row r="296" spans="18:18" ht="15.75" customHeight="1">
      <c r="R296" s="30"/>
    </row>
    <row r="297" spans="18:18" ht="15.75" customHeight="1">
      <c r="R297" s="30"/>
    </row>
    <row r="298" spans="18:18" ht="15.75" customHeight="1">
      <c r="R298" s="30"/>
    </row>
    <row r="299" spans="18:18" ht="15.75" customHeight="1">
      <c r="R299" s="30"/>
    </row>
    <row r="300" spans="18:18" ht="15.75" customHeight="1">
      <c r="R300" s="30"/>
    </row>
    <row r="301" spans="18:18" ht="15.75" customHeight="1">
      <c r="R301" s="30"/>
    </row>
    <row r="302" spans="18:18" ht="15.75" customHeight="1">
      <c r="R302" s="30"/>
    </row>
    <row r="303" spans="18:18" ht="15.75" customHeight="1">
      <c r="R303" s="30"/>
    </row>
    <row r="304" spans="18:18" ht="15.75" customHeight="1">
      <c r="R304" s="30"/>
    </row>
    <row r="305" spans="18:18" ht="15.75" customHeight="1">
      <c r="R305" s="30"/>
    </row>
    <row r="306" spans="18:18" ht="15.75" customHeight="1">
      <c r="R306" s="30"/>
    </row>
    <row r="307" spans="18:18" ht="15.75" customHeight="1">
      <c r="R307" s="30"/>
    </row>
    <row r="308" spans="18:18" ht="15.75" customHeight="1">
      <c r="R308" s="30"/>
    </row>
    <row r="309" spans="18:18" ht="15.75" customHeight="1">
      <c r="R309" s="30"/>
    </row>
    <row r="310" spans="18:18" ht="15.75" customHeight="1">
      <c r="R310" s="30"/>
    </row>
    <row r="311" spans="18:18" ht="15.75" customHeight="1">
      <c r="R311" s="30"/>
    </row>
    <row r="312" spans="18:18" ht="15.75" customHeight="1">
      <c r="R312" s="30"/>
    </row>
    <row r="313" spans="18:18" ht="15.75" customHeight="1">
      <c r="R313" s="30"/>
    </row>
    <row r="314" spans="18:18" ht="15.75" customHeight="1">
      <c r="R314" s="30"/>
    </row>
    <row r="315" spans="18:18" ht="15.75" customHeight="1">
      <c r="R315" s="30"/>
    </row>
    <row r="316" spans="18:18" ht="15.75" customHeight="1">
      <c r="R316" s="30"/>
    </row>
    <row r="317" spans="18:18" ht="15.75" customHeight="1">
      <c r="R317" s="30"/>
    </row>
    <row r="318" spans="18:18" ht="15.75" customHeight="1">
      <c r="R318" s="30"/>
    </row>
    <row r="319" spans="18:18" ht="15.75" customHeight="1">
      <c r="R319" s="30"/>
    </row>
    <row r="320" spans="18:18" ht="15.75" customHeight="1">
      <c r="R320" s="30"/>
    </row>
    <row r="321" spans="18:18" ht="15.75" customHeight="1">
      <c r="R321" s="30"/>
    </row>
    <row r="322" spans="18:18" ht="15.75" customHeight="1">
      <c r="R322" s="30"/>
    </row>
    <row r="323" spans="18:18" ht="15.75" customHeight="1">
      <c r="R323" s="30"/>
    </row>
    <row r="324" spans="18:18" ht="15.75" customHeight="1">
      <c r="R324" s="30"/>
    </row>
    <row r="325" spans="18:18" ht="15.75" customHeight="1">
      <c r="R325" s="30"/>
    </row>
    <row r="326" spans="18:18" ht="15.75" customHeight="1">
      <c r="R326" s="30"/>
    </row>
    <row r="327" spans="18:18" ht="15.75" customHeight="1">
      <c r="R327" s="30"/>
    </row>
    <row r="328" spans="18:18" ht="15.75" customHeight="1">
      <c r="R328" s="30"/>
    </row>
    <row r="329" spans="18:18" ht="15.75" customHeight="1">
      <c r="R329" s="30"/>
    </row>
    <row r="330" spans="18:18" ht="15.75" customHeight="1">
      <c r="R330" s="30"/>
    </row>
    <row r="331" spans="18:18" ht="15.75" customHeight="1">
      <c r="R331" s="30"/>
    </row>
    <row r="332" spans="18:18" ht="15.75" customHeight="1">
      <c r="R332" s="30"/>
    </row>
    <row r="333" spans="18:18" ht="15.75" customHeight="1">
      <c r="R333" s="30"/>
    </row>
    <row r="334" spans="18:18" ht="15.75" customHeight="1">
      <c r="R334" s="30"/>
    </row>
    <row r="335" spans="18:18" ht="15.75" customHeight="1">
      <c r="R335" s="30"/>
    </row>
    <row r="336" spans="18:18" ht="15.75" customHeight="1">
      <c r="R336" s="30"/>
    </row>
    <row r="337" spans="18:18" ht="15.75" customHeight="1">
      <c r="R337" s="30"/>
    </row>
    <row r="338" spans="18:18" ht="15.75" customHeight="1">
      <c r="R338" s="30"/>
    </row>
    <row r="339" spans="18:18" ht="15.75" customHeight="1">
      <c r="R339" s="30"/>
    </row>
    <row r="340" spans="18:18" ht="15.75" customHeight="1">
      <c r="R340" s="30"/>
    </row>
    <row r="341" spans="18:18" ht="15.75" customHeight="1">
      <c r="R341" s="30"/>
    </row>
    <row r="342" spans="18:18" ht="15.75" customHeight="1">
      <c r="R342" s="30"/>
    </row>
    <row r="343" spans="18:18" ht="15.75" customHeight="1">
      <c r="R343" s="30"/>
    </row>
    <row r="344" spans="18:18" ht="15.75" customHeight="1">
      <c r="R344" s="30"/>
    </row>
    <row r="345" spans="18:18" ht="15.75" customHeight="1">
      <c r="R345" s="30"/>
    </row>
    <row r="346" spans="18:18" ht="15.75" customHeight="1">
      <c r="R346" s="30"/>
    </row>
    <row r="347" spans="18:18" ht="15.75" customHeight="1">
      <c r="R347" s="30"/>
    </row>
    <row r="348" spans="18:18" ht="15.75" customHeight="1">
      <c r="R348" s="30"/>
    </row>
    <row r="349" spans="18:18" ht="15.75" customHeight="1">
      <c r="R349" s="30"/>
    </row>
    <row r="350" spans="18:18" ht="15.75" customHeight="1">
      <c r="R350" s="30"/>
    </row>
    <row r="351" spans="18:18" ht="15.75" customHeight="1">
      <c r="R351" s="30"/>
    </row>
    <row r="352" spans="18:18" ht="15.75" customHeight="1">
      <c r="R352" s="30"/>
    </row>
    <row r="353" spans="18:18" ht="15.75" customHeight="1">
      <c r="R353" s="30"/>
    </row>
    <row r="354" spans="18:18" ht="15.75" customHeight="1">
      <c r="R354" s="30"/>
    </row>
    <row r="355" spans="18:18" ht="15.75" customHeight="1">
      <c r="R355" s="30"/>
    </row>
    <row r="356" spans="18:18" ht="15.75" customHeight="1">
      <c r="R356" s="30"/>
    </row>
    <row r="357" spans="18:18" ht="15.75" customHeight="1">
      <c r="R357" s="30"/>
    </row>
    <row r="358" spans="18:18" ht="15.75" customHeight="1">
      <c r="R358" s="30"/>
    </row>
    <row r="359" spans="18:18" ht="15.75" customHeight="1">
      <c r="R359" s="30"/>
    </row>
    <row r="360" spans="18:18" ht="15.75" customHeight="1">
      <c r="R360" s="30"/>
    </row>
    <row r="361" spans="18:18" ht="15.75" customHeight="1">
      <c r="R361" s="30"/>
    </row>
    <row r="362" spans="18:18" ht="15.75" customHeight="1">
      <c r="R362" s="30"/>
    </row>
    <row r="363" spans="18:18" ht="15.75" customHeight="1">
      <c r="R363" s="30"/>
    </row>
    <row r="364" spans="18:18" ht="15.75" customHeight="1">
      <c r="R364" s="30"/>
    </row>
    <row r="365" spans="18:18" ht="15.75" customHeight="1">
      <c r="R365" s="30"/>
    </row>
    <row r="366" spans="18:18" ht="15.75" customHeight="1">
      <c r="R366" s="30"/>
    </row>
    <row r="367" spans="18:18" ht="15.75" customHeight="1">
      <c r="R367" s="30"/>
    </row>
    <row r="368" spans="18:18" ht="15.75" customHeight="1">
      <c r="R368" s="30"/>
    </row>
    <row r="369" spans="18:18" ht="15.75" customHeight="1">
      <c r="R369" s="30"/>
    </row>
    <row r="370" spans="18:18" ht="15.75" customHeight="1">
      <c r="R370" s="30"/>
    </row>
    <row r="371" spans="18:18" ht="15.75" customHeight="1">
      <c r="R371" s="30"/>
    </row>
    <row r="372" spans="18:18" ht="15.75" customHeight="1">
      <c r="R372" s="30"/>
    </row>
    <row r="373" spans="18:18" ht="15.75" customHeight="1">
      <c r="R373" s="30"/>
    </row>
    <row r="374" spans="18:18" ht="15.75" customHeight="1">
      <c r="R374" s="30"/>
    </row>
    <row r="375" spans="18:18" ht="15.75" customHeight="1">
      <c r="R375" s="30"/>
    </row>
    <row r="376" spans="18:18" ht="15.75" customHeight="1">
      <c r="R376" s="30"/>
    </row>
    <row r="377" spans="18:18" ht="15.75" customHeight="1">
      <c r="R377" s="30"/>
    </row>
    <row r="378" spans="18:18" ht="15.75" customHeight="1">
      <c r="R378" s="30"/>
    </row>
    <row r="379" spans="18:18" ht="15.75" customHeight="1">
      <c r="R379" s="30"/>
    </row>
    <row r="380" spans="18:18" ht="15.75" customHeight="1">
      <c r="R380" s="30"/>
    </row>
    <row r="381" spans="18:18" ht="15.75" customHeight="1">
      <c r="R381" s="30"/>
    </row>
    <row r="382" spans="18:18" ht="15.75" customHeight="1">
      <c r="R382" s="30"/>
    </row>
    <row r="383" spans="18:18" ht="15.75" customHeight="1">
      <c r="R383" s="30"/>
    </row>
    <row r="384" spans="18:18" ht="15.75" customHeight="1">
      <c r="R384" s="30"/>
    </row>
    <row r="385" spans="18:18" ht="15.75" customHeight="1">
      <c r="R385" s="30"/>
    </row>
    <row r="386" spans="18:18" ht="15.75" customHeight="1">
      <c r="R386" s="30"/>
    </row>
    <row r="387" spans="18:18" ht="15.75" customHeight="1">
      <c r="R387" s="30"/>
    </row>
    <row r="388" spans="18:18" ht="15.75" customHeight="1">
      <c r="R388" s="30"/>
    </row>
    <row r="389" spans="18:18" ht="15.75" customHeight="1">
      <c r="R389" s="30"/>
    </row>
    <row r="390" spans="18:18" ht="15.75" customHeight="1">
      <c r="R390" s="30"/>
    </row>
    <row r="391" spans="18:18" ht="15.75" customHeight="1">
      <c r="R391" s="30"/>
    </row>
    <row r="392" spans="18:18" ht="15.75" customHeight="1">
      <c r="R392" s="30"/>
    </row>
    <row r="393" spans="18:18" ht="15.75" customHeight="1">
      <c r="R393" s="30"/>
    </row>
    <row r="394" spans="18:18" ht="15.75" customHeight="1">
      <c r="R394" s="30"/>
    </row>
    <row r="395" spans="18:18" ht="15.75" customHeight="1">
      <c r="R395" s="30"/>
    </row>
    <row r="396" spans="18:18" ht="15.75" customHeight="1">
      <c r="R396" s="30"/>
    </row>
    <row r="397" spans="18:18" ht="15.75" customHeight="1">
      <c r="R397" s="30"/>
    </row>
    <row r="398" spans="18:18" ht="15.75" customHeight="1">
      <c r="R398" s="30"/>
    </row>
    <row r="399" spans="18:18" ht="15.75" customHeight="1">
      <c r="R399" s="30"/>
    </row>
    <row r="400" spans="18:18" ht="15.75" customHeight="1">
      <c r="R400" s="30"/>
    </row>
    <row r="401" spans="18:18" ht="15.75" customHeight="1">
      <c r="R401" s="30"/>
    </row>
    <row r="402" spans="18:18" ht="15.75" customHeight="1">
      <c r="R402" s="30"/>
    </row>
    <row r="403" spans="18:18" ht="15.75" customHeight="1">
      <c r="R403" s="30"/>
    </row>
    <row r="404" spans="18:18" ht="15.75" customHeight="1">
      <c r="R404" s="30"/>
    </row>
    <row r="405" spans="18:18" ht="15.75" customHeight="1">
      <c r="R405" s="30"/>
    </row>
    <row r="406" spans="18:18" ht="15.75" customHeight="1">
      <c r="R406" s="30"/>
    </row>
    <row r="407" spans="18:18" ht="15.75" customHeight="1">
      <c r="R407" s="30"/>
    </row>
    <row r="408" spans="18:18" ht="15.75" customHeight="1">
      <c r="R408" s="30"/>
    </row>
    <row r="409" spans="18:18" ht="15.75" customHeight="1">
      <c r="R409" s="30"/>
    </row>
    <row r="410" spans="18:18" ht="15.75" customHeight="1">
      <c r="R410" s="30"/>
    </row>
    <row r="411" spans="18:18" ht="15.75" customHeight="1">
      <c r="R411" s="30"/>
    </row>
    <row r="412" spans="18:18" ht="15.75" customHeight="1">
      <c r="R412" s="30"/>
    </row>
    <row r="413" spans="18:18" ht="15.75" customHeight="1">
      <c r="R413" s="30"/>
    </row>
    <row r="414" spans="18:18" ht="15.75" customHeight="1">
      <c r="R414" s="30"/>
    </row>
    <row r="415" spans="18:18" ht="15.75" customHeight="1">
      <c r="R415" s="30"/>
    </row>
    <row r="416" spans="18:18" ht="15.75" customHeight="1">
      <c r="R416" s="30"/>
    </row>
    <row r="417" spans="18:18" ht="15.75" customHeight="1">
      <c r="R417" s="30"/>
    </row>
    <row r="418" spans="18:18" ht="15.75" customHeight="1">
      <c r="R418" s="30"/>
    </row>
    <row r="419" spans="18:18" ht="15.75" customHeight="1">
      <c r="R419" s="30"/>
    </row>
    <row r="420" spans="18:18" ht="15.75" customHeight="1">
      <c r="R420" s="30"/>
    </row>
    <row r="421" spans="18:18" ht="15.75" customHeight="1">
      <c r="R421" s="30"/>
    </row>
    <row r="422" spans="18:18" ht="15.75" customHeight="1">
      <c r="R422" s="30"/>
    </row>
    <row r="423" spans="18:18" ht="15.75" customHeight="1">
      <c r="R423" s="30"/>
    </row>
    <row r="424" spans="18:18" ht="15.75" customHeight="1">
      <c r="R424" s="30"/>
    </row>
    <row r="425" spans="18:18" ht="15.75" customHeight="1">
      <c r="R425" s="30"/>
    </row>
    <row r="426" spans="18:18" ht="15.75" customHeight="1">
      <c r="R426" s="30"/>
    </row>
    <row r="427" spans="18:18" ht="15.75" customHeight="1">
      <c r="R427" s="30"/>
    </row>
    <row r="428" spans="18:18" ht="15.75" customHeight="1">
      <c r="R428" s="30"/>
    </row>
    <row r="429" spans="18:18" ht="15.75" customHeight="1">
      <c r="R429" s="30"/>
    </row>
    <row r="430" spans="18:18" ht="15.75" customHeight="1">
      <c r="R430" s="30"/>
    </row>
    <row r="431" spans="18:18" ht="15.75" customHeight="1">
      <c r="R431" s="30"/>
    </row>
    <row r="432" spans="18:18" ht="15.75" customHeight="1">
      <c r="R432" s="30"/>
    </row>
    <row r="433" spans="18:18" ht="15.75" customHeight="1">
      <c r="R433" s="30"/>
    </row>
    <row r="434" spans="18:18" ht="15.75" customHeight="1">
      <c r="R434" s="30"/>
    </row>
    <row r="435" spans="18:18" ht="15.75" customHeight="1">
      <c r="R435" s="30"/>
    </row>
    <row r="436" spans="18:18" ht="15.75" customHeight="1">
      <c r="R436" s="30"/>
    </row>
    <row r="437" spans="18:18" ht="15.75" customHeight="1">
      <c r="R437" s="30"/>
    </row>
    <row r="438" spans="18:18" ht="15.75" customHeight="1">
      <c r="R438" s="30"/>
    </row>
    <row r="439" spans="18:18" ht="15.75" customHeight="1">
      <c r="R439" s="30"/>
    </row>
    <row r="440" spans="18:18" ht="15.75" customHeight="1">
      <c r="R440" s="30"/>
    </row>
    <row r="441" spans="18:18" ht="15.75" customHeight="1">
      <c r="R441" s="30"/>
    </row>
    <row r="442" spans="18:18" ht="15.75" customHeight="1">
      <c r="R442" s="30"/>
    </row>
    <row r="443" spans="18:18" ht="15.75" customHeight="1">
      <c r="R443" s="30"/>
    </row>
    <row r="444" spans="18:18" ht="15.75" customHeight="1">
      <c r="R444" s="30"/>
    </row>
    <row r="445" spans="18:18" ht="15.75" customHeight="1">
      <c r="R445" s="30"/>
    </row>
    <row r="446" spans="18:18" ht="15.75" customHeight="1">
      <c r="R446" s="30"/>
    </row>
    <row r="447" spans="18:18" ht="15.75" customHeight="1">
      <c r="R447" s="30"/>
    </row>
    <row r="448" spans="18:18" ht="15.75" customHeight="1">
      <c r="R448" s="30"/>
    </row>
    <row r="449" spans="18:18" ht="15.75" customHeight="1">
      <c r="R449" s="30"/>
    </row>
    <row r="450" spans="18:18" ht="15.75" customHeight="1">
      <c r="R450" s="30"/>
    </row>
    <row r="451" spans="18:18" ht="15.75" customHeight="1">
      <c r="R451" s="30"/>
    </row>
    <row r="452" spans="18:18" ht="15.75" customHeight="1">
      <c r="R452" s="30"/>
    </row>
    <row r="453" spans="18:18" ht="15.75" customHeight="1">
      <c r="R453" s="30"/>
    </row>
    <row r="454" spans="18:18" ht="15.75" customHeight="1">
      <c r="R454" s="30"/>
    </row>
    <row r="455" spans="18:18" ht="15.75" customHeight="1">
      <c r="R455" s="30"/>
    </row>
    <row r="456" spans="18:18" ht="15.75" customHeight="1">
      <c r="R456" s="30"/>
    </row>
    <row r="457" spans="18:18" ht="15.75" customHeight="1">
      <c r="R457" s="30"/>
    </row>
    <row r="458" spans="18:18" ht="15.75" customHeight="1">
      <c r="R458" s="30"/>
    </row>
    <row r="459" spans="18:18" ht="15.75" customHeight="1">
      <c r="R459" s="30"/>
    </row>
    <row r="460" spans="18:18" ht="15.75" customHeight="1">
      <c r="R460" s="30"/>
    </row>
    <row r="461" spans="18:18" ht="15.75" customHeight="1">
      <c r="R461" s="30"/>
    </row>
    <row r="462" spans="18:18" ht="15.75" customHeight="1">
      <c r="R462" s="30"/>
    </row>
    <row r="463" spans="18:18" ht="15.75" customHeight="1">
      <c r="R463" s="30"/>
    </row>
    <row r="464" spans="18:18" ht="15.75" customHeight="1">
      <c r="R464" s="30"/>
    </row>
    <row r="465" spans="18:18" ht="15.75" customHeight="1">
      <c r="R465" s="30"/>
    </row>
    <row r="466" spans="18:18" ht="15.75" customHeight="1">
      <c r="R466" s="30"/>
    </row>
    <row r="467" spans="18:18" ht="15.75" customHeight="1">
      <c r="R467" s="30"/>
    </row>
    <row r="468" spans="18:18" ht="15.75" customHeight="1">
      <c r="R468" s="30"/>
    </row>
    <row r="469" spans="18:18" ht="15.75" customHeight="1">
      <c r="R469" s="30"/>
    </row>
    <row r="470" spans="18:18" ht="15.75" customHeight="1">
      <c r="R470" s="30"/>
    </row>
    <row r="471" spans="18:18" ht="15.75" customHeight="1">
      <c r="R471" s="30"/>
    </row>
    <row r="472" spans="18:18" ht="15.75" customHeight="1">
      <c r="R472" s="30"/>
    </row>
    <row r="473" spans="18:18" ht="15.75" customHeight="1">
      <c r="R473" s="30"/>
    </row>
    <row r="474" spans="18:18" ht="15.75" customHeight="1">
      <c r="R474" s="30"/>
    </row>
    <row r="475" spans="18:18" ht="15.75" customHeight="1">
      <c r="R475" s="30"/>
    </row>
    <row r="476" spans="18:18" ht="15.75" customHeight="1">
      <c r="R476" s="30"/>
    </row>
    <row r="477" spans="18:18" ht="15.75" customHeight="1">
      <c r="R477" s="30"/>
    </row>
    <row r="478" spans="18:18" ht="15.75" customHeight="1">
      <c r="R478" s="30"/>
    </row>
    <row r="479" spans="18:18" ht="15.75" customHeight="1">
      <c r="R479" s="30"/>
    </row>
    <row r="480" spans="18:18" ht="15.75" customHeight="1">
      <c r="R480" s="30"/>
    </row>
    <row r="481" spans="18:18" ht="15.75" customHeight="1">
      <c r="R481" s="30"/>
    </row>
    <row r="482" spans="18:18" ht="15.75" customHeight="1">
      <c r="R482" s="30"/>
    </row>
    <row r="483" spans="18:18" ht="15.75" customHeight="1">
      <c r="R483" s="30"/>
    </row>
    <row r="484" spans="18:18" ht="15.75" customHeight="1">
      <c r="R484" s="30"/>
    </row>
    <row r="485" spans="18:18" ht="15.75" customHeight="1">
      <c r="R485" s="30"/>
    </row>
    <row r="486" spans="18:18" ht="15.75" customHeight="1">
      <c r="R486" s="30"/>
    </row>
    <row r="487" spans="18:18" ht="15.75" customHeight="1">
      <c r="R487" s="30"/>
    </row>
    <row r="488" spans="18:18" ht="15.75" customHeight="1">
      <c r="R488" s="30"/>
    </row>
    <row r="489" spans="18:18" ht="15.75" customHeight="1">
      <c r="R489" s="30"/>
    </row>
    <row r="490" spans="18:18" ht="15.75" customHeight="1">
      <c r="R490" s="30"/>
    </row>
    <row r="491" spans="18:18" ht="15.75" customHeight="1">
      <c r="R491" s="30"/>
    </row>
    <row r="492" spans="18:18" ht="15.75" customHeight="1">
      <c r="R492" s="30"/>
    </row>
    <row r="493" spans="18:18" ht="15.75" customHeight="1">
      <c r="R493" s="30"/>
    </row>
    <row r="494" spans="18:18" ht="15.75" customHeight="1">
      <c r="R494" s="30"/>
    </row>
    <row r="495" spans="18:18" ht="15.75" customHeight="1">
      <c r="R495" s="30"/>
    </row>
    <row r="496" spans="18:18" ht="15.75" customHeight="1">
      <c r="R496" s="30"/>
    </row>
    <row r="497" spans="18:18" ht="15.75" customHeight="1">
      <c r="R497" s="30"/>
    </row>
    <row r="498" spans="18:18" ht="15.75" customHeight="1">
      <c r="R498" s="30"/>
    </row>
    <row r="499" spans="18:18" ht="15.75" customHeight="1">
      <c r="R499" s="30"/>
    </row>
    <row r="500" spans="18:18" ht="15.75" customHeight="1">
      <c r="R500" s="30"/>
    </row>
    <row r="501" spans="18:18" ht="15.75" customHeight="1">
      <c r="R501" s="30"/>
    </row>
    <row r="502" spans="18:18" ht="15.75" customHeight="1">
      <c r="R502" s="30"/>
    </row>
    <row r="503" spans="18:18" ht="15.75" customHeight="1">
      <c r="R503" s="30"/>
    </row>
    <row r="504" spans="18:18" ht="15.75" customHeight="1">
      <c r="R504" s="30"/>
    </row>
    <row r="505" spans="18:18" ht="15.75" customHeight="1">
      <c r="R505" s="30"/>
    </row>
    <row r="506" spans="18:18" ht="15.75" customHeight="1">
      <c r="R506" s="30"/>
    </row>
    <row r="507" spans="18:18" ht="15.75" customHeight="1">
      <c r="R507" s="30"/>
    </row>
    <row r="508" spans="18:18" ht="15.75" customHeight="1">
      <c r="R508" s="30"/>
    </row>
    <row r="509" spans="18:18" ht="15.75" customHeight="1">
      <c r="R509" s="30"/>
    </row>
    <row r="510" spans="18:18" ht="15.75" customHeight="1">
      <c r="R510" s="30"/>
    </row>
    <row r="511" spans="18:18" ht="15.75" customHeight="1">
      <c r="R511" s="30"/>
    </row>
    <row r="512" spans="18:18" ht="15.75" customHeight="1">
      <c r="R512" s="30"/>
    </row>
    <row r="513" spans="18:18" ht="15.75" customHeight="1">
      <c r="R513" s="30"/>
    </row>
    <row r="514" spans="18:18" ht="15.75" customHeight="1">
      <c r="R514" s="30"/>
    </row>
    <row r="515" spans="18:18" ht="15.75" customHeight="1">
      <c r="R515" s="30"/>
    </row>
    <row r="516" spans="18:18" ht="15.75" customHeight="1">
      <c r="R516" s="30"/>
    </row>
    <row r="517" spans="18:18" ht="15.75" customHeight="1">
      <c r="R517" s="30"/>
    </row>
    <row r="518" spans="18:18" ht="15.75" customHeight="1">
      <c r="R518" s="30"/>
    </row>
    <row r="519" spans="18:18" ht="15.75" customHeight="1">
      <c r="R519" s="30"/>
    </row>
    <row r="520" spans="18:18" ht="15.75" customHeight="1">
      <c r="R520" s="30"/>
    </row>
    <row r="521" spans="18:18" ht="15.75" customHeight="1">
      <c r="R521" s="30"/>
    </row>
    <row r="522" spans="18:18" ht="15.75" customHeight="1">
      <c r="R522" s="30"/>
    </row>
    <row r="523" spans="18:18" ht="15.75" customHeight="1">
      <c r="R523" s="30"/>
    </row>
    <row r="524" spans="18:18" ht="15.75" customHeight="1">
      <c r="R524" s="30"/>
    </row>
    <row r="525" spans="18:18" ht="15.75" customHeight="1">
      <c r="R525" s="30"/>
    </row>
    <row r="526" spans="18:18" ht="15.75" customHeight="1">
      <c r="R526" s="30"/>
    </row>
    <row r="527" spans="18:18" ht="15.75" customHeight="1">
      <c r="R527" s="30"/>
    </row>
    <row r="528" spans="18:18" ht="15.75" customHeight="1">
      <c r="R528" s="30"/>
    </row>
    <row r="529" spans="18:18" ht="15.75" customHeight="1">
      <c r="R529" s="30"/>
    </row>
    <row r="530" spans="18:18" ht="15.75" customHeight="1">
      <c r="R530" s="30"/>
    </row>
    <row r="531" spans="18:18" ht="15.75" customHeight="1">
      <c r="R531" s="30"/>
    </row>
    <row r="532" spans="18:18" ht="15.75" customHeight="1">
      <c r="R532" s="30"/>
    </row>
    <row r="533" spans="18:18" ht="15.75" customHeight="1">
      <c r="R533" s="30"/>
    </row>
    <row r="534" spans="18:18" ht="15.75" customHeight="1">
      <c r="R534" s="30"/>
    </row>
    <row r="535" spans="18:18" ht="15.75" customHeight="1">
      <c r="R535" s="30"/>
    </row>
    <row r="536" spans="18:18" ht="15.75" customHeight="1">
      <c r="R536" s="30"/>
    </row>
    <row r="537" spans="18:18" ht="15.75" customHeight="1">
      <c r="R537" s="30"/>
    </row>
    <row r="538" spans="18:18" ht="15.75" customHeight="1">
      <c r="R538" s="30"/>
    </row>
    <row r="539" spans="18:18" ht="15.75" customHeight="1">
      <c r="R539" s="30"/>
    </row>
    <row r="540" spans="18:18" ht="15.75" customHeight="1">
      <c r="R540" s="30"/>
    </row>
    <row r="541" spans="18:18" ht="15.75" customHeight="1">
      <c r="R541" s="30"/>
    </row>
    <row r="542" spans="18:18" ht="15.75" customHeight="1">
      <c r="R542" s="30"/>
    </row>
    <row r="543" spans="18:18" ht="15.75" customHeight="1">
      <c r="R543" s="30"/>
    </row>
    <row r="544" spans="18:18" ht="15.75" customHeight="1">
      <c r="R544" s="30"/>
    </row>
    <row r="545" spans="18:18" ht="15.75" customHeight="1">
      <c r="R545" s="30"/>
    </row>
    <row r="546" spans="18:18" ht="15.75" customHeight="1">
      <c r="R546" s="30"/>
    </row>
    <row r="547" spans="18:18" ht="15.75" customHeight="1">
      <c r="R547" s="30"/>
    </row>
    <row r="548" spans="18:18" ht="15.75" customHeight="1">
      <c r="R548" s="30"/>
    </row>
    <row r="549" spans="18:18" ht="15.75" customHeight="1">
      <c r="R549" s="30"/>
    </row>
    <row r="550" spans="18:18" ht="15.75" customHeight="1">
      <c r="R550" s="30"/>
    </row>
    <row r="551" spans="18:18" ht="15.75" customHeight="1">
      <c r="R551" s="30"/>
    </row>
    <row r="552" spans="18:18" ht="15.75" customHeight="1">
      <c r="R552" s="30"/>
    </row>
    <row r="553" spans="18:18" ht="15.75" customHeight="1">
      <c r="R553" s="30"/>
    </row>
    <row r="554" spans="18:18" ht="15.75" customHeight="1">
      <c r="R554" s="30"/>
    </row>
    <row r="555" spans="18:18" ht="15.75" customHeight="1">
      <c r="R555" s="30"/>
    </row>
    <row r="556" spans="18:18" ht="15.75" customHeight="1">
      <c r="R556" s="30"/>
    </row>
    <row r="557" spans="18:18" ht="15.75" customHeight="1">
      <c r="R557" s="30"/>
    </row>
    <row r="558" spans="18:18" ht="15.75" customHeight="1">
      <c r="R558" s="30"/>
    </row>
    <row r="559" spans="18:18" ht="15.75" customHeight="1">
      <c r="R559" s="30"/>
    </row>
    <row r="560" spans="18:18" ht="15.75" customHeight="1">
      <c r="R560" s="30"/>
    </row>
    <row r="561" spans="18:18" ht="15.75" customHeight="1">
      <c r="R561" s="30"/>
    </row>
    <row r="562" spans="18:18" ht="15.75" customHeight="1">
      <c r="R562" s="30"/>
    </row>
    <row r="563" spans="18:18" ht="15.75" customHeight="1">
      <c r="R563" s="30"/>
    </row>
    <row r="564" spans="18:18" ht="15.75" customHeight="1">
      <c r="R564" s="30"/>
    </row>
    <row r="565" spans="18:18" ht="15.75" customHeight="1">
      <c r="R565" s="30"/>
    </row>
    <row r="566" spans="18:18" ht="15.75" customHeight="1">
      <c r="R566" s="30"/>
    </row>
    <row r="567" spans="18:18" ht="15.75" customHeight="1">
      <c r="R567" s="30"/>
    </row>
    <row r="568" spans="18:18" ht="15.75" customHeight="1">
      <c r="R568" s="30"/>
    </row>
    <row r="569" spans="18:18" ht="15.75" customHeight="1">
      <c r="R569" s="30"/>
    </row>
    <row r="570" spans="18:18" ht="15.75" customHeight="1">
      <c r="R570" s="30"/>
    </row>
    <row r="571" spans="18:18" ht="15.75" customHeight="1">
      <c r="R571" s="30"/>
    </row>
    <row r="572" spans="18:18" ht="15.75" customHeight="1">
      <c r="R572" s="30"/>
    </row>
    <row r="573" spans="18:18" ht="15.75" customHeight="1">
      <c r="R573" s="30"/>
    </row>
    <row r="574" spans="18:18" ht="15.75" customHeight="1">
      <c r="R574" s="30"/>
    </row>
    <row r="575" spans="18:18" ht="15.75" customHeight="1">
      <c r="R575" s="30"/>
    </row>
    <row r="576" spans="18:18" ht="15.75" customHeight="1">
      <c r="R576" s="30"/>
    </row>
    <row r="577" spans="18:18" ht="15.75" customHeight="1">
      <c r="R577" s="30"/>
    </row>
    <row r="578" spans="18:18" ht="15.75" customHeight="1">
      <c r="R578" s="30"/>
    </row>
    <row r="579" spans="18:18" ht="15.75" customHeight="1">
      <c r="R579" s="30"/>
    </row>
    <row r="580" spans="18:18" ht="15.75" customHeight="1">
      <c r="R580" s="30"/>
    </row>
    <row r="581" spans="18:18" ht="15.75" customHeight="1">
      <c r="R581" s="30"/>
    </row>
    <row r="582" spans="18:18" ht="15.75" customHeight="1">
      <c r="R582" s="30"/>
    </row>
    <row r="583" spans="18:18" ht="15.75" customHeight="1">
      <c r="R583" s="30"/>
    </row>
    <row r="584" spans="18:18" ht="15.75" customHeight="1">
      <c r="R584" s="30"/>
    </row>
    <row r="585" spans="18:18" ht="15.75" customHeight="1">
      <c r="R585" s="30"/>
    </row>
    <row r="586" spans="18:18" ht="15.75" customHeight="1">
      <c r="R586" s="30"/>
    </row>
    <row r="587" spans="18:18" ht="15.75" customHeight="1">
      <c r="R587" s="30"/>
    </row>
    <row r="588" spans="18:18" ht="15.75" customHeight="1">
      <c r="R588" s="30"/>
    </row>
    <row r="589" spans="18:18" ht="15.75" customHeight="1">
      <c r="R589" s="30"/>
    </row>
    <row r="590" spans="18:18" ht="15.75" customHeight="1">
      <c r="R590" s="30"/>
    </row>
    <row r="591" spans="18:18" ht="15.75" customHeight="1">
      <c r="R591" s="30"/>
    </row>
    <row r="592" spans="18:18" ht="15.75" customHeight="1">
      <c r="R592" s="30"/>
    </row>
    <row r="593" spans="18:18" ht="15.75" customHeight="1">
      <c r="R593" s="30"/>
    </row>
    <row r="594" spans="18:18" ht="15.75" customHeight="1">
      <c r="R594" s="30"/>
    </row>
    <row r="595" spans="18:18" ht="15.75" customHeight="1">
      <c r="R595" s="30"/>
    </row>
    <row r="596" spans="18:18" ht="15.75" customHeight="1">
      <c r="R596" s="30"/>
    </row>
    <row r="597" spans="18:18" ht="15.75" customHeight="1">
      <c r="R597" s="30"/>
    </row>
    <row r="598" spans="18:18" ht="15.75" customHeight="1">
      <c r="R598" s="30"/>
    </row>
    <row r="599" spans="18:18" ht="15.75" customHeight="1">
      <c r="R599" s="30"/>
    </row>
    <row r="600" spans="18:18" ht="15.75" customHeight="1">
      <c r="R600" s="30"/>
    </row>
    <row r="601" spans="18:18" ht="15.75" customHeight="1">
      <c r="R601" s="30"/>
    </row>
    <row r="602" spans="18:18" ht="15.75" customHeight="1">
      <c r="R602" s="30"/>
    </row>
    <row r="603" spans="18:18" ht="15.75" customHeight="1">
      <c r="R603" s="30"/>
    </row>
    <row r="604" spans="18:18" ht="15.75" customHeight="1">
      <c r="R604" s="30"/>
    </row>
    <row r="605" spans="18:18" ht="15.75" customHeight="1">
      <c r="R605" s="30"/>
    </row>
    <row r="606" spans="18:18" ht="15.75" customHeight="1">
      <c r="R606" s="30"/>
    </row>
    <row r="607" spans="18:18" ht="15.75" customHeight="1">
      <c r="R607" s="30"/>
    </row>
    <row r="608" spans="18:18" ht="15.75" customHeight="1">
      <c r="R608" s="30"/>
    </row>
    <row r="609" spans="18:18" ht="15.75" customHeight="1">
      <c r="R609" s="30"/>
    </row>
    <row r="610" spans="18:18" ht="15.75" customHeight="1">
      <c r="R610" s="30"/>
    </row>
    <row r="611" spans="18:18" ht="15.75" customHeight="1">
      <c r="R611" s="30"/>
    </row>
    <row r="612" spans="18:18" ht="15.75" customHeight="1">
      <c r="R612" s="30"/>
    </row>
    <row r="613" spans="18:18" ht="15.75" customHeight="1">
      <c r="R613" s="30"/>
    </row>
    <row r="614" spans="18:18" ht="15.75" customHeight="1">
      <c r="R614" s="30"/>
    </row>
    <row r="615" spans="18:18" ht="15.75" customHeight="1">
      <c r="R615" s="30"/>
    </row>
    <row r="616" spans="18:18" ht="15.75" customHeight="1">
      <c r="R616" s="30"/>
    </row>
    <row r="617" spans="18:18" ht="15.75" customHeight="1">
      <c r="R617" s="30"/>
    </row>
    <row r="618" spans="18:18" ht="15.75" customHeight="1">
      <c r="R618" s="30"/>
    </row>
    <row r="619" spans="18:18" ht="15.75" customHeight="1">
      <c r="R619" s="30"/>
    </row>
    <row r="620" spans="18:18" ht="15.75" customHeight="1">
      <c r="R620" s="30"/>
    </row>
    <row r="621" spans="18:18" ht="15.75" customHeight="1">
      <c r="R621" s="30"/>
    </row>
    <row r="622" spans="18:18" ht="15.75" customHeight="1">
      <c r="R622" s="30"/>
    </row>
    <row r="623" spans="18:18" ht="15.75" customHeight="1">
      <c r="R623" s="30"/>
    </row>
    <row r="624" spans="18:18" ht="15.75" customHeight="1">
      <c r="R624" s="30"/>
    </row>
    <row r="625" spans="18:18" ht="15.75" customHeight="1">
      <c r="R625" s="30"/>
    </row>
    <row r="626" spans="18:18" ht="15.75" customHeight="1">
      <c r="R626" s="30"/>
    </row>
    <row r="627" spans="18:18" ht="15.75" customHeight="1">
      <c r="R627" s="30"/>
    </row>
    <row r="628" spans="18:18" ht="15.75" customHeight="1">
      <c r="R628" s="30"/>
    </row>
    <row r="629" spans="18:18" ht="15.75" customHeight="1">
      <c r="R629" s="30"/>
    </row>
    <row r="630" spans="18:18" ht="15.75" customHeight="1">
      <c r="R630" s="30"/>
    </row>
    <row r="631" spans="18:18" ht="15.75" customHeight="1">
      <c r="R631" s="30"/>
    </row>
    <row r="632" spans="18:18" ht="15.75" customHeight="1">
      <c r="R632" s="30"/>
    </row>
    <row r="633" spans="18:18" ht="15.75" customHeight="1">
      <c r="R633" s="30"/>
    </row>
    <row r="634" spans="18:18" ht="15.75" customHeight="1">
      <c r="R634" s="30"/>
    </row>
    <row r="635" spans="18:18" ht="15.75" customHeight="1">
      <c r="R635" s="30"/>
    </row>
    <row r="636" spans="18:18" ht="15.75" customHeight="1">
      <c r="R636" s="30"/>
    </row>
    <row r="637" spans="18:18" ht="15.75" customHeight="1">
      <c r="R637" s="30"/>
    </row>
    <row r="638" spans="18:18" ht="15.75" customHeight="1">
      <c r="R638" s="30"/>
    </row>
    <row r="639" spans="18:18" ht="15.75" customHeight="1">
      <c r="R639" s="30"/>
    </row>
    <row r="640" spans="18:18" ht="15.75" customHeight="1">
      <c r="R640" s="30"/>
    </row>
    <row r="641" spans="18:18" ht="15.75" customHeight="1">
      <c r="R641" s="30"/>
    </row>
    <row r="642" spans="18:18" ht="15.75" customHeight="1">
      <c r="R642" s="30"/>
    </row>
    <row r="643" spans="18:18" ht="15.75" customHeight="1">
      <c r="R643" s="30"/>
    </row>
    <row r="644" spans="18:18" ht="15.75" customHeight="1">
      <c r="R644" s="30"/>
    </row>
    <row r="645" spans="18:18" ht="15.75" customHeight="1">
      <c r="R645" s="30"/>
    </row>
    <row r="646" spans="18:18" ht="15.75" customHeight="1">
      <c r="R646" s="30"/>
    </row>
    <row r="647" spans="18:18" ht="15.75" customHeight="1">
      <c r="R647" s="30"/>
    </row>
    <row r="648" spans="18:18" ht="15.75" customHeight="1">
      <c r="R648" s="30"/>
    </row>
    <row r="649" spans="18:18" ht="15.75" customHeight="1">
      <c r="R649" s="30"/>
    </row>
    <row r="650" spans="18:18" ht="15.75" customHeight="1">
      <c r="R650" s="30"/>
    </row>
    <row r="651" spans="18:18" ht="15.75" customHeight="1">
      <c r="R651" s="30"/>
    </row>
    <row r="652" spans="18:18" ht="15.75" customHeight="1">
      <c r="R652" s="30"/>
    </row>
    <row r="653" spans="18:18" ht="15.75" customHeight="1">
      <c r="R653" s="30"/>
    </row>
    <row r="654" spans="18:18" ht="15.75" customHeight="1">
      <c r="R654" s="30"/>
    </row>
    <row r="655" spans="18:18" ht="15.75" customHeight="1">
      <c r="R655" s="30"/>
    </row>
    <row r="656" spans="18:18" ht="15.75" customHeight="1">
      <c r="R656" s="30"/>
    </row>
    <row r="657" spans="18:18" ht="15.75" customHeight="1">
      <c r="R657" s="30"/>
    </row>
    <row r="658" spans="18:18" ht="15.75" customHeight="1">
      <c r="R658" s="30"/>
    </row>
    <row r="659" spans="18:18" ht="15.75" customHeight="1">
      <c r="R659" s="30"/>
    </row>
    <row r="660" spans="18:18" ht="15.75" customHeight="1">
      <c r="R660" s="30"/>
    </row>
    <row r="661" spans="18:18" ht="15.75" customHeight="1">
      <c r="R661" s="30"/>
    </row>
    <row r="662" spans="18:18" ht="15.75" customHeight="1">
      <c r="R662" s="30"/>
    </row>
    <row r="663" spans="18:18" ht="15.75" customHeight="1">
      <c r="R663" s="30"/>
    </row>
    <row r="664" spans="18:18" ht="15.75" customHeight="1">
      <c r="R664" s="30"/>
    </row>
    <row r="665" spans="18:18" ht="15.75" customHeight="1">
      <c r="R665" s="30"/>
    </row>
    <row r="666" spans="18:18" ht="15.75" customHeight="1">
      <c r="R666" s="30"/>
    </row>
    <row r="667" spans="18:18" ht="15.75" customHeight="1">
      <c r="R667" s="30"/>
    </row>
    <row r="668" spans="18:18" ht="15.75" customHeight="1">
      <c r="R668" s="30"/>
    </row>
    <row r="669" spans="18:18" ht="15.75" customHeight="1">
      <c r="R669" s="30"/>
    </row>
    <row r="670" spans="18:18" ht="15.75" customHeight="1">
      <c r="R670" s="30"/>
    </row>
    <row r="671" spans="18:18" ht="15.75" customHeight="1">
      <c r="R671" s="30"/>
    </row>
    <row r="672" spans="18:18" ht="15.75" customHeight="1">
      <c r="R672" s="30"/>
    </row>
    <row r="673" spans="18:18" ht="15.75" customHeight="1">
      <c r="R673" s="30"/>
    </row>
    <row r="674" spans="18:18" ht="15.75" customHeight="1">
      <c r="R674" s="30"/>
    </row>
    <row r="675" spans="18:18" ht="15.75" customHeight="1">
      <c r="R675" s="30"/>
    </row>
    <row r="676" spans="18:18" ht="15.75" customHeight="1">
      <c r="R676" s="30"/>
    </row>
    <row r="677" spans="18:18" ht="15.75" customHeight="1">
      <c r="R677" s="30"/>
    </row>
    <row r="678" spans="18:18" ht="15.75" customHeight="1">
      <c r="R678" s="30"/>
    </row>
    <row r="679" spans="18:18" ht="15.75" customHeight="1">
      <c r="R679" s="30"/>
    </row>
    <row r="680" spans="18:18" ht="15.75" customHeight="1">
      <c r="R680" s="30"/>
    </row>
    <row r="681" spans="18:18" ht="15.75" customHeight="1">
      <c r="R681" s="30"/>
    </row>
    <row r="682" spans="18:18" ht="15.75" customHeight="1">
      <c r="R682" s="30"/>
    </row>
    <row r="683" spans="18:18" ht="15.75" customHeight="1">
      <c r="R683" s="30"/>
    </row>
    <row r="684" spans="18:18" ht="15.75" customHeight="1">
      <c r="R684" s="30"/>
    </row>
    <row r="685" spans="18:18" ht="15.75" customHeight="1">
      <c r="R685" s="30"/>
    </row>
    <row r="686" spans="18:18" ht="15.75" customHeight="1">
      <c r="R686" s="30"/>
    </row>
    <row r="687" spans="18:18" ht="15.75" customHeight="1">
      <c r="R687" s="30"/>
    </row>
    <row r="688" spans="18:18" ht="15.75" customHeight="1">
      <c r="R688" s="30"/>
    </row>
    <row r="689" spans="18:18" ht="15.75" customHeight="1">
      <c r="R689" s="30"/>
    </row>
    <row r="690" spans="18:18" ht="15.75" customHeight="1">
      <c r="R690" s="30"/>
    </row>
    <row r="691" spans="18:18" ht="15.75" customHeight="1">
      <c r="R691" s="30"/>
    </row>
    <row r="692" spans="18:18" ht="15.75" customHeight="1">
      <c r="R692" s="30"/>
    </row>
    <row r="693" spans="18:18" ht="15.75" customHeight="1">
      <c r="R693" s="30"/>
    </row>
    <row r="694" spans="18:18" ht="15.75" customHeight="1">
      <c r="R694" s="30"/>
    </row>
    <row r="695" spans="18:18" ht="15.75" customHeight="1">
      <c r="R695" s="30"/>
    </row>
    <row r="696" spans="18:18" ht="15.75" customHeight="1">
      <c r="R696" s="30"/>
    </row>
    <row r="697" spans="18:18" ht="15.75" customHeight="1">
      <c r="R697" s="30"/>
    </row>
    <row r="698" spans="18:18" ht="15.75" customHeight="1">
      <c r="R698" s="30"/>
    </row>
    <row r="699" spans="18:18" ht="15.75" customHeight="1">
      <c r="R699" s="30"/>
    </row>
    <row r="700" spans="18:18" ht="15.75" customHeight="1">
      <c r="R700" s="30"/>
    </row>
    <row r="701" spans="18:18" ht="15.75" customHeight="1">
      <c r="R701" s="30"/>
    </row>
    <row r="702" spans="18:18" ht="15.75" customHeight="1">
      <c r="R702" s="30"/>
    </row>
    <row r="703" spans="18:18" ht="15.75" customHeight="1">
      <c r="R703" s="30"/>
    </row>
    <row r="704" spans="18:18" ht="15.75" customHeight="1">
      <c r="R704" s="30"/>
    </row>
    <row r="705" spans="18:18" ht="15.75" customHeight="1">
      <c r="R705" s="30"/>
    </row>
    <row r="706" spans="18:18" ht="15.75" customHeight="1">
      <c r="R706" s="30"/>
    </row>
    <row r="707" spans="18:18" ht="15.75" customHeight="1">
      <c r="R707" s="30"/>
    </row>
    <row r="708" spans="18:18" ht="15.75" customHeight="1">
      <c r="R708" s="30"/>
    </row>
    <row r="709" spans="18:18" ht="15.75" customHeight="1">
      <c r="R709" s="30"/>
    </row>
    <row r="710" spans="18:18" ht="15.75" customHeight="1">
      <c r="R710" s="30"/>
    </row>
    <row r="711" spans="18:18" ht="15.75" customHeight="1">
      <c r="R711" s="30"/>
    </row>
    <row r="712" spans="18:18" ht="15.75" customHeight="1">
      <c r="R712" s="30"/>
    </row>
    <row r="713" spans="18:18" ht="15.75" customHeight="1">
      <c r="R713" s="30"/>
    </row>
    <row r="714" spans="18:18" ht="15.75" customHeight="1">
      <c r="R714" s="30"/>
    </row>
    <row r="715" spans="18:18" ht="15.75" customHeight="1">
      <c r="R715" s="30"/>
    </row>
    <row r="716" spans="18:18" ht="15.75" customHeight="1">
      <c r="R716" s="30"/>
    </row>
    <row r="717" spans="18:18" ht="15.75" customHeight="1">
      <c r="R717" s="30"/>
    </row>
    <row r="718" spans="18:18" ht="15.75" customHeight="1">
      <c r="R718" s="30"/>
    </row>
    <row r="719" spans="18:18" ht="15.75" customHeight="1">
      <c r="R719" s="30"/>
    </row>
    <row r="720" spans="18:18" ht="15.75" customHeight="1">
      <c r="R720" s="30"/>
    </row>
    <row r="721" spans="18:18" ht="15.75" customHeight="1">
      <c r="R721" s="30"/>
    </row>
    <row r="722" spans="18:18" ht="15.75" customHeight="1">
      <c r="R722" s="30"/>
    </row>
    <row r="723" spans="18:18" ht="15.75" customHeight="1">
      <c r="R723" s="30"/>
    </row>
    <row r="724" spans="18:18" ht="15.75" customHeight="1">
      <c r="R724" s="30"/>
    </row>
    <row r="725" spans="18:18" ht="15.75" customHeight="1">
      <c r="R725" s="30"/>
    </row>
    <row r="726" spans="18:18" ht="15.75" customHeight="1">
      <c r="R726" s="30"/>
    </row>
    <row r="727" spans="18:18" ht="15.75" customHeight="1">
      <c r="R727" s="30"/>
    </row>
    <row r="728" spans="18:18" ht="15.75" customHeight="1">
      <c r="R728" s="30"/>
    </row>
    <row r="729" spans="18:18" ht="15.75" customHeight="1">
      <c r="R729" s="30"/>
    </row>
    <row r="730" spans="18:18" ht="15.75" customHeight="1">
      <c r="R730" s="30"/>
    </row>
    <row r="731" spans="18:18" ht="15.75" customHeight="1">
      <c r="R731" s="30"/>
    </row>
    <row r="732" spans="18:18" ht="15.75" customHeight="1">
      <c r="R732" s="30"/>
    </row>
    <row r="733" spans="18:18" ht="15.75" customHeight="1">
      <c r="R733" s="30"/>
    </row>
    <row r="734" spans="18:18" ht="15.75" customHeight="1">
      <c r="R734" s="30"/>
    </row>
    <row r="735" spans="18:18" ht="15.75" customHeight="1">
      <c r="R735" s="30"/>
    </row>
    <row r="736" spans="18:18" ht="15.75" customHeight="1">
      <c r="R736" s="30"/>
    </row>
    <row r="737" spans="18:18" ht="15.75" customHeight="1">
      <c r="R737" s="30"/>
    </row>
    <row r="738" spans="18:18" ht="15.75" customHeight="1">
      <c r="R738" s="30"/>
    </row>
    <row r="739" spans="18:18" ht="15.75" customHeight="1">
      <c r="R739" s="30"/>
    </row>
    <row r="740" spans="18:18" ht="15.75" customHeight="1">
      <c r="R740" s="30"/>
    </row>
    <row r="741" spans="18:18" ht="15.75" customHeight="1">
      <c r="R741" s="30"/>
    </row>
    <row r="742" spans="18:18" ht="15.75" customHeight="1">
      <c r="R742" s="30"/>
    </row>
    <row r="743" spans="18:18" ht="15.75" customHeight="1">
      <c r="R743" s="30"/>
    </row>
    <row r="744" spans="18:18" ht="15.75" customHeight="1">
      <c r="R744" s="30"/>
    </row>
    <row r="745" spans="18:18" ht="15.75" customHeight="1">
      <c r="R745" s="30"/>
    </row>
    <row r="746" spans="18:18" ht="15.75" customHeight="1">
      <c r="R746" s="30"/>
    </row>
    <row r="747" spans="18:18" ht="15.75" customHeight="1">
      <c r="R747" s="30"/>
    </row>
    <row r="748" spans="18:18" ht="15.75" customHeight="1">
      <c r="R748" s="30"/>
    </row>
    <row r="749" spans="18:18" ht="15.75" customHeight="1">
      <c r="R749" s="30"/>
    </row>
    <row r="750" spans="18:18" ht="15.75" customHeight="1">
      <c r="R750" s="30"/>
    </row>
    <row r="751" spans="18:18" ht="15.75" customHeight="1">
      <c r="R751" s="30"/>
    </row>
    <row r="752" spans="18:18" ht="15.75" customHeight="1">
      <c r="R752" s="30"/>
    </row>
    <row r="753" spans="18:18" ht="15.75" customHeight="1">
      <c r="R753" s="30"/>
    </row>
    <row r="754" spans="18:18" ht="15.75" customHeight="1">
      <c r="R754" s="30"/>
    </row>
    <row r="755" spans="18:18" ht="15.75" customHeight="1">
      <c r="R755" s="30"/>
    </row>
    <row r="756" spans="18:18" ht="15.75" customHeight="1">
      <c r="R756" s="30"/>
    </row>
    <row r="757" spans="18:18" ht="15.75" customHeight="1">
      <c r="R757" s="30"/>
    </row>
    <row r="758" spans="18:18" ht="15.75" customHeight="1">
      <c r="R758" s="30"/>
    </row>
    <row r="759" spans="18:18" ht="15.75" customHeight="1">
      <c r="R759" s="30"/>
    </row>
    <row r="760" spans="18:18" ht="15.75" customHeight="1">
      <c r="R760" s="30"/>
    </row>
    <row r="761" spans="18:18" ht="15.75" customHeight="1">
      <c r="R761" s="30"/>
    </row>
    <row r="762" spans="18:18" ht="15.75" customHeight="1">
      <c r="R762" s="30"/>
    </row>
    <row r="763" spans="18:18" ht="15.75" customHeight="1">
      <c r="R763" s="30"/>
    </row>
    <row r="764" spans="18:18" ht="15.75" customHeight="1">
      <c r="R764" s="30"/>
    </row>
    <row r="765" spans="18:18" ht="15.75" customHeight="1">
      <c r="R765" s="30"/>
    </row>
    <row r="766" spans="18:18" ht="15.75" customHeight="1">
      <c r="R766" s="30"/>
    </row>
    <row r="767" spans="18:18" ht="15.75" customHeight="1">
      <c r="R767" s="30"/>
    </row>
    <row r="768" spans="18:18" ht="15.75" customHeight="1">
      <c r="R768" s="30"/>
    </row>
    <row r="769" spans="18:18" ht="15.75" customHeight="1">
      <c r="R769" s="30"/>
    </row>
    <row r="770" spans="18:18" ht="15.75" customHeight="1">
      <c r="R770" s="30"/>
    </row>
    <row r="771" spans="18:18" ht="15.75" customHeight="1">
      <c r="R771" s="30"/>
    </row>
    <row r="772" spans="18:18" ht="15.75" customHeight="1">
      <c r="R772" s="30"/>
    </row>
    <row r="773" spans="18:18" ht="15.75" customHeight="1">
      <c r="R773" s="30"/>
    </row>
    <row r="774" spans="18:18" ht="15.75" customHeight="1">
      <c r="R774" s="30"/>
    </row>
    <row r="775" spans="18:18" ht="15.75" customHeight="1">
      <c r="R775" s="30"/>
    </row>
    <row r="776" spans="18:18" ht="15.75" customHeight="1">
      <c r="R776" s="30"/>
    </row>
    <row r="777" spans="18:18" ht="15.75" customHeight="1">
      <c r="R777" s="30"/>
    </row>
    <row r="778" spans="18:18" ht="15.75" customHeight="1">
      <c r="R778" s="30"/>
    </row>
    <row r="779" spans="18:18" ht="15.75" customHeight="1">
      <c r="R779" s="30"/>
    </row>
    <row r="780" spans="18:18" ht="15.75" customHeight="1">
      <c r="R780" s="30"/>
    </row>
    <row r="781" spans="18:18" ht="15.75" customHeight="1">
      <c r="R781" s="30"/>
    </row>
    <row r="782" spans="18:18" ht="15.75" customHeight="1">
      <c r="R782" s="30"/>
    </row>
    <row r="783" spans="18:18" ht="15.75" customHeight="1">
      <c r="R783" s="30"/>
    </row>
    <row r="784" spans="18:18" ht="15.75" customHeight="1">
      <c r="R784" s="30"/>
    </row>
    <row r="785" spans="18:18" ht="15.75" customHeight="1">
      <c r="R785" s="30"/>
    </row>
    <row r="786" spans="18:18" ht="15.75" customHeight="1">
      <c r="R786" s="30"/>
    </row>
    <row r="787" spans="18:18" ht="15.75" customHeight="1">
      <c r="R787" s="30"/>
    </row>
    <row r="788" spans="18:18" ht="15.75" customHeight="1">
      <c r="R788" s="30"/>
    </row>
    <row r="789" spans="18:18" ht="15.75" customHeight="1">
      <c r="R789" s="30"/>
    </row>
    <row r="790" spans="18:18" ht="15.75" customHeight="1">
      <c r="R790" s="30"/>
    </row>
    <row r="791" spans="18:18" ht="15.75" customHeight="1">
      <c r="R791" s="30"/>
    </row>
    <row r="792" spans="18:18" ht="15.75" customHeight="1">
      <c r="R792" s="30"/>
    </row>
    <row r="793" spans="18:18" ht="15.75" customHeight="1">
      <c r="R793" s="30"/>
    </row>
    <row r="794" spans="18:18" ht="15.75" customHeight="1">
      <c r="R794" s="30"/>
    </row>
    <row r="795" spans="18:18" ht="15.75" customHeight="1">
      <c r="R795" s="30"/>
    </row>
    <row r="796" spans="18:18" ht="15.75" customHeight="1">
      <c r="R796" s="30"/>
    </row>
    <row r="797" spans="18:18" ht="15.75" customHeight="1">
      <c r="R797" s="30"/>
    </row>
    <row r="798" spans="18:18" ht="15.75" customHeight="1">
      <c r="R798" s="30"/>
    </row>
    <row r="799" spans="18:18" ht="15.75" customHeight="1">
      <c r="R799" s="30"/>
    </row>
    <row r="800" spans="18:18" ht="15.75" customHeight="1">
      <c r="R800" s="30"/>
    </row>
    <row r="801" spans="18:18" ht="15.75" customHeight="1">
      <c r="R801" s="30"/>
    </row>
    <row r="802" spans="18:18" ht="15.75" customHeight="1">
      <c r="R802" s="30"/>
    </row>
    <row r="803" spans="18:18" ht="15.75" customHeight="1">
      <c r="R803" s="30"/>
    </row>
    <row r="804" spans="18:18" ht="15.75" customHeight="1">
      <c r="R804" s="30"/>
    </row>
    <row r="805" spans="18:18" ht="15.75" customHeight="1">
      <c r="R805" s="30"/>
    </row>
    <row r="806" spans="18:18" ht="15.75" customHeight="1">
      <c r="R806" s="30"/>
    </row>
    <row r="807" spans="18:18" ht="15.75" customHeight="1">
      <c r="R807" s="30"/>
    </row>
    <row r="808" spans="18:18" ht="15.75" customHeight="1">
      <c r="R808" s="30"/>
    </row>
    <row r="809" spans="18:18" ht="15.75" customHeight="1">
      <c r="R809" s="30"/>
    </row>
    <row r="810" spans="18:18" ht="15.75" customHeight="1">
      <c r="R810" s="30"/>
    </row>
    <row r="811" spans="18:18" ht="15.75" customHeight="1">
      <c r="R811" s="30"/>
    </row>
    <row r="812" spans="18:18" ht="15.75" customHeight="1">
      <c r="R812" s="30"/>
    </row>
    <row r="813" spans="18:18" ht="15.75" customHeight="1">
      <c r="R813" s="30"/>
    </row>
    <row r="814" spans="18:18" ht="15.75" customHeight="1">
      <c r="R814" s="30"/>
    </row>
    <row r="815" spans="18:18" ht="15.75" customHeight="1">
      <c r="R815" s="30"/>
    </row>
    <row r="816" spans="18:18" ht="15.75" customHeight="1">
      <c r="R816" s="30"/>
    </row>
    <row r="817" spans="18:18" ht="15.75" customHeight="1">
      <c r="R817" s="30"/>
    </row>
    <row r="818" spans="18:18" ht="15.75" customHeight="1">
      <c r="R818" s="30"/>
    </row>
    <row r="819" spans="18:18" ht="15.75" customHeight="1">
      <c r="R819" s="30"/>
    </row>
    <row r="820" spans="18:18" ht="15.75" customHeight="1">
      <c r="R820" s="30"/>
    </row>
    <row r="821" spans="18:18" ht="15.75" customHeight="1">
      <c r="R821" s="30"/>
    </row>
    <row r="822" spans="18:18" ht="15.75" customHeight="1">
      <c r="R822" s="30"/>
    </row>
    <row r="823" spans="18:18" ht="15.75" customHeight="1">
      <c r="R823" s="30"/>
    </row>
    <row r="824" spans="18:18" ht="15.75" customHeight="1">
      <c r="R824" s="30"/>
    </row>
    <row r="825" spans="18:18" ht="15.75" customHeight="1">
      <c r="R825" s="30"/>
    </row>
    <row r="826" spans="18:18" ht="15.75" customHeight="1">
      <c r="R826" s="30"/>
    </row>
    <row r="827" spans="18:18" ht="15.75" customHeight="1">
      <c r="R827" s="30"/>
    </row>
    <row r="828" spans="18:18" ht="15.75" customHeight="1">
      <c r="R828" s="30"/>
    </row>
    <row r="829" spans="18:18" ht="15.75" customHeight="1">
      <c r="R829" s="30"/>
    </row>
    <row r="830" spans="18:18" ht="15.75" customHeight="1">
      <c r="R830" s="30"/>
    </row>
    <row r="831" spans="18:18" ht="15.75" customHeight="1">
      <c r="R831" s="30"/>
    </row>
    <row r="832" spans="18:18" ht="15.75" customHeight="1">
      <c r="R832" s="30"/>
    </row>
    <row r="833" spans="18:18" ht="15.75" customHeight="1">
      <c r="R833" s="30"/>
    </row>
    <row r="834" spans="18:18" ht="15.75" customHeight="1">
      <c r="R834" s="30"/>
    </row>
    <row r="835" spans="18:18" ht="15.75" customHeight="1">
      <c r="R835" s="30"/>
    </row>
    <row r="836" spans="18:18" ht="15.75" customHeight="1">
      <c r="R836" s="30"/>
    </row>
    <row r="837" spans="18:18" ht="15.75" customHeight="1">
      <c r="R837" s="30"/>
    </row>
    <row r="838" spans="18:18" ht="15.75" customHeight="1">
      <c r="R838" s="30"/>
    </row>
    <row r="839" spans="18:18" ht="15.75" customHeight="1">
      <c r="R839" s="30"/>
    </row>
    <row r="840" spans="18:18" ht="15.75" customHeight="1">
      <c r="R840" s="30"/>
    </row>
    <row r="841" spans="18:18" ht="15.75" customHeight="1">
      <c r="R841" s="30"/>
    </row>
    <row r="842" spans="18:18" ht="15.75" customHeight="1">
      <c r="R842" s="30"/>
    </row>
    <row r="843" spans="18:18" ht="15.75" customHeight="1">
      <c r="R843" s="30"/>
    </row>
    <row r="844" spans="18:18" ht="15.75" customHeight="1">
      <c r="R844" s="30"/>
    </row>
    <row r="845" spans="18:18" ht="15.75" customHeight="1">
      <c r="R845" s="30"/>
    </row>
    <row r="846" spans="18:18" ht="15.75" customHeight="1">
      <c r="R846" s="30"/>
    </row>
    <row r="847" spans="18:18" ht="15.75" customHeight="1">
      <c r="R847" s="30"/>
    </row>
    <row r="848" spans="18:18" ht="15.75" customHeight="1">
      <c r="R848" s="30"/>
    </row>
    <row r="849" spans="18:18" ht="15.75" customHeight="1">
      <c r="R849" s="30"/>
    </row>
    <row r="850" spans="18:18" ht="15.75" customHeight="1">
      <c r="R850" s="30"/>
    </row>
    <row r="851" spans="18:18" ht="15.75" customHeight="1">
      <c r="R851" s="30"/>
    </row>
    <row r="852" spans="18:18" ht="15.75" customHeight="1">
      <c r="R852" s="30"/>
    </row>
    <row r="853" spans="18:18" ht="15.75" customHeight="1">
      <c r="R853" s="30"/>
    </row>
    <row r="854" spans="18:18" ht="15.75" customHeight="1">
      <c r="R854" s="30"/>
    </row>
    <row r="855" spans="18:18" ht="15.75" customHeight="1">
      <c r="R855" s="30"/>
    </row>
    <row r="856" spans="18:18" ht="15.75" customHeight="1">
      <c r="R856" s="30"/>
    </row>
    <row r="857" spans="18:18" ht="15.75" customHeight="1">
      <c r="R857" s="30"/>
    </row>
    <row r="858" spans="18:18" ht="15.75" customHeight="1">
      <c r="R858" s="30"/>
    </row>
    <row r="859" spans="18:18" ht="15.75" customHeight="1">
      <c r="R859" s="30"/>
    </row>
    <row r="860" spans="18:18" ht="15.75" customHeight="1">
      <c r="R860" s="30"/>
    </row>
    <row r="861" spans="18:18" ht="15.75" customHeight="1">
      <c r="R861" s="30"/>
    </row>
    <row r="862" spans="18:18" ht="15.75" customHeight="1">
      <c r="R862" s="30"/>
    </row>
    <row r="863" spans="18:18" ht="15.75" customHeight="1">
      <c r="R863" s="30"/>
    </row>
    <row r="864" spans="18:18" ht="15.75" customHeight="1">
      <c r="R864" s="30"/>
    </row>
    <row r="865" spans="18:18" ht="15.75" customHeight="1">
      <c r="R865" s="30"/>
    </row>
    <row r="866" spans="18:18" ht="15.75" customHeight="1">
      <c r="R866" s="30"/>
    </row>
    <row r="867" spans="18:18" ht="15.75" customHeight="1">
      <c r="R867" s="30"/>
    </row>
    <row r="868" spans="18:18" ht="15.75" customHeight="1">
      <c r="R868" s="30"/>
    </row>
    <row r="869" spans="18:18" ht="15.75" customHeight="1">
      <c r="R869" s="30"/>
    </row>
    <row r="870" spans="18:18" ht="15.75" customHeight="1">
      <c r="R870" s="30"/>
    </row>
    <row r="871" spans="18:18" ht="15.75" customHeight="1">
      <c r="R871" s="30"/>
    </row>
    <row r="872" spans="18:18" ht="15.75" customHeight="1">
      <c r="R872" s="30"/>
    </row>
    <row r="873" spans="18:18" ht="15.75" customHeight="1">
      <c r="R873" s="30"/>
    </row>
    <row r="874" spans="18:18" ht="15.75" customHeight="1">
      <c r="R874" s="30"/>
    </row>
    <row r="875" spans="18:18" ht="15.75" customHeight="1">
      <c r="R875" s="30"/>
    </row>
    <row r="876" spans="18:18" ht="15.75" customHeight="1">
      <c r="R876" s="30"/>
    </row>
    <row r="877" spans="18:18" ht="15.75" customHeight="1">
      <c r="R877" s="30"/>
    </row>
    <row r="878" spans="18:18" ht="15.75" customHeight="1">
      <c r="R878" s="30"/>
    </row>
    <row r="879" spans="18:18" ht="15.75" customHeight="1">
      <c r="R879" s="30"/>
    </row>
    <row r="880" spans="18:18" ht="15.75" customHeight="1">
      <c r="R880" s="30"/>
    </row>
    <row r="881" spans="18:18" ht="15.75" customHeight="1">
      <c r="R881" s="30"/>
    </row>
    <row r="882" spans="18:18" ht="15.75" customHeight="1">
      <c r="R882" s="30"/>
    </row>
    <row r="883" spans="18:18" ht="15.75" customHeight="1">
      <c r="R883" s="30"/>
    </row>
    <row r="884" spans="18:18" ht="15.75" customHeight="1">
      <c r="R884" s="30"/>
    </row>
    <row r="885" spans="18:18" ht="15.75" customHeight="1">
      <c r="R885" s="30"/>
    </row>
    <row r="886" spans="18:18" ht="15.75" customHeight="1">
      <c r="R886" s="30"/>
    </row>
    <row r="887" spans="18:18" ht="15.75" customHeight="1">
      <c r="R887" s="30"/>
    </row>
    <row r="888" spans="18:18" ht="15.75" customHeight="1">
      <c r="R888" s="30"/>
    </row>
    <row r="889" spans="18:18" ht="15.75" customHeight="1">
      <c r="R889" s="30"/>
    </row>
    <row r="890" spans="18:18" ht="15.75" customHeight="1">
      <c r="R890" s="30"/>
    </row>
    <row r="891" spans="18:18" ht="15.75" customHeight="1">
      <c r="R891" s="30"/>
    </row>
    <row r="892" spans="18:18" ht="15.75" customHeight="1">
      <c r="R892" s="30"/>
    </row>
    <row r="893" spans="18:18" ht="15.75" customHeight="1">
      <c r="R893" s="30"/>
    </row>
    <row r="894" spans="18:18" ht="15.75" customHeight="1">
      <c r="R894" s="30"/>
    </row>
    <row r="895" spans="18:18" ht="15.75" customHeight="1">
      <c r="R895" s="30"/>
    </row>
    <row r="896" spans="18:18" ht="15.75" customHeight="1">
      <c r="R896" s="30"/>
    </row>
    <row r="897" spans="18:18" ht="15.75" customHeight="1">
      <c r="R897" s="30"/>
    </row>
    <row r="898" spans="18:18" ht="15.75" customHeight="1">
      <c r="R898" s="30"/>
    </row>
    <row r="899" spans="18:18" ht="15.75" customHeight="1">
      <c r="R899" s="30"/>
    </row>
    <row r="900" spans="18:18" ht="15.75" customHeight="1">
      <c r="R900" s="30"/>
    </row>
    <row r="901" spans="18:18" ht="15.75" customHeight="1">
      <c r="R901" s="30"/>
    </row>
    <row r="902" spans="18:18" ht="15.75" customHeight="1">
      <c r="R902" s="30"/>
    </row>
    <row r="903" spans="18:18" ht="15.75" customHeight="1">
      <c r="R903" s="30"/>
    </row>
    <row r="904" spans="18:18" ht="15.75" customHeight="1">
      <c r="R904" s="30"/>
    </row>
    <row r="905" spans="18:18" ht="15.75" customHeight="1">
      <c r="R905" s="30"/>
    </row>
    <row r="906" spans="18:18" ht="15.75" customHeight="1">
      <c r="R906" s="30"/>
    </row>
    <row r="907" spans="18:18" ht="15.75" customHeight="1">
      <c r="R907" s="30"/>
    </row>
    <row r="908" spans="18:18" ht="15.75" customHeight="1">
      <c r="R908" s="30"/>
    </row>
    <row r="909" spans="18:18" ht="15.75" customHeight="1">
      <c r="R909" s="30"/>
    </row>
    <row r="910" spans="18:18" ht="15.75" customHeight="1">
      <c r="R910" s="30"/>
    </row>
    <row r="911" spans="18:18" ht="15.75" customHeight="1">
      <c r="R911" s="30"/>
    </row>
    <row r="912" spans="18:18" ht="15.75" customHeight="1">
      <c r="R912" s="30"/>
    </row>
    <row r="913" spans="18:18" ht="15.75" customHeight="1">
      <c r="R913" s="30"/>
    </row>
    <row r="914" spans="18:18" ht="15.75" customHeight="1">
      <c r="R914" s="30"/>
    </row>
    <row r="915" spans="18:18" ht="15.75" customHeight="1">
      <c r="R915" s="30"/>
    </row>
    <row r="916" spans="18:18" ht="15.75" customHeight="1">
      <c r="R916" s="30"/>
    </row>
    <row r="917" spans="18:18" ht="15.75" customHeight="1">
      <c r="R917" s="30"/>
    </row>
    <row r="918" spans="18:18" ht="15.75" customHeight="1">
      <c r="R918" s="30"/>
    </row>
    <row r="919" spans="18:18" ht="15.75" customHeight="1">
      <c r="R919" s="30"/>
    </row>
    <row r="920" spans="18:18" ht="15.75" customHeight="1">
      <c r="R920" s="30"/>
    </row>
    <row r="921" spans="18:18" ht="15.75" customHeight="1">
      <c r="R921" s="30"/>
    </row>
    <row r="922" spans="18:18" ht="15.75" customHeight="1">
      <c r="R922" s="30"/>
    </row>
    <row r="923" spans="18:18" ht="15.75" customHeight="1">
      <c r="R923" s="30"/>
    </row>
    <row r="924" spans="18:18" ht="15.75" customHeight="1">
      <c r="R924" s="30"/>
    </row>
    <row r="925" spans="18:18" ht="15.75" customHeight="1">
      <c r="R925" s="30"/>
    </row>
    <row r="926" spans="18:18" ht="15.75" customHeight="1">
      <c r="R926" s="30"/>
    </row>
    <row r="927" spans="18:18" ht="15.75" customHeight="1">
      <c r="R927" s="30"/>
    </row>
    <row r="928" spans="18:18" ht="15.75" customHeight="1">
      <c r="R928" s="30"/>
    </row>
    <row r="929" spans="18:18" ht="15.75" customHeight="1">
      <c r="R929" s="30"/>
    </row>
    <row r="930" spans="18:18" ht="15.75" customHeight="1">
      <c r="R930" s="30"/>
    </row>
    <row r="931" spans="18:18" ht="15.75" customHeight="1">
      <c r="R931" s="30"/>
    </row>
    <row r="932" spans="18:18" ht="15.75" customHeight="1">
      <c r="R932" s="30"/>
    </row>
    <row r="933" spans="18:18" ht="15.75" customHeight="1">
      <c r="R933" s="30"/>
    </row>
    <row r="934" spans="18:18" ht="15.75" customHeight="1">
      <c r="R934" s="30"/>
    </row>
    <row r="935" spans="18:18" ht="15.75" customHeight="1">
      <c r="R935" s="30"/>
    </row>
    <row r="936" spans="18:18" ht="15.75" customHeight="1">
      <c r="R936" s="30"/>
    </row>
    <row r="937" spans="18:18" ht="15.75" customHeight="1">
      <c r="R937" s="30"/>
    </row>
    <row r="938" spans="18:18" ht="15.75" customHeight="1">
      <c r="R938" s="30"/>
    </row>
    <row r="939" spans="18:18" ht="15.75" customHeight="1">
      <c r="R939" s="30"/>
    </row>
    <row r="940" spans="18:18" ht="15.75" customHeight="1">
      <c r="R940" s="30"/>
    </row>
    <row r="941" spans="18:18" ht="15.75" customHeight="1">
      <c r="R941" s="30"/>
    </row>
    <row r="942" spans="18:18" ht="15.75" customHeight="1">
      <c r="R942" s="30"/>
    </row>
    <row r="943" spans="18:18" ht="15.75" customHeight="1">
      <c r="R943" s="30"/>
    </row>
    <row r="944" spans="18:18" ht="15.75" customHeight="1">
      <c r="R944" s="30"/>
    </row>
    <row r="945" spans="18:18" ht="15.75" customHeight="1">
      <c r="R945" s="30"/>
    </row>
    <row r="946" spans="18:18" ht="15.75" customHeight="1">
      <c r="R946" s="30"/>
    </row>
    <row r="947" spans="18:18" ht="15.75" customHeight="1">
      <c r="R947" s="30"/>
    </row>
    <row r="948" spans="18:18" ht="15.75" customHeight="1">
      <c r="R948" s="30"/>
    </row>
    <row r="949" spans="18:18" ht="15.75" customHeight="1">
      <c r="R949" s="30"/>
    </row>
    <row r="950" spans="18:18" ht="15.75" customHeight="1">
      <c r="R950" s="30"/>
    </row>
    <row r="951" spans="18:18" ht="15.75" customHeight="1">
      <c r="R951" s="30"/>
    </row>
    <row r="952" spans="18:18" ht="15.75" customHeight="1">
      <c r="R952" s="30"/>
    </row>
    <row r="953" spans="18:18" ht="15.75" customHeight="1">
      <c r="R953" s="30"/>
    </row>
    <row r="954" spans="18:18" ht="15.75" customHeight="1">
      <c r="R954" s="30"/>
    </row>
    <row r="955" spans="18:18" ht="15.75" customHeight="1">
      <c r="R955" s="30"/>
    </row>
    <row r="956" spans="18:18" ht="15.75" customHeight="1">
      <c r="R956" s="30"/>
    </row>
    <row r="957" spans="18:18" ht="15.75" customHeight="1">
      <c r="R957" s="30"/>
    </row>
    <row r="958" spans="18:18" ht="15.75" customHeight="1">
      <c r="R958" s="30"/>
    </row>
    <row r="959" spans="18:18" ht="15.75" customHeight="1">
      <c r="R959" s="30"/>
    </row>
    <row r="960" spans="18:18" ht="15.75" customHeight="1">
      <c r="R960" s="30"/>
    </row>
    <row r="961" spans="18:18" ht="15.75" customHeight="1">
      <c r="R961" s="30"/>
    </row>
    <row r="962" spans="18:18" ht="15.75" customHeight="1">
      <c r="R962" s="30"/>
    </row>
    <row r="963" spans="18:18" ht="15.75" customHeight="1">
      <c r="R963" s="30"/>
    </row>
    <row r="964" spans="18:18" ht="15.75" customHeight="1">
      <c r="R964" s="30"/>
    </row>
    <row r="965" spans="18:18" ht="15.75" customHeight="1">
      <c r="R965" s="30"/>
    </row>
    <row r="966" spans="18:18" ht="15.75" customHeight="1">
      <c r="R966" s="30"/>
    </row>
    <row r="967" spans="18:18" ht="15.75" customHeight="1">
      <c r="R967" s="30"/>
    </row>
    <row r="968" spans="18:18" ht="15.75" customHeight="1">
      <c r="R968" s="30"/>
    </row>
    <row r="969" spans="18:18" ht="15.75" customHeight="1">
      <c r="R969" s="30"/>
    </row>
    <row r="970" spans="18:18" ht="15.75" customHeight="1">
      <c r="R970" s="30"/>
    </row>
    <row r="971" spans="18:18" ht="15.75" customHeight="1">
      <c r="R971" s="30"/>
    </row>
    <row r="972" spans="18:18" ht="15.75" customHeight="1">
      <c r="R972" s="30"/>
    </row>
    <row r="973" spans="18:18" ht="15.75" customHeight="1">
      <c r="R973" s="30"/>
    </row>
    <row r="974" spans="18:18" ht="15.75" customHeight="1">
      <c r="R974" s="30"/>
    </row>
    <row r="975" spans="18:18" ht="15.75" customHeight="1">
      <c r="R975" s="30"/>
    </row>
    <row r="976" spans="18:18" ht="15.75" customHeight="1">
      <c r="R976" s="30"/>
    </row>
    <row r="977" spans="18:18" ht="15.75" customHeight="1">
      <c r="R977" s="30"/>
    </row>
    <row r="978" spans="18:18" ht="15.75" customHeight="1">
      <c r="R978" s="30"/>
    </row>
    <row r="979" spans="18:18" ht="15.75" customHeight="1">
      <c r="R979" s="30"/>
    </row>
    <row r="980" spans="18:18" ht="15.75" customHeight="1">
      <c r="R980" s="30"/>
    </row>
    <row r="981" spans="18:18" ht="15.75" customHeight="1">
      <c r="R981" s="30"/>
    </row>
    <row r="982" spans="18:18" ht="15.75" customHeight="1">
      <c r="R982" s="30"/>
    </row>
    <row r="983" spans="18:18" ht="15.75" customHeight="1">
      <c r="R983" s="30"/>
    </row>
    <row r="984" spans="18:18" ht="15.75" customHeight="1">
      <c r="R984" s="30"/>
    </row>
    <row r="985" spans="18:18" ht="15.75" customHeight="1">
      <c r="R985" s="30"/>
    </row>
    <row r="986" spans="18:18" ht="15.75" customHeight="1">
      <c r="R986" s="30"/>
    </row>
    <row r="987" spans="18:18" ht="15.75" customHeight="1">
      <c r="R987" s="30"/>
    </row>
    <row r="988" spans="18:18" ht="15.75" customHeight="1">
      <c r="R988" s="30"/>
    </row>
    <row r="989" spans="18:18" ht="15.75" customHeight="1">
      <c r="R989" s="30"/>
    </row>
    <row r="990" spans="18:18" ht="15.75" customHeight="1">
      <c r="R990" s="30"/>
    </row>
    <row r="991" spans="18:18" ht="15.75" customHeight="1">
      <c r="R991" s="30"/>
    </row>
    <row r="992" spans="18:18" ht="15.75" customHeight="1">
      <c r="R992" s="30"/>
    </row>
    <row r="993" spans="18:18" ht="15.75" customHeight="1">
      <c r="R993" s="30"/>
    </row>
    <row r="994" spans="18:18" ht="15.75" customHeight="1">
      <c r="R994" s="30"/>
    </row>
    <row r="995" spans="18:18" ht="15.75" customHeight="1">
      <c r="R995" s="30"/>
    </row>
    <row r="996" spans="18:18" ht="15.75" customHeight="1">
      <c r="R996" s="30"/>
    </row>
    <row r="997" spans="18:18" ht="15.75" customHeight="1">
      <c r="R997" s="30"/>
    </row>
    <row r="998" spans="18:18" ht="15.75" customHeight="1">
      <c r="R998" s="30"/>
    </row>
    <row r="999" spans="18:18" ht="15.75" customHeight="1">
      <c r="R999" s="30"/>
    </row>
    <row r="1000" spans="18:18" ht="15.75" customHeight="1">
      <c r="R1000" s="3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2.6640625" defaultRowHeight="15" customHeight="1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8.6640625" customWidth="1"/>
    <col min="6" max="6" width="9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17.1640625" customWidth="1"/>
    <col min="16" max="16" width="10" customWidth="1"/>
    <col min="17" max="18" width="7.33203125" customWidth="1"/>
    <col min="19" max="19" width="7.1640625" customWidth="1"/>
    <col min="20" max="20" width="11.1640625" customWidth="1"/>
    <col min="21" max="21" width="19.1640625" customWidth="1"/>
    <col min="22" max="22" width="110.3320312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6640625" customWidth="1"/>
    <col min="32" max="32" width="10.1640625" customWidth="1"/>
    <col min="33" max="33" width="8.83203125" customWidth="1"/>
  </cols>
  <sheetData>
    <row r="1" spans="1:33" ht="18.75" customHeight="1">
      <c r="A1" s="46" t="str">
        <f ca="1">IFERROR(__xludf.DUMMYFUNCTION("IFERROR(VLOOKUP(B2,IMPORTRANGE(""https://docs.google.com/spreadsheets/d/1x0DhHglkXKoEBOD2MBsuK_EyIr1ouxD2ftIpqOYFa-k/edit?usp=sharing"",""Ubiquitty-SKU-Specific Info!B1:BJ5000""),3,FALSE),"""")"),"Yellow Extension Cord - 12/3 Gauge, 10ft")</f>
        <v>Yellow Extension Cord - 12/3 Gauge, 10ft</v>
      </c>
      <c r="B1" s="47"/>
      <c r="C1" s="48" t="s">
        <v>0</v>
      </c>
      <c r="D1" s="50" t="s">
        <v>1</v>
      </c>
      <c r="E1" s="50" t="s">
        <v>2</v>
      </c>
      <c r="F1" s="52" t="s">
        <v>3</v>
      </c>
      <c r="G1" s="52" t="s">
        <v>4</v>
      </c>
      <c r="H1" s="53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58" t="s">
        <v>10</v>
      </c>
      <c r="N1" s="59" t="s">
        <v>11</v>
      </c>
      <c r="O1" s="50" t="s">
        <v>12</v>
      </c>
      <c r="P1" s="50" t="s">
        <v>13</v>
      </c>
      <c r="Q1" s="57" t="s">
        <v>14</v>
      </c>
      <c r="R1" s="57" t="s">
        <v>15</v>
      </c>
      <c r="S1" s="60" t="s">
        <v>16</v>
      </c>
      <c r="T1" s="62" t="s">
        <v>2006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>
      <c r="A2" s="42" t="s">
        <v>1134</v>
      </c>
      <c r="B2" s="3" t="s">
        <v>1135</v>
      </c>
      <c r="C2" s="49"/>
      <c r="D2" s="49"/>
      <c r="E2" s="51"/>
      <c r="F2" s="49"/>
      <c r="G2" s="49"/>
      <c r="H2" s="54"/>
      <c r="I2" s="49"/>
      <c r="J2" s="49"/>
      <c r="K2" s="54"/>
      <c r="L2" s="54"/>
      <c r="M2" s="54"/>
      <c r="N2" s="49"/>
      <c r="O2" s="49"/>
      <c r="P2" s="51"/>
      <c r="Q2" s="49"/>
      <c r="R2" s="49"/>
      <c r="S2" s="61"/>
      <c r="T2" s="47"/>
      <c r="U2" s="63"/>
      <c r="V2" s="63"/>
      <c r="W2" s="47"/>
      <c r="X2" s="47"/>
      <c r="Y2" s="47"/>
      <c r="Z2" s="47"/>
      <c r="AA2" s="63"/>
      <c r="AB2" s="63"/>
      <c r="AC2" s="63"/>
      <c r="AD2" s="63"/>
      <c r="AE2" s="47"/>
      <c r="AF2" s="47"/>
      <c r="AG2" s="47"/>
    </row>
    <row r="3" spans="1:33" ht="146.25" customHeight="1">
      <c r="A3" s="55" t="s">
        <v>31</v>
      </c>
      <c r="B3" s="56"/>
      <c r="C3" s="4">
        <f>((AE32+AF32)/0.85)*-1</f>
        <v>11.902818838588237</v>
      </c>
      <c r="D3" s="5">
        <f>SUM(D4:D99765)</f>
        <v>4512</v>
      </c>
      <c r="E3" s="5"/>
      <c r="F3" s="6">
        <f t="shared" ref="F3:G3" si="0">SUM(F4:F99765)</f>
        <v>88597.559999999983</v>
      </c>
      <c r="G3" s="6">
        <f t="shared" si="0"/>
        <v>-59.49</v>
      </c>
      <c r="H3" s="7">
        <f t="shared" ref="H3:H32" si="1">G3/F3*-1</f>
        <v>6.7146318702230646E-4</v>
      </c>
      <c r="I3" s="8">
        <f t="shared" ref="I3:I32" si="2">J3/F3</f>
        <v>0.38297720992159634</v>
      </c>
      <c r="J3" s="6">
        <f>SUM(J4:J99765)</f>
        <v>33930.846334661219</v>
      </c>
      <c r="K3" s="6">
        <f t="shared" ref="K3:K32" si="3">J3/D3</f>
        <v>7.5201343826820075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Sheet!a1:g5000""),2,FALSE),"""")"),"30.5 - March
30.5 - April
30.5 - May
30.5 - June
30.5 - July
30.5 - Aug
30.5 - Sept
32.5 - Oct
32.5 - Nov
31 - Dec
33 - Jan
30.5 - Feb")</f>
        <v>30.5 - March
30.5 - April
30.5 - May
30.5 - June
30.5 - July
30.5 - Aug
30.5 - Sept
32.5 - Oct
32.5 - Nov
31 - Dec
33 - Jan
30.5 -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QTY-0")</f>
        <v>Del QTY-0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QTY-0")</f>
        <v>US QTY-0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17</v>
      </c>
      <c r="X3" s="7">
        <f>W3/D3</f>
        <v>3.7677304964539005E-3</v>
      </c>
      <c r="Y3" s="6"/>
      <c r="Z3" s="5"/>
      <c r="AA3" s="5"/>
      <c r="AB3" s="5"/>
      <c r="AC3" s="5"/>
      <c r="AD3" s="6">
        <f>SUM(AD4:AD99765)</f>
        <v>-293.65073702401503</v>
      </c>
      <c r="AE3" s="6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Info!B2:BZ3000""),37,FALSE)),"""")*-1"),-5.1673960128)</f>
        <v>-5.1673960128000003</v>
      </c>
      <c r="AG3" s="6">
        <f>SUM(AG4:AG99765)</f>
        <v>0</v>
      </c>
    </row>
    <row r="4" spans="1:33" ht="15.75" customHeight="1">
      <c r="A4" s="14" t="s">
        <v>181</v>
      </c>
      <c r="B4" s="14" t="s">
        <v>1136</v>
      </c>
      <c r="C4" s="15">
        <f t="shared" ref="C4:C32" si="4">IFERROR(F4/D4," - ")</f>
        <v>18.054491525423717</v>
      </c>
      <c r="D4" s="16">
        <v>236</v>
      </c>
      <c r="E4" s="16">
        <v>2</v>
      </c>
      <c r="F4" s="17">
        <v>4260.8599999999969</v>
      </c>
      <c r="G4" s="17">
        <v>-0.24</v>
      </c>
      <c r="H4" s="18">
        <f t="shared" si="1"/>
        <v>5.6326657059842417E-5</v>
      </c>
      <c r="I4" s="18">
        <f t="shared" si="2"/>
        <v>0.36328007000242007</v>
      </c>
      <c r="J4" s="17">
        <f t="shared" ref="J4:J32" si="5">F4*0.85+G4+AF4*D4+D4*AE4+AG4+AD4</f>
        <v>1547.8855190705106</v>
      </c>
      <c r="K4" s="17">
        <f t="shared" si="3"/>
        <v>6.5588369452140274</v>
      </c>
      <c r="L4" s="16">
        <v>357</v>
      </c>
      <c r="M4" s="19">
        <f t="shared" ref="M4:M32" si="6">IFERROR(D4/L4,"-")</f>
        <v>0.66106442577030811</v>
      </c>
      <c r="N4" s="16">
        <v>414</v>
      </c>
      <c r="O4" s="20">
        <f t="shared" ref="O4:P4" si="7">D4/7</f>
        <v>33.714285714285715</v>
      </c>
      <c r="P4" s="20">
        <f t="shared" si="7"/>
        <v>0.2857142857142857</v>
      </c>
      <c r="Q4" s="16">
        <f t="shared" ref="Q4:Q32" si="8">ROUNDDOWN(N4/(O4+P4),0)</f>
        <v>12</v>
      </c>
      <c r="R4" s="16"/>
      <c r="S4" s="21">
        <v>3.3790012804097298</v>
      </c>
      <c r="T4" s="14" t="s">
        <v>34</v>
      </c>
      <c r="U4" s="22" t="s">
        <v>34</v>
      </c>
      <c r="V4" s="23" t="s">
        <v>34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26" t="s">
        <v>35</v>
      </c>
      <c r="AB4" s="27">
        <f t="shared" ref="AB4:AB32" si="11">IF(OR(AA4="UsLargeStandardSize",AA4="UsSmallStandardSize"),-0.69,-0.48)</f>
        <v>-0.69</v>
      </c>
      <c r="AC4" s="28">
        <v>4.9314236111111111E-2</v>
      </c>
      <c r="AD4" s="25">
        <f t="shared" ref="AD4:AD32" si="12">IFERROR(AB4*AC4*D4*2,0)</f>
        <v>-16.060660416666664</v>
      </c>
      <c r="AE4" s="25">
        <v>-4.9000000000000004</v>
      </c>
      <c r="AF4" s="25">
        <v>-3.8184102564102567</v>
      </c>
      <c r="AG4" s="25">
        <v>0</v>
      </c>
    </row>
    <row r="5" spans="1:33" ht="15.75" customHeight="1">
      <c r="A5" s="14" t="s">
        <v>183</v>
      </c>
      <c r="B5" s="14" t="s">
        <v>1137</v>
      </c>
      <c r="C5" s="15">
        <f t="shared" si="4"/>
        <v>20.827677419354821</v>
      </c>
      <c r="D5" s="16">
        <v>155</v>
      </c>
      <c r="E5" s="16">
        <v>0</v>
      </c>
      <c r="F5" s="29">
        <v>3228.2899999999972</v>
      </c>
      <c r="G5" s="29">
        <v>-0.08</v>
      </c>
      <c r="H5" s="18">
        <f t="shared" si="1"/>
        <v>2.4780921168792168E-5</v>
      </c>
      <c r="I5" s="18">
        <f t="shared" si="2"/>
        <v>0.42810663611614641</v>
      </c>
      <c r="J5" s="17">
        <f t="shared" si="5"/>
        <v>1382.0523723073932</v>
      </c>
      <c r="K5" s="17">
        <f t="shared" si="3"/>
        <v>8.9164669181122136</v>
      </c>
      <c r="L5" s="16">
        <v>415</v>
      </c>
      <c r="M5" s="19">
        <f t="shared" si="6"/>
        <v>0.37349397590361444</v>
      </c>
      <c r="N5" s="16">
        <v>451</v>
      </c>
      <c r="O5" s="20">
        <f t="shared" ref="O5:P5" si="13">D5/7</f>
        <v>22.142857142857142</v>
      </c>
      <c r="P5" s="20">
        <f t="shared" si="13"/>
        <v>0</v>
      </c>
      <c r="Q5" s="16">
        <f t="shared" si="8"/>
        <v>20</v>
      </c>
      <c r="R5" s="16"/>
      <c r="S5" s="21">
        <v>3.4745098039215598</v>
      </c>
      <c r="T5" s="14" t="s">
        <v>34</v>
      </c>
      <c r="U5" s="22" t="s">
        <v>34</v>
      </c>
      <c r="V5" s="23" t="s">
        <v>34</v>
      </c>
      <c r="W5" s="14">
        <v>0</v>
      </c>
      <c r="X5" s="24">
        <f t="shared" si="9"/>
        <v>0</v>
      </c>
      <c r="Y5" s="25">
        <f t="shared" si="10"/>
        <v>0</v>
      </c>
      <c r="Z5" s="14">
        <v>0</v>
      </c>
      <c r="AA5" s="14" t="s">
        <v>35</v>
      </c>
      <c r="AB5" s="27">
        <f t="shared" si="11"/>
        <v>-0.69</v>
      </c>
      <c r="AC5" s="28">
        <v>4.9371378910776365E-2</v>
      </c>
      <c r="AD5" s="25">
        <f t="shared" si="12"/>
        <v>-10.560537949015064</v>
      </c>
      <c r="AE5" s="25">
        <v>-4.9000000000000004</v>
      </c>
      <c r="AF5" s="25">
        <v>-3.8184102564102567</v>
      </c>
      <c r="AG5" s="25">
        <v>0</v>
      </c>
    </row>
    <row r="6" spans="1:33" ht="15.75" customHeight="1">
      <c r="A6" s="14" t="s">
        <v>185</v>
      </c>
      <c r="B6" s="14" t="s">
        <v>1138</v>
      </c>
      <c r="C6" s="15">
        <f t="shared" si="4"/>
        <v>23.451919191919185</v>
      </c>
      <c r="D6" s="16">
        <v>99</v>
      </c>
      <c r="E6" s="16">
        <v>0</v>
      </c>
      <c r="F6" s="29">
        <v>2321.7399999999993</v>
      </c>
      <c r="G6" s="29">
        <v>0</v>
      </c>
      <c r="H6" s="18">
        <f t="shared" si="1"/>
        <v>0</v>
      </c>
      <c r="I6" s="18">
        <f t="shared" si="2"/>
        <v>0.47534137055737685</v>
      </c>
      <c r="J6" s="17">
        <f t="shared" si="5"/>
        <v>1103.6190736778838</v>
      </c>
      <c r="K6" s="17">
        <f t="shared" si="3"/>
        <v>11.147667410887715</v>
      </c>
      <c r="L6" s="16">
        <v>339</v>
      </c>
      <c r="M6" s="19">
        <f t="shared" si="6"/>
        <v>0.29203539823008851</v>
      </c>
      <c r="N6" s="16">
        <v>357</v>
      </c>
      <c r="O6" s="20">
        <f t="shared" ref="O6:P6" si="14">D6/7</f>
        <v>14.142857142857142</v>
      </c>
      <c r="P6" s="20">
        <f t="shared" si="14"/>
        <v>0</v>
      </c>
      <c r="Q6" s="16">
        <f t="shared" si="8"/>
        <v>25</v>
      </c>
      <c r="R6" s="16"/>
      <c r="S6" s="21">
        <v>3.76588151320485</v>
      </c>
      <c r="T6" s="14">
        <v>2500</v>
      </c>
      <c r="U6" s="22">
        <v>300</v>
      </c>
      <c r="V6" s="23" t="s">
        <v>1139</v>
      </c>
      <c r="W6" s="14">
        <v>0</v>
      </c>
      <c r="X6" s="24">
        <f t="shared" si="9"/>
        <v>0</v>
      </c>
      <c r="Y6" s="25">
        <f t="shared" si="10"/>
        <v>0</v>
      </c>
      <c r="Z6" s="14">
        <v>0</v>
      </c>
      <c r="AA6" s="14" t="s">
        <v>35</v>
      </c>
      <c r="AB6" s="27">
        <f t="shared" si="11"/>
        <v>-0.69</v>
      </c>
      <c r="AC6" s="28">
        <v>4.9314236111111111E-2</v>
      </c>
      <c r="AD6" s="25">
        <f t="shared" si="12"/>
        <v>-6.7373109374999993</v>
      </c>
      <c r="AE6" s="25">
        <v>-4.9000000000000004</v>
      </c>
      <c r="AF6" s="25">
        <v>-3.8184102564102567</v>
      </c>
      <c r="AG6" s="25">
        <v>0</v>
      </c>
    </row>
    <row r="7" spans="1:33" ht="15.75" customHeight="1">
      <c r="A7" s="14" t="s">
        <v>187</v>
      </c>
      <c r="B7" s="14" t="s">
        <v>1140</v>
      </c>
      <c r="C7" s="15">
        <f t="shared" si="4"/>
        <v>25.687272727272717</v>
      </c>
      <c r="D7" s="16">
        <v>88</v>
      </c>
      <c r="E7" s="16">
        <v>1</v>
      </c>
      <c r="F7" s="29">
        <v>2260.4799999999991</v>
      </c>
      <c r="G7" s="29">
        <v>0</v>
      </c>
      <c r="H7" s="18">
        <f t="shared" si="1"/>
        <v>0</v>
      </c>
      <c r="I7" s="18">
        <f t="shared" si="2"/>
        <v>0.50794485091775365</v>
      </c>
      <c r="J7" s="17">
        <f t="shared" si="5"/>
        <v>1148.1991766025633</v>
      </c>
      <c r="K7" s="17">
        <f t="shared" si="3"/>
        <v>13.04771791593822</v>
      </c>
      <c r="L7" s="16">
        <v>329</v>
      </c>
      <c r="M7" s="19">
        <f t="shared" si="6"/>
        <v>0.26747720364741639</v>
      </c>
      <c r="N7" s="16">
        <v>886</v>
      </c>
      <c r="O7" s="20">
        <f t="shared" ref="O7:P7" si="15">D7/7</f>
        <v>12.571428571428571</v>
      </c>
      <c r="P7" s="20">
        <f t="shared" si="15"/>
        <v>0.14285714285714285</v>
      </c>
      <c r="Q7" s="16">
        <f t="shared" si="8"/>
        <v>69</v>
      </c>
      <c r="R7" s="16"/>
      <c r="S7" s="21">
        <v>2.8500719424460401</v>
      </c>
      <c r="T7" s="14">
        <v>2200</v>
      </c>
      <c r="U7" s="22">
        <v>300</v>
      </c>
      <c r="V7" s="23" t="s">
        <v>1141</v>
      </c>
      <c r="W7" s="14">
        <v>0</v>
      </c>
      <c r="X7" s="24">
        <f t="shared" si="9"/>
        <v>0</v>
      </c>
      <c r="Y7" s="25">
        <f t="shared" si="10"/>
        <v>0</v>
      </c>
      <c r="Z7" s="14">
        <v>0</v>
      </c>
      <c r="AA7" s="14" t="s">
        <v>35</v>
      </c>
      <c r="AB7" s="27">
        <f t="shared" si="11"/>
        <v>-0.69</v>
      </c>
      <c r="AC7" s="28">
        <v>4.9314236111111111E-2</v>
      </c>
      <c r="AD7" s="25">
        <f t="shared" si="12"/>
        <v>-5.9887208333333328</v>
      </c>
      <c r="AE7" s="25">
        <v>-4.9000000000000004</v>
      </c>
      <c r="AF7" s="25">
        <v>-3.8184102564102567</v>
      </c>
      <c r="AG7" s="25">
        <v>0</v>
      </c>
    </row>
    <row r="8" spans="1:33" ht="15.75" customHeight="1">
      <c r="A8" s="14" t="s">
        <v>189</v>
      </c>
      <c r="B8" s="14" t="s">
        <v>1142</v>
      </c>
      <c r="C8" s="15">
        <f t="shared" si="4"/>
        <v>19.446586826347282</v>
      </c>
      <c r="D8" s="16">
        <v>167</v>
      </c>
      <c r="E8" s="16">
        <v>0</v>
      </c>
      <c r="F8" s="29">
        <v>3247.5799999999958</v>
      </c>
      <c r="G8" s="29">
        <v>0</v>
      </c>
      <c r="H8" s="18">
        <f t="shared" si="1"/>
        <v>0</v>
      </c>
      <c r="I8" s="18">
        <f t="shared" si="2"/>
        <v>0.39809274633598907</v>
      </c>
      <c r="J8" s="17">
        <f t="shared" si="5"/>
        <v>1292.8380411458297</v>
      </c>
      <c r="K8" s="17">
        <f t="shared" si="3"/>
        <v>7.7415451565618545</v>
      </c>
      <c r="L8" s="16">
        <v>310</v>
      </c>
      <c r="M8" s="19">
        <f t="shared" si="6"/>
        <v>0.53870967741935483</v>
      </c>
      <c r="N8" s="16">
        <v>731</v>
      </c>
      <c r="O8" s="20">
        <f t="shared" ref="O8:P8" si="16">D8/7</f>
        <v>23.857142857142858</v>
      </c>
      <c r="P8" s="20">
        <f t="shared" si="16"/>
        <v>0</v>
      </c>
      <c r="Q8" s="16">
        <f t="shared" si="8"/>
        <v>30</v>
      </c>
      <c r="R8" s="16"/>
      <c r="S8" s="21">
        <v>2.82611424984306</v>
      </c>
      <c r="T8" s="14">
        <v>2200</v>
      </c>
      <c r="U8" s="22">
        <v>300</v>
      </c>
      <c r="V8" s="23" t="s">
        <v>1143</v>
      </c>
      <c r="W8" s="14">
        <v>0</v>
      </c>
      <c r="X8" s="24">
        <f t="shared" si="9"/>
        <v>0</v>
      </c>
      <c r="Y8" s="25">
        <f t="shared" si="10"/>
        <v>0</v>
      </c>
      <c r="Z8" s="14">
        <v>0</v>
      </c>
      <c r="AA8" s="14" t="s">
        <v>35</v>
      </c>
      <c r="AB8" s="27">
        <f t="shared" si="11"/>
        <v>-0.69</v>
      </c>
      <c r="AC8" s="28">
        <v>4.9314236111111111E-2</v>
      </c>
      <c r="AD8" s="25">
        <f t="shared" si="12"/>
        <v>-11.364958854166666</v>
      </c>
      <c r="AE8" s="25">
        <v>-4.9000000000000004</v>
      </c>
      <c r="AF8" s="25">
        <v>-3.82</v>
      </c>
      <c r="AG8" s="25">
        <v>0</v>
      </c>
    </row>
    <row r="9" spans="1:33" ht="15.75" customHeight="1">
      <c r="A9" s="14" t="s">
        <v>191</v>
      </c>
      <c r="B9" s="14" t="s">
        <v>68</v>
      </c>
      <c r="C9" s="15">
        <f t="shared" si="4"/>
        <v>19.268722222222188</v>
      </c>
      <c r="D9" s="16">
        <v>180</v>
      </c>
      <c r="E9" s="16">
        <v>34</v>
      </c>
      <c r="F9" s="29">
        <v>3468.369999999994</v>
      </c>
      <c r="G9" s="29">
        <v>0</v>
      </c>
      <c r="H9" s="18">
        <f t="shared" si="1"/>
        <v>0</v>
      </c>
      <c r="I9" s="18">
        <f t="shared" si="2"/>
        <v>0.39041356311577025</v>
      </c>
      <c r="J9" s="17">
        <f t="shared" si="5"/>
        <v>1354.0986899038417</v>
      </c>
      <c r="K9" s="17">
        <f t="shared" si="3"/>
        <v>7.5227704994657874</v>
      </c>
      <c r="L9" s="16">
        <v>496</v>
      </c>
      <c r="M9" s="19">
        <f t="shared" si="6"/>
        <v>0.36290322580645162</v>
      </c>
      <c r="N9" s="16">
        <v>449</v>
      </c>
      <c r="O9" s="20">
        <f t="shared" ref="O9:P9" si="17">D9/7</f>
        <v>25.714285714285715</v>
      </c>
      <c r="P9" s="20">
        <f t="shared" si="17"/>
        <v>4.8571428571428568</v>
      </c>
      <c r="Q9" s="16">
        <f t="shared" si="8"/>
        <v>14</v>
      </c>
      <c r="R9" s="16"/>
      <c r="S9" s="21">
        <v>3.24203152364273</v>
      </c>
      <c r="T9" s="14">
        <v>2200</v>
      </c>
      <c r="U9" s="22">
        <v>200</v>
      </c>
      <c r="V9" s="23" t="s">
        <v>1144</v>
      </c>
      <c r="W9" s="14">
        <v>0</v>
      </c>
      <c r="X9" s="24">
        <f t="shared" si="9"/>
        <v>0</v>
      </c>
      <c r="Y9" s="25">
        <f t="shared" si="10"/>
        <v>0</v>
      </c>
      <c r="Z9" s="14">
        <v>0</v>
      </c>
      <c r="AA9" s="14" t="s">
        <v>35</v>
      </c>
      <c r="AB9" s="27">
        <f t="shared" si="11"/>
        <v>-0.69</v>
      </c>
      <c r="AC9" s="28">
        <v>4.9314236111111111E-2</v>
      </c>
      <c r="AD9" s="25">
        <f t="shared" si="12"/>
        <v>-12.249656249999999</v>
      </c>
      <c r="AE9" s="25">
        <v>-4.9000000000000004</v>
      </c>
      <c r="AF9" s="25">
        <v>-3.8875897435897402</v>
      </c>
      <c r="AG9" s="25">
        <v>0</v>
      </c>
    </row>
    <row r="10" spans="1:33" ht="15.75" customHeight="1">
      <c r="A10" s="14" t="s">
        <v>192</v>
      </c>
      <c r="B10" s="14" t="s">
        <v>68</v>
      </c>
      <c r="C10" s="15">
        <f t="shared" si="4"/>
        <v>19.709756097560991</v>
      </c>
      <c r="D10" s="16">
        <v>164</v>
      </c>
      <c r="E10" s="16">
        <v>0</v>
      </c>
      <c r="F10" s="29">
        <v>3232.4000000000024</v>
      </c>
      <c r="G10" s="29">
        <v>-0.02</v>
      </c>
      <c r="H10" s="18">
        <f t="shared" si="1"/>
        <v>6.1873530503650492E-6</v>
      </c>
      <c r="I10" s="18">
        <f t="shared" si="2"/>
        <v>0.40069127711131569</v>
      </c>
      <c r="J10" s="17">
        <f t="shared" si="5"/>
        <v>1295.1944841346178</v>
      </c>
      <c r="K10" s="17">
        <f t="shared" si="3"/>
        <v>7.8975273422842553</v>
      </c>
      <c r="L10" s="16">
        <v>475</v>
      </c>
      <c r="M10" s="19">
        <f t="shared" si="6"/>
        <v>0.34526315789473683</v>
      </c>
      <c r="N10" s="16">
        <v>434</v>
      </c>
      <c r="O10" s="20">
        <f t="shared" ref="O10:P10" si="18">D10/7</f>
        <v>23.428571428571427</v>
      </c>
      <c r="P10" s="20">
        <f t="shared" si="18"/>
        <v>0</v>
      </c>
      <c r="Q10" s="16">
        <f t="shared" si="8"/>
        <v>18</v>
      </c>
      <c r="R10" s="16"/>
      <c r="S10" s="21">
        <v>3.6911015288122302</v>
      </c>
      <c r="T10" s="14">
        <v>2000</v>
      </c>
      <c r="U10" s="22">
        <v>200</v>
      </c>
      <c r="V10" s="23" t="s">
        <v>1145</v>
      </c>
      <c r="W10" s="14">
        <v>0</v>
      </c>
      <c r="X10" s="24">
        <f t="shared" si="9"/>
        <v>0</v>
      </c>
      <c r="Y10" s="25">
        <f t="shared" si="10"/>
        <v>0</v>
      </c>
      <c r="Z10" s="14">
        <v>0</v>
      </c>
      <c r="AA10" s="14" t="s">
        <v>35</v>
      </c>
      <c r="AB10" s="27">
        <f t="shared" si="11"/>
        <v>-0.69</v>
      </c>
      <c r="AC10" s="28">
        <v>4.9314236111111111E-2</v>
      </c>
      <c r="AD10" s="25">
        <f t="shared" si="12"/>
        <v>-11.160797916666667</v>
      </c>
      <c r="AE10" s="25">
        <v>-4.9000000000000004</v>
      </c>
      <c r="AF10" s="25">
        <v>-3.8875897435897402</v>
      </c>
      <c r="AG10" s="25">
        <v>0</v>
      </c>
    </row>
    <row r="11" spans="1:33" ht="15.75" customHeight="1">
      <c r="A11" s="14" t="s">
        <v>193</v>
      </c>
      <c r="B11" s="14" t="s">
        <v>68</v>
      </c>
      <c r="C11" s="15">
        <f t="shared" si="4"/>
        <v>18.431356589147295</v>
      </c>
      <c r="D11" s="16">
        <v>258</v>
      </c>
      <c r="E11" s="16">
        <v>0</v>
      </c>
      <c r="F11" s="29">
        <v>4755.2900000000018</v>
      </c>
      <c r="G11" s="29">
        <v>-7.0000000000000007E-2</v>
      </c>
      <c r="H11" s="18">
        <f t="shared" si="1"/>
        <v>1.4720448174559276E-5</v>
      </c>
      <c r="I11" s="18">
        <f t="shared" si="2"/>
        <v>0.36951910515002195</v>
      </c>
      <c r="J11" s="17">
        <f t="shared" si="5"/>
        <v>1757.1705055288485</v>
      </c>
      <c r="K11" s="17">
        <f t="shared" si="3"/>
        <v>6.8107383935226684</v>
      </c>
      <c r="L11" s="16">
        <v>435</v>
      </c>
      <c r="M11" s="19">
        <f t="shared" si="6"/>
        <v>0.59310344827586203</v>
      </c>
      <c r="N11" s="16">
        <v>594</v>
      </c>
      <c r="O11" s="20">
        <f t="shared" ref="O11:P11" si="19">D11/7</f>
        <v>36.857142857142854</v>
      </c>
      <c r="P11" s="20">
        <f t="shared" si="19"/>
        <v>0</v>
      </c>
      <c r="Q11" s="16">
        <f t="shared" si="8"/>
        <v>16</v>
      </c>
      <c r="R11" s="16"/>
      <c r="S11" s="21">
        <v>3.5214312336936202</v>
      </c>
      <c r="T11" s="14">
        <v>6994</v>
      </c>
      <c r="U11" s="22">
        <v>200</v>
      </c>
      <c r="V11" s="23" t="s">
        <v>1146</v>
      </c>
      <c r="W11" s="14">
        <v>0</v>
      </c>
      <c r="X11" s="24">
        <f t="shared" si="9"/>
        <v>0</v>
      </c>
      <c r="Y11" s="25">
        <f t="shared" si="10"/>
        <v>0</v>
      </c>
      <c r="Z11" s="14">
        <v>0</v>
      </c>
      <c r="AA11" s="14" t="s">
        <v>35</v>
      </c>
      <c r="AB11" s="27">
        <f t="shared" si="11"/>
        <v>-0.69</v>
      </c>
      <c r="AC11" s="28">
        <v>4.9314236111111111E-2</v>
      </c>
      <c r="AD11" s="25">
        <f t="shared" si="12"/>
        <v>-17.557840624999997</v>
      </c>
      <c r="AE11" s="25">
        <v>-4.9000000000000004</v>
      </c>
      <c r="AF11" s="25">
        <v>-3.8875897435897402</v>
      </c>
      <c r="AG11" s="25">
        <v>0</v>
      </c>
    </row>
    <row r="12" spans="1:33" ht="15.75" customHeight="1">
      <c r="A12" s="14" t="s">
        <v>195</v>
      </c>
      <c r="B12" s="14" t="s">
        <v>68</v>
      </c>
      <c r="C12" s="15">
        <f t="shared" si="4"/>
        <v>19.486614173228336</v>
      </c>
      <c r="D12" s="16">
        <v>254</v>
      </c>
      <c r="E12" s="16">
        <v>3</v>
      </c>
      <c r="F12" s="29">
        <v>4949.5999999999976</v>
      </c>
      <c r="G12" s="29">
        <v>-7.0000000000000007E-2</v>
      </c>
      <c r="H12" s="18">
        <f t="shared" si="1"/>
        <v>1.4142556974300961E-5</v>
      </c>
      <c r="I12" s="18">
        <f t="shared" si="2"/>
        <v>0.39575592652658453</v>
      </c>
      <c r="J12" s="17">
        <f t="shared" si="5"/>
        <v>1958.8335339359819</v>
      </c>
      <c r="K12" s="17">
        <f t="shared" si="3"/>
        <v>7.7119430469920545</v>
      </c>
      <c r="L12" s="16">
        <v>439</v>
      </c>
      <c r="M12" s="19">
        <f t="shared" si="6"/>
        <v>0.57858769931662868</v>
      </c>
      <c r="N12" s="16">
        <v>330</v>
      </c>
      <c r="O12" s="20">
        <f t="shared" ref="O12:P12" si="20">D12/7</f>
        <v>36.285714285714285</v>
      </c>
      <c r="P12" s="20">
        <f t="shared" si="20"/>
        <v>0.42857142857142855</v>
      </c>
      <c r="Q12" s="16">
        <f t="shared" si="8"/>
        <v>8</v>
      </c>
      <c r="R12" s="16"/>
      <c r="S12" s="21">
        <v>3.5549069682597501</v>
      </c>
      <c r="T12" s="14">
        <v>2300</v>
      </c>
      <c r="U12" s="22">
        <v>300</v>
      </c>
      <c r="V12" s="23" t="s">
        <v>1147</v>
      </c>
      <c r="W12" s="14">
        <v>0</v>
      </c>
      <c r="X12" s="24">
        <f t="shared" si="9"/>
        <v>0</v>
      </c>
      <c r="Y12" s="25">
        <f t="shared" si="10"/>
        <v>0</v>
      </c>
      <c r="Z12" s="14">
        <v>0</v>
      </c>
      <c r="AA12" s="14" t="s">
        <v>35</v>
      </c>
      <c r="AB12" s="27">
        <f t="shared" si="11"/>
        <v>-0.69</v>
      </c>
      <c r="AC12" s="28">
        <v>4.624178703703704E-2</v>
      </c>
      <c r="AD12" s="25">
        <f t="shared" si="12"/>
        <v>-16.208671192222223</v>
      </c>
      <c r="AE12" s="25">
        <v>-4.9000000000000004</v>
      </c>
      <c r="AF12" s="25">
        <v>-3.8875897435897402</v>
      </c>
      <c r="AG12" s="25">
        <v>0</v>
      </c>
    </row>
    <row r="13" spans="1:33" ht="15.75" customHeight="1">
      <c r="A13" s="14" t="s">
        <v>197</v>
      </c>
      <c r="B13" s="14" t="s">
        <v>68</v>
      </c>
      <c r="C13" s="15">
        <f t="shared" si="4"/>
        <v>19.649478672985783</v>
      </c>
      <c r="D13" s="16">
        <v>211</v>
      </c>
      <c r="E13" s="16">
        <v>4</v>
      </c>
      <c r="F13" s="17">
        <v>4146.04</v>
      </c>
      <c r="G13" s="29">
        <v>-0.06</v>
      </c>
      <c r="H13" s="18">
        <f t="shared" si="1"/>
        <v>1.4471640408679124E-5</v>
      </c>
      <c r="I13" s="18">
        <f t="shared" si="2"/>
        <v>0.39766748908610516</v>
      </c>
      <c r="J13" s="17">
        <f t="shared" si="5"/>
        <v>1648.7453164505555</v>
      </c>
      <c r="K13" s="17">
        <f t="shared" si="3"/>
        <v>7.81395884573723</v>
      </c>
      <c r="L13" s="16">
        <v>320</v>
      </c>
      <c r="M13" s="19">
        <f t="shared" si="6"/>
        <v>0.65937500000000004</v>
      </c>
      <c r="N13" s="16">
        <v>322</v>
      </c>
      <c r="O13" s="20">
        <f t="shared" ref="O13:P13" si="21">D13/7</f>
        <v>30.142857142857142</v>
      </c>
      <c r="P13" s="20">
        <f t="shared" si="21"/>
        <v>0.5714285714285714</v>
      </c>
      <c r="Q13" s="16">
        <f t="shared" si="8"/>
        <v>10</v>
      </c>
      <c r="R13" s="16"/>
      <c r="S13" s="21">
        <v>3.7941409342834498</v>
      </c>
      <c r="T13" s="14">
        <v>2000</v>
      </c>
      <c r="U13" s="22">
        <v>440</v>
      </c>
      <c r="V13" s="23" t="s">
        <v>1148</v>
      </c>
      <c r="W13" s="14">
        <v>0</v>
      </c>
      <c r="X13" s="24">
        <f t="shared" si="9"/>
        <v>0</v>
      </c>
      <c r="Y13" s="25">
        <f t="shared" si="10"/>
        <v>0</v>
      </c>
      <c r="Z13" s="14">
        <v>0</v>
      </c>
      <c r="AA13" s="14" t="s">
        <v>35</v>
      </c>
      <c r="AB13" s="27">
        <f t="shared" si="11"/>
        <v>-0.69</v>
      </c>
      <c r="AC13" s="28">
        <v>4.624178703703704E-2</v>
      </c>
      <c r="AD13" s="25">
        <f t="shared" si="12"/>
        <v>-13.464683549444445</v>
      </c>
      <c r="AE13" s="25">
        <v>-4.9000000000000004</v>
      </c>
      <c r="AF13" s="25">
        <v>-3.9239999999999999</v>
      </c>
      <c r="AG13" s="25">
        <v>0</v>
      </c>
    </row>
    <row r="14" spans="1:33" ht="15.75" customHeight="1">
      <c r="A14" s="14" t="s">
        <v>32</v>
      </c>
      <c r="B14" s="14" t="s">
        <v>68</v>
      </c>
      <c r="C14" s="15">
        <f t="shared" si="4"/>
        <v>20.425666666666654</v>
      </c>
      <c r="D14" s="16">
        <v>210</v>
      </c>
      <c r="E14" s="16">
        <v>1</v>
      </c>
      <c r="F14" s="17">
        <v>4289.3899999999976</v>
      </c>
      <c r="G14" s="29">
        <v>0</v>
      </c>
      <c r="H14" s="18">
        <f t="shared" si="1"/>
        <v>0</v>
      </c>
      <c r="I14" s="18">
        <f t="shared" si="2"/>
        <v>0.41487032657712769</v>
      </c>
      <c r="J14" s="17">
        <f t="shared" si="5"/>
        <v>1779.5406301166647</v>
      </c>
      <c r="K14" s="17">
        <f t="shared" si="3"/>
        <v>8.4740030005555464</v>
      </c>
      <c r="L14" s="16">
        <v>354</v>
      </c>
      <c r="M14" s="19">
        <f t="shared" si="6"/>
        <v>0.59322033898305082</v>
      </c>
      <c r="N14" s="16">
        <v>133</v>
      </c>
      <c r="O14" s="20">
        <f t="shared" ref="O14:P14" si="22">D14/7</f>
        <v>30</v>
      </c>
      <c r="P14" s="20">
        <f t="shared" si="22"/>
        <v>0.14285714285714285</v>
      </c>
      <c r="Q14" s="16">
        <f t="shared" si="8"/>
        <v>4</v>
      </c>
      <c r="R14" s="16"/>
      <c r="S14" s="21">
        <v>4.3741690408357004</v>
      </c>
      <c r="T14" s="14">
        <v>1800</v>
      </c>
      <c r="U14" s="22">
        <v>440</v>
      </c>
      <c r="V14" s="23" t="s">
        <v>1148</v>
      </c>
      <c r="W14" s="14">
        <v>0</v>
      </c>
      <c r="X14" s="24">
        <f t="shared" si="9"/>
        <v>0</v>
      </c>
      <c r="Y14" s="25">
        <f t="shared" si="10"/>
        <v>0</v>
      </c>
      <c r="Z14" s="14">
        <v>0</v>
      </c>
      <c r="AA14" s="14" t="s">
        <v>35</v>
      </c>
      <c r="AB14" s="27">
        <f t="shared" si="11"/>
        <v>-0.69</v>
      </c>
      <c r="AC14" s="28">
        <v>4.624178703703704E-2</v>
      </c>
      <c r="AD14" s="25">
        <f t="shared" si="12"/>
        <v>-13.400869883333334</v>
      </c>
      <c r="AE14" s="25">
        <v>-4.9000000000000004</v>
      </c>
      <c r="AF14" s="25">
        <v>-3.9239999999999999</v>
      </c>
      <c r="AG14" s="25">
        <v>0</v>
      </c>
    </row>
    <row r="15" spans="1:33" ht="15.75" customHeight="1">
      <c r="A15" s="14" t="s">
        <v>36</v>
      </c>
      <c r="B15" s="14" t="s">
        <v>68</v>
      </c>
      <c r="C15" s="15">
        <f t="shared" si="4"/>
        <v>19.646274509803945</v>
      </c>
      <c r="D15" s="16">
        <v>204</v>
      </c>
      <c r="E15" s="16">
        <v>0</v>
      </c>
      <c r="F15" s="17">
        <v>4007.8400000000047</v>
      </c>
      <c r="G15" s="29">
        <v>-0.1</v>
      </c>
      <c r="H15" s="18">
        <f t="shared" si="1"/>
        <v>2.4951095852129797E-5</v>
      </c>
      <c r="I15" s="18">
        <f t="shared" si="2"/>
        <v>0.38842119748127063</v>
      </c>
      <c r="J15" s="17">
        <f t="shared" si="5"/>
        <v>1556.7300121133376</v>
      </c>
      <c r="K15" s="17">
        <f t="shared" si="3"/>
        <v>7.6310294711438118</v>
      </c>
      <c r="L15" s="16">
        <v>354</v>
      </c>
      <c r="M15" s="19">
        <f t="shared" si="6"/>
        <v>0.57627118644067798</v>
      </c>
      <c r="N15" s="16">
        <v>471</v>
      </c>
      <c r="O15" s="20">
        <f t="shared" ref="O15:P15" si="23">D15/7</f>
        <v>29.142857142857142</v>
      </c>
      <c r="P15" s="20">
        <f t="shared" si="23"/>
        <v>0</v>
      </c>
      <c r="Q15" s="16">
        <f t="shared" si="8"/>
        <v>16</v>
      </c>
      <c r="R15" s="16"/>
      <c r="S15" s="21">
        <v>4.6209598432908896</v>
      </c>
      <c r="T15" s="14">
        <v>1800</v>
      </c>
      <c r="U15" s="22">
        <v>440</v>
      </c>
      <c r="V15" s="23" t="s">
        <v>1149</v>
      </c>
      <c r="W15" s="14">
        <v>0</v>
      </c>
      <c r="X15" s="24">
        <f t="shared" si="9"/>
        <v>0</v>
      </c>
      <c r="Y15" s="25">
        <f t="shared" si="10"/>
        <v>0</v>
      </c>
      <c r="Z15" s="14">
        <v>0</v>
      </c>
      <c r="AA15" s="14" t="s">
        <v>35</v>
      </c>
      <c r="AB15" s="27">
        <f t="shared" si="11"/>
        <v>-0.69</v>
      </c>
      <c r="AC15" s="28">
        <v>4.624178703703704E-2</v>
      </c>
      <c r="AD15" s="25">
        <f t="shared" si="12"/>
        <v>-13.017987886666667</v>
      </c>
      <c r="AE15" s="25">
        <v>-4.9000000000000004</v>
      </c>
      <c r="AF15" s="25">
        <v>-4.1040000000000001</v>
      </c>
      <c r="AG15" s="25">
        <v>0</v>
      </c>
    </row>
    <row r="16" spans="1:33" ht="15.75" customHeight="1">
      <c r="A16" s="14" t="s">
        <v>38</v>
      </c>
      <c r="B16" s="14" t="s">
        <v>1150</v>
      </c>
      <c r="C16" s="15">
        <f t="shared" si="4"/>
        <v>19.872083333333347</v>
      </c>
      <c r="D16" s="16">
        <v>168</v>
      </c>
      <c r="E16" s="16">
        <v>1</v>
      </c>
      <c r="F16" s="17">
        <v>3338.5100000000025</v>
      </c>
      <c r="G16" s="29">
        <v>-0.08</v>
      </c>
      <c r="H16" s="18">
        <f t="shared" si="1"/>
        <v>2.3962785793662424E-5</v>
      </c>
      <c r="I16" s="18">
        <f t="shared" si="2"/>
        <v>0.39366687656868926</v>
      </c>
      <c r="J16" s="17">
        <f t="shared" si="5"/>
        <v>1314.2608040933358</v>
      </c>
      <c r="K16" s="17">
        <f t="shared" si="3"/>
        <v>7.8229809767460461</v>
      </c>
      <c r="L16" s="16">
        <v>326</v>
      </c>
      <c r="M16" s="19">
        <f t="shared" si="6"/>
        <v>0.51533742331288346</v>
      </c>
      <c r="N16" s="16">
        <v>299</v>
      </c>
      <c r="O16" s="20">
        <f t="shared" ref="O16:P16" si="24">D16/7</f>
        <v>24</v>
      </c>
      <c r="P16" s="20">
        <f t="shared" si="24"/>
        <v>0.14285714285714285</v>
      </c>
      <c r="Q16" s="16">
        <f t="shared" si="8"/>
        <v>12</v>
      </c>
      <c r="R16" s="16"/>
      <c r="S16" s="21">
        <v>4.1063009001285797</v>
      </c>
      <c r="T16" s="14">
        <v>1800</v>
      </c>
      <c r="U16" s="22">
        <v>440</v>
      </c>
      <c r="V16" s="23" t="s">
        <v>1151</v>
      </c>
      <c r="W16" s="14">
        <v>1</v>
      </c>
      <c r="X16" s="24">
        <f t="shared" si="9"/>
        <v>5.9523809523809521E-3</v>
      </c>
      <c r="Y16" s="25">
        <f t="shared" si="10"/>
        <v>0.08</v>
      </c>
      <c r="Z16" s="14">
        <v>0</v>
      </c>
      <c r="AA16" s="14" t="s">
        <v>35</v>
      </c>
      <c r="AB16" s="27">
        <f t="shared" si="11"/>
        <v>-0.69</v>
      </c>
      <c r="AC16" s="28">
        <v>4.624178703703704E-2</v>
      </c>
      <c r="AD16" s="25">
        <f t="shared" si="12"/>
        <v>-10.720695906666666</v>
      </c>
      <c r="AE16" s="25">
        <v>-4.9000000000000004</v>
      </c>
      <c r="AF16" s="25">
        <v>-4.1040000000000001</v>
      </c>
      <c r="AG16" s="25">
        <v>0</v>
      </c>
    </row>
    <row r="17" spans="1:33" ht="15.75" customHeight="1">
      <c r="A17" s="14" t="s">
        <v>40</v>
      </c>
      <c r="B17" s="14" t="s">
        <v>64</v>
      </c>
      <c r="C17" s="15">
        <f t="shared" si="4"/>
        <v>18.713666666666665</v>
      </c>
      <c r="D17" s="16">
        <v>180</v>
      </c>
      <c r="E17" s="16">
        <v>3</v>
      </c>
      <c r="F17" s="17">
        <v>3368.4599999999996</v>
      </c>
      <c r="G17" s="29">
        <v>-0.08</v>
      </c>
      <c r="H17" s="18">
        <f t="shared" si="1"/>
        <v>2.3749725393800138E-5</v>
      </c>
      <c r="I17" s="18">
        <f t="shared" si="2"/>
        <v>0.36542056016696051</v>
      </c>
      <c r="J17" s="17">
        <f t="shared" si="5"/>
        <v>1230.9045400999996</v>
      </c>
      <c r="K17" s="17">
        <f t="shared" si="3"/>
        <v>6.8383585561111087</v>
      </c>
      <c r="L17" s="16">
        <v>334</v>
      </c>
      <c r="M17" s="19">
        <f t="shared" si="6"/>
        <v>0.53892215568862278</v>
      </c>
      <c r="N17" s="16">
        <v>427</v>
      </c>
      <c r="O17" s="20">
        <f t="shared" ref="O17:P17" si="25">D17/7</f>
        <v>25.714285714285715</v>
      </c>
      <c r="P17" s="20">
        <f t="shared" si="25"/>
        <v>0.42857142857142855</v>
      </c>
      <c r="Q17" s="16">
        <f t="shared" si="8"/>
        <v>16</v>
      </c>
      <c r="R17" s="16"/>
      <c r="S17" s="21">
        <v>4.4275798241554796</v>
      </c>
      <c r="T17" s="14">
        <v>1340</v>
      </c>
      <c r="U17" s="22">
        <v>440</v>
      </c>
      <c r="V17" s="23" t="s">
        <v>1152</v>
      </c>
      <c r="W17" s="14">
        <v>0</v>
      </c>
      <c r="X17" s="24">
        <f t="shared" si="9"/>
        <v>0</v>
      </c>
      <c r="Y17" s="25">
        <f t="shared" si="10"/>
        <v>0</v>
      </c>
      <c r="Z17" s="14">
        <v>0</v>
      </c>
      <c r="AA17" s="14" t="s">
        <v>35</v>
      </c>
      <c r="AB17" s="27">
        <f t="shared" si="11"/>
        <v>-0.69</v>
      </c>
      <c r="AC17" s="28">
        <v>4.624178703703704E-2</v>
      </c>
      <c r="AD17" s="25">
        <f t="shared" si="12"/>
        <v>-11.4864599</v>
      </c>
      <c r="AE17" s="25">
        <v>-4.9000000000000004</v>
      </c>
      <c r="AF17" s="25">
        <v>-4.1040000000000001</v>
      </c>
      <c r="AG17" s="25">
        <v>0</v>
      </c>
    </row>
    <row r="18" spans="1:33" ht="15.75" customHeight="1">
      <c r="A18" s="14" t="s">
        <v>42</v>
      </c>
      <c r="B18" s="14" t="s">
        <v>66</v>
      </c>
      <c r="C18" s="15">
        <f t="shared" si="4"/>
        <v>18.530678733031628</v>
      </c>
      <c r="D18" s="16">
        <v>221</v>
      </c>
      <c r="E18" s="16">
        <v>0</v>
      </c>
      <c r="F18" s="17">
        <v>4095.2799999999897</v>
      </c>
      <c r="G18" s="29">
        <v>-49.17</v>
      </c>
      <c r="H18" s="18">
        <f t="shared" si="1"/>
        <v>1.2006505049715802E-2</v>
      </c>
      <c r="I18" s="18">
        <f t="shared" si="2"/>
        <v>0.34865288326791799</v>
      </c>
      <c r="J18" s="17">
        <f t="shared" si="5"/>
        <v>1427.8311797894355</v>
      </c>
      <c r="K18" s="17">
        <f t="shared" si="3"/>
        <v>6.4607745691829663</v>
      </c>
      <c r="L18" s="16">
        <v>403</v>
      </c>
      <c r="M18" s="19">
        <f t="shared" si="6"/>
        <v>0.54838709677419351</v>
      </c>
      <c r="N18" s="16">
        <v>669</v>
      </c>
      <c r="O18" s="20">
        <f t="shared" ref="O18:P18" si="26">D18/7</f>
        <v>31.571428571428573</v>
      </c>
      <c r="P18" s="20">
        <f t="shared" si="26"/>
        <v>0</v>
      </c>
      <c r="Q18" s="16">
        <f t="shared" si="8"/>
        <v>21</v>
      </c>
      <c r="R18" s="16"/>
      <c r="S18" s="21">
        <v>4.8040404040403999</v>
      </c>
      <c r="T18" s="14">
        <v>700</v>
      </c>
      <c r="U18" s="22">
        <v>0</v>
      </c>
      <c r="V18" s="23" t="s">
        <v>1153</v>
      </c>
      <c r="W18" s="14">
        <v>11</v>
      </c>
      <c r="X18" s="24">
        <f t="shared" si="9"/>
        <v>4.9773755656108594E-2</v>
      </c>
      <c r="Y18" s="25">
        <f t="shared" si="10"/>
        <v>3.0731250000000001</v>
      </c>
      <c r="Z18" s="14">
        <v>5</v>
      </c>
      <c r="AA18" s="14" t="s">
        <v>35</v>
      </c>
      <c r="AB18" s="27">
        <f t="shared" si="11"/>
        <v>-0.69</v>
      </c>
      <c r="AC18" s="28">
        <v>4.624178703703704E-2</v>
      </c>
      <c r="AD18" s="25">
        <f t="shared" si="12"/>
        <v>-14.102820210555556</v>
      </c>
      <c r="AE18" s="25">
        <v>-4.9000000000000004</v>
      </c>
      <c r="AF18" s="25">
        <v>-4.1040000000000001</v>
      </c>
      <c r="AG18" s="25">
        <v>0</v>
      </c>
    </row>
    <row r="19" spans="1:33" ht="15.75" customHeight="1">
      <c r="A19" s="14" t="s">
        <v>44</v>
      </c>
      <c r="B19" s="14" t="s">
        <v>991</v>
      </c>
      <c r="C19" s="15">
        <f t="shared" si="4"/>
        <v>17.849083665338643</v>
      </c>
      <c r="D19" s="16">
        <v>251</v>
      </c>
      <c r="E19" s="16">
        <v>0</v>
      </c>
      <c r="F19" s="17">
        <v>4480.119999999999</v>
      </c>
      <c r="G19" s="29">
        <v>-9.34</v>
      </c>
      <c r="H19" s="18">
        <f t="shared" si="1"/>
        <v>2.0847655866360728E-3</v>
      </c>
      <c r="I19" s="18">
        <f t="shared" si="2"/>
        <v>0.32918755966494423</v>
      </c>
      <c r="J19" s="17">
        <f t="shared" si="5"/>
        <v>1474.7997698061097</v>
      </c>
      <c r="K19" s="17">
        <f t="shared" si="3"/>
        <v>5.8756962940482458</v>
      </c>
      <c r="L19" s="16">
        <v>403</v>
      </c>
      <c r="M19" s="19">
        <f t="shared" si="6"/>
        <v>0.62282878411910669</v>
      </c>
      <c r="N19" s="16">
        <v>830</v>
      </c>
      <c r="O19" s="20">
        <f t="shared" ref="O19:P19" si="27">D19/7</f>
        <v>35.857142857142854</v>
      </c>
      <c r="P19" s="20">
        <f t="shared" si="27"/>
        <v>0</v>
      </c>
      <c r="Q19" s="16">
        <f t="shared" si="8"/>
        <v>23</v>
      </c>
      <c r="R19" s="16"/>
      <c r="S19" s="21">
        <v>3.9416531604538001</v>
      </c>
      <c r="T19" s="14">
        <v>700</v>
      </c>
      <c r="U19" s="22">
        <v>200</v>
      </c>
      <c r="V19" s="23" t="s">
        <v>1154</v>
      </c>
      <c r="W19" s="14">
        <v>5</v>
      </c>
      <c r="X19" s="24">
        <f t="shared" si="9"/>
        <v>1.9920318725099601E-2</v>
      </c>
      <c r="Y19" s="25">
        <f t="shared" si="10"/>
        <v>1.1675</v>
      </c>
      <c r="Z19" s="14">
        <v>3</v>
      </c>
      <c r="AA19" s="14" t="s">
        <v>35</v>
      </c>
      <c r="AB19" s="27">
        <f t="shared" si="11"/>
        <v>-0.69</v>
      </c>
      <c r="AC19" s="28">
        <v>4.624178703703704E-2</v>
      </c>
      <c r="AD19" s="25">
        <f t="shared" si="12"/>
        <v>-16.017230193888889</v>
      </c>
      <c r="AE19" s="25">
        <v>-4.9000000000000004</v>
      </c>
      <c r="AF19" s="25">
        <v>-4.2949999999999999</v>
      </c>
      <c r="AG19" s="25">
        <v>0</v>
      </c>
    </row>
    <row r="20" spans="1:33" ht="15.75" customHeight="1">
      <c r="A20" s="14" t="s">
        <v>46</v>
      </c>
      <c r="B20" s="14" t="s">
        <v>853</v>
      </c>
      <c r="C20" s="15">
        <f t="shared" si="4"/>
        <v>18.598357487922712</v>
      </c>
      <c r="D20" s="16">
        <v>207</v>
      </c>
      <c r="E20" s="16">
        <v>1</v>
      </c>
      <c r="F20" s="17">
        <v>3849.8600000000015</v>
      </c>
      <c r="G20" s="29">
        <v>0</v>
      </c>
      <c r="H20" s="18">
        <f t="shared" si="1"/>
        <v>0</v>
      </c>
      <c r="I20" s="18">
        <f t="shared" si="2"/>
        <v>0.35217035713376599</v>
      </c>
      <c r="J20" s="17">
        <f t="shared" si="5"/>
        <v>1355.8065711150009</v>
      </c>
      <c r="K20" s="17">
        <f t="shared" si="3"/>
        <v>6.5497901986231932</v>
      </c>
      <c r="L20" s="16">
        <v>313</v>
      </c>
      <c r="M20" s="19">
        <f t="shared" si="6"/>
        <v>0.66134185303514381</v>
      </c>
      <c r="N20" s="16">
        <v>649</v>
      </c>
      <c r="O20" s="20">
        <f t="shared" ref="O20:P20" si="28">D20/7</f>
        <v>29.571428571428573</v>
      </c>
      <c r="P20" s="20">
        <f t="shared" si="28"/>
        <v>0.14285714285714285</v>
      </c>
      <c r="Q20" s="16">
        <f t="shared" si="8"/>
        <v>21</v>
      </c>
      <c r="R20" s="16"/>
      <c r="S20" s="21">
        <v>4.0276073619631898</v>
      </c>
      <c r="T20" s="14">
        <v>700</v>
      </c>
      <c r="U20" s="22">
        <v>500</v>
      </c>
      <c r="V20" s="23" t="s">
        <v>1155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14" t="s">
        <v>35</v>
      </c>
      <c r="AB20" s="27">
        <f t="shared" si="11"/>
        <v>-0.69</v>
      </c>
      <c r="AC20" s="28">
        <v>4.624178703703704E-2</v>
      </c>
      <c r="AD20" s="25">
        <f t="shared" si="12"/>
        <v>-13.209428884999999</v>
      </c>
      <c r="AE20" s="25">
        <v>-4.9000000000000004</v>
      </c>
      <c r="AF20" s="25">
        <v>-4.2949999999999999</v>
      </c>
      <c r="AG20" s="25">
        <v>0</v>
      </c>
    </row>
    <row r="21" spans="1:33" ht="15.75" customHeight="1">
      <c r="A21" s="14" t="s">
        <v>47</v>
      </c>
      <c r="B21" s="14" t="s">
        <v>1156</v>
      </c>
      <c r="C21" s="15">
        <f t="shared" si="4"/>
        <v>19.518958333333298</v>
      </c>
      <c r="D21" s="16">
        <v>144</v>
      </c>
      <c r="E21" s="16">
        <v>3</v>
      </c>
      <c r="F21" s="17">
        <v>2810.729999999995</v>
      </c>
      <c r="G21" s="29">
        <v>0</v>
      </c>
      <c r="H21" s="18">
        <f t="shared" si="1"/>
        <v>0</v>
      </c>
      <c r="I21" s="18">
        <f t="shared" si="2"/>
        <v>0.37565021616448319</v>
      </c>
      <c r="J21" s="17">
        <f t="shared" si="5"/>
        <v>1055.8513320799959</v>
      </c>
      <c r="K21" s="17">
        <f t="shared" si="3"/>
        <v>7.3323009172221942</v>
      </c>
      <c r="L21" s="16">
        <v>146</v>
      </c>
      <c r="M21" s="19">
        <f t="shared" si="6"/>
        <v>0.98630136986301364</v>
      </c>
      <c r="N21" s="16">
        <v>514</v>
      </c>
      <c r="O21" s="20">
        <f t="shared" ref="O21:P21" si="29">D21/7</f>
        <v>20.571428571428573</v>
      </c>
      <c r="P21" s="20">
        <f t="shared" si="29"/>
        <v>0.42857142857142855</v>
      </c>
      <c r="Q21" s="16">
        <f t="shared" si="8"/>
        <v>24</v>
      </c>
      <c r="R21" s="16"/>
      <c r="S21" s="21">
        <v>4.6431718061674001</v>
      </c>
      <c r="T21" s="14">
        <v>2300</v>
      </c>
      <c r="U21" s="22">
        <v>500</v>
      </c>
      <c r="V21" s="23" t="s">
        <v>1157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14" t="s">
        <v>35</v>
      </c>
      <c r="AB21" s="27">
        <f t="shared" si="11"/>
        <v>-0.69</v>
      </c>
      <c r="AC21" s="28">
        <v>4.624178703703704E-2</v>
      </c>
      <c r="AD21" s="25">
        <f t="shared" si="12"/>
        <v>-9.1891679199999992</v>
      </c>
      <c r="AE21" s="25">
        <v>-4.9000000000000004</v>
      </c>
      <c r="AF21" s="25">
        <v>-4.2949999999999999</v>
      </c>
      <c r="AG21" s="25">
        <v>0</v>
      </c>
    </row>
    <row r="22" spans="1:33" ht="15.75" customHeight="1">
      <c r="A22" s="14" t="s">
        <v>48</v>
      </c>
      <c r="B22" s="14" t="s">
        <v>714</v>
      </c>
      <c r="C22" s="15">
        <f t="shared" si="4"/>
        <v>20.589999999999982</v>
      </c>
      <c r="D22" s="16">
        <v>120</v>
      </c>
      <c r="E22" s="16">
        <v>0</v>
      </c>
      <c r="F22" s="29">
        <v>2470.7999999999979</v>
      </c>
      <c r="G22" s="29">
        <v>-0.04</v>
      </c>
      <c r="H22" s="18">
        <f t="shared" si="1"/>
        <v>1.6189088554314405E-5</v>
      </c>
      <c r="I22" s="18">
        <f t="shared" si="2"/>
        <v>0.400308547865738</v>
      </c>
      <c r="J22" s="17">
        <f t="shared" si="5"/>
        <v>989.08236006666459</v>
      </c>
      <c r="K22" s="17">
        <f t="shared" si="3"/>
        <v>8.2423530005555374</v>
      </c>
      <c r="L22" s="16">
        <v>239</v>
      </c>
      <c r="M22" s="19">
        <f t="shared" si="6"/>
        <v>0.502092050209205</v>
      </c>
      <c r="N22" s="16">
        <v>383</v>
      </c>
      <c r="O22" s="20">
        <f t="shared" ref="O22:P22" si="30">D22/7</f>
        <v>17.142857142857142</v>
      </c>
      <c r="P22" s="20">
        <f t="shared" si="30"/>
        <v>0</v>
      </c>
      <c r="Q22" s="16">
        <f t="shared" si="8"/>
        <v>22</v>
      </c>
      <c r="R22" s="16"/>
      <c r="S22" s="21">
        <v>5.3020408163265298</v>
      </c>
      <c r="T22" s="14">
        <v>3620</v>
      </c>
      <c r="U22" s="22">
        <v>500</v>
      </c>
      <c r="V22" s="23" t="s">
        <v>1158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35</v>
      </c>
      <c r="AB22" s="27">
        <f t="shared" si="11"/>
        <v>-0.69</v>
      </c>
      <c r="AC22" s="28">
        <v>4.624178703703704E-2</v>
      </c>
      <c r="AD22" s="25">
        <f t="shared" si="12"/>
        <v>-7.6576399333333338</v>
      </c>
      <c r="AE22" s="25">
        <v>-4.9000000000000004</v>
      </c>
      <c r="AF22" s="25">
        <v>-4.2949999999999999</v>
      </c>
      <c r="AG22" s="25">
        <v>0</v>
      </c>
    </row>
    <row r="23" spans="1:33" ht="15.75" customHeight="1">
      <c r="A23" s="14" t="s">
        <v>49</v>
      </c>
      <c r="B23" s="14" t="s">
        <v>68</v>
      </c>
      <c r="C23" s="15">
        <f t="shared" si="4"/>
        <v>20.550438596491219</v>
      </c>
      <c r="D23" s="16">
        <v>114</v>
      </c>
      <c r="E23" s="16">
        <v>0</v>
      </c>
      <c r="F23" s="17">
        <v>2342.7499999999991</v>
      </c>
      <c r="G23" s="29">
        <v>0</v>
      </c>
      <c r="H23" s="18">
        <f t="shared" si="1"/>
        <v>0</v>
      </c>
      <c r="I23" s="18">
        <f t="shared" si="2"/>
        <v>0.39945907248461543</v>
      </c>
      <c r="J23" s="17">
        <f t="shared" si="5"/>
        <v>935.83274206333238</v>
      </c>
      <c r="K23" s="17">
        <f t="shared" si="3"/>
        <v>8.2090591409064242</v>
      </c>
      <c r="L23" s="16">
        <v>209</v>
      </c>
      <c r="M23" s="19">
        <f t="shared" si="6"/>
        <v>0.54545454545454541</v>
      </c>
      <c r="N23" s="16">
        <v>267</v>
      </c>
      <c r="O23" s="20">
        <f t="shared" ref="O23:P23" si="31">D23/7</f>
        <v>16.285714285714285</v>
      </c>
      <c r="P23" s="20">
        <f t="shared" si="31"/>
        <v>0</v>
      </c>
      <c r="Q23" s="16">
        <f t="shared" si="8"/>
        <v>16</v>
      </c>
      <c r="R23" s="16"/>
      <c r="S23" s="21">
        <v>6.375</v>
      </c>
      <c r="T23" s="14">
        <v>4020</v>
      </c>
      <c r="U23" s="22">
        <v>500</v>
      </c>
      <c r="V23" s="23" t="s">
        <v>1158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35</v>
      </c>
      <c r="AB23" s="27">
        <f t="shared" si="11"/>
        <v>-0.69</v>
      </c>
      <c r="AC23" s="28">
        <v>4.624178703703704E-2</v>
      </c>
      <c r="AD23" s="25">
        <f t="shared" si="12"/>
        <v>-7.274757936666667</v>
      </c>
      <c r="AE23" s="25">
        <v>-4.9000000000000004</v>
      </c>
      <c r="AF23" s="25">
        <v>-4.2949999999999999</v>
      </c>
      <c r="AG23" s="25">
        <v>0</v>
      </c>
    </row>
    <row r="24" spans="1:33" ht="15.75" customHeight="1">
      <c r="A24" s="14" t="s">
        <v>50</v>
      </c>
      <c r="B24" s="14" t="s">
        <v>1159</v>
      </c>
      <c r="C24" s="15">
        <f t="shared" si="4"/>
        <v>19.779487179487187</v>
      </c>
      <c r="D24" s="16">
        <v>117</v>
      </c>
      <c r="E24" s="16">
        <v>0</v>
      </c>
      <c r="F24" s="17">
        <v>2314.2000000000007</v>
      </c>
      <c r="G24" s="17">
        <v>0</v>
      </c>
      <c r="H24" s="18">
        <f t="shared" si="1"/>
        <v>0</v>
      </c>
      <c r="I24" s="18">
        <f t="shared" si="2"/>
        <v>0.38189819422046517</v>
      </c>
      <c r="J24" s="17">
        <f t="shared" si="5"/>
        <v>883.78880106500071</v>
      </c>
      <c r="K24" s="17">
        <f t="shared" si="3"/>
        <v>7.5537504364529973</v>
      </c>
      <c r="L24" s="16">
        <v>252</v>
      </c>
      <c r="M24" s="19">
        <f t="shared" si="6"/>
        <v>0.4642857142857143</v>
      </c>
      <c r="N24" s="16">
        <v>162</v>
      </c>
      <c r="O24" s="20">
        <f t="shared" ref="O24:P24" si="32">D24/7</f>
        <v>16.714285714285715</v>
      </c>
      <c r="P24" s="20">
        <f t="shared" si="32"/>
        <v>0</v>
      </c>
      <c r="Q24" s="16">
        <f t="shared" si="8"/>
        <v>9</v>
      </c>
      <c r="R24" s="16"/>
      <c r="S24" s="21">
        <v>4.4243509400179004</v>
      </c>
      <c r="T24" s="14">
        <v>4700</v>
      </c>
      <c r="U24" s="22">
        <v>500</v>
      </c>
      <c r="V24" s="23" t="s">
        <v>1160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14" t="s">
        <v>35</v>
      </c>
      <c r="AB24" s="27">
        <f t="shared" si="11"/>
        <v>-0.69</v>
      </c>
      <c r="AC24" s="28">
        <v>4.624178703703704E-2</v>
      </c>
      <c r="AD24" s="25">
        <f t="shared" si="12"/>
        <v>-7.4661989350000004</v>
      </c>
      <c r="AE24" s="25">
        <v>-4.9000000000000004</v>
      </c>
      <c r="AF24" s="25">
        <v>-4.2949999999999999</v>
      </c>
      <c r="AG24" s="25">
        <v>0</v>
      </c>
    </row>
    <row r="25" spans="1:33" ht="15.75" customHeight="1">
      <c r="A25" s="14" t="s">
        <v>51</v>
      </c>
      <c r="B25" s="14" t="s">
        <v>1161</v>
      </c>
      <c r="C25" s="15">
        <f t="shared" si="4"/>
        <v>21.129318181818181</v>
      </c>
      <c r="D25" s="16">
        <v>88</v>
      </c>
      <c r="E25" s="16">
        <v>0</v>
      </c>
      <c r="F25" s="17">
        <v>1859.38</v>
      </c>
      <c r="G25" s="17">
        <v>0</v>
      </c>
      <c r="H25" s="18">
        <f t="shared" si="1"/>
        <v>0</v>
      </c>
      <c r="I25" s="18">
        <f t="shared" si="2"/>
        <v>0.4115658969023126</v>
      </c>
      <c r="J25" s="17">
        <f t="shared" si="5"/>
        <v>765.25739738222205</v>
      </c>
      <c r="K25" s="17">
        <f t="shared" si="3"/>
        <v>8.6961067884343421</v>
      </c>
      <c r="L25" s="16">
        <v>284</v>
      </c>
      <c r="M25" s="19">
        <f t="shared" si="6"/>
        <v>0.30985915492957744</v>
      </c>
      <c r="N25" s="16">
        <v>132</v>
      </c>
      <c r="O25" s="20">
        <f t="shared" ref="O25:P25" si="33">D25/7</f>
        <v>12.571428571428571</v>
      </c>
      <c r="P25" s="20">
        <f t="shared" si="33"/>
        <v>0</v>
      </c>
      <c r="Q25" s="16">
        <f t="shared" si="8"/>
        <v>10</v>
      </c>
      <c r="R25" s="16"/>
      <c r="S25" s="21">
        <v>6.6578171091445428</v>
      </c>
      <c r="T25" s="14">
        <v>5100</v>
      </c>
      <c r="U25" s="22">
        <v>500</v>
      </c>
      <c r="V25" s="23" t="s">
        <v>1162</v>
      </c>
      <c r="W25" s="30">
        <v>0</v>
      </c>
      <c r="X25" s="24">
        <f t="shared" si="9"/>
        <v>0</v>
      </c>
      <c r="Y25" s="25">
        <f t="shared" si="10"/>
        <v>0</v>
      </c>
      <c r="Z25" s="30">
        <v>0</v>
      </c>
      <c r="AA25" s="14" t="s">
        <v>35</v>
      </c>
      <c r="AB25" s="27">
        <f t="shared" si="11"/>
        <v>-0.69</v>
      </c>
      <c r="AC25" s="28">
        <v>4.624178703703704E-2</v>
      </c>
      <c r="AD25" s="25">
        <f t="shared" si="12"/>
        <v>-5.6156026177777782</v>
      </c>
      <c r="AE25" s="25">
        <v>-4.9000000000000004</v>
      </c>
      <c r="AF25" s="25">
        <v>-4.3</v>
      </c>
      <c r="AG25" s="25">
        <v>0</v>
      </c>
    </row>
    <row r="26" spans="1:33" ht="15.75" customHeight="1">
      <c r="A26" s="14" t="s">
        <v>52</v>
      </c>
      <c r="B26" s="14" t="s">
        <v>716</v>
      </c>
      <c r="C26" s="15">
        <f t="shared" si="4"/>
        <v>20.05</v>
      </c>
      <c r="D26" s="16">
        <v>74</v>
      </c>
      <c r="E26" s="16">
        <v>1</v>
      </c>
      <c r="F26" s="17">
        <v>1483.7</v>
      </c>
      <c r="G26" s="17">
        <v>-0.08</v>
      </c>
      <c r="H26" s="18">
        <f t="shared" si="1"/>
        <v>5.3919255914268384E-5</v>
      </c>
      <c r="I26" s="18">
        <f t="shared" si="2"/>
        <v>0.38566609739689822</v>
      </c>
      <c r="J26" s="17">
        <f t="shared" si="5"/>
        <v>572.21278870777792</v>
      </c>
      <c r="K26" s="17">
        <f t="shared" si="3"/>
        <v>7.7326052528078097</v>
      </c>
      <c r="L26" s="16">
        <v>314</v>
      </c>
      <c r="M26" s="19">
        <f t="shared" si="6"/>
        <v>0.2356687898089172</v>
      </c>
      <c r="N26" s="16">
        <v>89</v>
      </c>
      <c r="O26" s="20">
        <f t="shared" ref="O26:P26" si="34">D26/7</f>
        <v>10.571428571428571</v>
      </c>
      <c r="P26" s="20">
        <f t="shared" si="34"/>
        <v>0.14285714285714285</v>
      </c>
      <c r="Q26" s="16">
        <f t="shared" si="8"/>
        <v>8</v>
      </c>
      <c r="R26" s="16"/>
      <c r="S26" s="21">
        <v>6.213078618662748</v>
      </c>
      <c r="T26" s="14">
        <v>5100</v>
      </c>
      <c r="U26" s="22">
        <v>500</v>
      </c>
      <c r="V26" s="23" t="s">
        <v>1163</v>
      </c>
      <c r="W26" s="30">
        <v>0</v>
      </c>
      <c r="X26" s="24">
        <f t="shared" si="9"/>
        <v>0</v>
      </c>
      <c r="Y26" s="25">
        <f t="shared" si="10"/>
        <v>0</v>
      </c>
      <c r="Z26" s="30">
        <v>0</v>
      </c>
      <c r="AA26" s="14" t="s">
        <v>35</v>
      </c>
      <c r="AB26" s="27">
        <f t="shared" si="11"/>
        <v>-0.69</v>
      </c>
      <c r="AC26" s="28">
        <v>4.624178703703704E-2</v>
      </c>
      <c r="AD26" s="25">
        <f t="shared" si="12"/>
        <v>-4.7222112922222221</v>
      </c>
      <c r="AE26" s="25">
        <v>-4.95</v>
      </c>
      <c r="AF26" s="25">
        <v>-4.2949999999999999</v>
      </c>
      <c r="AG26" s="25">
        <v>0</v>
      </c>
    </row>
    <row r="27" spans="1:33" ht="15.75" customHeight="1">
      <c r="A27" s="14" t="s">
        <v>53</v>
      </c>
      <c r="B27" s="41" t="s">
        <v>1164</v>
      </c>
      <c r="C27" s="15">
        <f t="shared" si="4"/>
        <v>20.569764705882353</v>
      </c>
      <c r="D27" s="16">
        <v>85</v>
      </c>
      <c r="E27" s="16">
        <v>1</v>
      </c>
      <c r="F27" s="17">
        <v>1748.43</v>
      </c>
      <c r="G27" s="17">
        <v>0</v>
      </c>
      <c r="H27" s="18">
        <f t="shared" si="1"/>
        <v>0</v>
      </c>
      <c r="I27" s="18">
        <f t="shared" si="2"/>
        <v>0.35745602533733439</v>
      </c>
      <c r="J27" s="17">
        <f t="shared" si="5"/>
        <v>624.98683838055558</v>
      </c>
      <c r="K27" s="17">
        <f t="shared" si="3"/>
        <v>7.352786333888889</v>
      </c>
      <c r="L27" s="16">
        <v>285</v>
      </c>
      <c r="M27" s="19">
        <f t="shared" si="6"/>
        <v>0.2982456140350877</v>
      </c>
      <c r="N27" s="16">
        <v>540</v>
      </c>
      <c r="O27" s="20">
        <f t="shared" ref="O27:P27" si="35">D27/7</f>
        <v>12.142857142857142</v>
      </c>
      <c r="P27" s="20">
        <f t="shared" si="35"/>
        <v>0.14285714285714285</v>
      </c>
      <c r="Q27" s="16">
        <f t="shared" si="8"/>
        <v>43</v>
      </c>
      <c r="R27" s="16"/>
      <c r="S27" s="21">
        <v>4.7922235722964759</v>
      </c>
      <c r="T27" s="14">
        <v>4600</v>
      </c>
      <c r="U27" s="22">
        <v>200</v>
      </c>
      <c r="V27" s="23" t="s">
        <v>1165</v>
      </c>
      <c r="W27" s="30">
        <v>0</v>
      </c>
      <c r="X27" s="24">
        <f t="shared" si="9"/>
        <v>0</v>
      </c>
      <c r="Y27" s="25">
        <f t="shared" si="10"/>
        <v>0</v>
      </c>
      <c r="Z27" s="30">
        <v>0</v>
      </c>
      <c r="AA27" s="14" t="s">
        <v>35</v>
      </c>
      <c r="AB27" s="27">
        <f t="shared" si="11"/>
        <v>-0.69</v>
      </c>
      <c r="AC27" s="28">
        <v>4.624178703703704E-2</v>
      </c>
      <c r="AD27" s="25">
        <f t="shared" si="12"/>
        <v>-5.4241616194444449</v>
      </c>
      <c r="AE27" s="25">
        <v>-4.95</v>
      </c>
      <c r="AF27" s="25">
        <v>-5.1177000000000001</v>
      </c>
      <c r="AG27" s="25">
        <v>0</v>
      </c>
    </row>
    <row r="28" spans="1:33" ht="15.75" customHeight="1">
      <c r="A28" s="14" t="s">
        <v>54</v>
      </c>
      <c r="B28" s="41" t="s">
        <v>1166</v>
      </c>
      <c r="C28" s="15">
        <f t="shared" si="4"/>
        <v>19.537476635514022</v>
      </c>
      <c r="D28" s="16">
        <v>107</v>
      </c>
      <c r="E28" s="16">
        <v>0</v>
      </c>
      <c r="F28" s="17">
        <v>2090.5100000000002</v>
      </c>
      <c r="G28" s="17">
        <v>0</v>
      </c>
      <c r="H28" s="18">
        <f t="shared" si="1"/>
        <v>0</v>
      </c>
      <c r="I28" s="18">
        <f t="shared" si="2"/>
        <v>0.3314318217689039</v>
      </c>
      <c r="J28" s="17">
        <f t="shared" si="5"/>
        <v>692.86153772611135</v>
      </c>
      <c r="K28" s="17">
        <f t="shared" si="3"/>
        <v>6.4753414740758073</v>
      </c>
      <c r="L28" s="16">
        <v>281</v>
      </c>
      <c r="M28" s="19">
        <f t="shared" si="6"/>
        <v>0.38078291814946619</v>
      </c>
      <c r="N28" s="16">
        <v>428</v>
      </c>
      <c r="O28" s="20">
        <f t="shared" ref="O28:P28" si="36">D28/7</f>
        <v>15.285714285714286</v>
      </c>
      <c r="P28" s="20">
        <f t="shared" si="36"/>
        <v>0</v>
      </c>
      <c r="Q28" s="16">
        <f t="shared" si="8"/>
        <v>28</v>
      </c>
      <c r="R28" s="16"/>
      <c r="S28" s="21">
        <v>3.6967648478995661</v>
      </c>
      <c r="T28" s="14">
        <v>8600</v>
      </c>
      <c r="U28" s="22">
        <v>44392</v>
      </c>
      <c r="V28" s="23" t="s">
        <v>1167</v>
      </c>
      <c r="W28" s="30">
        <v>0</v>
      </c>
      <c r="X28" s="24">
        <f t="shared" si="9"/>
        <v>0</v>
      </c>
      <c r="Y28" s="25">
        <f t="shared" si="10"/>
        <v>0</v>
      </c>
      <c r="Z28" s="30">
        <v>0</v>
      </c>
      <c r="AA28" s="14" t="s">
        <v>35</v>
      </c>
      <c r="AB28" s="27">
        <f t="shared" si="11"/>
        <v>-0.69</v>
      </c>
      <c r="AC28" s="28">
        <v>4.624178703703704E-2</v>
      </c>
      <c r="AD28" s="25">
        <f t="shared" si="12"/>
        <v>-6.8280622738888885</v>
      </c>
      <c r="AE28" s="25">
        <v>-4.95</v>
      </c>
      <c r="AF28" s="25">
        <v>-5.1177000000000001</v>
      </c>
      <c r="AG28" s="25">
        <v>0</v>
      </c>
    </row>
    <row r="29" spans="1:33" ht="15.75" customHeight="1">
      <c r="A29" s="14" t="s">
        <v>55</v>
      </c>
      <c r="B29" s="41" t="s">
        <v>68</v>
      </c>
      <c r="C29" s="15">
        <f t="shared" si="4"/>
        <v>19.042403100775193</v>
      </c>
      <c r="D29" s="16">
        <v>129</v>
      </c>
      <c r="E29" s="16">
        <v>0</v>
      </c>
      <c r="F29" s="17">
        <v>2456.4699999999998</v>
      </c>
      <c r="G29" s="17">
        <v>0</v>
      </c>
      <c r="H29" s="18">
        <f t="shared" si="1"/>
        <v>0</v>
      </c>
      <c r="I29" s="18">
        <f t="shared" si="2"/>
        <v>0.3179498373974306</v>
      </c>
      <c r="J29" s="17">
        <f t="shared" si="5"/>
        <v>781.03423707166633</v>
      </c>
      <c r="K29" s="17">
        <f t="shared" si="3"/>
        <v>6.0545289695478006</v>
      </c>
      <c r="L29" s="16">
        <v>330</v>
      </c>
      <c r="M29" s="19">
        <f t="shared" si="6"/>
        <v>0.39090909090909093</v>
      </c>
      <c r="N29" s="16">
        <v>261</v>
      </c>
      <c r="O29" s="20">
        <f t="shared" ref="O29:P29" si="37">D29/7</f>
        <v>18.428571428571427</v>
      </c>
      <c r="P29" s="20">
        <f t="shared" si="37"/>
        <v>0</v>
      </c>
      <c r="Q29" s="16">
        <f t="shared" si="8"/>
        <v>14</v>
      </c>
      <c r="R29" s="16"/>
      <c r="S29" s="21">
        <v>5.2327221438645983</v>
      </c>
      <c r="T29" s="14">
        <v>9300</v>
      </c>
      <c r="U29" s="22">
        <v>44392</v>
      </c>
      <c r="V29" s="23" t="s">
        <v>1168</v>
      </c>
      <c r="W29" s="30">
        <v>0</v>
      </c>
      <c r="X29" s="24">
        <f t="shared" si="9"/>
        <v>0</v>
      </c>
      <c r="Y29" s="25">
        <f t="shared" si="10"/>
        <v>0</v>
      </c>
      <c r="Z29" s="30">
        <v>0</v>
      </c>
      <c r="AA29" s="14" t="s">
        <v>35</v>
      </c>
      <c r="AB29" s="27">
        <f t="shared" si="11"/>
        <v>-0.69</v>
      </c>
      <c r="AC29" s="28">
        <v>4.624178703703704E-2</v>
      </c>
      <c r="AD29" s="25">
        <f t="shared" si="12"/>
        <v>-8.2319629283333331</v>
      </c>
      <c r="AE29" s="25">
        <v>-4.95</v>
      </c>
      <c r="AF29" s="25">
        <v>-5.1177000000000001</v>
      </c>
      <c r="AG29" s="25">
        <v>0</v>
      </c>
    </row>
    <row r="30" spans="1:33" ht="15.75" customHeight="1">
      <c r="A30" s="14" t="s">
        <v>57</v>
      </c>
      <c r="B30" s="41" t="s">
        <v>1169</v>
      </c>
      <c r="C30" s="15">
        <f t="shared" si="4"/>
        <v>19.986500000000021</v>
      </c>
      <c r="D30" s="16">
        <v>100</v>
      </c>
      <c r="E30" s="16">
        <v>2</v>
      </c>
      <c r="F30" s="17">
        <v>1998.6500000000021</v>
      </c>
      <c r="G30" s="17">
        <v>-0.06</v>
      </c>
      <c r="H30" s="18">
        <f t="shared" si="1"/>
        <v>3.0020263677982606E-5</v>
      </c>
      <c r="I30" s="18">
        <f t="shared" si="2"/>
        <v>0.34056564786675503</v>
      </c>
      <c r="J30" s="17">
        <f t="shared" si="5"/>
        <v>680.67153210889069</v>
      </c>
      <c r="K30" s="17">
        <f t="shared" si="3"/>
        <v>6.8067153210889071</v>
      </c>
      <c r="L30" s="16">
        <v>263</v>
      </c>
      <c r="M30" s="19">
        <f t="shared" si="6"/>
        <v>0.38022813688212925</v>
      </c>
      <c r="N30" s="16">
        <v>197</v>
      </c>
      <c r="O30" s="20">
        <f t="shared" ref="O30:P30" si="38">D30/7</f>
        <v>14.285714285714286</v>
      </c>
      <c r="P30" s="20">
        <f t="shared" si="38"/>
        <v>0.2857142857142857</v>
      </c>
      <c r="Q30" s="16">
        <f t="shared" si="8"/>
        <v>13</v>
      </c>
      <c r="R30" s="16"/>
      <c r="S30" s="21">
        <v>4.9328719723183392</v>
      </c>
      <c r="T30" s="14">
        <v>4600</v>
      </c>
      <c r="U30" s="22">
        <v>200</v>
      </c>
      <c r="V30" s="23" t="s">
        <v>1170</v>
      </c>
      <c r="W30" s="30">
        <v>0</v>
      </c>
      <c r="X30" s="24">
        <f t="shared" si="9"/>
        <v>0</v>
      </c>
      <c r="Y30" s="25">
        <f t="shared" si="10"/>
        <v>0</v>
      </c>
      <c r="Z30" s="30">
        <v>0</v>
      </c>
      <c r="AA30" s="14" t="s">
        <v>35</v>
      </c>
      <c r="AB30" s="27">
        <f t="shared" si="11"/>
        <v>-0.69</v>
      </c>
      <c r="AC30" s="28">
        <v>4.624178703703704E-2</v>
      </c>
      <c r="AD30" s="25">
        <f t="shared" si="12"/>
        <v>-6.3813666111111109</v>
      </c>
      <c r="AE30" s="25">
        <v>-4.95</v>
      </c>
      <c r="AF30" s="25">
        <v>-5.1673960128000003</v>
      </c>
      <c r="AG30" s="25">
        <v>0</v>
      </c>
    </row>
    <row r="31" spans="1:33" ht="15.75" customHeight="1">
      <c r="A31" s="14" t="s">
        <v>58</v>
      </c>
      <c r="B31" s="41" t="s">
        <v>709</v>
      </c>
      <c r="C31" s="15">
        <f t="shared" si="4"/>
        <v>20.433333333333341</v>
      </c>
      <c r="D31" s="16">
        <v>156</v>
      </c>
      <c r="E31" s="16">
        <v>3</v>
      </c>
      <c r="F31" s="17">
        <v>3187.6000000000013</v>
      </c>
      <c r="G31" s="17">
        <v>0</v>
      </c>
      <c r="H31" s="18">
        <f t="shared" si="1"/>
        <v>0</v>
      </c>
      <c r="I31" s="18">
        <f t="shared" si="2"/>
        <v>0.35173525225557378</v>
      </c>
      <c r="J31" s="17">
        <f t="shared" si="5"/>
        <v>1121.1912900898674</v>
      </c>
      <c r="K31" s="17">
        <f t="shared" si="3"/>
        <v>7.1871236544222272</v>
      </c>
      <c r="L31" s="16">
        <v>279</v>
      </c>
      <c r="M31" s="19">
        <f t="shared" si="6"/>
        <v>0.55913978494623651</v>
      </c>
      <c r="N31" s="16">
        <v>64</v>
      </c>
      <c r="O31" s="20">
        <f t="shared" ref="O31:P31" si="39">D31/7</f>
        <v>22.285714285714285</v>
      </c>
      <c r="P31" s="20">
        <f t="shared" si="39"/>
        <v>0.42857142857142855</v>
      </c>
      <c r="Q31" s="16">
        <f t="shared" si="8"/>
        <v>2</v>
      </c>
      <c r="R31" s="16"/>
      <c r="S31" s="21">
        <v>4.8992700729927003</v>
      </c>
      <c r="T31" s="14">
        <v>2380</v>
      </c>
      <c r="U31" s="22" t="s">
        <v>34</v>
      </c>
      <c r="V31" s="23" t="s">
        <v>1171</v>
      </c>
      <c r="W31" s="30">
        <v>0</v>
      </c>
      <c r="X31" s="24">
        <f t="shared" si="9"/>
        <v>0</v>
      </c>
      <c r="Y31" s="25">
        <f t="shared" si="10"/>
        <v>0</v>
      </c>
      <c r="Z31" s="30">
        <v>0</v>
      </c>
      <c r="AA31" s="14" t="s">
        <v>35</v>
      </c>
      <c r="AB31" s="27">
        <f t="shared" si="11"/>
        <v>-0.69</v>
      </c>
      <c r="AC31" s="28">
        <v>4.624178703703704E-2</v>
      </c>
      <c r="AD31" s="25">
        <f t="shared" si="12"/>
        <v>-9.9549319133333327</v>
      </c>
      <c r="AE31" s="25">
        <v>-4.95</v>
      </c>
      <c r="AF31" s="25">
        <v>-5.1673960128000003</v>
      </c>
      <c r="AG31" s="25">
        <v>0</v>
      </c>
    </row>
    <row r="32" spans="1:33" ht="15.75" customHeight="1">
      <c r="A32" s="14" t="s">
        <v>60</v>
      </c>
      <c r="B32" s="41"/>
      <c r="C32" s="15">
        <f t="shared" si="4"/>
        <v>21.369199999999999</v>
      </c>
      <c r="D32" s="16">
        <v>25</v>
      </c>
      <c r="E32" s="16">
        <v>2</v>
      </c>
      <c r="F32" s="17">
        <v>534.23</v>
      </c>
      <c r="G32" s="17">
        <v>0</v>
      </c>
      <c r="H32" s="18">
        <f t="shared" si="1"/>
        <v>0</v>
      </c>
      <c r="I32" s="18">
        <f t="shared" si="2"/>
        <v>0.37355681640346333</v>
      </c>
      <c r="J32" s="17">
        <f t="shared" si="5"/>
        <v>199.56525802722223</v>
      </c>
      <c r="K32" s="17">
        <f t="shared" si="3"/>
        <v>7.982610321088889</v>
      </c>
      <c r="L32" s="16">
        <v>66</v>
      </c>
      <c r="M32" s="19">
        <f t="shared" si="6"/>
        <v>0.37878787878787878</v>
      </c>
      <c r="N32" s="16">
        <v>2</v>
      </c>
      <c r="O32" s="20">
        <f t="shared" ref="O32:P32" si="40">D32/7</f>
        <v>3.5714285714285716</v>
      </c>
      <c r="P32" s="20">
        <f t="shared" si="40"/>
        <v>0.2857142857142857</v>
      </c>
      <c r="Q32" s="16">
        <f t="shared" si="8"/>
        <v>0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3.7151702786377712</v>
      </c>
      <c r="T32" s="14">
        <f ca="1">IFERROR(__xludf.DUMMYFUNCTION("IFERROR(VLOOKUP($B$2,IMPORTRANGE(""https://docs.google.com/spreadsheets/d/1KiWZV1ko8G7lnRucBRBd29jj3Be6ltMfljMDqzOkQmI/edit#gid=1381463014"",""Lookup!A:D""),4,FALSE),"""")"),2380)</f>
        <v>2380</v>
      </c>
      <c r="U32" s="22">
        <f ca="1">IFERROR(__xludf.DUMMYFUNCTION("IFERROR(VLOOKUP($B$2,IMPORTRANGE(""https://docs.google.com/spreadsheets/d/1KiWZV1ko8G7lnRucBRBd29jj3Be6ltMfljMDqzOkQmI/edit#gid=1381463014"",""Lookup!A:D""),3,FALSE),"""")"),1820)</f>
        <v>1820</v>
      </c>
      <c r="V32" s="23" t="str">
        <f ca="1">IFERROR(__xludf.DUMMYFUNCTION("IFERROR(VLOOKUP($B$2,IMPORTRANGE(""https://docs.google.com/spreadsheets/d/1KiWZV1ko8G7lnRucBRBd29jj3Be6ltMfljMDqzOkQmI/edit#gid=1381463014"",""Lookup!A:D""),2,FALSE),"""")"),"| 408  - 200 units 07/19| 413  - 920 units 07/26| 417  - 700 units 08/14")</f>
        <v>| 408  - 200 units 07/19| 413  - 920 units 07/26| 417  - 700 units 08/14</v>
      </c>
      <c r="W32" s="30">
        <v>0</v>
      </c>
      <c r="X32" s="24">
        <f t="shared" si="9"/>
        <v>0</v>
      </c>
      <c r="Y32" s="25">
        <f t="shared" si="10"/>
        <v>0</v>
      </c>
      <c r="Z32" s="30">
        <v>0</v>
      </c>
      <c r="AA32" s="14" t="s">
        <v>35</v>
      </c>
      <c r="AB32" s="27">
        <f t="shared" si="11"/>
        <v>-0.69</v>
      </c>
      <c r="AC32" s="28">
        <v>4.624178703703704E-2</v>
      </c>
      <c r="AD32" s="25">
        <f t="shared" si="12"/>
        <v>-1.5953416527777777</v>
      </c>
      <c r="AE32" s="25">
        <v>-4.95</v>
      </c>
      <c r="AF32" s="25">
        <v>-5.1673960128000003</v>
      </c>
      <c r="AG32" s="25">
        <v>0</v>
      </c>
    </row>
    <row r="33" spans="1:33" ht="15.75" customHeight="1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16"/>
      <c r="S33" s="21"/>
      <c r="T33" s="31"/>
      <c r="U33" s="36"/>
      <c r="V33" s="1"/>
      <c r="W33" s="31"/>
      <c r="X33" s="31"/>
      <c r="Y33" s="31"/>
      <c r="Z33" s="31"/>
      <c r="AA33" s="2"/>
      <c r="AB33" s="31"/>
      <c r="AC33" s="31"/>
      <c r="AD33" s="31"/>
      <c r="AE33" s="37"/>
      <c r="AF33" s="37"/>
      <c r="AG33" s="37"/>
    </row>
    <row r="34" spans="1:33" ht="15.75" customHeight="1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6"/>
      <c r="V34" s="1"/>
      <c r="W34" s="31"/>
      <c r="X34" s="31"/>
      <c r="Y34" s="31"/>
      <c r="Z34" s="31"/>
      <c r="AA34" s="2"/>
      <c r="AB34" s="31"/>
      <c r="AC34" s="31"/>
      <c r="AD34" s="31"/>
      <c r="AE34" s="37"/>
      <c r="AF34" s="37"/>
      <c r="AG34" s="37"/>
    </row>
    <row r="35" spans="1:33" ht="15.75" customHeight="1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6"/>
      <c r="V35" s="1"/>
      <c r="W35" s="31"/>
      <c r="X35" s="31"/>
      <c r="Y35" s="31"/>
      <c r="Z35" s="31"/>
      <c r="AA35" s="2"/>
      <c r="AB35" s="31"/>
      <c r="AC35" s="31"/>
      <c r="AD35" s="31"/>
      <c r="AE35" s="37"/>
      <c r="AF35" s="37"/>
      <c r="AG35" s="37"/>
    </row>
    <row r="36" spans="1:33" ht="15.75" customHeight="1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6"/>
      <c r="V36" s="1"/>
      <c r="W36" s="31"/>
      <c r="X36" s="31"/>
      <c r="Y36" s="31"/>
      <c r="Z36" s="31"/>
      <c r="AA36" s="2"/>
      <c r="AB36" s="31"/>
      <c r="AC36" s="31"/>
      <c r="AD36" s="31"/>
      <c r="AE36" s="37"/>
      <c r="AF36" s="37"/>
      <c r="AG36" s="37"/>
    </row>
    <row r="37" spans="1:33" ht="15.75" customHeight="1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6"/>
      <c r="V37" s="1"/>
      <c r="W37" s="31"/>
      <c r="X37" s="31"/>
      <c r="Y37" s="31"/>
      <c r="Z37" s="31"/>
      <c r="AA37" s="2"/>
      <c r="AB37" s="31"/>
      <c r="AC37" s="31"/>
      <c r="AD37" s="31"/>
      <c r="AE37" s="37"/>
      <c r="AF37" s="37"/>
      <c r="AG37" s="37"/>
    </row>
    <row r="38" spans="1:33" ht="15.75" customHeight="1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6"/>
      <c r="V38" s="1"/>
      <c r="W38" s="31"/>
      <c r="X38" s="31"/>
      <c r="Y38" s="31"/>
      <c r="Z38" s="31"/>
      <c r="AA38" s="2"/>
      <c r="AB38" s="31"/>
      <c r="AC38" s="31"/>
      <c r="AD38" s="31"/>
      <c r="AE38" s="37"/>
      <c r="AF38" s="37"/>
      <c r="AG38" s="37"/>
    </row>
    <row r="39" spans="1:33" ht="15.75" customHeight="1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6"/>
      <c r="V39" s="1"/>
      <c r="W39" s="31"/>
      <c r="X39" s="31"/>
      <c r="Y39" s="31"/>
      <c r="Z39" s="31"/>
      <c r="AA39" s="2"/>
      <c r="AB39" s="31"/>
      <c r="AC39" s="31"/>
      <c r="AD39" s="31"/>
      <c r="AE39" s="37"/>
      <c r="AF39" s="37"/>
      <c r="AG39" s="37"/>
    </row>
    <row r="40" spans="1:33" ht="15.75" customHeight="1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6"/>
      <c r="V40" s="1"/>
      <c r="W40" s="31"/>
      <c r="X40" s="31"/>
      <c r="Y40" s="31"/>
      <c r="Z40" s="31"/>
      <c r="AA40" s="2"/>
      <c r="AB40" s="31"/>
      <c r="AC40" s="31"/>
      <c r="AD40" s="31"/>
      <c r="AE40" s="37"/>
      <c r="AF40" s="37"/>
      <c r="AG40" s="37"/>
    </row>
    <row r="41" spans="1:33" ht="15.75" customHeight="1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6"/>
      <c r="V41" s="1"/>
      <c r="W41" s="31"/>
      <c r="X41" s="31"/>
      <c r="Y41" s="31"/>
      <c r="Z41" s="31"/>
      <c r="AA41" s="2"/>
      <c r="AB41" s="31"/>
      <c r="AC41" s="31"/>
      <c r="AD41" s="31"/>
      <c r="AE41" s="37"/>
      <c r="AF41" s="37"/>
      <c r="AG41" s="37"/>
    </row>
    <row r="42" spans="1:33" ht="15.75" customHeight="1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6"/>
      <c r="V42" s="1"/>
      <c r="W42" s="31"/>
      <c r="X42" s="31"/>
      <c r="Y42" s="31"/>
      <c r="Z42" s="31"/>
      <c r="AA42" s="2"/>
      <c r="AB42" s="31"/>
      <c r="AC42" s="31"/>
      <c r="AD42" s="31"/>
      <c r="AE42" s="37"/>
      <c r="AF42" s="37"/>
      <c r="AG42" s="37"/>
    </row>
    <row r="43" spans="1:33" ht="15.75" customHeight="1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6"/>
      <c r="V43" s="1"/>
      <c r="W43" s="31"/>
      <c r="X43" s="31"/>
      <c r="Y43" s="31"/>
      <c r="Z43" s="31"/>
      <c r="AA43" s="2"/>
      <c r="AB43" s="31"/>
      <c r="AC43" s="31"/>
      <c r="AD43" s="31"/>
      <c r="AE43" s="37"/>
      <c r="AF43" s="37"/>
      <c r="AG43" s="37"/>
    </row>
    <row r="44" spans="1:33" ht="15.75" customHeight="1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6"/>
      <c r="V44" s="1"/>
      <c r="W44" s="31"/>
      <c r="X44" s="31"/>
      <c r="Y44" s="31"/>
      <c r="Z44" s="31"/>
      <c r="AA44" s="2"/>
      <c r="AB44" s="31"/>
      <c r="AC44" s="31"/>
      <c r="AD44" s="31"/>
      <c r="AE44" s="37"/>
      <c r="AF44" s="37"/>
      <c r="AG44" s="37"/>
    </row>
    <row r="45" spans="1:33" ht="15.75" customHeight="1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6"/>
      <c r="V45" s="1"/>
      <c r="W45" s="31"/>
      <c r="X45" s="31"/>
      <c r="Y45" s="31"/>
      <c r="Z45" s="31"/>
      <c r="AA45" s="2"/>
      <c r="AB45" s="31"/>
      <c r="AC45" s="31"/>
      <c r="AD45" s="31"/>
      <c r="AE45" s="37"/>
      <c r="AF45" s="37"/>
      <c r="AG45" s="37"/>
    </row>
    <row r="46" spans="1:33" ht="15.75" customHeight="1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6"/>
      <c r="V46" s="1"/>
      <c r="W46" s="31"/>
      <c r="X46" s="31"/>
      <c r="Y46" s="31"/>
      <c r="Z46" s="31"/>
      <c r="AA46" s="2"/>
      <c r="AB46" s="31"/>
      <c r="AC46" s="31"/>
      <c r="AD46" s="31"/>
      <c r="AE46" s="37"/>
      <c r="AF46" s="37"/>
      <c r="AG46" s="37"/>
    </row>
    <row r="47" spans="1:33" ht="15.75" customHeight="1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6"/>
      <c r="V47" s="1"/>
      <c r="W47" s="31"/>
      <c r="X47" s="31"/>
      <c r="Y47" s="31"/>
      <c r="Z47" s="31"/>
      <c r="AA47" s="2"/>
      <c r="AB47" s="31"/>
      <c r="AC47" s="31"/>
      <c r="AD47" s="31"/>
      <c r="AE47" s="37"/>
      <c r="AF47" s="37"/>
      <c r="AG47" s="37"/>
    </row>
    <row r="48" spans="1:33" ht="15.75" customHeight="1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6"/>
      <c r="V48" s="1"/>
      <c r="W48" s="31"/>
      <c r="X48" s="31"/>
      <c r="Y48" s="31"/>
      <c r="Z48" s="31"/>
      <c r="AA48" s="2"/>
      <c r="AB48" s="31"/>
      <c r="AC48" s="31"/>
      <c r="AD48" s="31"/>
      <c r="AE48" s="37"/>
      <c r="AF48" s="37"/>
      <c r="AG48" s="37"/>
    </row>
    <row r="49" spans="1:33" ht="15.75" customHeight="1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6"/>
      <c r="V49" s="1"/>
      <c r="W49" s="31"/>
      <c r="X49" s="31"/>
      <c r="Y49" s="31"/>
      <c r="Z49" s="31"/>
      <c r="AA49" s="2"/>
      <c r="AB49" s="31"/>
      <c r="AC49" s="31"/>
      <c r="AD49" s="31"/>
      <c r="AE49" s="37"/>
      <c r="AF49" s="37"/>
      <c r="AG49" s="37"/>
    </row>
    <row r="50" spans="1:33" ht="15.75" customHeight="1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6"/>
      <c r="V50" s="1"/>
      <c r="W50" s="31"/>
      <c r="X50" s="31"/>
      <c r="Y50" s="31"/>
      <c r="Z50" s="31"/>
      <c r="AA50" s="2"/>
      <c r="AB50" s="31"/>
      <c r="AC50" s="31"/>
      <c r="AD50" s="31"/>
      <c r="AE50" s="37"/>
      <c r="AF50" s="37"/>
      <c r="AG50" s="37"/>
    </row>
    <row r="51" spans="1:33" ht="15.75" customHeight="1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6"/>
      <c r="V51" s="1"/>
      <c r="W51" s="31"/>
      <c r="X51" s="31"/>
      <c r="Y51" s="31"/>
      <c r="Z51" s="31"/>
      <c r="AA51" s="2"/>
      <c r="AB51" s="31"/>
      <c r="AC51" s="31"/>
      <c r="AD51" s="31"/>
      <c r="AE51" s="37"/>
      <c r="AF51" s="37"/>
      <c r="AG51" s="37"/>
    </row>
    <row r="52" spans="1:33" ht="15.75" customHeight="1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6"/>
      <c r="V52" s="1"/>
      <c r="W52" s="31"/>
      <c r="X52" s="31"/>
      <c r="Y52" s="31"/>
      <c r="Z52" s="31"/>
      <c r="AA52" s="2"/>
      <c r="AB52" s="31"/>
      <c r="AC52" s="31"/>
      <c r="AD52" s="31"/>
      <c r="AE52" s="37"/>
      <c r="AF52" s="37"/>
      <c r="AG52" s="37"/>
    </row>
    <row r="53" spans="1:33" ht="15.75" customHeight="1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6"/>
      <c r="V53" s="1"/>
      <c r="W53" s="31"/>
      <c r="X53" s="31"/>
      <c r="Y53" s="31"/>
      <c r="Z53" s="31"/>
      <c r="AA53" s="2"/>
      <c r="AB53" s="31"/>
      <c r="AC53" s="31"/>
      <c r="AD53" s="31"/>
      <c r="AE53" s="37"/>
      <c r="AF53" s="37"/>
      <c r="AG53" s="37"/>
    </row>
    <row r="54" spans="1:33" ht="15.75" customHeight="1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6"/>
      <c r="V54" s="1"/>
      <c r="W54" s="31"/>
      <c r="X54" s="31"/>
      <c r="Y54" s="31"/>
      <c r="Z54" s="31"/>
      <c r="AA54" s="2"/>
      <c r="AB54" s="31"/>
      <c r="AC54" s="31"/>
      <c r="AD54" s="31"/>
      <c r="AE54" s="37"/>
      <c r="AF54" s="37"/>
      <c r="AG54" s="37"/>
    </row>
    <row r="55" spans="1:33" ht="15.75" customHeight="1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6"/>
      <c r="V55" s="1"/>
      <c r="W55" s="31"/>
      <c r="X55" s="31"/>
      <c r="Y55" s="31"/>
      <c r="Z55" s="31"/>
      <c r="AA55" s="2"/>
      <c r="AB55" s="31"/>
      <c r="AC55" s="31"/>
      <c r="AD55" s="31"/>
      <c r="AE55" s="37"/>
      <c r="AF55" s="37"/>
      <c r="AG55" s="37"/>
    </row>
    <row r="56" spans="1:33" ht="15.75" customHeight="1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6"/>
      <c r="V56" s="1"/>
      <c r="W56" s="31"/>
      <c r="X56" s="31"/>
      <c r="Y56" s="31"/>
      <c r="Z56" s="31"/>
      <c r="AA56" s="2"/>
      <c r="AB56" s="31"/>
      <c r="AC56" s="31"/>
      <c r="AD56" s="31"/>
      <c r="AE56" s="37"/>
      <c r="AF56" s="37"/>
      <c r="AG56" s="37"/>
    </row>
    <row r="57" spans="1:33" ht="15.75" customHeight="1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6"/>
      <c r="V57" s="1"/>
      <c r="W57" s="31"/>
      <c r="X57" s="31"/>
      <c r="Y57" s="31"/>
      <c r="Z57" s="31"/>
      <c r="AA57" s="2"/>
      <c r="AB57" s="31"/>
      <c r="AC57" s="31"/>
      <c r="AD57" s="31"/>
      <c r="AE57" s="37"/>
      <c r="AF57" s="37"/>
      <c r="AG57" s="37"/>
    </row>
    <row r="58" spans="1:33" ht="15.75" customHeight="1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6"/>
      <c r="V58" s="1"/>
      <c r="W58" s="31"/>
      <c r="X58" s="31"/>
      <c r="Y58" s="31"/>
      <c r="Z58" s="31"/>
      <c r="AA58" s="2"/>
      <c r="AB58" s="31"/>
      <c r="AC58" s="31"/>
      <c r="AD58" s="31"/>
      <c r="AE58" s="37"/>
      <c r="AF58" s="37"/>
      <c r="AG58" s="37"/>
    </row>
    <row r="59" spans="1:33" ht="15.75" customHeight="1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6"/>
      <c r="V59" s="1"/>
      <c r="W59" s="31"/>
      <c r="X59" s="31"/>
      <c r="Y59" s="31"/>
      <c r="Z59" s="31"/>
      <c r="AA59" s="2"/>
      <c r="AB59" s="31"/>
      <c r="AC59" s="31"/>
      <c r="AD59" s="31"/>
      <c r="AE59" s="37"/>
      <c r="AF59" s="37"/>
      <c r="AG59" s="37"/>
    </row>
    <row r="60" spans="1:33" ht="15.75" customHeight="1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6"/>
      <c r="V60" s="1"/>
      <c r="W60" s="31"/>
      <c r="X60" s="31"/>
      <c r="Y60" s="31"/>
      <c r="Z60" s="31"/>
      <c r="AA60" s="2"/>
      <c r="AB60" s="31"/>
      <c r="AC60" s="31"/>
      <c r="AD60" s="31"/>
      <c r="AE60" s="37"/>
      <c r="AF60" s="37"/>
      <c r="AG60" s="37"/>
    </row>
    <row r="61" spans="1:33" ht="15.75" customHeight="1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6"/>
      <c r="V61" s="1"/>
      <c r="W61" s="31"/>
      <c r="X61" s="31"/>
      <c r="Y61" s="31"/>
      <c r="Z61" s="31"/>
      <c r="AA61" s="2"/>
      <c r="AB61" s="31"/>
      <c r="AC61" s="31"/>
      <c r="AD61" s="31"/>
      <c r="AE61" s="37"/>
      <c r="AF61" s="37"/>
      <c r="AG61" s="37"/>
    </row>
    <row r="62" spans="1:33" ht="15.75" customHeight="1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6"/>
      <c r="V62" s="1"/>
      <c r="W62" s="31"/>
      <c r="X62" s="31"/>
      <c r="Y62" s="31"/>
      <c r="Z62" s="31"/>
      <c r="AA62" s="2"/>
      <c r="AB62" s="31"/>
      <c r="AC62" s="31"/>
      <c r="AD62" s="31"/>
      <c r="AE62" s="37"/>
      <c r="AF62" s="37"/>
      <c r="AG62" s="37"/>
    </row>
    <row r="63" spans="1:33" ht="15.75" customHeight="1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6"/>
      <c r="V63" s="1"/>
      <c r="W63" s="31"/>
      <c r="X63" s="31"/>
      <c r="Y63" s="31"/>
      <c r="Z63" s="31"/>
      <c r="AA63" s="2"/>
      <c r="AB63" s="31"/>
      <c r="AC63" s="31"/>
      <c r="AD63" s="31"/>
      <c r="AE63" s="37"/>
      <c r="AF63" s="37"/>
      <c r="AG63" s="37"/>
    </row>
    <row r="64" spans="1:33" ht="15.75" customHeight="1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6"/>
      <c r="V64" s="1"/>
      <c r="W64" s="31"/>
      <c r="X64" s="31"/>
      <c r="Y64" s="31"/>
      <c r="Z64" s="31"/>
      <c r="AA64" s="2"/>
      <c r="AB64" s="31"/>
      <c r="AC64" s="31"/>
      <c r="AD64" s="31"/>
      <c r="AE64" s="37"/>
      <c r="AF64" s="37"/>
      <c r="AG64" s="37"/>
    </row>
    <row r="65" spans="1:33" ht="15.75" customHeight="1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6"/>
      <c r="V65" s="1"/>
      <c r="W65" s="31"/>
      <c r="X65" s="31"/>
      <c r="Y65" s="31"/>
      <c r="Z65" s="31"/>
      <c r="AA65" s="2"/>
      <c r="AB65" s="31"/>
      <c r="AC65" s="31"/>
      <c r="AD65" s="31"/>
      <c r="AE65" s="37"/>
      <c r="AF65" s="37"/>
      <c r="AG65" s="37"/>
    </row>
    <row r="66" spans="1:33" ht="15.75" customHeight="1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6"/>
      <c r="V66" s="1"/>
      <c r="W66" s="31"/>
      <c r="X66" s="31"/>
      <c r="Y66" s="31"/>
      <c r="Z66" s="31"/>
      <c r="AA66" s="2"/>
      <c r="AB66" s="31"/>
      <c r="AC66" s="31"/>
      <c r="AD66" s="31"/>
      <c r="AE66" s="37"/>
      <c r="AF66" s="37"/>
      <c r="AG66" s="37"/>
    </row>
    <row r="67" spans="1:33" ht="15.75" customHeight="1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6"/>
      <c r="V67" s="1"/>
      <c r="W67" s="31"/>
      <c r="X67" s="31"/>
      <c r="Y67" s="31"/>
      <c r="Z67" s="31"/>
      <c r="AA67" s="2"/>
      <c r="AB67" s="31"/>
      <c r="AC67" s="31"/>
      <c r="AD67" s="31"/>
      <c r="AE67" s="37"/>
      <c r="AF67" s="37"/>
      <c r="AG67" s="37"/>
    </row>
    <row r="68" spans="1:33" ht="15.75" customHeight="1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6"/>
      <c r="V68" s="1"/>
      <c r="W68" s="31"/>
      <c r="X68" s="31"/>
      <c r="Y68" s="31"/>
      <c r="Z68" s="31"/>
      <c r="AA68" s="2"/>
      <c r="AB68" s="31"/>
      <c r="AC68" s="31"/>
      <c r="AD68" s="31"/>
      <c r="AE68" s="37"/>
      <c r="AF68" s="37"/>
      <c r="AG68" s="37"/>
    </row>
    <row r="69" spans="1:33" ht="15.75" customHeight="1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6"/>
      <c r="V69" s="1"/>
      <c r="W69" s="31"/>
      <c r="X69" s="31"/>
      <c r="Y69" s="31"/>
      <c r="Z69" s="31"/>
      <c r="AA69" s="2"/>
      <c r="AB69" s="31"/>
      <c r="AC69" s="31"/>
      <c r="AD69" s="31"/>
      <c r="AE69" s="37"/>
      <c r="AF69" s="37"/>
      <c r="AG69" s="37"/>
    </row>
    <row r="70" spans="1:33" ht="15.75" customHeight="1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6"/>
      <c r="V70" s="1"/>
      <c r="W70" s="31"/>
      <c r="X70" s="31"/>
      <c r="Y70" s="31"/>
      <c r="Z70" s="31"/>
      <c r="AA70" s="2"/>
      <c r="AB70" s="31"/>
      <c r="AC70" s="31"/>
      <c r="AD70" s="31"/>
      <c r="AE70" s="37"/>
      <c r="AF70" s="37"/>
      <c r="AG70" s="37"/>
    </row>
    <row r="71" spans="1:33" ht="15.75" customHeight="1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6"/>
      <c r="V71" s="1"/>
      <c r="W71" s="31"/>
      <c r="X71" s="31"/>
      <c r="Y71" s="31"/>
      <c r="Z71" s="31"/>
      <c r="AA71" s="2"/>
      <c r="AB71" s="31"/>
      <c r="AC71" s="31"/>
      <c r="AD71" s="31"/>
      <c r="AE71" s="37"/>
      <c r="AF71" s="37"/>
      <c r="AG71" s="37"/>
    </row>
    <row r="72" spans="1:33" ht="15.75" customHeight="1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6"/>
      <c r="V72" s="1"/>
      <c r="W72" s="31"/>
      <c r="X72" s="31"/>
      <c r="Y72" s="31"/>
      <c r="Z72" s="31"/>
      <c r="AA72" s="2"/>
      <c r="AB72" s="31"/>
      <c r="AC72" s="31"/>
      <c r="AD72" s="31"/>
      <c r="AE72" s="37"/>
      <c r="AF72" s="37"/>
      <c r="AG72" s="37"/>
    </row>
    <row r="73" spans="1:33" ht="15.75" customHeight="1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6"/>
      <c r="V73" s="1"/>
      <c r="W73" s="31"/>
      <c r="X73" s="31"/>
      <c r="Y73" s="31"/>
      <c r="Z73" s="31"/>
      <c r="AA73" s="2"/>
      <c r="AB73" s="31"/>
      <c r="AC73" s="31"/>
      <c r="AD73" s="31"/>
      <c r="AE73" s="37"/>
      <c r="AF73" s="37"/>
      <c r="AG73" s="37"/>
    </row>
    <row r="74" spans="1:33" ht="15.75" customHeight="1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6"/>
      <c r="V74" s="1"/>
      <c r="W74" s="31"/>
      <c r="X74" s="31"/>
      <c r="Y74" s="31"/>
      <c r="Z74" s="31"/>
      <c r="AA74" s="2"/>
      <c r="AB74" s="31"/>
      <c r="AC74" s="31"/>
      <c r="AD74" s="31"/>
      <c r="AE74" s="37"/>
      <c r="AF74" s="37"/>
      <c r="AG74" s="37"/>
    </row>
    <row r="75" spans="1:33" ht="15.75" customHeight="1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6"/>
      <c r="V75" s="1"/>
      <c r="W75" s="31"/>
      <c r="X75" s="31"/>
      <c r="Y75" s="31"/>
      <c r="Z75" s="31"/>
      <c r="AA75" s="2"/>
      <c r="AB75" s="31"/>
      <c r="AC75" s="31"/>
      <c r="AD75" s="31"/>
      <c r="AE75" s="37"/>
      <c r="AF75" s="37"/>
      <c r="AG75" s="37"/>
    </row>
    <row r="76" spans="1:33" ht="15.75" customHeight="1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6"/>
      <c r="V76" s="1"/>
      <c r="W76" s="31"/>
      <c r="X76" s="31"/>
      <c r="Y76" s="31"/>
      <c r="Z76" s="31"/>
      <c r="AA76" s="2"/>
      <c r="AB76" s="31"/>
      <c r="AC76" s="31"/>
      <c r="AD76" s="31"/>
      <c r="AE76" s="37"/>
      <c r="AF76" s="37"/>
      <c r="AG76" s="37"/>
    </row>
    <row r="77" spans="1:33" ht="15.75" customHeight="1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6"/>
      <c r="V77" s="1"/>
      <c r="W77" s="31"/>
      <c r="X77" s="31"/>
      <c r="Y77" s="31"/>
      <c r="Z77" s="31"/>
      <c r="AA77" s="2"/>
      <c r="AB77" s="31"/>
      <c r="AC77" s="31"/>
      <c r="AD77" s="31"/>
      <c r="AE77" s="37"/>
      <c r="AF77" s="37"/>
      <c r="AG77" s="37"/>
    </row>
    <row r="78" spans="1:33" ht="15.75" customHeight="1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6"/>
      <c r="V78" s="1"/>
      <c r="W78" s="31"/>
      <c r="X78" s="31"/>
      <c r="Y78" s="31"/>
      <c r="Z78" s="31"/>
      <c r="AA78" s="2"/>
      <c r="AB78" s="31"/>
      <c r="AC78" s="31"/>
      <c r="AD78" s="31"/>
      <c r="AE78" s="37"/>
      <c r="AF78" s="37"/>
      <c r="AG78" s="37"/>
    </row>
    <row r="79" spans="1:33" ht="15.75" customHeight="1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6"/>
      <c r="V79" s="1"/>
      <c r="W79" s="31"/>
      <c r="X79" s="31"/>
      <c r="Y79" s="31"/>
      <c r="Z79" s="31"/>
      <c r="AA79" s="2"/>
      <c r="AB79" s="31"/>
      <c r="AC79" s="31"/>
      <c r="AD79" s="31"/>
      <c r="AE79" s="37"/>
      <c r="AF79" s="37"/>
      <c r="AG79" s="37"/>
    </row>
    <row r="80" spans="1:33" ht="15.75" customHeight="1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6"/>
      <c r="V80" s="1"/>
      <c r="W80" s="31"/>
      <c r="X80" s="31"/>
      <c r="Y80" s="31"/>
      <c r="Z80" s="31"/>
      <c r="AA80" s="2"/>
      <c r="AB80" s="31"/>
      <c r="AC80" s="31"/>
      <c r="AD80" s="31"/>
      <c r="AE80" s="37"/>
      <c r="AF80" s="37"/>
      <c r="AG80" s="37"/>
    </row>
    <row r="81" spans="1:33" ht="15.75" customHeight="1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6"/>
      <c r="V81" s="1"/>
      <c r="W81" s="31"/>
      <c r="X81" s="31"/>
      <c r="Y81" s="31"/>
      <c r="Z81" s="31"/>
      <c r="AA81" s="2"/>
      <c r="AB81" s="31"/>
      <c r="AC81" s="31"/>
      <c r="AD81" s="31"/>
      <c r="AE81" s="37"/>
      <c r="AF81" s="37"/>
      <c r="AG81" s="37"/>
    </row>
    <row r="82" spans="1:33" ht="15.75" customHeight="1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6"/>
      <c r="V82" s="1"/>
      <c r="W82" s="31"/>
      <c r="X82" s="31"/>
      <c r="Y82" s="31"/>
      <c r="Z82" s="31"/>
      <c r="AA82" s="2"/>
      <c r="AB82" s="31"/>
      <c r="AC82" s="31"/>
      <c r="AD82" s="31"/>
      <c r="AE82" s="37"/>
      <c r="AF82" s="37"/>
      <c r="AG82" s="37"/>
    </row>
    <row r="83" spans="1:33" ht="15.75" customHeight="1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6"/>
      <c r="V83" s="1"/>
      <c r="W83" s="31"/>
      <c r="X83" s="31"/>
      <c r="Y83" s="31"/>
      <c r="Z83" s="31"/>
      <c r="AA83" s="2"/>
      <c r="AB83" s="31"/>
      <c r="AC83" s="31"/>
      <c r="AD83" s="31"/>
      <c r="AE83" s="37"/>
      <c r="AF83" s="37"/>
      <c r="AG83" s="37"/>
    </row>
    <row r="84" spans="1:33" ht="15.75" customHeight="1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6"/>
      <c r="V84" s="1"/>
      <c r="W84" s="31"/>
      <c r="X84" s="31"/>
      <c r="Y84" s="31"/>
      <c r="Z84" s="31"/>
      <c r="AA84" s="2"/>
      <c r="AB84" s="31"/>
      <c r="AC84" s="31"/>
      <c r="AD84" s="31"/>
      <c r="AE84" s="37"/>
      <c r="AF84" s="37"/>
      <c r="AG84" s="37"/>
    </row>
    <row r="85" spans="1:33" ht="15.75" customHeight="1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6"/>
      <c r="V85" s="1"/>
      <c r="W85" s="31"/>
      <c r="X85" s="31"/>
      <c r="Y85" s="31"/>
      <c r="Z85" s="31"/>
      <c r="AA85" s="2"/>
      <c r="AB85" s="31"/>
      <c r="AC85" s="31"/>
      <c r="AD85" s="31"/>
      <c r="AE85" s="37"/>
      <c r="AF85" s="37"/>
      <c r="AG85" s="37"/>
    </row>
    <row r="86" spans="1:33" ht="15.75" customHeight="1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6"/>
      <c r="V86" s="1"/>
      <c r="W86" s="31"/>
      <c r="X86" s="31"/>
      <c r="Y86" s="31"/>
      <c r="Z86" s="31"/>
      <c r="AA86" s="2"/>
      <c r="AB86" s="31"/>
      <c r="AC86" s="31"/>
      <c r="AD86" s="31"/>
      <c r="AE86" s="37"/>
      <c r="AF86" s="37"/>
      <c r="AG86" s="37"/>
    </row>
    <row r="87" spans="1:33" ht="15.75" customHeight="1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6"/>
      <c r="V87" s="1"/>
      <c r="W87" s="31"/>
      <c r="X87" s="31"/>
      <c r="Y87" s="31"/>
      <c r="Z87" s="31"/>
      <c r="AA87" s="2"/>
      <c r="AB87" s="31"/>
      <c r="AC87" s="31"/>
      <c r="AD87" s="31"/>
      <c r="AE87" s="37"/>
      <c r="AF87" s="37"/>
      <c r="AG87" s="37"/>
    </row>
    <row r="88" spans="1:33" ht="15.75" customHeight="1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6"/>
      <c r="V88" s="1"/>
      <c r="W88" s="31"/>
      <c r="X88" s="31"/>
      <c r="Y88" s="31"/>
      <c r="Z88" s="31"/>
      <c r="AA88" s="2"/>
      <c r="AB88" s="31"/>
      <c r="AC88" s="31"/>
      <c r="AD88" s="31"/>
      <c r="AE88" s="37"/>
      <c r="AF88" s="37"/>
      <c r="AG88" s="37"/>
    </row>
    <row r="89" spans="1:33" ht="15.75" customHeight="1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6"/>
      <c r="V89" s="1"/>
      <c r="W89" s="31"/>
      <c r="X89" s="31"/>
      <c r="Y89" s="31"/>
      <c r="Z89" s="31"/>
      <c r="AA89" s="2"/>
      <c r="AB89" s="31"/>
      <c r="AC89" s="31"/>
      <c r="AD89" s="31"/>
      <c r="AE89" s="37"/>
      <c r="AF89" s="37"/>
      <c r="AG89" s="37"/>
    </row>
    <row r="90" spans="1:33" ht="15.75" customHeight="1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6"/>
      <c r="V90" s="1"/>
      <c r="W90" s="31"/>
      <c r="X90" s="31"/>
      <c r="Y90" s="31"/>
      <c r="Z90" s="31"/>
      <c r="AA90" s="2"/>
      <c r="AB90" s="31"/>
      <c r="AC90" s="31"/>
      <c r="AD90" s="31"/>
      <c r="AE90" s="37"/>
      <c r="AF90" s="37"/>
      <c r="AG90" s="37"/>
    </row>
    <row r="91" spans="1:33" ht="15.75" customHeight="1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6"/>
      <c r="V91" s="1"/>
      <c r="W91" s="31"/>
      <c r="X91" s="31"/>
      <c r="Y91" s="31"/>
      <c r="Z91" s="31"/>
      <c r="AA91" s="2"/>
      <c r="AB91" s="31"/>
      <c r="AC91" s="31"/>
      <c r="AD91" s="31"/>
      <c r="AE91" s="37"/>
      <c r="AF91" s="37"/>
      <c r="AG91" s="37"/>
    </row>
    <row r="92" spans="1:33" ht="15.75" customHeight="1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6"/>
      <c r="V92" s="1"/>
      <c r="W92" s="31"/>
      <c r="X92" s="31"/>
      <c r="Y92" s="31"/>
      <c r="Z92" s="31"/>
      <c r="AA92" s="2"/>
      <c r="AB92" s="31"/>
      <c r="AC92" s="31"/>
      <c r="AD92" s="31"/>
      <c r="AE92" s="37"/>
      <c r="AF92" s="37"/>
      <c r="AG92" s="37"/>
    </row>
    <row r="93" spans="1:33" ht="15.75" customHeight="1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6"/>
      <c r="V93" s="1"/>
      <c r="W93" s="31"/>
      <c r="X93" s="31"/>
      <c r="Y93" s="31"/>
      <c r="Z93" s="31"/>
      <c r="AA93" s="2"/>
      <c r="AB93" s="31"/>
      <c r="AC93" s="31"/>
      <c r="AD93" s="31"/>
      <c r="AE93" s="37"/>
      <c r="AF93" s="37"/>
      <c r="AG93" s="37"/>
    </row>
    <row r="94" spans="1:33" ht="15.75" customHeight="1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6"/>
      <c r="V94" s="1"/>
      <c r="W94" s="31"/>
      <c r="X94" s="31"/>
      <c r="Y94" s="31"/>
      <c r="Z94" s="31"/>
      <c r="AA94" s="2"/>
      <c r="AB94" s="31"/>
      <c r="AC94" s="31"/>
      <c r="AD94" s="31"/>
      <c r="AE94" s="37"/>
      <c r="AF94" s="37"/>
      <c r="AG94" s="37"/>
    </row>
    <row r="95" spans="1:33" ht="15.75" customHeight="1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6"/>
      <c r="V95" s="1"/>
      <c r="W95" s="31"/>
      <c r="X95" s="31"/>
      <c r="Y95" s="31"/>
      <c r="Z95" s="31"/>
      <c r="AA95" s="2"/>
      <c r="AB95" s="31"/>
      <c r="AC95" s="31"/>
      <c r="AD95" s="31"/>
      <c r="AE95" s="37"/>
      <c r="AF95" s="37"/>
      <c r="AG95" s="37"/>
    </row>
    <row r="96" spans="1:33" ht="15.75" customHeight="1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6"/>
      <c r="V96" s="1"/>
      <c r="W96" s="31"/>
      <c r="X96" s="31"/>
      <c r="Y96" s="31"/>
      <c r="Z96" s="31"/>
      <c r="AA96" s="2"/>
      <c r="AB96" s="31"/>
      <c r="AC96" s="31"/>
      <c r="AD96" s="31"/>
      <c r="AE96" s="37"/>
      <c r="AF96" s="37"/>
      <c r="AG96" s="37"/>
    </row>
    <row r="97" spans="1:33" ht="15.75" customHeight="1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8"/>
      <c r="R97" s="38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8"/>
      <c r="R98" s="38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8"/>
      <c r="R99" s="38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8"/>
      <c r="R100" s="38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8"/>
      <c r="R101" s="38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8"/>
      <c r="R102" s="38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8"/>
      <c r="R103" s="38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8"/>
      <c r="R104" s="38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8"/>
      <c r="R105" s="38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8"/>
      <c r="R106" s="38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8"/>
      <c r="R107" s="38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8"/>
      <c r="R108" s="38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8"/>
      <c r="R109" s="38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8"/>
      <c r="R110" s="38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8"/>
      <c r="R111" s="38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8"/>
      <c r="R112" s="38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8"/>
      <c r="R113" s="38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8"/>
      <c r="R114" s="38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>
      <c r="A115" s="31"/>
      <c r="B115" s="31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>
      <c r="A116" s="31"/>
      <c r="B116" s="31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>
      <c r="A117" s="31"/>
      <c r="B117" s="31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>
      <c r="A118" s="31"/>
      <c r="B118" s="31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>
      <c r="A119" s="31"/>
      <c r="B119" s="31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>
      <c r="A120" s="31"/>
      <c r="B120" s="31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>
      <c r="A121" s="31"/>
      <c r="B121" s="31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>
      <c r="A122" s="31"/>
      <c r="B122" s="31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>
      <c r="A123" s="31"/>
      <c r="B123" s="31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>
      <c r="A124" s="31"/>
      <c r="B124" s="31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>
      <c r="A125" s="31"/>
      <c r="B125" s="31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>
      <c r="A126" s="31"/>
      <c r="B126" s="31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>
      <c r="A127" s="31"/>
      <c r="B127" s="31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>
      <c r="A128" s="31"/>
      <c r="B128" s="31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>
      <c r="A129" s="31"/>
      <c r="B129" s="31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>
      <c r="A130" s="31"/>
      <c r="B130" s="31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>
      <c r="A131" s="31"/>
      <c r="B131" s="31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>
      <c r="A132" s="31"/>
      <c r="B132" s="31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>
      <c r="A133" s="31"/>
      <c r="B133" s="31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>
      <c r="A134" s="31"/>
      <c r="B134" s="31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>
      <c r="A135" s="31"/>
      <c r="B135" s="31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>
      <c r="A136" s="31"/>
      <c r="B136" s="31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>
      <c r="A137" s="31"/>
      <c r="B137" s="31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>
      <c r="A138" s="31"/>
      <c r="B138" s="31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>
      <c r="A139" s="31"/>
      <c r="B139" s="31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>
      <c r="A140" s="31"/>
      <c r="B140" s="31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>
      <c r="A141" s="31"/>
      <c r="B141" s="31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2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>
      <c r="A142" s="31"/>
      <c r="B142" s="31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2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>
      <c r="A143" s="31"/>
      <c r="B143" s="31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2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>
      <c r="A144" s="31"/>
      <c r="B144" s="31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2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>
      <c r="A145" s="31"/>
      <c r="B145" s="31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2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>
      <c r="A146" s="31"/>
      <c r="B146" s="31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2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>
      <c r="A147" s="31"/>
      <c r="B147" s="31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2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>
      <c r="A148" s="31"/>
      <c r="B148" s="31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2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</row>
    <row r="149" spans="1:33" ht="15.75" customHeight="1">
      <c r="A149" s="14"/>
      <c r="B149" s="14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>
      <c r="A150" s="14"/>
      <c r="B150" s="14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>
      <c r="A151" s="14"/>
      <c r="B151" s="14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>
      <c r="A152" s="14"/>
      <c r="B152" s="14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>
      <c r="A153" s="14"/>
      <c r="B153" s="14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>
      <c r="A154" s="14"/>
      <c r="B154" s="14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>
      <c r="A155" s="14"/>
      <c r="B155" s="14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>
      <c r="A156" s="14"/>
      <c r="B156" s="14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>
      <c r="A157" s="14"/>
      <c r="B157" s="14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>
      <c r="A158" s="14"/>
      <c r="B158" s="14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>
      <c r="A159" s="14"/>
      <c r="B159" s="14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>
      <c r="A160" s="14"/>
      <c r="B160" s="14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>
      <c r="A161" s="14"/>
      <c r="B161" s="14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>
      <c r="A162" s="14"/>
      <c r="B162" s="14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>
      <c r="A163" s="14"/>
      <c r="B163" s="14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>
      <c r="A164" s="14"/>
      <c r="B164" s="14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>
      <c r="A165" s="14"/>
      <c r="B165" s="14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>
      <c r="A166" s="14"/>
      <c r="B166" s="14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>
      <c r="A167" s="14"/>
      <c r="B167" s="14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>
      <c r="A168" s="14"/>
      <c r="B168" s="14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>
      <c r="A169" s="14"/>
      <c r="B169" s="14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>
      <c r="A170" s="14"/>
      <c r="B170" s="14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>
      <c r="A171" s="14"/>
      <c r="B171" s="14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>
      <c r="A172" s="14"/>
      <c r="B172" s="14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>
      <c r="A173" s="14"/>
      <c r="B173" s="14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>
      <c r="A174" s="14"/>
      <c r="B174" s="14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>
      <c r="A175" s="14"/>
      <c r="B175" s="14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>
      <c r="A176" s="14"/>
      <c r="B176" s="14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>
      <c r="A177" s="14"/>
      <c r="B177" s="14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>
      <c r="A178" s="14"/>
      <c r="B178" s="14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>
      <c r="A179" s="14"/>
      <c r="B179" s="14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>
      <c r="A180" s="14"/>
      <c r="B180" s="14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>
      <c r="A181" s="14"/>
      <c r="B181" s="14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>
      <c r="A182" s="14"/>
      <c r="B182" s="14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>
      <c r="A183" s="14"/>
      <c r="B183" s="14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>
      <c r="A184" s="14"/>
      <c r="B184" s="14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>
      <c r="A185" s="14"/>
      <c r="B185" s="14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>
      <c r="A186" s="14"/>
      <c r="B186" s="14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>
      <c r="A187" s="14"/>
      <c r="B187" s="14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>
      <c r="A188" s="14"/>
      <c r="B188" s="14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>
      <c r="A189" s="14"/>
      <c r="B189" s="14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>
      <c r="A190" s="14"/>
      <c r="B190" s="14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>
      <c r="A191" s="14"/>
      <c r="B191" s="14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>
      <c r="A192" s="14"/>
      <c r="B192" s="14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>
      <c r="A193" s="14"/>
      <c r="B193" s="14"/>
      <c r="C193" s="39"/>
      <c r="D193" s="39"/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>
      <c r="A194" s="14"/>
      <c r="B194" s="14"/>
      <c r="C194" s="39"/>
      <c r="D194" s="39"/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>
      <c r="A195" s="14"/>
      <c r="B195" s="14"/>
      <c r="C195" s="39"/>
      <c r="D195" s="39"/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>
      <c r="A196" s="14"/>
      <c r="B196" s="14"/>
      <c r="C196" s="39"/>
      <c r="D196" s="39"/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>
      <c r="A197" s="14"/>
      <c r="B197" s="14"/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>
      <c r="A198" s="14"/>
      <c r="B198" s="14"/>
      <c r="C198" s="39"/>
      <c r="D198" s="39"/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>
      <c r="A199" s="14"/>
      <c r="B199" s="14"/>
      <c r="C199" s="39"/>
      <c r="D199" s="39"/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>
      <c r="A200" s="14"/>
      <c r="B200" s="14"/>
      <c r="C200" s="39"/>
      <c r="D200" s="39"/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>
      <c r="A201" s="14"/>
      <c r="B201" s="14"/>
      <c r="C201" s="39"/>
      <c r="D201" s="39"/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>
      <c r="A202" s="14"/>
      <c r="B202" s="14"/>
      <c r="C202" s="39"/>
      <c r="D202" s="39"/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>
      <c r="A203" s="14"/>
      <c r="B203" s="14"/>
      <c r="C203" s="39"/>
      <c r="D203" s="39"/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>
      <c r="A204" s="14"/>
      <c r="B204" s="14"/>
      <c r="C204" s="39"/>
      <c r="D204" s="39"/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>
      <c r="A205" s="14"/>
      <c r="B205" s="14"/>
      <c r="C205" s="39"/>
      <c r="D205" s="39"/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>
      <c r="A206" s="14"/>
      <c r="B206" s="14"/>
      <c r="C206" s="39"/>
      <c r="D206" s="39"/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>
      <c r="A207" s="14"/>
      <c r="B207" s="14"/>
      <c r="C207" s="39"/>
      <c r="D207" s="39"/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>
      <c r="A208" s="14"/>
      <c r="B208" s="14"/>
      <c r="C208" s="39"/>
      <c r="D208" s="39"/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>
      <c r="A209" s="14"/>
      <c r="B209" s="14"/>
      <c r="C209" s="39"/>
      <c r="D209" s="39"/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>
      <c r="A210" s="14"/>
      <c r="B210" s="14"/>
      <c r="C210" s="39"/>
      <c r="D210" s="39"/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>
      <c r="A211" s="14"/>
      <c r="B211" s="14"/>
      <c r="C211" s="39"/>
      <c r="D211" s="39"/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>
      <c r="A212" s="14"/>
      <c r="B212" s="14"/>
      <c r="C212" s="39"/>
      <c r="D212" s="39"/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>
      <c r="A213" s="14"/>
      <c r="B213" s="14"/>
      <c r="C213" s="39"/>
      <c r="D213" s="39"/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>
      <c r="A214" s="14"/>
      <c r="B214" s="14"/>
      <c r="C214" s="39"/>
      <c r="D214" s="39"/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>
      <c r="A215" s="14"/>
      <c r="B215" s="14"/>
      <c r="C215" s="39"/>
      <c r="D215" s="39"/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>
      <c r="A216" s="14"/>
      <c r="B216" s="14"/>
      <c r="C216" s="39"/>
      <c r="D216" s="39"/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>
      <c r="A217" s="14"/>
      <c r="B217" s="14"/>
      <c r="C217" s="39"/>
      <c r="D217" s="39"/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>
      <c r="A218" s="14"/>
      <c r="B218" s="14"/>
      <c r="C218" s="39"/>
      <c r="D218" s="39"/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>
      <c r="A219" s="14"/>
      <c r="B219" s="14"/>
      <c r="C219" s="39"/>
      <c r="D219" s="39"/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>
      <c r="A220" s="14"/>
      <c r="B220" s="14"/>
      <c r="C220" s="39"/>
      <c r="D220" s="39"/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>
      <c r="R221" s="30"/>
      <c r="S221" s="40"/>
    </row>
    <row r="222" spans="1:33" ht="15.75" customHeight="1">
      <c r="R222" s="30"/>
      <c r="S222" s="40"/>
    </row>
    <row r="223" spans="1:33" ht="15.75" customHeight="1">
      <c r="R223" s="30"/>
      <c r="S223" s="40"/>
    </row>
    <row r="224" spans="1:33" ht="15.75" customHeight="1">
      <c r="R224" s="30"/>
      <c r="S224" s="40"/>
    </row>
    <row r="225" spans="18:18" ht="15.75" customHeight="1">
      <c r="R225" s="30"/>
    </row>
    <row r="226" spans="18:18" ht="15.75" customHeight="1">
      <c r="R226" s="30"/>
    </row>
    <row r="227" spans="18:18" ht="15.75" customHeight="1">
      <c r="R227" s="30"/>
    </row>
    <row r="228" spans="18:18" ht="15.75" customHeight="1">
      <c r="R228" s="30"/>
    </row>
    <row r="229" spans="18:18" ht="15.75" customHeight="1">
      <c r="R229" s="30"/>
    </row>
    <row r="230" spans="18:18" ht="15.75" customHeight="1">
      <c r="R230" s="30"/>
    </row>
    <row r="231" spans="18:18" ht="15.75" customHeight="1">
      <c r="R231" s="30"/>
    </row>
    <row r="232" spans="18:18" ht="15.75" customHeight="1">
      <c r="R232" s="30"/>
    </row>
    <row r="233" spans="18:18" ht="15.75" customHeight="1">
      <c r="R233" s="30"/>
    </row>
    <row r="234" spans="18:18" ht="15.75" customHeight="1">
      <c r="R234" s="30"/>
    </row>
    <row r="235" spans="18:18" ht="15.75" customHeight="1">
      <c r="R235" s="30"/>
    </row>
    <row r="236" spans="18:18" ht="15.75" customHeight="1">
      <c r="R236" s="30"/>
    </row>
    <row r="237" spans="18:18" ht="15.75" customHeight="1">
      <c r="R237" s="30"/>
    </row>
    <row r="238" spans="18:18" ht="15.75" customHeight="1">
      <c r="R238" s="30"/>
    </row>
    <row r="239" spans="18:18" ht="15.75" customHeight="1">
      <c r="R239" s="30"/>
    </row>
    <row r="240" spans="18:18" ht="15.75" customHeight="1">
      <c r="R240" s="30"/>
    </row>
    <row r="241" spans="18:18" ht="15.75" customHeight="1">
      <c r="R241" s="30"/>
    </row>
    <row r="242" spans="18:18" ht="15.75" customHeight="1">
      <c r="R242" s="30"/>
    </row>
    <row r="243" spans="18:18" ht="15.75" customHeight="1">
      <c r="R243" s="30"/>
    </row>
    <row r="244" spans="18:18" ht="15.75" customHeight="1">
      <c r="R244" s="30"/>
    </row>
    <row r="245" spans="18:18" ht="15.75" customHeight="1">
      <c r="R245" s="30"/>
    </row>
    <row r="246" spans="18:18" ht="15.75" customHeight="1">
      <c r="R246" s="30"/>
    </row>
    <row r="247" spans="18:18" ht="15.75" customHeight="1">
      <c r="R247" s="30"/>
    </row>
    <row r="248" spans="18:18" ht="15.75" customHeight="1">
      <c r="R248" s="30"/>
    </row>
    <row r="249" spans="18:18" ht="15.75" customHeight="1">
      <c r="R249" s="30"/>
    </row>
    <row r="250" spans="18:18" ht="15.75" customHeight="1">
      <c r="R250" s="30"/>
    </row>
    <row r="251" spans="18:18" ht="15.75" customHeight="1">
      <c r="R251" s="30"/>
    </row>
    <row r="252" spans="18:18" ht="15.75" customHeight="1">
      <c r="R252" s="30"/>
    </row>
    <row r="253" spans="18:18" ht="15.75" customHeight="1">
      <c r="R253" s="30"/>
    </row>
    <row r="254" spans="18:18" ht="15.75" customHeight="1">
      <c r="R254" s="30"/>
    </row>
    <row r="255" spans="18:18" ht="15.75" customHeight="1">
      <c r="R255" s="30"/>
    </row>
    <row r="256" spans="18:18" ht="15.75" customHeight="1">
      <c r="R256" s="30"/>
    </row>
    <row r="257" spans="18:18" ht="15.75" customHeight="1">
      <c r="R257" s="30"/>
    </row>
    <row r="258" spans="18:18" ht="15.75" customHeight="1">
      <c r="R258" s="30"/>
    </row>
    <row r="259" spans="18:18" ht="15.75" customHeight="1">
      <c r="R259" s="30"/>
    </row>
    <row r="260" spans="18:18" ht="15.75" customHeight="1">
      <c r="R260" s="30"/>
    </row>
    <row r="261" spans="18:18" ht="15.75" customHeight="1">
      <c r="R261" s="30"/>
    </row>
    <row r="262" spans="18:18" ht="15.75" customHeight="1">
      <c r="R262" s="30"/>
    </row>
    <row r="263" spans="18:18" ht="15.75" customHeight="1">
      <c r="R263" s="30"/>
    </row>
    <row r="264" spans="18:18" ht="15.75" customHeight="1">
      <c r="R264" s="30"/>
    </row>
    <row r="265" spans="18:18" ht="15.75" customHeight="1">
      <c r="R265" s="30"/>
    </row>
    <row r="266" spans="18:18" ht="15.75" customHeight="1">
      <c r="R266" s="30"/>
    </row>
    <row r="267" spans="18:18" ht="15.75" customHeight="1">
      <c r="R267" s="30"/>
    </row>
    <row r="268" spans="18:18" ht="15.75" customHeight="1">
      <c r="R268" s="30"/>
    </row>
    <row r="269" spans="18:18" ht="15.75" customHeight="1">
      <c r="R269" s="30"/>
    </row>
    <row r="270" spans="18:18" ht="15.75" customHeight="1">
      <c r="R270" s="30"/>
    </row>
    <row r="271" spans="18:18" ht="15.75" customHeight="1">
      <c r="R271" s="30"/>
    </row>
    <row r="272" spans="18:18" ht="15.75" customHeight="1">
      <c r="R272" s="30"/>
    </row>
    <row r="273" spans="18:18" ht="15.75" customHeight="1">
      <c r="R273" s="30"/>
    </row>
    <row r="274" spans="18:18" ht="15.75" customHeight="1">
      <c r="R274" s="30"/>
    </row>
    <row r="275" spans="18:18" ht="15.75" customHeight="1">
      <c r="R275" s="30"/>
    </row>
    <row r="276" spans="18:18" ht="15.75" customHeight="1">
      <c r="R276" s="30"/>
    </row>
    <row r="277" spans="18:18" ht="15.75" customHeight="1">
      <c r="R277" s="30"/>
    </row>
    <row r="278" spans="18:18" ht="15.75" customHeight="1">
      <c r="R278" s="30"/>
    </row>
    <row r="279" spans="18:18" ht="15.75" customHeight="1">
      <c r="R279" s="30"/>
    </row>
    <row r="280" spans="18:18" ht="15.75" customHeight="1">
      <c r="R280" s="30"/>
    </row>
    <row r="281" spans="18:18" ht="15.75" customHeight="1">
      <c r="R281" s="30"/>
    </row>
    <row r="282" spans="18:18" ht="15.75" customHeight="1">
      <c r="R282" s="30"/>
    </row>
    <row r="283" spans="18:18" ht="15.75" customHeight="1">
      <c r="R283" s="30"/>
    </row>
    <row r="284" spans="18:18" ht="15.75" customHeight="1">
      <c r="R284" s="30"/>
    </row>
    <row r="285" spans="18:18" ht="15.75" customHeight="1">
      <c r="R285" s="30"/>
    </row>
    <row r="286" spans="18:18" ht="15.75" customHeight="1">
      <c r="R286" s="30"/>
    </row>
    <row r="287" spans="18:18" ht="15.75" customHeight="1">
      <c r="R287" s="30"/>
    </row>
    <row r="288" spans="18:18" ht="15.75" customHeight="1">
      <c r="R288" s="30"/>
    </row>
    <row r="289" spans="18:18" ht="15.75" customHeight="1">
      <c r="R289" s="30"/>
    </row>
    <row r="290" spans="18:18" ht="15.75" customHeight="1">
      <c r="R290" s="30"/>
    </row>
    <row r="291" spans="18:18" ht="15.75" customHeight="1">
      <c r="R291" s="30"/>
    </row>
    <row r="292" spans="18:18" ht="15.75" customHeight="1">
      <c r="R292" s="30"/>
    </row>
    <row r="293" spans="18:18" ht="15.75" customHeight="1">
      <c r="R293" s="30"/>
    </row>
    <row r="294" spans="18:18" ht="15.75" customHeight="1">
      <c r="R294" s="30"/>
    </row>
    <row r="295" spans="18:18" ht="15.75" customHeight="1">
      <c r="R295" s="30"/>
    </row>
    <row r="296" spans="18:18" ht="15.75" customHeight="1">
      <c r="R296" s="30"/>
    </row>
    <row r="297" spans="18:18" ht="15.75" customHeight="1">
      <c r="R297" s="30"/>
    </row>
    <row r="298" spans="18:18" ht="15.75" customHeight="1">
      <c r="R298" s="30"/>
    </row>
    <row r="299" spans="18:18" ht="15.75" customHeight="1">
      <c r="R299" s="30"/>
    </row>
    <row r="300" spans="18:18" ht="15.75" customHeight="1">
      <c r="R300" s="30"/>
    </row>
    <row r="301" spans="18:18" ht="15.75" customHeight="1">
      <c r="R301" s="30"/>
    </row>
    <row r="302" spans="18:18" ht="15.75" customHeight="1">
      <c r="R302" s="30"/>
    </row>
    <row r="303" spans="18:18" ht="15.75" customHeight="1">
      <c r="R303" s="30"/>
    </row>
    <row r="304" spans="18:18" ht="15.75" customHeight="1">
      <c r="R304" s="30"/>
    </row>
    <row r="305" spans="18:18" ht="15.75" customHeight="1">
      <c r="R305" s="30"/>
    </row>
    <row r="306" spans="18:18" ht="15.75" customHeight="1">
      <c r="R306" s="30"/>
    </row>
    <row r="307" spans="18:18" ht="15.75" customHeight="1">
      <c r="R307" s="30"/>
    </row>
    <row r="308" spans="18:18" ht="15.75" customHeight="1">
      <c r="R308" s="30"/>
    </row>
    <row r="309" spans="18:18" ht="15.75" customHeight="1">
      <c r="R309" s="30"/>
    </row>
    <row r="310" spans="18:18" ht="15.75" customHeight="1">
      <c r="R310" s="30"/>
    </row>
    <row r="311" spans="18:18" ht="15.75" customHeight="1">
      <c r="R311" s="30"/>
    </row>
    <row r="312" spans="18:18" ht="15.75" customHeight="1">
      <c r="R312" s="30"/>
    </row>
    <row r="313" spans="18:18" ht="15.75" customHeight="1">
      <c r="R313" s="30"/>
    </row>
    <row r="314" spans="18:18" ht="15.75" customHeight="1">
      <c r="R314" s="30"/>
    </row>
    <row r="315" spans="18:18" ht="15.75" customHeight="1">
      <c r="R315" s="30"/>
    </row>
    <row r="316" spans="18:18" ht="15.75" customHeight="1">
      <c r="R316" s="30"/>
    </row>
    <row r="317" spans="18:18" ht="15.75" customHeight="1">
      <c r="R317" s="30"/>
    </row>
    <row r="318" spans="18:18" ht="15.75" customHeight="1">
      <c r="R318" s="30"/>
    </row>
    <row r="319" spans="18:18" ht="15.75" customHeight="1">
      <c r="R319" s="30"/>
    </row>
    <row r="320" spans="18:18" ht="15.75" customHeight="1">
      <c r="R320" s="30"/>
    </row>
    <row r="321" spans="18:18" ht="15.75" customHeight="1">
      <c r="R321" s="30"/>
    </row>
    <row r="322" spans="18:18" ht="15.75" customHeight="1">
      <c r="R322" s="30"/>
    </row>
    <row r="323" spans="18:18" ht="15.75" customHeight="1">
      <c r="R323" s="30"/>
    </row>
    <row r="324" spans="18:18" ht="15.75" customHeight="1">
      <c r="R324" s="30"/>
    </row>
    <row r="325" spans="18:18" ht="15.75" customHeight="1">
      <c r="R325" s="30"/>
    </row>
    <row r="326" spans="18:18" ht="15.75" customHeight="1">
      <c r="R326" s="30"/>
    </row>
    <row r="327" spans="18:18" ht="15.75" customHeight="1">
      <c r="R327" s="30"/>
    </row>
    <row r="328" spans="18:18" ht="15.75" customHeight="1">
      <c r="R328" s="30"/>
    </row>
    <row r="329" spans="18:18" ht="15.75" customHeight="1">
      <c r="R329" s="30"/>
    </row>
    <row r="330" spans="18:18" ht="15.75" customHeight="1">
      <c r="R330" s="30"/>
    </row>
    <row r="331" spans="18:18" ht="15.75" customHeight="1">
      <c r="R331" s="30"/>
    </row>
    <row r="332" spans="18:18" ht="15.75" customHeight="1">
      <c r="R332" s="30"/>
    </row>
    <row r="333" spans="18:18" ht="15.75" customHeight="1">
      <c r="R333" s="30"/>
    </row>
    <row r="334" spans="18:18" ht="15.75" customHeight="1">
      <c r="R334" s="30"/>
    </row>
    <row r="335" spans="18:18" ht="15.75" customHeight="1">
      <c r="R335" s="30"/>
    </row>
    <row r="336" spans="18:18" ht="15.75" customHeight="1">
      <c r="R336" s="30"/>
    </row>
    <row r="337" spans="18:18" ht="15.75" customHeight="1">
      <c r="R337" s="30"/>
    </row>
    <row r="338" spans="18:18" ht="15.75" customHeight="1">
      <c r="R338" s="30"/>
    </row>
    <row r="339" spans="18:18" ht="15.75" customHeight="1">
      <c r="R339" s="30"/>
    </row>
    <row r="340" spans="18:18" ht="15.75" customHeight="1">
      <c r="R340" s="30"/>
    </row>
    <row r="341" spans="18:18" ht="15.75" customHeight="1">
      <c r="R341" s="30"/>
    </row>
    <row r="342" spans="18:18" ht="15.75" customHeight="1">
      <c r="R342" s="30"/>
    </row>
    <row r="343" spans="18:18" ht="15.75" customHeight="1">
      <c r="R343" s="30"/>
    </row>
    <row r="344" spans="18:18" ht="15.75" customHeight="1">
      <c r="R344" s="30"/>
    </row>
    <row r="345" spans="18:18" ht="15.75" customHeight="1">
      <c r="R345" s="30"/>
    </row>
    <row r="346" spans="18:18" ht="15.75" customHeight="1">
      <c r="R346" s="30"/>
    </row>
    <row r="347" spans="18:18" ht="15.75" customHeight="1">
      <c r="R347" s="30"/>
    </row>
    <row r="348" spans="18:18" ht="15.75" customHeight="1">
      <c r="R348" s="30"/>
    </row>
    <row r="349" spans="18:18" ht="15.75" customHeight="1">
      <c r="R349" s="30"/>
    </row>
    <row r="350" spans="18:18" ht="15.75" customHeight="1">
      <c r="R350" s="30"/>
    </row>
    <row r="351" spans="18:18" ht="15.75" customHeight="1">
      <c r="R351" s="30"/>
    </row>
    <row r="352" spans="18:18" ht="15.75" customHeight="1">
      <c r="R352" s="30"/>
    </row>
    <row r="353" spans="18:18" ht="15.75" customHeight="1">
      <c r="R353" s="30"/>
    </row>
    <row r="354" spans="18:18" ht="15.75" customHeight="1">
      <c r="R354" s="30"/>
    </row>
    <row r="355" spans="18:18" ht="15.75" customHeight="1">
      <c r="R355" s="30"/>
    </row>
    <row r="356" spans="18:18" ht="15.75" customHeight="1">
      <c r="R356" s="30"/>
    </row>
    <row r="357" spans="18:18" ht="15.75" customHeight="1">
      <c r="R357" s="30"/>
    </row>
    <row r="358" spans="18:18" ht="15.75" customHeight="1">
      <c r="R358" s="30"/>
    </row>
    <row r="359" spans="18:18" ht="15.75" customHeight="1">
      <c r="R359" s="30"/>
    </row>
    <row r="360" spans="18:18" ht="15.75" customHeight="1">
      <c r="R360" s="30"/>
    </row>
    <row r="361" spans="18:18" ht="15.75" customHeight="1">
      <c r="R361" s="30"/>
    </row>
    <row r="362" spans="18:18" ht="15.75" customHeight="1">
      <c r="R362" s="30"/>
    </row>
    <row r="363" spans="18:18" ht="15.75" customHeight="1">
      <c r="R363" s="30"/>
    </row>
    <row r="364" spans="18:18" ht="15.75" customHeight="1">
      <c r="R364" s="30"/>
    </row>
    <row r="365" spans="18:18" ht="15.75" customHeight="1">
      <c r="R365" s="30"/>
    </row>
    <row r="366" spans="18:18" ht="15.75" customHeight="1">
      <c r="R366" s="30"/>
    </row>
    <row r="367" spans="18:18" ht="15.75" customHeight="1">
      <c r="R367" s="30"/>
    </row>
    <row r="368" spans="18:18" ht="15.75" customHeight="1">
      <c r="R368" s="30"/>
    </row>
    <row r="369" spans="18:18" ht="15.75" customHeight="1">
      <c r="R369" s="30"/>
    </row>
    <row r="370" spans="18:18" ht="15.75" customHeight="1">
      <c r="R370" s="30"/>
    </row>
    <row r="371" spans="18:18" ht="15.75" customHeight="1">
      <c r="R371" s="30"/>
    </row>
    <row r="372" spans="18:18" ht="15.75" customHeight="1">
      <c r="R372" s="30"/>
    </row>
    <row r="373" spans="18:18" ht="15.75" customHeight="1">
      <c r="R373" s="30"/>
    </row>
    <row r="374" spans="18:18" ht="15.75" customHeight="1">
      <c r="R374" s="30"/>
    </row>
    <row r="375" spans="18:18" ht="15.75" customHeight="1">
      <c r="R375" s="30"/>
    </row>
    <row r="376" spans="18:18" ht="15.75" customHeight="1">
      <c r="R376" s="30"/>
    </row>
    <row r="377" spans="18:18" ht="15.75" customHeight="1">
      <c r="R377" s="30"/>
    </row>
    <row r="378" spans="18:18" ht="15.75" customHeight="1">
      <c r="R378" s="30"/>
    </row>
    <row r="379" spans="18:18" ht="15.75" customHeight="1">
      <c r="R379" s="30"/>
    </row>
    <row r="380" spans="18:18" ht="15.75" customHeight="1">
      <c r="R380" s="30"/>
    </row>
    <row r="381" spans="18:18" ht="15.75" customHeight="1">
      <c r="R381" s="30"/>
    </row>
    <row r="382" spans="18:18" ht="15.75" customHeight="1">
      <c r="R382" s="30"/>
    </row>
    <row r="383" spans="18:18" ht="15.75" customHeight="1">
      <c r="R383" s="30"/>
    </row>
    <row r="384" spans="18:18" ht="15.75" customHeight="1">
      <c r="R384" s="30"/>
    </row>
    <row r="385" spans="18:18" ht="15.75" customHeight="1">
      <c r="R385" s="30"/>
    </row>
    <row r="386" spans="18:18" ht="15.75" customHeight="1">
      <c r="R386" s="30"/>
    </row>
    <row r="387" spans="18:18" ht="15.75" customHeight="1">
      <c r="R387" s="30"/>
    </row>
    <row r="388" spans="18:18" ht="15.75" customHeight="1">
      <c r="R388" s="30"/>
    </row>
    <row r="389" spans="18:18" ht="15.75" customHeight="1">
      <c r="R389" s="30"/>
    </row>
    <row r="390" spans="18:18" ht="15.75" customHeight="1">
      <c r="R390" s="30"/>
    </row>
    <row r="391" spans="18:18" ht="15.75" customHeight="1">
      <c r="R391" s="30"/>
    </row>
    <row r="392" spans="18:18" ht="15.75" customHeight="1">
      <c r="R392" s="30"/>
    </row>
    <row r="393" spans="18:18" ht="15.75" customHeight="1">
      <c r="R393" s="30"/>
    </row>
    <row r="394" spans="18:18" ht="15.75" customHeight="1">
      <c r="R394" s="30"/>
    </row>
    <row r="395" spans="18:18" ht="15.75" customHeight="1">
      <c r="R395" s="30"/>
    </row>
    <row r="396" spans="18:18" ht="15.75" customHeight="1">
      <c r="R396" s="30"/>
    </row>
    <row r="397" spans="18:18" ht="15.75" customHeight="1">
      <c r="R397" s="30"/>
    </row>
    <row r="398" spans="18:18" ht="15.75" customHeight="1">
      <c r="R398" s="30"/>
    </row>
    <row r="399" spans="18:18" ht="15.75" customHeight="1">
      <c r="R399" s="30"/>
    </row>
    <row r="400" spans="18:18" ht="15.75" customHeight="1">
      <c r="R400" s="30"/>
    </row>
    <row r="401" spans="18:18" ht="15.75" customHeight="1">
      <c r="R401" s="30"/>
    </row>
    <row r="402" spans="18:18" ht="15.75" customHeight="1">
      <c r="R402" s="30"/>
    </row>
    <row r="403" spans="18:18" ht="15.75" customHeight="1">
      <c r="R403" s="30"/>
    </row>
    <row r="404" spans="18:18" ht="15.75" customHeight="1">
      <c r="R404" s="30"/>
    </row>
    <row r="405" spans="18:18" ht="15.75" customHeight="1">
      <c r="R405" s="30"/>
    </row>
    <row r="406" spans="18:18" ht="15.75" customHeight="1">
      <c r="R406" s="30"/>
    </row>
    <row r="407" spans="18:18" ht="15.75" customHeight="1">
      <c r="R407" s="30"/>
    </row>
    <row r="408" spans="18:18" ht="15.75" customHeight="1">
      <c r="R408" s="30"/>
    </row>
    <row r="409" spans="18:18" ht="15.75" customHeight="1">
      <c r="R409" s="30"/>
    </row>
    <row r="410" spans="18:18" ht="15.75" customHeight="1">
      <c r="R410" s="30"/>
    </row>
    <row r="411" spans="18:18" ht="15.75" customHeight="1">
      <c r="R411" s="30"/>
    </row>
    <row r="412" spans="18:18" ht="15.75" customHeight="1">
      <c r="R412" s="30"/>
    </row>
    <row r="413" spans="18:18" ht="15.75" customHeight="1">
      <c r="R413" s="30"/>
    </row>
    <row r="414" spans="18:18" ht="15.75" customHeight="1">
      <c r="R414" s="30"/>
    </row>
    <row r="415" spans="18:18" ht="15.75" customHeight="1">
      <c r="R415" s="30"/>
    </row>
    <row r="416" spans="18:18" ht="15.75" customHeight="1">
      <c r="R416" s="30"/>
    </row>
    <row r="417" spans="18:18" ht="15.75" customHeight="1">
      <c r="R417" s="30"/>
    </row>
    <row r="418" spans="18:18" ht="15.75" customHeight="1">
      <c r="R418" s="30"/>
    </row>
    <row r="419" spans="18:18" ht="15.75" customHeight="1">
      <c r="R419" s="30"/>
    </row>
    <row r="420" spans="18:18" ht="15.75" customHeight="1">
      <c r="R420" s="30"/>
    </row>
    <row r="421" spans="18:18" ht="15.75" customHeight="1">
      <c r="R421" s="30"/>
    </row>
    <row r="422" spans="18:18" ht="15.75" customHeight="1">
      <c r="R422" s="30"/>
    </row>
    <row r="423" spans="18:18" ht="15.75" customHeight="1">
      <c r="R423" s="30"/>
    </row>
    <row r="424" spans="18:18" ht="15.75" customHeight="1">
      <c r="R424" s="30"/>
    </row>
    <row r="425" spans="18:18" ht="15.75" customHeight="1">
      <c r="R425" s="30"/>
    </row>
    <row r="426" spans="18:18" ht="15.75" customHeight="1">
      <c r="R426" s="30"/>
    </row>
    <row r="427" spans="18:18" ht="15.75" customHeight="1">
      <c r="R427" s="30"/>
    </row>
    <row r="428" spans="18:18" ht="15.75" customHeight="1">
      <c r="R428" s="30"/>
    </row>
    <row r="429" spans="18:18" ht="15.75" customHeight="1">
      <c r="R429" s="30"/>
    </row>
    <row r="430" spans="18:18" ht="15.75" customHeight="1">
      <c r="R430" s="30"/>
    </row>
    <row r="431" spans="18:18" ht="15.75" customHeight="1">
      <c r="R431" s="30"/>
    </row>
    <row r="432" spans="18:18" ht="15.75" customHeight="1">
      <c r="R432" s="30"/>
    </row>
    <row r="433" spans="18:18" ht="15.75" customHeight="1">
      <c r="R433" s="30"/>
    </row>
    <row r="434" spans="18:18" ht="15.75" customHeight="1">
      <c r="R434" s="30"/>
    </row>
    <row r="435" spans="18:18" ht="15.75" customHeight="1">
      <c r="R435" s="30"/>
    </row>
    <row r="436" spans="18:18" ht="15.75" customHeight="1">
      <c r="R436" s="30"/>
    </row>
    <row r="437" spans="18:18" ht="15.75" customHeight="1">
      <c r="R437" s="30"/>
    </row>
    <row r="438" spans="18:18" ht="15.75" customHeight="1">
      <c r="R438" s="30"/>
    </row>
    <row r="439" spans="18:18" ht="15.75" customHeight="1">
      <c r="R439" s="30"/>
    </row>
    <row r="440" spans="18:18" ht="15.75" customHeight="1">
      <c r="R440" s="30"/>
    </row>
    <row r="441" spans="18:18" ht="15.75" customHeight="1">
      <c r="R441" s="30"/>
    </row>
    <row r="442" spans="18:18" ht="15.75" customHeight="1">
      <c r="R442" s="30"/>
    </row>
    <row r="443" spans="18:18" ht="15.75" customHeight="1">
      <c r="R443" s="30"/>
    </row>
    <row r="444" spans="18:18" ht="15.75" customHeight="1">
      <c r="R444" s="30"/>
    </row>
    <row r="445" spans="18:18" ht="15.75" customHeight="1">
      <c r="R445" s="30"/>
    </row>
    <row r="446" spans="18:18" ht="15.75" customHeight="1">
      <c r="R446" s="30"/>
    </row>
    <row r="447" spans="18:18" ht="15.75" customHeight="1">
      <c r="R447" s="30"/>
    </row>
    <row r="448" spans="18:18" ht="15.75" customHeight="1">
      <c r="R448" s="30"/>
    </row>
    <row r="449" spans="18:18" ht="15.75" customHeight="1">
      <c r="R449" s="30"/>
    </row>
    <row r="450" spans="18:18" ht="15.75" customHeight="1">
      <c r="R450" s="30"/>
    </row>
    <row r="451" spans="18:18" ht="15.75" customHeight="1">
      <c r="R451" s="30"/>
    </row>
    <row r="452" spans="18:18" ht="15.75" customHeight="1">
      <c r="R452" s="30"/>
    </row>
    <row r="453" spans="18:18" ht="15.75" customHeight="1">
      <c r="R453" s="30"/>
    </row>
    <row r="454" spans="18:18" ht="15.75" customHeight="1">
      <c r="R454" s="30"/>
    </row>
    <row r="455" spans="18:18" ht="15.75" customHeight="1">
      <c r="R455" s="30"/>
    </row>
    <row r="456" spans="18:18" ht="15.75" customHeight="1">
      <c r="R456" s="30"/>
    </row>
    <row r="457" spans="18:18" ht="15.75" customHeight="1">
      <c r="R457" s="30"/>
    </row>
    <row r="458" spans="18:18" ht="15.75" customHeight="1">
      <c r="R458" s="30"/>
    </row>
    <row r="459" spans="18:18" ht="15.75" customHeight="1">
      <c r="R459" s="30"/>
    </row>
    <row r="460" spans="18:18" ht="15.75" customHeight="1">
      <c r="R460" s="30"/>
    </row>
    <row r="461" spans="18:18" ht="15.75" customHeight="1">
      <c r="R461" s="30"/>
    </row>
    <row r="462" spans="18:18" ht="15.75" customHeight="1">
      <c r="R462" s="30"/>
    </row>
    <row r="463" spans="18:18" ht="15.75" customHeight="1">
      <c r="R463" s="30"/>
    </row>
    <row r="464" spans="18:18" ht="15.75" customHeight="1">
      <c r="R464" s="30"/>
    </row>
    <row r="465" spans="18:18" ht="15.75" customHeight="1">
      <c r="R465" s="30"/>
    </row>
    <row r="466" spans="18:18" ht="15.75" customHeight="1">
      <c r="R466" s="30"/>
    </row>
    <row r="467" spans="18:18" ht="15.75" customHeight="1">
      <c r="R467" s="30"/>
    </row>
    <row r="468" spans="18:18" ht="15.75" customHeight="1">
      <c r="R468" s="30"/>
    </row>
    <row r="469" spans="18:18" ht="15.75" customHeight="1">
      <c r="R469" s="30"/>
    </row>
    <row r="470" spans="18:18" ht="15.75" customHeight="1">
      <c r="R470" s="30"/>
    </row>
    <row r="471" spans="18:18" ht="15.75" customHeight="1">
      <c r="R471" s="30"/>
    </row>
    <row r="472" spans="18:18" ht="15.75" customHeight="1">
      <c r="R472" s="30"/>
    </row>
    <row r="473" spans="18:18" ht="15.75" customHeight="1">
      <c r="R473" s="30"/>
    </row>
    <row r="474" spans="18:18" ht="15.75" customHeight="1">
      <c r="R474" s="30"/>
    </row>
    <row r="475" spans="18:18" ht="15.75" customHeight="1">
      <c r="R475" s="30"/>
    </row>
    <row r="476" spans="18:18" ht="15.75" customHeight="1">
      <c r="R476" s="30"/>
    </row>
    <row r="477" spans="18:18" ht="15.75" customHeight="1">
      <c r="R477" s="30"/>
    </row>
    <row r="478" spans="18:18" ht="15.75" customHeight="1">
      <c r="R478" s="30"/>
    </row>
    <row r="479" spans="18:18" ht="15.75" customHeight="1">
      <c r="R479" s="30"/>
    </row>
    <row r="480" spans="18:18" ht="15.75" customHeight="1">
      <c r="R480" s="30"/>
    </row>
    <row r="481" spans="18:18" ht="15.75" customHeight="1">
      <c r="R481" s="30"/>
    </row>
    <row r="482" spans="18:18" ht="15.75" customHeight="1">
      <c r="R482" s="30"/>
    </row>
    <row r="483" spans="18:18" ht="15.75" customHeight="1">
      <c r="R483" s="30"/>
    </row>
    <row r="484" spans="18:18" ht="15.75" customHeight="1">
      <c r="R484" s="30"/>
    </row>
    <row r="485" spans="18:18" ht="15.75" customHeight="1">
      <c r="R485" s="30"/>
    </row>
    <row r="486" spans="18:18" ht="15.75" customHeight="1">
      <c r="R486" s="30"/>
    </row>
    <row r="487" spans="18:18" ht="15.75" customHeight="1">
      <c r="R487" s="30"/>
    </row>
    <row r="488" spans="18:18" ht="15.75" customHeight="1">
      <c r="R488" s="30"/>
    </row>
    <row r="489" spans="18:18" ht="15.75" customHeight="1">
      <c r="R489" s="30"/>
    </row>
    <row r="490" spans="18:18" ht="15.75" customHeight="1">
      <c r="R490" s="30"/>
    </row>
    <row r="491" spans="18:18" ht="15.75" customHeight="1">
      <c r="R491" s="30"/>
    </row>
    <row r="492" spans="18:18" ht="15.75" customHeight="1">
      <c r="R492" s="30"/>
    </row>
    <row r="493" spans="18:18" ht="15.75" customHeight="1">
      <c r="R493" s="30"/>
    </row>
    <row r="494" spans="18:18" ht="15.75" customHeight="1">
      <c r="R494" s="30"/>
    </row>
    <row r="495" spans="18:18" ht="15.75" customHeight="1">
      <c r="R495" s="30"/>
    </row>
    <row r="496" spans="18:18" ht="15.75" customHeight="1">
      <c r="R496" s="30"/>
    </row>
    <row r="497" spans="18:18" ht="15.75" customHeight="1">
      <c r="R497" s="30"/>
    </row>
    <row r="498" spans="18:18" ht="15.75" customHeight="1">
      <c r="R498" s="30"/>
    </row>
    <row r="499" spans="18:18" ht="15.75" customHeight="1">
      <c r="R499" s="30"/>
    </row>
    <row r="500" spans="18:18" ht="15.75" customHeight="1">
      <c r="R500" s="30"/>
    </row>
    <row r="501" spans="18:18" ht="15.75" customHeight="1">
      <c r="R501" s="30"/>
    </row>
    <row r="502" spans="18:18" ht="15.75" customHeight="1">
      <c r="R502" s="30"/>
    </row>
    <row r="503" spans="18:18" ht="15.75" customHeight="1">
      <c r="R503" s="30"/>
    </row>
    <row r="504" spans="18:18" ht="15.75" customHeight="1">
      <c r="R504" s="30"/>
    </row>
    <row r="505" spans="18:18" ht="15.75" customHeight="1">
      <c r="R505" s="30"/>
    </row>
    <row r="506" spans="18:18" ht="15.75" customHeight="1">
      <c r="R506" s="30"/>
    </row>
    <row r="507" spans="18:18" ht="15.75" customHeight="1">
      <c r="R507" s="30"/>
    </row>
    <row r="508" spans="18:18" ht="15.75" customHeight="1">
      <c r="R508" s="30"/>
    </row>
    <row r="509" spans="18:18" ht="15.75" customHeight="1">
      <c r="R509" s="30"/>
    </row>
    <row r="510" spans="18:18" ht="15.75" customHeight="1">
      <c r="R510" s="30"/>
    </row>
    <row r="511" spans="18:18" ht="15.75" customHeight="1">
      <c r="R511" s="30"/>
    </row>
    <row r="512" spans="18:18" ht="15.75" customHeight="1">
      <c r="R512" s="30"/>
    </row>
    <row r="513" spans="18:18" ht="15.75" customHeight="1">
      <c r="R513" s="30"/>
    </row>
    <row r="514" spans="18:18" ht="15.75" customHeight="1">
      <c r="R514" s="30"/>
    </row>
    <row r="515" spans="18:18" ht="15.75" customHeight="1">
      <c r="R515" s="30"/>
    </row>
    <row r="516" spans="18:18" ht="15.75" customHeight="1">
      <c r="R516" s="30"/>
    </row>
    <row r="517" spans="18:18" ht="15.75" customHeight="1">
      <c r="R517" s="30"/>
    </row>
    <row r="518" spans="18:18" ht="15.75" customHeight="1">
      <c r="R518" s="30"/>
    </row>
    <row r="519" spans="18:18" ht="15.75" customHeight="1">
      <c r="R519" s="30"/>
    </row>
    <row r="520" spans="18:18" ht="15.75" customHeight="1">
      <c r="R520" s="30"/>
    </row>
    <row r="521" spans="18:18" ht="15.75" customHeight="1">
      <c r="R521" s="30"/>
    </row>
    <row r="522" spans="18:18" ht="15.75" customHeight="1">
      <c r="R522" s="30"/>
    </row>
    <row r="523" spans="18:18" ht="15.75" customHeight="1">
      <c r="R523" s="30"/>
    </row>
    <row r="524" spans="18:18" ht="15.75" customHeight="1">
      <c r="R524" s="30"/>
    </row>
    <row r="525" spans="18:18" ht="15.75" customHeight="1">
      <c r="R525" s="30"/>
    </row>
    <row r="526" spans="18:18" ht="15.75" customHeight="1">
      <c r="R526" s="30"/>
    </row>
    <row r="527" spans="18:18" ht="15.75" customHeight="1">
      <c r="R527" s="30"/>
    </row>
    <row r="528" spans="18:18" ht="15.75" customHeight="1">
      <c r="R528" s="30"/>
    </row>
    <row r="529" spans="18:18" ht="15.75" customHeight="1">
      <c r="R529" s="30"/>
    </row>
    <row r="530" spans="18:18" ht="15.75" customHeight="1">
      <c r="R530" s="30"/>
    </row>
    <row r="531" spans="18:18" ht="15.75" customHeight="1">
      <c r="R531" s="30"/>
    </row>
    <row r="532" spans="18:18" ht="15.75" customHeight="1">
      <c r="R532" s="30"/>
    </row>
    <row r="533" spans="18:18" ht="15.75" customHeight="1">
      <c r="R533" s="30"/>
    </row>
    <row r="534" spans="18:18" ht="15.75" customHeight="1">
      <c r="R534" s="30"/>
    </row>
    <row r="535" spans="18:18" ht="15.75" customHeight="1">
      <c r="R535" s="30"/>
    </row>
    <row r="536" spans="18:18" ht="15.75" customHeight="1">
      <c r="R536" s="30"/>
    </row>
    <row r="537" spans="18:18" ht="15.75" customHeight="1">
      <c r="R537" s="30"/>
    </row>
    <row r="538" spans="18:18" ht="15.75" customHeight="1">
      <c r="R538" s="30"/>
    </row>
    <row r="539" spans="18:18" ht="15.75" customHeight="1">
      <c r="R539" s="30"/>
    </row>
    <row r="540" spans="18:18" ht="15.75" customHeight="1">
      <c r="R540" s="30"/>
    </row>
    <row r="541" spans="18:18" ht="15.75" customHeight="1">
      <c r="R541" s="30"/>
    </row>
    <row r="542" spans="18:18" ht="15.75" customHeight="1">
      <c r="R542" s="30"/>
    </row>
    <row r="543" spans="18:18" ht="15.75" customHeight="1">
      <c r="R543" s="30"/>
    </row>
    <row r="544" spans="18:18" ht="15.75" customHeight="1">
      <c r="R544" s="30"/>
    </row>
    <row r="545" spans="18:18" ht="15.75" customHeight="1">
      <c r="R545" s="30"/>
    </row>
    <row r="546" spans="18:18" ht="15.75" customHeight="1">
      <c r="R546" s="30"/>
    </row>
    <row r="547" spans="18:18" ht="15.75" customHeight="1">
      <c r="R547" s="30"/>
    </row>
    <row r="548" spans="18:18" ht="15.75" customHeight="1">
      <c r="R548" s="30"/>
    </row>
    <row r="549" spans="18:18" ht="15.75" customHeight="1">
      <c r="R549" s="30"/>
    </row>
    <row r="550" spans="18:18" ht="15.75" customHeight="1">
      <c r="R550" s="30"/>
    </row>
    <row r="551" spans="18:18" ht="15.75" customHeight="1">
      <c r="R551" s="30"/>
    </row>
    <row r="552" spans="18:18" ht="15.75" customHeight="1">
      <c r="R552" s="30"/>
    </row>
    <row r="553" spans="18:18" ht="15.75" customHeight="1">
      <c r="R553" s="30"/>
    </row>
    <row r="554" spans="18:18" ht="15.75" customHeight="1">
      <c r="R554" s="30"/>
    </row>
    <row r="555" spans="18:18" ht="15.75" customHeight="1">
      <c r="R555" s="30"/>
    </row>
    <row r="556" spans="18:18" ht="15.75" customHeight="1">
      <c r="R556" s="30"/>
    </row>
    <row r="557" spans="18:18" ht="15.75" customHeight="1">
      <c r="R557" s="30"/>
    </row>
    <row r="558" spans="18:18" ht="15.75" customHeight="1">
      <c r="R558" s="30"/>
    </row>
    <row r="559" spans="18:18" ht="15.75" customHeight="1">
      <c r="R559" s="30"/>
    </row>
    <row r="560" spans="18:18" ht="15.75" customHeight="1">
      <c r="R560" s="30"/>
    </row>
    <row r="561" spans="18:18" ht="15.75" customHeight="1">
      <c r="R561" s="30"/>
    </row>
    <row r="562" spans="18:18" ht="15.75" customHeight="1">
      <c r="R562" s="30"/>
    </row>
    <row r="563" spans="18:18" ht="15.75" customHeight="1">
      <c r="R563" s="30"/>
    </row>
    <row r="564" spans="18:18" ht="15.75" customHeight="1">
      <c r="R564" s="30"/>
    </row>
    <row r="565" spans="18:18" ht="15.75" customHeight="1">
      <c r="R565" s="30"/>
    </row>
    <row r="566" spans="18:18" ht="15.75" customHeight="1">
      <c r="R566" s="30"/>
    </row>
    <row r="567" spans="18:18" ht="15.75" customHeight="1">
      <c r="R567" s="30"/>
    </row>
    <row r="568" spans="18:18" ht="15.75" customHeight="1">
      <c r="R568" s="30"/>
    </row>
    <row r="569" spans="18:18" ht="15.75" customHeight="1">
      <c r="R569" s="30"/>
    </row>
    <row r="570" spans="18:18" ht="15.75" customHeight="1">
      <c r="R570" s="30"/>
    </row>
    <row r="571" spans="18:18" ht="15.75" customHeight="1">
      <c r="R571" s="30"/>
    </row>
    <row r="572" spans="18:18" ht="15.75" customHeight="1">
      <c r="R572" s="30"/>
    </row>
    <row r="573" spans="18:18" ht="15.75" customHeight="1">
      <c r="R573" s="30"/>
    </row>
    <row r="574" spans="18:18" ht="15.75" customHeight="1">
      <c r="R574" s="30"/>
    </row>
    <row r="575" spans="18:18" ht="15.75" customHeight="1">
      <c r="R575" s="30"/>
    </row>
    <row r="576" spans="18:18" ht="15.75" customHeight="1">
      <c r="R576" s="30"/>
    </row>
    <row r="577" spans="18:18" ht="15.75" customHeight="1">
      <c r="R577" s="30"/>
    </row>
    <row r="578" spans="18:18" ht="15.75" customHeight="1">
      <c r="R578" s="30"/>
    </row>
    <row r="579" spans="18:18" ht="15.75" customHeight="1">
      <c r="R579" s="30"/>
    </row>
    <row r="580" spans="18:18" ht="15.75" customHeight="1">
      <c r="R580" s="30"/>
    </row>
    <row r="581" spans="18:18" ht="15.75" customHeight="1">
      <c r="R581" s="30"/>
    </row>
    <row r="582" spans="18:18" ht="15.75" customHeight="1">
      <c r="R582" s="30"/>
    </row>
    <row r="583" spans="18:18" ht="15.75" customHeight="1">
      <c r="R583" s="30"/>
    </row>
    <row r="584" spans="18:18" ht="15.75" customHeight="1">
      <c r="R584" s="30"/>
    </row>
    <row r="585" spans="18:18" ht="15.75" customHeight="1">
      <c r="R585" s="30"/>
    </row>
    <row r="586" spans="18:18" ht="15.75" customHeight="1">
      <c r="R586" s="30"/>
    </row>
    <row r="587" spans="18:18" ht="15.75" customHeight="1">
      <c r="R587" s="30"/>
    </row>
    <row r="588" spans="18:18" ht="15.75" customHeight="1">
      <c r="R588" s="30"/>
    </row>
    <row r="589" spans="18:18" ht="15.75" customHeight="1">
      <c r="R589" s="30"/>
    </row>
    <row r="590" spans="18:18" ht="15.75" customHeight="1">
      <c r="R590" s="30"/>
    </row>
    <row r="591" spans="18:18" ht="15.75" customHeight="1">
      <c r="R591" s="30"/>
    </row>
    <row r="592" spans="18:18" ht="15.75" customHeight="1">
      <c r="R592" s="30"/>
    </row>
    <row r="593" spans="18:18" ht="15.75" customHeight="1">
      <c r="R593" s="30"/>
    </row>
    <row r="594" spans="18:18" ht="15.75" customHeight="1">
      <c r="R594" s="30"/>
    </row>
    <row r="595" spans="18:18" ht="15.75" customHeight="1">
      <c r="R595" s="30"/>
    </row>
    <row r="596" spans="18:18" ht="15.75" customHeight="1">
      <c r="R596" s="30"/>
    </row>
    <row r="597" spans="18:18" ht="15.75" customHeight="1">
      <c r="R597" s="30"/>
    </row>
    <row r="598" spans="18:18" ht="15.75" customHeight="1">
      <c r="R598" s="30"/>
    </row>
    <row r="599" spans="18:18" ht="15.75" customHeight="1">
      <c r="R599" s="30"/>
    </row>
    <row r="600" spans="18:18" ht="15.75" customHeight="1">
      <c r="R600" s="30"/>
    </row>
    <row r="601" spans="18:18" ht="15.75" customHeight="1">
      <c r="R601" s="30"/>
    </row>
    <row r="602" spans="18:18" ht="15.75" customHeight="1">
      <c r="R602" s="30"/>
    </row>
    <row r="603" spans="18:18" ht="15.75" customHeight="1">
      <c r="R603" s="30"/>
    </row>
    <row r="604" spans="18:18" ht="15.75" customHeight="1">
      <c r="R604" s="30"/>
    </row>
    <row r="605" spans="18:18" ht="15.75" customHeight="1">
      <c r="R605" s="30"/>
    </row>
    <row r="606" spans="18:18" ht="15.75" customHeight="1">
      <c r="R606" s="30"/>
    </row>
    <row r="607" spans="18:18" ht="15.75" customHeight="1">
      <c r="R607" s="30"/>
    </row>
    <row r="608" spans="18:18" ht="15.75" customHeight="1">
      <c r="R608" s="30"/>
    </row>
    <row r="609" spans="18:18" ht="15.75" customHeight="1">
      <c r="R609" s="30"/>
    </row>
    <row r="610" spans="18:18" ht="15.75" customHeight="1">
      <c r="R610" s="30"/>
    </row>
    <row r="611" spans="18:18" ht="15.75" customHeight="1">
      <c r="R611" s="30"/>
    </row>
    <row r="612" spans="18:18" ht="15.75" customHeight="1">
      <c r="R612" s="30"/>
    </row>
    <row r="613" spans="18:18" ht="15.75" customHeight="1">
      <c r="R613" s="30"/>
    </row>
    <row r="614" spans="18:18" ht="15.75" customHeight="1">
      <c r="R614" s="30"/>
    </row>
    <row r="615" spans="18:18" ht="15.75" customHeight="1">
      <c r="R615" s="30"/>
    </row>
    <row r="616" spans="18:18" ht="15.75" customHeight="1">
      <c r="R616" s="30"/>
    </row>
    <row r="617" spans="18:18" ht="15.75" customHeight="1">
      <c r="R617" s="30"/>
    </row>
    <row r="618" spans="18:18" ht="15.75" customHeight="1">
      <c r="R618" s="30"/>
    </row>
    <row r="619" spans="18:18" ht="15.75" customHeight="1">
      <c r="R619" s="30"/>
    </row>
    <row r="620" spans="18:18" ht="15.75" customHeight="1">
      <c r="R620" s="30"/>
    </row>
    <row r="621" spans="18:18" ht="15.75" customHeight="1">
      <c r="R621" s="30"/>
    </row>
    <row r="622" spans="18:18" ht="15.75" customHeight="1">
      <c r="R622" s="30"/>
    </row>
    <row r="623" spans="18:18" ht="15.75" customHeight="1">
      <c r="R623" s="30"/>
    </row>
    <row r="624" spans="18:18" ht="15.75" customHeight="1">
      <c r="R624" s="30"/>
    </row>
    <row r="625" spans="18:18" ht="15.75" customHeight="1">
      <c r="R625" s="30"/>
    </row>
    <row r="626" spans="18:18" ht="15.75" customHeight="1">
      <c r="R626" s="30"/>
    </row>
    <row r="627" spans="18:18" ht="15.75" customHeight="1">
      <c r="R627" s="30"/>
    </row>
    <row r="628" spans="18:18" ht="15.75" customHeight="1">
      <c r="R628" s="30"/>
    </row>
    <row r="629" spans="18:18" ht="15.75" customHeight="1">
      <c r="R629" s="30"/>
    </row>
    <row r="630" spans="18:18" ht="15.75" customHeight="1">
      <c r="R630" s="30"/>
    </row>
    <row r="631" spans="18:18" ht="15.75" customHeight="1">
      <c r="R631" s="30"/>
    </row>
    <row r="632" spans="18:18" ht="15.75" customHeight="1">
      <c r="R632" s="30"/>
    </row>
    <row r="633" spans="18:18" ht="15.75" customHeight="1">
      <c r="R633" s="30"/>
    </row>
    <row r="634" spans="18:18" ht="15.75" customHeight="1">
      <c r="R634" s="30"/>
    </row>
    <row r="635" spans="18:18" ht="15.75" customHeight="1">
      <c r="R635" s="30"/>
    </row>
    <row r="636" spans="18:18" ht="15.75" customHeight="1">
      <c r="R636" s="30"/>
    </row>
    <row r="637" spans="18:18" ht="15.75" customHeight="1">
      <c r="R637" s="30"/>
    </row>
    <row r="638" spans="18:18" ht="15.75" customHeight="1">
      <c r="R638" s="30"/>
    </row>
    <row r="639" spans="18:18" ht="15.75" customHeight="1">
      <c r="R639" s="30"/>
    </row>
    <row r="640" spans="18:18" ht="15.75" customHeight="1">
      <c r="R640" s="30"/>
    </row>
    <row r="641" spans="18:18" ht="15.75" customHeight="1">
      <c r="R641" s="30"/>
    </row>
    <row r="642" spans="18:18" ht="15.75" customHeight="1">
      <c r="R642" s="30"/>
    </row>
    <row r="643" spans="18:18" ht="15.75" customHeight="1">
      <c r="R643" s="30"/>
    </row>
    <row r="644" spans="18:18" ht="15.75" customHeight="1">
      <c r="R644" s="30"/>
    </row>
    <row r="645" spans="18:18" ht="15.75" customHeight="1">
      <c r="R645" s="30"/>
    </row>
    <row r="646" spans="18:18" ht="15.75" customHeight="1">
      <c r="R646" s="30"/>
    </row>
    <row r="647" spans="18:18" ht="15.75" customHeight="1">
      <c r="R647" s="30"/>
    </row>
    <row r="648" spans="18:18" ht="15.75" customHeight="1">
      <c r="R648" s="30"/>
    </row>
    <row r="649" spans="18:18" ht="15.75" customHeight="1">
      <c r="R649" s="30"/>
    </row>
    <row r="650" spans="18:18" ht="15.75" customHeight="1">
      <c r="R650" s="30"/>
    </row>
    <row r="651" spans="18:18" ht="15.75" customHeight="1">
      <c r="R651" s="30"/>
    </row>
    <row r="652" spans="18:18" ht="15.75" customHeight="1">
      <c r="R652" s="30"/>
    </row>
    <row r="653" spans="18:18" ht="15.75" customHeight="1">
      <c r="R653" s="30"/>
    </row>
    <row r="654" spans="18:18" ht="15.75" customHeight="1">
      <c r="R654" s="30"/>
    </row>
    <row r="655" spans="18:18" ht="15.75" customHeight="1">
      <c r="R655" s="30"/>
    </row>
    <row r="656" spans="18:18" ht="15.75" customHeight="1">
      <c r="R656" s="30"/>
    </row>
    <row r="657" spans="18:18" ht="15.75" customHeight="1">
      <c r="R657" s="30"/>
    </row>
    <row r="658" spans="18:18" ht="15.75" customHeight="1">
      <c r="R658" s="30"/>
    </row>
    <row r="659" spans="18:18" ht="15.75" customHeight="1">
      <c r="R659" s="30"/>
    </row>
    <row r="660" spans="18:18" ht="15.75" customHeight="1">
      <c r="R660" s="30"/>
    </row>
    <row r="661" spans="18:18" ht="15.75" customHeight="1">
      <c r="R661" s="30"/>
    </row>
    <row r="662" spans="18:18" ht="15.75" customHeight="1">
      <c r="R662" s="30"/>
    </row>
    <row r="663" spans="18:18" ht="15.75" customHeight="1">
      <c r="R663" s="30"/>
    </row>
    <row r="664" spans="18:18" ht="15.75" customHeight="1">
      <c r="R664" s="30"/>
    </row>
    <row r="665" spans="18:18" ht="15.75" customHeight="1">
      <c r="R665" s="30"/>
    </row>
    <row r="666" spans="18:18" ht="15.75" customHeight="1">
      <c r="R666" s="30"/>
    </row>
    <row r="667" spans="18:18" ht="15.75" customHeight="1">
      <c r="R667" s="30"/>
    </row>
    <row r="668" spans="18:18" ht="15.75" customHeight="1">
      <c r="R668" s="30"/>
    </row>
    <row r="669" spans="18:18" ht="15.75" customHeight="1">
      <c r="R669" s="30"/>
    </row>
    <row r="670" spans="18:18" ht="15.75" customHeight="1">
      <c r="R670" s="30"/>
    </row>
    <row r="671" spans="18:18" ht="15.75" customHeight="1">
      <c r="R671" s="30"/>
    </row>
    <row r="672" spans="18:18" ht="15.75" customHeight="1">
      <c r="R672" s="30"/>
    </row>
    <row r="673" spans="18:18" ht="15.75" customHeight="1">
      <c r="R673" s="30"/>
    </row>
    <row r="674" spans="18:18" ht="15.75" customHeight="1">
      <c r="R674" s="30"/>
    </row>
    <row r="675" spans="18:18" ht="15.75" customHeight="1">
      <c r="R675" s="30"/>
    </row>
    <row r="676" spans="18:18" ht="15.75" customHeight="1">
      <c r="R676" s="30"/>
    </row>
    <row r="677" spans="18:18" ht="15.75" customHeight="1">
      <c r="R677" s="30"/>
    </row>
    <row r="678" spans="18:18" ht="15.75" customHeight="1">
      <c r="R678" s="30"/>
    </row>
    <row r="679" spans="18:18" ht="15.75" customHeight="1">
      <c r="R679" s="30"/>
    </row>
    <row r="680" spans="18:18" ht="15.75" customHeight="1">
      <c r="R680" s="30"/>
    </row>
    <row r="681" spans="18:18" ht="15.75" customHeight="1">
      <c r="R681" s="30"/>
    </row>
    <row r="682" spans="18:18" ht="15.75" customHeight="1">
      <c r="R682" s="30"/>
    </row>
    <row r="683" spans="18:18" ht="15.75" customHeight="1">
      <c r="R683" s="30"/>
    </row>
    <row r="684" spans="18:18" ht="15.75" customHeight="1">
      <c r="R684" s="30"/>
    </row>
    <row r="685" spans="18:18" ht="15.75" customHeight="1">
      <c r="R685" s="30"/>
    </row>
    <row r="686" spans="18:18" ht="15.75" customHeight="1">
      <c r="R686" s="30"/>
    </row>
    <row r="687" spans="18:18" ht="15.75" customHeight="1">
      <c r="R687" s="30"/>
    </row>
    <row r="688" spans="18:18" ht="15.75" customHeight="1">
      <c r="R688" s="30"/>
    </row>
    <row r="689" spans="18:18" ht="15.75" customHeight="1">
      <c r="R689" s="30"/>
    </row>
    <row r="690" spans="18:18" ht="15.75" customHeight="1">
      <c r="R690" s="30"/>
    </row>
    <row r="691" spans="18:18" ht="15.75" customHeight="1">
      <c r="R691" s="30"/>
    </row>
    <row r="692" spans="18:18" ht="15.75" customHeight="1">
      <c r="R692" s="30"/>
    </row>
    <row r="693" spans="18:18" ht="15.75" customHeight="1">
      <c r="R693" s="30"/>
    </row>
    <row r="694" spans="18:18" ht="15.75" customHeight="1">
      <c r="R694" s="30"/>
    </row>
    <row r="695" spans="18:18" ht="15.75" customHeight="1">
      <c r="R695" s="30"/>
    </row>
    <row r="696" spans="18:18" ht="15.75" customHeight="1">
      <c r="R696" s="30"/>
    </row>
    <row r="697" spans="18:18" ht="15.75" customHeight="1">
      <c r="R697" s="30"/>
    </row>
    <row r="698" spans="18:18" ht="15.75" customHeight="1">
      <c r="R698" s="30"/>
    </row>
    <row r="699" spans="18:18" ht="15.75" customHeight="1">
      <c r="R699" s="30"/>
    </row>
    <row r="700" spans="18:18" ht="15.75" customHeight="1">
      <c r="R700" s="30"/>
    </row>
    <row r="701" spans="18:18" ht="15.75" customHeight="1">
      <c r="R701" s="30"/>
    </row>
    <row r="702" spans="18:18" ht="15.75" customHeight="1">
      <c r="R702" s="30"/>
    </row>
    <row r="703" spans="18:18" ht="15.75" customHeight="1">
      <c r="R703" s="30"/>
    </row>
    <row r="704" spans="18:18" ht="15.75" customHeight="1">
      <c r="R704" s="30"/>
    </row>
    <row r="705" spans="18:18" ht="15.75" customHeight="1">
      <c r="R705" s="30"/>
    </row>
    <row r="706" spans="18:18" ht="15.75" customHeight="1">
      <c r="R706" s="30"/>
    </row>
    <row r="707" spans="18:18" ht="15.75" customHeight="1">
      <c r="R707" s="30"/>
    </row>
    <row r="708" spans="18:18" ht="15.75" customHeight="1">
      <c r="R708" s="30"/>
    </row>
    <row r="709" spans="18:18" ht="15.75" customHeight="1">
      <c r="R709" s="30"/>
    </row>
    <row r="710" spans="18:18" ht="15.75" customHeight="1">
      <c r="R710" s="30"/>
    </row>
    <row r="711" spans="18:18" ht="15.75" customHeight="1">
      <c r="R711" s="30"/>
    </row>
    <row r="712" spans="18:18" ht="15.75" customHeight="1">
      <c r="R712" s="30"/>
    </row>
    <row r="713" spans="18:18" ht="15.75" customHeight="1">
      <c r="R713" s="30"/>
    </row>
    <row r="714" spans="18:18" ht="15.75" customHeight="1">
      <c r="R714" s="30"/>
    </row>
    <row r="715" spans="18:18" ht="15.75" customHeight="1">
      <c r="R715" s="30"/>
    </row>
    <row r="716" spans="18:18" ht="15.75" customHeight="1">
      <c r="R716" s="30"/>
    </row>
    <row r="717" spans="18:18" ht="15.75" customHeight="1">
      <c r="R717" s="30"/>
    </row>
    <row r="718" spans="18:18" ht="15.75" customHeight="1">
      <c r="R718" s="30"/>
    </row>
    <row r="719" spans="18:18" ht="15.75" customHeight="1">
      <c r="R719" s="30"/>
    </row>
    <row r="720" spans="18:18" ht="15.75" customHeight="1">
      <c r="R720" s="30"/>
    </row>
    <row r="721" spans="18:18" ht="15.75" customHeight="1">
      <c r="R721" s="30"/>
    </row>
    <row r="722" spans="18:18" ht="15.75" customHeight="1">
      <c r="R722" s="30"/>
    </row>
    <row r="723" spans="18:18" ht="15.75" customHeight="1">
      <c r="R723" s="30"/>
    </row>
    <row r="724" spans="18:18" ht="15.75" customHeight="1">
      <c r="R724" s="30"/>
    </row>
    <row r="725" spans="18:18" ht="15.75" customHeight="1">
      <c r="R725" s="30"/>
    </row>
    <row r="726" spans="18:18" ht="15.75" customHeight="1">
      <c r="R726" s="30"/>
    </row>
    <row r="727" spans="18:18" ht="15.75" customHeight="1">
      <c r="R727" s="30"/>
    </row>
    <row r="728" spans="18:18" ht="15.75" customHeight="1">
      <c r="R728" s="30"/>
    </row>
    <row r="729" spans="18:18" ht="15.75" customHeight="1">
      <c r="R729" s="30"/>
    </row>
    <row r="730" spans="18:18" ht="15.75" customHeight="1">
      <c r="R730" s="30"/>
    </row>
    <row r="731" spans="18:18" ht="15.75" customHeight="1">
      <c r="R731" s="30"/>
    </row>
    <row r="732" spans="18:18" ht="15.75" customHeight="1">
      <c r="R732" s="30"/>
    </row>
    <row r="733" spans="18:18" ht="15.75" customHeight="1">
      <c r="R733" s="30"/>
    </row>
    <row r="734" spans="18:18" ht="15.75" customHeight="1">
      <c r="R734" s="30"/>
    </row>
    <row r="735" spans="18:18" ht="15.75" customHeight="1">
      <c r="R735" s="30"/>
    </row>
    <row r="736" spans="18:18" ht="15.75" customHeight="1">
      <c r="R736" s="30"/>
    </row>
    <row r="737" spans="18:18" ht="15.75" customHeight="1">
      <c r="R737" s="30"/>
    </row>
    <row r="738" spans="18:18" ht="15.75" customHeight="1">
      <c r="R738" s="30"/>
    </row>
    <row r="739" spans="18:18" ht="15.75" customHeight="1">
      <c r="R739" s="30"/>
    </row>
    <row r="740" spans="18:18" ht="15.75" customHeight="1">
      <c r="R740" s="30"/>
    </row>
    <row r="741" spans="18:18" ht="15.75" customHeight="1">
      <c r="R741" s="30"/>
    </row>
    <row r="742" spans="18:18" ht="15.75" customHeight="1">
      <c r="R742" s="30"/>
    </row>
    <row r="743" spans="18:18" ht="15.75" customHeight="1">
      <c r="R743" s="30"/>
    </row>
    <row r="744" spans="18:18" ht="15.75" customHeight="1">
      <c r="R744" s="30"/>
    </row>
    <row r="745" spans="18:18" ht="15.75" customHeight="1">
      <c r="R745" s="30"/>
    </row>
    <row r="746" spans="18:18" ht="15.75" customHeight="1">
      <c r="R746" s="30"/>
    </row>
    <row r="747" spans="18:18" ht="15.75" customHeight="1">
      <c r="R747" s="30"/>
    </row>
    <row r="748" spans="18:18" ht="15.75" customHeight="1">
      <c r="R748" s="30"/>
    </row>
    <row r="749" spans="18:18" ht="15.75" customHeight="1">
      <c r="R749" s="30"/>
    </row>
    <row r="750" spans="18:18" ht="15.75" customHeight="1">
      <c r="R750" s="30"/>
    </row>
    <row r="751" spans="18:18" ht="15.75" customHeight="1">
      <c r="R751" s="30"/>
    </row>
    <row r="752" spans="18:18" ht="15.75" customHeight="1">
      <c r="R752" s="30"/>
    </row>
    <row r="753" spans="18:18" ht="15.75" customHeight="1">
      <c r="R753" s="30"/>
    </row>
    <row r="754" spans="18:18" ht="15.75" customHeight="1">
      <c r="R754" s="30"/>
    </row>
    <row r="755" spans="18:18" ht="15.75" customHeight="1">
      <c r="R755" s="30"/>
    </row>
    <row r="756" spans="18:18" ht="15.75" customHeight="1">
      <c r="R756" s="30"/>
    </row>
    <row r="757" spans="18:18" ht="15.75" customHeight="1">
      <c r="R757" s="30"/>
    </row>
    <row r="758" spans="18:18" ht="15.75" customHeight="1">
      <c r="R758" s="30"/>
    </row>
    <row r="759" spans="18:18" ht="15.75" customHeight="1">
      <c r="R759" s="30"/>
    </row>
    <row r="760" spans="18:18" ht="15.75" customHeight="1">
      <c r="R760" s="30"/>
    </row>
    <row r="761" spans="18:18" ht="15.75" customHeight="1">
      <c r="R761" s="30"/>
    </row>
    <row r="762" spans="18:18" ht="15.75" customHeight="1">
      <c r="R762" s="30"/>
    </row>
    <row r="763" spans="18:18" ht="15.75" customHeight="1">
      <c r="R763" s="30"/>
    </row>
    <row r="764" spans="18:18" ht="15.75" customHeight="1">
      <c r="R764" s="30"/>
    </row>
    <row r="765" spans="18:18" ht="15.75" customHeight="1">
      <c r="R765" s="30"/>
    </row>
    <row r="766" spans="18:18" ht="15.75" customHeight="1">
      <c r="R766" s="30"/>
    </row>
    <row r="767" spans="18:18" ht="15.75" customHeight="1">
      <c r="R767" s="30"/>
    </row>
    <row r="768" spans="18:18" ht="15.75" customHeight="1">
      <c r="R768" s="30"/>
    </row>
    <row r="769" spans="18:18" ht="15.75" customHeight="1">
      <c r="R769" s="30"/>
    </row>
    <row r="770" spans="18:18" ht="15.75" customHeight="1">
      <c r="R770" s="30"/>
    </row>
    <row r="771" spans="18:18" ht="15.75" customHeight="1">
      <c r="R771" s="30"/>
    </row>
    <row r="772" spans="18:18" ht="15.75" customHeight="1">
      <c r="R772" s="30"/>
    </row>
    <row r="773" spans="18:18" ht="15.75" customHeight="1">
      <c r="R773" s="30"/>
    </row>
    <row r="774" spans="18:18" ht="15.75" customHeight="1">
      <c r="R774" s="30"/>
    </row>
    <row r="775" spans="18:18" ht="15.75" customHeight="1">
      <c r="R775" s="30"/>
    </row>
    <row r="776" spans="18:18" ht="15.75" customHeight="1">
      <c r="R776" s="30"/>
    </row>
    <row r="777" spans="18:18" ht="15.75" customHeight="1">
      <c r="R777" s="30"/>
    </row>
    <row r="778" spans="18:18" ht="15.75" customHeight="1">
      <c r="R778" s="30"/>
    </row>
    <row r="779" spans="18:18" ht="15.75" customHeight="1">
      <c r="R779" s="30"/>
    </row>
    <row r="780" spans="18:18" ht="15.75" customHeight="1">
      <c r="R780" s="30"/>
    </row>
    <row r="781" spans="18:18" ht="15.75" customHeight="1">
      <c r="R781" s="30"/>
    </row>
    <row r="782" spans="18:18" ht="15.75" customHeight="1">
      <c r="R782" s="30"/>
    </row>
    <row r="783" spans="18:18" ht="15.75" customHeight="1">
      <c r="R783" s="30"/>
    </row>
    <row r="784" spans="18:18" ht="15.75" customHeight="1">
      <c r="R784" s="30"/>
    </row>
    <row r="785" spans="18:18" ht="15.75" customHeight="1">
      <c r="R785" s="30"/>
    </row>
    <row r="786" spans="18:18" ht="15.75" customHeight="1">
      <c r="R786" s="30"/>
    </row>
    <row r="787" spans="18:18" ht="15.75" customHeight="1">
      <c r="R787" s="30"/>
    </row>
    <row r="788" spans="18:18" ht="15.75" customHeight="1">
      <c r="R788" s="30"/>
    </row>
    <row r="789" spans="18:18" ht="15.75" customHeight="1">
      <c r="R789" s="30"/>
    </row>
    <row r="790" spans="18:18" ht="15.75" customHeight="1">
      <c r="R790" s="30"/>
    </row>
    <row r="791" spans="18:18" ht="15.75" customHeight="1">
      <c r="R791" s="30"/>
    </row>
    <row r="792" spans="18:18" ht="15.75" customHeight="1">
      <c r="R792" s="30"/>
    </row>
    <row r="793" spans="18:18" ht="15.75" customHeight="1">
      <c r="R793" s="30"/>
    </row>
    <row r="794" spans="18:18" ht="15.75" customHeight="1">
      <c r="R794" s="30"/>
    </row>
    <row r="795" spans="18:18" ht="15.75" customHeight="1">
      <c r="R795" s="30"/>
    </row>
    <row r="796" spans="18:18" ht="15.75" customHeight="1">
      <c r="R796" s="30"/>
    </row>
    <row r="797" spans="18:18" ht="15.75" customHeight="1">
      <c r="R797" s="30"/>
    </row>
    <row r="798" spans="18:18" ht="15.75" customHeight="1">
      <c r="R798" s="30"/>
    </row>
    <row r="799" spans="18:18" ht="15.75" customHeight="1">
      <c r="R799" s="30"/>
    </row>
    <row r="800" spans="18:18" ht="15.75" customHeight="1">
      <c r="R800" s="30"/>
    </row>
    <row r="801" spans="18:18" ht="15.75" customHeight="1">
      <c r="R801" s="30"/>
    </row>
    <row r="802" spans="18:18" ht="15.75" customHeight="1">
      <c r="R802" s="30"/>
    </row>
    <row r="803" spans="18:18" ht="15.75" customHeight="1">
      <c r="R803" s="30"/>
    </row>
    <row r="804" spans="18:18" ht="15.75" customHeight="1">
      <c r="R804" s="30"/>
    </row>
    <row r="805" spans="18:18" ht="15.75" customHeight="1">
      <c r="R805" s="30"/>
    </row>
    <row r="806" spans="18:18" ht="15.75" customHeight="1">
      <c r="R806" s="30"/>
    </row>
    <row r="807" spans="18:18" ht="15.75" customHeight="1">
      <c r="R807" s="30"/>
    </row>
    <row r="808" spans="18:18" ht="15.75" customHeight="1">
      <c r="R808" s="30"/>
    </row>
    <row r="809" spans="18:18" ht="15.75" customHeight="1">
      <c r="R809" s="30"/>
    </row>
    <row r="810" spans="18:18" ht="15.75" customHeight="1">
      <c r="R810" s="30"/>
    </row>
    <row r="811" spans="18:18" ht="15.75" customHeight="1">
      <c r="R811" s="30"/>
    </row>
    <row r="812" spans="18:18" ht="15.75" customHeight="1">
      <c r="R812" s="30"/>
    </row>
    <row r="813" spans="18:18" ht="15.75" customHeight="1">
      <c r="R813" s="30"/>
    </row>
    <row r="814" spans="18:18" ht="15.75" customHeight="1">
      <c r="R814" s="30"/>
    </row>
    <row r="815" spans="18:18" ht="15.75" customHeight="1">
      <c r="R815" s="30"/>
    </row>
    <row r="816" spans="18:18" ht="15.75" customHeight="1">
      <c r="R816" s="30"/>
    </row>
    <row r="817" spans="18:18" ht="15.75" customHeight="1">
      <c r="R817" s="30"/>
    </row>
    <row r="818" spans="18:18" ht="15.75" customHeight="1">
      <c r="R818" s="30"/>
    </row>
    <row r="819" spans="18:18" ht="15.75" customHeight="1">
      <c r="R819" s="30"/>
    </row>
    <row r="820" spans="18:18" ht="15.75" customHeight="1">
      <c r="R820" s="30"/>
    </row>
    <row r="821" spans="18:18" ht="15.75" customHeight="1">
      <c r="R821" s="30"/>
    </row>
    <row r="822" spans="18:18" ht="15.75" customHeight="1">
      <c r="R822" s="30"/>
    </row>
    <row r="823" spans="18:18" ht="15.75" customHeight="1">
      <c r="R823" s="30"/>
    </row>
    <row r="824" spans="18:18" ht="15.75" customHeight="1">
      <c r="R824" s="30"/>
    </row>
    <row r="825" spans="18:18" ht="15.75" customHeight="1">
      <c r="R825" s="30"/>
    </row>
    <row r="826" spans="18:18" ht="15.75" customHeight="1">
      <c r="R826" s="30"/>
    </row>
    <row r="827" spans="18:18" ht="15.75" customHeight="1">
      <c r="R827" s="30"/>
    </row>
    <row r="828" spans="18:18" ht="15.75" customHeight="1">
      <c r="R828" s="30"/>
    </row>
    <row r="829" spans="18:18" ht="15.75" customHeight="1">
      <c r="R829" s="30"/>
    </row>
    <row r="830" spans="18:18" ht="15.75" customHeight="1">
      <c r="R830" s="30"/>
    </row>
    <row r="831" spans="18:18" ht="15.75" customHeight="1">
      <c r="R831" s="30"/>
    </row>
    <row r="832" spans="18:18" ht="15.75" customHeight="1">
      <c r="R832" s="30"/>
    </row>
    <row r="833" spans="18:18" ht="15.75" customHeight="1">
      <c r="R833" s="30"/>
    </row>
    <row r="834" spans="18:18" ht="15.75" customHeight="1">
      <c r="R834" s="30"/>
    </row>
    <row r="835" spans="18:18" ht="15.75" customHeight="1">
      <c r="R835" s="30"/>
    </row>
    <row r="836" spans="18:18" ht="15.75" customHeight="1">
      <c r="R836" s="30"/>
    </row>
    <row r="837" spans="18:18" ht="15.75" customHeight="1">
      <c r="R837" s="30"/>
    </row>
    <row r="838" spans="18:18" ht="15.75" customHeight="1">
      <c r="R838" s="30"/>
    </row>
    <row r="839" spans="18:18" ht="15.75" customHeight="1">
      <c r="R839" s="30"/>
    </row>
    <row r="840" spans="18:18" ht="15.75" customHeight="1">
      <c r="R840" s="30"/>
    </row>
    <row r="841" spans="18:18" ht="15.75" customHeight="1">
      <c r="R841" s="30"/>
    </row>
    <row r="842" spans="18:18" ht="15.75" customHeight="1">
      <c r="R842" s="30"/>
    </row>
    <row r="843" spans="18:18" ht="15.75" customHeight="1">
      <c r="R843" s="30"/>
    </row>
    <row r="844" spans="18:18" ht="15.75" customHeight="1">
      <c r="R844" s="30"/>
    </row>
    <row r="845" spans="18:18" ht="15.75" customHeight="1">
      <c r="R845" s="30"/>
    </row>
    <row r="846" spans="18:18" ht="15.75" customHeight="1">
      <c r="R846" s="30"/>
    </row>
    <row r="847" spans="18:18" ht="15.75" customHeight="1">
      <c r="R847" s="30"/>
    </row>
    <row r="848" spans="18:18" ht="15.75" customHeight="1">
      <c r="R848" s="30"/>
    </row>
    <row r="849" spans="18:18" ht="15.75" customHeight="1">
      <c r="R849" s="30"/>
    </row>
    <row r="850" spans="18:18" ht="15.75" customHeight="1">
      <c r="R850" s="30"/>
    </row>
    <row r="851" spans="18:18" ht="15.75" customHeight="1">
      <c r="R851" s="30"/>
    </row>
    <row r="852" spans="18:18" ht="15.75" customHeight="1">
      <c r="R852" s="30"/>
    </row>
    <row r="853" spans="18:18" ht="15.75" customHeight="1">
      <c r="R853" s="30"/>
    </row>
    <row r="854" spans="18:18" ht="15.75" customHeight="1">
      <c r="R854" s="30"/>
    </row>
    <row r="855" spans="18:18" ht="15.75" customHeight="1">
      <c r="R855" s="30"/>
    </row>
    <row r="856" spans="18:18" ht="15.75" customHeight="1">
      <c r="R856" s="30"/>
    </row>
    <row r="857" spans="18:18" ht="15.75" customHeight="1">
      <c r="R857" s="30"/>
    </row>
    <row r="858" spans="18:18" ht="15.75" customHeight="1">
      <c r="R858" s="30"/>
    </row>
    <row r="859" spans="18:18" ht="15.75" customHeight="1">
      <c r="R859" s="30"/>
    </row>
    <row r="860" spans="18:18" ht="15.75" customHeight="1">
      <c r="R860" s="30"/>
    </row>
    <row r="861" spans="18:18" ht="15.75" customHeight="1">
      <c r="R861" s="30"/>
    </row>
    <row r="862" spans="18:18" ht="15.75" customHeight="1">
      <c r="R862" s="30"/>
    </row>
    <row r="863" spans="18:18" ht="15.75" customHeight="1">
      <c r="R863" s="30"/>
    </row>
    <row r="864" spans="18:18" ht="15.75" customHeight="1">
      <c r="R864" s="30"/>
    </row>
    <row r="865" spans="18:18" ht="15.75" customHeight="1">
      <c r="R865" s="30"/>
    </row>
    <row r="866" spans="18:18" ht="15.75" customHeight="1">
      <c r="R866" s="30"/>
    </row>
    <row r="867" spans="18:18" ht="15.75" customHeight="1">
      <c r="R867" s="30"/>
    </row>
    <row r="868" spans="18:18" ht="15.75" customHeight="1">
      <c r="R868" s="30"/>
    </row>
    <row r="869" spans="18:18" ht="15.75" customHeight="1">
      <c r="R869" s="30"/>
    </row>
    <row r="870" spans="18:18" ht="15.75" customHeight="1">
      <c r="R870" s="30"/>
    </row>
    <row r="871" spans="18:18" ht="15.75" customHeight="1">
      <c r="R871" s="30"/>
    </row>
    <row r="872" spans="18:18" ht="15.75" customHeight="1">
      <c r="R872" s="30"/>
    </row>
    <row r="873" spans="18:18" ht="15.75" customHeight="1">
      <c r="R873" s="30"/>
    </row>
    <row r="874" spans="18:18" ht="15.75" customHeight="1">
      <c r="R874" s="30"/>
    </row>
    <row r="875" spans="18:18" ht="15.75" customHeight="1">
      <c r="R875" s="30"/>
    </row>
    <row r="876" spans="18:18" ht="15.75" customHeight="1">
      <c r="R876" s="30"/>
    </row>
    <row r="877" spans="18:18" ht="15.75" customHeight="1">
      <c r="R877" s="30"/>
    </row>
    <row r="878" spans="18:18" ht="15.75" customHeight="1">
      <c r="R878" s="30"/>
    </row>
    <row r="879" spans="18:18" ht="15.75" customHeight="1">
      <c r="R879" s="30"/>
    </row>
    <row r="880" spans="18:18" ht="15.75" customHeight="1">
      <c r="R880" s="30"/>
    </row>
    <row r="881" spans="18:18" ht="15.75" customHeight="1">
      <c r="R881" s="30"/>
    </row>
    <row r="882" spans="18:18" ht="15.75" customHeight="1">
      <c r="R882" s="30"/>
    </row>
    <row r="883" spans="18:18" ht="15.75" customHeight="1">
      <c r="R883" s="30"/>
    </row>
    <row r="884" spans="18:18" ht="15.75" customHeight="1">
      <c r="R884" s="30"/>
    </row>
    <row r="885" spans="18:18" ht="15.75" customHeight="1">
      <c r="R885" s="30"/>
    </row>
    <row r="886" spans="18:18" ht="15.75" customHeight="1">
      <c r="R886" s="30"/>
    </row>
    <row r="887" spans="18:18" ht="15.75" customHeight="1">
      <c r="R887" s="30"/>
    </row>
    <row r="888" spans="18:18" ht="15.75" customHeight="1">
      <c r="R888" s="30"/>
    </row>
    <row r="889" spans="18:18" ht="15.75" customHeight="1">
      <c r="R889" s="30"/>
    </row>
    <row r="890" spans="18:18" ht="15.75" customHeight="1">
      <c r="R890" s="30"/>
    </row>
    <row r="891" spans="18:18" ht="15.75" customHeight="1">
      <c r="R891" s="30"/>
    </row>
    <row r="892" spans="18:18" ht="15.75" customHeight="1">
      <c r="R892" s="30"/>
    </row>
    <row r="893" spans="18:18" ht="15.75" customHeight="1">
      <c r="R893" s="30"/>
    </row>
    <row r="894" spans="18:18" ht="15.75" customHeight="1">
      <c r="R894" s="30"/>
    </row>
    <row r="895" spans="18:18" ht="15.75" customHeight="1">
      <c r="R895" s="30"/>
    </row>
    <row r="896" spans="18:18" ht="15.75" customHeight="1">
      <c r="R896" s="30"/>
    </row>
    <row r="897" spans="18:18" ht="15.75" customHeight="1">
      <c r="R897" s="30"/>
    </row>
    <row r="898" spans="18:18" ht="15.75" customHeight="1">
      <c r="R898" s="30"/>
    </row>
    <row r="899" spans="18:18" ht="15.75" customHeight="1">
      <c r="R899" s="30"/>
    </row>
    <row r="900" spans="18:18" ht="15.75" customHeight="1">
      <c r="R900" s="30"/>
    </row>
    <row r="901" spans="18:18" ht="15.75" customHeight="1">
      <c r="R901" s="30"/>
    </row>
    <row r="902" spans="18:18" ht="15.75" customHeight="1">
      <c r="R902" s="30"/>
    </row>
    <row r="903" spans="18:18" ht="15.75" customHeight="1">
      <c r="R903" s="30"/>
    </row>
    <row r="904" spans="18:18" ht="15.75" customHeight="1">
      <c r="R904" s="30"/>
    </row>
    <row r="905" spans="18:18" ht="15.75" customHeight="1">
      <c r="R905" s="30"/>
    </row>
    <row r="906" spans="18:18" ht="15.75" customHeight="1">
      <c r="R906" s="30"/>
    </row>
    <row r="907" spans="18:18" ht="15.75" customHeight="1">
      <c r="R907" s="30"/>
    </row>
    <row r="908" spans="18:18" ht="15.75" customHeight="1">
      <c r="R908" s="30"/>
    </row>
    <row r="909" spans="18:18" ht="15.75" customHeight="1">
      <c r="R909" s="30"/>
    </row>
    <row r="910" spans="18:18" ht="15.75" customHeight="1">
      <c r="R910" s="30"/>
    </row>
    <row r="911" spans="18:18" ht="15.75" customHeight="1">
      <c r="R911" s="30"/>
    </row>
    <row r="912" spans="18:18" ht="15.75" customHeight="1">
      <c r="R912" s="30"/>
    </row>
    <row r="913" spans="18:18" ht="15.75" customHeight="1">
      <c r="R913" s="30"/>
    </row>
    <row r="914" spans="18:18" ht="15.75" customHeight="1">
      <c r="R914" s="30"/>
    </row>
    <row r="915" spans="18:18" ht="15.75" customHeight="1">
      <c r="R915" s="30"/>
    </row>
    <row r="916" spans="18:18" ht="15.75" customHeight="1">
      <c r="R916" s="30"/>
    </row>
    <row r="917" spans="18:18" ht="15.75" customHeight="1">
      <c r="R917" s="30"/>
    </row>
    <row r="918" spans="18:18" ht="15.75" customHeight="1">
      <c r="R918" s="30"/>
    </row>
    <row r="919" spans="18:18" ht="15.75" customHeight="1">
      <c r="R919" s="30"/>
    </row>
    <row r="920" spans="18:18" ht="15.75" customHeight="1">
      <c r="R920" s="30"/>
    </row>
    <row r="921" spans="18:18" ht="15.75" customHeight="1">
      <c r="R921" s="30"/>
    </row>
    <row r="922" spans="18:18" ht="15.75" customHeight="1">
      <c r="R922" s="30"/>
    </row>
    <row r="923" spans="18:18" ht="15.75" customHeight="1">
      <c r="R923" s="30"/>
    </row>
    <row r="924" spans="18:18" ht="15.75" customHeight="1">
      <c r="R924" s="30"/>
    </row>
    <row r="925" spans="18:18" ht="15.75" customHeight="1">
      <c r="R925" s="30"/>
    </row>
    <row r="926" spans="18:18" ht="15.75" customHeight="1">
      <c r="R926" s="30"/>
    </row>
    <row r="927" spans="18:18" ht="15.75" customHeight="1">
      <c r="R927" s="30"/>
    </row>
    <row r="928" spans="18:18" ht="15.75" customHeight="1">
      <c r="R928" s="30"/>
    </row>
    <row r="929" spans="18:18" ht="15.75" customHeight="1">
      <c r="R929" s="30"/>
    </row>
    <row r="930" spans="18:18" ht="15.75" customHeight="1">
      <c r="R930" s="30"/>
    </row>
    <row r="931" spans="18:18" ht="15.75" customHeight="1">
      <c r="R931" s="30"/>
    </row>
    <row r="932" spans="18:18" ht="15.75" customHeight="1">
      <c r="R932" s="30"/>
    </row>
    <row r="933" spans="18:18" ht="15.75" customHeight="1">
      <c r="R933" s="30"/>
    </row>
    <row r="934" spans="18:18" ht="15.75" customHeight="1">
      <c r="R934" s="30"/>
    </row>
    <row r="935" spans="18:18" ht="15.75" customHeight="1">
      <c r="R935" s="30"/>
    </row>
    <row r="936" spans="18:18" ht="15.75" customHeight="1">
      <c r="R936" s="30"/>
    </row>
    <row r="937" spans="18:18" ht="15.75" customHeight="1">
      <c r="R937" s="30"/>
    </row>
    <row r="938" spans="18:18" ht="15.75" customHeight="1">
      <c r="R938" s="30"/>
    </row>
    <row r="939" spans="18:18" ht="15.75" customHeight="1">
      <c r="R939" s="30"/>
    </row>
    <row r="940" spans="18:18" ht="15.75" customHeight="1">
      <c r="R940" s="30"/>
    </row>
    <row r="941" spans="18:18" ht="15.75" customHeight="1">
      <c r="R941" s="30"/>
    </row>
    <row r="942" spans="18:18" ht="15.75" customHeight="1">
      <c r="R942" s="30"/>
    </row>
    <row r="943" spans="18:18" ht="15.75" customHeight="1">
      <c r="R943" s="30"/>
    </row>
    <row r="944" spans="18:18" ht="15.75" customHeight="1">
      <c r="R944" s="30"/>
    </row>
    <row r="945" spans="18:18" ht="15.75" customHeight="1">
      <c r="R945" s="30"/>
    </row>
    <row r="946" spans="18:18" ht="15.75" customHeight="1">
      <c r="R946" s="30"/>
    </row>
    <row r="947" spans="18:18" ht="15.75" customHeight="1">
      <c r="R947" s="30"/>
    </row>
    <row r="948" spans="18:18" ht="15.75" customHeight="1">
      <c r="R948" s="30"/>
    </row>
    <row r="949" spans="18:18" ht="15.75" customHeight="1">
      <c r="R949" s="30"/>
    </row>
    <row r="950" spans="18:18" ht="15.75" customHeight="1">
      <c r="R950" s="30"/>
    </row>
    <row r="951" spans="18:18" ht="15.75" customHeight="1">
      <c r="R951" s="30"/>
    </row>
    <row r="952" spans="18:18" ht="15.75" customHeight="1">
      <c r="R952" s="30"/>
    </row>
    <row r="953" spans="18:18" ht="15.75" customHeight="1">
      <c r="R953" s="30"/>
    </row>
    <row r="954" spans="18:18" ht="15.75" customHeight="1">
      <c r="R954" s="30"/>
    </row>
    <row r="955" spans="18:18" ht="15.75" customHeight="1">
      <c r="R955" s="30"/>
    </row>
    <row r="956" spans="18:18" ht="15.75" customHeight="1">
      <c r="R956" s="30"/>
    </row>
    <row r="957" spans="18:18" ht="15.75" customHeight="1">
      <c r="R957" s="30"/>
    </row>
    <row r="958" spans="18:18" ht="15.75" customHeight="1">
      <c r="R958" s="30"/>
    </row>
    <row r="959" spans="18:18" ht="15.75" customHeight="1">
      <c r="R959" s="30"/>
    </row>
    <row r="960" spans="18:18" ht="15.75" customHeight="1">
      <c r="R960" s="30"/>
    </row>
    <row r="961" spans="18:18" ht="15.75" customHeight="1">
      <c r="R961" s="30"/>
    </row>
    <row r="962" spans="18:18" ht="15.75" customHeight="1">
      <c r="R962" s="30"/>
    </row>
    <row r="963" spans="18:18" ht="15.75" customHeight="1">
      <c r="R963" s="30"/>
    </row>
    <row r="964" spans="18:18" ht="15.75" customHeight="1">
      <c r="R964" s="30"/>
    </row>
    <row r="965" spans="18:18" ht="15.75" customHeight="1">
      <c r="R965" s="30"/>
    </row>
    <row r="966" spans="18:18" ht="15.75" customHeight="1">
      <c r="R966" s="30"/>
    </row>
    <row r="967" spans="18:18" ht="15.75" customHeight="1">
      <c r="R967" s="30"/>
    </row>
    <row r="968" spans="18:18" ht="15.75" customHeight="1">
      <c r="R968" s="30"/>
    </row>
    <row r="969" spans="18:18" ht="15.75" customHeight="1">
      <c r="R969" s="30"/>
    </row>
    <row r="970" spans="18:18" ht="15.75" customHeight="1">
      <c r="R970" s="30"/>
    </row>
    <row r="971" spans="18:18" ht="15.75" customHeight="1">
      <c r="R971" s="30"/>
    </row>
    <row r="972" spans="18:18" ht="15.75" customHeight="1">
      <c r="R972" s="30"/>
    </row>
    <row r="973" spans="18:18" ht="15.75" customHeight="1">
      <c r="R973" s="30"/>
    </row>
    <row r="974" spans="18:18" ht="15.75" customHeight="1">
      <c r="R974" s="30"/>
    </row>
    <row r="975" spans="18:18" ht="15.75" customHeight="1">
      <c r="R975" s="30"/>
    </row>
    <row r="976" spans="18:18" ht="15.75" customHeight="1">
      <c r="R976" s="30"/>
    </row>
    <row r="977" spans="18:18" ht="15.75" customHeight="1">
      <c r="R977" s="30"/>
    </row>
    <row r="978" spans="18:18" ht="15.75" customHeight="1">
      <c r="R978" s="30"/>
    </row>
    <row r="979" spans="18:18" ht="15.75" customHeight="1">
      <c r="R979" s="30"/>
    </row>
    <row r="980" spans="18:18" ht="15.75" customHeight="1">
      <c r="R980" s="30"/>
    </row>
    <row r="981" spans="18:18" ht="15.75" customHeight="1">
      <c r="R981" s="30"/>
    </row>
    <row r="982" spans="18:18" ht="15.75" customHeight="1">
      <c r="R982" s="30"/>
    </row>
    <row r="983" spans="18:18" ht="15.75" customHeight="1">
      <c r="R983" s="30"/>
    </row>
    <row r="984" spans="18:18" ht="15.75" customHeight="1">
      <c r="R984" s="30"/>
    </row>
    <row r="985" spans="18:18" ht="15.75" customHeight="1">
      <c r="R985" s="30"/>
    </row>
    <row r="986" spans="18:18" ht="15.75" customHeight="1">
      <c r="R986" s="30"/>
    </row>
    <row r="987" spans="18:18" ht="15.75" customHeight="1">
      <c r="R987" s="30"/>
    </row>
    <row r="988" spans="18:18" ht="15.75" customHeight="1">
      <c r="R988" s="30"/>
    </row>
    <row r="989" spans="18:18" ht="15.75" customHeight="1">
      <c r="R989" s="30"/>
    </row>
    <row r="990" spans="18:18" ht="15.75" customHeight="1">
      <c r="R990" s="30"/>
    </row>
    <row r="991" spans="18:18" ht="15.75" customHeight="1">
      <c r="R991" s="30"/>
    </row>
    <row r="992" spans="18:18" ht="15.75" customHeight="1">
      <c r="R992" s="30"/>
    </row>
    <row r="993" spans="18:18" ht="15.75" customHeight="1">
      <c r="R993" s="30"/>
    </row>
    <row r="994" spans="18:18" ht="15.75" customHeight="1">
      <c r="R994" s="30"/>
    </row>
    <row r="995" spans="18:18" ht="15.75" customHeight="1">
      <c r="R995" s="30"/>
    </row>
    <row r="996" spans="18:18" ht="15.75" customHeight="1">
      <c r="R996" s="30"/>
    </row>
    <row r="997" spans="18:18" ht="15.75" customHeight="1">
      <c r="R997" s="30"/>
    </row>
    <row r="998" spans="18:18" ht="15.75" customHeight="1">
      <c r="R998" s="30"/>
    </row>
    <row r="999" spans="18:18" ht="15.75" customHeight="1">
      <c r="R999" s="30"/>
    </row>
    <row r="1000" spans="18:18" ht="15.75" customHeight="1">
      <c r="R1000" s="3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2.6640625" defaultRowHeight="15" customHeight="1"/>
  <cols>
    <col min="1" max="1" width="13.33203125" customWidth="1"/>
    <col min="2" max="2" width="24.5" customWidth="1"/>
    <col min="3" max="3" width="8" customWidth="1"/>
    <col min="4" max="4" width="5.6640625" customWidth="1"/>
    <col min="5" max="5" width="8.6640625" customWidth="1"/>
    <col min="6" max="6" width="10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17.1640625" customWidth="1"/>
    <col min="16" max="16" width="10" customWidth="1"/>
    <col min="17" max="18" width="7.33203125" customWidth="1"/>
    <col min="19" max="19" width="7.1640625" customWidth="1"/>
    <col min="20" max="20" width="11.1640625" customWidth="1"/>
    <col min="21" max="21" width="23.83203125" customWidth="1"/>
    <col min="22" max="22" width="96.5" customWidth="1"/>
    <col min="23" max="24" width="7.6640625" customWidth="1"/>
    <col min="25" max="25" width="8.1640625" customWidth="1"/>
    <col min="26" max="26" width="11.1640625" customWidth="1"/>
    <col min="27" max="27" width="10.6640625" customWidth="1"/>
    <col min="28" max="28" width="9.6640625" customWidth="1"/>
    <col min="29" max="29" width="7.1640625" customWidth="1"/>
    <col min="30" max="30" width="10.83203125" customWidth="1"/>
    <col min="31" max="31" width="7.6640625" customWidth="1"/>
    <col min="32" max="32" width="10.1640625" customWidth="1"/>
    <col min="33" max="33" width="8.83203125" customWidth="1"/>
  </cols>
  <sheetData>
    <row r="1" spans="1:33" ht="18.75" customHeight="1">
      <c r="A1" s="46" t="str">
        <f ca="1">IFERROR(__xludf.DUMMYFUNCTION("IFERROR(VLOOKUP(B2,IMPORTRANGE(""https://docs.google.com/spreadsheets/d/1x0DhHglkXKoEBOD2MBsuK_EyIr1ouxD2ftIpqOYFa-k/edit?usp=sharing"",""Ubiquitty-SKU-Specific Info!B1:BJ5000""),3,FALSE),"""")"),"100 foot Heavy Duty 12 gauge extension cord appliance pass through electrical garden indoor outdoor")</f>
        <v>100 foot Heavy Duty 12 gauge extension cord appliance pass through electrical garden indoor outdoor</v>
      </c>
      <c r="B1" s="47"/>
      <c r="C1" s="48" t="s">
        <v>0</v>
      </c>
      <c r="D1" s="50" t="s">
        <v>1</v>
      </c>
      <c r="E1" s="50" t="s">
        <v>2</v>
      </c>
      <c r="F1" s="52" t="s">
        <v>3</v>
      </c>
      <c r="G1" s="52" t="s">
        <v>4</v>
      </c>
      <c r="H1" s="53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58" t="s">
        <v>10</v>
      </c>
      <c r="N1" s="59" t="s">
        <v>11</v>
      </c>
      <c r="O1" s="50" t="s">
        <v>12</v>
      </c>
      <c r="P1" s="50" t="s">
        <v>13</v>
      </c>
      <c r="Q1" s="57" t="s">
        <v>14</v>
      </c>
      <c r="R1" s="57" t="s">
        <v>15</v>
      </c>
      <c r="S1" s="60" t="s">
        <v>16</v>
      </c>
      <c r="T1" s="62" t="s">
        <v>2006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Info!B1:BJ5000""),2,FALSE),"""")"),"B019P9ZE3E")</f>
        <v>B019P9ZE3E</v>
      </c>
      <c r="B2" s="3" t="s">
        <v>1172</v>
      </c>
      <c r="C2" s="49"/>
      <c r="D2" s="49"/>
      <c r="E2" s="51"/>
      <c r="F2" s="49"/>
      <c r="G2" s="49"/>
      <c r="H2" s="54"/>
      <c r="I2" s="49"/>
      <c r="J2" s="49"/>
      <c r="K2" s="54"/>
      <c r="L2" s="54"/>
      <c r="M2" s="54"/>
      <c r="N2" s="49"/>
      <c r="O2" s="49"/>
      <c r="P2" s="51"/>
      <c r="Q2" s="49"/>
      <c r="R2" s="49"/>
      <c r="S2" s="61"/>
      <c r="T2" s="47"/>
      <c r="U2" s="63"/>
      <c r="V2" s="63"/>
      <c r="W2" s="47"/>
      <c r="X2" s="47"/>
      <c r="Y2" s="47"/>
      <c r="Z2" s="47"/>
      <c r="AA2" s="63"/>
      <c r="AB2" s="63"/>
      <c r="AC2" s="63"/>
      <c r="AD2" s="63"/>
      <c r="AE2" s="47"/>
      <c r="AF2" s="47"/>
      <c r="AG2" s="47"/>
    </row>
    <row r="3" spans="1:33" ht="146.25" customHeight="1">
      <c r="A3" s="55" t="s">
        <v>31</v>
      </c>
      <c r="B3" s="56"/>
      <c r="C3" s="4">
        <f>((AE32+AF32)/0.85)*-1</f>
        <v>58.217276729411772</v>
      </c>
      <c r="D3" s="5">
        <f>SUM(D4:D99765)</f>
        <v>3881</v>
      </c>
      <c r="E3" s="5"/>
      <c r="F3" s="6">
        <f t="shared" ref="F3:G3" si="0">SUM(F4:F99765)</f>
        <v>284160.19999999995</v>
      </c>
      <c r="G3" s="6">
        <f t="shared" si="0"/>
        <v>-166.48000000000002</v>
      </c>
      <c r="H3" s="7">
        <f t="shared" ref="H3:H32" si="1">G3/F3*-1</f>
        <v>5.8586670476724065E-4</v>
      </c>
      <c r="I3" s="8">
        <f t="shared" ref="I3:I32" si="2">J3/F3</f>
        <v>0.2327031712023509</v>
      </c>
      <c r="J3" s="6">
        <f>SUM(J4:J99765)</f>
        <v>66124.979669494263</v>
      </c>
      <c r="K3" s="6">
        <f t="shared" ref="K3:K32" si="3">J3/D3</f>
        <v>17.038129262946217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Sheet!a1:g5000""),2,FALSE),"""")"),"27.5 - March
29 - April
29 - May
29 - June
27 - July
19 - Aug
11.5 - Sept
12 - Oct
17 - Nov
21.5 - Dec
28 - Jan
16 - Feb")</f>
        <v>27.5 - March
29 - April
29 - May
29 - June
27 - July
19 - Aug
11.5 - Sept
12 - Oct
17 - Nov
21.5 - Dec
28 - Jan
16 -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QTY-2")</f>
        <v>Del QTY-2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QTY-0")</f>
        <v>US QTY-0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60</v>
      </c>
      <c r="X3" s="7">
        <f>W3/D3</f>
        <v>1.545993300695697E-2</v>
      </c>
      <c r="Y3" s="6"/>
      <c r="Z3" s="5"/>
      <c r="AA3" s="5"/>
      <c r="AB3" s="5"/>
      <c r="AC3" s="5"/>
      <c r="AD3" s="6">
        <f>SUM(AD4:AD99765)</f>
        <v>-2243.7599055284968</v>
      </c>
      <c r="AE3" s="6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Info!B2:BZ3000""),37,FALSE)),"""")*-1"),-40.20468522)</f>
        <v>-40.204685220000002</v>
      </c>
      <c r="AG3" s="6">
        <f>SUM(AG4:AG99765)</f>
        <v>0</v>
      </c>
    </row>
    <row r="4" spans="1:33" ht="15.75" customHeight="1">
      <c r="A4" s="14" t="s">
        <v>181</v>
      </c>
      <c r="B4" s="14" t="s">
        <v>1173</v>
      </c>
      <c r="C4" s="15">
        <f t="shared" ref="C4:C32" si="4">IFERROR(F4/D4," - ")</f>
        <v>69.549999999999855</v>
      </c>
      <c r="D4" s="16">
        <v>204</v>
      </c>
      <c r="E4" s="16">
        <v>0</v>
      </c>
      <c r="F4" s="17">
        <v>14188.199999999972</v>
      </c>
      <c r="G4" s="17">
        <v>-0.22000000000000003</v>
      </c>
      <c r="H4" s="18">
        <f t="shared" si="1"/>
        <v>1.5505842883522962E-5</v>
      </c>
      <c r="I4" s="18">
        <f t="shared" si="2"/>
        <v>0.26741151444723588</v>
      </c>
      <c r="J4" s="17">
        <f t="shared" ref="J4:J32" si="5">F4*0.85+G4+AF4*D4+D4*AE4+AG4+AD4</f>
        <v>3794.0880492802648</v>
      </c>
      <c r="K4" s="17">
        <f t="shared" si="3"/>
        <v>18.598470829805219</v>
      </c>
      <c r="L4" s="16">
        <v>460</v>
      </c>
      <c r="M4" s="19">
        <f t="shared" ref="M4:M32" si="6">IFERROR(D4/L4,"-")</f>
        <v>0.44347826086956521</v>
      </c>
      <c r="N4" s="16">
        <v>327</v>
      </c>
      <c r="O4" s="20">
        <f t="shared" ref="O4:P4" si="7">D4/7</f>
        <v>29.142857142857142</v>
      </c>
      <c r="P4" s="20">
        <f t="shared" si="7"/>
        <v>0</v>
      </c>
      <c r="Q4" s="16">
        <f t="shared" ref="Q4:Q32" si="8">ROUNDDOWN(N4/(O4+P4),0)</f>
        <v>11</v>
      </c>
      <c r="R4" s="16"/>
      <c r="S4" s="21">
        <v>4.0695876288659703</v>
      </c>
      <c r="T4" s="14" t="s">
        <v>34</v>
      </c>
      <c r="U4" s="22" t="s">
        <v>34</v>
      </c>
      <c r="V4" s="23" t="s">
        <v>34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7.3333333333333348E-2</v>
      </c>
      <c r="Z4" s="14">
        <v>3</v>
      </c>
      <c r="AA4" s="26" t="s">
        <v>35</v>
      </c>
      <c r="AB4" s="27">
        <f t="shared" ref="AB4:AB32" si="11">IF(OR(AA4="UsLargeStandardSize",AA4="UsSmallStandardSize"),-0.69,-0.48)</f>
        <v>-0.69</v>
      </c>
      <c r="AC4" s="28">
        <v>0.4189287528935185</v>
      </c>
      <c r="AD4" s="25">
        <f t="shared" ref="AD4:AD32" si="12">IFERROR(AB4*AC4*D4*2,0)</f>
        <v>-117.93682251458331</v>
      </c>
      <c r="AE4" s="25">
        <v>-9.98</v>
      </c>
      <c r="AF4" s="25">
        <v>-29.959829059829058</v>
      </c>
      <c r="AG4" s="25">
        <v>0</v>
      </c>
    </row>
    <row r="5" spans="1:33" ht="15.75" customHeight="1">
      <c r="A5" s="14" t="s">
        <v>183</v>
      </c>
      <c r="B5" s="14" t="s">
        <v>1174</v>
      </c>
      <c r="C5" s="15">
        <f t="shared" si="4"/>
        <v>74.151346153846163</v>
      </c>
      <c r="D5" s="16">
        <v>104</v>
      </c>
      <c r="E5" s="16">
        <v>0</v>
      </c>
      <c r="F5" s="29">
        <v>7711.7400000000007</v>
      </c>
      <c r="G5" s="29">
        <v>-0.14000000000000001</v>
      </c>
      <c r="H5" s="18">
        <f t="shared" si="1"/>
        <v>1.8154139014022776E-5</v>
      </c>
      <c r="I5" s="18">
        <f t="shared" si="2"/>
        <v>0.30355048974758625</v>
      </c>
      <c r="J5" s="17">
        <f t="shared" si="5"/>
        <v>2340.9024538060512</v>
      </c>
      <c r="K5" s="17">
        <f t="shared" si="3"/>
        <v>22.508677440442799</v>
      </c>
      <c r="L5" s="16">
        <v>452</v>
      </c>
      <c r="M5" s="19">
        <f t="shared" si="6"/>
        <v>0.23008849557522124</v>
      </c>
      <c r="N5" s="16">
        <v>311</v>
      </c>
      <c r="O5" s="20">
        <f t="shared" ref="O5:P5" si="13">D5/7</f>
        <v>14.857142857142858</v>
      </c>
      <c r="P5" s="20">
        <f t="shared" si="13"/>
        <v>0</v>
      </c>
      <c r="Q5" s="16">
        <f t="shared" si="8"/>
        <v>20</v>
      </c>
      <c r="R5" s="16"/>
      <c r="S5" s="21">
        <v>3.5508697944122298</v>
      </c>
      <c r="T5" s="14" t="s">
        <v>34</v>
      </c>
      <c r="U5" s="22" t="s">
        <v>34</v>
      </c>
      <c r="V5" s="23" t="s">
        <v>34</v>
      </c>
      <c r="W5" s="14">
        <v>0</v>
      </c>
      <c r="X5" s="24">
        <f t="shared" si="9"/>
        <v>0</v>
      </c>
      <c r="Y5" s="25">
        <f t="shared" si="10"/>
        <v>0</v>
      </c>
      <c r="Z5" s="14">
        <v>0</v>
      </c>
      <c r="AA5" s="14" t="s">
        <v>35</v>
      </c>
      <c r="AB5" s="27">
        <f t="shared" si="11"/>
        <v>-0.69</v>
      </c>
      <c r="AC5" s="28">
        <v>0.41941418597914248</v>
      </c>
      <c r="AD5" s="25">
        <f t="shared" si="12"/>
        <v>-60.194323971726526</v>
      </c>
      <c r="AE5" s="25">
        <v>-9.98</v>
      </c>
      <c r="AF5" s="25">
        <v>-29.959829059829058</v>
      </c>
      <c r="AG5" s="25">
        <v>0</v>
      </c>
    </row>
    <row r="6" spans="1:33" ht="15.75" customHeight="1">
      <c r="A6" s="14" t="s">
        <v>185</v>
      </c>
      <c r="B6" s="14" t="s">
        <v>1175</v>
      </c>
      <c r="C6" s="15">
        <f t="shared" si="4"/>
        <v>81.29326530612245</v>
      </c>
      <c r="D6" s="16">
        <v>49</v>
      </c>
      <c r="E6" s="16">
        <v>0</v>
      </c>
      <c r="F6" s="29">
        <v>3983.3700000000003</v>
      </c>
      <c r="G6" s="29">
        <v>-0.2</v>
      </c>
      <c r="H6" s="18">
        <f t="shared" si="1"/>
        <v>5.0208742848392192E-5</v>
      </c>
      <c r="I6" s="18">
        <f t="shared" si="2"/>
        <v>0.35153272575676286</v>
      </c>
      <c r="J6" s="17">
        <f t="shared" si="5"/>
        <v>1400.2849137977166</v>
      </c>
      <c r="K6" s="17">
        <f t="shared" si="3"/>
        <v>28.57724313872891</v>
      </c>
      <c r="L6" s="16">
        <v>359</v>
      </c>
      <c r="M6" s="19">
        <f t="shared" si="6"/>
        <v>0.13649025069637882</v>
      </c>
      <c r="N6" s="16">
        <v>260</v>
      </c>
      <c r="O6" s="20">
        <f t="shared" ref="O6:P6" si="14">D6/7</f>
        <v>7</v>
      </c>
      <c r="P6" s="20">
        <f t="shared" si="14"/>
        <v>0</v>
      </c>
      <c r="Q6" s="16">
        <f t="shared" si="8"/>
        <v>37</v>
      </c>
      <c r="R6" s="16"/>
      <c r="S6" s="21">
        <v>3.2530472940029198</v>
      </c>
      <c r="T6" s="14">
        <v>3259</v>
      </c>
      <c r="U6" s="22">
        <v>200</v>
      </c>
      <c r="V6" s="23" t="s">
        <v>1176</v>
      </c>
      <c r="W6" s="14">
        <v>0</v>
      </c>
      <c r="X6" s="24">
        <f t="shared" si="9"/>
        <v>0</v>
      </c>
      <c r="Y6" s="25">
        <f t="shared" si="10"/>
        <v>0</v>
      </c>
      <c r="Z6" s="14">
        <v>0</v>
      </c>
      <c r="AA6" s="14" t="s">
        <v>35</v>
      </c>
      <c r="AB6" s="27">
        <f t="shared" si="11"/>
        <v>-0.69</v>
      </c>
      <c r="AC6" s="28">
        <v>0.4189287528935185</v>
      </c>
      <c r="AD6" s="25">
        <f t="shared" si="12"/>
        <v>-28.327962270659718</v>
      </c>
      <c r="AE6" s="25">
        <v>-9.98</v>
      </c>
      <c r="AF6" s="25">
        <v>-29.959829059829058</v>
      </c>
      <c r="AG6" s="25">
        <v>0</v>
      </c>
    </row>
    <row r="7" spans="1:33" ht="15.75" customHeight="1">
      <c r="A7" s="14" t="s">
        <v>187</v>
      </c>
      <c r="B7" s="14" t="s">
        <v>1177</v>
      </c>
      <c r="C7" s="15">
        <f t="shared" si="4"/>
        <v>79.698421052631559</v>
      </c>
      <c r="D7" s="16">
        <v>57</v>
      </c>
      <c r="E7" s="16">
        <v>0</v>
      </c>
      <c r="F7" s="29">
        <v>4542.8099999999986</v>
      </c>
      <c r="G7" s="29">
        <v>-0.4</v>
      </c>
      <c r="H7" s="18">
        <f t="shared" si="1"/>
        <v>8.8051228204569446E-5</v>
      </c>
      <c r="I7" s="18">
        <f t="shared" si="2"/>
        <v>0.3415210646906075</v>
      </c>
      <c r="J7" s="17">
        <f t="shared" si="5"/>
        <v>1551.4653078871381</v>
      </c>
      <c r="K7" s="17">
        <f t="shared" si="3"/>
        <v>27.218689612055055</v>
      </c>
      <c r="L7" s="16">
        <v>365</v>
      </c>
      <c r="M7" s="19">
        <f t="shared" si="6"/>
        <v>0.15616438356164383</v>
      </c>
      <c r="N7" s="16">
        <v>273</v>
      </c>
      <c r="O7" s="20">
        <f t="shared" ref="O7:P7" si="15">D7/7</f>
        <v>8.1428571428571423</v>
      </c>
      <c r="P7" s="20">
        <f t="shared" si="15"/>
        <v>0</v>
      </c>
      <c r="Q7" s="16">
        <f t="shared" si="8"/>
        <v>33</v>
      </c>
      <c r="R7" s="16"/>
      <c r="S7" s="21">
        <v>2.9625468164794002</v>
      </c>
      <c r="T7" s="14">
        <v>2617</v>
      </c>
      <c r="U7" s="22">
        <v>200</v>
      </c>
      <c r="V7" s="23" t="s">
        <v>1178</v>
      </c>
      <c r="W7" s="14">
        <v>0</v>
      </c>
      <c r="X7" s="24">
        <f t="shared" si="9"/>
        <v>0</v>
      </c>
      <c r="Y7" s="25">
        <f t="shared" si="10"/>
        <v>0</v>
      </c>
      <c r="Z7" s="14">
        <v>0</v>
      </c>
      <c r="AA7" s="14" t="s">
        <v>35</v>
      </c>
      <c r="AB7" s="27">
        <f t="shared" si="11"/>
        <v>-0.69</v>
      </c>
      <c r="AC7" s="28">
        <v>0.4189287528935185</v>
      </c>
      <c r="AD7" s="25">
        <f t="shared" si="12"/>
        <v>-32.952935702604158</v>
      </c>
      <c r="AE7" s="25">
        <v>-9.98</v>
      </c>
      <c r="AF7" s="25">
        <v>-29.959829059829058</v>
      </c>
      <c r="AG7" s="25">
        <v>0</v>
      </c>
    </row>
    <row r="8" spans="1:33" ht="15.75" customHeight="1">
      <c r="A8" s="14" t="s">
        <v>189</v>
      </c>
      <c r="B8" s="14" t="s">
        <v>68</v>
      </c>
      <c r="C8" s="15">
        <f t="shared" si="4"/>
        <v>73.933493975903559</v>
      </c>
      <c r="D8" s="16">
        <v>83</v>
      </c>
      <c r="E8" s="16">
        <v>0</v>
      </c>
      <c r="F8" s="29">
        <v>6136.4799999999959</v>
      </c>
      <c r="G8" s="29">
        <v>-0.1</v>
      </c>
      <c r="H8" s="18">
        <f t="shared" si="1"/>
        <v>1.6295987276093146E-5</v>
      </c>
      <c r="I8" s="18">
        <f t="shared" si="2"/>
        <v>0.30194898388711006</v>
      </c>
      <c r="J8" s="17">
        <f t="shared" si="5"/>
        <v>1852.9039006435719</v>
      </c>
      <c r="K8" s="17">
        <f t="shared" si="3"/>
        <v>22.324143381247854</v>
      </c>
      <c r="L8" s="16">
        <v>314</v>
      </c>
      <c r="M8" s="19">
        <f t="shared" si="6"/>
        <v>0.2643312101910828</v>
      </c>
      <c r="N8" s="16">
        <v>201</v>
      </c>
      <c r="O8" s="20">
        <f t="shared" ref="O8:P8" si="16">D8/7</f>
        <v>11.857142857142858</v>
      </c>
      <c r="P8" s="20">
        <f t="shared" si="16"/>
        <v>0</v>
      </c>
      <c r="Q8" s="16">
        <f t="shared" si="8"/>
        <v>16</v>
      </c>
      <c r="R8" s="16"/>
      <c r="S8" s="21">
        <v>3.6536180308422299</v>
      </c>
      <c r="T8" s="14">
        <v>3393</v>
      </c>
      <c r="U8" s="22">
        <v>480</v>
      </c>
      <c r="V8" s="23" t="s">
        <v>1179</v>
      </c>
      <c r="W8" s="14">
        <v>1</v>
      </c>
      <c r="X8" s="24">
        <f t="shared" si="9"/>
        <v>1.2048192771084338E-2</v>
      </c>
      <c r="Y8" s="25">
        <f t="shared" si="10"/>
        <v>0.1</v>
      </c>
      <c r="Z8" s="14">
        <v>0</v>
      </c>
      <c r="AA8" s="14" t="s">
        <v>35</v>
      </c>
      <c r="AB8" s="27">
        <f t="shared" si="11"/>
        <v>-0.69</v>
      </c>
      <c r="AC8" s="28">
        <v>0.4189287528935185</v>
      </c>
      <c r="AD8" s="25">
        <f t="shared" si="12"/>
        <v>-47.984099356423599</v>
      </c>
      <c r="AE8" s="25">
        <v>-9.98</v>
      </c>
      <c r="AF8" s="25">
        <v>-29.96</v>
      </c>
      <c r="AG8" s="25">
        <v>0</v>
      </c>
    </row>
    <row r="9" spans="1:33" ht="15.75" customHeight="1">
      <c r="A9" s="14" t="s">
        <v>191</v>
      </c>
      <c r="B9" s="14" t="s">
        <v>1180</v>
      </c>
      <c r="C9" s="15">
        <f t="shared" si="4"/>
        <v>64.958170731707241</v>
      </c>
      <c r="D9" s="16">
        <v>82</v>
      </c>
      <c r="E9" s="16">
        <v>1</v>
      </c>
      <c r="F9" s="29">
        <v>5326.5699999999943</v>
      </c>
      <c r="G9" s="29">
        <v>-0.83</v>
      </c>
      <c r="H9" s="18">
        <f t="shared" si="1"/>
        <v>1.5582260253784347E-4</v>
      </c>
      <c r="I9" s="18">
        <f t="shared" si="2"/>
        <v>0.21653981928868907</v>
      </c>
      <c r="J9" s="17">
        <f t="shared" si="5"/>
        <v>1153.4145052285512</v>
      </c>
      <c r="K9" s="17">
        <f t="shared" si="3"/>
        <v>14.066030551567698</v>
      </c>
      <c r="L9" s="16">
        <v>570</v>
      </c>
      <c r="M9" s="19">
        <f t="shared" si="6"/>
        <v>0.14385964912280702</v>
      </c>
      <c r="N9" s="16">
        <v>114</v>
      </c>
      <c r="O9" s="20">
        <f t="shared" ref="O9:P9" si="17">D9/7</f>
        <v>11.714285714285714</v>
      </c>
      <c r="P9" s="20">
        <f t="shared" si="17"/>
        <v>0.14285714285714285</v>
      </c>
      <c r="Q9" s="16">
        <f t="shared" si="8"/>
        <v>9</v>
      </c>
      <c r="R9" s="16"/>
      <c r="S9" s="21">
        <v>4.6355731225296397</v>
      </c>
      <c r="T9" s="14">
        <v>3393</v>
      </c>
      <c r="U9" s="22">
        <v>480</v>
      </c>
      <c r="V9" s="23" t="s">
        <v>1181</v>
      </c>
      <c r="W9" s="14">
        <v>0</v>
      </c>
      <c r="X9" s="24">
        <f t="shared" si="9"/>
        <v>0</v>
      </c>
      <c r="Y9" s="25">
        <f t="shared" si="10"/>
        <v>0.83</v>
      </c>
      <c r="Z9" s="14">
        <v>1</v>
      </c>
      <c r="AA9" s="14" t="s">
        <v>35</v>
      </c>
      <c r="AB9" s="27">
        <f t="shared" si="11"/>
        <v>-0.69</v>
      </c>
      <c r="AC9" s="28">
        <v>0.4189287528935185</v>
      </c>
      <c r="AD9" s="25">
        <f t="shared" si="12"/>
        <v>-47.405977677430549</v>
      </c>
      <c r="AE9" s="25">
        <v>-9.98</v>
      </c>
      <c r="AF9" s="25">
        <v>-30.580170940170898</v>
      </c>
      <c r="AG9" s="25">
        <v>0</v>
      </c>
    </row>
    <row r="10" spans="1:33" ht="15.75" customHeight="1">
      <c r="A10" s="14" t="s">
        <v>192</v>
      </c>
      <c r="B10" s="14" t="s">
        <v>68</v>
      </c>
      <c r="C10" s="15">
        <f t="shared" si="4"/>
        <v>62.219393939393917</v>
      </c>
      <c r="D10" s="16">
        <v>66</v>
      </c>
      <c r="E10" s="16">
        <v>0</v>
      </c>
      <c r="F10" s="29">
        <v>4106.4799999999987</v>
      </c>
      <c r="G10" s="29">
        <v>-1.06</v>
      </c>
      <c r="H10" s="18">
        <f t="shared" si="1"/>
        <v>2.5812861623580305E-4</v>
      </c>
      <c r="I10" s="18">
        <f t="shared" si="2"/>
        <v>0.18856068631411288</v>
      </c>
      <c r="J10" s="17">
        <f t="shared" si="5"/>
        <v>774.32068713517799</v>
      </c>
      <c r="K10" s="17">
        <f t="shared" si="3"/>
        <v>11.732131623260273</v>
      </c>
      <c r="L10" s="16">
        <v>496</v>
      </c>
      <c r="M10" s="19">
        <f t="shared" si="6"/>
        <v>0.13306451612903225</v>
      </c>
      <c r="N10" s="16">
        <v>229</v>
      </c>
      <c r="O10" s="20">
        <f t="shared" ref="O10:P10" si="18">D10/7</f>
        <v>9.4285714285714288</v>
      </c>
      <c r="P10" s="20">
        <f t="shared" si="18"/>
        <v>0</v>
      </c>
      <c r="Q10" s="16">
        <f t="shared" si="8"/>
        <v>24</v>
      </c>
      <c r="R10" s="16"/>
      <c r="S10" s="21">
        <v>3.5818639798488601</v>
      </c>
      <c r="T10" s="14">
        <v>2418</v>
      </c>
      <c r="U10" s="22">
        <v>200</v>
      </c>
      <c r="V10" s="23" t="s">
        <v>1182</v>
      </c>
      <c r="W10" s="14">
        <v>1</v>
      </c>
      <c r="X10" s="24">
        <f t="shared" si="9"/>
        <v>1.5151515151515152E-2</v>
      </c>
      <c r="Y10" s="25">
        <f t="shared" si="10"/>
        <v>7.571428571428572E-2</v>
      </c>
      <c r="Z10" s="14">
        <v>13</v>
      </c>
      <c r="AA10" s="14" t="s">
        <v>35</v>
      </c>
      <c r="AB10" s="27">
        <f t="shared" si="11"/>
        <v>-0.69</v>
      </c>
      <c r="AC10" s="28">
        <v>0.4189287528935185</v>
      </c>
      <c r="AD10" s="25">
        <f t="shared" si="12"/>
        <v>-38.156030813541662</v>
      </c>
      <c r="AE10" s="25">
        <v>-9.98</v>
      </c>
      <c r="AF10" s="25">
        <v>-30.580170940170898</v>
      </c>
      <c r="AG10" s="25">
        <v>0</v>
      </c>
    </row>
    <row r="11" spans="1:33" ht="15.75" customHeight="1">
      <c r="A11" s="14" t="s">
        <v>193</v>
      </c>
      <c r="B11" s="14" t="s">
        <v>68</v>
      </c>
      <c r="C11" s="15">
        <f t="shared" si="4"/>
        <v>62.570526315789401</v>
      </c>
      <c r="D11" s="16">
        <v>133</v>
      </c>
      <c r="E11" s="16">
        <v>0</v>
      </c>
      <c r="F11" s="29">
        <v>8321.8799999999901</v>
      </c>
      <c r="G11" s="29">
        <v>-1.23</v>
      </c>
      <c r="H11" s="18">
        <f t="shared" si="1"/>
        <v>1.4780314063649096E-4</v>
      </c>
      <c r="I11" s="18">
        <f t="shared" si="2"/>
        <v>0.19238141882016904</v>
      </c>
      <c r="J11" s="17">
        <f t="shared" si="5"/>
        <v>1600.9750816511864</v>
      </c>
      <c r="K11" s="17">
        <f t="shared" si="3"/>
        <v>12.037406628956289</v>
      </c>
      <c r="L11" s="16">
        <v>589</v>
      </c>
      <c r="M11" s="19">
        <f t="shared" si="6"/>
        <v>0.22580645161290322</v>
      </c>
      <c r="N11" s="16">
        <v>478</v>
      </c>
      <c r="O11" s="20">
        <f t="shared" ref="O11:P11" si="19">D11/7</f>
        <v>19</v>
      </c>
      <c r="P11" s="20">
        <f t="shared" si="19"/>
        <v>0</v>
      </c>
      <c r="Q11" s="16">
        <f t="shared" si="8"/>
        <v>25</v>
      </c>
      <c r="R11" s="16"/>
      <c r="S11" s="21">
        <v>2.8759978712080798</v>
      </c>
      <c r="T11" s="14">
        <v>2570</v>
      </c>
      <c r="U11" s="22">
        <v>200</v>
      </c>
      <c r="V11" s="23" t="s">
        <v>1183</v>
      </c>
      <c r="W11" s="14">
        <v>1</v>
      </c>
      <c r="X11" s="24">
        <f t="shared" si="9"/>
        <v>7.5187969924812026E-3</v>
      </c>
      <c r="Y11" s="25">
        <f t="shared" si="10"/>
        <v>1.23</v>
      </c>
      <c r="Z11" s="14">
        <v>0</v>
      </c>
      <c r="AA11" s="14" t="s">
        <v>35</v>
      </c>
      <c r="AB11" s="27">
        <f t="shared" si="11"/>
        <v>-0.69</v>
      </c>
      <c r="AC11" s="28">
        <v>0.4189287528935185</v>
      </c>
      <c r="AD11" s="25">
        <f t="shared" si="12"/>
        <v>-76.890183306076381</v>
      </c>
      <c r="AE11" s="25">
        <v>-9.98</v>
      </c>
      <c r="AF11" s="25">
        <v>-30.580170940170898</v>
      </c>
      <c r="AG11" s="25">
        <v>0</v>
      </c>
    </row>
    <row r="12" spans="1:33" ht="15.75" customHeight="1">
      <c r="A12" s="14" t="s">
        <v>195</v>
      </c>
      <c r="B12" s="14" t="s">
        <v>68</v>
      </c>
      <c r="C12" s="15">
        <f t="shared" si="4"/>
        <v>66.872243589743576</v>
      </c>
      <c r="D12" s="16">
        <v>156</v>
      </c>
      <c r="E12" s="16">
        <v>0</v>
      </c>
      <c r="F12" s="29">
        <v>10432.069999999998</v>
      </c>
      <c r="G12" s="29">
        <v>-1.2800000000000002</v>
      </c>
      <c r="H12" s="18">
        <f t="shared" si="1"/>
        <v>1.2269856318065356E-4</v>
      </c>
      <c r="I12" s="18">
        <f t="shared" si="2"/>
        <v>0.23469990628997134</v>
      </c>
      <c r="J12" s="17">
        <f t="shared" si="5"/>
        <v>2448.4058514104208</v>
      </c>
      <c r="K12" s="17">
        <f t="shared" si="3"/>
        <v>15.694909303912954</v>
      </c>
      <c r="L12" s="16">
        <v>455</v>
      </c>
      <c r="M12" s="19">
        <f t="shared" si="6"/>
        <v>0.34285714285714286</v>
      </c>
      <c r="N12" s="16">
        <v>254</v>
      </c>
      <c r="O12" s="20">
        <f t="shared" ref="O12:P12" si="20">D12/7</f>
        <v>22.285714285714285</v>
      </c>
      <c r="P12" s="20">
        <f t="shared" si="20"/>
        <v>0</v>
      </c>
      <c r="Q12" s="16">
        <f t="shared" si="8"/>
        <v>11</v>
      </c>
      <c r="R12" s="16"/>
      <c r="S12" s="21">
        <v>4.5197908887229197</v>
      </c>
      <c r="T12" s="14">
        <v>2018</v>
      </c>
      <c r="U12" s="22">
        <v>642</v>
      </c>
      <c r="V12" s="23" t="s">
        <v>1184</v>
      </c>
      <c r="W12" s="14">
        <v>4</v>
      </c>
      <c r="X12" s="24">
        <f t="shared" si="9"/>
        <v>2.564102564102564E-2</v>
      </c>
      <c r="Y12" s="25">
        <f t="shared" si="10"/>
        <v>0.25600000000000006</v>
      </c>
      <c r="Z12" s="14">
        <v>1</v>
      </c>
      <c r="AA12" s="14" t="s">
        <v>35</v>
      </c>
      <c r="AB12" s="27">
        <f t="shared" si="11"/>
        <v>-0.69</v>
      </c>
      <c r="AC12" s="28">
        <v>0.4189287528935185</v>
      </c>
      <c r="AD12" s="25">
        <f t="shared" si="12"/>
        <v>-90.186981922916644</v>
      </c>
      <c r="AE12" s="25">
        <v>-9.98</v>
      </c>
      <c r="AF12" s="25">
        <v>-30.580170940170898</v>
      </c>
      <c r="AG12" s="25">
        <v>0</v>
      </c>
    </row>
    <row r="13" spans="1:33" ht="15.75" customHeight="1">
      <c r="A13" s="14" t="s">
        <v>197</v>
      </c>
      <c r="B13" s="14" t="s">
        <v>68</v>
      </c>
      <c r="C13" s="15">
        <f t="shared" si="4"/>
        <v>66.597424892703941</v>
      </c>
      <c r="D13" s="16">
        <v>233</v>
      </c>
      <c r="E13" s="16">
        <v>4</v>
      </c>
      <c r="F13" s="17">
        <v>15517.200000000019</v>
      </c>
      <c r="G13" s="29">
        <v>-0.90999999999999992</v>
      </c>
      <c r="H13" s="18">
        <f t="shared" si="1"/>
        <v>5.864460083004658E-5</v>
      </c>
      <c r="I13" s="18">
        <f t="shared" si="2"/>
        <v>0.22732286207958338</v>
      </c>
      <c r="J13" s="17">
        <f t="shared" si="5"/>
        <v>3527.4143154613157</v>
      </c>
      <c r="K13" s="17">
        <f t="shared" si="3"/>
        <v>15.139117233739553</v>
      </c>
      <c r="L13" s="16">
        <v>371</v>
      </c>
      <c r="M13" s="19">
        <f t="shared" si="6"/>
        <v>0.62803234501347704</v>
      </c>
      <c r="N13" s="16">
        <v>205</v>
      </c>
      <c r="O13" s="20">
        <f t="shared" ref="O13:P13" si="21">D13/7</f>
        <v>33.285714285714285</v>
      </c>
      <c r="P13" s="20">
        <f t="shared" si="21"/>
        <v>0.5714285714285714</v>
      </c>
      <c r="Q13" s="16">
        <f t="shared" si="8"/>
        <v>6</v>
      </c>
      <c r="R13" s="16"/>
      <c r="S13" s="21">
        <v>4.5367316341828996</v>
      </c>
      <c r="T13" s="14">
        <v>1576</v>
      </c>
      <c r="U13" s="22">
        <v>480</v>
      </c>
      <c r="V13" s="23" t="s">
        <v>1185</v>
      </c>
      <c r="W13" s="14">
        <v>6</v>
      </c>
      <c r="X13" s="24">
        <f t="shared" si="9"/>
        <v>2.575107296137339E-2</v>
      </c>
      <c r="Y13" s="25">
        <f t="shared" si="10"/>
        <v>0.15166666666666664</v>
      </c>
      <c r="Z13" s="14">
        <v>0</v>
      </c>
      <c r="AA13" s="14" t="s">
        <v>35</v>
      </c>
      <c r="AB13" s="27">
        <f t="shared" si="11"/>
        <v>-0.69</v>
      </c>
      <c r="AC13" s="28">
        <v>0.4189287528935185</v>
      </c>
      <c r="AD13" s="25">
        <f t="shared" si="12"/>
        <v>-134.70235120538192</v>
      </c>
      <c r="AE13" s="25">
        <v>-9.98</v>
      </c>
      <c r="AF13" s="25">
        <v>-30.906666666666599</v>
      </c>
      <c r="AG13" s="25">
        <v>0</v>
      </c>
    </row>
    <row r="14" spans="1:33" ht="15.75" customHeight="1">
      <c r="A14" s="14" t="s">
        <v>32</v>
      </c>
      <c r="B14" s="14" t="s">
        <v>68</v>
      </c>
      <c r="C14" s="15">
        <f t="shared" si="4"/>
        <v>67.185749999999999</v>
      </c>
      <c r="D14" s="16">
        <v>120</v>
      </c>
      <c r="E14" s="16">
        <v>4</v>
      </c>
      <c r="F14" s="17">
        <v>8062.2899999999991</v>
      </c>
      <c r="G14" s="29">
        <v>-0.71</v>
      </c>
      <c r="H14" s="18">
        <f t="shared" si="1"/>
        <v>8.8064309271931431E-5</v>
      </c>
      <c r="I14" s="18">
        <f t="shared" si="2"/>
        <v>0.23274552249061253</v>
      </c>
      <c r="J14" s="17">
        <f t="shared" si="5"/>
        <v>1876.4618985208404</v>
      </c>
      <c r="K14" s="17">
        <f t="shared" si="3"/>
        <v>15.63718248767367</v>
      </c>
      <c r="L14" s="16">
        <v>543</v>
      </c>
      <c r="M14" s="19">
        <f t="shared" si="6"/>
        <v>0.22099447513812154</v>
      </c>
      <c r="N14" s="16">
        <v>96</v>
      </c>
      <c r="O14" s="20">
        <f t="shared" ref="O14:P14" si="22">D14/7</f>
        <v>17.142857142857142</v>
      </c>
      <c r="P14" s="20">
        <f t="shared" si="22"/>
        <v>0.5714285714285714</v>
      </c>
      <c r="Q14" s="16">
        <f t="shared" si="8"/>
        <v>5</v>
      </c>
      <c r="R14" s="16"/>
      <c r="S14" s="21">
        <v>4.9303030303030297</v>
      </c>
      <c r="T14" s="14">
        <v>1576</v>
      </c>
      <c r="U14" s="22">
        <v>480</v>
      </c>
      <c r="V14" s="23" t="s">
        <v>1185</v>
      </c>
      <c r="W14" s="14">
        <v>2</v>
      </c>
      <c r="X14" s="24">
        <f t="shared" si="9"/>
        <v>1.6666666666666666E-2</v>
      </c>
      <c r="Y14" s="25">
        <f t="shared" si="10"/>
        <v>0.35499999999999998</v>
      </c>
      <c r="Z14" s="14">
        <v>0</v>
      </c>
      <c r="AA14" s="14" t="s">
        <v>35</v>
      </c>
      <c r="AB14" s="27">
        <f t="shared" si="11"/>
        <v>-0.69</v>
      </c>
      <c r="AC14" s="28">
        <v>0.4189287528935185</v>
      </c>
      <c r="AD14" s="25">
        <f t="shared" si="12"/>
        <v>-69.374601479166657</v>
      </c>
      <c r="AE14" s="25">
        <v>-9.98</v>
      </c>
      <c r="AF14" s="25">
        <v>-30.906666666666599</v>
      </c>
      <c r="AG14" s="25">
        <v>0</v>
      </c>
    </row>
    <row r="15" spans="1:33" ht="15.75" customHeight="1">
      <c r="A15" s="14" t="s">
        <v>36</v>
      </c>
      <c r="B15" s="14" t="s">
        <v>68</v>
      </c>
      <c r="C15" s="15">
        <f t="shared" si="4"/>
        <v>66.245769230769113</v>
      </c>
      <c r="D15" s="16">
        <v>182</v>
      </c>
      <c r="E15" s="16">
        <v>3</v>
      </c>
      <c r="F15" s="17">
        <v>12056.729999999978</v>
      </c>
      <c r="G15" s="29">
        <v>-1.01</v>
      </c>
      <c r="H15" s="18">
        <f t="shared" si="1"/>
        <v>8.3770640961521237E-5</v>
      </c>
      <c r="I15" s="18">
        <f t="shared" si="2"/>
        <v>0.16617764693162471</v>
      </c>
      <c r="J15" s="17">
        <f t="shared" si="5"/>
        <v>2003.5590210899238</v>
      </c>
      <c r="K15" s="17">
        <f t="shared" si="3"/>
        <v>11.008566049944637</v>
      </c>
      <c r="L15" s="16">
        <v>582</v>
      </c>
      <c r="M15" s="19">
        <f t="shared" si="6"/>
        <v>0.3127147766323024</v>
      </c>
      <c r="N15" s="16">
        <v>425</v>
      </c>
      <c r="O15" s="20">
        <f t="shared" ref="O15:P15" si="23">D15/7</f>
        <v>26</v>
      </c>
      <c r="P15" s="20">
        <f t="shared" si="23"/>
        <v>0.42857142857142855</v>
      </c>
      <c r="Q15" s="16">
        <f t="shared" si="8"/>
        <v>16</v>
      </c>
      <c r="R15" s="16"/>
      <c r="S15" s="21">
        <v>3.6746849942726199</v>
      </c>
      <c r="T15" s="14">
        <v>1576</v>
      </c>
      <c r="U15" s="22">
        <v>600</v>
      </c>
      <c r="V15" s="23" t="s">
        <v>1186</v>
      </c>
      <c r="W15" s="14">
        <v>5</v>
      </c>
      <c r="X15" s="24">
        <f t="shared" si="9"/>
        <v>2.7472527472527472E-2</v>
      </c>
      <c r="Y15" s="25">
        <f t="shared" si="10"/>
        <v>0.16833333333333333</v>
      </c>
      <c r="Z15" s="14">
        <v>1</v>
      </c>
      <c r="AA15" s="14" t="s">
        <v>35</v>
      </c>
      <c r="AB15" s="27">
        <f t="shared" si="11"/>
        <v>-0.69</v>
      </c>
      <c r="AC15" s="28">
        <v>0.4189287528935185</v>
      </c>
      <c r="AD15" s="25">
        <f t="shared" si="12"/>
        <v>-105.21814557673609</v>
      </c>
      <c r="AE15" s="25">
        <v>-9.98</v>
      </c>
      <c r="AF15" s="25">
        <v>-34.736666666666601</v>
      </c>
      <c r="AG15" s="25">
        <v>0</v>
      </c>
    </row>
    <row r="16" spans="1:33" ht="15.75" customHeight="1">
      <c r="A16" s="14" t="s">
        <v>38</v>
      </c>
      <c r="B16" s="14" t="s">
        <v>1187</v>
      </c>
      <c r="C16" s="15">
        <f t="shared" si="4"/>
        <v>70.063464912280779</v>
      </c>
      <c r="D16" s="16">
        <v>228</v>
      </c>
      <c r="E16" s="16">
        <v>4</v>
      </c>
      <c r="F16" s="17">
        <v>15974.470000000018</v>
      </c>
      <c r="G16" s="29">
        <v>-0.59000000000000008</v>
      </c>
      <c r="H16" s="18">
        <f t="shared" si="1"/>
        <v>3.6933932706374571E-5</v>
      </c>
      <c r="I16" s="18">
        <f t="shared" si="2"/>
        <v>0.20348078885807222</v>
      </c>
      <c r="J16" s="17">
        <f t="shared" si="5"/>
        <v>3250.4977571896125</v>
      </c>
      <c r="K16" s="17">
        <f t="shared" si="3"/>
        <v>14.256569110480756</v>
      </c>
      <c r="L16" s="16">
        <v>640</v>
      </c>
      <c r="M16" s="19">
        <f t="shared" si="6"/>
        <v>0.35625000000000001</v>
      </c>
      <c r="N16" s="16">
        <v>170</v>
      </c>
      <c r="O16" s="20">
        <f t="shared" ref="O16:P16" si="24">D16/7</f>
        <v>32.571428571428569</v>
      </c>
      <c r="P16" s="20">
        <f t="shared" si="24"/>
        <v>0.5714285714285714</v>
      </c>
      <c r="Q16" s="16">
        <f t="shared" si="8"/>
        <v>5</v>
      </c>
      <c r="R16" s="16"/>
      <c r="S16" s="21">
        <v>4.5702479338842901</v>
      </c>
      <c r="T16" s="14">
        <v>1576</v>
      </c>
      <c r="U16" s="22">
        <v>600</v>
      </c>
      <c r="V16" s="23" t="s">
        <v>1188</v>
      </c>
      <c r="W16" s="14">
        <v>3</v>
      </c>
      <c r="X16" s="24">
        <f t="shared" si="9"/>
        <v>1.3157894736842105E-2</v>
      </c>
      <c r="Y16" s="25">
        <f t="shared" si="10"/>
        <v>9.8333333333333342E-2</v>
      </c>
      <c r="Z16" s="14">
        <v>3</v>
      </c>
      <c r="AA16" s="14" t="s">
        <v>35</v>
      </c>
      <c r="AB16" s="27">
        <f t="shared" si="11"/>
        <v>-0.69</v>
      </c>
      <c r="AC16" s="28">
        <v>0.4189287528935185</v>
      </c>
      <c r="AD16" s="25">
        <f t="shared" si="12"/>
        <v>-131.81174281041663</v>
      </c>
      <c r="AE16" s="25">
        <v>-9.98</v>
      </c>
      <c r="AF16" s="25">
        <v>-34.736666666666601</v>
      </c>
      <c r="AG16" s="25">
        <v>0</v>
      </c>
    </row>
    <row r="17" spans="1:33" ht="15.75" customHeight="1">
      <c r="A17" s="14" t="s">
        <v>40</v>
      </c>
      <c r="B17" s="14" t="s">
        <v>1189</v>
      </c>
      <c r="C17" s="15">
        <f t="shared" si="4"/>
        <v>72.133896103896149</v>
      </c>
      <c r="D17" s="16">
        <v>77</v>
      </c>
      <c r="E17" s="16">
        <v>0</v>
      </c>
      <c r="F17" s="17">
        <v>5554.3100000000031</v>
      </c>
      <c r="G17" s="29">
        <v>-0.65</v>
      </c>
      <c r="H17" s="18">
        <f t="shared" si="1"/>
        <v>1.1702623728239865E-4</v>
      </c>
      <c r="I17" s="18">
        <f t="shared" si="2"/>
        <v>0.22195642615990255</v>
      </c>
      <c r="J17" s="17">
        <f t="shared" si="5"/>
        <v>1232.814797384209</v>
      </c>
      <c r="K17" s="17">
        <f t="shared" si="3"/>
        <v>16.010581784210505</v>
      </c>
      <c r="L17" s="16">
        <v>496</v>
      </c>
      <c r="M17" s="19">
        <f t="shared" si="6"/>
        <v>0.15524193548387097</v>
      </c>
      <c r="N17" s="16">
        <v>75</v>
      </c>
      <c r="O17" s="20">
        <f t="shared" ref="O17:P17" si="25">D17/7</f>
        <v>11</v>
      </c>
      <c r="P17" s="20">
        <f t="shared" si="25"/>
        <v>0</v>
      </c>
      <c r="Q17" s="16">
        <f t="shared" si="8"/>
        <v>6</v>
      </c>
      <c r="R17" s="16"/>
      <c r="S17" s="21">
        <v>6.1082621082620996</v>
      </c>
      <c r="T17" s="14">
        <v>1096</v>
      </c>
      <c r="U17" s="22">
        <v>120</v>
      </c>
      <c r="V17" s="23" t="s">
        <v>1190</v>
      </c>
      <c r="W17" s="14">
        <v>0</v>
      </c>
      <c r="X17" s="24">
        <f t="shared" si="9"/>
        <v>0</v>
      </c>
      <c r="Y17" s="25">
        <f t="shared" si="10"/>
        <v>0.65</v>
      </c>
      <c r="Z17" s="14">
        <v>1</v>
      </c>
      <c r="AA17" s="14" t="s">
        <v>35</v>
      </c>
      <c r="AB17" s="27">
        <f t="shared" si="11"/>
        <v>-0.69</v>
      </c>
      <c r="AC17" s="28">
        <v>0.4189287528935185</v>
      </c>
      <c r="AD17" s="25">
        <f t="shared" si="12"/>
        <v>-44.515369282465272</v>
      </c>
      <c r="AE17" s="25">
        <v>-9.98</v>
      </c>
      <c r="AF17" s="25">
        <v>-34.736666666666601</v>
      </c>
      <c r="AG17" s="25">
        <v>0</v>
      </c>
    </row>
    <row r="18" spans="1:33" ht="15.75" customHeight="1">
      <c r="A18" s="14" t="s">
        <v>42</v>
      </c>
      <c r="B18" s="14" t="s">
        <v>68</v>
      </c>
      <c r="C18" s="15">
        <f t="shared" si="4"/>
        <v>69.906400000000133</v>
      </c>
      <c r="D18" s="16">
        <v>200</v>
      </c>
      <c r="E18" s="16">
        <v>1</v>
      </c>
      <c r="F18" s="17">
        <v>13981.280000000028</v>
      </c>
      <c r="G18" s="29">
        <v>-0.95</v>
      </c>
      <c r="H18" s="18">
        <f t="shared" si="1"/>
        <v>6.7947999038714486E-5</v>
      </c>
      <c r="I18" s="18">
        <f t="shared" si="2"/>
        <v>0.2019972656915594</v>
      </c>
      <c r="J18" s="17">
        <f t="shared" si="5"/>
        <v>2824.1803308680915</v>
      </c>
      <c r="K18" s="17">
        <f t="shared" si="3"/>
        <v>14.120901654340457</v>
      </c>
      <c r="L18" s="16">
        <v>607</v>
      </c>
      <c r="M18" s="19">
        <f t="shared" si="6"/>
        <v>0.32948929159802304</v>
      </c>
      <c r="N18" s="16">
        <v>1013</v>
      </c>
      <c r="O18" s="20">
        <f t="shared" ref="O18:P18" si="26">D18/7</f>
        <v>28.571428571428573</v>
      </c>
      <c r="P18" s="20">
        <f t="shared" si="26"/>
        <v>0.14285714285714285</v>
      </c>
      <c r="Q18" s="16">
        <f t="shared" si="8"/>
        <v>35</v>
      </c>
      <c r="R18" s="16"/>
      <c r="S18" s="21">
        <v>3.6336405529953901</v>
      </c>
      <c r="T18" s="14">
        <v>376</v>
      </c>
      <c r="U18" s="22">
        <v>0</v>
      </c>
      <c r="V18" s="23" t="s">
        <v>1191</v>
      </c>
      <c r="W18" s="14">
        <v>3</v>
      </c>
      <c r="X18" s="24">
        <f t="shared" si="9"/>
        <v>1.4999999999999999E-2</v>
      </c>
      <c r="Y18" s="25">
        <f t="shared" si="10"/>
        <v>0.31666666666666665</v>
      </c>
      <c r="Z18" s="14">
        <v>0</v>
      </c>
      <c r="AA18" s="14" t="s">
        <v>35</v>
      </c>
      <c r="AB18" s="27">
        <f t="shared" si="11"/>
        <v>-0.69</v>
      </c>
      <c r="AC18" s="28">
        <v>0.4189287528935185</v>
      </c>
      <c r="AD18" s="25">
        <f t="shared" si="12"/>
        <v>-115.62433579861109</v>
      </c>
      <c r="AE18" s="25">
        <v>-9.98</v>
      </c>
      <c r="AF18" s="25">
        <v>-34.736666666666601</v>
      </c>
      <c r="AG18" s="25">
        <v>0</v>
      </c>
    </row>
    <row r="19" spans="1:33" ht="15.75" customHeight="1">
      <c r="A19" s="14" t="s">
        <v>44</v>
      </c>
      <c r="B19" s="14" t="s">
        <v>1192</v>
      </c>
      <c r="C19" s="15">
        <f t="shared" si="4"/>
        <v>74.679846153846071</v>
      </c>
      <c r="D19" s="16">
        <v>195</v>
      </c>
      <c r="E19" s="16">
        <v>0</v>
      </c>
      <c r="F19" s="17">
        <v>14562.569999999985</v>
      </c>
      <c r="G19" s="29">
        <v>-0.96000000000000008</v>
      </c>
      <c r="H19" s="18">
        <f t="shared" si="1"/>
        <v>6.5922429900766214E-5</v>
      </c>
      <c r="I19" s="18">
        <f t="shared" si="2"/>
        <v>0.22186250590358322</v>
      </c>
      <c r="J19" s="17">
        <f t="shared" si="5"/>
        <v>3230.8882725963408</v>
      </c>
      <c r="K19" s="17">
        <f t="shared" si="3"/>
        <v>16.568657808186362</v>
      </c>
      <c r="L19" s="16">
        <v>585</v>
      </c>
      <c r="M19" s="19">
        <f t="shared" si="6"/>
        <v>0.33333333333333331</v>
      </c>
      <c r="N19" s="16">
        <v>762</v>
      </c>
      <c r="O19" s="20">
        <f t="shared" ref="O19:P19" si="27">D19/7</f>
        <v>27.857142857142858</v>
      </c>
      <c r="P19" s="20">
        <f t="shared" si="27"/>
        <v>0</v>
      </c>
      <c r="Q19" s="16">
        <f t="shared" si="8"/>
        <v>27</v>
      </c>
      <c r="R19" s="16"/>
      <c r="S19" s="21">
        <v>3.7546145494028198</v>
      </c>
      <c r="T19" s="14">
        <v>376</v>
      </c>
      <c r="U19" s="22">
        <v>376</v>
      </c>
      <c r="V19" s="23" t="s">
        <v>1191</v>
      </c>
      <c r="W19" s="14">
        <v>1</v>
      </c>
      <c r="X19" s="24">
        <f t="shared" si="9"/>
        <v>5.1282051282051282E-3</v>
      </c>
      <c r="Y19" s="25">
        <f t="shared" si="10"/>
        <v>0.96000000000000008</v>
      </c>
      <c r="Z19" s="14">
        <v>0</v>
      </c>
      <c r="AA19" s="14" t="s">
        <v>35</v>
      </c>
      <c r="AB19" s="27">
        <f t="shared" si="11"/>
        <v>-0.69</v>
      </c>
      <c r="AC19" s="28">
        <v>0.4189287528935185</v>
      </c>
      <c r="AD19" s="25">
        <f t="shared" si="12"/>
        <v>-112.73372740364582</v>
      </c>
      <c r="AE19" s="25">
        <v>-9.98</v>
      </c>
      <c r="AF19" s="25">
        <v>-36.346166666666669</v>
      </c>
      <c r="AG19" s="25">
        <v>0</v>
      </c>
    </row>
    <row r="20" spans="1:33" ht="15.75" customHeight="1">
      <c r="A20" s="14" t="s">
        <v>46</v>
      </c>
      <c r="B20" s="14" t="s">
        <v>672</v>
      </c>
      <c r="C20" s="15">
        <f t="shared" si="4"/>
        <v>74.308823529411697</v>
      </c>
      <c r="D20" s="16">
        <v>221</v>
      </c>
      <c r="E20" s="16">
        <v>1</v>
      </c>
      <c r="F20" s="17">
        <v>16422.249999999985</v>
      </c>
      <c r="G20" s="29">
        <v>-0.55000000000000004</v>
      </c>
      <c r="H20" s="18">
        <f t="shared" si="1"/>
        <v>3.3491147680738056E-5</v>
      </c>
      <c r="I20" s="18">
        <f t="shared" si="2"/>
        <v>0.2187589870821107</v>
      </c>
      <c r="J20" s="17">
        <f t="shared" si="5"/>
        <v>3592.5147756091892</v>
      </c>
      <c r="K20" s="17">
        <f t="shared" si="3"/>
        <v>16.255722966557418</v>
      </c>
      <c r="L20" s="16">
        <v>604</v>
      </c>
      <c r="M20" s="19">
        <f t="shared" si="6"/>
        <v>0.36589403973509932</v>
      </c>
      <c r="N20" s="16">
        <v>483</v>
      </c>
      <c r="O20" s="20">
        <f t="shared" ref="O20:P20" si="28">D20/7</f>
        <v>31.571428571428573</v>
      </c>
      <c r="P20" s="20">
        <f t="shared" si="28"/>
        <v>0.14285714285714285</v>
      </c>
      <c r="Q20" s="16">
        <f t="shared" si="8"/>
        <v>15</v>
      </c>
      <c r="R20" s="16"/>
      <c r="S20" s="21">
        <v>4.3840000000000003</v>
      </c>
      <c r="T20" s="14">
        <v>376</v>
      </c>
      <c r="U20" s="22">
        <v>376</v>
      </c>
      <c r="V20" s="23" t="s">
        <v>1191</v>
      </c>
      <c r="W20" s="14">
        <v>1</v>
      </c>
      <c r="X20" s="24">
        <f t="shared" si="9"/>
        <v>4.5248868778280547E-3</v>
      </c>
      <c r="Y20" s="25">
        <f t="shared" si="10"/>
        <v>0.55000000000000004</v>
      </c>
      <c r="Z20" s="14">
        <v>0</v>
      </c>
      <c r="AA20" s="14" t="s">
        <v>35</v>
      </c>
      <c r="AB20" s="27">
        <f t="shared" si="11"/>
        <v>-0.69</v>
      </c>
      <c r="AC20" s="28">
        <v>0.4189287528935185</v>
      </c>
      <c r="AD20" s="25">
        <f t="shared" si="12"/>
        <v>-127.76489105746525</v>
      </c>
      <c r="AE20" s="25">
        <v>-9.98</v>
      </c>
      <c r="AF20" s="25">
        <v>-36.346166666666669</v>
      </c>
      <c r="AG20" s="25">
        <v>0</v>
      </c>
    </row>
    <row r="21" spans="1:33" ht="15.75" customHeight="1">
      <c r="A21" s="14" t="s">
        <v>47</v>
      </c>
      <c r="B21" s="14" t="s">
        <v>1193</v>
      </c>
      <c r="C21" s="15">
        <f t="shared" si="4"/>
        <v>77.788271604938132</v>
      </c>
      <c r="D21" s="16">
        <v>162</v>
      </c>
      <c r="E21" s="16">
        <v>1</v>
      </c>
      <c r="F21" s="17">
        <v>12601.699999999977</v>
      </c>
      <c r="G21" s="29">
        <v>-0.37</v>
      </c>
      <c r="H21" s="18">
        <f t="shared" si="1"/>
        <v>2.9361117944404381E-5</v>
      </c>
      <c r="I21" s="18">
        <f t="shared" si="2"/>
        <v>0.24699685661483042</v>
      </c>
      <c r="J21" s="17">
        <f t="shared" si="5"/>
        <v>3112.5802880031029</v>
      </c>
      <c r="K21" s="17">
        <f t="shared" si="3"/>
        <v>19.213458567920387</v>
      </c>
      <c r="L21" s="16">
        <v>283</v>
      </c>
      <c r="M21" s="19">
        <f t="shared" si="6"/>
        <v>0.57243816254416957</v>
      </c>
      <c r="N21" s="16">
        <v>1034</v>
      </c>
      <c r="O21" s="20">
        <f t="shared" ref="O21:P21" si="29">D21/7</f>
        <v>23.142857142857142</v>
      </c>
      <c r="P21" s="20">
        <f t="shared" si="29"/>
        <v>0.14285714285714285</v>
      </c>
      <c r="Q21" s="16">
        <f t="shared" si="8"/>
        <v>44</v>
      </c>
      <c r="R21" s="16"/>
      <c r="S21" s="21">
        <v>4.4297341291372696</v>
      </c>
      <c r="T21" s="14">
        <v>976</v>
      </c>
      <c r="U21" s="22">
        <v>376</v>
      </c>
      <c r="V21" s="23" t="s">
        <v>1194</v>
      </c>
      <c r="W21" s="14">
        <v>1</v>
      </c>
      <c r="X21" s="24">
        <f t="shared" si="9"/>
        <v>6.1728395061728392E-3</v>
      </c>
      <c r="Y21" s="25">
        <f t="shared" si="10"/>
        <v>0.37</v>
      </c>
      <c r="Z21" s="14">
        <v>0</v>
      </c>
      <c r="AA21" s="14" t="s">
        <v>35</v>
      </c>
      <c r="AB21" s="27">
        <f t="shared" si="11"/>
        <v>-0.69</v>
      </c>
      <c r="AC21" s="28">
        <v>0.4189287528935185</v>
      </c>
      <c r="AD21" s="25">
        <f t="shared" si="12"/>
        <v>-93.655711996874984</v>
      </c>
      <c r="AE21" s="25">
        <v>-9.98</v>
      </c>
      <c r="AF21" s="25">
        <v>-36.346166666666669</v>
      </c>
      <c r="AG21" s="25">
        <v>0</v>
      </c>
    </row>
    <row r="22" spans="1:33" ht="15.75" customHeight="1">
      <c r="A22" s="14" t="s">
        <v>48</v>
      </c>
      <c r="B22" s="14" t="s">
        <v>1195</v>
      </c>
      <c r="C22" s="15">
        <f t="shared" si="4"/>
        <v>79.428050847457669</v>
      </c>
      <c r="D22" s="16">
        <v>118</v>
      </c>
      <c r="E22" s="16">
        <v>0</v>
      </c>
      <c r="F22" s="29">
        <v>9372.5100000000057</v>
      </c>
      <c r="G22" s="29">
        <v>-0.54</v>
      </c>
      <c r="H22" s="18">
        <f t="shared" si="1"/>
        <v>5.7615302624377004E-5</v>
      </c>
      <c r="I22" s="18">
        <f t="shared" si="2"/>
        <v>0.25941689848420063</v>
      </c>
      <c r="J22" s="17">
        <f t="shared" si="5"/>
        <v>2431.3874752121569</v>
      </c>
      <c r="K22" s="17">
        <f t="shared" si="3"/>
        <v>20.604978603492857</v>
      </c>
      <c r="L22" s="16">
        <v>451</v>
      </c>
      <c r="M22" s="19">
        <f t="shared" si="6"/>
        <v>0.2616407982261641</v>
      </c>
      <c r="N22" s="16">
        <v>895</v>
      </c>
      <c r="O22" s="20">
        <f t="shared" ref="O22:P22" si="30">D22/7</f>
        <v>16.857142857142858</v>
      </c>
      <c r="P22" s="20">
        <f t="shared" si="30"/>
        <v>0</v>
      </c>
      <c r="Q22" s="16">
        <f t="shared" si="8"/>
        <v>53</v>
      </c>
      <c r="R22" s="16"/>
      <c r="S22" s="21">
        <v>4.5465303926842298</v>
      </c>
      <c r="T22" s="14">
        <v>2376</v>
      </c>
      <c r="U22" s="22">
        <v>376</v>
      </c>
      <c r="V22" s="23" t="s">
        <v>1196</v>
      </c>
      <c r="W22" s="14">
        <v>1</v>
      </c>
      <c r="X22" s="24">
        <f t="shared" si="9"/>
        <v>8.4745762711864406E-3</v>
      </c>
      <c r="Y22" s="25">
        <f t="shared" si="10"/>
        <v>0.54</v>
      </c>
      <c r="Z22" s="14">
        <v>0</v>
      </c>
      <c r="AA22" s="14" t="s">
        <v>35</v>
      </c>
      <c r="AB22" s="27">
        <f t="shared" si="11"/>
        <v>-0.69</v>
      </c>
      <c r="AC22" s="28">
        <v>0.4189287528935185</v>
      </c>
      <c r="AD22" s="25">
        <f t="shared" si="12"/>
        <v>-68.218358121180543</v>
      </c>
      <c r="AE22" s="25">
        <v>-9.98</v>
      </c>
      <c r="AF22" s="25">
        <v>-36.346166666666669</v>
      </c>
      <c r="AG22" s="25">
        <v>0</v>
      </c>
    </row>
    <row r="23" spans="1:33" ht="15.75" customHeight="1">
      <c r="A23" s="14" t="s">
        <v>49</v>
      </c>
      <c r="B23" s="14" t="s">
        <v>68</v>
      </c>
      <c r="C23" s="15">
        <f t="shared" si="4"/>
        <v>78.795405405405361</v>
      </c>
      <c r="D23" s="16">
        <v>148</v>
      </c>
      <c r="E23" s="16">
        <v>0</v>
      </c>
      <c r="F23" s="17">
        <v>11661.719999999994</v>
      </c>
      <c r="G23" s="29">
        <v>-0.59</v>
      </c>
      <c r="H23" s="18">
        <f t="shared" si="1"/>
        <v>5.0592879952528465E-5</v>
      </c>
      <c r="I23" s="18">
        <f t="shared" si="2"/>
        <v>0.25468261327165775</v>
      </c>
      <c r="J23" s="17">
        <f t="shared" si="5"/>
        <v>2970.0373248423548</v>
      </c>
      <c r="K23" s="17">
        <f t="shared" si="3"/>
        <v>20.067819762448345</v>
      </c>
      <c r="L23" s="16">
        <v>503</v>
      </c>
      <c r="M23" s="19">
        <f t="shared" si="6"/>
        <v>0.29423459244532801</v>
      </c>
      <c r="N23" s="16">
        <v>696</v>
      </c>
      <c r="O23" s="20">
        <f t="shared" ref="O23:P23" si="31">D23/7</f>
        <v>21.142857142857142</v>
      </c>
      <c r="P23" s="20">
        <f t="shared" si="31"/>
        <v>0</v>
      </c>
      <c r="Q23" s="16">
        <f t="shared" si="8"/>
        <v>32</v>
      </c>
      <c r="R23" s="16"/>
      <c r="S23" s="21">
        <v>4.1650671785028699</v>
      </c>
      <c r="T23" s="14">
        <v>2976</v>
      </c>
      <c r="U23" s="22">
        <v>376</v>
      </c>
      <c r="V23" s="23" t="s">
        <v>1197</v>
      </c>
      <c r="W23" s="14">
        <v>3</v>
      </c>
      <c r="X23" s="24">
        <f t="shared" si="9"/>
        <v>2.0270270270270271E-2</v>
      </c>
      <c r="Y23" s="25">
        <f t="shared" si="10"/>
        <v>0.19666666666666666</v>
      </c>
      <c r="Z23" s="14">
        <v>0</v>
      </c>
      <c r="AA23" s="14" t="s">
        <v>35</v>
      </c>
      <c r="AB23" s="27">
        <f t="shared" si="11"/>
        <v>-0.69</v>
      </c>
      <c r="AC23" s="28">
        <v>0.4189287528935185</v>
      </c>
      <c r="AD23" s="25">
        <f t="shared" si="12"/>
        <v>-85.562008490972204</v>
      </c>
      <c r="AE23" s="25">
        <v>-9.98</v>
      </c>
      <c r="AF23" s="25">
        <v>-36.346166666666669</v>
      </c>
      <c r="AG23" s="25">
        <v>0</v>
      </c>
    </row>
    <row r="24" spans="1:33" ht="15.75" customHeight="1">
      <c r="A24" s="14" t="s">
        <v>50</v>
      </c>
      <c r="B24" s="14" t="s">
        <v>1198</v>
      </c>
      <c r="C24" s="15">
        <f t="shared" si="4"/>
        <v>74.456028708133957</v>
      </c>
      <c r="D24" s="16">
        <v>209</v>
      </c>
      <c r="E24" s="16">
        <v>0</v>
      </c>
      <c r="F24" s="17">
        <v>15561.309999999996</v>
      </c>
      <c r="G24" s="17">
        <v>-0.31000000000000005</v>
      </c>
      <c r="H24" s="18">
        <f t="shared" si="1"/>
        <v>1.9921202006771931E-5</v>
      </c>
      <c r="I24" s="18">
        <f t="shared" si="2"/>
        <v>0.22002050185730604</v>
      </c>
      <c r="J24" s="17">
        <f t="shared" si="5"/>
        <v>3423.8072357571141</v>
      </c>
      <c r="K24" s="17">
        <f t="shared" si="3"/>
        <v>16.381852802665616</v>
      </c>
      <c r="L24" s="16">
        <v>619</v>
      </c>
      <c r="M24" s="19">
        <f t="shared" si="6"/>
        <v>0.33764135702746367</v>
      </c>
      <c r="N24" s="16">
        <v>538</v>
      </c>
      <c r="O24" s="20">
        <f t="shared" ref="O24:P24" si="32">D24/7</f>
        <v>29.857142857142858</v>
      </c>
      <c r="P24" s="20">
        <f t="shared" si="32"/>
        <v>0</v>
      </c>
      <c r="Q24" s="16">
        <f t="shared" si="8"/>
        <v>18</v>
      </c>
      <c r="R24" s="16"/>
      <c r="S24" s="21">
        <v>3.8790974882928899</v>
      </c>
      <c r="T24" s="14">
        <v>2976</v>
      </c>
      <c r="U24" s="22">
        <v>376</v>
      </c>
      <c r="V24" s="23" t="s">
        <v>1199</v>
      </c>
      <c r="W24" s="14">
        <v>2</v>
      </c>
      <c r="X24" s="24">
        <f t="shared" si="9"/>
        <v>9.5693779904306216E-3</v>
      </c>
      <c r="Y24" s="25">
        <f t="shared" si="10"/>
        <v>0.10333333333333335</v>
      </c>
      <c r="Z24" s="14">
        <v>1</v>
      </c>
      <c r="AA24" s="14" t="s">
        <v>35</v>
      </c>
      <c r="AB24" s="27">
        <f t="shared" si="11"/>
        <v>-0.69</v>
      </c>
      <c r="AC24" s="28">
        <v>0.4189287528935185</v>
      </c>
      <c r="AD24" s="25">
        <f t="shared" si="12"/>
        <v>-120.82743090954858</v>
      </c>
      <c r="AE24" s="25">
        <v>-9.98</v>
      </c>
      <c r="AF24" s="25">
        <v>-36.346166666666669</v>
      </c>
      <c r="AG24" s="25">
        <v>0</v>
      </c>
    </row>
    <row r="25" spans="1:33" ht="15.75" customHeight="1">
      <c r="A25" s="14" t="s">
        <v>51</v>
      </c>
      <c r="B25" s="14" t="s">
        <v>1200</v>
      </c>
      <c r="C25" s="15">
        <f t="shared" si="4"/>
        <v>79.649553072625707</v>
      </c>
      <c r="D25" s="16">
        <v>179</v>
      </c>
      <c r="E25" s="16">
        <v>0</v>
      </c>
      <c r="F25" s="17">
        <v>14257.27</v>
      </c>
      <c r="G25" s="17">
        <v>-0.44000000000000011</v>
      </c>
      <c r="H25" s="18">
        <f t="shared" si="1"/>
        <v>3.0861448229569903E-5</v>
      </c>
      <c r="I25" s="18">
        <f t="shared" si="2"/>
        <v>0.26103775263148149</v>
      </c>
      <c r="J25" s="17">
        <f t="shared" si="5"/>
        <v>3721.6857194602421</v>
      </c>
      <c r="K25" s="17">
        <f t="shared" si="3"/>
        <v>20.791540332180123</v>
      </c>
      <c r="L25" s="16">
        <v>632</v>
      </c>
      <c r="M25" s="19">
        <f t="shared" si="6"/>
        <v>0.28322784810126583</v>
      </c>
      <c r="N25" s="16">
        <v>341</v>
      </c>
      <c r="O25" s="20">
        <f t="shared" ref="O25:P25" si="33">D25/7</f>
        <v>25.571428571428573</v>
      </c>
      <c r="P25" s="20">
        <f t="shared" si="33"/>
        <v>0</v>
      </c>
      <c r="Q25" s="16">
        <f t="shared" si="8"/>
        <v>13</v>
      </c>
      <c r="R25" s="16"/>
      <c r="S25" s="21">
        <v>4.6470891293147858</v>
      </c>
      <c r="T25" s="14">
        <v>3276</v>
      </c>
      <c r="U25" s="22">
        <v>376</v>
      </c>
      <c r="V25" s="23" t="s">
        <v>1201</v>
      </c>
      <c r="W25" s="30">
        <v>1</v>
      </c>
      <c r="X25" s="24">
        <f t="shared" si="9"/>
        <v>5.5865921787709499E-3</v>
      </c>
      <c r="Y25" s="25">
        <f t="shared" si="10"/>
        <v>0.44000000000000011</v>
      </c>
      <c r="Z25" s="30">
        <v>0</v>
      </c>
      <c r="AA25" s="14" t="s">
        <v>35</v>
      </c>
      <c r="AB25" s="27">
        <f t="shared" si="11"/>
        <v>-0.69</v>
      </c>
      <c r="AC25" s="28">
        <v>0.4189287528935185</v>
      </c>
      <c r="AD25" s="25">
        <f t="shared" si="12"/>
        <v>-103.48378053975692</v>
      </c>
      <c r="AE25" s="25">
        <v>-9.98</v>
      </c>
      <c r="AF25" s="25">
        <v>-36.35</v>
      </c>
      <c r="AG25" s="25">
        <v>0</v>
      </c>
    </row>
    <row r="26" spans="1:33" ht="15.75" customHeight="1">
      <c r="A26" s="14" t="s">
        <v>52</v>
      </c>
      <c r="B26" s="14" t="s">
        <v>1202</v>
      </c>
      <c r="C26" s="15">
        <f t="shared" si="4"/>
        <v>80.459259259259269</v>
      </c>
      <c r="D26" s="16">
        <v>108</v>
      </c>
      <c r="E26" s="16">
        <v>0</v>
      </c>
      <c r="F26" s="17">
        <v>8689.6</v>
      </c>
      <c r="G26" s="17">
        <v>-0.27</v>
      </c>
      <c r="H26" s="18">
        <f t="shared" si="1"/>
        <v>3.1071625851592706E-5</v>
      </c>
      <c r="I26" s="18">
        <f t="shared" si="2"/>
        <v>0.27571198428797145</v>
      </c>
      <c r="J26" s="17">
        <f t="shared" si="5"/>
        <v>2395.8268586687568</v>
      </c>
      <c r="K26" s="17">
        <f t="shared" si="3"/>
        <v>22.183582024710713</v>
      </c>
      <c r="L26" s="16">
        <v>453</v>
      </c>
      <c r="M26" s="19">
        <f t="shared" si="6"/>
        <v>0.23841059602649006</v>
      </c>
      <c r="N26" s="16">
        <v>253</v>
      </c>
      <c r="O26" s="20">
        <f t="shared" ref="O26:P26" si="34">D26/7</f>
        <v>15.428571428571429</v>
      </c>
      <c r="P26" s="20">
        <f t="shared" si="34"/>
        <v>0</v>
      </c>
      <c r="Q26" s="16">
        <f t="shared" si="8"/>
        <v>16</v>
      </c>
      <c r="R26" s="16"/>
      <c r="S26" s="21">
        <v>3.975981524249423</v>
      </c>
      <c r="T26" s="14">
        <v>3276</v>
      </c>
      <c r="U26" s="22">
        <v>376</v>
      </c>
      <c r="V26" s="23" t="s">
        <v>1203</v>
      </c>
      <c r="W26" s="30">
        <v>0</v>
      </c>
      <c r="X26" s="24">
        <f t="shared" si="9"/>
        <v>0</v>
      </c>
      <c r="Y26" s="25">
        <f t="shared" si="10"/>
        <v>0</v>
      </c>
      <c r="Z26" s="30">
        <v>0</v>
      </c>
      <c r="AA26" s="14" t="s">
        <v>35</v>
      </c>
      <c r="AB26" s="27">
        <f t="shared" si="11"/>
        <v>-0.69</v>
      </c>
      <c r="AC26" s="28">
        <v>0.4189287528935185</v>
      </c>
      <c r="AD26" s="25">
        <f t="shared" si="12"/>
        <v>-62.43714133124999</v>
      </c>
      <c r="AE26" s="25">
        <v>-9.2799999999999994</v>
      </c>
      <c r="AF26" s="25">
        <v>-36.346166666666598</v>
      </c>
      <c r="AG26" s="25">
        <v>0</v>
      </c>
    </row>
    <row r="27" spans="1:33" ht="15.75" customHeight="1">
      <c r="A27" s="14" t="s">
        <v>53</v>
      </c>
      <c r="B27" s="14" t="s">
        <v>1204</v>
      </c>
      <c r="C27" s="15">
        <f t="shared" si="4"/>
        <v>80.516721311475422</v>
      </c>
      <c r="D27" s="16">
        <v>122</v>
      </c>
      <c r="E27" s="16">
        <v>0</v>
      </c>
      <c r="F27" s="17">
        <v>9823.0400000000009</v>
      </c>
      <c r="G27" s="17">
        <v>-0.27</v>
      </c>
      <c r="H27" s="18">
        <f t="shared" si="1"/>
        <v>2.7486399322409355E-5</v>
      </c>
      <c r="I27" s="18">
        <f t="shared" si="2"/>
        <v>0.21651252108948427</v>
      </c>
      <c r="J27" s="17">
        <f t="shared" si="5"/>
        <v>2126.8111551628476</v>
      </c>
      <c r="K27" s="17">
        <f t="shared" si="3"/>
        <v>17.432878321006946</v>
      </c>
      <c r="L27" s="16">
        <v>524</v>
      </c>
      <c r="M27" s="19">
        <f t="shared" si="6"/>
        <v>0.23282442748091603</v>
      </c>
      <c r="N27" s="16">
        <v>125</v>
      </c>
      <c r="O27" s="20">
        <f t="shared" ref="O27:P27" si="35">D27/7</f>
        <v>17.428571428571427</v>
      </c>
      <c r="P27" s="20">
        <f t="shared" si="35"/>
        <v>0</v>
      </c>
      <c r="Q27" s="16">
        <f t="shared" si="8"/>
        <v>7</v>
      </c>
      <c r="R27" s="16"/>
      <c r="S27" s="21">
        <v>4.3167919799498744</v>
      </c>
      <c r="T27" s="14">
        <v>3276</v>
      </c>
      <c r="U27" s="22">
        <v>376</v>
      </c>
      <c r="V27" s="23" t="s">
        <v>1205</v>
      </c>
      <c r="W27" s="30">
        <v>1</v>
      </c>
      <c r="X27" s="24">
        <f t="shared" si="9"/>
        <v>8.1967213114754103E-3</v>
      </c>
      <c r="Y27" s="25">
        <f t="shared" si="10"/>
        <v>0.27</v>
      </c>
      <c r="Z27" s="30">
        <v>0</v>
      </c>
      <c r="AA27" s="14" t="s">
        <v>35</v>
      </c>
      <c r="AB27" s="27">
        <f t="shared" si="11"/>
        <v>-0.69</v>
      </c>
      <c r="AC27" s="28">
        <v>0.4189287528935185</v>
      </c>
      <c r="AD27" s="25">
        <f t="shared" si="12"/>
        <v>-70.53084483715277</v>
      </c>
      <c r="AE27" s="25">
        <v>-9.2799999999999994</v>
      </c>
      <c r="AF27" s="25">
        <v>-41.146000000000001</v>
      </c>
      <c r="AG27" s="25">
        <v>0</v>
      </c>
    </row>
    <row r="28" spans="1:33" ht="15.75" customHeight="1">
      <c r="A28" s="14" t="s">
        <v>54</v>
      </c>
      <c r="B28" s="14" t="s">
        <v>1206</v>
      </c>
      <c r="C28" s="15">
        <f t="shared" si="4"/>
        <v>82.064482758620684</v>
      </c>
      <c r="D28" s="16">
        <v>58</v>
      </c>
      <c r="E28" s="16">
        <v>0</v>
      </c>
      <c r="F28" s="17">
        <v>4759.74</v>
      </c>
      <c r="G28" s="17">
        <v>-0.1</v>
      </c>
      <c r="H28" s="18">
        <f t="shared" si="1"/>
        <v>2.100955094185817E-5</v>
      </c>
      <c r="I28" s="18">
        <f t="shared" si="2"/>
        <v>0.22846624870652651</v>
      </c>
      <c r="J28" s="17">
        <f t="shared" si="5"/>
        <v>1087.4399426184025</v>
      </c>
      <c r="K28" s="17">
        <f t="shared" si="3"/>
        <v>18.748964527903492</v>
      </c>
      <c r="L28" s="16">
        <v>385</v>
      </c>
      <c r="M28" s="19">
        <f t="shared" si="6"/>
        <v>0.15064935064935064</v>
      </c>
      <c r="N28" s="16">
        <v>73</v>
      </c>
      <c r="O28" s="20">
        <f t="shared" ref="O28:P28" si="36">D28/7</f>
        <v>8.2857142857142865</v>
      </c>
      <c r="P28" s="20">
        <f t="shared" si="36"/>
        <v>0</v>
      </c>
      <c r="Q28" s="16">
        <f t="shared" si="8"/>
        <v>8</v>
      </c>
      <c r="R28" s="16"/>
      <c r="S28" s="21">
        <v>4.1903817550818054</v>
      </c>
      <c r="T28" s="14">
        <v>4056</v>
      </c>
      <c r="U28" s="22">
        <v>44395</v>
      </c>
      <c r="V28" s="23" t="s">
        <v>1207</v>
      </c>
      <c r="W28" s="30">
        <v>0</v>
      </c>
      <c r="X28" s="24">
        <f t="shared" si="9"/>
        <v>0</v>
      </c>
      <c r="Y28" s="25">
        <f t="shared" si="10"/>
        <v>0.1</v>
      </c>
      <c r="Z28" s="30">
        <v>1</v>
      </c>
      <c r="AA28" s="14" t="s">
        <v>35</v>
      </c>
      <c r="AB28" s="27">
        <f t="shared" si="11"/>
        <v>-0.69</v>
      </c>
      <c r="AC28" s="28">
        <v>0.4189287528935185</v>
      </c>
      <c r="AD28" s="25">
        <f t="shared" si="12"/>
        <v>-33.531057381597215</v>
      </c>
      <c r="AE28" s="25">
        <v>-9.2799999999999994</v>
      </c>
      <c r="AF28" s="25">
        <v>-41.146000000000001</v>
      </c>
      <c r="AG28" s="25">
        <v>0</v>
      </c>
    </row>
    <row r="29" spans="1:33" ht="15.75" customHeight="1">
      <c r="A29" s="14" t="s">
        <v>55</v>
      </c>
      <c r="B29" s="14" t="s">
        <v>1208</v>
      </c>
      <c r="C29" s="15">
        <f t="shared" si="4"/>
        <v>78.701956521739135</v>
      </c>
      <c r="D29" s="16">
        <v>46</v>
      </c>
      <c r="E29" s="16">
        <v>0</v>
      </c>
      <c r="F29" s="17">
        <v>3620.29</v>
      </c>
      <c r="G29" s="17">
        <v>-11.17</v>
      </c>
      <c r="H29" s="18">
        <f t="shared" si="1"/>
        <v>3.0853881871341798E-3</v>
      </c>
      <c r="I29" s="18">
        <f t="shared" si="2"/>
        <v>0.19884785549398504</v>
      </c>
      <c r="J29" s="17">
        <f t="shared" si="5"/>
        <v>719.88690276631905</v>
      </c>
      <c r="K29" s="17">
        <f t="shared" si="3"/>
        <v>15.649715277528674</v>
      </c>
      <c r="L29" s="16">
        <v>407</v>
      </c>
      <c r="M29" s="19">
        <f t="shared" si="6"/>
        <v>0.11302211302211303</v>
      </c>
      <c r="N29" s="16">
        <v>408</v>
      </c>
      <c r="O29" s="20">
        <f t="shared" ref="O29:P29" si="37">D29/7</f>
        <v>6.5714285714285712</v>
      </c>
      <c r="P29" s="20">
        <f t="shared" si="37"/>
        <v>0</v>
      </c>
      <c r="Q29" s="16">
        <f t="shared" si="8"/>
        <v>62</v>
      </c>
      <c r="R29" s="16"/>
      <c r="S29" s="21">
        <v>3.599419448476052</v>
      </c>
      <c r="T29" s="14">
        <v>4056</v>
      </c>
      <c r="U29" s="22">
        <v>44395</v>
      </c>
      <c r="V29" s="23" t="s">
        <v>1207</v>
      </c>
      <c r="W29" s="30">
        <v>0</v>
      </c>
      <c r="X29" s="24">
        <f t="shared" si="9"/>
        <v>0</v>
      </c>
      <c r="Y29" s="25">
        <f t="shared" si="10"/>
        <v>5.585</v>
      </c>
      <c r="Z29" s="30">
        <v>2</v>
      </c>
      <c r="AA29" s="14" t="s">
        <v>35</v>
      </c>
      <c r="AB29" s="27">
        <f t="shared" si="11"/>
        <v>-0.69</v>
      </c>
      <c r="AC29" s="28">
        <v>0.4189287528935185</v>
      </c>
      <c r="AD29" s="25">
        <f t="shared" si="12"/>
        <v>-26.593597233680551</v>
      </c>
      <c r="AE29" s="25">
        <v>-9.2799999999999994</v>
      </c>
      <c r="AF29" s="25">
        <v>-41.146000000000001</v>
      </c>
      <c r="AG29" s="25">
        <v>0</v>
      </c>
    </row>
    <row r="30" spans="1:33" ht="15.75" customHeight="1">
      <c r="A30" s="14" t="s">
        <v>57</v>
      </c>
      <c r="B30" s="14" t="s">
        <v>1209</v>
      </c>
      <c r="C30" s="15">
        <f t="shared" si="4"/>
        <v>78.248681318681264</v>
      </c>
      <c r="D30" s="16">
        <v>91</v>
      </c>
      <c r="E30" s="16">
        <v>1</v>
      </c>
      <c r="F30" s="17">
        <v>7120.6299999999956</v>
      </c>
      <c r="G30" s="17">
        <v>-16.52</v>
      </c>
      <c r="H30" s="18">
        <f t="shared" si="1"/>
        <v>2.3200194364824474E-3</v>
      </c>
      <c r="I30" s="18">
        <f t="shared" si="2"/>
        <v>0.20788891884448829</v>
      </c>
      <c r="J30" s="17">
        <f t="shared" si="5"/>
        <v>1480.3000721916278</v>
      </c>
      <c r="K30" s="17">
        <f t="shared" si="3"/>
        <v>16.267033760347559</v>
      </c>
      <c r="L30" s="16">
        <v>331</v>
      </c>
      <c r="M30" s="19">
        <f t="shared" si="6"/>
        <v>0.27492447129909364</v>
      </c>
      <c r="N30" s="16">
        <v>331</v>
      </c>
      <c r="O30" s="20">
        <f t="shared" ref="O30:P30" si="38">D30/7</f>
        <v>13</v>
      </c>
      <c r="P30" s="20">
        <f t="shared" si="38"/>
        <v>0.14285714285714285</v>
      </c>
      <c r="Q30" s="16">
        <f t="shared" si="8"/>
        <v>25</v>
      </c>
      <c r="R30" s="16"/>
      <c r="S30" s="21">
        <v>3.7584442169907879</v>
      </c>
      <c r="T30" s="14">
        <v>2300</v>
      </c>
      <c r="U30" s="22">
        <v>800</v>
      </c>
      <c r="V30" s="23" t="s">
        <v>1210</v>
      </c>
      <c r="W30" s="30">
        <v>2</v>
      </c>
      <c r="X30" s="24">
        <f t="shared" si="9"/>
        <v>2.197802197802198E-2</v>
      </c>
      <c r="Y30" s="25">
        <f t="shared" si="10"/>
        <v>5.5066666666666668</v>
      </c>
      <c r="Z30" s="30">
        <v>1</v>
      </c>
      <c r="AA30" s="14" t="s">
        <v>35</v>
      </c>
      <c r="AB30" s="27">
        <f t="shared" si="11"/>
        <v>-0.69</v>
      </c>
      <c r="AC30" s="28">
        <v>0.4189287528935185</v>
      </c>
      <c r="AD30" s="25">
        <f t="shared" si="12"/>
        <v>-52.609072788368046</v>
      </c>
      <c r="AE30" s="25">
        <v>-9.2799999999999994</v>
      </c>
      <c r="AF30" s="25">
        <v>-40.204685220000002</v>
      </c>
      <c r="AG30" s="25">
        <v>0</v>
      </c>
    </row>
    <row r="31" spans="1:33" ht="15.75" customHeight="1">
      <c r="A31" s="14" t="s">
        <v>58</v>
      </c>
      <c r="B31" s="14" t="s">
        <v>1211</v>
      </c>
      <c r="C31" s="15">
        <f t="shared" si="4"/>
        <v>79.231698113207656</v>
      </c>
      <c r="D31" s="16">
        <v>159</v>
      </c>
      <c r="E31" s="16">
        <v>0</v>
      </c>
      <c r="F31" s="17">
        <v>12597.840000000017</v>
      </c>
      <c r="G31" s="17">
        <v>-114.09</v>
      </c>
      <c r="H31" s="18">
        <f t="shared" si="1"/>
        <v>9.0563144158046019E-3</v>
      </c>
      <c r="I31" s="18">
        <f t="shared" si="2"/>
        <v>0.20909042368057662</v>
      </c>
      <c r="J31" s="17">
        <f t="shared" si="5"/>
        <v>2634.0877030601187</v>
      </c>
      <c r="K31" s="17">
        <f t="shared" si="3"/>
        <v>16.566589327422129</v>
      </c>
      <c r="L31" s="16">
        <v>464</v>
      </c>
      <c r="M31" s="19">
        <f t="shared" si="6"/>
        <v>0.34267241379310343</v>
      </c>
      <c r="N31" s="16">
        <v>164</v>
      </c>
      <c r="O31" s="20">
        <f t="shared" ref="O31:P31" si="39">D31/7</f>
        <v>22.714285714285715</v>
      </c>
      <c r="P31" s="20">
        <f t="shared" si="39"/>
        <v>0</v>
      </c>
      <c r="Q31" s="16">
        <f t="shared" si="8"/>
        <v>7</v>
      </c>
      <c r="R31" s="16"/>
      <c r="S31" s="21">
        <v>3.8651452282157601</v>
      </c>
      <c r="T31" s="14">
        <v>1200</v>
      </c>
      <c r="U31" s="22" t="s">
        <v>34</v>
      </c>
      <c r="V31" s="23" t="s">
        <v>1212</v>
      </c>
      <c r="W31" s="30">
        <v>20</v>
      </c>
      <c r="X31" s="24">
        <f t="shared" si="9"/>
        <v>0.12578616352201258</v>
      </c>
      <c r="Y31" s="25">
        <f t="shared" si="10"/>
        <v>4.2255555555555553</v>
      </c>
      <c r="Z31" s="30">
        <v>7</v>
      </c>
      <c r="AA31" s="14" t="s">
        <v>35</v>
      </c>
      <c r="AB31" s="27">
        <f t="shared" si="11"/>
        <v>-0.69</v>
      </c>
      <c r="AC31" s="28">
        <v>0.4189287528935185</v>
      </c>
      <c r="AD31" s="25">
        <f t="shared" si="12"/>
        <v>-91.921346959895814</v>
      </c>
      <c r="AE31" s="25">
        <v>-9.2799999999999994</v>
      </c>
      <c r="AF31" s="25">
        <v>-40.204685219999995</v>
      </c>
      <c r="AG31" s="25">
        <v>0</v>
      </c>
    </row>
    <row r="32" spans="1:33" ht="15.75" customHeight="1">
      <c r="A32" s="14" t="s">
        <v>60</v>
      </c>
      <c r="B32" s="14"/>
      <c r="C32" s="15">
        <f t="shared" si="4"/>
        <v>79.273076923076928</v>
      </c>
      <c r="D32" s="16">
        <v>91</v>
      </c>
      <c r="E32" s="16">
        <v>0</v>
      </c>
      <c r="F32" s="17">
        <v>7213.85</v>
      </c>
      <c r="G32" s="17">
        <v>-10.02</v>
      </c>
      <c r="H32" s="18">
        <f t="shared" si="1"/>
        <v>1.388994780872904E-3</v>
      </c>
      <c r="I32" s="18">
        <f t="shared" si="2"/>
        <v>0.21708755687900794</v>
      </c>
      <c r="J32" s="17">
        <f t="shared" si="5"/>
        <v>1566.0370721916315</v>
      </c>
      <c r="K32" s="17">
        <f t="shared" si="3"/>
        <v>17.209198595512433</v>
      </c>
      <c r="L32" s="16">
        <v>308</v>
      </c>
      <c r="M32" s="19">
        <f t="shared" si="6"/>
        <v>0.29545454545454547</v>
      </c>
      <c r="N32" s="16">
        <v>70</v>
      </c>
      <c r="O32" s="20">
        <f t="shared" ref="O32:P32" si="40">D32/7</f>
        <v>13</v>
      </c>
      <c r="P32" s="20">
        <f t="shared" si="40"/>
        <v>0</v>
      </c>
      <c r="Q32" s="16">
        <f t="shared" si="8"/>
        <v>5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4.0117855038302883</v>
      </c>
      <c r="T32" s="14">
        <f ca="1">IFERROR(__xludf.DUMMYFUNCTION("IFERROR(VLOOKUP($B$2,IMPORTRANGE(""https://docs.google.com/spreadsheets/d/1KiWZV1ko8G7lnRucBRBd29jj3Be6ltMfljMDqzOkQmI/edit#gid=1381463014"",""Lookup!A:D""),4,FALSE),"""")"),1200)</f>
        <v>1200</v>
      </c>
      <c r="U32" s="22">
        <f ca="1">IFERROR(__xludf.DUMMYFUNCTION("IFERROR(VLOOKUP($B$2,IMPORTRANGE(""https://docs.google.com/spreadsheets/d/1KiWZV1ko8G7lnRucBRBd29jj3Be6ltMfljMDqzOkQmI/edit#gid=1381463014"",""Lookup!A:D""),3,FALSE),"""")"),800)</f>
        <v>800</v>
      </c>
      <c r="V32" s="23" t="str">
        <f ca="1">IFERROR(__xludf.DUMMYFUNCTION("IFERROR(VLOOKUP($B$2,IMPORTRANGE(""https://docs.google.com/spreadsheets/d/1KiWZV1ko8G7lnRucBRBd29jj3Be6ltMfljMDqzOkQmI/edit#gid=1381463014"",""Lookup!A:D""),2,FALSE),"""")"),"| 413  - 800 units 07/26")</f>
        <v>| 413  - 800 units 07/26</v>
      </c>
      <c r="W32" s="30">
        <v>1</v>
      </c>
      <c r="X32" s="24">
        <f t="shared" si="9"/>
        <v>1.098901098901099E-2</v>
      </c>
      <c r="Y32" s="25">
        <f t="shared" si="10"/>
        <v>10.02</v>
      </c>
      <c r="Z32" s="30">
        <v>0</v>
      </c>
      <c r="AA32" s="14" t="s">
        <v>35</v>
      </c>
      <c r="AB32" s="27">
        <f t="shared" si="11"/>
        <v>-0.69</v>
      </c>
      <c r="AC32" s="28">
        <v>0.4189287528935185</v>
      </c>
      <c r="AD32" s="25">
        <f t="shared" si="12"/>
        <v>-52.609072788368046</v>
      </c>
      <c r="AE32" s="25">
        <v>-9.2799999999999994</v>
      </c>
      <c r="AF32" s="25">
        <v>-40.204685220000002</v>
      </c>
      <c r="AG32" s="25">
        <v>0</v>
      </c>
    </row>
    <row r="33" spans="1:33" ht="15.75" customHeight="1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16"/>
      <c r="S33" s="21"/>
      <c r="T33" s="31"/>
      <c r="U33" s="36"/>
      <c r="V33" s="1"/>
      <c r="W33" s="31"/>
      <c r="X33" s="31"/>
      <c r="Y33" s="31"/>
      <c r="Z33" s="31"/>
      <c r="AA33" s="2"/>
      <c r="AB33" s="31"/>
      <c r="AC33" s="31"/>
      <c r="AD33" s="31"/>
      <c r="AE33" s="37"/>
      <c r="AF33" s="37"/>
      <c r="AG33" s="37"/>
    </row>
    <row r="34" spans="1:33" ht="15.75" customHeight="1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6"/>
      <c r="V34" s="1"/>
      <c r="W34" s="31"/>
      <c r="X34" s="31"/>
      <c r="Y34" s="31"/>
      <c r="Z34" s="31"/>
      <c r="AA34" s="2"/>
      <c r="AB34" s="31"/>
      <c r="AC34" s="31"/>
      <c r="AD34" s="31"/>
      <c r="AE34" s="37"/>
      <c r="AF34" s="37"/>
      <c r="AG34" s="37"/>
    </row>
    <row r="35" spans="1:33" ht="15.75" customHeight="1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6"/>
      <c r="V35" s="1"/>
      <c r="W35" s="31"/>
      <c r="X35" s="31"/>
      <c r="Y35" s="31"/>
      <c r="Z35" s="31"/>
      <c r="AA35" s="2"/>
      <c r="AB35" s="31"/>
      <c r="AC35" s="31"/>
      <c r="AD35" s="31"/>
      <c r="AE35" s="37"/>
      <c r="AF35" s="37"/>
      <c r="AG35" s="37"/>
    </row>
    <row r="36" spans="1:33" ht="15.75" customHeight="1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6"/>
      <c r="V36" s="1"/>
      <c r="W36" s="31"/>
      <c r="X36" s="31"/>
      <c r="Y36" s="31"/>
      <c r="Z36" s="31"/>
      <c r="AA36" s="2"/>
      <c r="AB36" s="31"/>
      <c r="AC36" s="31"/>
      <c r="AD36" s="31"/>
      <c r="AE36" s="37"/>
      <c r="AF36" s="37"/>
      <c r="AG36" s="37"/>
    </row>
    <row r="37" spans="1:33" ht="15.75" customHeight="1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6"/>
      <c r="V37" s="1"/>
      <c r="W37" s="31"/>
      <c r="X37" s="31"/>
      <c r="Y37" s="31"/>
      <c r="Z37" s="31"/>
      <c r="AA37" s="2"/>
      <c r="AB37" s="31"/>
      <c r="AC37" s="31"/>
      <c r="AD37" s="31"/>
      <c r="AE37" s="37"/>
      <c r="AF37" s="37"/>
      <c r="AG37" s="37"/>
    </row>
    <row r="38" spans="1:33" ht="15.75" customHeight="1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6"/>
      <c r="V38" s="1"/>
      <c r="W38" s="31"/>
      <c r="X38" s="31"/>
      <c r="Y38" s="31"/>
      <c r="Z38" s="31"/>
      <c r="AA38" s="2"/>
      <c r="AB38" s="31"/>
      <c r="AC38" s="31"/>
      <c r="AD38" s="31"/>
      <c r="AE38" s="37"/>
      <c r="AF38" s="37"/>
      <c r="AG38" s="37"/>
    </row>
    <row r="39" spans="1:33" ht="15.75" customHeight="1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6"/>
      <c r="V39" s="1"/>
      <c r="W39" s="31"/>
      <c r="X39" s="31"/>
      <c r="Y39" s="31"/>
      <c r="Z39" s="31"/>
      <c r="AA39" s="2"/>
      <c r="AB39" s="31"/>
      <c r="AC39" s="31"/>
      <c r="AD39" s="31"/>
      <c r="AE39" s="37"/>
      <c r="AF39" s="37"/>
      <c r="AG39" s="37"/>
    </row>
    <row r="40" spans="1:33" ht="15.75" customHeight="1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6"/>
      <c r="V40" s="1"/>
      <c r="W40" s="31"/>
      <c r="X40" s="31"/>
      <c r="Y40" s="31"/>
      <c r="Z40" s="31"/>
      <c r="AA40" s="2"/>
      <c r="AB40" s="31"/>
      <c r="AC40" s="31"/>
      <c r="AD40" s="31"/>
      <c r="AE40" s="37"/>
      <c r="AF40" s="37"/>
      <c r="AG40" s="37"/>
    </row>
    <row r="41" spans="1:33" ht="15.75" customHeight="1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6"/>
      <c r="V41" s="1"/>
      <c r="W41" s="31"/>
      <c r="X41" s="31"/>
      <c r="Y41" s="31"/>
      <c r="Z41" s="31"/>
      <c r="AA41" s="2"/>
      <c r="AB41" s="31"/>
      <c r="AC41" s="31"/>
      <c r="AD41" s="31"/>
      <c r="AE41" s="37"/>
      <c r="AF41" s="37"/>
      <c r="AG41" s="37"/>
    </row>
    <row r="42" spans="1:33" ht="15.75" customHeight="1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6"/>
      <c r="V42" s="1"/>
      <c r="W42" s="31"/>
      <c r="X42" s="31"/>
      <c r="Y42" s="31"/>
      <c r="Z42" s="31"/>
      <c r="AA42" s="2"/>
      <c r="AB42" s="31"/>
      <c r="AC42" s="31"/>
      <c r="AD42" s="31"/>
      <c r="AE42" s="37"/>
      <c r="AF42" s="37"/>
      <c r="AG42" s="37"/>
    </row>
    <row r="43" spans="1:33" ht="15.75" customHeight="1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6"/>
      <c r="V43" s="1"/>
      <c r="W43" s="31"/>
      <c r="X43" s="31"/>
      <c r="Y43" s="31"/>
      <c r="Z43" s="31"/>
      <c r="AA43" s="2"/>
      <c r="AB43" s="31"/>
      <c r="AC43" s="31"/>
      <c r="AD43" s="31"/>
      <c r="AE43" s="37"/>
      <c r="AF43" s="37"/>
      <c r="AG43" s="37"/>
    </row>
    <row r="44" spans="1:33" ht="15.75" customHeight="1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6"/>
      <c r="V44" s="1"/>
      <c r="W44" s="31"/>
      <c r="X44" s="31"/>
      <c r="Y44" s="31"/>
      <c r="Z44" s="31"/>
      <c r="AA44" s="2"/>
      <c r="AB44" s="31"/>
      <c r="AC44" s="31"/>
      <c r="AD44" s="31"/>
      <c r="AE44" s="37"/>
      <c r="AF44" s="37"/>
      <c r="AG44" s="37"/>
    </row>
    <row r="45" spans="1:33" ht="15.75" customHeight="1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6"/>
      <c r="V45" s="1"/>
      <c r="W45" s="31"/>
      <c r="X45" s="31"/>
      <c r="Y45" s="31"/>
      <c r="Z45" s="31"/>
      <c r="AA45" s="2"/>
      <c r="AB45" s="31"/>
      <c r="AC45" s="31"/>
      <c r="AD45" s="31"/>
      <c r="AE45" s="37"/>
      <c r="AF45" s="37"/>
      <c r="AG45" s="37"/>
    </row>
    <row r="46" spans="1:33" ht="15.75" customHeight="1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6"/>
      <c r="V46" s="1"/>
      <c r="W46" s="31"/>
      <c r="X46" s="31"/>
      <c r="Y46" s="31"/>
      <c r="Z46" s="31"/>
      <c r="AA46" s="2"/>
      <c r="AB46" s="31"/>
      <c r="AC46" s="31"/>
      <c r="AD46" s="31"/>
      <c r="AE46" s="37"/>
      <c r="AF46" s="37"/>
      <c r="AG46" s="37"/>
    </row>
    <row r="47" spans="1:33" ht="15.75" customHeight="1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6"/>
      <c r="V47" s="1"/>
      <c r="W47" s="31"/>
      <c r="X47" s="31"/>
      <c r="Y47" s="31"/>
      <c r="Z47" s="31"/>
      <c r="AA47" s="2"/>
      <c r="AB47" s="31"/>
      <c r="AC47" s="31"/>
      <c r="AD47" s="31"/>
      <c r="AE47" s="37"/>
      <c r="AF47" s="37"/>
      <c r="AG47" s="37"/>
    </row>
    <row r="48" spans="1:33" ht="15.75" customHeight="1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6"/>
      <c r="V48" s="1"/>
      <c r="W48" s="31"/>
      <c r="X48" s="31"/>
      <c r="Y48" s="31"/>
      <c r="Z48" s="31"/>
      <c r="AA48" s="2"/>
      <c r="AB48" s="31"/>
      <c r="AC48" s="31"/>
      <c r="AD48" s="31"/>
      <c r="AE48" s="37"/>
      <c r="AF48" s="37"/>
      <c r="AG48" s="37"/>
    </row>
    <row r="49" spans="1:33" ht="15.75" customHeight="1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6"/>
      <c r="V49" s="1"/>
      <c r="W49" s="31"/>
      <c r="X49" s="31"/>
      <c r="Y49" s="31"/>
      <c r="Z49" s="31"/>
      <c r="AA49" s="2"/>
      <c r="AB49" s="31"/>
      <c r="AC49" s="31"/>
      <c r="AD49" s="31"/>
      <c r="AE49" s="37"/>
      <c r="AF49" s="37"/>
      <c r="AG49" s="37"/>
    </row>
    <row r="50" spans="1:33" ht="15.75" customHeight="1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6"/>
      <c r="V50" s="1"/>
      <c r="W50" s="31"/>
      <c r="X50" s="31"/>
      <c r="Y50" s="31"/>
      <c r="Z50" s="31"/>
      <c r="AA50" s="2"/>
      <c r="AB50" s="31"/>
      <c r="AC50" s="31"/>
      <c r="AD50" s="31"/>
      <c r="AE50" s="37"/>
      <c r="AF50" s="37"/>
      <c r="AG50" s="37"/>
    </row>
    <row r="51" spans="1:33" ht="15.75" customHeight="1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6"/>
      <c r="V51" s="1"/>
      <c r="W51" s="31"/>
      <c r="X51" s="31"/>
      <c r="Y51" s="31"/>
      <c r="Z51" s="31"/>
      <c r="AA51" s="2"/>
      <c r="AB51" s="31"/>
      <c r="AC51" s="31"/>
      <c r="AD51" s="31"/>
      <c r="AE51" s="37"/>
      <c r="AF51" s="37"/>
      <c r="AG51" s="37"/>
    </row>
    <row r="52" spans="1:33" ht="15.75" customHeight="1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6"/>
      <c r="V52" s="1"/>
      <c r="W52" s="31"/>
      <c r="X52" s="31"/>
      <c r="Y52" s="31"/>
      <c r="Z52" s="31"/>
      <c r="AA52" s="2"/>
      <c r="AB52" s="31"/>
      <c r="AC52" s="31"/>
      <c r="AD52" s="31"/>
      <c r="AE52" s="37"/>
      <c r="AF52" s="37"/>
      <c r="AG52" s="37"/>
    </row>
    <row r="53" spans="1:33" ht="15.75" customHeight="1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6"/>
      <c r="V53" s="1"/>
      <c r="W53" s="31"/>
      <c r="X53" s="31"/>
      <c r="Y53" s="31"/>
      <c r="Z53" s="31"/>
      <c r="AA53" s="2"/>
      <c r="AB53" s="31"/>
      <c r="AC53" s="31"/>
      <c r="AD53" s="31"/>
      <c r="AE53" s="37"/>
      <c r="AF53" s="37"/>
      <c r="AG53" s="37"/>
    </row>
    <row r="54" spans="1:33" ht="15.75" customHeight="1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6"/>
      <c r="V54" s="1"/>
      <c r="W54" s="31"/>
      <c r="X54" s="31"/>
      <c r="Y54" s="31"/>
      <c r="Z54" s="31"/>
      <c r="AA54" s="2"/>
      <c r="AB54" s="31"/>
      <c r="AC54" s="31"/>
      <c r="AD54" s="31"/>
      <c r="AE54" s="37"/>
      <c r="AF54" s="37"/>
      <c r="AG54" s="37"/>
    </row>
    <row r="55" spans="1:33" ht="15.75" customHeight="1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6"/>
      <c r="V55" s="1"/>
      <c r="W55" s="31"/>
      <c r="X55" s="31"/>
      <c r="Y55" s="31"/>
      <c r="Z55" s="31"/>
      <c r="AA55" s="2"/>
      <c r="AB55" s="31"/>
      <c r="AC55" s="31"/>
      <c r="AD55" s="31"/>
      <c r="AE55" s="37"/>
      <c r="AF55" s="37"/>
      <c r="AG55" s="37"/>
    </row>
    <row r="56" spans="1:33" ht="15.75" customHeight="1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6"/>
      <c r="V56" s="1"/>
      <c r="W56" s="31"/>
      <c r="X56" s="31"/>
      <c r="Y56" s="31"/>
      <c r="Z56" s="31"/>
      <c r="AA56" s="2"/>
      <c r="AB56" s="31"/>
      <c r="AC56" s="31"/>
      <c r="AD56" s="31"/>
      <c r="AE56" s="37"/>
      <c r="AF56" s="37"/>
      <c r="AG56" s="37"/>
    </row>
    <row r="57" spans="1:33" ht="15.75" customHeight="1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6"/>
      <c r="V57" s="1"/>
      <c r="W57" s="31"/>
      <c r="X57" s="31"/>
      <c r="Y57" s="31"/>
      <c r="Z57" s="31"/>
      <c r="AA57" s="2"/>
      <c r="AB57" s="31"/>
      <c r="AC57" s="31"/>
      <c r="AD57" s="31"/>
      <c r="AE57" s="37"/>
      <c r="AF57" s="37"/>
      <c r="AG57" s="37"/>
    </row>
    <row r="58" spans="1:33" ht="15.75" customHeight="1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6"/>
      <c r="V58" s="1"/>
      <c r="W58" s="31"/>
      <c r="X58" s="31"/>
      <c r="Y58" s="31"/>
      <c r="Z58" s="31"/>
      <c r="AA58" s="2"/>
      <c r="AB58" s="31"/>
      <c r="AC58" s="31"/>
      <c r="AD58" s="31"/>
      <c r="AE58" s="37"/>
      <c r="AF58" s="37"/>
      <c r="AG58" s="37"/>
    </row>
    <row r="59" spans="1:33" ht="15.75" customHeight="1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6"/>
      <c r="V59" s="1"/>
      <c r="W59" s="31"/>
      <c r="X59" s="31"/>
      <c r="Y59" s="31"/>
      <c r="Z59" s="31"/>
      <c r="AA59" s="2"/>
      <c r="AB59" s="31"/>
      <c r="AC59" s="31"/>
      <c r="AD59" s="31"/>
      <c r="AE59" s="37"/>
      <c r="AF59" s="37"/>
      <c r="AG59" s="37"/>
    </row>
    <row r="60" spans="1:33" ht="15.75" customHeight="1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6"/>
      <c r="V60" s="1"/>
      <c r="W60" s="31"/>
      <c r="X60" s="31"/>
      <c r="Y60" s="31"/>
      <c r="Z60" s="31"/>
      <c r="AA60" s="2"/>
      <c r="AB60" s="31"/>
      <c r="AC60" s="31"/>
      <c r="AD60" s="31"/>
      <c r="AE60" s="37"/>
      <c r="AF60" s="37"/>
      <c r="AG60" s="37"/>
    </row>
    <row r="61" spans="1:33" ht="15.75" customHeight="1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6"/>
      <c r="V61" s="1"/>
      <c r="W61" s="31"/>
      <c r="X61" s="31"/>
      <c r="Y61" s="31"/>
      <c r="Z61" s="31"/>
      <c r="AA61" s="2"/>
      <c r="AB61" s="31"/>
      <c r="AC61" s="31"/>
      <c r="AD61" s="31"/>
      <c r="AE61" s="37"/>
      <c r="AF61" s="37"/>
      <c r="AG61" s="37"/>
    </row>
    <row r="62" spans="1:33" ht="15.75" customHeight="1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6"/>
      <c r="V62" s="1"/>
      <c r="W62" s="31"/>
      <c r="X62" s="31"/>
      <c r="Y62" s="31"/>
      <c r="Z62" s="31"/>
      <c r="AA62" s="2"/>
      <c r="AB62" s="31"/>
      <c r="AC62" s="31"/>
      <c r="AD62" s="31"/>
      <c r="AE62" s="37"/>
      <c r="AF62" s="37"/>
      <c r="AG62" s="37"/>
    </row>
    <row r="63" spans="1:33" ht="15.75" customHeight="1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6"/>
      <c r="V63" s="1"/>
      <c r="W63" s="31"/>
      <c r="X63" s="31"/>
      <c r="Y63" s="31"/>
      <c r="Z63" s="31"/>
      <c r="AA63" s="2"/>
      <c r="AB63" s="31"/>
      <c r="AC63" s="31"/>
      <c r="AD63" s="31"/>
      <c r="AE63" s="37"/>
      <c r="AF63" s="37"/>
      <c r="AG63" s="37"/>
    </row>
    <row r="64" spans="1:33" ht="15.75" customHeight="1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6"/>
      <c r="V64" s="1"/>
      <c r="W64" s="31"/>
      <c r="X64" s="31"/>
      <c r="Y64" s="31"/>
      <c r="Z64" s="31"/>
      <c r="AA64" s="2"/>
      <c r="AB64" s="31"/>
      <c r="AC64" s="31"/>
      <c r="AD64" s="31"/>
      <c r="AE64" s="37"/>
      <c r="AF64" s="37"/>
      <c r="AG64" s="37"/>
    </row>
    <row r="65" spans="1:33" ht="15.75" customHeight="1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6"/>
      <c r="V65" s="1"/>
      <c r="W65" s="31"/>
      <c r="X65" s="31"/>
      <c r="Y65" s="31"/>
      <c r="Z65" s="31"/>
      <c r="AA65" s="2"/>
      <c r="AB65" s="31"/>
      <c r="AC65" s="31"/>
      <c r="AD65" s="31"/>
      <c r="AE65" s="37"/>
      <c r="AF65" s="37"/>
      <c r="AG65" s="37"/>
    </row>
    <row r="66" spans="1:33" ht="15.75" customHeight="1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6"/>
      <c r="V66" s="1"/>
      <c r="W66" s="31"/>
      <c r="X66" s="31"/>
      <c r="Y66" s="31"/>
      <c r="Z66" s="31"/>
      <c r="AA66" s="2"/>
      <c r="AB66" s="31"/>
      <c r="AC66" s="31"/>
      <c r="AD66" s="31"/>
      <c r="AE66" s="37"/>
      <c r="AF66" s="37"/>
      <c r="AG66" s="37"/>
    </row>
    <row r="67" spans="1:33" ht="15.75" customHeight="1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6"/>
      <c r="V67" s="1"/>
      <c r="W67" s="31"/>
      <c r="X67" s="31"/>
      <c r="Y67" s="31"/>
      <c r="Z67" s="31"/>
      <c r="AA67" s="2"/>
      <c r="AB67" s="31"/>
      <c r="AC67" s="31"/>
      <c r="AD67" s="31"/>
      <c r="AE67" s="37"/>
      <c r="AF67" s="37"/>
      <c r="AG67" s="37"/>
    </row>
    <row r="68" spans="1:33" ht="15.75" customHeight="1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6"/>
      <c r="V68" s="1"/>
      <c r="W68" s="31"/>
      <c r="X68" s="31"/>
      <c r="Y68" s="31"/>
      <c r="Z68" s="31"/>
      <c r="AA68" s="2"/>
      <c r="AB68" s="31"/>
      <c r="AC68" s="31"/>
      <c r="AD68" s="31"/>
      <c r="AE68" s="37"/>
      <c r="AF68" s="37"/>
      <c r="AG68" s="37"/>
    </row>
    <row r="69" spans="1:33" ht="15.75" customHeight="1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6"/>
      <c r="V69" s="1"/>
      <c r="W69" s="31"/>
      <c r="X69" s="31"/>
      <c r="Y69" s="31"/>
      <c r="Z69" s="31"/>
      <c r="AA69" s="2"/>
      <c r="AB69" s="31"/>
      <c r="AC69" s="31"/>
      <c r="AD69" s="31"/>
      <c r="AE69" s="37"/>
      <c r="AF69" s="37"/>
      <c r="AG69" s="37"/>
    </row>
    <row r="70" spans="1:33" ht="15.75" customHeight="1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6"/>
      <c r="V70" s="1"/>
      <c r="W70" s="31"/>
      <c r="X70" s="31"/>
      <c r="Y70" s="31"/>
      <c r="Z70" s="31"/>
      <c r="AA70" s="2"/>
      <c r="AB70" s="31"/>
      <c r="AC70" s="31"/>
      <c r="AD70" s="31"/>
      <c r="AE70" s="37"/>
      <c r="AF70" s="37"/>
      <c r="AG70" s="37"/>
    </row>
    <row r="71" spans="1:33" ht="15.75" customHeight="1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6"/>
      <c r="V71" s="1"/>
      <c r="W71" s="31"/>
      <c r="X71" s="31"/>
      <c r="Y71" s="31"/>
      <c r="Z71" s="31"/>
      <c r="AA71" s="2"/>
      <c r="AB71" s="31"/>
      <c r="AC71" s="31"/>
      <c r="AD71" s="31"/>
      <c r="AE71" s="37"/>
      <c r="AF71" s="37"/>
      <c r="AG71" s="37"/>
    </row>
    <row r="72" spans="1:33" ht="15.75" customHeight="1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6"/>
      <c r="V72" s="1"/>
      <c r="W72" s="31"/>
      <c r="X72" s="31"/>
      <c r="Y72" s="31"/>
      <c r="Z72" s="31"/>
      <c r="AA72" s="2"/>
      <c r="AB72" s="31"/>
      <c r="AC72" s="31"/>
      <c r="AD72" s="31"/>
      <c r="AE72" s="37"/>
      <c r="AF72" s="37"/>
      <c r="AG72" s="37"/>
    </row>
    <row r="73" spans="1:33" ht="15.75" customHeight="1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6"/>
      <c r="V73" s="1"/>
      <c r="W73" s="31"/>
      <c r="X73" s="31"/>
      <c r="Y73" s="31"/>
      <c r="Z73" s="31"/>
      <c r="AA73" s="2"/>
      <c r="AB73" s="31"/>
      <c r="AC73" s="31"/>
      <c r="AD73" s="31"/>
      <c r="AE73" s="37"/>
      <c r="AF73" s="37"/>
      <c r="AG73" s="37"/>
    </row>
    <row r="74" spans="1:33" ht="15.75" customHeight="1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6"/>
      <c r="V74" s="1"/>
      <c r="W74" s="31"/>
      <c r="X74" s="31"/>
      <c r="Y74" s="31"/>
      <c r="Z74" s="31"/>
      <c r="AA74" s="2"/>
      <c r="AB74" s="31"/>
      <c r="AC74" s="31"/>
      <c r="AD74" s="31"/>
      <c r="AE74" s="37"/>
      <c r="AF74" s="37"/>
      <c r="AG74" s="37"/>
    </row>
    <row r="75" spans="1:33" ht="15.75" customHeight="1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6"/>
      <c r="V75" s="1"/>
      <c r="W75" s="31"/>
      <c r="X75" s="31"/>
      <c r="Y75" s="31"/>
      <c r="Z75" s="31"/>
      <c r="AA75" s="2"/>
      <c r="AB75" s="31"/>
      <c r="AC75" s="31"/>
      <c r="AD75" s="31"/>
      <c r="AE75" s="37"/>
      <c r="AF75" s="37"/>
      <c r="AG75" s="37"/>
    </row>
    <row r="76" spans="1:33" ht="15.75" customHeight="1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6"/>
      <c r="V76" s="1"/>
      <c r="W76" s="31"/>
      <c r="X76" s="31"/>
      <c r="Y76" s="31"/>
      <c r="Z76" s="31"/>
      <c r="AA76" s="2"/>
      <c r="AB76" s="31"/>
      <c r="AC76" s="31"/>
      <c r="AD76" s="31"/>
      <c r="AE76" s="37"/>
      <c r="AF76" s="37"/>
      <c r="AG76" s="37"/>
    </row>
    <row r="77" spans="1:33" ht="15.75" customHeight="1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6"/>
      <c r="V77" s="1"/>
      <c r="W77" s="31"/>
      <c r="X77" s="31"/>
      <c r="Y77" s="31"/>
      <c r="Z77" s="31"/>
      <c r="AA77" s="2"/>
      <c r="AB77" s="31"/>
      <c r="AC77" s="31"/>
      <c r="AD77" s="31"/>
      <c r="AE77" s="37"/>
      <c r="AF77" s="37"/>
      <c r="AG77" s="37"/>
    </row>
    <row r="78" spans="1:33" ht="15.75" customHeight="1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6"/>
      <c r="V78" s="1"/>
      <c r="W78" s="31"/>
      <c r="X78" s="31"/>
      <c r="Y78" s="31"/>
      <c r="Z78" s="31"/>
      <c r="AA78" s="2"/>
      <c r="AB78" s="31"/>
      <c r="AC78" s="31"/>
      <c r="AD78" s="31"/>
      <c r="AE78" s="37"/>
      <c r="AF78" s="37"/>
      <c r="AG78" s="37"/>
    </row>
    <row r="79" spans="1:33" ht="15.75" customHeight="1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6"/>
      <c r="V79" s="1"/>
      <c r="W79" s="31"/>
      <c r="X79" s="31"/>
      <c r="Y79" s="31"/>
      <c r="Z79" s="31"/>
      <c r="AA79" s="2"/>
      <c r="AB79" s="31"/>
      <c r="AC79" s="31"/>
      <c r="AD79" s="31"/>
      <c r="AE79" s="37"/>
      <c r="AF79" s="37"/>
      <c r="AG79" s="37"/>
    </row>
    <row r="80" spans="1:33" ht="15.75" customHeight="1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6"/>
      <c r="V80" s="1"/>
      <c r="W80" s="31"/>
      <c r="X80" s="31"/>
      <c r="Y80" s="31"/>
      <c r="Z80" s="31"/>
      <c r="AA80" s="2"/>
      <c r="AB80" s="31"/>
      <c r="AC80" s="31"/>
      <c r="AD80" s="31"/>
      <c r="AE80" s="37"/>
      <c r="AF80" s="37"/>
      <c r="AG80" s="37"/>
    </row>
    <row r="81" spans="1:33" ht="15.75" customHeight="1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6"/>
      <c r="V81" s="1"/>
      <c r="W81" s="31"/>
      <c r="X81" s="31"/>
      <c r="Y81" s="31"/>
      <c r="Z81" s="31"/>
      <c r="AA81" s="2"/>
      <c r="AB81" s="31"/>
      <c r="AC81" s="31"/>
      <c r="AD81" s="31"/>
      <c r="AE81" s="37"/>
      <c r="AF81" s="37"/>
      <c r="AG81" s="37"/>
    </row>
    <row r="82" spans="1:33" ht="15.75" customHeight="1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6"/>
      <c r="V82" s="1"/>
      <c r="W82" s="31"/>
      <c r="X82" s="31"/>
      <c r="Y82" s="31"/>
      <c r="Z82" s="31"/>
      <c r="AA82" s="2"/>
      <c r="AB82" s="31"/>
      <c r="AC82" s="31"/>
      <c r="AD82" s="31"/>
      <c r="AE82" s="37"/>
      <c r="AF82" s="37"/>
      <c r="AG82" s="37"/>
    </row>
    <row r="83" spans="1:33" ht="15.75" customHeight="1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6"/>
      <c r="V83" s="1"/>
      <c r="W83" s="31"/>
      <c r="X83" s="31"/>
      <c r="Y83" s="31"/>
      <c r="Z83" s="31"/>
      <c r="AA83" s="2"/>
      <c r="AB83" s="31"/>
      <c r="AC83" s="31"/>
      <c r="AD83" s="31"/>
      <c r="AE83" s="37"/>
      <c r="AF83" s="37"/>
      <c r="AG83" s="37"/>
    </row>
    <row r="84" spans="1:33" ht="15.75" customHeight="1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6"/>
      <c r="V84" s="1"/>
      <c r="W84" s="31"/>
      <c r="X84" s="31"/>
      <c r="Y84" s="31"/>
      <c r="Z84" s="31"/>
      <c r="AA84" s="2"/>
      <c r="AB84" s="31"/>
      <c r="AC84" s="31"/>
      <c r="AD84" s="31"/>
      <c r="AE84" s="37"/>
      <c r="AF84" s="37"/>
      <c r="AG84" s="37"/>
    </row>
    <row r="85" spans="1:33" ht="15.75" customHeight="1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6"/>
      <c r="V85" s="1"/>
      <c r="W85" s="31"/>
      <c r="X85" s="31"/>
      <c r="Y85" s="31"/>
      <c r="Z85" s="31"/>
      <c r="AA85" s="2"/>
      <c r="AB85" s="31"/>
      <c r="AC85" s="31"/>
      <c r="AD85" s="31"/>
      <c r="AE85" s="37"/>
      <c r="AF85" s="37"/>
      <c r="AG85" s="37"/>
    </row>
    <row r="86" spans="1:33" ht="15.75" customHeight="1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6"/>
      <c r="V86" s="1"/>
      <c r="W86" s="31"/>
      <c r="X86" s="31"/>
      <c r="Y86" s="31"/>
      <c r="Z86" s="31"/>
      <c r="AA86" s="2"/>
      <c r="AB86" s="31"/>
      <c r="AC86" s="31"/>
      <c r="AD86" s="31"/>
      <c r="AE86" s="37"/>
      <c r="AF86" s="37"/>
      <c r="AG86" s="37"/>
    </row>
    <row r="87" spans="1:33" ht="15.75" customHeight="1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6"/>
      <c r="V87" s="1"/>
      <c r="W87" s="31"/>
      <c r="X87" s="31"/>
      <c r="Y87" s="31"/>
      <c r="Z87" s="31"/>
      <c r="AA87" s="2"/>
      <c r="AB87" s="31"/>
      <c r="AC87" s="31"/>
      <c r="AD87" s="31"/>
      <c r="AE87" s="37"/>
      <c r="AF87" s="37"/>
      <c r="AG87" s="37"/>
    </row>
    <row r="88" spans="1:33" ht="15.75" customHeight="1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6"/>
      <c r="V88" s="1"/>
      <c r="W88" s="31"/>
      <c r="X88" s="31"/>
      <c r="Y88" s="31"/>
      <c r="Z88" s="31"/>
      <c r="AA88" s="2"/>
      <c r="AB88" s="31"/>
      <c r="AC88" s="31"/>
      <c r="AD88" s="31"/>
      <c r="AE88" s="37"/>
      <c r="AF88" s="37"/>
      <c r="AG88" s="37"/>
    </row>
    <row r="89" spans="1:33" ht="15.75" customHeight="1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6"/>
      <c r="V89" s="1"/>
      <c r="W89" s="31"/>
      <c r="X89" s="31"/>
      <c r="Y89" s="31"/>
      <c r="Z89" s="31"/>
      <c r="AA89" s="2"/>
      <c r="AB89" s="31"/>
      <c r="AC89" s="31"/>
      <c r="AD89" s="31"/>
      <c r="AE89" s="37"/>
      <c r="AF89" s="37"/>
      <c r="AG89" s="37"/>
    </row>
    <row r="90" spans="1:33" ht="15.75" customHeight="1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6"/>
      <c r="V90" s="1"/>
      <c r="W90" s="31"/>
      <c r="X90" s="31"/>
      <c r="Y90" s="31"/>
      <c r="Z90" s="31"/>
      <c r="AA90" s="2"/>
      <c r="AB90" s="31"/>
      <c r="AC90" s="31"/>
      <c r="AD90" s="31"/>
      <c r="AE90" s="37"/>
      <c r="AF90" s="37"/>
      <c r="AG90" s="37"/>
    </row>
    <row r="91" spans="1:33" ht="15.75" customHeight="1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6"/>
      <c r="V91" s="1"/>
      <c r="W91" s="31"/>
      <c r="X91" s="31"/>
      <c r="Y91" s="31"/>
      <c r="Z91" s="31"/>
      <c r="AA91" s="2"/>
      <c r="AB91" s="31"/>
      <c r="AC91" s="31"/>
      <c r="AD91" s="31"/>
      <c r="AE91" s="37"/>
      <c r="AF91" s="37"/>
      <c r="AG91" s="37"/>
    </row>
    <row r="92" spans="1:33" ht="15.75" customHeight="1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6"/>
      <c r="V92" s="1"/>
      <c r="W92" s="31"/>
      <c r="X92" s="31"/>
      <c r="Y92" s="31"/>
      <c r="Z92" s="31"/>
      <c r="AA92" s="2"/>
      <c r="AB92" s="31"/>
      <c r="AC92" s="31"/>
      <c r="AD92" s="31"/>
      <c r="AE92" s="37"/>
      <c r="AF92" s="37"/>
      <c r="AG92" s="37"/>
    </row>
    <row r="93" spans="1:33" ht="15.75" customHeight="1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6"/>
      <c r="V93" s="1"/>
      <c r="W93" s="31"/>
      <c r="X93" s="31"/>
      <c r="Y93" s="31"/>
      <c r="Z93" s="31"/>
      <c r="AA93" s="2"/>
      <c r="AB93" s="31"/>
      <c r="AC93" s="31"/>
      <c r="AD93" s="31"/>
      <c r="AE93" s="37"/>
      <c r="AF93" s="37"/>
      <c r="AG93" s="37"/>
    </row>
    <row r="94" spans="1:33" ht="15.75" customHeight="1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6"/>
      <c r="V94" s="1"/>
      <c r="W94" s="31"/>
      <c r="X94" s="31"/>
      <c r="Y94" s="31"/>
      <c r="Z94" s="31"/>
      <c r="AA94" s="2"/>
      <c r="AB94" s="31"/>
      <c r="AC94" s="31"/>
      <c r="AD94" s="31"/>
      <c r="AE94" s="37"/>
      <c r="AF94" s="37"/>
      <c r="AG94" s="37"/>
    </row>
    <row r="95" spans="1:33" ht="15.75" customHeight="1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6"/>
      <c r="V95" s="1"/>
      <c r="W95" s="31"/>
      <c r="X95" s="31"/>
      <c r="Y95" s="31"/>
      <c r="Z95" s="31"/>
      <c r="AA95" s="2"/>
      <c r="AB95" s="31"/>
      <c r="AC95" s="31"/>
      <c r="AD95" s="31"/>
      <c r="AE95" s="37"/>
      <c r="AF95" s="37"/>
      <c r="AG95" s="37"/>
    </row>
    <row r="96" spans="1:33" ht="15.75" customHeight="1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6"/>
      <c r="V96" s="1"/>
      <c r="W96" s="31"/>
      <c r="X96" s="31"/>
      <c r="Y96" s="31"/>
      <c r="Z96" s="31"/>
      <c r="AA96" s="2"/>
      <c r="AB96" s="31"/>
      <c r="AC96" s="31"/>
      <c r="AD96" s="31"/>
      <c r="AE96" s="37"/>
      <c r="AF96" s="37"/>
      <c r="AG96" s="37"/>
    </row>
    <row r="97" spans="1:33" ht="15.75" customHeight="1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8"/>
      <c r="R97" s="38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8"/>
      <c r="R98" s="38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8"/>
      <c r="R99" s="38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8"/>
      <c r="R100" s="38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8"/>
      <c r="R101" s="38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8"/>
      <c r="R102" s="38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8"/>
      <c r="R103" s="38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8"/>
      <c r="R104" s="38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8"/>
      <c r="R105" s="38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8"/>
      <c r="R106" s="38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8"/>
      <c r="R107" s="38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8"/>
      <c r="R108" s="38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8"/>
      <c r="R109" s="38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8"/>
      <c r="R110" s="38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8"/>
      <c r="R111" s="38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8"/>
      <c r="R112" s="38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8"/>
      <c r="R113" s="38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8"/>
      <c r="R114" s="38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>
      <c r="A115" s="31"/>
      <c r="B115" s="31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>
      <c r="A116" s="31"/>
      <c r="B116" s="31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>
      <c r="A117" s="31"/>
      <c r="B117" s="31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>
      <c r="A118" s="31"/>
      <c r="B118" s="31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>
      <c r="A119" s="31"/>
      <c r="B119" s="31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>
      <c r="A120" s="31"/>
      <c r="B120" s="31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>
      <c r="A121" s="31"/>
      <c r="B121" s="31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>
      <c r="A122" s="31"/>
      <c r="B122" s="31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>
      <c r="A123" s="31"/>
      <c r="B123" s="31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>
      <c r="A124" s="31"/>
      <c r="B124" s="31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>
      <c r="A125" s="31"/>
      <c r="B125" s="31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>
      <c r="A126" s="31"/>
      <c r="B126" s="31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>
      <c r="A127" s="31"/>
      <c r="B127" s="31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>
      <c r="A128" s="31"/>
      <c r="B128" s="31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>
      <c r="A129" s="31"/>
      <c r="B129" s="31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>
      <c r="A130" s="31"/>
      <c r="B130" s="31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>
      <c r="A131" s="31"/>
      <c r="B131" s="31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>
      <c r="A132" s="31"/>
      <c r="B132" s="31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>
      <c r="A133" s="31"/>
      <c r="B133" s="31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>
      <c r="A134" s="31"/>
      <c r="B134" s="31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>
      <c r="A135" s="31"/>
      <c r="B135" s="31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>
      <c r="A136" s="31"/>
      <c r="B136" s="31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>
      <c r="A137" s="31"/>
      <c r="B137" s="31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>
      <c r="A138" s="31"/>
      <c r="B138" s="31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>
      <c r="A139" s="31"/>
      <c r="B139" s="31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>
      <c r="A140" s="31"/>
      <c r="B140" s="31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>
      <c r="A141" s="31"/>
      <c r="B141" s="31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2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>
      <c r="A142" s="31"/>
      <c r="B142" s="31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2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>
      <c r="A143" s="31"/>
      <c r="B143" s="31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2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>
      <c r="A144" s="31"/>
      <c r="B144" s="31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2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>
      <c r="A145" s="31"/>
      <c r="B145" s="31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2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>
      <c r="A146" s="31"/>
      <c r="B146" s="31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2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>
      <c r="A147" s="31"/>
      <c r="B147" s="31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2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>
      <c r="A148" s="31"/>
      <c r="B148" s="31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2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</row>
    <row r="149" spans="1:33" ht="15.75" customHeight="1">
      <c r="A149" s="14"/>
      <c r="B149" s="14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>
      <c r="A150" s="14"/>
      <c r="B150" s="14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>
      <c r="A151" s="14"/>
      <c r="B151" s="14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>
      <c r="A152" s="14"/>
      <c r="B152" s="14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>
      <c r="A153" s="14"/>
      <c r="B153" s="14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>
      <c r="A154" s="14"/>
      <c r="B154" s="14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>
      <c r="A155" s="14"/>
      <c r="B155" s="14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>
      <c r="A156" s="14"/>
      <c r="B156" s="14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>
      <c r="A157" s="14"/>
      <c r="B157" s="14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>
      <c r="A158" s="14"/>
      <c r="B158" s="14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>
      <c r="A159" s="14"/>
      <c r="B159" s="14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>
      <c r="A160" s="14"/>
      <c r="B160" s="14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>
      <c r="A161" s="14"/>
      <c r="B161" s="14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>
      <c r="A162" s="14"/>
      <c r="B162" s="14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>
      <c r="A163" s="14"/>
      <c r="B163" s="14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>
      <c r="A164" s="14"/>
      <c r="B164" s="14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>
      <c r="A165" s="14"/>
      <c r="B165" s="14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>
      <c r="A166" s="14"/>
      <c r="B166" s="14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>
      <c r="A167" s="14"/>
      <c r="B167" s="14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>
      <c r="A168" s="14"/>
      <c r="B168" s="14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>
      <c r="A169" s="14"/>
      <c r="B169" s="14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>
      <c r="A170" s="14"/>
      <c r="B170" s="14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>
      <c r="A171" s="14"/>
      <c r="B171" s="14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>
      <c r="A172" s="14"/>
      <c r="B172" s="14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>
      <c r="A173" s="14"/>
      <c r="B173" s="14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>
      <c r="A174" s="14"/>
      <c r="B174" s="14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>
      <c r="A175" s="14"/>
      <c r="B175" s="14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>
      <c r="A176" s="14"/>
      <c r="B176" s="14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>
      <c r="A177" s="14"/>
      <c r="B177" s="14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>
      <c r="A178" s="14"/>
      <c r="B178" s="14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>
      <c r="A179" s="14"/>
      <c r="B179" s="14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>
      <c r="A180" s="14"/>
      <c r="B180" s="14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>
      <c r="A181" s="14"/>
      <c r="B181" s="14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>
      <c r="A182" s="14"/>
      <c r="B182" s="14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>
      <c r="A183" s="14"/>
      <c r="B183" s="14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>
      <c r="A184" s="14"/>
      <c r="B184" s="14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>
      <c r="A185" s="14"/>
      <c r="B185" s="14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>
      <c r="A186" s="14"/>
      <c r="B186" s="14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>
      <c r="A187" s="14"/>
      <c r="B187" s="14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>
      <c r="A188" s="14"/>
      <c r="B188" s="14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>
      <c r="A189" s="14"/>
      <c r="B189" s="14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>
      <c r="A190" s="14"/>
      <c r="B190" s="14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>
      <c r="A191" s="14"/>
      <c r="B191" s="14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>
      <c r="A192" s="14"/>
      <c r="B192" s="14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>
      <c r="A193" s="14"/>
      <c r="B193" s="14"/>
      <c r="C193" s="39"/>
      <c r="D193" s="39"/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>
      <c r="A194" s="14"/>
      <c r="B194" s="14"/>
      <c r="C194" s="39"/>
      <c r="D194" s="39"/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>
      <c r="A195" s="14"/>
      <c r="B195" s="14"/>
      <c r="C195" s="39"/>
      <c r="D195" s="39"/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>
      <c r="A196" s="14"/>
      <c r="B196" s="14"/>
      <c r="C196" s="39"/>
      <c r="D196" s="39"/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>
      <c r="A197" s="14"/>
      <c r="B197" s="14"/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>
      <c r="A198" s="14"/>
      <c r="B198" s="14"/>
      <c r="C198" s="39"/>
      <c r="D198" s="39"/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>
      <c r="A199" s="14"/>
      <c r="B199" s="14"/>
      <c r="C199" s="39"/>
      <c r="D199" s="39"/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>
      <c r="A200" s="14"/>
      <c r="B200" s="14"/>
      <c r="C200" s="39"/>
      <c r="D200" s="39"/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>
      <c r="A201" s="14"/>
      <c r="B201" s="14"/>
      <c r="C201" s="39"/>
      <c r="D201" s="39"/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>
      <c r="A202" s="14"/>
      <c r="B202" s="14"/>
      <c r="C202" s="39"/>
      <c r="D202" s="39"/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>
      <c r="A203" s="14"/>
      <c r="B203" s="14"/>
      <c r="C203" s="39"/>
      <c r="D203" s="39"/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>
      <c r="A204" s="14"/>
      <c r="B204" s="14"/>
      <c r="C204" s="39"/>
      <c r="D204" s="39"/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>
      <c r="A205" s="14"/>
      <c r="B205" s="14"/>
      <c r="C205" s="39"/>
      <c r="D205" s="39"/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>
      <c r="A206" s="14"/>
      <c r="B206" s="14"/>
      <c r="C206" s="39"/>
      <c r="D206" s="39"/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>
      <c r="A207" s="14"/>
      <c r="B207" s="14"/>
      <c r="C207" s="39"/>
      <c r="D207" s="39"/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>
      <c r="A208" s="14"/>
      <c r="B208" s="14"/>
      <c r="C208" s="39"/>
      <c r="D208" s="39"/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>
      <c r="A209" s="14"/>
      <c r="B209" s="14"/>
      <c r="C209" s="39"/>
      <c r="D209" s="39"/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>
      <c r="A210" s="14"/>
      <c r="B210" s="14"/>
      <c r="C210" s="39"/>
      <c r="D210" s="39"/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>
      <c r="A211" s="14"/>
      <c r="B211" s="14"/>
      <c r="C211" s="39"/>
      <c r="D211" s="39"/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>
      <c r="A212" s="14"/>
      <c r="B212" s="14"/>
      <c r="C212" s="39"/>
      <c r="D212" s="39"/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>
      <c r="A213" s="14"/>
      <c r="B213" s="14"/>
      <c r="C213" s="39"/>
      <c r="D213" s="39"/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>
      <c r="A214" s="14"/>
      <c r="B214" s="14"/>
      <c r="C214" s="39"/>
      <c r="D214" s="39"/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>
      <c r="A215" s="14"/>
      <c r="B215" s="14"/>
      <c r="C215" s="39"/>
      <c r="D215" s="39"/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>
      <c r="A216" s="14"/>
      <c r="B216" s="14"/>
      <c r="C216" s="39"/>
      <c r="D216" s="39"/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>
      <c r="A217" s="14"/>
      <c r="B217" s="14"/>
      <c r="C217" s="39"/>
      <c r="D217" s="39"/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>
      <c r="A218" s="14"/>
      <c r="B218" s="14"/>
      <c r="C218" s="39"/>
      <c r="D218" s="39"/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>
      <c r="A219" s="14"/>
      <c r="B219" s="14"/>
      <c r="C219" s="39"/>
      <c r="D219" s="39"/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>
      <c r="A220" s="14"/>
      <c r="B220" s="14"/>
      <c r="C220" s="39"/>
      <c r="D220" s="39"/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>
      <c r="R221" s="30"/>
      <c r="S221" s="40"/>
    </row>
    <row r="222" spans="1:33" ht="15.75" customHeight="1">
      <c r="R222" s="30"/>
      <c r="S222" s="40"/>
    </row>
    <row r="223" spans="1:33" ht="15.75" customHeight="1">
      <c r="R223" s="30"/>
      <c r="S223" s="40"/>
    </row>
    <row r="224" spans="1:33" ht="15.75" customHeight="1">
      <c r="R224" s="30"/>
      <c r="S224" s="40"/>
    </row>
    <row r="225" spans="18:18" ht="15.75" customHeight="1">
      <c r="R225" s="30"/>
    </row>
    <row r="226" spans="18:18" ht="15.75" customHeight="1">
      <c r="R226" s="30"/>
    </row>
    <row r="227" spans="18:18" ht="15.75" customHeight="1">
      <c r="R227" s="30"/>
    </row>
    <row r="228" spans="18:18" ht="15.75" customHeight="1">
      <c r="R228" s="30"/>
    </row>
    <row r="229" spans="18:18" ht="15.75" customHeight="1">
      <c r="R229" s="30"/>
    </row>
    <row r="230" spans="18:18" ht="15.75" customHeight="1">
      <c r="R230" s="30"/>
    </row>
    <row r="231" spans="18:18" ht="15.75" customHeight="1">
      <c r="R231" s="30"/>
    </row>
    <row r="232" spans="18:18" ht="15.75" customHeight="1">
      <c r="R232" s="30"/>
    </row>
    <row r="233" spans="18:18" ht="15.75" customHeight="1">
      <c r="R233" s="30"/>
    </row>
    <row r="234" spans="18:18" ht="15.75" customHeight="1">
      <c r="R234" s="30"/>
    </row>
    <row r="235" spans="18:18" ht="15.75" customHeight="1">
      <c r="R235" s="30"/>
    </row>
    <row r="236" spans="18:18" ht="15.75" customHeight="1">
      <c r="R236" s="30"/>
    </row>
    <row r="237" spans="18:18" ht="15.75" customHeight="1">
      <c r="R237" s="30"/>
    </row>
    <row r="238" spans="18:18" ht="15.75" customHeight="1">
      <c r="R238" s="30"/>
    </row>
    <row r="239" spans="18:18" ht="15.75" customHeight="1">
      <c r="R239" s="30"/>
    </row>
    <row r="240" spans="18:18" ht="15.75" customHeight="1">
      <c r="R240" s="30"/>
    </row>
    <row r="241" spans="18:18" ht="15.75" customHeight="1">
      <c r="R241" s="30"/>
    </row>
    <row r="242" spans="18:18" ht="15.75" customHeight="1">
      <c r="R242" s="30"/>
    </row>
    <row r="243" spans="18:18" ht="15.75" customHeight="1">
      <c r="R243" s="30"/>
    </row>
    <row r="244" spans="18:18" ht="15.75" customHeight="1">
      <c r="R244" s="30"/>
    </row>
    <row r="245" spans="18:18" ht="15.75" customHeight="1">
      <c r="R245" s="30"/>
    </row>
    <row r="246" spans="18:18" ht="15.75" customHeight="1">
      <c r="R246" s="30"/>
    </row>
    <row r="247" spans="18:18" ht="15.75" customHeight="1">
      <c r="R247" s="30"/>
    </row>
    <row r="248" spans="18:18" ht="15.75" customHeight="1">
      <c r="R248" s="30"/>
    </row>
    <row r="249" spans="18:18" ht="15.75" customHeight="1">
      <c r="R249" s="30"/>
    </row>
    <row r="250" spans="18:18" ht="15.75" customHeight="1">
      <c r="R250" s="30"/>
    </row>
    <row r="251" spans="18:18" ht="15.75" customHeight="1">
      <c r="R251" s="30"/>
    </row>
    <row r="252" spans="18:18" ht="15.75" customHeight="1">
      <c r="R252" s="30"/>
    </row>
    <row r="253" spans="18:18" ht="15.75" customHeight="1">
      <c r="R253" s="30"/>
    </row>
    <row r="254" spans="18:18" ht="15.75" customHeight="1">
      <c r="R254" s="30"/>
    </row>
    <row r="255" spans="18:18" ht="15.75" customHeight="1">
      <c r="R255" s="30"/>
    </row>
    <row r="256" spans="18:18" ht="15.75" customHeight="1">
      <c r="R256" s="30"/>
    </row>
    <row r="257" spans="18:18" ht="15.75" customHeight="1">
      <c r="R257" s="30"/>
    </row>
    <row r="258" spans="18:18" ht="15.75" customHeight="1">
      <c r="R258" s="30"/>
    </row>
    <row r="259" spans="18:18" ht="15.75" customHeight="1">
      <c r="R259" s="30"/>
    </row>
    <row r="260" spans="18:18" ht="15.75" customHeight="1">
      <c r="R260" s="30"/>
    </row>
    <row r="261" spans="18:18" ht="15.75" customHeight="1">
      <c r="R261" s="30"/>
    </row>
    <row r="262" spans="18:18" ht="15.75" customHeight="1">
      <c r="R262" s="30"/>
    </row>
    <row r="263" spans="18:18" ht="15.75" customHeight="1">
      <c r="R263" s="30"/>
    </row>
    <row r="264" spans="18:18" ht="15.75" customHeight="1">
      <c r="R264" s="30"/>
    </row>
    <row r="265" spans="18:18" ht="15.75" customHeight="1">
      <c r="R265" s="30"/>
    </row>
    <row r="266" spans="18:18" ht="15.75" customHeight="1">
      <c r="R266" s="30"/>
    </row>
    <row r="267" spans="18:18" ht="15.75" customHeight="1">
      <c r="R267" s="30"/>
    </row>
    <row r="268" spans="18:18" ht="15.75" customHeight="1">
      <c r="R268" s="30"/>
    </row>
    <row r="269" spans="18:18" ht="15.75" customHeight="1">
      <c r="R269" s="30"/>
    </row>
    <row r="270" spans="18:18" ht="15.75" customHeight="1">
      <c r="R270" s="30"/>
    </row>
    <row r="271" spans="18:18" ht="15.75" customHeight="1">
      <c r="R271" s="30"/>
    </row>
    <row r="272" spans="18:18" ht="15.75" customHeight="1">
      <c r="R272" s="30"/>
    </row>
    <row r="273" spans="18:18" ht="15.75" customHeight="1">
      <c r="R273" s="30"/>
    </row>
    <row r="274" spans="18:18" ht="15.75" customHeight="1">
      <c r="R274" s="30"/>
    </row>
    <row r="275" spans="18:18" ht="15.75" customHeight="1">
      <c r="R275" s="30"/>
    </row>
    <row r="276" spans="18:18" ht="15.75" customHeight="1">
      <c r="R276" s="30"/>
    </row>
    <row r="277" spans="18:18" ht="15.75" customHeight="1">
      <c r="R277" s="30"/>
    </row>
    <row r="278" spans="18:18" ht="15.75" customHeight="1">
      <c r="R278" s="30"/>
    </row>
    <row r="279" spans="18:18" ht="15.75" customHeight="1">
      <c r="R279" s="30"/>
    </row>
    <row r="280" spans="18:18" ht="15.75" customHeight="1">
      <c r="R280" s="30"/>
    </row>
    <row r="281" spans="18:18" ht="15.75" customHeight="1">
      <c r="R281" s="30"/>
    </row>
    <row r="282" spans="18:18" ht="15.75" customHeight="1">
      <c r="R282" s="30"/>
    </row>
    <row r="283" spans="18:18" ht="15.75" customHeight="1">
      <c r="R283" s="30"/>
    </row>
    <row r="284" spans="18:18" ht="15.75" customHeight="1">
      <c r="R284" s="30"/>
    </row>
    <row r="285" spans="18:18" ht="15.75" customHeight="1">
      <c r="R285" s="30"/>
    </row>
    <row r="286" spans="18:18" ht="15.75" customHeight="1">
      <c r="R286" s="30"/>
    </row>
    <row r="287" spans="18:18" ht="15.75" customHeight="1">
      <c r="R287" s="30"/>
    </row>
    <row r="288" spans="18:18" ht="15.75" customHeight="1">
      <c r="R288" s="30"/>
    </row>
    <row r="289" spans="18:18" ht="15.75" customHeight="1">
      <c r="R289" s="30"/>
    </row>
    <row r="290" spans="18:18" ht="15.75" customHeight="1">
      <c r="R290" s="30"/>
    </row>
    <row r="291" spans="18:18" ht="15.75" customHeight="1">
      <c r="R291" s="30"/>
    </row>
    <row r="292" spans="18:18" ht="15.75" customHeight="1">
      <c r="R292" s="30"/>
    </row>
    <row r="293" spans="18:18" ht="15.75" customHeight="1">
      <c r="R293" s="30"/>
    </row>
    <row r="294" spans="18:18" ht="15.75" customHeight="1">
      <c r="R294" s="30"/>
    </row>
    <row r="295" spans="18:18" ht="15.75" customHeight="1">
      <c r="R295" s="30"/>
    </row>
    <row r="296" spans="18:18" ht="15.75" customHeight="1">
      <c r="R296" s="30"/>
    </row>
    <row r="297" spans="18:18" ht="15.75" customHeight="1">
      <c r="R297" s="30"/>
    </row>
    <row r="298" spans="18:18" ht="15.75" customHeight="1">
      <c r="R298" s="30"/>
    </row>
    <row r="299" spans="18:18" ht="15.75" customHeight="1">
      <c r="R299" s="30"/>
    </row>
    <row r="300" spans="18:18" ht="15.75" customHeight="1">
      <c r="R300" s="30"/>
    </row>
    <row r="301" spans="18:18" ht="15.75" customHeight="1">
      <c r="R301" s="30"/>
    </row>
    <row r="302" spans="18:18" ht="15.75" customHeight="1">
      <c r="R302" s="30"/>
    </row>
    <row r="303" spans="18:18" ht="15.75" customHeight="1">
      <c r="R303" s="30"/>
    </row>
    <row r="304" spans="18:18" ht="15.75" customHeight="1">
      <c r="R304" s="30"/>
    </row>
    <row r="305" spans="18:18" ht="15.75" customHeight="1">
      <c r="R305" s="30"/>
    </row>
    <row r="306" spans="18:18" ht="15.75" customHeight="1">
      <c r="R306" s="30"/>
    </row>
    <row r="307" spans="18:18" ht="15.75" customHeight="1">
      <c r="R307" s="30"/>
    </row>
    <row r="308" spans="18:18" ht="15.75" customHeight="1">
      <c r="R308" s="30"/>
    </row>
    <row r="309" spans="18:18" ht="15.75" customHeight="1">
      <c r="R309" s="30"/>
    </row>
    <row r="310" spans="18:18" ht="15.75" customHeight="1">
      <c r="R310" s="30"/>
    </row>
    <row r="311" spans="18:18" ht="15.75" customHeight="1">
      <c r="R311" s="30"/>
    </row>
    <row r="312" spans="18:18" ht="15.75" customHeight="1">
      <c r="R312" s="30"/>
    </row>
    <row r="313" spans="18:18" ht="15.75" customHeight="1">
      <c r="R313" s="30"/>
    </row>
    <row r="314" spans="18:18" ht="15.75" customHeight="1">
      <c r="R314" s="30"/>
    </row>
    <row r="315" spans="18:18" ht="15.75" customHeight="1">
      <c r="R315" s="30"/>
    </row>
    <row r="316" spans="18:18" ht="15.75" customHeight="1">
      <c r="R316" s="30"/>
    </row>
    <row r="317" spans="18:18" ht="15.75" customHeight="1">
      <c r="R317" s="30"/>
    </row>
    <row r="318" spans="18:18" ht="15.75" customHeight="1">
      <c r="R318" s="30"/>
    </row>
    <row r="319" spans="18:18" ht="15.75" customHeight="1">
      <c r="R319" s="30"/>
    </row>
    <row r="320" spans="18:18" ht="15.75" customHeight="1">
      <c r="R320" s="30"/>
    </row>
    <row r="321" spans="18:18" ht="15.75" customHeight="1">
      <c r="R321" s="30"/>
    </row>
    <row r="322" spans="18:18" ht="15.75" customHeight="1">
      <c r="R322" s="30"/>
    </row>
    <row r="323" spans="18:18" ht="15.75" customHeight="1">
      <c r="R323" s="30"/>
    </row>
    <row r="324" spans="18:18" ht="15.75" customHeight="1">
      <c r="R324" s="30"/>
    </row>
    <row r="325" spans="18:18" ht="15.75" customHeight="1">
      <c r="R325" s="30"/>
    </row>
    <row r="326" spans="18:18" ht="15.75" customHeight="1">
      <c r="R326" s="30"/>
    </row>
    <row r="327" spans="18:18" ht="15.75" customHeight="1">
      <c r="R327" s="30"/>
    </row>
    <row r="328" spans="18:18" ht="15.75" customHeight="1">
      <c r="R328" s="30"/>
    </row>
    <row r="329" spans="18:18" ht="15.75" customHeight="1">
      <c r="R329" s="30"/>
    </row>
    <row r="330" spans="18:18" ht="15.75" customHeight="1">
      <c r="R330" s="30"/>
    </row>
    <row r="331" spans="18:18" ht="15.75" customHeight="1">
      <c r="R331" s="30"/>
    </row>
    <row r="332" spans="18:18" ht="15.75" customHeight="1">
      <c r="R332" s="30"/>
    </row>
    <row r="333" spans="18:18" ht="15.75" customHeight="1">
      <c r="R333" s="30"/>
    </row>
    <row r="334" spans="18:18" ht="15.75" customHeight="1">
      <c r="R334" s="30"/>
    </row>
    <row r="335" spans="18:18" ht="15.75" customHeight="1">
      <c r="R335" s="30"/>
    </row>
    <row r="336" spans="18:18" ht="15.75" customHeight="1">
      <c r="R336" s="30"/>
    </row>
    <row r="337" spans="18:18" ht="15.75" customHeight="1">
      <c r="R337" s="30"/>
    </row>
    <row r="338" spans="18:18" ht="15.75" customHeight="1">
      <c r="R338" s="30"/>
    </row>
    <row r="339" spans="18:18" ht="15.75" customHeight="1">
      <c r="R339" s="30"/>
    </row>
    <row r="340" spans="18:18" ht="15.75" customHeight="1">
      <c r="R340" s="30"/>
    </row>
    <row r="341" spans="18:18" ht="15.75" customHeight="1">
      <c r="R341" s="30"/>
    </row>
    <row r="342" spans="18:18" ht="15.75" customHeight="1">
      <c r="R342" s="30"/>
    </row>
    <row r="343" spans="18:18" ht="15.75" customHeight="1">
      <c r="R343" s="30"/>
    </row>
    <row r="344" spans="18:18" ht="15.75" customHeight="1">
      <c r="R344" s="30"/>
    </row>
    <row r="345" spans="18:18" ht="15.75" customHeight="1">
      <c r="R345" s="30"/>
    </row>
    <row r="346" spans="18:18" ht="15.75" customHeight="1">
      <c r="R346" s="30"/>
    </row>
    <row r="347" spans="18:18" ht="15.75" customHeight="1">
      <c r="R347" s="30"/>
    </row>
    <row r="348" spans="18:18" ht="15.75" customHeight="1">
      <c r="R348" s="30"/>
    </row>
    <row r="349" spans="18:18" ht="15.75" customHeight="1">
      <c r="R349" s="30"/>
    </row>
    <row r="350" spans="18:18" ht="15.75" customHeight="1">
      <c r="R350" s="30"/>
    </row>
    <row r="351" spans="18:18" ht="15.75" customHeight="1">
      <c r="R351" s="30"/>
    </row>
    <row r="352" spans="18:18" ht="15.75" customHeight="1">
      <c r="R352" s="30"/>
    </row>
    <row r="353" spans="18:18" ht="15.75" customHeight="1">
      <c r="R353" s="30"/>
    </row>
    <row r="354" spans="18:18" ht="15.75" customHeight="1">
      <c r="R354" s="30"/>
    </row>
    <row r="355" spans="18:18" ht="15.75" customHeight="1">
      <c r="R355" s="30"/>
    </row>
    <row r="356" spans="18:18" ht="15.75" customHeight="1">
      <c r="R356" s="30"/>
    </row>
    <row r="357" spans="18:18" ht="15.75" customHeight="1">
      <c r="R357" s="30"/>
    </row>
    <row r="358" spans="18:18" ht="15.75" customHeight="1">
      <c r="R358" s="30"/>
    </row>
    <row r="359" spans="18:18" ht="15.75" customHeight="1">
      <c r="R359" s="30"/>
    </row>
    <row r="360" spans="18:18" ht="15.75" customHeight="1">
      <c r="R360" s="30"/>
    </row>
    <row r="361" spans="18:18" ht="15.75" customHeight="1">
      <c r="R361" s="30"/>
    </row>
    <row r="362" spans="18:18" ht="15.75" customHeight="1">
      <c r="R362" s="30"/>
    </row>
    <row r="363" spans="18:18" ht="15.75" customHeight="1">
      <c r="R363" s="30"/>
    </row>
    <row r="364" spans="18:18" ht="15.75" customHeight="1">
      <c r="R364" s="30"/>
    </row>
    <row r="365" spans="18:18" ht="15.75" customHeight="1">
      <c r="R365" s="30"/>
    </row>
    <row r="366" spans="18:18" ht="15.75" customHeight="1">
      <c r="R366" s="30"/>
    </row>
    <row r="367" spans="18:18" ht="15.75" customHeight="1">
      <c r="R367" s="30"/>
    </row>
    <row r="368" spans="18:18" ht="15.75" customHeight="1">
      <c r="R368" s="30"/>
    </row>
    <row r="369" spans="18:18" ht="15.75" customHeight="1">
      <c r="R369" s="30"/>
    </row>
    <row r="370" spans="18:18" ht="15.75" customHeight="1">
      <c r="R370" s="30"/>
    </row>
    <row r="371" spans="18:18" ht="15.75" customHeight="1">
      <c r="R371" s="30"/>
    </row>
    <row r="372" spans="18:18" ht="15.75" customHeight="1">
      <c r="R372" s="30"/>
    </row>
    <row r="373" spans="18:18" ht="15.75" customHeight="1">
      <c r="R373" s="30"/>
    </row>
    <row r="374" spans="18:18" ht="15.75" customHeight="1">
      <c r="R374" s="30"/>
    </row>
    <row r="375" spans="18:18" ht="15.75" customHeight="1">
      <c r="R375" s="30"/>
    </row>
    <row r="376" spans="18:18" ht="15.75" customHeight="1">
      <c r="R376" s="30"/>
    </row>
    <row r="377" spans="18:18" ht="15.75" customHeight="1">
      <c r="R377" s="30"/>
    </row>
    <row r="378" spans="18:18" ht="15.75" customHeight="1">
      <c r="R378" s="30"/>
    </row>
    <row r="379" spans="18:18" ht="15.75" customHeight="1">
      <c r="R379" s="30"/>
    </row>
    <row r="380" spans="18:18" ht="15.75" customHeight="1">
      <c r="R380" s="30"/>
    </row>
    <row r="381" spans="18:18" ht="15.75" customHeight="1">
      <c r="R381" s="30"/>
    </row>
    <row r="382" spans="18:18" ht="15.75" customHeight="1">
      <c r="R382" s="30"/>
    </row>
    <row r="383" spans="18:18" ht="15.75" customHeight="1">
      <c r="R383" s="30"/>
    </row>
    <row r="384" spans="18:18" ht="15.75" customHeight="1">
      <c r="R384" s="30"/>
    </row>
    <row r="385" spans="18:18" ht="15.75" customHeight="1">
      <c r="R385" s="30"/>
    </row>
    <row r="386" spans="18:18" ht="15.75" customHeight="1">
      <c r="R386" s="30"/>
    </row>
    <row r="387" spans="18:18" ht="15.75" customHeight="1">
      <c r="R387" s="30"/>
    </row>
    <row r="388" spans="18:18" ht="15.75" customHeight="1">
      <c r="R388" s="30"/>
    </row>
    <row r="389" spans="18:18" ht="15.75" customHeight="1">
      <c r="R389" s="30"/>
    </row>
    <row r="390" spans="18:18" ht="15.75" customHeight="1">
      <c r="R390" s="30"/>
    </row>
    <row r="391" spans="18:18" ht="15.75" customHeight="1">
      <c r="R391" s="30"/>
    </row>
    <row r="392" spans="18:18" ht="15.75" customHeight="1">
      <c r="R392" s="30"/>
    </row>
    <row r="393" spans="18:18" ht="15.75" customHeight="1">
      <c r="R393" s="30"/>
    </row>
    <row r="394" spans="18:18" ht="15.75" customHeight="1">
      <c r="R394" s="30"/>
    </row>
    <row r="395" spans="18:18" ht="15.75" customHeight="1">
      <c r="R395" s="30"/>
    </row>
    <row r="396" spans="18:18" ht="15.75" customHeight="1">
      <c r="R396" s="30"/>
    </row>
    <row r="397" spans="18:18" ht="15.75" customHeight="1">
      <c r="R397" s="30"/>
    </row>
    <row r="398" spans="18:18" ht="15.75" customHeight="1">
      <c r="R398" s="30"/>
    </row>
    <row r="399" spans="18:18" ht="15.75" customHeight="1">
      <c r="R399" s="30"/>
    </row>
    <row r="400" spans="18:18" ht="15.75" customHeight="1">
      <c r="R400" s="30"/>
    </row>
    <row r="401" spans="18:18" ht="15.75" customHeight="1">
      <c r="R401" s="30"/>
    </row>
    <row r="402" spans="18:18" ht="15.75" customHeight="1">
      <c r="R402" s="30"/>
    </row>
    <row r="403" spans="18:18" ht="15.75" customHeight="1">
      <c r="R403" s="30"/>
    </row>
    <row r="404" spans="18:18" ht="15.75" customHeight="1">
      <c r="R404" s="30"/>
    </row>
    <row r="405" spans="18:18" ht="15.75" customHeight="1">
      <c r="R405" s="30"/>
    </row>
    <row r="406" spans="18:18" ht="15.75" customHeight="1">
      <c r="R406" s="30"/>
    </row>
    <row r="407" spans="18:18" ht="15.75" customHeight="1">
      <c r="R407" s="30"/>
    </row>
    <row r="408" spans="18:18" ht="15.75" customHeight="1">
      <c r="R408" s="30"/>
    </row>
    <row r="409" spans="18:18" ht="15.75" customHeight="1">
      <c r="R409" s="30"/>
    </row>
    <row r="410" spans="18:18" ht="15.75" customHeight="1">
      <c r="R410" s="30"/>
    </row>
    <row r="411" spans="18:18" ht="15.75" customHeight="1">
      <c r="R411" s="30"/>
    </row>
    <row r="412" spans="18:18" ht="15.75" customHeight="1">
      <c r="R412" s="30"/>
    </row>
    <row r="413" spans="18:18" ht="15.75" customHeight="1">
      <c r="R413" s="30"/>
    </row>
    <row r="414" spans="18:18" ht="15.75" customHeight="1">
      <c r="R414" s="30"/>
    </row>
    <row r="415" spans="18:18" ht="15.75" customHeight="1">
      <c r="R415" s="30"/>
    </row>
    <row r="416" spans="18:18" ht="15.75" customHeight="1">
      <c r="R416" s="30"/>
    </row>
    <row r="417" spans="18:18" ht="15.75" customHeight="1">
      <c r="R417" s="30"/>
    </row>
    <row r="418" spans="18:18" ht="15.75" customHeight="1">
      <c r="R418" s="30"/>
    </row>
    <row r="419" spans="18:18" ht="15.75" customHeight="1">
      <c r="R419" s="30"/>
    </row>
    <row r="420" spans="18:18" ht="15.75" customHeight="1">
      <c r="R420" s="30"/>
    </row>
    <row r="421" spans="18:18" ht="15.75" customHeight="1">
      <c r="R421" s="30"/>
    </row>
    <row r="422" spans="18:18" ht="15.75" customHeight="1">
      <c r="R422" s="30"/>
    </row>
    <row r="423" spans="18:18" ht="15.75" customHeight="1">
      <c r="R423" s="30"/>
    </row>
    <row r="424" spans="18:18" ht="15.75" customHeight="1">
      <c r="R424" s="30"/>
    </row>
    <row r="425" spans="18:18" ht="15.75" customHeight="1">
      <c r="R425" s="30"/>
    </row>
    <row r="426" spans="18:18" ht="15.75" customHeight="1">
      <c r="R426" s="30"/>
    </row>
    <row r="427" spans="18:18" ht="15.75" customHeight="1">
      <c r="R427" s="30"/>
    </row>
    <row r="428" spans="18:18" ht="15.75" customHeight="1">
      <c r="R428" s="30"/>
    </row>
    <row r="429" spans="18:18" ht="15.75" customHeight="1">
      <c r="R429" s="30"/>
    </row>
    <row r="430" spans="18:18" ht="15.75" customHeight="1">
      <c r="R430" s="30"/>
    </row>
    <row r="431" spans="18:18" ht="15.75" customHeight="1">
      <c r="R431" s="30"/>
    </row>
    <row r="432" spans="18:18" ht="15.75" customHeight="1">
      <c r="R432" s="30"/>
    </row>
    <row r="433" spans="18:18" ht="15.75" customHeight="1">
      <c r="R433" s="30"/>
    </row>
    <row r="434" spans="18:18" ht="15.75" customHeight="1">
      <c r="R434" s="30"/>
    </row>
    <row r="435" spans="18:18" ht="15.75" customHeight="1">
      <c r="R435" s="30"/>
    </row>
    <row r="436" spans="18:18" ht="15.75" customHeight="1">
      <c r="R436" s="30"/>
    </row>
    <row r="437" spans="18:18" ht="15.75" customHeight="1">
      <c r="R437" s="30"/>
    </row>
    <row r="438" spans="18:18" ht="15.75" customHeight="1">
      <c r="R438" s="30"/>
    </row>
    <row r="439" spans="18:18" ht="15.75" customHeight="1">
      <c r="R439" s="30"/>
    </row>
    <row r="440" spans="18:18" ht="15.75" customHeight="1">
      <c r="R440" s="30"/>
    </row>
    <row r="441" spans="18:18" ht="15.75" customHeight="1">
      <c r="R441" s="30"/>
    </row>
    <row r="442" spans="18:18" ht="15.75" customHeight="1">
      <c r="R442" s="30"/>
    </row>
    <row r="443" spans="18:18" ht="15.75" customHeight="1">
      <c r="R443" s="30"/>
    </row>
    <row r="444" spans="18:18" ht="15.75" customHeight="1">
      <c r="R444" s="30"/>
    </row>
    <row r="445" spans="18:18" ht="15.75" customHeight="1">
      <c r="R445" s="30"/>
    </row>
    <row r="446" spans="18:18" ht="15.75" customHeight="1">
      <c r="R446" s="30"/>
    </row>
    <row r="447" spans="18:18" ht="15.75" customHeight="1">
      <c r="R447" s="30"/>
    </row>
    <row r="448" spans="18:18" ht="15.75" customHeight="1">
      <c r="R448" s="30"/>
    </row>
    <row r="449" spans="18:18" ht="15.75" customHeight="1">
      <c r="R449" s="30"/>
    </row>
    <row r="450" spans="18:18" ht="15.75" customHeight="1">
      <c r="R450" s="30"/>
    </row>
    <row r="451" spans="18:18" ht="15.75" customHeight="1">
      <c r="R451" s="30"/>
    </row>
    <row r="452" spans="18:18" ht="15.75" customHeight="1">
      <c r="R452" s="30"/>
    </row>
    <row r="453" spans="18:18" ht="15.75" customHeight="1">
      <c r="R453" s="30"/>
    </row>
    <row r="454" spans="18:18" ht="15.75" customHeight="1">
      <c r="R454" s="30"/>
    </row>
    <row r="455" spans="18:18" ht="15.75" customHeight="1">
      <c r="R455" s="30"/>
    </row>
    <row r="456" spans="18:18" ht="15.75" customHeight="1">
      <c r="R456" s="30"/>
    </row>
    <row r="457" spans="18:18" ht="15.75" customHeight="1">
      <c r="R457" s="30"/>
    </row>
    <row r="458" spans="18:18" ht="15.75" customHeight="1">
      <c r="R458" s="30"/>
    </row>
    <row r="459" spans="18:18" ht="15.75" customHeight="1">
      <c r="R459" s="30"/>
    </row>
    <row r="460" spans="18:18" ht="15.75" customHeight="1">
      <c r="R460" s="30"/>
    </row>
    <row r="461" spans="18:18" ht="15.75" customHeight="1">
      <c r="R461" s="30"/>
    </row>
    <row r="462" spans="18:18" ht="15.75" customHeight="1">
      <c r="R462" s="30"/>
    </row>
    <row r="463" spans="18:18" ht="15.75" customHeight="1">
      <c r="R463" s="30"/>
    </row>
    <row r="464" spans="18:18" ht="15.75" customHeight="1">
      <c r="R464" s="30"/>
    </row>
    <row r="465" spans="18:18" ht="15.75" customHeight="1">
      <c r="R465" s="30"/>
    </row>
    <row r="466" spans="18:18" ht="15.75" customHeight="1">
      <c r="R466" s="30"/>
    </row>
    <row r="467" spans="18:18" ht="15.75" customHeight="1">
      <c r="R467" s="30"/>
    </row>
    <row r="468" spans="18:18" ht="15.75" customHeight="1">
      <c r="R468" s="30"/>
    </row>
    <row r="469" spans="18:18" ht="15.75" customHeight="1">
      <c r="R469" s="30"/>
    </row>
    <row r="470" spans="18:18" ht="15.75" customHeight="1">
      <c r="R470" s="30"/>
    </row>
    <row r="471" spans="18:18" ht="15.75" customHeight="1">
      <c r="R471" s="30"/>
    </row>
    <row r="472" spans="18:18" ht="15.75" customHeight="1">
      <c r="R472" s="30"/>
    </row>
    <row r="473" spans="18:18" ht="15.75" customHeight="1">
      <c r="R473" s="30"/>
    </row>
    <row r="474" spans="18:18" ht="15.75" customHeight="1">
      <c r="R474" s="30"/>
    </row>
    <row r="475" spans="18:18" ht="15.75" customHeight="1">
      <c r="R475" s="30"/>
    </row>
    <row r="476" spans="18:18" ht="15.75" customHeight="1">
      <c r="R476" s="30"/>
    </row>
    <row r="477" spans="18:18" ht="15.75" customHeight="1">
      <c r="R477" s="30"/>
    </row>
    <row r="478" spans="18:18" ht="15.75" customHeight="1">
      <c r="R478" s="30"/>
    </row>
    <row r="479" spans="18:18" ht="15.75" customHeight="1">
      <c r="R479" s="30"/>
    </row>
    <row r="480" spans="18:18" ht="15.75" customHeight="1">
      <c r="R480" s="30"/>
    </row>
    <row r="481" spans="18:18" ht="15.75" customHeight="1">
      <c r="R481" s="30"/>
    </row>
    <row r="482" spans="18:18" ht="15.75" customHeight="1">
      <c r="R482" s="30"/>
    </row>
    <row r="483" spans="18:18" ht="15.75" customHeight="1">
      <c r="R483" s="30"/>
    </row>
    <row r="484" spans="18:18" ht="15.75" customHeight="1">
      <c r="R484" s="30"/>
    </row>
    <row r="485" spans="18:18" ht="15.75" customHeight="1">
      <c r="R485" s="30"/>
    </row>
    <row r="486" spans="18:18" ht="15.75" customHeight="1">
      <c r="R486" s="30"/>
    </row>
    <row r="487" spans="18:18" ht="15.75" customHeight="1">
      <c r="R487" s="30"/>
    </row>
    <row r="488" spans="18:18" ht="15.75" customHeight="1">
      <c r="R488" s="30"/>
    </row>
    <row r="489" spans="18:18" ht="15.75" customHeight="1">
      <c r="R489" s="30"/>
    </row>
    <row r="490" spans="18:18" ht="15.75" customHeight="1">
      <c r="R490" s="30"/>
    </row>
    <row r="491" spans="18:18" ht="15.75" customHeight="1">
      <c r="R491" s="30"/>
    </row>
    <row r="492" spans="18:18" ht="15.75" customHeight="1">
      <c r="R492" s="30"/>
    </row>
    <row r="493" spans="18:18" ht="15.75" customHeight="1">
      <c r="R493" s="30"/>
    </row>
    <row r="494" spans="18:18" ht="15.75" customHeight="1">
      <c r="R494" s="30"/>
    </row>
    <row r="495" spans="18:18" ht="15.75" customHeight="1">
      <c r="R495" s="30"/>
    </row>
    <row r="496" spans="18:18" ht="15.75" customHeight="1">
      <c r="R496" s="30"/>
    </row>
    <row r="497" spans="18:18" ht="15.75" customHeight="1">
      <c r="R497" s="30"/>
    </row>
    <row r="498" spans="18:18" ht="15.75" customHeight="1">
      <c r="R498" s="30"/>
    </row>
    <row r="499" spans="18:18" ht="15.75" customHeight="1">
      <c r="R499" s="30"/>
    </row>
    <row r="500" spans="18:18" ht="15.75" customHeight="1">
      <c r="R500" s="30"/>
    </row>
    <row r="501" spans="18:18" ht="15.75" customHeight="1">
      <c r="R501" s="30"/>
    </row>
    <row r="502" spans="18:18" ht="15.75" customHeight="1">
      <c r="R502" s="30"/>
    </row>
    <row r="503" spans="18:18" ht="15.75" customHeight="1">
      <c r="R503" s="30"/>
    </row>
    <row r="504" spans="18:18" ht="15.75" customHeight="1">
      <c r="R504" s="30"/>
    </row>
    <row r="505" spans="18:18" ht="15.75" customHeight="1">
      <c r="R505" s="30"/>
    </row>
    <row r="506" spans="18:18" ht="15.75" customHeight="1">
      <c r="R506" s="30"/>
    </row>
    <row r="507" spans="18:18" ht="15.75" customHeight="1">
      <c r="R507" s="30"/>
    </row>
    <row r="508" spans="18:18" ht="15.75" customHeight="1">
      <c r="R508" s="30"/>
    </row>
    <row r="509" spans="18:18" ht="15.75" customHeight="1">
      <c r="R509" s="30"/>
    </row>
    <row r="510" spans="18:18" ht="15.75" customHeight="1">
      <c r="R510" s="30"/>
    </row>
    <row r="511" spans="18:18" ht="15.75" customHeight="1">
      <c r="R511" s="30"/>
    </row>
    <row r="512" spans="18:18" ht="15.75" customHeight="1">
      <c r="R512" s="30"/>
    </row>
    <row r="513" spans="18:18" ht="15.75" customHeight="1">
      <c r="R513" s="30"/>
    </row>
    <row r="514" spans="18:18" ht="15.75" customHeight="1">
      <c r="R514" s="30"/>
    </row>
    <row r="515" spans="18:18" ht="15.75" customHeight="1">
      <c r="R515" s="30"/>
    </row>
    <row r="516" spans="18:18" ht="15.75" customHeight="1">
      <c r="R516" s="30"/>
    </row>
    <row r="517" spans="18:18" ht="15.75" customHeight="1">
      <c r="R517" s="30"/>
    </row>
    <row r="518" spans="18:18" ht="15.75" customHeight="1">
      <c r="R518" s="30"/>
    </row>
    <row r="519" spans="18:18" ht="15.75" customHeight="1">
      <c r="R519" s="30"/>
    </row>
    <row r="520" spans="18:18" ht="15.75" customHeight="1">
      <c r="R520" s="30"/>
    </row>
    <row r="521" spans="18:18" ht="15.75" customHeight="1">
      <c r="R521" s="30"/>
    </row>
    <row r="522" spans="18:18" ht="15.75" customHeight="1">
      <c r="R522" s="30"/>
    </row>
    <row r="523" spans="18:18" ht="15.75" customHeight="1">
      <c r="R523" s="30"/>
    </row>
    <row r="524" spans="18:18" ht="15.75" customHeight="1">
      <c r="R524" s="30"/>
    </row>
    <row r="525" spans="18:18" ht="15.75" customHeight="1">
      <c r="R525" s="30"/>
    </row>
    <row r="526" spans="18:18" ht="15.75" customHeight="1">
      <c r="R526" s="30"/>
    </row>
    <row r="527" spans="18:18" ht="15.75" customHeight="1">
      <c r="R527" s="30"/>
    </row>
    <row r="528" spans="18:18" ht="15.75" customHeight="1">
      <c r="R528" s="30"/>
    </row>
    <row r="529" spans="18:18" ht="15.75" customHeight="1">
      <c r="R529" s="30"/>
    </row>
    <row r="530" spans="18:18" ht="15.75" customHeight="1">
      <c r="R530" s="30"/>
    </row>
    <row r="531" spans="18:18" ht="15.75" customHeight="1">
      <c r="R531" s="30"/>
    </row>
    <row r="532" spans="18:18" ht="15.75" customHeight="1">
      <c r="R532" s="30"/>
    </row>
    <row r="533" spans="18:18" ht="15.75" customHeight="1">
      <c r="R533" s="30"/>
    </row>
    <row r="534" spans="18:18" ht="15.75" customHeight="1">
      <c r="R534" s="30"/>
    </row>
    <row r="535" spans="18:18" ht="15.75" customHeight="1">
      <c r="R535" s="30"/>
    </row>
    <row r="536" spans="18:18" ht="15.75" customHeight="1">
      <c r="R536" s="30"/>
    </row>
    <row r="537" spans="18:18" ht="15.75" customHeight="1">
      <c r="R537" s="30"/>
    </row>
    <row r="538" spans="18:18" ht="15.75" customHeight="1">
      <c r="R538" s="30"/>
    </row>
    <row r="539" spans="18:18" ht="15.75" customHeight="1">
      <c r="R539" s="30"/>
    </row>
    <row r="540" spans="18:18" ht="15.75" customHeight="1">
      <c r="R540" s="30"/>
    </row>
    <row r="541" spans="18:18" ht="15.75" customHeight="1">
      <c r="R541" s="30"/>
    </row>
    <row r="542" spans="18:18" ht="15.75" customHeight="1">
      <c r="R542" s="30"/>
    </row>
    <row r="543" spans="18:18" ht="15.75" customHeight="1">
      <c r="R543" s="30"/>
    </row>
    <row r="544" spans="18:18" ht="15.75" customHeight="1">
      <c r="R544" s="30"/>
    </row>
    <row r="545" spans="18:18" ht="15.75" customHeight="1">
      <c r="R545" s="30"/>
    </row>
    <row r="546" spans="18:18" ht="15.75" customHeight="1">
      <c r="R546" s="30"/>
    </row>
    <row r="547" spans="18:18" ht="15.75" customHeight="1">
      <c r="R547" s="30"/>
    </row>
    <row r="548" spans="18:18" ht="15.75" customHeight="1">
      <c r="R548" s="30"/>
    </row>
    <row r="549" spans="18:18" ht="15.75" customHeight="1">
      <c r="R549" s="30"/>
    </row>
    <row r="550" spans="18:18" ht="15.75" customHeight="1">
      <c r="R550" s="30"/>
    </row>
    <row r="551" spans="18:18" ht="15.75" customHeight="1">
      <c r="R551" s="30"/>
    </row>
    <row r="552" spans="18:18" ht="15.75" customHeight="1">
      <c r="R552" s="30"/>
    </row>
    <row r="553" spans="18:18" ht="15.75" customHeight="1">
      <c r="R553" s="30"/>
    </row>
    <row r="554" spans="18:18" ht="15.75" customHeight="1">
      <c r="R554" s="30"/>
    </row>
    <row r="555" spans="18:18" ht="15.75" customHeight="1">
      <c r="R555" s="30"/>
    </row>
    <row r="556" spans="18:18" ht="15.75" customHeight="1">
      <c r="R556" s="30"/>
    </row>
    <row r="557" spans="18:18" ht="15.75" customHeight="1">
      <c r="R557" s="30"/>
    </row>
    <row r="558" spans="18:18" ht="15.75" customHeight="1">
      <c r="R558" s="30"/>
    </row>
    <row r="559" spans="18:18" ht="15.75" customHeight="1">
      <c r="R559" s="30"/>
    </row>
    <row r="560" spans="18:18" ht="15.75" customHeight="1">
      <c r="R560" s="30"/>
    </row>
    <row r="561" spans="18:18" ht="15.75" customHeight="1">
      <c r="R561" s="30"/>
    </row>
    <row r="562" spans="18:18" ht="15.75" customHeight="1">
      <c r="R562" s="30"/>
    </row>
    <row r="563" spans="18:18" ht="15.75" customHeight="1">
      <c r="R563" s="30"/>
    </row>
    <row r="564" spans="18:18" ht="15.75" customHeight="1">
      <c r="R564" s="30"/>
    </row>
    <row r="565" spans="18:18" ht="15.75" customHeight="1">
      <c r="R565" s="30"/>
    </row>
    <row r="566" spans="18:18" ht="15.75" customHeight="1">
      <c r="R566" s="30"/>
    </row>
    <row r="567" spans="18:18" ht="15.75" customHeight="1">
      <c r="R567" s="30"/>
    </row>
    <row r="568" spans="18:18" ht="15.75" customHeight="1">
      <c r="R568" s="30"/>
    </row>
    <row r="569" spans="18:18" ht="15.75" customHeight="1">
      <c r="R569" s="30"/>
    </row>
    <row r="570" spans="18:18" ht="15.75" customHeight="1">
      <c r="R570" s="30"/>
    </row>
    <row r="571" spans="18:18" ht="15.75" customHeight="1">
      <c r="R571" s="30"/>
    </row>
    <row r="572" spans="18:18" ht="15.75" customHeight="1">
      <c r="R572" s="30"/>
    </row>
    <row r="573" spans="18:18" ht="15.75" customHeight="1">
      <c r="R573" s="30"/>
    </row>
    <row r="574" spans="18:18" ht="15.75" customHeight="1">
      <c r="R574" s="30"/>
    </row>
    <row r="575" spans="18:18" ht="15.75" customHeight="1">
      <c r="R575" s="30"/>
    </row>
    <row r="576" spans="18:18" ht="15.75" customHeight="1">
      <c r="R576" s="30"/>
    </row>
    <row r="577" spans="18:18" ht="15.75" customHeight="1">
      <c r="R577" s="30"/>
    </row>
    <row r="578" spans="18:18" ht="15.75" customHeight="1">
      <c r="R578" s="30"/>
    </row>
    <row r="579" spans="18:18" ht="15.75" customHeight="1">
      <c r="R579" s="30"/>
    </row>
    <row r="580" spans="18:18" ht="15.75" customHeight="1">
      <c r="R580" s="30"/>
    </row>
    <row r="581" spans="18:18" ht="15.75" customHeight="1">
      <c r="R581" s="30"/>
    </row>
    <row r="582" spans="18:18" ht="15.75" customHeight="1">
      <c r="R582" s="30"/>
    </row>
    <row r="583" spans="18:18" ht="15.75" customHeight="1">
      <c r="R583" s="30"/>
    </row>
    <row r="584" spans="18:18" ht="15.75" customHeight="1">
      <c r="R584" s="30"/>
    </row>
    <row r="585" spans="18:18" ht="15.75" customHeight="1">
      <c r="R585" s="30"/>
    </row>
    <row r="586" spans="18:18" ht="15.75" customHeight="1">
      <c r="R586" s="30"/>
    </row>
    <row r="587" spans="18:18" ht="15.75" customHeight="1">
      <c r="R587" s="30"/>
    </row>
    <row r="588" spans="18:18" ht="15.75" customHeight="1">
      <c r="R588" s="30"/>
    </row>
    <row r="589" spans="18:18" ht="15.75" customHeight="1">
      <c r="R589" s="30"/>
    </row>
    <row r="590" spans="18:18" ht="15.75" customHeight="1">
      <c r="R590" s="30"/>
    </row>
    <row r="591" spans="18:18" ht="15.75" customHeight="1">
      <c r="R591" s="30"/>
    </row>
    <row r="592" spans="18:18" ht="15.75" customHeight="1">
      <c r="R592" s="30"/>
    </row>
    <row r="593" spans="18:18" ht="15.75" customHeight="1">
      <c r="R593" s="30"/>
    </row>
    <row r="594" spans="18:18" ht="15.75" customHeight="1">
      <c r="R594" s="30"/>
    </row>
    <row r="595" spans="18:18" ht="15.75" customHeight="1">
      <c r="R595" s="30"/>
    </row>
    <row r="596" spans="18:18" ht="15.75" customHeight="1">
      <c r="R596" s="30"/>
    </row>
    <row r="597" spans="18:18" ht="15.75" customHeight="1">
      <c r="R597" s="30"/>
    </row>
    <row r="598" spans="18:18" ht="15.75" customHeight="1">
      <c r="R598" s="30"/>
    </row>
    <row r="599" spans="18:18" ht="15.75" customHeight="1">
      <c r="R599" s="30"/>
    </row>
    <row r="600" spans="18:18" ht="15.75" customHeight="1">
      <c r="R600" s="30"/>
    </row>
    <row r="601" spans="18:18" ht="15.75" customHeight="1">
      <c r="R601" s="30"/>
    </row>
    <row r="602" spans="18:18" ht="15.75" customHeight="1">
      <c r="R602" s="30"/>
    </row>
    <row r="603" spans="18:18" ht="15.75" customHeight="1">
      <c r="R603" s="30"/>
    </row>
    <row r="604" spans="18:18" ht="15.75" customHeight="1">
      <c r="R604" s="30"/>
    </row>
    <row r="605" spans="18:18" ht="15.75" customHeight="1">
      <c r="R605" s="30"/>
    </row>
    <row r="606" spans="18:18" ht="15.75" customHeight="1">
      <c r="R606" s="30"/>
    </row>
    <row r="607" spans="18:18" ht="15.75" customHeight="1">
      <c r="R607" s="30"/>
    </row>
    <row r="608" spans="18:18" ht="15.75" customHeight="1">
      <c r="R608" s="30"/>
    </row>
    <row r="609" spans="18:18" ht="15.75" customHeight="1">
      <c r="R609" s="30"/>
    </row>
    <row r="610" spans="18:18" ht="15.75" customHeight="1">
      <c r="R610" s="30"/>
    </row>
    <row r="611" spans="18:18" ht="15.75" customHeight="1">
      <c r="R611" s="30"/>
    </row>
    <row r="612" spans="18:18" ht="15.75" customHeight="1">
      <c r="R612" s="30"/>
    </row>
    <row r="613" spans="18:18" ht="15.75" customHeight="1">
      <c r="R613" s="30"/>
    </row>
    <row r="614" spans="18:18" ht="15.75" customHeight="1">
      <c r="R614" s="30"/>
    </row>
    <row r="615" spans="18:18" ht="15.75" customHeight="1">
      <c r="R615" s="30"/>
    </row>
    <row r="616" spans="18:18" ht="15.75" customHeight="1">
      <c r="R616" s="30"/>
    </row>
    <row r="617" spans="18:18" ht="15.75" customHeight="1">
      <c r="R617" s="30"/>
    </row>
    <row r="618" spans="18:18" ht="15.75" customHeight="1">
      <c r="R618" s="30"/>
    </row>
    <row r="619" spans="18:18" ht="15.75" customHeight="1">
      <c r="R619" s="30"/>
    </row>
    <row r="620" spans="18:18" ht="15.75" customHeight="1">
      <c r="R620" s="30"/>
    </row>
    <row r="621" spans="18:18" ht="15.75" customHeight="1">
      <c r="R621" s="30"/>
    </row>
    <row r="622" spans="18:18" ht="15.75" customHeight="1">
      <c r="R622" s="30"/>
    </row>
    <row r="623" spans="18:18" ht="15.75" customHeight="1">
      <c r="R623" s="30"/>
    </row>
    <row r="624" spans="18:18" ht="15.75" customHeight="1">
      <c r="R624" s="30"/>
    </row>
    <row r="625" spans="18:18" ht="15.75" customHeight="1">
      <c r="R625" s="30"/>
    </row>
    <row r="626" spans="18:18" ht="15.75" customHeight="1">
      <c r="R626" s="30"/>
    </row>
    <row r="627" spans="18:18" ht="15.75" customHeight="1">
      <c r="R627" s="30"/>
    </row>
    <row r="628" spans="18:18" ht="15.75" customHeight="1">
      <c r="R628" s="30"/>
    </row>
    <row r="629" spans="18:18" ht="15.75" customHeight="1">
      <c r="R629" s="30"/>
    </row>
    <row r="630" spans="18:18" ht="15.75" customHeight="1">
      <c r="R630" s="30"/>
    </row>
    <row r="631" spans="18:18" ht="15.75" customHeight="1">
      <c r="R631" s="30"/>
    </row>
    <row r="632" spans="18:18" ht="15.75" customHeight="1">
      <c r="R632" s="30"/>
    </row>
    <row r="633" spans="18:18" ht="15.75" customHeight="1">
      <c r="R633" s="30"/>
    </row>
    <row r="634" spans="18:18" ht="15.75" customHeight="1">
      <c r="R634" s="30"/>
    </row>
    <row r="635" spans="18:18" ht="15.75" customHeight="1">
      <c r="R635" s="30"/>
    </row>
    <row r="636" spans="18:18" ht="15.75" customHeight="1">
      <c r="R636" s="30"/>
    </row>
    <row r="637" spans="18:18" ht="15.75" customHeight="1">
      <c r="R637" s="30"/>
    </row>
    <row r="638" spans="18:18" ht="15.75" customHeight="1">
      <c r="R638" s="30"/>
    </row>
    <row r="639" spans="18:18" ht="15.75" customHeight="1">
      <c r="R639" s="30"/>
    </row>
    <row r="640" spans="18:18" ht="15.75" customHeight="1">
      <c r="R640" s="30"/>
    </row>
    <row r="641" spans="18:18" ht="15.75" customHeight="1">
      <c r="R641" s="30"/>
    </row>
    <row r="642" spans="18:18" ht="15.75" customHeight="1">
      <c r="R642" s="30"/>
    </row>
    <row r="643" spans="18:18" ht="15.75" customHeight="1">
      <c r="R643" s="30"/>
    </row>
    <row r="644" spans="18:18" ht="15.75" customHeight="1">
      <c r="R644" s="30"/>
    </row>
    <row r="645" spans="18:18" ht="15.75" customHeight="1">
      <c r="R645" s="30"/>
    </row>
    <row r="646" spans="18:18" ht="15.75" customHeight="1">
      <c r="R646" s="30"/>
    </row>
    <row r="647" spans="18:18" ht="15.75" customHeight="1">
      <c r="R647" s="30"/>
    </row>
    <row r="648" spans="18:18" ht="15.75" customHeight="1">
      <c r="R648" s="30"/>
    </row>
    <row r="649" spans="18:18" ht="15.75" customHeight="1">
      <c r="R649" s="30"/>
    </row>
    <row r="650" spans="18:18" ht="15.75" customHeight="1">
      <c r="R650" s="30"/>
    </row>
    <row r="651" spans="18:18" ht="15.75" customHeight="1">
      <c r="R651" s="30"/>
    </row>
    <row r="652" spans="18:18" ht="15.75" customHeight="1">
      <c r="R652" s="30"/>
    </row>
    <row r="653" spans="18:18" ht="15.75" customHeight="1">
      <c r="R653" s="30"/>
    </row>
    <row r="654" spans="18:18" ht="15.75" customHeight="1">
      <c r="R654" s="30"/>
    </row>
    <row r="655" spans="18:18" ht="15.75" customHeight="1">
      <c r="R655" s="30"/>
    </row>
    <row r="656" spans="18:18" ht="15.75" customHeight="1">
      <c r="R656" s="30"/>
    </row>
    <row r="657" spans="18:18" ht="15.75" customHeight="1">
      <c r="R657" s="30"/>
    </row>
    <row r="658" spans="18:18" ht="15.75" customHeight="1">
      <c r="R658" s="30"/>
    </row>
    <row r="659" spans="18:18" ht="15.75" customHeight="1">
      <c r="R659" s="30"/>
    </row>
    <row r="660" spans="18:18" ht="15.75" customHeight="1">
      <c r="R660" s="30"/>
    </row>
    <row r="661" spans="18:18" ht="15.75" customHeight="1">
      <c r="R661" s="30"/>
    </row>
    <row r="662" spans="18:18" ht="15.75" customHeight="1">
      <c r="R662" s="30"/>
    </row>
    <row r="663" spans="18:18" ht="15.75" customHeight="1">
      <c r="R663" s="30"/>
    </row>
    <row r="664" spans="18:18" ht="15.75" customHeight="1">
      <c r="R664" s="30"/>
    </row>
    <row r="665" spans="18:18" ht="15.75" customHeight="1">
      <c r="R665" s="30"/>
    </row>
    <row r="666" spans="18:18" ht="15.75" customHeight="1">
      <c r="R666" s="30"/>
    </row>
    <row r="667" spans="18:18" ht="15.75" customHeight="1">
      <c r="R667" s="30"/>
    </row>
    <row r="668" spans="18:18" ht="15.75" customHeight="1">
      <c r="R668" s="30"/>
    </row>
    <row r="669" spans="18:18" ht="15.75" customHeight="1">
      <c r="R669" s="30"/>
    </row>
    <row r="670" spans="18:18" ht="15.75" customHeight="1">
      <c r="R670" s="30"/>
    </row>
    <row r="671" spans="18:18" ht="15.75" customHeight="1">
      <c r="R671" s="30"/>
    </row>
    <row r="672" spans="18:18" ht="15.75" customHeight="1">
      <c r="R672" s="30"/>
    </row>
    <row r="673" spans="18:18" ht="15.75" customHeight="1">
      <c r="R673" s="30"/>
    </row>
    <row r="674" spans="18:18" ht="15.75" customHeight="1">
      <c r="R674" s="30"/>
    </row>
    <row r="675" spans="18:18" ht="15.75" customHeight="1">
      <c r="R675" s="30"/>
    </row>
    <row r="676" spans="18:18" ht="15.75" customHeight="1">
      <c r="R676" s="30"/>
    </row>
    <row r="677" spans="18:18" ht="15.75" customHeight="1">
      <c r="R677" s="30"/>
    </row>
    <row r="678" spans="18:18" ht="15.75" customHeight="1">
      <c r="R678" s="30"/>
    </row>
    <row r="679" spans="18:18" ht="15.75" customHeight="1">
      <c r="R679" s="30"/>
    </row>
    <row r="680" spans="18:18" ht="15.75" customHeight="1">
      <c r="R680" s="30"/>
    </row>
    <row r="681" spans="18:18" ht="15.75" customHeight="1">
      <c r="R681" s="30"/>
    </row>
    <row r="682" spans="18:18" ht="15.75" customHeight="1">
      <c r="R682" s="30"/>
    </row>
    <row r="683" spans="18:18" ht="15.75" customHeight="1">
      <c r="R683" s="30"/>
    </row>
    <row r="684" spans="18:18" ht="15.75" customHeight="1">
      <c r="R684" s="30"/>
    </row>
    <row r="685" spans="18:18" ht="15.75" customHeight="1">
      <c r="R685" s="30"/>
    </row>
    <row r="686" spans="18:18" ht="15.75" customHeight="1">
      <c r="R686" s="30"/>
    </row>
    <row r="687" spans="18:18" ht="15.75" customHeight="1">
      <c r="R687" s="30"/>
    </row>
    <row r="688" spans="18:18" ht="15.75" customHeight="1">
      <c r="R688" s="30"/>
    </row>
    <row r="689" spans="18:18" ht="15.75" customHeight="1">
      <c r="R689" s="30"/>
    </row>
    <row r="690" spans="18:18" ht="15.75" customHeight="1">
      <c r="R690" s="30"/>
    </row>
    <row r="691" spans="18:18" ht="15.75" customHeight="1">
      <c r="R691" s="30"/>
    </row>
    <row r="692" spans="18:18" ht="15.75" customHeight="1">
      <c r="R692" s="30"/>
    </row>
    <row r="693" spans="18:18" ht="15.75" customHeight="1">
      <c r="R693" s="30"/>
    </row>
    <row r="694" spans="18:18" ht="15.75" customHeight="1">
      <c r="R694" s="30"/>
    </row>
    <row r="695" spans="18:18" ht="15.75" customHeight="1">
      <c r="R695" s="30"/>
    </row>
    <row r="696" spans="18:18" ht="15.75" customHeight="1">
      <c r="R696" s="30"/>
    </row>
    <row r="697" spans="18:18" ht="15.75" customHeight="1">
      <c r="R697" s="30"/>
    </row>
    <row r="698" spans="18:18" ht="15.75" customHeight="1">
      <c r="R698" s="30"/>
    </row>
    <row r="699" spans="18:18" ht="15.75" customHeight="1">
      <c r="R699" s="30"/>
    </row>
    <row r="700" spans="18:18" ht="15.75" customHeight="1">
      <c r="R700" s="30"/>
    </row>
    <row r="701" spans="18:18" ht="15.75" customHeight="1">
      <c r="R701" s="30"/>
    </row>
    <row r="702" spans="18:18" ht="15.75" customHeight="1">
      <c r="R702" s="30"/>
    </row>
    <row r="703" spans="18:18" ht="15.75" customHeight="1">
      <c r="R703" s="30"/>
    </row>
    <row r="704" spans="18:18" ht="15.75" customHeight="1">
      <c r="R704" s="30"/>
    </row>
    <row r="705" spans="18:18" ht="15.75" customHeight="1">
      <c r="R705" s="30"/>
    </row>
    <row r="706" spans="18:18" ht="15.75" customHeight="1">
      <c r="R706" s="30"/>
    </row>
    <row r="707" spans="18:18" ht="15.75" customHeight="1">
      <c r="R707" s="30"/>
    </row>
    <row r="708" spans="18:18" ht="15.75" customHeight="1">
      <c r="R708" s="30"/>
    </row>
    <row r="709" spans="18:18" ht="15.75" customHeight="1">
      <c r="R709" s="30"/>
    </row>
    <row r="710" spans="18:18" ht="15.75" customHeight="1">
      <c r="R710" s="30"/>
    </row>
    <row r="711" spans="18:18" ht="15.75" customHeight="1">
      <c r="R711" s="30"/>
    </row>
    <row r="712" spans="18:18" ht="15.75" customHeight="1">
      <c r="R712" s="30"/>
    </row>
    <row r="713" spans="18:18" ht="15.75" customHeight="1">
      <c r="R713" s="30"/>
    </row>
    <row r="714" spans="18:18" ht="15.75" customHeight="1">
      <c r="R714" s="30"/>
    </row>
    <row r="715" spans="18:18" ht="15.75" customHeight="1">
      <c r="R715" s="30"/>
    </row>
    <row r="716" spans="18:18" ht="15.75" customHeight="1">
      <c r="R716" s="30"/>
    </row>
    <row r="717" spans="18:18" ht="15.75" customHeight="1">
      <c r="R717" s="30"/>
    </row>
    <row r="718" spans="18:18" ht="15.75" customHeight="1">
      <c r="R718" s="30"/>
    </row>
    <row r="719" spans="18:18" ht="15.75" customHeight="1">
      <c r="R719" s="30"/>
    </row>
    <row r="720" spans="18:18" ht="15.75" customHeight="1">
      <c r="R720" s="30"/>
    </row>
    <row r="721" spans="18:18" ht="15.75" customHeight="1">
      <c r="R721" s="30"/>
    </row>
    <row r="722" spans="18:18" ht="15.75" customHeight="1">
      <c r="R722" s="30"/>
    </row>
    <row r="723" spans="18:18" ht="15.75" customHeight="1">
      <c r="R723" s="30"/>
    </row>
    <row r="724" spans="18:18" ht="15.75" customHeight="1">
      <c r="R724" s="30"/>
    </row>
    <row r="725" spans="18:18" ht="15.75" customHeight="1">
      <c r="R725" s="30"/>
    </row>
    <row r="726" spans="18:18" ht="15.75" customHeight="1">
      <c r="R726" s="30"/>
    </row>
    <row r="727" spans="18:18" ht="15.75" customHeight="1">
      <c r="R727" s="30"/>
    </row>
    <row r="728" spans="18:18" ht="15.75" customHeight="1">
      <c r="R728" s="30"/>
    </row>
    <row r="729" spans="18:18" ht="15.75" customHeight="1">
      <c r="R729" s="30"/>
    </row>
    <row r="730" spans="18:18" ht="15.75" customHeight="1">
      <c r="R730" s="30"/>
    </row>
    <row r="731" spans="18:18" ht="15.75" customHeight="1">
      <c r="R731" s="30"/>
    </row>
    <row r="732" spans="18:18" ht="15.75" customHeight="1">
      <c r="R732" s="30"/>
    </row>
    <row r="733" spans="18:18" ht="15.75" customHeight="1">
      <c r="R733" s="30"/>
    </row>
    <row r="734" spans="18:18" ht="15.75" customHeight="1">
      <c r="R734" s="30"/>
    </row>
    <row r="735" spans="18:18" ht="15.75" customHeight="1">
      <c r="R735" s="30"/>
    </row>
    <row r="736" spans="18:18" ht="15.75" customHeight="1">
      <c r="R736" s="30"/>
    </row>
    <row r="737" spans="18:18" ht="15.75" customHeight="1">
      <c r="R737" s="30"/>
    </row>
    <row r="738" spans="18:18" ht="15.75" customHeight="1">
      <c r="R738" s="30"/>
    </row>
    <row r="739" spans="18:18" ht="15.75" customHeight="1">
      <c r="R739" s="30"/>
    </row>
    <row r="740" spans="18:18" ht="15.75" customHeight="1">
      <c r="R740" s="30"/>
    </row>
    <row r="741" spans="18:18" ht="15.75" customHeight="1">
      <c r="R741" s="30"/>
    </row>
    <row r="742" spans="18:18" ht="15.75" customHeight="1">
      <c r="R742" s="30"/>
    </row>
    <row r="743" spans="18:18" ht="15.75" customHeight="1">
      <c r="R743" s="30"/>
    </row>
    <row r="744" spans="18:18" ht="15.75" customHeight="1">
      <c r="R744" s="30"/>
    </row>
    <row r="745" spans="18:18" ht="15.75" customHeight="1">
      <c r="R745" s="30"/>
    </row>
    <row r="746" spans="18:18" ht="15.75" customHeight="1">
      <c r="R746" s="30"/>
    </row>
    <row r="747" spans="18:18" ht="15.75" customHeight="1">
      <c r="R747" s="30"/>
    </row>
    <row r="748" spans="18:18" ht="15.75" customHeight="1">
      <c r="R748" s="30"/>
    </row>
    <row r="749" spans="18:18" ht="15.75" customHeight="1">
      <c r="R749" s="30"/>
    </row>
    <row r="750" spans="18:18" ht="15.75" customHeight="1">
      <c r="R750" s="30"/>
    </row>
    <row r="751" spans="18:18" ht="15.75" customHeight="1">
      <c r="R751" s="30"/>
    </row>
    <row r="752" spans="18:18" ht="15.75" customHeight="1">
      <c r="R752" s="30"/>
    </row>
    <row r="753" spans="18:18" ht="15.75" customHeight="1">
      <c r="R753" s="30"/>
    </row>
    <row r="754" spans="18:18" ht="15.75" customHeight="1">
      <c r="R754" s="30"/>
    </row>
    <row r="755" spans="18:18" ht="15.75" customHeight="1">
      <c r="R755" s="30"/>
    </row>
    <row r="756" spans="18:18" ht="15.75" customHeight="1">
      <c r="R756" s="30"/>
    </row>
    <row r="757" spans="18:18" ht="15.75" customHeight="1">
      <c r="R757" s="30"/>
    </row>
    <row r="758" spans="18:18" ht="15.75" customHeight="1">
      <c r="R758" s="30"/>
    </row>
    <row r="759" spans="18:18" ht="15.75" customHeight="1">
      <c r="R759" s="30"/>
    </row>
    <row r="760" spans="18:18" ht="15.75" customHeight="1">
      <c r="R760" s="30"/>
    </row>
    <row r="761" spans="18:18" ht="15.75" customHeight="1">
      <c r="R761" s="30"/>
    </row>
    <row r="762" spans="18:18" ht="15.75" customHeight="1">
      <c r="R762" s="30"/>
    </row>
    <row r="763" spans="18:18" ht="15.75" customHeight="1">
      <c r="R763" s="30"/>
    </row>
    <row r="764" spans="18:18" ht="15.75" customHeight="1">
      <c r="R764" s="30"/>
    </row>
    <row r="765" spans="18:18" ht="15.75" customHeight="1">
      <c r="R765" s="30"/>
    </row>
    <row r="766" spans="18:18" ht="15.75" customHeight="1">
      <c r="R766" s="30"/>
    </row>
    <row r="767" spans="18:18" ht="15.75" customHeight="1">
      <c r="R767" s="30"/>
    </row>
    <row r="768" spans="18:18" ht="15.75" customHeight="1">
      <c r="R768" s="30"/>
    </row>
    <row r="769" spans="18:18" ht="15.75" customHeight="1">
      <c r="R769" s="30"/>
    </row>
    <row r="770" spans="18:18" ht="15.75" customHeight="1">
      <c r="R770" s="30"/>
    </row>
    <row r="771" spans="18:18" ht="15.75" customHeight="1">
      <c r="R771" s="30"/>
    </row>
    <row r="772" spans="18:18" ht="15.75" customHeight="1">
      <c r="R772" s="30"/>
    </row>
    <row r="773" spans="18:18" ht="15.75" customHeight="1">
      <c r="R773" s="30"/>
    </row>
    <row r="774" spans="18:18" ht="15.75" customHeight="1">
      <c r="R774" s="30"/>
    </row>
    <row r="775" spans="18:18" ht="15.75" customHeight="1">
      <c r="R775" s="30"/>
    </row>
    <row r="776" spans="18:18" ht="15.75" customHeight="1">
      <c r="R776" s="30"/>
    </row>
    <row r="777" spans="18:18" ht="15.75" customHeight="1">
      <c r="R777" s="30"/>
    </row>
    <row r="778" spans="18:18" ht="15.75" customHeight="1">
      <c r="R778" s="30"/>
    </row>
    <row r="779" spans="18:18" ht="15.75" customHeight="1">
      <c r="R779" s="30"/>
    </row>
    <row r="780" spans="18:18" ht="15.75" customHeight="1">
      <c r="R780" s="30"/>
    </row>
    <row r="781" spans="18:18" ht="15.75" customHeight="1">
      <c r="R781" s="30"/>
    </row>
    <row r="782" spans="18:18" ht="15.75" customHeight="1">
      <c r="R782" s="30"/>
    </row>
    <row r="783" spans="18:18" ht="15.75" customHeight="1">
      <c r="R783" s="30"/>
    </row>
    <row r="784" spans="18:18" ht="15.75" customHeight="1">
      <c r="R784" s="30"/>
    </row>
    <row r="785" spans="18:18" ht="15.75" customHeight="1">
      <c r="R785" s="30"/>
    </row>
    <row r="786" spans="18:18" ht="15.75" customHeight="1">
      <c r="R786" s="30"/>
    </row>
    <row r="787" spans="18:18" ht="15.75" customHeight="1">
      <c r="R787" s="30"/>
    </row>
    <row r="788" spans="18:18" ht="15.75" customHeight="1">
      <c r="R788" s="30"/>
    </row>
    <row r="789" spans="18:18" ht="15.75" customHeight="1">
      <c r="R789" s="30"/>
    </row>
    <row r="790" spans="18:18" ht="15.75" customHeight="1">
      <c r="R790" s="30"/>
    </row>
    <row r="791" spans="18:18" ht="15.75" customHeight="1">
      <c r="R791" s="30"/>
    </row>
    <row r="792" spans="18:18" ht="15.75" customHeight="1">
      <c r="R792" s="30"/>
    </row>
    <row r="793" spans="18:18" ht="15.75" customHeight="1">
      <c r="R793" s="30"/>
    </row>
    <row r="794" spans="18:18" ht="15.75" customHeight="1">
      <c r="R794" s="30"/>
    </row>
    <row r="795" spans="18:18" ht="15.75" customHeight="1">
      <c r="R795" s="30"/>
    </row>
    <row r="796" spans="18:18" ht="15.75" customHeight="1">
      <c r="R796" s="30"/>
    </row>
    <row r="797" spans="18:18" ht="15.75" customHeight="1">
      <c r="R797" s="30"/>
    </row>
    <row r="798" spans="18:18" ht="15.75" customHeight="1">
      <c r="R798" s="30"/>
    </row>
    <row r="799" spans="18:18" ht="15.75" customHeight="1">
      <c r="R799" s="30"/>
    </row>
    <row r="800" spans="18:18" ht="15.75" customHeight="1">
      <c r="R800" s="30"/>
    </row>
    <row r="801" spans="18:18" ht="15.75" customHeight="1">
      <c r="R801" s="30"/>
    </row>
    <row r="802" spans="18:18" ht="15.75" customHeight="1">
      <c r="R802" s="30"/>
    </row>
    <row r="803" spans="18:18" ht="15.75" customHeight="1">
      <c r="R803" s="30"/>
    </row>
    <row r="804" spans="18:18" ht="15.75" customHeight="1">
      <c r="R804" s="30"/>
    </row>
    <row r="805" spans="18:18" ht="15.75" customHeight="1">
      <c r="R805" s="30"/>
    </row>
    <row r="806" spans="18:18" ht="15.75" customHeight="1">
      <c r="R806" s="30"/>
    </row>
    <row r="807" spans="18:18" ht="15.75" customHeight="1">
      <c r="R807" s="30"/>
    </row>
    <row r="808" spans="18:18" ht="15.75" customHeight="1">
      <c r="R808" s="30"/>
    </row>
    <row r="809" spans="18:18" ht="15.75" customHeight="1">
      <c r="R809" s="30"/>
    </row>
    <row r="810" spans="18:18" ht="15.75" customHeight="1">
      <c r="R810" s="30"/>
    </row>
    <row r="811" spans="18:18" ht="15.75" customHeight="1">
      <c r="R811" s="30"/>
    </row>
    <row r="812" spans="18:18" ht="15.75" customHeight="1">
      <c r="R812" s="30"/>
    </row>
    <row r="813" spans="18:18" ht="15.75" customHeight="1">
      <c r="R813" s="30"/>
    </row>
    <row r="814" spans="18:18" ht="15.75" customHeight="1">
      <c r="R814" s="30"/>
    </row>
    <row r="815" spans="18:18" ht="15.75" customHeight="1">
      <c r="R815" s="30"/>
    </row>
    <row r="816" spans="18:18" ht="15.75" customHeight="1">
      <c r="R816" s="30"/>
    </row>
    <row r="817" spans="18:18" ht="15.75" customHeight="1">
      <c r="R817" s="30"/>
    </row>
    <row r="818" spans="18:18" ht="15.75" customHeight="1">
      <c r="R818" s="30"/>
    </row>
    <row r="819" spans="18:18" ht="15.75" customHeight="1">
      <c r="R819" s="30"/>
    </row>
    <row r="820" spans="18:18" ht="15.75" customHeight="1">
      <c r="R820" s="30"/>
    </row>
    <row r="821" spans="18:18" ht="15.75" customHeight="1">
      <c r="R821" s="30"/>
    </row>
    <row r="822" spans="18:18" ht="15.75" customHeight="1">
      <c r="R822" s="30"/>
    </row>
    <row r="823" spans="18:18" ht="15.75" customHeight="1">
      <c r="R823" s="30"/>
    </row>
    <row r="824" spans="18:18" ht="15.75" customHeight="1">
      <c r="R824" s="30"/>
    </row>
    <row r="825" spans="18:18" ht="15.75" customHeight="1">
      <c r="R825" s="30"/>
    </row>
    <row r="826" spans="18:18" ht="15.75" customHeight="1">
      <c r="R826" s="30"/>
    </row>
    <row r="827" spans="18:18" ht="15.75" customHeight="1">
      <c r="R827" s="30"/>
    </row>
    <row r="828" spans="18:18" ht="15.75" customHeight="1">
      <c r="R828" s="30"/>
    </row>
    <row r="829" spans="18:18" ht="15.75" customHeight="1">
      <c r="R829" s="30"/>
    </row>
    <row r="830" spans="18:18" ht="15.75" customHeight="1">
      <c r="R830" s="30"/>
    </row>
    <row r="831" spans="18:18" ht="15.75" customHeight="1">
      <c r="R831" s="30"/>
    </row>
    <row r="832" spans="18:18" ht="15.75" customHeight="1">
      <c r="R832" s="30"/>
    </row>
    <row r="833" spans="18:18" ht="15.75" customHeight="1">
      <c r="R833" s="30"/>
    </row>
    <row r="834" spans="18:18" ht="15.75" customHeight="1">
      <c r="R834" s="30"/>
    </row>
    <row r="835" spans="18:18" ht="15.75" customHeight="1">
      <c r="R835" s="30"/>
    </row>
    <row r="836" spans="18:18" ht="15.75" customHeight="1">
      <c r="R836" s="30"/>
    </row>
    <row r="837" spans="18:18" ht="15.75" customHeight="1">
      <c r="R837" s="30"/>
    </row>
    <row r="838" spans="18:18" ht="15.75" customHeight="1">
      <c r="R838" s="30"/>
    </row>
    <row r="839" spans="18:18" ht="15.75" customHeight="1">
      <c r="R839" s="30"/>
    </row>
    <row r="840" spans="18:18" ht="15.75" customHeight="1">
      <c r="R840" s="30"/>
    </row>
    <row r="841" spans="18:18" ht="15.75" customHeight="1">
      <c r="R841" s="30"/>
    </row>
    <row r="842" spans="18:18" ht="15.75" customHeight="1">
      <c r="R842" s="30"/>
    </row>
    <row r="843" spans="18:18" ht="15.75" customHeight="1">
      <c r="R843" s="30"/>
    </row>
    <row r="844" spans="18:18" ht="15.75" customHeight="1">
      <c r="R844" s="30"/>
    </row>
    <row r="845" spans="18:18" ht="15.75" customHeight="1">
      <c r="R845" s="30"/>
    </row>
    <row r="846" spans="18:18" ht="15.75" customHeight="1">
      <c r="R846" s="30"/>
    </row>
    <row r="847" spans="18:18" ht="15.75" customHeight="1">
      <c r="R847" s="30"/>
    </row>
    <row r="848" spans="18:18" ht="15.75" customHeight="1">
      <c r="R848" s="30"/>
    </row>
    <row r="849" spans="18:18" ht="15.75" customHeight="1">
      <c r="R849" s="30"/>
    </row>
    <row r="850" spans="18:18" ht="15.75" customHeight="1">
      <c r="R850" s="30"/>
    </row>
    <row r="851" spans="18:18" ht="15.75" customHeight="1">
      <c r="R851" s="30"/>
    </row>
    <row r="852" spans="18:18" ht="15.75" customHeight="1">
      <c r="R852" s="30"/>
    </row>
    <row r="853" spans="18:18" ht="15.75" customHeight="1">
      <c r="R853" s="30"/>
    </row>
    <row r="854" spans="18:18" ht="15.75" customHeight="1">
      <c r="R854" s="30"/>
    </row>
    <row r="855" spans="18:18" ht="15.75" customHeight="1">
      <c r="R855" s="30"/>
    </row>
    <row r="856" spans="18:18" ht="15.75" customHeight="1">
      <c r="R856" s="30"/>
    </row>
    <row r="857" spans="18:18" ht="15.75" customHeight="1">
      <c r="R857" s="30"/>
    </row>
    <row r="858" spans="18:18" ht="15.75" customHeight="1">
      <c r="R858" s="30"/>
    </row>
    <row r="859" spans="18:18" ht="15.75" customHeight="1">
      <c r="R859" s="30"/>
    </row>
    <row r="860" spans="18:18" ht="15.75" customHeight="1">
      <c r="R860" s="30"/>
    </row>
    <row r="861" spans="18:18" ht="15.75" customHeight="1">
      <c r="R861" s="30"/>
    </row>
    <row r="862" spans="18:18" ht="15.75" customHeight="1">
      <c r="R862" s="30"/>
    </row>
    <row r="863" spans="18:18" ht="15.75" customHeight="1">
      <c r="R863" s="30"/>
    </row>
    <row r="864" spans="18:18" ht="15.75" customHeight="1">
      <c r="R864" s="30"/>
    </row>
    <row r="865" spans="18:18" ht="15.75" customHeight="1">
      <c r="R865" s="30"/>
    </row>
    <row r="866" spans="18:18" ht="15.75" customHeight="1">
      <c r="R866" s="30"/>
    </row>
    <row r="867" spans="18:18" ht="15.75" customHeight="1">
      <c r="R867" s="30"/>
    </row>
    <row r="868" spans="18:18" ht="15.75" customHeight="1">
      <c r="R868" s="30"/>
    </row>
    <row r="869" spans="18:18" ht="15.75" customHeight="1">
      <c r="R869" s="30"/>
    </row>
    <row r="870" spans="18:18" ht="15.75" customHeight="1">
      <c r="R870" s="30"/>
    </row>
    <row r="871" spans="18:18" ht="15.75" customHeight="1">
      <c r="R871" s="30"/>
    </row>
    <row r="872" spans="18:18" ht="15.75" customHeight="1">
      <c r="R872" s="30"/>
    </row>
    <row r="873" spans="18:18" ht="15.75" customHeight="1">
      <c r="R873" s="30"/>
    </row>
    <row r="874" spans="18:18" ht="15.75" customHeight="1">
      <c r="R874" s="30"/>
    </row>
    <row r="875" spans="18:18" ht="15.75" customHeight="1">
      <c r="R875" s="30"/>
    </row>
    <row r="876" spans="18:18" ht="15.75" customHeight="1">
      <c r="R876" s="30"/>
    </row>
    <row r="877" spans="18:18" ht="15.75" customHeight="1">
      <c r="R877" s="30"/>
    </row>
    <row r="878" spans="18:18" ht="15.75" customHeight="1">
      <c r="R878" s="30"/>
    </row>
    <row r="879" spans="18:18" ht="15.75" customHeight="1">
      <c r="R879" s="30"/>
    </row>
    <row r="880" spans="18:18" ht="15.75" customHeight="1">
      <c r="R880" s="30"/>
    </row>
    <row r="881" spans="18:18" ht="15.75" customHeight="1">
      <c r="R881" s="30"/>
    </row>
    <row r="882" spans="18:18" ht="15.75" customHeight="1">
      <c r="R882" s="30"/>
    </row>
    <row r="883" spans="18:18" ht="15.75" customHeight="1">
      <c r="R883" s="30"/>
    </row>
    <row r="884" spans="18:18" ht="15.75" customHeight="1">
      <c r="R884" s="30"/>
    </row>
    <row r="885" spans="18:18" ht="15.75" customHeight="1">
      <c r="R885" s="30"/>
    </row>
    <row r="886" spans="18:18" ht="15.75" customHeight="1">
      <c r="R886" s="30"/>
    </row>
    <row r="887" spans="18:18" ht="15.75" customHeight="1">
      <c r="R887" s="30"/>
    </row>
    <row r="888" spans="18:18" ht="15.75" customHeight="1">
      <c r="R888" s="30"/>
    </row>
    <row r="889" spans="18:18" ht="15.75" customHeight="1">
      <c r="R889" s="30"/>
    </row>
    <row r="890" spans="18:18" ht="15.75" customHeight="1">
      <c r="R890" s="30"/>
    </row>
    <row r="891" spans="18:18" ht="15.75" customHeight="1">
      <c r="R891" s="30"/>
    </row>
    <row r="892" spans="18:18" ht="15.75" customHeight="1">
      <c r="R892" s="30"/>
    </row>
    <row r="893" spans="18:18" ht="15.75" customHeight="1">
      <c r="R893" s="30"/>
    </row>
    <row r="894" spans="18:18" ht="15.75" customHeight="1">
      <c r="R894" s="30"/>
    </row>
    <row r="895" spans="18:18" ht="15.75" customHeight="1">
      <c r="R895" s="30"/>
    </row>
    <row r="896" spans="18:18" ht="15.75" customHeight="1">
      <c r="R896" s="30"/>
    </row>
    <row r="897" spans="18:18" ht="15.75" customHeight="1">
      <c r="R897" s="30"/>
    </row>
    <row r="898" spans="18:18" ht="15.75" customHeight="1">
      <c r="R898" s="30"/>
    </row>
    <row r="899" spans="18:18" ht="15.75" customHeight="1">
      <c r="R899" s="30"/>
    </row>
    <row r="900" spans="18:18" ht="15.75" customHeight="1">
      <c r="R900" s="30"/>
    </row>
    <row r="901" spans="18:18" ht="15.75" customHeight="1">
      <c r="R901" s="30"/>
    </row>
    <row r="902" spans="18:18" ht="15.75" customHeight="1">
      <c r="R902" s="30"/>
    </row>
    <row r="903" spans="18:18" ht="15.75" customHeight="1">
      <c r="R903" s="30"/>
    </row>
    <row r="904" spans="18:18" ht="15.75" customHeight="1">
      <c r="R904" s="30"/>
    </row>
    <row r="905" spans="18:18" ht="15.75" customHeight="1">
      <c r="R905" s="30"/>
    </row>
    <row r="906" spans="18:18" ht="15.75" customHeight="1">
      <c r="R906" s="30"/>
    </row>
    <row r="907" spans="18:18" ht="15.75" customHeight="1">
      <c r="R907" s="30"/>
    </row>
    <row r="908" spans="18:18" ht="15.75" customHeight="1">
      <c r="R908" s="30"/>
    </row>
    <row r="909" spans="18:18" ht="15.75" customHeight="1">
      <c r="R909" s="30"/>
    </row>
    <row r="910" spans="18:18" ht="15.75" customHeight="1">
      <c r="R910" s="30"/>
    </row>
    <row r="911" spans="18:18" ht="15.75" customHeight="1">
      <c r="R911" s="30"/>
    </row>
    <row r="912" spans="18:18" ht="15.75" customHeight="1">
      <c r="R912" s="30"/>
    </row>
    <row r="913" spans="18:18" ht="15.75" customHeight="1">
      <c r="R913" s="30"/>
    </row>
    <row r="914" spans="18:18" ht="15.75" customHeight="1">
      <c r="R914" s="30"/>
    </row>
    <row r="915" spans="18:18" ht="15.75" customHeight="1">
      <c r="R915" s="30"/>
    </row>
    <row r="916" spans="18:18" ht="15.75" customHeight="1">
      <c r="R916" s="30"/>
    </row>
    <row r="917" spans="18:18" ht="15.75" customHeight="1">
      <c r="R917" s="30"/>
    </row>
    <row r="918" spans="18:18" ht="15.75" customHeight="1">
      <c r="R918" s="30"/>
    </row>
    <row r="919" spans="18:18" ht="15.75" customHeight="1">
      <c r="R919" s="30"/>
    </row>
    <row r="920" spans="18:18" ht="15.75" customHeight="1">
      <c r="R920" s="30"/>
    </row>
    <row r="921" spans="18:18" ht="15.75" customHeight="1">
      <c r="R921" s="30"/>
    </row>
    <row r="922" spans="18:18" ht="15.75" customHeight="1">
      <c r="R922" s="30"/>
    </row>
    <row r="923" spans="18:18" ht="15.75" customHeight="1">
      <c r="R923" s="30"/>
    </row>
    <row r="924" spans="18:18" ht="15.75" customHeight="1">
      <c r="R924" s="30"/>
    </row>
    <row r="925" spans="18:18" ht="15.75" customHeight="1">
      <c r="R925" s="30"/>
    </row>
    <row r="926" spans="18:18" ht="15.75" customHeight="1">
      <c r="R926" s="30"/>
    </row>
    <row r="927" spans="18:18" ht="15.75" customHeight="1">
      <c r="R927" s="30"/>
    </row>
    <row r="928" spans="18:18" ht="15.75" customHeight="1">
      <c r="R928" s="30"/>
    </row>
    <row r="929" spans="18:18" ht="15.75" customHeight="1">
      <c r="R929" s="30"/>
    </row>
    <row r="930" spans="18:18" ht="15.75" customHeight="1">
      <c r="R930" s="30"/>
    </row>
    <row r="931" spans="18:18" ht="15.75" customHeight="1">
      <c r="R931" s="30"/>
    </row>
    <row r="932" spans="18:18" ht="15.75" customHeight="1">
      <c r="R932" s="30"/>
    </row>
    <row r="933" spans="18:18" ht="15.75" customHeight="1">
      <c r="R933" s="30"/>
    </row>
    <row r="934" spans="18:18" ht="15.75" customHeight="1">
      <c r="R934" s="30"/>
    </row>
    <row r="935" spans="18:18" ht="15.75" customHeight="1">
      <c r="R935" s="30"/>
    </row>
    <row r="936" spans="18:18" ht="15.75" customHeight="1">
      <c r="R936" s="30"/>
    </row>
    <row r="937" spans="18:18" ht="15.75" customHeight="1">
      <c r="R937" s="30"/>
    </row>
    <row r="938" spans="18:18" ht="15.75" customHeight="1">
      <c r="R938" s="30"/>
    </row>
    <row r="939" spans="18:18" ht="15.75" customHeight="1">
      <c r="R939" s="30"/>
    </row>
    <row r="940" spans="18:18" ht="15.75" customHeight="1">
      <c r="R940" s="30"/>
    </row>
    <row r="941" spans="18:18" ht="15.75" customHeight="1">
      <c r="R941" s="30"/>
    </row>
    <row r="942" spans="18:18" ht="15.75" customHeight="1">
      <c r="R942" s="30"/>
    </row>
    <row r="943" spans="18:18" ht="15.75" customHeight="1">
      <c r="R943" s="30"/>
    </row>
    <row r="944" spans="18:18" ht="15.75" customHeight="1">
      <c r="R944" s="30"/>
    </row>
    <row r="945" spans="18:18" ht="15.75" customHeight="1">
      <c r="R945" s="30"/>
    </row>
    <row r="946" spans="18:18" ht="15.75" customHeight="1">
      <c r="R946" s="30"/>
    </row>
    <row r="947" spans="18:18" ht="15.75" customHeight="1">
      <c r="R947" s="30"/>
    </row>
    <row r="948" spans="18:18" ht="15.75" customHeight="1">
      <c r="R948" s="30"/>
    </row>
    <row r="949" spans="18:18" ht="15.75" customHeight="1">
      <c r="R949" s="30"/>
    </row>
    <row r="950" spans="18:18" ht="15.75" customHeight="1">
      <c r="R950" s="30"/>
    </row>
    <row r="951" spans="18:18" ht="15.75" customHeight="1">
      <c r="R951" s="30"/>
    </row>
    <row r="952" spans="18:18" ht="15.75" customHeight="1">
      <c r="R952" s="30"/>
    </row>
    <row r="953" spans="18:18" ht="15.75" customHeight="1">
      <c r="R953" s="30"/>
    </row>
    <row r="954" spans="18:18" ht="15.75" customHeight="1">
      <c r="R954" s="30"/>
    </row>
    <row r="955" spans="18:18" ht="15.75" customHeight="1">
      <c r="R955" s="30"/>
    </row>
    <row r="956" spans="18:18" ht="15.75" customHeight="1">
      <c r="R956" s="30"/>
    </row>
    <row r="957" spans="18:18" ht="15.75" customHeight="1">
      <c r="R957" s="30"/>
    </row>
    <row r="958" spans="18:18" ht="15.75" customHeight="1">
      <c r="R958" s="30"/>
    </row>
    <row r="959" spans="18:18" ht="15.75" customHeight="1">
      <c r="R959" s="30"/>
    </row>
    <row r="960" spans="18:18" ht="15.75" customHeight="1">
      <c r="R960" s="30"/>
    </row>
    <row r="961" spans="18:18" ht="15.75" customHeight="1">
      <c r="R961" s="30"/>
    </row>
    <row r="962" spans="18:18" ht="15.75" customHeight="1">
      <c r="R962" s="30"/>
    </row>
    <row r="963" spans="18:18" ht="15.75" customHeight="1">
      <c r="R963" s="30"/>
    </row>
    <row r="964" spans="18:18" ht="15.75" customHeight="1">
      <c r="R964" s="30"/>
    </row>
    <row r="965" spans="18:18" ht="15.75" customHeight="1">
      <c r="R965" s="30"/>
    </row>
    <row r="966" spans="18:18" ht="15.75" customHeight="1">
      <c r="R966" s="30"/>
    </row>
    <row r="967" spans="18:18" ht="15.75" customHeight="1">
      <c r="R967" s="30"/>
    </row>
    <row r="968" spans="18:18" ht="15.75" customHeight="1">
      <c r="R968" s="30"/>
    </row>
    <row r="969" spans="18:18" ht="15.75" customHeight="1">
      <c r="R969" s="30"/>
    </row>
    <row r="970" spans="18:18" ht="15.75" customHeight="1">
      <c r="R970" s="30"/>
    </row>
    <row r="971" spans="18:18" ht="15.75" customHeight="1">
      <c r="R971" s="30"/>
    </row>
    <row r="972" spans="18:18" ht="15.75" customHeight="1">
      <c r="R972" s="30"/>
    </row>
    <row r="973" spans="18:18" ht="15.75" customHeight="1">
      <c r="R973" s="30"/>
    </row>
    <row r="974" spans="18:18" ht="15.75" customHeight="1">
      <c r="R974" s="30"/>
    </row>
    <row r="975" spans="18:18" ht="15.75" customHeight="1">
      <c r="R975" s="30"/>
    </row>
    <row r="976" spans="18:18" ht="15.75" customHeight="1">
      <c r="R976" s="30"/>
    </row>
    <row r="977" spans="18:18" ht="15.75" customHeight="1">
      <c r="R977" s="30"/>
    </row>
    <row r="978" spans="18:18" ht="15.75" customHeight="1">
      <c r="R978" s="30"/>
    </row>
    <row r="979" spans="18:18" ht="15.75" customHeight="1">
      <c r="R979" s="30"/>
    </row>
    <row r="980" spans="18:18" ht="15.75" customHeight="1">
      <c r="R980" s="30"/>
    </row>
    <row r="981" spans="18:18" ht="15.75" customHeight="1">
      <c r="R981" s="30"/>
    </row>
    <row r="982" spans="18:18" ht="15.75" customHeight="1">
      <c r="R982" s="30"/>
    </row>
    <row r="983" spans="18:18" ht="15.75" customHeight="1">
      <c r="R983" s="30"/>
    </row>
    <row r="984" spans="18:18" ht="15.75" customHeight="1">
      <c r="R984" s="30"/>
    </row>
    <row r="985" spans="18:18" ht="15.75" customHeight="1">
      <c r="R985" s="30"/>
    </row>
    <row r="986" spans="18:18" ht="15.75" customHeight="1">
      <c r="R986" s="30"/>
    </row>
    <row r="987" spans="18:18" ht="15.75" customHeight="1">
      <c r="R987" s="30"/>
    </row>
    <row r="988" spans="18:18" ht="15.75" customHeight="1">
      <c r="R988" s="30"/>
    </row>
    <row r="989" spans="18:18" ht="15.75" customHeight="1">
      <c r="R989" s="30"/>
    </row>
    <row r="990" spans="18:18" ht="15.75" customHeight="1">
      <c r="R990" s="30"/>
    </row>
    <row r="991" spans="18:18" ht="15.75" customHeight="1">
      <c r="R991" s="30"/>
    </row>
    <row r="992" spans="18:18" ht="15.75" customHeight="1">
      <c r="R992" s="30"/>
    </row>
    <row r="993" spans="18:18" ht="15.75" customHeight="1">
      <c r="R993" s="30"/>
    </row>
    <row r="994" spans="18:18" ht="15.75" customHeight="1">
      <c r="R994" s="30"/>
    </row>
    <row r="995" spans="18:18" ht="15.75" customHeight="1">
      <c r="R995" s="30"/>
    </row>
    <row r="996" spans="18:18" ht="15.75" customHeight="1">
      <c r="R996" s="30"/>
    </row>
    <row r="997" spans="18:18" ht="15.75" customHeight="1">
      <c r="R997" s="30"/>
    </row>
    <row r="998" spans="18:18" ht="15.75" customHeight="1">
      <c r="R998" s="30"/>
    </row>
    <row r="999" spans="18:18" ht="15.75" customHeight="1">
      <c r="R999" s="30"/>
    </row>
    <row r="1000" spans="18:18" ht="15.75" customHeight="1">
      <c r="R1000" s="3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2.6640625" defaultRowHeight="15" customHeight="1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8.6640625" customWidth="1"/>
    <col min="6" max="6" width="9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16.33203125" customWidth="1"/>
    <col min="16" max="16" width="10" customWidth="1"/>
    <col min="17" max="18" width="7.33203125" customWidth="1"/>
    <col min="19" max="19" width="7.1640625" customWidth="1"/>
    <col min="20" max="20" width="17.33203125" customWidth="1"/>
    <col min="21" max="21" width="21.33203125" customWidth="1"/>
    <col min="22" max="22" width="79.664062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6640625" customWidth="1"/>
    <col min="32" max="32" width="10.1640625" customWidth="1"/>
    <col min="33" max="33" width="8.83203125" customWidth="1"/>
  </cols>
  <sheetData>
    <row r="1" spans="1:33" ht="18.75" customHeight="1">
      <c r="A1" s="46" t="str">
        <f ca="1">IFERROR(__xludf.DUMMYFUNCTION("IFERROR(VLOOKUP(B2,IMPORTRANGE(""https://docs.google.com/spreadsheets/d/1x0DhHglkXKoEBOD2MBsuK_EyIr1ouxD2ftIpqOYFa-k/edit?usp=sharing"",""Ubiquitty-SKU-Specific Info!B1:BJ5000""),3,FALSE),"""")"),"Yellow Extension Cord - 12/3 Gauge, 100ft w/Power Block")</f>
        <v>Yellow Extension Cord - 12/3 Gauge, 100ft w/Power Block</v>
      </c>
      <c r="B1" s="47"/>
      <c r="C1" s="48" t="s">
        <v>0</v>
      </c>
      <c r="D1" s="50" t="s">
        <v>1</v>
      </c>
      <c r="E1" s="50" t="s">
        <v>2</v>
      </c>
      <c r="F1" s="52" t="s">
        <v>3</v>
      </c>
      <c r="G1" s="52" t="s">
        <v>4</v>
      </c>
      <c r="H1" s="53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58" t="s">
        <v>10</v>
      </c>
      <c r="N1" s="59" t="s">
        <v>11</v>
      </c>
      <c r="O1" s="50" t="s">
        <v>12</v>
      </c>
      <c r="P1" s="50" t="s">
        <v>13</v>
      </c>
      <c r="Q1" s="57" t="s">
        <v>14</v>
      </c>
      <c r="R1" s="57" t="s">
        <v>15</v>
      </c>
      <c r="S1" s="60" t="s">
        <v>16</v>
      </c>
      <c r="T1" s="62" t="s">
        <v>2006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Info!B1:BJ5000""),2,FALSE),"""")"),"B073ZNDBSF")</f>
        <v>B073ZNDBSF</v>
      </c>
      <c r="B2" s="3" t="s">
        <v>1213</v>
      </c>
      <c r="C2" s="49"/>
      <c r="D2" s="49"/>
      <c r="E2" s="51"/>
      <c r="F2" s="49"/>
      <c r="G2" s="49"/>
      <c r="H2" s="54"/>
      <c r="I2" s="49"/>
      <c r="J2" s="49"/>
      <c r="K2" s="54"/>
      <c r="L2" s="54"/>
      <c r="M2" s="54"/>
      <c r="N2" s="49"/>
      <c r="O2" s="49"/>
      <c r="P2" s="51"/>
      <c r="Q2" s="49"/>
      <c r="R2" s="49"/>
      <c r="S2" s="61"/>
      <c r="T2" s="47"/>
      <c r="U2" s="63"/>
      <c r="V2" s="63"/>
      <c r="W2" s="47"/>
      <c r="X2" s="47"/>
      <c r="Y2" s="47"/>
      <c r="Z2" s="47"/>
      <c r="AA2" s="63"/>
      <c r="AB2" s="63"/>
      <c r="AC2" s="63"/>
      <c r="AD2" s="63"/>
      <c r="AE2" s="47"/>
      <c r="AF2" s="47"/>
      <c r="AG2" s="47"/>
    </row>
    <row r="3" spans="1:33" ht="126" customHeight="1">
      <c r="A3" s="55" t="s">
        <v>31</v>
      </c>
      <c r="B3" s="56"/>
      <c r="C3" s="4">
        <f>((AE32+AF32)/0.85)*-1</f>
        <v>60.9794053882353</v>
      </c>
      <c r="D3" s="5">
        <f>SUM(D4:D99765)</f>
        <v>499</v>
      </c>
      <c r="E3" s="5"/>
      <c r="F3" s="6">
        <f t="shared" ref="F3:G3" si="0">SUM(F4:F99765)</f>
        <v>43981.439999999995</v>
      </c>
      <c r="G3" s="6">
        <f t="shared" si="0"/>
        <v>-3.2300000000000004</v>
      </c>
      <c r="H3" s="7">
        <f t="shared" ref="H3:H32" si="1">G3/F3*-1</f>
        <v>7.3440069265581133E-5</v>
      </c>
      <c r="I3" s="8">
        <f t="shared" ref="I3:I32" si="2">J3/F3</f>
        <v>0.34273405106988769</v>
      </c>
      <c r="J3" s="6">
        <f>SUM(J4:J99765)</f>
        <v>15073.937103087199</v>
      </c>
      <c r="K3" s="6">
        <f t="shared" ref="K3:K32" si="3">J3/D3</f>
        <v>30.208290787749899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Sheet!a1:g5000""),2,FALSE),"""")"),"5 - March
5 - April
5 - May
5 - June
5 - July
5.5 - Aug
7.5 - Sept
7.5 - Oct
10.5 - Nov
10 - Dec
3 - Jan
5 - Feb")</f>
        <v>5 - March
5 - April
5 - May
5 - June
5 - July
5.5 - Aug
7.5 - Sept
7.5 - Oct
10.5 - Nov
10 - Dec
3 - Jan
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QTY-1")</f>
        <v>Del QTY-1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QTY-0")</f>
        <v>US QTY-0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1</v>
      </c>
      <c r="X3" s="7">
        <f>W3/D3</f>
        <v>2.004008016032064E-3</v>
      </c>
      <c r="Y3" s="6"/>
      <c r="Z3" s="5"/>
      <c r="AA3" s="5"/>
      <c r="AB3" s="5"/>
      <c r="AC3" s="5"/>
      <c r="AD3" s="6">
        <f>SUM(AD4:AD99765)</f>
        <v>-179.61150124613749</v>
      </c>
      <c r="AE3" s="6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Info!B2:BZ3000""),37,FALSE)),"""")*-1"),-42.85249458)</f>
        <v>-42.852494579999998</v>
      </c>
      <c r="AG3" s="6">
        <f>SUM(AG4:AG99765)</f>
        <v>0</v>
      </c>
    </row>
    <row r="4" spans="1:33" ht="15.75" customHeight="1">
      <c r="A4" s="14" t="s">
        <v>181</v>
      </c>
      <c r="B4" s="14" t="s">
        <v>1214</v>
      </c>
      <c r="C4" s="15">
        <f t="shared" ref="C4:C32" si="4">IFERROR(F4/D4," - ")</f>
        <v>87.98</v>
      </c>
      <c r="D4" s="16">
        <v>10</v>
      </c>
      <c r="E4" s="16">
        <v>0</v>
      </c>
      <c r="F4" s="17">
        <v>879.80000000000007</v>
      </c>
      <c r="G4" s="17">
        <v>-0.02</v>
      </c>
      <c r="H4" s="18">
        <f t="shared" si="1"/>
        <v>2.2732439190725165E-5</v>
      </c>
      <c r="I4" s="18">
        <f t="shared" si="2"/>
        <v>0.37951793494733654</v>
      </c>
      <c r="J4" s="17">
        <f t="shared" ref="J4:J32" si="5">F4*0.85+G4+AF4*D4+D4*AE4+AG4+AD4</f>
        <v>333.89987916666672</v>
      </c>
      <c r="K4" s="17">
        <f t="shared" si="3"/>
        <v>33.389987916666669</v>
      </c>
      <c r="L4" s="16">
        <v>47</v>
      </c>
      <c r="M4" s="19">
        <f t="shared" ref="M4:M32" si="6">IFERROR(D4/L4,"-")</f>
        <v>0.21276595744680851</v>
      </c>
      <c r="N4" s="16">
        <v>171</v>
      </c>
      <c r="O4" s="20">
        <f t="shared" ref="O4:P4" si="7">D4/7</f>
        <v>1.4285714285714286</v>
      </c>
      <c r="P4" s="20">
        <f t="shared" si="7"/>
        <v>0</v>
      </c>
      <c r="Q4" s="16">
        <f t="shared" ref="Q4:Q32" si="8">ROUNDDOWN(N4/(O4+P4),0)</f>
        <v>119</v>
      </c>
      <c r="R4" s="16"/>
      <c r="S4" s="21">
        <v>2.7559395248380101</v>
      </c>
      <c r="T4" s="14">
        <v>0</v>
      </c>
      <c r="U4" s="22" t="s">
        <v>34</v>
      </c>
      <c r="V4" s="23" t="s">
        <v>34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26" t="s">
        <v>35</v>
      </c>
      <c r="AB4" s="27">
        <f t="shared" ref="AB4:AB32" si="11">IF(OR(AA4="UsLargeStandardSize",AA4="UsSmallStandardSize"),-0.69,-0.48)</f>
        <v>-0.69</v>
      </c>
      <c r="AC4" s="28">
        <v>0.25918749999999996</v>
      </c>
      <c r="AD4" s="25">
        <f t="shared" ref="AD4:AD32" si="12">IFERROR(AB4*AC4*D4*2,0)</f>
        <v>-3.5767874999999991</v>
      </c>
      <c r="AE4" s="25">
        <v>-9.6</v>
      </c>
      <c r="AF4" s="25">
        <v>-31.433333333333334</v>
      </c>
      <c r="AG4" s="25">
        <v>0</v>
      </c>
    </row>
    <row r="5" spans="1:33" ht="15.75" customHeight="1">
      <c r="A5" s="14" t="s">
        <v>183</v>
      </c>
      <c r="B5" s="14" t="s">
        <v>1215</v>
      </c>
      <c r="C5" s="15">
        <f t="shared" si="4"/>
        <v>86.529629629629596</v>
      </c>
      <c r="D5" s="16">
        <v>27</v>
      </c>
      <c r="E5" s="16">
        <v>0</v>
      </c>
      <c r="F5" s="29">
        <v>2336.2999999999993</v>
      </c>
      <c r="G5" s="29">
        <v>-0.08</v>
      </c>
      <c r="H5" s="18">
        <f t="shared" si="1"/>
        <v>3.4242177802508253E-5</v>
      </c>
      <c r="I5" s="18">
        <f t="shared" si="2"/>
        <v>0.37161600964653313</v>
      </c>
      <c r="J5" s="17">
        <f t="shared" si="5"/>
        <v>868.2064833371951</v>
      </c>
      <c r="K5" s="17">
        <f t="shared" si="3"/>
        <v>32.155795679155375</v>
      </c>
      <c r="L5" s="16">
        <v>78</v>
      </c>
      <c r="M5" s="19">
        <f t="shared" si="6"/>
        <v>0.34615384615384615</v>
      </c>
      <c r="N5" s="16">
        <v>144</v>
      </c>
      <c r="O5" s="20">
        <f t="shared" ref="O5:P5" si="13">D5/7</f>
        <v>3.8571428571428572</v>
      </c>
      <c r="P5" s="20">
        <f t="shared" si="13"/>
        <v>0</v>
      </c>
      <c r="Q5" s="16">
        <f t="shared" si="8"/>
        <v>37</v>
      </c>
      <c r="R5" s="16"/>
      <c r="S5" s="21">
        <v>2.9074074074073999</v>
      </c>
      <c r="T5" s="14">
        <v>0</v>
      </c>
      <c r="U5" s="22" t="s">
        <v>34</v>
      </c>
      <c r="V5" s="23" t="s">
        <v>34</v>
      </c>
      <c r="W5" s="14">
        <v>0</v>
      </c>
      <c r="X5" s="24">
        <f t="shared" si="9"/>
        <v>0</v>
      </c>
      <c r="Y5" s="25">
        <f t="shared" si="10"/>
        <v>0</v>
      </c>
      <c r="Z5" s="14">
        <v>0</v>
      </c>
      <c r="AA5" s="14" t="s">
        <v>35</v>
      </c>
      <c r="AB5" s="27">
        <f t="shared" si="11"/>
        <v>-0.69</v>
      </c>
      <c r="AC5" s="28">
        <v>0.25948783314020857</v>
      </c>
      <c r="AD5" s="25">
        <f t="shared" si="12"/>
        <v>-9.668516662804171</v>
      </c>
      <c r="AE5" s="25">
        <v>-9.6</v>
      </c>
      <c r="AF5" s="25">
        <v>-31.433333333333334</v>
      </c>
      <c r="AG5" s="25">
        <v>0</v>
      </c>
    </row>
    <row r="6" spans="1:33" ht="15.75" customHeight="1">
      <c r="A6" s="14" t="s">
        <v>185</v>
      </c>
      <c r="B6" s="14" t="s">
        <v>1216</v>
      </c>
      <c r="C6" s="15">
        <f t="shared" si="4"/>
        <v>91.394999999999996</v>
      </c>
      <c r="D6" s="16">
        <v>20</v>
      </c>
      <c r="E6" s="16">
        <v>0</v>
      </c>
      <c r="F6" s="29">
        <v>1827.8999999999999</v>
      </c>
      <c r="G6" s="29">
        <v>-0.11</v>
      </c>
      <c r="H6" s="18">
        <f t="shared" si="1"/>
        <v>6.0178346736692383E-5</v>
      </c>
      <c r="I6" s="18">
        <f t="shared" si="2"/>
        <v>0.39705933493808926</v>
      </c>
      <c r="J6" s="17">
        <f t="shared" si="5"/>
        <v>725.78475833333334</v>
      </c>
      <c r="K6" s="17">
        <f t="shared" si="3"/>
        <v>36.289237916666664</v>
      </c>
      <c r="L6" s="16">
        <v>85</v>
      </c>
      <c r="M6" s="19">
        <f t="shared" si="6"/>
        <v>0.23529411764705882</v>
      </c>
      <c r="N6" s="16">
        <v>122</v>
      </c>
      <c r="O6" s="20">
        <f t="shared" ref="O6:P6" si="14">D6/7</f>
        <v>2.8571428571428572</v>
      </c>
      <c r="P6" s="20">
        <f t="shared" si="14"/>
        <v>0</v>
      </c>
      <c r="Q6" s="16">
        <f t="shared" si="8"/>
        <v>42</v>
      </c>
      <c r="R6" s="16"/>
      <c r="S6" s="21">
        <v>4.68055555555555</v>
      </c>
      <c r="T6" s="14">
        <v>0</v>
      </c>
      <c r="U6" s="22" t="s">
        <v>34</v>
      </c>
      <c r="V6" s="23" t="s">
        <v>186</v>
      </c>
      <c r="W6" s="14">
        <v>1</v>
      </c>
      <c r="X6" s="24">
        <f t="shared" si="9"/>
        <v>0.05</v>
      </c>
      <c r="Y6" s="25">
        <f t="shared" si="10"/>
        <v>0.11</v>
      </c>
      <c r="Z6" s="14">
        <v>0</v>
      </c>
      <c r="AA6" s="14" t="s">
        <v>35</v>
      </c>
      <c r="AB6" s="27">
        <f t="shared" si="11"/>
        <v>-0.69</v>
      </c>
      <c r="AC6" s="28">
        <v>0.25918749999999996</v>
      </c>
      <c r="AD6" s="25">
        <f t="shared" si="12"/>
        <v>-7.1535749999999982</v>
      </c>
      <c r="AE6" s="25">
        <v>-9.6</v>
      </c>
      <c r="AF6" s="25">
        <v>-31.433333333333334</v>
      </c>
      <c r="AG6" s="25">
        <v>0</v>
      </c>
    </row>
    <row r="7" spans="1:33" ht="15.75" customHeight="1">
      <c r="A7" s="14" t="s">
        <v>187</v>
      </c>
      <c r="B7" s="14" t="s">
        <v>68</v>
      </c>
      <c r="C7" s="15">
        <f t="shared" si="4"/>
        <v>99.99</v>
      </c>
      <c r="D7" s="16">
        <v>9</v>
      </c>
      <c r="E7" s="16">
        <v>0</v>
      </c>
      <c r="F7" s="29">
        <v>899.91</v>
      </c>
      <c r="G7" s="29">
        <v>-0.14000000000000001</v>
      </c>
      <c r="H7" s="18">
        <f t="shared" si="1"/>
        <v>1.5557111266682226E-4</v>
      </c>
      <c r="I7" s="18">
        <f t="shared" si="2"/>
        <v>0.43589291290240145</v>
      </c>
      <c r="J7" s="17">
        <f t="shared" si="5"/>
        <v>392.26439125000007</v>
      </c>
      <c r="K7" s="17">
        <f t="shared" si="3"/>
        <v>43.584932361111122</v>
      </c>
      <c r="L7" s="16">
        <v>51</v>
      </c>
      <c r="M7" s="19">
        <f t="shared" si="6"/>
        <v>0.17647058823529413</v>
      </c>
      <c r="N7" s="16">
        <v>114</v>
      </c>
      <c r="O7" s="20">
        <f t="shared" ref="O7:P7" si="15">D7/7</f>
        <v>1.2857142857142858</v>
      </c>
      <c r="P7" s="20">
        <f t="shared" si="15"/>
        <v>0</v>
      </c>
      <c r="Q7" s="16">
        <f t="shared" si="8"/>
        <v>88</v>
      </c>
      <c r="R7" s="16"/>
      <c r="S7" s="21">
        <v>8.2117647058823504</v>
      </c>
      <c r="T7" s="14">
        <v>0</v>
      </c>
      <c r="U7" s="22" t="s">
        <v>34</v>
      </c>
      <c r="V7" s="23" t="s">
        <v>186</v>
      </c>
      <c r="W7" s="14">
        <v>0</v>
      </c>
      <c r="X7" s="24">
        <f t="shared" si="9"/>
        <v>0</v>
      </c>
      <c r="Y7" s="25">
        <f t="shared" si="10"/>
        <v>0</v>
      </c>
      <c r="Z7" s="14">
        <v>0</v>
      </c>
      <c r="AA7" s="14" t="s">
        <v>35</v>
      </c>
      <c r="AB7" s="27">
        <f t="shared" si="11"/>
        <v>-0.69</v>
      </c>
      <c r="AC7" s="28">
        <v>0.25918749999999996</v>
      </c>
      <c r="AD7" s="25">
        <f t="shared" si="12"/>
        <v>-3.2191087499999993</v>
      </c>
      <c r="AE7" s="25">
        <v>-9.6</v>
      </c>
      <c r="AF7" s="25">
        <v>-31.433333333333334</v>
      </c>
      <c r="AG7" s="25">
        <v>0</v>
      </c>
    </row>
    <row r="8" spans="1:33" ht="15.75" customHeight="1">
      <c r="A8" s="14" t="s">
        <v>189</v>
      </c>
      <c r="B8" s="14" t="s">
        <v>68</v>
      </c>
      <c r="C8" s="15">
        <f t="shared" si="4"/>
        <v>100.0409090909091</v>
      </c>
      <c r="D8" s="16">
        <v>11</v>
      </c>
      <c r="E8" s="16">
        <v>0</v>
      </c>
      <c r="F8" s="29">
        <v>1100.45</v>
      </c>
      <c r="G8" s="29">
        <v>-0.02</v>
      </c>
      <c r="H8" s="18">
        <f t="shared" si="1"/>
        <v>1.8174383206869915E-5</v>
      </c>
      <c r="I8" s="18">
        <f t="shared" si="2"/>
        <v>0.43627428211186331</v>
      </c>
      <c r="J8" s="17">
        <f t="shared" si="5"/>
        <v>480.09803375000001</v>
      </c>
      <c r="K8" s="17">
        <f t="shared" si="3"/>
        <v>43.645275795454545</v>
      </c>
      <c r="L8" s="16">
        <v>40</v>
      </c>
      <c r="M8" s="19">
        <f t="shared" si="6"/>
        <v>0.27500000000000002</v>
      </c>
      <c r="N8" s="16">
        <v>103</v>
      </c>
      <c r="O8" s="20">
        <f t="shared" ref="O8:P8" si="16">D8/7</f>
        <v>1.5714285714285714</v>
      </c>
      <c r="P8" s="20">
        <f t="shared" si="16"/>
        <v>0</v>
      </c>
      <c r="Q8" s="16">
        <f t="shared" si="8"/>
        <v>65</v>
      </c>
      <c r="R8" s="16"/>
      <c r="S8" s="21">
        <v>2.65682656826568</v>
      </c>
      <c r="T8" s="14">
        <v>0</v>
      </c>
      <c r="U8" s="22" t="s">
        <v>34</v>
      </c>
      <c r="V8" s="23" t="s">
        <v>34</v>
      </c>
      <c r="W8" s="14">
        <v>0</v>
      </c>
      <c r="X8" s="24">
        <f t="shared" si="9"/>
        <v>0</v>
      </c>
      <c r="Y8" s="25">
        <f t="shared" si="10"/>
        <v>0</v>
      </c>
      <c r="Z8" s="14">
        <v>0</v>
      </c>
      <c r="AA8" s="14" t="s">
        <v>35</v>
      </c>
      <c r="AB8" s="27">
        <f t="shared" si="11"/>
        <v>-0.69</v>
      </c>
      <c r="AC8" s="28">
        <v>0.25918749999999996</v>
      </c>
      <c r="AD8" s="25">
        <f t="shared" si="12"/>
        <v>-3.9344662499999994</v>
      </c>
      <c r="AE8" s="25">
        <v>-9.6</v>
      </c>
      <c r="AF8" s="25">
        <v>-31.43</v>
      </c>
      <c r="AG8" s="25">
        <v>0</v>
      </c>
    </row>
    <row r="9" spans="1:33" ht="15.75" customHeight="1">
      <c r="A9" s="14" t="s">
        <v>191</v>
      </c>
      <c r="B9" s="14" t="s">
        <v>1217</v>
      </c>
      <c r="C9" s="15" t="str">
        <f t="shared" si="4"/>
        <v xml:space="preserve"> - </v>
      </c>
      <c r="D9" s="16">
        <v>0</v>
      </c>
      <c r="E9" s="16">
        <v>0</v>
      </c>
      <c r="F9" s="29">
        <v>0</v>
      </c>
      <c r="G9" s="29">
        <v>0</v>
      </c>
      <c r="H9" s="18" t="e">
        <f t="shared" si="1"/>
        <v>#DIV/0!</v>
      </c>
      <c r="I9" s="18" t="e">
        <f t="shared" si="2"/>
        <v>#DIV/0!</v>
      </c>
      <c r="J9" s="17">
        <f t="shared" si="5"/>
        <v>0</v>
      </c>
      <c r="K9" s="17" t="e">
        <f t="shared" si="3"/>
        <v>#DIV/0!</v>
      </c>
      <c r="L9" s="16">
        <v>0</v>
      </c>
      <c r="M9" s="19" t="str">
        <f t="shared" si="6"/>
        <v>-</v>
      </c>
      <c r="N9" s="16">
        <v>102</v>
      </c>
      <c r="O9" s="20">
        <f t="shared" ref="O9:P9" si="17">D9/7</f>
        <v>0</v>
      </c>
      <c r="P9" s="20">
        <f t="shared" si="17"/>
        <v>0</v>
      </c>
      <c r="Q9" s="16" t="e">
        <f t="shared" si="8"/>
        <v>#DIV/0!</v>
      </c>
      <c r="R9" s="16"/>
      <c r="S9" s="21">
        <v>2.60869565217391</v>
      </c>
      <c r="T9" s="14">
        <v>0</v>
      </c>
      <c r="U9" s="22" t="s">
        <v>34</v>
      </c>
      <c r="V9" s="23" t="s">
        <v>34</v>
      </c>
      <c r="W9" s="14">
        <v>0</v>
      </c>
      <c r="X9" s="24">
        <f t="shared" si="9"/>
        <v>0</v>
      </c>
      <c r="Y9" s="25">
        <f t="shared" si="10"/>
        <v>0</v>
      </c>
      <c r="Z9" s="14">
        <v>0</v>
      </c>
      <c r="AA9" s="14" t="s">
        <v>35</v>
      </c>
      <c r="AB9" s="27">
        <f t="shared" si="11"/>
        <v>-0.69</v>
      </c>
      <c r="AC9" s="28">
        <v>0.25918749999999996</v>
      </c>
      <c r="AD9" s="25">
        <f t="shared" si="12"/>
        <v>0</v>
      </c>
      <c r="AE9" s="25">
        <v>-9.6</v>
      </c>
      <c r="AF9" s="25">
        <v>-32.066666666666599</v>
      </c>
      <c r="AG9" s="25">
        <v>0</v>
      </c>
    </row>
    <row r="10" spans="1:33" ht="15.75" customHeight="1">
      <c r="A10" s="14" t="s">
        <v>192</v>
      </c>
      <c r="B10" s="14" t="s">
        <v>1218</v>
      </c>
      <c r="C10" s="15">
        <f t="shared" si="4"/>
        <v>70.711463414634125</v>
      </c>
      <c r="D10" s="16">
        <v>41</v>
      </c>
      <c r="E10" s="16">
        <v>0</v>
      </c>
      <c r="F10" s="29">
        <v>2899.1699999999992</v>
      </c>
      <c r="G10" s="29">
        <v>-0.23</v>
      </c>
      <c r="H10" s="18">
        <f t="shared" si="1"/>
        <v>7.9333050493762038E-5</v>
      </c>
      <c r="I10" s="18">
        <f t="shared" si="2"/>
        <v>0.25561327480508861</v>
      </c>
      <c r="J10" s="17">
        <f t="shared" si="5"/>
        <v>741.06633791666854</v>
      </c>
      <c r="K10" s="17">
        <f t="shared" si="3"/>
        <v>18.074788729674843</v>
      </c>
      <c r="L10" s="16">
        <v>102</v>
      </c>
      <c r="M10" s="19">
        <f t="shared" si="6"/>
        <v>0.40196078431372551</v>
      </c>
      <c r="N10" s="16">
        <v>63</v>
      </c>
      <c r="O10" s="20">
        <f t="shared" ref="O10:P10" si="18">D10/7</f>
        <v>5.8571428571428568</v>
      </c>
      <c r="P10" s="20">
        <f t="shared" si="18"/>
        <v>0</v>
      </c>
      <c r="Q10" s="16">
        <f t="shared" si="8"/>
        <v>10</v>
      </c>
      <c r="R10" s="16"/>
      <c r="S10" s="21">
        <v>4.2258064516129004</v>
      </c>
      <c r="T10" s="14">
        <v>0</v>
      </c>
      <c r="U10" s="22" t="s">
        <v>34</v>
      </c>
      <c r="V10" s="23" t="s">
        <v>34</v>
      </c>
      <c r="W10" s="14">
        <v>0</v>
      </c>
      <c r="X10" s="24">
        <f t="shared" si="9"/>
        <v>0</v>
      </c>
      <c r="Y10" s="25">
        <f t="shared" si="10"/>
        <v>0</v>
      </c>
      <c r="Z10" s="14">
        <v>0</v>
      </c>
      <c r="AA10" s="14" t="s">
        <v>35</v>
      </c>
      <c r="AB10" s="27">
        <f t="shared" si="11"/>
        <v>-0.69</v>
      </c>
      <c r="AC10" s="28">
        <v>0.25918749999999996</v>
      </c>
      <c r="AD10" s="25">
        <f t="shared" si="12"/>
        <v>-14.664828749999998</v>
      </c>
      <c r="AE10" s="25">
        <v>-9.6</v>
      </c>
      <c r="AF10" s="25">
        <v>-32.066666666666599</v>
      </c>
      <c r="AG10" s="25">
        <v>0</v>
      </c>
    </row>
    <row r="11" spans="1:33" ht="15.75" customHeight="1">
      <c r="A11" s="14" t="s">
        <v>193</v>
      </c>
      <c r="B11" s="14" t="s">
        <v>68</v>
      </c>
      <c r="C11" s="15">
        <f t="shared" si="4"/>
        <v>80.944864864864869</v>
      </c>
      <c r="D11" s="16">
        <v>37</v>
      </c>
      <c r="E11" s="16">
        <v>0</v>
      </c>
      <c r="F11" s="29">
        <v>2994.96</v>
      </c>
      <c r="G11" s="29">
        <v>-0.26</v>
      </c>
      <c r="H11" s="18">
        <f t="shared" si="1"/>
        <v>8.6812511686299649E-5</v>
      </c>
      <c r="I11" s="18">
        <f t="shared" si="2"/>
        <v>0.33074071760001317</v>
      </c>
      <c r="J11" s="17">
        <f t="shared" si="5"/>
        <v>990.55521958333543</v>
      </c>
      <c r="K11" s="17">
        <f t="shared" si="3"/>
        <v>26.771762691441499</v>
      </c>
      <c r="L11" s="16">
        <v>104</v>
      </c>
      <c r="M11" s="19">
        <f t="shared" si="6"/>
        <v>0.35576923076923078</v>
      </c>
      <c r="N11" s="16">
        <v>267</v>
      </c>
      <c r="O11" s="20">
        <f t="shared" ref="O11:P11" si="19">D11/7</f>
        <v>5.2857142857142856</v>
      </c>
      <c r="P11" s="20">
        <f t="shared" si="19"/>
        <v>0</v>
      </c>
      <c r="Q11" s="16">
        <f t="shared" si="8"/>
        <v>50</v>
      </c>
      <c r="R11" s="16"/>
      <c r="S11" s="21">
        <v>3.59914712153518</v>
      </c>
      <c r="T11" s="14">
        <v>60</v>
      </c>
      <c r="U11" s="22" t="s">
        <v>34</v>
      </c>
      <c r="V11" s="23" t="s">
        <v>34</v>
      </c>
      <c r="W11" s="14">
        <v>0</v>
      </c>
      <c r="X11" s="24">
        <f t="shared" si="9"/>
        <v>0</v>
      </c>
      <c r="Y11" s="25">
        <f t="shared" si="10"/>
        <v>0</v>
      </c>
      <c r="Z11" s="14">
        <v>0</v>
      </c>
      <c r="AA11" s="14" t="s">
        <v>35</v>
      </c>
      <c r="AB11" s="27">
        <f t="shared" si="11"/>
        <v>-0.69</v>
      </c>
      <c r="AC11" s="28">
        <v>0.25918749999999996</v>
      </c>
      <c r="AD11" s="25">
        <f t="shared" si="12"/>
        <v>-13.234113749999997</v>
      </c>
      <c r="AE11" s="25">
        <v>-9.6</v>
      </c>
      <c r="AF11" s="25">
        <v>-32.066666666666599</v>
      </c>
      <c r="AG11" s="25">
        <v>0</v>
      </c>
    </row>
    <row r="12" spans="1:33" ht="15.75" customHeight="1">
      <c r="A12" s="14" t="s">
        <v>195</v>
      </c>
      <c r="B12" s="14" t="s">
        <v>68</v>
      </c>
      <c r="C12" s="15">
        <f t="shared" si="4"/>
        <v>86.092727272727259</v>
      </c>
      <c r="D12" s="16">
        <v>22</v>
      </c>
      <c r="E12" s="16">
        <v>1</v>
      </c>
      <c r="F12" s="29">
        <v>1894.0399999999997</v>
      </c>
      <c r="G12" s="29">
        <v>-7.0000000000000007E-2</v>
      </c>
      <c r="H12" s="18">
        <f t="shared" si="1"/>
        <v>3.6958036789085769E-5</v>
      </c>
      <c r="I12" s="18">
        <f t="shared" si="2"/>
        <v>0.36183417500862425</v>
      </c>
      <c r="J12" s="17">
        <f t="shared" si="5"/>
        <v>685.32840083333463</v>
      </c>
      <c r="K12" s="17">
        <f t="shared" si="3"/>
        <v>31.151290946969755</v>
      </c>
      <c r="L12" s="16">
        <v>72</v>
      </c>
      <c r="M12" s="19">
        <f t="shared" si="6"/>
        <v>0.30555555555555558</v>
      </c>
      <c r="N12" s="16">
        <v>226</v>
      </c>
      <c r="O12" s="20">
        <f t="shared" ref="O12:P12" si="20">D12/7</f>
        <v>3.1428571428571428</v>
      </c>
      <c r="P12" s="20">
        <f t="shared" si="20"/>
        <v>0.14285714285714285</v>
      </c>
      <c r="Q12" s="16">
        <f t="shared" si="8"/>
        <v>68</v>
      </c>
      <c r="R12" s="16"/>
      <c r="S12" s="21">
        <v>2.8992</v>
      </c>
      <c r="T12" s="14">
        <v>60</v>
      </c>
      <c r="U12" s="22" t="s">
        <v>34</v>
      </c>
      <c r="V12" s="23" t="s">
        <v>34</v>
      </c>
      <c r="W12" s="14">
        <v>0</v>
      </c>
      <c r="X12" s="24">
        <f t="shared" si="9"/>
        <v>0</v>
      </c>
      <c r="Y12" s="25">
        <f t="shared" si="10"/>
        <v>0</v>
      </c>
      <c r="Z12" s="14">
        <v>0</v>
      </c>
      <c r="AA12" s="14" t="s">
        <v>35</v>
      </c>
      <c r="AB12" s="27">
        <f t="shared" si="11"/>
        <v>-0.69</v>
      </c>
      <c r="AC12" s="28">
        <v>0.25918749999999996</v>
      </c>
      <c r="AD12" s="25">
        <f t="shared" si="12"/>
        <v>-7.8689324999999988</v>
      </c>
      <c r="AE12" s="25">
        <v>-9.6</v>
      </c>
      <c r="AF12" s="25">
        <v>-32.066666666666599</v>
      </c>
      <c r="AG12" s="25">
        <v>0</v>
      </c>
    </row>
    <row r="13" spans="1:33" ht="15.75" customHeight="1">
      <c r="A13" s="14" t="s">
        <v>197</v>
      </c>
      <c r="B13" s="14" t="s">
        <v>663</v>
      </c>
      <c r="C13" s="15">
        <f t="shared" si="4"/>
        <v>86.482432432432461</v>
      </c>
      <c r="D13" s="16">
        <v>37</v>
      </c>
      <c r="E13" s="16">
        <v>0</v>
      </c>
      <c r="F13" s="17">
        <v>3199.8500000000008</v>
      </c>
      <c r="G13" s="29">
        <v>-0.22999999999999998</v>
      </c>
      <c r="H13" s="18">
        <f t="shared" si="1"/>
        <v>7.187836929856084E-5</v>
      </c>
      <c r="I13" s="18">
        <f t="shared" si="2"/>
        <v>0.36014450247667862</v>
      </c>
      <c r="J13" s="17">
        <f t="shared" si="5"/>
        <v>1152.4083862500004</v>
      </c>
      <c r="K13" s="17">
        <f t="shared" si="3"/>
        <v>31.14617260135136</v>
      </c>
      <c r="L13" s="16">
        <v>58</v>
      </c>
      <c r="M13" s="19">
        <f t="shared" si="6"/>
        <v>0.63793103448275867</v>
      </c>
      <c r="N13" s="16">
        <v>165</v>
      </c>
      <c r="O13" s="20">
        <f t="shared" ref="O13:P13" si="21">D13/7</f>
        <v>5.2857142857142856</v>
      </c>
      <c r="P13" s="20">
        <f t="shared" si="21"/>
        <v>0</v>
      </c>
      <c r="Q13" s="16">
        <f t="shared" si="8"/>
        <v>31</v>
      </c>
      <c r="R13" s="16"/>
      <c r="S13" s="21">
        <v>2.3538461538461499</v>
      </c>
      <c r="T13" s="14">
        <v>60</v>
      </c>
      <c r="U13" s="22" t="s">
        <v>34</v>
      </c>
      <c r="V13" s="23" t="s">
        <v>34</v>
      </c>
      <c r="W13" s="14">
        <v>0</v>
      </c>
      <c r="X13" s="24">
        <f t="shared" si="9"/>
        <v>0</v>
      </c>
      <c r="Y13" s="25">
        <f t="shared" si="10"/>
        <v>0</v>
      </c>
      <c r="Z13" s="14">
        <v>0</v>
      </c>
      <c r="AA13" s="14" t="s">
        <v>35</v>
      </c>
      <c r="AB13" s="27">
        <f t="shared" si="11"/>
        <v>-0.69</v>
      </c>
      <c r="AC13" s="28">
        <v>0.25918749999999996</v>
      </c>
      <c r="AD13" s="25">
        <f t="shared" si="12"/>
        <v>-13.234113749999997</v>
      </c>
      <c r="AE13" s="25">
        <v>-9.6</v>
      </c>
      <c r="AF13" s="25">
        <v>-32.4</v>
      </c>
      <c r="AG13" s="25">
        <v>0</v>
      </c>
    </row>
    <row r="14" spans="1:33" ht="15.75" customHeight="1">
      <c r="A14" s="14" t="s">
        <v>32</v>
      </c>
      <c r="B14" s="14" t="s">
        <v>1219</v>
      </c>
      <c r="C14" s="15">
        <f t="shared" si="4"/>
        <v>89.043529411764709</v>
      </c>
      <c r="D14" s="16">
        <v>17</v>
      </c>
      <c r="E14" s="16">
        <v>0</v>
      </c>
      <c r="F14" s="17">
        <v>1513.74</v>
      </c>
      <c r="G14" s="29">
        <v>-0.26</v>
      </c>
      <c r="H14" s="18">
        <f t="shared" si="1"/>
        <v>1.7176001162683157E-4</v>
      </c>
      <c r="I14" s="18">
        <f t="shared" si="2"/>
        <v>0.37413192572700738</v>
      </c>
      <c r="J14" s="17">
        <f t="shared" si="5"/>
        <v>566.33846125000014</v>
      </c>
      <c r="K14" s="17">
        <f t="shared" si="3"/>
        <v>33.314027132352948</v>
      </c>
      <c r="L14" s="16">
        <v>56</v>
      </c>
      <c r="M14" s="19">
        <f t="shared" si="6"/>
        <v>0.30357142857142855</v>
      </c>
      <c r="N14" s="16">
        <v>122</v>
      </c>
      <c r="O14" s="20">
        <f t="shared" ref="O14:P14" si="22">D14/7</f>
        <v>2.4285714285714284</v>
      </c>
      <c r="P14" s="20">
        <f t="shared" si="22"/>
        <v>0</v>
      </c>
      <c r="Q14" s="16">
        <f t="shared" si="8"/>
        <v>50</v>
      </c>
      <c r="R14" s="16"/>
      <c r="S14" s="21">
        <v>2.8046744574290399</v>
      </c>
      <c r="T14" s="14">
        <v>60</v>
      </c>
      <c r="U14" s="22" t="s">
        <v>34</v>
      </c>
      <c r="V14" s="23" t="s">
        <v>34</v>
      </c>
      <c r="W14" s="14">
        <v>0</v>
      </c>
      <c r="X14" s="24">
        <f t="shared" si="9"/>
        <v>0</v>
      </c>
      <c r="Y14" s="25">
        <f t="shared" si="10"/>
        <v>0</v>
      </c>
      <c r="Z14" s="14">
        <v>0</v>
      </c>
      <c r="AA14" s="14" t="s">
        <v>35</v>
      </c>
      <c r="AB14" s="27">
        <f t="shared" si="11"/>
        <v>-0.69</v>
      </c>
      <c r="AC14" s="28">
        <v>0.25918749999999996</v>
      </c>
      <c r="AD14" s="25">
        <f t="shared" si="12"/>
        <v>-6.0805387499999988</v>
      </c>
      <c r="AE14" s="25">
        <v>-9.6</v>
      </c>
      <c r="AF14" s="25">
        <v>-32.4</v>
      </c>
      <c r="AG14" s="25">
        <v>0</v>
      </c>
    </row>
    <row r="15" spans="1:33" ht="15.75" customHeight="1">
      <c r="A15" s="14" t="s">
        <v>36</v>
      </c>
      <c r="B15" s="14" t="s">
        <v>1215</v>
      </c>
      <c r="C15" s="15">
        <f t="shared" si="4"/>
        <v>87.393333333333331</v>
      </c>
      <c r="D15" s="16">
        <v>24</v>
      </c>
      <c r="E15" s="16">
        <v>1</v>
      </c>
      <c r="F15" s="17">
        <v>2097.44</v>
      </c>
      <c r="G15" s="29">
        <v>-0.16</v>
      </c>
      <c r="H15" s="18">
        <f t="shared" si="1"/>
        <v>7.6283469372187047E-5</v>
      </c>
      <c r="I15" s="18">
        <f t="shared" si="2"/>
        <v>0.36375758543748565</v>
      </c>
      <c r="J15" s="17">
        <f t="shared" si="5"/>
        <v>762.95970999999997</v>
      </c>
      <c r="K15" s="17">
        <f t="shared" si="3"/>
        <v>31.789987916666664</v>
      </c>
      <c r="L15" s="16">
        <v>85</v>
      </c>
      <c r="M15" s="19">
        <f t="shared" si="6"/>
        <v>0.28235294117647058</v>
      </c>
      <c r="N15" s="16">
        <v>100</v>
      </c>
      <c r="O15" s="20">
        <f t="shared" ref="O15:P15" si="23">D15/7</f>
        <v>3.4285714285714284</v>
      </c>
      <c r="P15" s="20">
        <f t="shared" si="23"/>
        <v>0.14285714285714285</v>
      </c>
      <c r="Q15" s="16">
        <f t="shared" si="8"/>
        <v>28</v>
      </c>
      <c r="R15" s="16"/>
      <c r="S15" s="21">
        <v>3.08274231678487</v>
      </c>
      <c r="T15" s="14">
        <v>60</v>
      </c>
      <c r="U15" s="22" t="s">
        <v>34</v>
      </c>
      <c r="V15" s="23" t="s">
        <v>34</v>
      </c>
      <c r="W15" s="14">
        <v>0</v>
      </c>
      <c r="X15" s="24">
        <f t="shared" si="9"/>
        <v>0</v>
      </c>
      <c r="Y15" s="25">
        <f t="shared" si="10"/>
        <v>0</v>
      </c>
      <c r="Z15" s="14">
        <v>0</v>
      </c>
      <c r="AA15" s="14" t="s">
        <v>35</v>
      </c>
      <c r="AB15" s="27">
        <f t="shared" si="11"/>
        <v>-0.69</v>
      </c>
      <c r="AC15" s="28">
        <v>0.25918749999999996</v>
      </c>
      <c r="AD15" s="25">
        <f t="shared" si="12"/>
        <v>-8.5842899999999993</v>
      </c>
      <c r="AE15" s="25">
        <v>-9.6</v>
      </c>
      <c r="AF15" s="25">
        <v>-32.53</v>
      </c>
      <c r="AG15" s="25">
        <v>0</v>
      </c>
    </row>
    <row r="16" spans="1:33" ht="15.75" customHeight="1">
      <c r="A16" s="14" t="s">
        <v>38</v>
      </c>
      <c r="B16" s="14" t="s">
        <v>1220</v>
      </c>
      <c r="C16" s="15">
        <f t="shared" si="4"/>
        <v>90.139743589743574</v>
      </c>
      <c r="D16" s="16">
        <v>39</v>
      </c>
      <c r="E16" s="16">
        <v>0</v>
      </c>
      <c r="F16" s="17">
        <v>3515.4499999999994</v>
      </c>
      <c r="G16" s="29">
        <v>-0.08</v>
      </c>
      <c r="H16" s="18">
        <f t="shared" si="1"/>
        <v>2.2756688332930354E-5</v>
      </c>
      <c r="I16" s="18">
        <f t="shared" si="2"/>
        <v>0.37862379745125074</v>
      </c>
      <c r="J16" s="17">
        <f t="shared" si="5"/>
        <v>1331.0330287499992</v>
      </c>
      <c r="K16" s="17">
        <f t="shared" si="3"/>
        <v>34.129052019230748</v>
      </c>
      <c r="L16" s="16">
        <v>71</v>
      </c>
      <c r="M16" s="19">
        <f t="shared" si="6"/>
        <v>0.54929577464788737</v>
      </c>
      <c r="N16" s="16">
        <v>60</v>
      </c>
      <c r="O16" s="20">
        <f t="shared" ref="O16:P16" si="24">D16/7</f>
        <v>5.5714285714285712</v>
      </c>
      <c r="P16" s="20">
        <f t="shared" si="24"/>
        <v>0</v>
      </c>
      <c r="Q16" s="16">
        <f t="shared" si="8"/>
        <v>10</v>
      </c>
      <c r="R16" s="16"/>
      <c r="S16" s="21">
        <v>2.2754491017963998</v>
      </c>
      <c r="T16" s="14">
        <v>60</v>
      </c>
      <c r="U16" s="22" t="s">
        <v>34</v>
      </c>
      <c r="V16" s="23" t="s">
        <v>34</v>
      </c>
      <c r="W16" s="14">
        <v>0</v>
      </c>
      <c r="X16" s="24">
        <f t="shared" si="9"/>
        <v>0</v>
      </c>
      <c r="Y16" s="25">
        <f t="shared" si="10"/>
        <v>0</v>
      </c>
      <c r="Z16" s="14">
        <v>0</v>
      </c>
      <c r="AA16" s="14" t="s">
        <v>35</v>
      </c>
      <c r="AB16" s="27">
        <f t="shared" si="11"/>
        <v>-0.69</v>
      </c>
      <c r="AC16" s="28">
        <v>0.25918749999999996</v>
      </c>
      <c r="AD16" s="25">
        <f t="shared" si="12"/>
        <v>-13.949471249999997</v>
      </c>
      <c r="AE16" s="25">
        <v>-9.6</v>
      </c>
      <c r="AF16" s="25">
        <v>-32.53</v>
      </c>
      <c r="AG16" s="25">
        <v>0</v>
      </c>
    </row>
    <row r="17" spans="1:33" ht="15.75" customHeight="1">
      <c r="A17" s="14" t="s">
        <v>40</v>
      </c>
      <c r="B17" s="14" t="s">
        <v>543</v>
      </c>
      <c r="C17" s="15">
        <f t="shared" si="4"/>
        <v>92.95</v>
      </c>
      <c r="D17" s="16">
        <v>6</v>
      </c>
      <c r="E17" s="16">
        <v>0</v>
      </c>
      <c r="F17" s="17">
        <v>557.70000000000005</v>
      </c>
      <c r="G17" s="29">
        <v>-0.05</v>
      </c>
      <c r="H17" s="18">
        <f t="shared" si="1"/>
        <v>8.9653935807781964E-5</v>
      </c>
      <c r="I17" s="18">
        <f t="shared" si="2"/>
        <v>0.39280783127129276</v>
      </c>
      <c r="J17" s="17">
        <f t="shared" si="5"/>
        <v>219.0689275</v>
      </c>
      <c r="K17" s="17">
        <f t="shared" si="3"/>
        <v>36.511487916666667</v>
      </c>
      <c r="L17" s="16">
        <v>49</v>
      </c>
      <c r="M17" s="19">
        <f t="shared" si="6"/>
        <v>0.12244897959183673</v>
      </c>
      <c r="N17" s="16">
        <v>65</v>
      </c>
      <c r="O17" s="20">
        <f t="shared" ref="O17:P17" si="25">D17/7</f>
        <v>0.8571428571428571</v>
      </c>
      <c r="P17" s="20">
        <f t="shared" si="25"/>
        <v>0</v>
      </c>
      <c r="Q17" s="16">
        <f t="shared" si="8"/>
        <v>75</v>
      </c>
      <c r="R17" s="16"/>
      <c r="S17" s="21">
        <v>1.8996655518394601</v>
      </c>
      <c r="T17" s="14">
        <v>60</v>
      </c>
      <c r="U17" s="22" t="s">
        <v>34</v>
      </c>
      <c r="V17" s="23" t="s">
        <v>34</v>
      </c>
      <c r="W17" s="14">
        <v>0</v>
      </c>
      <c r="X17" s="24">
        <f t="shared" si="9"/>
        <v>0</v>
      </c>
      <c r="Y17" s="25">
        <f t="shared" si="10"/>
        <v>0</v>
      </c>
      <c r="Z17" s="14">
        <v>0</v>
      </c>
      <c r="AA17" s="14" t="s">
        <v>35</v>
      </c>
      <c r="AB17" s="27">
        <f t="shared" si="11"/>
        <v>-0.69</v>
      </c>
      <c r="AC17" s="28">
        <v>0.25918749999999996</v>
      </c>
      <c r="AD17" s="25">
        <f t="shared" si="12"/>
        <v>-2.1460724999999998</v>
      </c>
      <c r="AE17" s="25">
        <v>-9.6</v>
      </c>
      <c r="AF17" s="25">
        <v>-32.53</v>
      </c>
      <c r="AG17" s="25">
        <v>0</v>
      </c>
    </row>
    <row r="18" spans="1:33" ht="15.75" customHeight="1">
      <c r="A18" s="14" t="s">
        <v>42</v>
      </c>
      <c r="B18" s="14" t="s">
        <v>662</v>
      </c>
      <c r="C18" s="15">
        <f t="shared" si="4"/>
        <v>92.03923076923077</v>
      </c>
      <c r="D18" s="16">
        <v>13</v>
      </c>
      <c r="E18" s="16">
        <v>0</v>
      </c>
      <c r="F18" s="17">
        <v>1196.51</v>
      </c>
      <c r="G18" s="29">
        <v>0</v>
      </c>
      <c r="H18" s="18">
        <f t="shared" si="1"/>
        <v>0</v>
      </c>
      <c r="I18" s="18">
        <f t="shared" si="2"/>
        <v>0.38837425199120779</v>
      </c>
      <c r="J18" s="17">
        <f t="shared" si="5"/>
        <v>464.69367625000001</v>
      </c>
      <c r="K18" s="17">
        <f t="shared" si="3"/>
        <v>35.745667403846156</v>
      </c>
      <c r="L18" s="16">
        <v>47</v>
      </c>
      <c r="M18" s="19">
        <f t="shared" si="6"/>
        <v>0.27659574468085107</v>
      </c>
      <c r="N18" s="16">
        <v>47</v>
      </c>
      <c r="O18" s="20">
        <f t="shared" ref="O18:P18" si="26">D18/7</f>
        <v>1.8571428571428572</v>
      </c>
      <c r="P18" s="20">
        <f t="shared" si="26"/>
        <v>0</v>
      </c>
      <c r="Q18" s="16">
        <f t="shared" si="8"/>
        <v>25</v>
      </c>
      <c r="R18" s="16"/>
      <c r="S18" s="21">
        <v>2.1930184804928099</v>
      </c>
      <c r="T18" s="14">
        <v>60</v>
      </c>
      <c r="U18" s="22">
        <v>0</v>
      </c>
      <c r="V18" s="23" t="s">
        <v>1221</v>
      </c>
      <c r="W18" s="14">
        <v>0</v>
      </c>
      <c r="X18" s="24">
        <f t="shared" si="9"/>
        <v>0</v>
      </c>
      <c r="Y18" s="25">
        <f t="shared" si="10"/>
        <v>0</v>
      </c>
      <c r="Z18" s="14">
        <v>0</v>
      </c>
      <c r="AA18" s="14" t="s">
        <v>35</v>
      </c>
      <c r="AB18" s="27">
        <f t="shared" si="11"/>
        <v>-0.69</v>
      </c>
      <c r="AC18" s="28">
        <v>0.25918749999999996</v>
      </c>
      <c r="AD18" s="25">
        <f t="shared" si="12"/>
        <v>-4.6498237499999995</v>
      </c>
      <c r="AE18" s="25">
        <v>-9.6</v>
      </c>
      <c r="AF18" s="25">
        <v>-32.53</v>
      </c>
      <c r="AG18" s="25">
        <v>0</v>
      </c>
    </row>
    <row r="19" spans="1:33" ht="15.75" customHeight="1">
      <c r="A19" s="14" t="s">
        <v>44</v>
      </c>
      <c r="B19" s="14" t="s">
        <v>1222</v>
      </c>
      <c r="C19" s="15">
        <f t="shared" si="4"/>
        <v>88.808947368421073</v>
      </c>
      <c r="D19" s="16">
        <v>19</v>
      </c>
      <c r="E19" s="16">
        <v>1</v>
      </c>
      <c r="F19" s="17">
        <v>1687.3700000000003</v>
      </c>
      <c r="G19" s="29">
        <v>-0.05</v>
      </c>
      <c r="H19" s="18">
        <f t="shared" si="1"/>
        <v>2.9631912384361457E-5</v>
      </c>
      <c r="I19" s="18">
        <f t="shared" si="2"/>
        <v>0.35470294230074023</v>
      </c>
      <c r="J19" s="17">
        <f t="shared" si="5"/>
        <v>598.51510375000021</v>
      </c>
      <c r="K19" s="17">
        <f t="shared" si="3"/>
        <v>31.500794934210536</v>
      </c>
      <c r="L19" s="16">
        <v>72</v>
      </c>
      <c r="M19" s="19">
        <f t="shared" si="6"/>
        <v>0.2638888888888889</v>
      </c>
      <c r="N19" s="16">
        <v>26</v>
      </c>
      <c r="O19" s="20">
        <f t="shared" ref="O19:P19" si="27">D19/7</f>
        <v>2.7142857142857144</v>
      </c>
      <c r="P19" s="20">
        <f t="shared" si="27"/>
        <v>0.14285714285714285</v>
      </c>
      <c r="Q19" s="16">
        <f t="shared" si="8"/>
        <v>9</v>
      </c>
      <c r="R19" s="16"/>
      <c r="S19" s="21">
        <v>2.6768447837150098</v>
      </c>
      <c r="T19" s="14">
        <v>60</v>
      </c>
      <c r="U19" s="22">
        <v>60</v>
      </c>
      <c r="V19" s="23" t="s">
        <v>1223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14" t="s">
        <v>35</v>
      </c>
      <c r="AB19" s="27">
        <f t="shared" si="11"/>
        <v>-0.69</v>
      </c>
      <c r="AC19" s="28">
        <v>0.25918749999999996</v>
      </c>
      <c r="AD19" s="25">
        <f t="shared" si="12"/>
        <v>-6.7958962499999984</v>
      </c>
      <c r="AE19" s="25">
        <v>-9.6</v>
      </c>
      <c r="AF19" s="25">
        <v>-34.026499999999999</v>
      </c>
      <c r="AG19" s="25">
        <v>0</v>
      </c>
    </row>
    <row r="20" spans="1:33" ht="15.75" customHeight="1">
      <c r="A20" s="14" t="s">
        <v>46</v>
      </c>
      <c r="B20" s="14" t="s">
        <v>553</v>
      </c>
      <c r="C20" s="15">
        <f t="shared" si="4"/>
        <v>89.415000000000006</v>
      </c>
      <c r="D20" s="16">
        <v>6</v>
      </c>
      <c r="E20" s="16">
        <v>0</v>
      </c>
      <c r="F20" s="17">
        <v>536.49</v>
      </c>
      <c r="G20" s="29">
        <v>-0.06</v>
      </c>
      <c r="H20" s="18">
        <f t="shared" si="1"/>
        <v>1.1183805849130458E-4</v>
      </c>
      <c r="I20" s="18">
        <f t="shared" si="2"/>
        <v>0.35797764636805907</v>
      </c>
      <c r="J20" s="17">
        <f t="shared" si="5"/>
        <v>192.05142750000002</v>
      </c>
      <c r="K20" s="17">
        <f t="shared" si="3"/>
        <v>32.008571250000003</v>
      </c>
      <c r="L20" s="16">
        <v>39</v>
      </c>
      <c r="M20" s="19">
        <f t="shared" si="6"/>
        <v>0.15384615384615385</v>
      </c>
      <c r="N20" s="16">
        <v>26</v>
      </c>
      <c r="O20" s="20">
        <f t="shared" ref="O20:P20" si="28">D20/7</f>
        <v>0.8571428571428571</v>
      </c>
      <c r="P20" s="20">
        <f t="shared" si="28"/>
        <v>0</v>
      </c>
      <c r="Q20" s="16">
        <f t="shared" si="8"/>
        <v>30</v>
      </c>
      <c r="R20" s="16"/>
      <c r="S20" s="21">
        <v>1.93501805054151</v>
      </c>
      <c r="T20" s="14">
        <v>60</v>
      </c>
      <c r="U20" s="22">
        <v>60</v>
      </c>
      <c r="V20" s="23" t="s">
        <v>1224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14" t="s">
        <v>35</v>
      </c>
      <c r="AB20" s="27">
        <f t="shared" si="11"/>
        <v>-0.69</v>
      </c>
      <c r="AC20" s="28">
        <v>0.25918749999999996</v>
      </c>
      <c r="AD20" s="25">
        <f t="shared" si="12"/>
        <v>-2.1460724999999998</v>
      </c>
      <c r="AE20" s="25">
        <v>-9.6</v>
      </c>
      <c r="AF20" s="25">
        <v>-34.026499999999999</v>
      </c>
      <c r="AG20" s="25">
        <v>0</v>
      </c>
    </row>
    <row r="21" spans="1:33" ht="15.75" customHeight="1">
      <c r="A21" s="14" t="s">
        <v>47</v>
      </c>
      <c r="B21" s="14" t="s">
        <v>1225</v>
      </c>
      <c r="C21" s="15">
        <f t="shared" si="4"/>
        <v>98.597142857142856</v>
      </c>
      <c r="D21" s="16">
        <v>7</v>
      </c>
      <c r="E21" s="16">
        <v>0</v>
      </c>
      <c r="F21" s="17">
        <v>690.18</v>
      </c>
      <c r="G21" s="29">
        <v>-0.03</v>
      </c>
      <c r="H21" s="18">
        <f t="shared" si="1"/>
        <v>4.3466921672607145E-5</v>
      </c>
      <c r="I21" s="18">
        <f t="shared" si="2"/>
        <v>0.40378613308605477</v>
      </c>
      <c r="J21" s="17">
        <f t="shared" si="5"/>
        <v>278.68511333333328</v>
      </c>
      <c r="K21" s="17">
        <f t="shared" si="3"/>
        <v>39.812159047619041</v>
      </c>
      <c r="L21" s="16">
        <v>25</v>
      </c>
      <c r="M21" s="19">
        <f t="shared" si="6"/>
        <v>0.28000000000000003</v>
      </c>
      <c r="N21" s="16">
        <v>101</v>
      </c>
      <c r="O21" s="20">
        <f t="shared" ref="O21:P21" si="29">D21/7</f>
        <v>1</v>
      </c>
      <c r="P21" s="20">
        <f t="shared" si="29"/>
        <v>0</v>
      </c>
      <c r="Q21" s="16">
        <f t="shared" si="8"/>
        <v>101</v>
      </c>
      <c r="R21" s="16"/>
      <c r="S21" s="21">
        <v>1.8943533697632</v>
      </c>
      <c r="T21" s="14">
        <v>60</v>
      </c>
      <c r="U21" s="22">
        <v>60</v>
      </c>
      <c r="V21" s="23" t="s">
        <v>1226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14" t="s">
        <v>35</v>
      </c>
      <c r="AB21" s="27">
        <f t="shared" si="11"/>
        <v>-0.69</v>
      </c>
      <c r="AC21" s="28">
        <v>0.26422222222222219</v>
      </c>
      <c r="AD21" s="25">
        <f t="shared" si="12"/>
        <v>-2.5523866666666661</v>
      </c>
      <c r="AE21" s="25">
        <v>-9.6</v>
      </c>
      <c r="AF21" s="25">
        <v>-34.026499999999999</v>
      </c>
      <c r="AG21" s="25">
        <v>0</v>
      </c>
    </row>
    <row r="22" spans="1:33" ht="15.75" customHeight="1">
      <c r="A22" s="14" t="s">
        <v>48</v>
      </c>
      <c r="B22" s="14" t="s">
        <v>543</v>
      </c>
      <c r="C22" s="15">
        <f t="shared" si="4"/>
        <v>96.235833333333332</v>
      </c>
      <c r="D22" s="16">
        <v>12</v>
      </c>
      <c r="E22" s="16">
        <v>1</v>
      </c>
      <c r="F22" s="29">
        <v>1154.83</v>
      </c>
      <c r="G22" s="29">
        <v>-0.11</v>
      </c>
      <c r="H22" s="18">
        <f t="shared" si="1"/>
        <v>9.5252115029917831E-5</v>
      </c>
      <c r="I22" s="18">
        <f t="shared" si="2"/>
        <v>0.39278679978871345</v>
      </c>
      <c r="J22" s="17">
        <f t="shared" si="5"/>
        <v>453.60197999999991</v>
      </c>
      <c r="K22" s="17">
        <f t="shared" si="3"/>
        <v>37.800164999999993</v>
      </c>
      <c r="L22" s="16">
        <v>38</v>
      </c>
      <c r="M22" s="19">
        <f t="shared" si="6"/>
        <v>0.31578947368421051</v>
      </c>
      <c r="N22" s="16">
        <v>88</v>
      </c>
      <c r="O22" s="20">
        <f t="shared" ref="O22:P22" si="30">D22/7</f>
        <v>1.7142857142857142</v>
      </c>
      <c r="P22" s="20">
        <f t="shared" si="30"/>
        <v>0.14285714285714285</v>
      </c>
      <c r="Q22" s="16">
        <f t="shared" si="8"/>
        <v>47</v>
      </c>
      <c r="R22" s="16"/>
      <c r="S22" s="21">
        <v>2.4126984126984099</v>
      </c>
      <c r="T22" s="14">
        <v>160</v>
      </c>
      <c r="U22" s="22">
        <v>60</v>
      </c>
      <c r="V22" s="23" t="s">
        <v>1226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35</v>
      </c>
      <c r="AB22" s="27">
        <f t="shared" si="11"/>
        <v>-0.69</v>
      </c>
      <c r="AC22" s="28">
        <v>0.26422222222222219</v>
      </c>
      <c r="AD22" s="25">
        <f t="shared" si="12"/>
        <v>-4.375519999999999</v>
      </c>
      <c r="AE22" s="25">
        <v>-9.6</v>
      </c>
      <c r="AF22" s="25">
        <v>-34.026499999999999</v>
      </c>
      <c r="AG22" s="25">
        <v>0</v>
      </c>
    </row>
    <row r="23" spans="1:33" ht="15.75" customHeight="1">
      <c r="A23" s="14" t="s">
        <v>49</v>
      </c>
      <c r="B23" s="14" t="s">
        <v>1227</v>
      </c>
      <c r="C23" s="15">
        <f t="shared" si="4"/>
        <v>91.592857142857142</v>
      </c>
      <c r="D23" s="16">
        <v>7</v>
      </c>
      <c r="E23" s="16">
        <v>0</v>
      </c>
      <c r="F23" s="17">
        <v>641.15</v>
      </c>
      <c r="G23" s="29">
        <v>0</v>
      </c>
      <c r="H23" s="18">
        <f t="shared" si="1"/>
        <v>0</v>
      </c>
      <c r="I23" s="18">
        <f t="shared" si="2"/>
        <v>0.36971007304582909</v>
      </c>
      <c r="J23" s="17">
        <f t="shared" si="5"/>
        <v>237.03961333333331</v>
      </c>
      <c r="K23" s="17">
        <f t="shared" si="3"/>
        <v>33.862801904761902</v>
      </c>
      <c r="L23" s="16">
        <v>62</v>
      </c>
      <c r="M23" s="19">
        <f t="shared" si="6"/>
        <v>0.11290322580645161</v>
      </c>
      <c r="N23" s="16">
        <v>72</v>
      </c>
      <c r="O23" s="20">
        <f t="shared" ref="O23:P23" si="31">D23/7</f>
        <v>1</v>
      </c>
      <c r="P23" s="20">
        <f t="shared" si="31"/>
        <v>0</v>
      </c>
      <c r="Q23" s="16">
        <f t="shared" si="8"/>
        <v>72</v>
      </c>
      <c r="R23" s="16"/>
      <c r="S23" s="21">
        <v>2.6811989100817399</v>
      </c>
      <c r="T23" s="14">
        <v>460</v>
      </c>
      <c r="U23" s="22">
        <v>60</v>
      </c>
      <c r="V23" s="23" t="s">
        <v>1226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35</v>
      </c>
      <c r="AB23" s="27">
        <f t="shared" si="11"/>
        <v>-0.69</v>
      </c>
      <c r="AC23" s="28">
        <v>0.26422222222222219</v>
      </c>
      <c r="AD23" s="25">
        <f t="shared" si="12"/>
        <v>-2.5523866666666661</v>
      </c>
      <c r="AE23" s="25">
        <v>-9.6</v>
      </c>
      <c r="AF23" s="25">
        <v>-34.026499999999999</v>
      </c>
      <c r="AG23" s="25">
        <v>0</v>
      </c>
    </row>
    <row r="24" spans="1:33" ht="15.75" customHeight="1">
      <c r="A24" s="14" t="s">
        <v>50</v>
      </c>
      <c r="B24" s="14" t="s">
        <v>68</v>
      </c>
      <c r="C24" s="15">
        <f t="shared" si="4"/>
        <v>86.434444444444438</v>
      </c>
      <c r="D24" s="16">
        <v>9</v>
      </c>
      <c r="E24" s="16">
        <v>0</v>
      </c>
      <c r="F24" s="17">
        <v>777.91</v>
      </c>
      <c r="G24" s="17">
        <v>0</v>
      </c>
      <c r="H24" s="18">
        <f t="shared" si="1"/>
        <v>0</v>
      </c>
      <c r="I24" s="18">
        <f t="shared" si="2"/>
        <v>0.34104634212183932</v>
      </c>
      <c r="J24" s="17">
        <f t="shared" si="5"/>
        <v>265.30336</v>
      </c>
      <c r="K24" s="17">
        <f t="shared" si="3"/>
        <v>29.47815111111111</v>
      </c>
      <c r="L24" s="16">
        <v>53</v>
      </c>
      <c r="M24" s="19">
        <f t="shared" si="6"/>
        <v>0.16981132075471697</v>
      </c>
      <c r="N24" s="16">
        <v>73</v>
      </c>
      <c r="O24" s="20">
        <f t="shared" ref="O24:P24" si="32">D24/7</f>
        <v>1.2857142857142858</v>
      </c>
      <c r="P24" s="20">
        <f t="shared" si="32"/>
        <v>0</v>
      </c>
      <c r="Q24" s="16">
        <f t="shared" si="8"/>
        <v>56</v>
      </c>
      <c r="R24" s="16"/>
      <c r="S24" s="21">
        <v>1.7164461247637</v>
      </c>
      <c r="T24" s="14">
        <v>460</v>
      </c>
      <c r="U24" s="22">
        <v>60</v>
      </c>
      <c r="V24" s="23" t="s">
        <v>1228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14" t="s">
        <v>35</v>
      </c>
      <c r="AB24" s="27">
        <f t="shared" si="11"/>
        <v>-0.69</v>
      </c>
      <c r="AC24" s="28">
        <v>0.26422222222222219</v>
      </c>
      <c r="AD24" s="25">
        <f t="shared" si="12"/>
        <v>-3.2816399999999994</v>
      </c>
      <c r="AE24" s="25">
        <v>-9.6</v>
      </c>
      <c r="AF24" s="25">
        <v>-34.026499999999999</v>
      </c>
      <c r="AG24" s="25">
        <v>0</v>
      </c>
    </row>
    <row r="25" spans="1:33" ht="15.75" customHeight="1">
      <c r="A25" s="14" t="s">
        <v>51</v>
      </c>
      <c r="B25" s="14" t="s">
        <v>68</v>
      </c>
      <c r="C25" s="15">
        <f t="shared" si="4"/>
        <v>85.990000000000009</v>
      </c>
      <c r="D25" s="16">
        <v>12</v>
      </c>
      <c r="E25" s="16">
        <v>0</v>
      </c>
      <c r="F25" s="17">
        <v>1031.8800000000001</v>
      </c>
      <c r="G25" s="17">
        <v>-0.02</v>
      </c>
      <c r="H25" s="18">
        <f t="shared" si="1"/>
        <v>1.9382098693646546E-5</v>
      </c>
      <c r="I25" s="18">
        <f t="shared" si="2"/>
        <v>0.33835570027522588</v>
      </c>
      <c r="J25" s="17">
        <f t="shared" si="5"/>
        <v>349.14248000000009</v>
      </c>
      <c r="K25" s="17">
        <f t="shared" si="3"/>
        <v>29.095206666666673</v>
      </c>
      <c r="L25" s="16">
        <v>42</v>
      </c>
      <c r="M25" s="19">
        <f t="shared" si="6"/>
        <v>0.2857142857142857</v>
      </c>
      <c r="N25" s="16">
        <v>61</v>
      </c>
      <c r="O25" s="20">
        <f t="shared" ref="O25:P25" si="33">D25/7</f>
        <v>1.7142857142857142</v>
      </c>
      <c r="P25" s="20">
        <f t="shared" si="33"/>
        <v>0</v>
      </c>
      <c r="Q25" s="16">
        <f t="shared" si="8"/>
        <v>35</v>
      </c>
      <c r="R25" s="16"/>
      <c r="S25" s="21">
        <v>1.633466135458167</v>
      </c>
      <c r="T25" s="14">
        <v>560</v>
      </c>
      <c r="U25" s="22">
        <v>60</v>
      </c>
      <c r="V25" s="23" t="s">
        <v>1229</v>
      </c>
      <c r="W25" s="30">
        <v>0</v>
      </c>
      <c r="X25" s="24">
        <f t="shared" si="9"/>
        <v>0</v>
      </c>
      <c r="Y25" s="25">
        <f t="shared" si="10"/>
        <v>0</v>
      </c>
      <c r="Z25" s="30">
        <v>0</v>
      </c>
      <c r="AA25" s="14" t="s">
        <v>35</v>
      </c>
      <c r="AB25" s="27">
        <f t="shared" si="11"/>
        <v>-0.69</v>
      </c>
      <c r="AC25" s="28">
        <v>0.26422222222222219</v>
      </c>
      <c r="AD25" s="25">
        <f t="shared" si="12"/>
        <v>-4.375519999999999</v>
      </c>
      <c r="AE25" s="25">
        <v>-9.6</v>
      </c>
      <c r="AF25" s="25">
        <v>-34.03</v>
      </c>
      <c r="AG25" s="25">
        <v>0</v>
      </c>
    </row>
    <row r="26" spans="1:33" ht="15.75" customHeight="1">
      <c r="A26" s="14" t="s">
        <v>52</v>
      </c>
      <c r="B26" s="14" t="s">
        <v>1230</v>
      </c>
      <c r="C26" s="15">
        <f t="shared" si="4"/>
        <v>85.99</v>
      </c>
      <c r="D26" s="16">
        <v>6</v>
      </c>
      <c r="E26" s="16">
        <v>0</v>
      </c>
      <c r="F26" s="17">
        <v>515.93999999999994</v>
      </c>
      <c r="G26" s="17">
        <v>0</v>
      </c>
      <c r="H26" s="18">
        <f t="shared" si="1"/>
        <v>0</v>
      </c>
      <c r="I26" s="18">
        <f t="shared" si="2"/>
        <v>0.34562592549521254</v>
      </c>
      <c r="J26" s="17">
        <f t="shared" si="5"/>
        <v>178.32223999999994</v>
      </c>
      <c r="K26" s="17">
        <f t="shared" si="3"/>
        <v>29.720373333333324</v>
      </c>
      <c r="L26" s="16">
        <v>55</v>
      </c>
      <c r="M26" s="19">
        <f t="shared" si="6"/>
        <v>0.10909090909090909</v>
      </c>
      <c r="N26" s="16">
        <v>56</v>
      </c>
      <c r="O26" s="20">
        <f t="shared" ref="O26:P26" si="34">D26/7</f>
        <v>0.8571428571428571</v>
      </c>
      <c r="P26" s="20">
        <f t="shared" si="34"/>
        <v>0</v>
      </c>
      <c r="Q26" s="16">
        <f t="shared" si="8"/>
        <v>65</v>
      </c>
      <c r="R26" s="16"/>
      <c r="S26" s="21">
        <v>1.6651162790697669</v>
      </c>
      <c r="T26" s="14">
        <v>560</v>
      </c>
      <c r="U26" s="22">
        <v>60</v>
      </c>
      <c r="V26" s="23" t="s">
        <v>1223</v>
      </c>
      <c r="W26" s="30">
        <v>0</v>
      </c>
      <c r="X26" s="24">
        <f t="shared" si="9"/>
        <v>0</v>
      </c>
      <c r="Y26" s="25">
        <f t="shared" si="10"/>
        <v>0</v>
      </c>
      <c r="Z26" s="30">
        <v>0</v>
      </c>
      <c r="AA26" s="14" t="s">
        <v>35</v>
      </c>
      <c r="AB26" s="27">
        <f t="shared" si="11"/>
        <v>-0.69</v>
      </c>
      <c r="AC26" s="28">
        <v>0.26422222222222219</v>
      </c>
      <c r="AD26" s="25">
        <f t="shared" si="12"/>
        <v>-2.1877599999999995</v>
      </c>
      <c r="AE26" s="25">
        <v>-8.98</v>
      </c>
      <c r="AF26" s="25">
        <v>-34.026499999999999</v>
      </c>
      <c r="AG26" s="25">
        <v>0</v>
      </c>
    </row>
    <row r="27" spans="1:33" ht="15.75" customHeight="1">
      <c r="A27" s="14" t="s">
        <v>53</v>
      </c>
      <c r="B27" s="14" t="s">
        <v>68</v>
      </c>
      <c r="C27" s="15">
        <f t="shared" si="4"/>
        <v>84.463529411764711</v>
      </c>
      <c r="D27" s="16">
        <v>17</v>
      </c>
      <c r="E27" s="16">
        <v>0</v>
      </c>
      <c r="F27" s="17">
        <v>1435.88</v>
      </c>
      <c r="G27" s="17">
        <v>0</v>
      </c>
      <c r="H27" s="18">
        <f t="shared" si="1"/>
        <v>0</v>
      </c>
      <c r="I27" s="18">
        <f t="shared" si="2"/>
        <v>0.21538140141701723</v>
      </c>
      <c r="J27" s="17">
        <f t="shared" si="5"/>
        <v>309.26184666666671</v>
      </c>
      <c r="K27" s="17">
        <f t="shared" si="3"/>
        <v>18.191873333333337</v>
      </c>
      <c r="L27" s="16">
        <v>66</v>
      </c>
      <c r="M27" s="19">
        <f t="shared" si="6"/>
        <v>0.25757575757575757</v>
      </c>
      <c r="N27" s="16">
        <v>103</v>
      </c>
      <c r="O27" s="20">
        <f t="shared" ref="O27:P27" si="35">D27/7</f>
        <v>2.4285714285714284</v>
      </c>
      <c r="P27" s="20">
        <f t="shared" si="35"/>
        <v>0</v>
      </c>
      <c r="Q27" s="16">
        <f t="shared" si="8"/>
        <v>42</v>
      </c>
      <c r="R27" s="16"/>
      <c r="S27" s="21">
        <v>1.768844221105528</v>
      </c>
      <c r="T27" s="14">
        <v>500</v>
      </c>
      <c r="U27" s="22" t="s">
        <v>34</v>
      </c>
      <c r="V27" s="23" t="s">
        <v>34</v>
      </c>
      <c r="W27" s="30">
        <v>0</v>
      </c>
      <c r="X27" s="24">
        <f t="shared" si="9"/>
        <v>0</v>
      </c>
      <c r="Y27" s="25">
        <f t="shared" si="10"/>
        <v>0</v>
      </c>
      <c r="Z27" s="30">
        <v>0</v>
      </c>
      <c r="AA27" s="14" t="s">
        <v>35</v>
      </c>
      <c r="AB27" s="27">
        <f t="shared" si="11"/>
        <v>-0.69</v>
      </c>
      <c r="AC27" s="28">
        <v>0.26422222222222219</v>
      </c>
      <c r="AD27" s="25">
        <f t="shared" si="12"/>
        <v>-6.1986533333333318</v>
      </c>
      <c r="AE27" s="25">
        <v>-8.98</v>
      </c>
      <c r="AF27" s="25">
        <v>-44.2575</v>
      </c>
      <c r="AG27" s="25">
        <v>0</v>
      </c>
    </row>
    <row r="28" spans="1:33" ht="15.75" customHeight="1">
      <c r="A28" s="14" t="s">
        <v>54</v>
      </c>
      <c r="B28" s="14" t="s">
        <v>1231</v>
      </c>
      <c r="C28" s="15">
        <f t="shared" si="4"/>
        <v>84.012222222222221</v>
      </c>
      <c r="D28" s="16">
        <v>18</v>
      </c>
      <c r="E28" s="16">
        <v>3</v>
      </c>
      <c r="F28" s="17">
        <v>1512.22</v>
      </c>
      <c r="G28" s="17">
        <v>0</v>
      </c>
      <c r="H28" s="18">
        <f t="shared" si="1"/>
        <v>0</v>
      </c>
      <c r="I28" s="18">
        <f t="shared" si="2"/>
        <v>0.2119722791657298</v>
      </c>
      <c r="J28" s="17">
        <f t="shared" si="5"/>
        <v>320.54871999999995</v>
      </c>
      <c r="K28" s="17">
        <f t="shared" si="3"/>
        <v>17.808262222222218</v>
      </c>
      <c r="L28" s="16">
        <v>78</v>
      </c>
      <c r="M28" s="19">
        <f t="shared" si="6"/>
        <v>0.23076923076923078</v>
      </c>
      <c r="N28" s="16">
        <v>78</v>
      </c>
      <c r="O28" s="20">
        <f t="shared" ref="O28:P28" si="36">D28/7</f>
        <v>2.5714285714285716</v>
      </c>
      <c r="P28" s="20">
        <f t="shared" si="36"/>
        <v>0.42857142857142855</v>
      </c>
      <c r="Q28" s="16">
        <f t="shared" si="8"/>
        <v>26</v>
      </c>
      <c r="R28" s="16"/>
      <c r="S28" s="21">
        <v>2.142011834319526</v>
      </c>
      <c r="T28" s="14">
        <v>1100</v>
      </c>
      <c r="U28" s="22">
        <v>44409</v>
      </c>
      <c r="V28" s="23" t="s">
        <v>1232</v>
      </c>
      <c r="W28" s="30">
        <v>0</v>
      </c>
      <c r="X28" s="24">
        <f t="shared" si="9"/>
        <v>0</v>
      </c>
      <c r="Y28" s="25">
        <f t="shared" si="10"/>
        <v>0</v>
      </c>
      <c r="Z28" s="30">
        <v>0</v>
      </c>
      <c r="AA28" s="14" t="s">
        <v>35</v>
      </c>
      <c r="AB28" s="27">
        <f t="shared" si="11"/>
        <v>-0.69</v>
      </c>
      <c r="AC28" s="28">
        <v>0.26422222222222219</v>
      </c>
      <c r="AD28" s="25">
        <f t="shared" si="12"/>
        <v>-6.5632799999999989</v>
      </c>
      <c r="AE28" s="25">
        <v>-8.98</v>
      </c>
      <c r="AF28" s="25">
        <v>-44.2575</v>
      </c>
      <c r="AG28" s="25">
        <v>0</v>
      </c>
    </row>
    <row r="29" spans="1:33" ht="15.75" customHeight="1">
      <c r="A29" s="14" t="s">
        <v>55</v>
      </c>
      <c r="B29" s="14" t="s">
        <v>814</v>
      </c>
      <c r="C29" s="15">
        <f t="shared" si="4"/>
        <v>91.726086956521726</v>
      </c>
      <c r="D29" s="16">
        <v>23</v>
      </c>
      <c r="E29" s="16">
        <v>5</v>
      </c>
      <c r="F29" s="17">
        <v>2109.6999999999998</v>
      </c>
      <c r="G29" s="17">
        <v>0</v>
      </c>
      <c r="H29" s="18">
        <f t="shared" si="1"/>
        <v>0</v>
      </c>
      <c r="I29" s="18">
        <f t="shared" si="2"/>
        <v>0.26562832946232479</v>
      </c>
      <c r="J29" s="17">
        <f t="shared" si="5"/>
        <v>560.39608666666652</v>
      </c>
      <c r="K29" s="17">
        <f t="shared" si="3"/>
        <v>24.365047246376804</v>
      </c>
      <c r="L29" s="16">
        <v>73</v>
      </c>
      <c r="M29" s="19">
        <f t="shared" si="6"/>
        <v>0.31506849315068491</v>
      </c>
      <c r="N29" s="16">
        <v>43</v>
      </c>
      <c r="O29" s="20">
        <f t="shared" ref="O29:P29" si="37">D29/7</f>
        <v>3.2857142857142856</v>
      </c>
      <c r="P29" s="20">
        <f t="shared" si="37"/>
        <v>0.7142857142857143</v>
      </c>
      <c r="Q29" s="16">
        <f t="shared" si="8"/>
        <v>10</v>
      </c>
      <c r="R29" s="16"/>
      <c r="S29" s="21">
        <v>1.9706744868035191</v>
      </c>
      <c r="T29" s="14">
        <v>1196</v>
      </c>
      <c r="U29" s="22">
        <v>44409</v>
      </c>
      <c r="V29" s="23" t="s">
        <v>1233</v>
      </c>
      <c r="W29" s="30">
        <v>0</v>
      </c>
      <c r="X29" s="24">
        <f t="shared" si="9"/>
        <v>0</v>
      </c>
      <c r="Y29" s="25">
        <f t="shared" si="10"/>
        <v>0</v>
      </c>
      <c r="Z29" s="30">
        <v>0</v>
      </c>
      <c r="AA29" s="14" t="s">
        <v>35</v>
      </c>
      <c r="AB29" s="27">
        <f t="shared" si="11"/>
        <v>-0.69</v>
      </c>
      <c r="AC29" s="28">
        <v>0.26422222222222219</v>
      </c>
      <c r="AD29" s="25">
        <f t="shared" si="12"/>
        <v>-8.3864133333333317</v>
      </c>
      <c r="AE29" s="25">
        <v>-8.98</v>
      </c>
      <c r="AF29" s="25">
        <v>-44.2575</v>
      </c>
      <c r="AG29" s="25">
        <v>0</v>
      </c>
    </row>
    <row r="30" spans="1:33" ht="15.75" customHeight="1">
      <c r="A30" s="14" t="s">
        <v>57</v>
      </c>
      <c r="B30" s="14" t="s">
        <v>553</v>
      </c>
      <c r="C30" s="15">
        <f t="shared" si="4"/>
        <v>98.193846153846167</v>
      </c>
      <c r="D30" s="16">
        <v>13</v>
      </c>
      <c r="E30" s="16">
        <v>0</v>
      </c>
      <c r="F30" s="17">
        <v>1276.5200000000002</v>
      </c>
      <c r="G30" s="17">
        <v>0</v>
      </c>
      <c r="H30" s="18">
        <f t="shared" si="1"/>
        <v>0</v>
      </c>
      <c r="I30" s="18">
        <f t="shared" si="2"/>
        <v>0.31842777535278211</v>
      </c>
      <c r="J30" s="17">
        <f t="shared" si="5"/>
        <v>406.47942379333347</v>
      </c>
      <c r="K30" s="17">
        <f t="shared" si="3"/>
        <v>31.267647984102574</v>
      </c>
      <c r="L30" s="16">
        <v>49</v>
      </c>
      <c r="M30" s="19">
        <f t="shared" si="6"/>
        <v>0.26530612244897961</v>
      </c>
      <c r="N30" s="16">
        <v>37</v>
      </c>
      <c r="O30" s="20">
        <f t="shared" ref="O30:P30" si="38">D30/7</f>
        <v>1.8571428571428572</v>
      </c>
      <c r="P30" s="20">
        <f t="shared" si="38"/>
        <v>0</v>
      </c>
      <c r="Q30" s="16">
        <f t="shared" si="8"/>
        <v>19</v>
      </c>
      <c r="R30" s="16"/>
      <c r="S30" s="21">
        <v>2.1316614420062701</v>
      </c>
      <c r="T30" s="14">
        <v>500</v>
      </c>
      <c r="U30" s="22">
        <v>204</v>
      </c>
      <c r="V30" s="23" t="s">
        <v>1233</v>
      </c>
      <c r="W30" s="30">
        <v>0</v>
      </c>
      <c r="X30" s="24">
        <f t="shared" si="9"/>
        <v>0</v>
      </c>
      <c r="Y30" s="25">
        <f t="shared" si="10"/>
        <v>0</v>
      </c>
      <c r="Z30" s="30">
        <v>0</v>
      </c>
      <c r="AA30" s="14" t="s">
        <v>35</v>
      </c>
      <c r="AB30" s="27">
        <f t="shared" si="11"/>
        <v>-0.69</v>
      </c>
      <c r="AC30" s="28">
        <v>0.26422222222222219</v>
      </c>
      <c r="AD30" s="25">
        <f t="shared" si="12"/>
        <v>-4.7401466666666661</v>
      </c>
      <c r="AE30" s="25">
        <v>-8.98</v>
      </c>
      <c r="AF30" s="25">
        <v>-42.852494579999998</v>
      </c>
      <c r="AG30" s="25">
        <v>0</v>
      </c>
    </row>
    <row r="31" spans="1:33" ht="15.75" customHeight="1">
      <c r="A31" s="14" t="s">
        <v>58</v>
      </c>
      <c r="B31" s="14" t="s">
        <v>45</v>
      </c>
      <c r="C31" s="15">
        <f t="shared" si="4"/>
        <v>99.950000000000017</v>
      </c>
      <c r="D31" s="16">
        <v>37</v>
      </c>
      <c r="E31" s="16">
        <v>0</v>
      </c>
      <c r="F31" s="17">
        <v>3698.1500000000005</v>
      </c>
      <c r="G31" s="17">
        <v>-1.25</v>
      </c>
      <c r="H31" s="18">
        <f t="shared" si="1"/>
        <v>3.3800684125846704E-4</v>
      </c>
      <c r="I31" s="18">
        <f t="shared" si="2"/>
        <v>0.32742966452775946</v>
      </c>
      <c r="J31" s="17">
        <f t="shared" si="5"/>
        <v>1210.8840138733337</v>
      </c>
      <c r="K31" s="17">
        <f t="shared" si="3"/>
        <v>32.726594969549559</v>
      </c>
      <c r="L31" s="16">
        <v>52</v>
      </c>
      <c r="M31" s="19">
        <f t="shared" si="6"/>
        <v>0.71153846153846156</v>
      </c>
      <c r="N31" s="16">
        <v>14</v>
      </c>
      <c r="O31" s="20">
        <f t="shared" ref="O31:P31" si="39">D31/7</f>
        <v>5.2857142857142856</v>
      </c>
      <c r="P31" s="20">
        <f t="shared" si="39"/>
        <v>0</v>
      </c>
      <c r="Q31" s="16">
        <f t="shared" si="8"/>
        <v>2</v>
      </c>
      <c r="R31" s="16"/>
      <c r="S31" s="21">
        <v>2.5468164794007402</v>
      </c>
      <c r="T31" s="14">
        <v>100</v>
      </c>
      <c r="U31" s="22" t="s">
        <v>34</v>
      </c>
      <c r="V31" s="23" t="s">
        <v>103</v>
      </c>
      <c r="W31" s="30">
        <v>0</v>
      </c>
      <c r="X31" s="24">
        <f t="shared" si="9"/>
        <v>0</v>
      </c>
      <c r="Y31" s="25">
        <f t="shared" si="10"/>
        <v>0</v>
      </c>
      <c r="Z31" s="30">
        <v>0</v>
      </c>
      <c r="AA31" s="14" t="s">
        <v>35</v>
      </c>
      <c r="AB31" s="27">
        <f t="shared" si="11"/>
        <v>-0.69</v>
      </c>
      <c r="AC31" s="28">
        <v>0.26422222222222219</v>
      </c>
      <c r="AD31" s="25">
        <f t="shared" si="12"/>
        <v>-13.491186666666664</v>
      </c>
      <c r="AE31" s="25">
        <v>-8.98</v>
      </c>
      <c r="AF31" s="25">
        <v>-42.852494579999998</v>
      </c>
      <c r="AG31" s="25">
        <v>0</v>
      </c>
    </row>
    <row r="32" spans="1:33" ht="15.75" customHeight="1">
      <c r="A32" s="14" t="s">
        <v>60</v>
      </c>
      <c r="B32" s="14"/>
      <c r="C32" s="15" t="str">
        <f t="shared" si="4"/>
        <v xml:space="preserve"> - </v>
      </c>
      <c r="D32" s="16">
        <v>0</v>
      </c>
      <c r="E32" s="16">
        <v>0</v>
      </c>
      <c r="F32" s="17">
        <v>0</v>
      </c>
      <c r="G32" s="17">
        <v>0</v>
      </c>
      <c r="H32" s="18" t="e">
        <f t="shared" si="1"/>
        <v>#DIV/0!</v>
      </c>
      <c r="I32" s="18" t="e">
        <f t="shared" si="2"/>
        <v>#DIV/0!</v>
      </c>
      <c r="J32" s="17">
        <f t="shared" si="5"/>
        <v>0</v>
      </c>
      <c r="K32" s="17" t="e">
        <f t="shared" si="3"/>
        <v>#DIV/0!</v>
      </c>
      <c r="L32" s="16">
        <v>0</v>
      </c>
      <c r="M32" s="19" t="str">
        <f t="shared" si="6"/>
        <v>-</v>
      </c>
      <c r="N32" s="16">
        <v>0</v>
      </c>
      <c r="O32" s="20">
        <f t="shared" ref="O32:P32" si="40">D32/7</f>
        <v>0</v>
      </c>
      <c r="P32" s="20">
        <f t="shared" si="40"/>
        <v>0</v>
      </c>
      <c r="Q32" s="16" t="e">
        <f t="shared" si="8"/>
        <v>#DIV/0!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3.380281690140845</v>
      </c>
      <c r="T32" s="14">
        <f ca="1">IFERROR(__xludf.DUMMYFUNCTION("IFERROR(VLOOKUP($B$2,IMPORTRANGE(""https://docs.google.com/spreadsheets/d/1KiWZV1ko8G7lnRucBRBd29jj3Be6ltMfljMDqzOkQmI/edit#gid=1381463014"",""Lookup!A:D""),4,FALSE),"""")"),100)</f>
        <v>100</v>
      </c>
      <c r="U32" s="22">
        <f ca="1">IFERROR(__xludf.DUMMYFUNCTION("IFERROR(VLOOKUP($B$2,IMPORTRANGE(""https://docs.google.com/spreadsheets/d/1KiWZV1ko8G7lnRucBRBd29jj3Be6ltMfljMDqzOkQmI/edit#gid=1381463014"",""Lookup!A:D""),3,FALSE),"""")"),300)</f>
        <v>300</v>
      </c>
      <c r="V32" s="23" t="str">
        <f ca="1">IFERROR(__xludf.DUMMYFUNCTION("IFERROR(VLOOKUP($B$2,IMPORTRANGE(""https://docs.google.com/spreadsheets/d/1KiWZV1ko8G7lnRucBRBd29jj3Be6ltMfljMDqzOkQmI/edit#gid=1381463014"",""Lookup!A:D""),2,FALSE),"""")"),"| 414  - 204 units 08/02| 418  - 96 units 09/03")</f>
        <v>| 414  - 204 units 08/02| 418  - 96 units 09/03</v>
      </c>
      <c r="W32" s="30">
        <v>0</v>
      </c>
      <c r="X32" s="24">
        <f t="shared" si="9"/>
        <v>0</v>
      </c>
      <c r="Y32" s="25">
        <f t="shared" si="10"/>
        <v>0</v>
      </c>
      <c r="Z32" s="30">
        <v>0</v>
      </c>
      <c r="AA32" s="14" t="s">
        <v>35</v>
      </c>
      <c r="AB32" s="27">
        <f t="shared" si="11"/>
        <v>-0.69</v>
      </c>
      <c r="AC32" s="28">
        <v>0.26422222222222219</v>
      </c>
      <c r="AD32" s="25">
        <f t="shared" si="12"/>
        <v>0</v>
      </c>
      <c r="AE32" s="25">
        <v>-8.98</v>
      </c>
      <c r="AF32" s="25">
        <v>-42.852494579999998</v>
      </c>
      <c r="AG32" s="25">
        <v>0</v>
      </c>
    </row>
    <row r="33" spans="1:33" ht="15.75" customHeight="1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16"/>
      <c r="S33" s="21"/>
      <c r="T33" s="31"/>
      <c r="U33" s="36"/>
      <c r="V33" s="1"/>
      <c r="W33" s="31"/>
      <c r="X33" s="31"/>
      <c r="Y33" s="31"/>
      <c r="Z33" s="31"/>
      <c r="AA33" s="2"/>
      <c r="AB33" s="31"/>
      <c r="AC33" s="31"/>
      <c r="AD33" s="31"/>
      <c r="AE33" s="37"/>
      <c r="AF33" s="37"/>
      <c r="AG33" s="37"/>
    </row>
    <row r="34" spans="1:33" ht="15.75" customHeight="1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6"/>
      <c r="V34" s="1"/>
      <c r="W34" s="31"/>
      <c r="X34" s="31"/>
      <c r="Y34" s="31"/>
      <c r="Z34" s="31"/>
      <c r="AA34" s="2"/>
      <c r="AB34" s="31"/>
      <c r="AC34" s="31"/>
      <c r="AD34" s="31"/>
      <c r="AE34" s="37"/>
      <c r="AF34" s="37"/>
      <c r="AG34" s="37"/>
    </row>
    <row r="35" spans="1:33" ht="15.75" customHeight="1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6"/>
      <c r="V35" s="1"/>
      <c r="W35" s="31"/>
      <c r="X35" s="31"/>
      <c r="Y35" s="31"/>
      <c r="Z35" s="31"/>
      <c r="AA35" s="2"/>
      <c r="AB35" s="31"/>
      <c r="AC35" s="31"/>
      <c r="AD35" s="31"/>
      <c r="AE35" s="37"/>
      <c r="AF35" s="37"/>
      <c r="AG35" s="37"/>
    </row>
    <row r="36" spans="1:33" ht="15.75" customHeight="1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6"/>
      <c r="V36" s="1"/>
      <c r="W36" s="31"/>
      <c r="X36" s="31"/>
      <c r="Y36" s="31"/>
      <c r="Z36" s="31"/>
      <c r="AA36" s="2"/>
      <c r="AB36" s="31"/>
      <c r="AC36" s="31"/>
      <c r="AD36" s="31"/>
      <c r="AE36" s="37"/>
      <c r="AF36" s="37"/>
      <c r="AG36" s="37"/>
    </row>
    <row r="37" spans="1:33" ht="15.75" customHeight="1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6"/>
      <c r="V37" s="1"/>
      <c r="W37" s="31"/>
      <c r="X37" s="31"/>
      <c r="Y37" s="31"/>
      <c r="Z37" s="31"/>
      <c r="AA37" s="2"/>
      <c r="AB37" s="31"/>
      <c r="AC37" s="31"/>
      <c r="AD37" s="31"/>
      <c r="AE37" s="37"/>
      <c r="AF37" s="37"/>
      <c r="AG37" s="37"/>
    </row>
    <row r="38" spans="1:33" ht="15.75" customHeight="1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6"/>
      <c r="V38" s="1"/>
      <c r="W38" s="31"/>
      <c r="X38" s="31"/>
      <c r="Y38" s="31"/>
      <c r="Z38" s="31"/>
      <c r="AA38" s="2"/>
      <c r="AB38" s="31"/>
      <c r="AC38" s="31"/>
      <c r="AD38" s="31"/>
      <c r="AE38" s="37"/>
      <c r="AF38" s="37"/>
      <c r="AG38" s="37"/>
    </row>
    <row r="39" spans="1:33" ht="15.75" customHeight="1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6"/>
      <c r="V39" s="1"/>
      <c r="W39" s="31"/>
      <c r="X39" s="31"/>
      <c r="Y39" s="31"/>
      <c r="Z39" s="31"/>
      <c r="AA39" s="2"/>
      <c r="AB39" s="31"/>
      <c r="AC39" s="31"/>
      <c r="AD39" s="31"/>
      <c r="AE39" s="37"/>
      <c r="AF39" s="37"/>
      <c r="AG39" s="37"/>
    </row>
    <row r="40" spans="1:33" ht="15.75" customHeight="1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6"/>
      <c r="V40" s="1"/>
      <c r="W40" s="31"/>
      <c r="X40" s="31"/>
      <c r="Y40" s="31"/>
      <c r="Z40" s="31"/>
      <c r="AA40" s="2"/>
      <c r="AB40" s="31"/>
      <c r="AC40" s="31"/>
      <c r="AD40" s="31"/>
      <c r="AE40" s="37"/>
      <c r="AF40" s="37"/>
      <c r="AG40" s="37"/>
    </row>
    <row r="41" spans="1:33" ht="15.75" customHeight="1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6"/>
      <c r="V41" s="1"/>
      <c r="W41" s="31"/>
      <c r="X41" s="31"/>
      <c r="Y41" s="31"/>
      <c r="Z41" s="31"/>
      <c r="AA41" s="2"/>
      <c r="AB41" s="31"/>
      <c r="AC41" s="31"/>
      <c r="AD41" s="31"/>
      <c r="AE41" s="37"/>
      <c r="AF41" s="37"/>
      <c r="AG41" s="37"/>
    </row>
    <row r="42" spans="1:33" ht="15.75" customHeight="1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6"/>
      <c r="V42" s="1"/>
      <c r="W42" s="31"/>
      <c r="X42" s="31"/>
      <c r="Y42" s="31"/>
      <c r="Z42" s="31"/>
      <c r="AA42" s="2"/>
      <c r="AB42" s="31"/>
      <c r="AC42" s="31"/>
      <c r="AD42" s="31"/>
      <c r="AE42" s="37"/>
      <c r="AF42" s="37"/>
      <c r="AG42" s="37"/>
    </row>
    <row r="43" spans="1:33" ht="15.75" customHeight="1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6"/>
      <c r="V43" s="1"/>
      <c r="W43" s="31"/>
      <c r="X43" s="31"/>
      <c r="Y43" s="31"/>
      <c r="Z43" s="31"/>
      <c r="AA43" s="2"/>
      <c r="AB43" s="31"/>
      <c r="AC43" s="31"/>
      <c r="AD43" s="31"/>
      <c r="AE43" s="37"/>
      <c r="AF43" s="37"/>
      <c r="AG43" s="37"/>
    </row>
    <row r="44" spans="1:33" ht="15.75" customHeight="1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6"/>
      <c r="V44" s="1"/>
      <c r="W44" s="31"/>
      <c r="X44" s="31"/>
      <c r="Y44" s="31"/>
      <c r="Z44" s="31"/>
      <c r="AA44" s="2"/>
      <c r="AB44" s="31"/>
      <c r="AC44" s="31"/>
      <c r="AD44" s="31"/>
      <c r="AE44" s="37"/>
      <c r="AF44" s="37"/>
      <c r="AG44" s="37"/>
    </row>
    <row r="45" spans="1:33" ht="15.75" customHeight="1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6"/>
      <c r="V45" s="1"/>
      <c r="W45" s="31"/>
      <c r="X45" s="31"/>
      <c r="Y45" s="31"/>
      <c r="Z45" s="31"/>
      <c r="AA45" s="2"/>
      <c r="AB45" s="31"/>
      <c r="AC45" s="31"/>
      <c r="AD45" s="31"/>
      <c r="AE45" s="37"/>
      <c r="AF45" s="37"/>
      <c r="AG45" s="37"/>
    </row>
    <row r="46" spans="1:33" ht="15.75" customHeight="1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6"/>
      <c r="V46" s="1"/>
      <c r="W46" s="31"/>
      <c r="X46" s="31"/>
      <c r="Y46" s="31"/>
      <c r="Z46" s="31"/>
      <c r="AA46" s="2"/>
      <c r="AB46" s="31"/>
      <c r="AC46" s="31"/>
      <c r="AD46" s="31"/>
      <c r="AE46" s="37"/>
      <c r="AF46" s="37"/>
      <c r="AG46" s="37"/>
    </row>
    <row r="47" spans="1:33" ht="15.75" customHeight="1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6"/>
      <c r="V47" s="1"/>
      <c r="W47" s="31"/>
      <c r="X47" s="31"/>
      <c r="Y47" s="31"/>
      <c r="Z47" s="31"/>
      <c r="AA47" s="2"/>
      <c r="AB47" s="31"/>
      <c r="AC47" s="31"/>
      <c r="AD47" s="31"/>
      <c r="AE47" s="37"/>
      <c r="AF47" s="37"/>
      <c r="AG47" s="37"/>
    </row>
    <row r="48" spans="1:33" ht="15.75" customHeight="1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6"/>
      <c r="V48" s="1"/>
      <c r="W48" s="31"/>
      <c r="X48" s="31"/>
      <c r="Y48" s="31"/>
      <c r="Z48" s="31"/>
      <c r="AA48" s="2"/>
      <c r="AB48" s="31"/>
      <c r="AC48" s="31"/>
      <c r="AD48" s="31"/>
      <c r="AE48" s="37"/>
      <c r="AF48" s="37"/>
      <c r="AG48" s="37"/>
    </row>
    <row r="49" spans="1:33" ht="15.75" customHeight="1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6"/>
      <c r="V49" s="1"/>
      <c r="W49" s="31"/>
      <c r="X49" s="31"/>
      <c r="Y49" s="31"/>
      <c r="Z49" s="31"/>
      <c r="AA49" s="2"/>
      <c r="AB49" s="31"/>
      <c r="AC49" s="31"/>
      <c r="AD49" s="31"/>
      <c r="AE49" s="37"/>
      <c r="AF49" s="37"/>
      <c r="AG49" s="37"/>
    </row>
    <row r="50" spans="1:33" ht="15.75" customHeight="1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6"/>
      <c r="V50" s="1"/>
      <c r="W50" s="31"/>
      <c r="X50" s="31"/>
      <c r="Y50" s="31"/>
      <c r="Z50" s="31"/>
      <c r="AA50" s="2"/>
      <c r="AB50" s="31"/>
      <c r="AC50" s="31"/>
      <c r="AD50" s="31"/>
      <c r="AE50" s="37"/>
      <c r="AF50" s="37"/>
      <c r="AG50" s="37"/>
    </row>
    <row r="51" spans="1:33" ht="15.75" customHeight="1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6"/>
      <c r="V51" s="1"/>
      <c r="W51" s="31"/>
      <c r="X51" s="31"/>
      <c r="Y51" s="31"/>
      <c r="Z51" s="31"/>
      <c r="AA51" s="2"/>
      <c r="AB51" s="31"/>
      <c r="AC51" s="31"/>
      <c r="AD51" s="31"/>
      <c r="AE51" s="37"/>
      <c r="AF51" s="37"/>
      <c r="AG51" s="37"/>
    </row>
    <row r="52" spans="1:33" ht="15.75" customHeight="1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6"/>
      <c r="V52" s="1"/>
      <c r="W52" s="31"/>
      <c r="X52" s="31"/>
      <c r="Y52" s="31"/>
      <c r="Z52" s="31"/>
      <c r="AA52" s="2"/>
      <c r="AB52" s="31"/>
      <c r="AC52" s="31"/>
      <c r="AD52" s="31"/>
      <c r="AE52" s="37"/>
      <c r="AF52" s="37"/>
      <c r="AG52" s="37"/>
    </row>
    <row r="53" spans="1:33" ht="15.75" customHeight="1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6"/>
      <c r="V53" s="1"/>
      <c r="W53" s="31"/>
      <c r="X53" s="31"/>
      <c r="Y53" s="31"/>
      <c r="Z53" s="31"/>
      <c r="AA53" s="2"/>
      <c r="AB53" s="31"/>
      <c r="AC53" s="31"/>
      <c r="AD53" s="31"/>
      <c r="AE53" s="37"/>
      <c r="AF53" s="37"/>
      <c r="AG53" s="37"/>
    </row>
    <row r="54" spans="1:33" ht="15.75" customHeight="1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6"/>
      <c r="V54" s="1"/>
      <c r="W54" s="31"/>
      <c r="X54" s="31"/>
      <c r="Y54" s="31"/>
      <c r="Z54" s="31"/>
      <c r="AA54" s="2"/>
      <c r="AB54" s="31"/>
      <c r="AC54" s="31"/>
      <c r="AD54" s="31"/>
      <c r="AE54" s="37"/>
      <c r="AF54" s="37"/>
      <c r="AG54" s="37"/>
    </row>
    <row r="55" spans="1:33" ht="15.75" customHeight="1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6"/>
      <c r="V55" s="1"/>
      <c r="W55" s="31"/>
      <c r="X55" s="31"/>
      <c r="Y55" s="31"/>
      <c r="Z55" s="31"/>
      <c r="AA55" s="2"/>
      <c r="AB55" s="31"/>
      <c r="AC55" s="31"/>
      <c r="AD55" s="31"/>
      <c r="AE55" s="37"/>
      <c r="AF55" s="37"/>
      <c r="AG55" s="37"/>
    </row>
    <row r="56" spans="1:33" ht="15.75" customHeight="1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6"/>
      <c r="V56" s="1"/>
      <c r="W56" s="31"/>
      <c r="X56" s="31"/>
      <c r="Y56" s="31"/>
      <c r="Z56" s="31"/>
      <c r="AA56" s="2"/>
      <c r="AB56" s="31"/>
      <c r="AC56" s="31"/>
      <c r="AD56" s="31"/>
      <c r="AE56" s="37"/>
      <c r="AF56" s="37"/>
      <c r="AG56" s="37"/>
    </row>
    <row r="57" spans="1:33" ht="15.75" customHeight="1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6"/>
      <c r="V57" s="1"/>
      <c r="W57" s="31"/>
      <c r="X57" s="31"/>
      <c r="Y57" s="31"/>
      <c r="Z57" s="31"/>
      <c r="AA57" s="2"/>
      <c r="AB57" s="31"/>
      <c r="AC57" s="31"/>
      <c r="AD57" s="31"/>
      <c r="AE57" s="37"/>
      <c r="AF57" s="37"/>
      <c r="AG57" s="37"/>
    </row>
    <row r="58" spans="1:33" ht="15.75" customHeight="1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6"/>
      <c r="V58" s="1"/>
      <c r="W58" s="31"/>
      <c r="X58" s="31"/>
      <c r="Y58" s="31"/>
      <c r="Z58" s="31"/>
      <c r="AA58" s="2"/>
      <c r="AB58" s="31"/>
      <c r="AC58" s="31"/>
      <c r="AD58" s="31"/>
      <c r="AE58" s="37"/>
      <c r="AF58" s="37"/>
      <c r="AG58" s="37"/>
    </row>
    <row r="59" spans="1:33" ht="15.75" customHeight="1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6"/>
      <c r="V59" s="1"/>
      <c r="W59" s="31"/>
      <c r="X59" s="31"/>
      <c r="Y59" s="31"/>
      <c r="Z59" s="31"/>
      <c r="AA59" s="2"/>
      <c r="AB59" s="31"/>
      <c r="AC59" s="31"/>
      <c r="AD59" s="31"/>
      <c r="AE59" s="37"/>
      <c r="AF59" s="37"/>
      <c r="AG59" s="37"/>
    </row>
    <row r="60" spans="1:33" ht="15.75" customHeight="1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6"/>
      <c r="V60" s="1"/>
      <c r="W60" s="31"/>
      <c r="X60" s="31"/>
      <c r="Y60" s="31"/>
      <c r="Z60" s="31"/>
      <c r="AA60" s="2"/>
      <c r="AB60" s="31"/>
      <c r="AC60" s="31"/>
      <c r="AD60" s="31"/>
      <c r="AE60" s="37"/>
      <c r="AF60" s="37"/>
      <c r="AG60" s="37"/>
    </row>
    <row r="61" spans="1:33" ht="15.75" customHeight="1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6"/>
      <c r="V61" s="1"/>
      <c r="W61" s="31"/>
      <c r="X61" s="31"/>
      <c r="Y61" s="31"/>
      <c r="Z61" s="31"/>
      <c r="AA61" s="2"/>
      <c r="AB61" s="31"/>
      <c r="AC61" s="31"/>
      <c r="AD61" s="31"/>
      <c r="AE61" s="37"/>
      <c r="AF61" s="37"/>
      <c r="AG61" s="37"/>
    </row>
    <row r="62" spans="1:33" ht="15.75" customHeight="1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6"/>
      <c r="V62" s="1"/>
      <c r="W62" s="31"/>
      <c r="X62" s="31"/>
      <c r="Y62" s="31"/>
      <c r="Z62" s="31"/>
      <c r="AA62" s="2"/>
      <c r="AB62" s="31"/>
      <c r="AC62" s="31"/>
      <c r="AD62" s="31"/>
      <c r="AE62" s="37"/>
      <c r="AF62" s="37"/>
      <c r="AG62" s="37"/>
    </row>
    <row r="63" spans="1:33" ht="15.75" customHeight="1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6"/>
      <c r="V63" s="1"/>
      <c r="W63" s="31"/>
      <c r="X63" s="31"/>
      <c r="Y63" s="31"/>
      <c r="Z63" s="31"/>
      <c r="AA63" s="2"/>
      <c r="AB63" s="31"/>
      <c r="AC63" s="31"/>
      <c r="AD63" s="31"/>
      <c r="AE63" s="37"/>
      <c r="AF63" s="37"/>
      <c r="AG63" s="37"/>
    </row>
    <row r="64" spans="1:33" ht="15.75" customHeight="1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6"/>
      <c r="V64" s="1"/>
      <c r="W64" s="31"/>
      <c r="X64" s="31"/>
      <c r="Y64" s="31"/>
      <c r="Z64" s="31"/>
      <c r="AA64" s="2"/>
      <c r="AB64" s="31"/>
      <c r="AC64" s="31"/>
      <c r="AD64" s="31"/>
      <c r="AE64" s="37"/>
      <c r="AF64" s="37"/>
      <c r="AG64" s="37"/>
    </row>
    <row r="65" spans="1:33" ht="15.75" customHeight="1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6"/>
      <c r="V65" s="1"/>
      <c r="W65" s="31"/>
      <c r="X65" s="31"/>
      <c r="Y65" s="31"/>
      <c r="Z65" s="31"/>
      <c r="AA65" s="2"/>
      <c r="AB65" s="31"/>
      <c r="AC65" s="31"/>
      <c r="AD65" s="31"/>
      <c r="AE65" s="37"/>
      <c r="AF65" s="37"/>
      <c r="AG65" s="37"/>
    </row>
    <row r="66" spans="1:33" ht="15.75" customHeight="1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6"/>
      <c r="V66" s="1"/>
      <c r="W66" s="31"/>
      <c r="X66" s="31"/>
      <c r="Y66" s="31"/>
      <c r="Z66" s="31"/>
      <c r="AA66" s="2"/>
      <c r="AB66" s="31"/>
      <c r="AC66" s="31"/>
      <c r="AD66" s="31"/>
      <c r="AE66" s="37"/>
      <c r="AF66" s="37"/>
      <c r="AG66" s="37"/>
    </row>
    <row r="67" spans="1:33" ht="15.75" customHeight="1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6"/>
      <c r="V67" s="1"/>
      <c r="W67" s="31"/>
      <c r="X67" s="31"/>
      <c r="Y67" s="31"/>
      <c r="Z67" s="31"/>
      <c r="AA67" s="2"/>
      <c r="AB67" s="31"/>
      <c r="AC67" s="31"/>
      <c r="AD67" s="31"/>
      <c r="AE67" s="37"/>
      <c r="AF67" s="37"/>
      <c r="AG67" s="37"/>
    </row>
    <row r="68" spans="1:33" ht="15.75" customHeight="1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6"/>
      <c r="V68" s="1"/>
      <c r="W68" s="31"/>
      <c r="X68" s="31"/>
      <c r="Y68" s="31"/>
      <c r="Z68" s="31"/>
      <c r="AA68" s="2"/>
      <c r="AB68" s="31"/>
      <c r="AC68" s="31"/>
      <c r="AD68" s="31"/>
      <c r="AE68" s="37"/>
      <c r="AF68" s="37"/>
      <c r="AG68" s="37"/>
    </row>
    <row r="69" spans="1:33" ht="15.75" customHeight="1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6"/>
      <c r="V69" s="1"/>
      <c r="W69" s="31"/>
      <c r="X69" s="31"/>
      <c r="Y69" s="31"/>
      <c r="Z69" s="31"/>
      <c r="AA69" s="2"/>
      <c r="AB69" s="31"/>
      <c r="AC69" s="31"/>
      <c r="AD69" s="31"/>
      <c r="AE69" s="37"/>
      <c r="AF69" s="37"/>
      <c r="AG69" s="37"/>
    </row>
    <row r="70" spans="1:33" ht="15.75" customHeight="1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6"/>
      <c r="V70" s="1"/>
      <c r="W70" s="31"/>
      <c r="X70" s="31"/>
      <c r="Y70" s="31"/>
      <c r="Z70" s="31"/>
      <c r="AA70" s="2"/>
      <c r="AB70" s="31"/>
      <c r="AC70" s="31"/>
      <c r="AD70" s="31"/>
      <c r="AE70" s="37"/>
      <c r="AF70" s="37"/>
      <c r="AG70" s="37"/>
    </row>
    <row r="71" spans="1:33" ht="15.75" customHeight="1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6"/>
      <c r="V71" s="1"/>
      <c r="W71" s="31"/>
      <c r="X71" s="31"/>
      <c r="Y71" s="31"/>
      <c r="Z71" s="31"/>
      <c r="AA71" s="2"/>
      <c r="AB71" s="31"/>
      <c r="AC71" s="31"/>
      <c r="AD71" s="31"/>
      <c r="AE71" s="37"/>
      <c r="AF71" s="37"/>
      <c r="AG71" s="37"/>
    </row>
    <row r="72" spans="1:33" ht="15.75" customHeight="1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6"/>
      <c r="V72" s="1"/>
      <c r="W72" s="31"/>
      <c r="X72" s="31"/>
      <c r="Y72" s="31"/>
      <c r="Z72" s="31"/>
      <c r="AA72" s="2"/>
      <c r="AB72" s="31"/>
      <c r="AC72" s="31"/>
      <c r="AD72" s="31"/>
      <c r="AE72" s="37"/>
      <c r="AF72" s="37"/>
      <c r="AG72" s="37"/>
    </row>
    <row r="73" spans="1:33" ht="15.75" customHeight="1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6"/>
      <c r="V73" s="1"/>
      <c r="W73" s="31"/>
      <c r="X73" s="31"/>
      <c r="Y73" s="31"/>
      <c r="Z73" s="31"/>
      <c r="AA73" s="2"/>
      <c r="AB73" s="31"/>
      <c r="AC73" s="31"/>
      <c r="AD73" s="31"/>
      <c r="AE73" s="37"/>
      <c r="AF73" s="37"/>
      <c r="AG73" s="37"/>
    </row>
    <row r="74" spans="1:33" ht="15.75" customHeight="1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6"/>
      <c r="V74" s="1"/>
      <c r="W74" s="31"/>
      <c r="X74" s="31"/>
      <c r="Y74" s="31"/>
      <c r="Z74" s="31"/>
      <c r="AA74" s="2"/>
      <c r="AB74" s="31"/>
      <c r="AC74" s="31"/>
      <c r="AD74" s="31"/>
      <c r="AE74" s="37"/>
      <c r="AF74" s="37"/>
      <c r="AG74" s="37"/>
    </row>
    <row r="75" spans="1:33" ht="15.75" customHeight="1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6"/>
      <c r="V75" s="1"/>
      <c r="W75" s="31"/>
      <c r="X75" s="31"/>
      <c r="Y75" s="31"/>
      <c r="Z75" s="31"/>
      <c r="AA75" s="2"/>
      <c r="AB75" s="31"/>
      <c r="AC75" s="31"/>
      <c r="AD75" s="31"/>
      <c r="AE75" s="37"/>
      <c r="AF75" s="37"/>
      <c r="AG75" s="37"/>
    </row>
    <row r="76" spans="1:33" ht="15.75" customHeight="1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6"/>
      <c r="V76" s="1"/>
      <c r="W76" s="31"/>
      <c r="X76" s="31"/>
      <c r="Y76" s="31"/>
      <c r="Z76" s="31"/>
      <c r="AA76" s="2"/>
      <c r="AB76" s="31"/>
      <c r="AC76" s="31"/>
      <c r="AD76" s="31"/>
      <c r="AE76" s="37"/>
      <c r="AF76" s="37"/>
      <c r="AG76" s="37"/>
    </row>
    <row r="77" spans="1:33" ht="15.75" customHeight="1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6"/>
      <c r="V77" s="1"/>
      <c r="W77" s="31"/>
      <c r="X77" s="31"/>
      <c r="Y77" s="31"/>
      <c r="Z77" s="31"/>
      <c r="AA77" s="2"/>
      <c r="AB77" s="31"/>
      <c r="AC77" s="31"/>
      <c r="AD77" s="31"/>
      <c r="AE77" s="37"/>
      <c r="AF77" s="37"/>
      <c r="AG77" s="37"/>
    </row>
    <row r="78" spans="1:33" ht="15.75" customHeight="1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6"/>
      <c r="V78" s="1"/>
      <c r="W78" s="31"/>
      <c r="X78" s="31"/>
      <c r="Y78" s="31"/>
      <c r="Z78" s="31"/>
      <c r="AA78" s="2"/>
      <c r="AB78" s="31"/>
      <c r="AC78" s="31"/>
      <c r="AD78" s="31"/>
      <c r="AE78" s="37"/>
      <c r="AF78" s="37"/>
      <c r="AG78" s="37"/>
    </row>
    <row r="79" spans="1:33" ht="15.75" customHeight="1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6"/>
      <c r="V79" s="1"/>
      <c r="W79" s="31"/>
      <c r="X79" s="31"/>
      <c r="Y79" s="31"/>
      <c r="Z79" s="31"/>
      <c r="AA79" s="2"/>
      <c r="AB79" s="31"/>
      <c r="AC79" s="31"/>
      <c r="AD79" s="31"/>
      <c r="AE79" s="37"/>
      <c r="AF79" s="37"/>
      <c r="AG79" s="37"/>
    </row>
    <row r="80" spans="1:33" ht="15.75" customHeight="1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6"/>
      <c r="V80" s="1"/>
      <c r="W80" s="31"/>
      <c r="X80" s="31"/>
      <c r="Y80" s="31"/>
      <c r="Z80" s="31"/>
      <c r="AA80" s="2"/>
      <c r="AB80" s="31"/>
      <c r="AC80" s="31"/>
      <c r="AD80" s="31"/>
      <c r="AE80" s="37"/>
      <c r="AF80" s="37"/>
      <c r="AG80" s="37"/>
    </row>
    <row r="81" spans="1:33" ht="15.75" customHeight="1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6"/>
      <c r="V81" s="1"/>
      <c r="W81" s="31"/>
      <c r="X81" s="31"/>
      <c r="Y81" s="31"/>
      <c r="Z81" s="31"/>
      <c r="AA81" s="2"/>
      <c r="AB81" s="31"/>
      <c r="AC81" s="31"/>
      <c r="AD81" s="31"/>
      <c r="AE81" s="37"/>
      <c r="AF81" s="37"/>
      <c r="AG81" s="37"/>
    </row>
    <row r="82" spans="1:33" ht="15.75" customHeight="1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6"/>
      <c r="V82" s="1"/>
      <c r="W82" s="31"/>
      <c r="X82" s="31"/>
      <c r="Y82" s="31"/>
      <c r="Z82" s="31"/>
      <c r="AA82" s="2"/>
      <c r="AB82" s="31"/>
      <c r="AC82" s="31"/>
      <c r="AD82" s="31"/>
      <c r="AE82" s="37"/>
      <c r="AF82" s="37"/>
      <c r="AG82" s="37"/>
    </row>
    <row r="83" spans="1:33" ht="15.75" customHeight="1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6"/>
      <c r="V83" s="1"/>
      <c r="W83" s="31"/>
      <c r="X83" s="31"/>
      <c r="Y83" s="31"/>
      <c r="Z83" s="31"/>
      <c r="AA83" s="2"/>
      <c r="AB83" s="31"/>
      <c r="AC83" s="31"/>
      <c r="AD83" s="31"/>
      <c r="AE83" s="37"/>
      <c r="AF83" s="37"/>
      <c r="AG83" s="37"/>
    </row>
    <row r="84" spans="1:33" ht="15.75" customHeight="1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6"/>
      <c r="V84" s="1"/>
      <c r="W84" s="31"/>
      <c r="X84" s="31"/>
      <c r="Y84" s="31"/>
      <c r="Z84" s="31"/>
      <c r="AA84" s="2"/>
      <c r="AB84" s="31"/>
      <c r="AC84" s="31"/>
      <c r="AD84" s="31"/>
      <c r="AE84" s="37"/>
      <c r="AF84" s="37"/>
      <c r="AG84" s="37"/>
    </row>
    <row r="85" spans="1:33" ht="15.75" customHeight="1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6"/>
      <c r="V85" s="1"/>
      <c r="W85" s="31"/>
      <c r="X85" s="31"/>
      <c r="Y85" s="31"/>
      <c r="Z85" s="31"/>
      <c r="AA85" s="2"/>
      <c r="AB85" s="31"/>
      <c r="AC85" s="31"/>
      <c r="AD85" s="31"/>
      <c r="AE85" s="37"/>
      <c r="AF85" s="37"/>
      <c r="AG85" s="37"/>
    </row>
    <row r="86" spans="1:33" ht="15.75" customHeight="1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6"/>
      <c r="V86" s="1"/>
      <c r="W86" s="31"/>
      <c r="X86" s="31"/>
      <c r="Y86" s="31"/>
      <c r="Z86" s="31"/>
      <c r="AA86" s="2"/>
      <c r="AB86" s="31"/>
      <c r="AC86" s="31"/>
      <c r="AD86" s="31"/>
      <c r="AE86" s="37"/>
      <c r="AF86" s="37"/>
      <c r="AG86" s="37"/>
    </row>
    <row r="87" spans="1:33" ht="15.75" customHeight="1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6"/>
      <c r="V87" s="1"/>
      <c r="W87" s="31"/>
      <c r="X87" s="31"/>
      <c r="Y87" s="31"/>
      <c r="Z87" s="31"/>
      <c r="AA87" s="2"/>
      <c r="AB87" s="31"/>
      <c r="AC87" s="31"/>
      <c r="AD87" s="31"/>
      <c r="AE87" s="37"/>
      <c r="AF87" s="37"/>
      <c r="AG87" s="37"/>
    </row>
    <row r="88" spans="1:33" ht="15.75" customHeight="1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6"/>
      <c r="V88" s="1"/>
      <c r="W88" s="31"/>
      <c r="X88" s="31"/>
      <c r="Y88" s="31"/>
      <c r="Z88" s="31"/>
      <c r="AA88" s="2"/>
      <c r="AB88" s="31"/>
      <c r="AC88" s="31"/>
      <c r="AD88" s="31"/>
      <c r="AE88" s="37"/>
      <c r="AF88" s="37"/>
      <c r="AG88" s="37"/>
    </row>
    <row r="89" spans="1:33" ht="15.75" customHeight="1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6"/>
      <c r="V89" s="1"/>
      <c r="W89" s="31"/>
      <c r="X89" s="31"/>
      <c r="Y89" s="31"/>
      <c r="Z89" s="31"/>
      <c r="AA89" s="2"/>
      <c r="AB89" s="31"/>
      <c r="AC89" s="31"/>
      <c r="AD89" s="31"/>
      <c r="AE89" s="37"/>
      <c r="AF89" s="37"/>
      <c r="AG89" s="37"/>
    </row>
    <row r="90" spans="1:33" ht="15.75" customHeight="1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6"/>
      <c r="V90" s="1"/>
      <c r="W90" s="31"/>
      <c r="X90" s="31"/>
      <c r="Y90" s="31"/>
      <c r="Z90" s="31"/>
      <c r="AA90" s="2"/>
      <c r="AB90" s="31"/>
      <c r="AC90" s="31"/>
      <c r="AD90" s="31"/>
      <c r="AE90" s="37"/>
      <c r="AF90" s="37"/>
      <c r="AG90" s="37"/>
    </row>
    <row r="91" spans="1:33" ht="15.75" customHeight="1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6"/>
      <c r="V91" s="1"/>
      <c r="W91" s="31"/>
      <c r="X91" s="31"/>
      <c r="Y91" s="31"/>
      <c r="Z91" s="31"/>
      <c r="AA91" s="2"/>
      <c r="AB91" s="31"/>
      <c r="AC91" s="31"/>
      <c r="AD91" s="31"/>
      <c r="AE91" s="37"/>
      <c r="AF91" s="37"/>
      <c r="AG91" s="37"/>
    </row>
    <row r="92" spans="1:33" ht="15.75" customHeight="1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6"/>
      <c r="V92" s="1"/>
      <c r="W92" s="31"/>
      <c r="X92" s="31"/>
      <c r="Y92" s="31"/>
      <c r="Z92" s="31"/>
      <c r="AA92" s="2"/>
      <c r="AB92" s="31"/>
      <c r="AC92" s="31"/>
      <c r="AD92" s="31"/>
      <c r="AE92" s="37"/>
      <c r="AF92" s="37"/>
      <c r="AG92" s="37"/>
    </row>
    <row r="93" spans="1:33" ht="15.75" customHeight="1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6"/>
      <c r="V93" s="1"/>
      <c r="W93" s="31"/>
      <c r="X93" s="31"/>
      <c r="Y93" s="31"/>
      <c r="Z93" s="31"/>
      <c r="AA93" s="2"/>
      <c r="AB93" s="31"/>
      <c r="AC93" s="31"/>
      <c r="AD93" s="31"/>
      <c r="AE93" s="37"/>
      <c r="AF93" s="37"/>
      <c r="AG93" s="37"/>
    </row>
    <row r="94" spans="1:33" ht="15.75" customHeight="1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6"/>
      <c r="V94" s="1"/>
      <c r="W94" s="31"/>
      <c r="X94" s="31"/>
      <c r="Y94" s="31"/>
      <c r="Z94" s="31"/>
      <c r="AA94" s="2"/>
      <c r="AB94" s="31"/>
      <c r="AC94" s="31"/>
      <c r="AD94" s="31"/>
      <c r="AE94" s="37"/>
      <c r="AF94" s="37"/>
      <c r="AG94" s="37"/>
    </row>
    <row r="95" spans="1:33" ht="15.75" customHeight="1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6"/>
      <c r="V95" s="1"/>
      <c r="W95" s="31"/>
      <c r="X95" s="31"/>
      <c r="Y95" s="31"/>
      <c r="Z95" s="31"/>
      <c r="AA95" s="2"/>
      <c r="AB95" s="31"/>
      <c r="AC95" s="31"/>
      <c r="AD95" s="31"/>
      <c r="AE95" s="37"/>
      <c r="AF95" s="37"/>
      <c r="AG95" s="37"/>
    </row>
    <row r="96" spans="1:33" ht="15.75" customHeight="1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6"/>
      <c r="V96" s="1"/>
      <c r="W96" s="31"/>
      <c r="X96" s="31"/>
      <c r="Y96" s="31"/>
      <c r="Z96" s="31"/>
      <c r="AA96" s="2"/>
      <c r="AB96" s="31"/>
      <c r="AC96" s="31"/>
      <c r="AD96" s="31"/>
      <c r="AE96" s="37"/>
      <c r="AF96" s="37"/>
      <c r="AG96" s="37"/>
    </row>
    <row r="97" spans="1:33" ht="15.75" customHeight="1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8"/>
      <c r="R97" s="38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8"/>
      <c r="R98" s="38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8"/>
      <c r="R99" s="38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8"/>
      <c r="R100" s="38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8"/>
      <c r="R101" s="38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8"/>
      <c r="R102" s="38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8"/>
      <c r="R103" s="38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8"/>
      <c r="R104" s="38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8"/>
      <c r="R105" s="38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8"/>
      <c r="R106" s="38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8"/>
      <c r="R107" s="38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8"/>
      <c r="R108" s="38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8"/>
      <c r="R109" s="38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8"/>
      <c r="R110" s="38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8"/>
      <c r="R111" s="38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8"/>
      <c r="R112" s="38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8"/>
      <c r="R113" s="38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8"/>
      <c r="R114" s="38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>
      <c r="A115" s="31"/>
      <c r="B115" s="31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>
      <c r="A116" s="31"/>
      <c r="B116" s="31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>
      <c r="A117" s="31"/>
      <c r="B117" s="31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>
      <c r="A118" s="31"/>
      <c r="B118" s="31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>
      <c r="A119" s="31"/>
      <c r="B119" s="31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>
      <c r="A120" s="31"/>
      <c r="B120" s="31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>
      <c r="A121" s="31"/>
      <c r="B121" s="31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>
      <c r="A122" s="31"/>
      <c r="B122" s="31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>
      <c r="A123" s="31"/>
      <c r="B123" s="31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>
      <c r="A124" s="31"/>
      <c r="B124" s="31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>
      <c r="A125" s="31"/>
      <c r="B125" s="31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>
      <c r="A126" s="31"/>
      <c r="B126" s="31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>
      <c r="A127" s="31"/>
      <c r="B127" s="31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>
      <c r="A128" s="31"/>
      <c r="B128" s="31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>
      <c r="A129" s="31"/>
      <c r="B129" s="31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>
      <c r="A130" s="31"/>
      <c r="B130" s="31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>
      <c r="A131" s="31"/>
      <c r="B131" s="31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>
      <c r="A132" s="31"/>
      <c r="B132" s="31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>
      <c r="A133" s="31"/>
      <c r="B133" s="31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>
      <c r="A134" s="31"/>
      <c r="B134" s="31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>
      <c r="A135" s="31"/>
      <c r="B135" s="31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>
      <c r="A136" s="31"/>
      <c r="B136" s="31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>
      <c r="A137" s="31"/>
      <c r="B137" s="31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>
      <c r="A138" s="31"/>
      <c r="B138" s="31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>
      <c r="A139" s="31"/>
      <c r="B139" s="31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>
      <c r="A140" s="31"/>
      <c r="B140" s="31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>
      <c r="A141" s="31"/>
      <c r="B141" s="31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2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>
      <c r="A142" s="31"/>
      <c r="B142" s="31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2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>
      <c r="A143" s="31"/>
      <c r="B143" s="31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2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>
      <c r="A144" s="31"/>
      <c r="B144" s="31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2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>
      <c r="A145" s="31"/>
      <c r="B145" s="31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2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>
      <c r="A146" s="31"/>
      <c r="B146" s="31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2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>
      <c r="A147" s="31"/>
      <c r="B147" s="31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2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>
      <c r="A148" s="31"/>
      <c r="B148" s="31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2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</row>
    <row r="149" spans="1:33" ht="15.75" customHeight="1">
      <c r="A149" s="14"/>
      <c r="B149" s="14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>
      <c r="A150" s="14"/>
      <c r="B150" s="14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>
      <c r="A151" s="14"/>
      <c r="B151" s="14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>
      <c r="A152" s="14"/>
      <c r="B152" s="14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>
      <c r="A153" s="14"/>
      <c r="B153" s="14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>
      <c r="A154" s="14"/>
      <c r="B154" s="14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>
      <c r="A155" s="14"/>
      <c r="B155" s="14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>
      <c r="A156" s="14"/>
      <c r="B156" s="14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>
      <c r="A157" s="14"/>
      <c r="B157" s="14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>
      <c r="A158" s="14"/>
      <c r="B158" s="14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>
      <c r="A159" s="14"/>
      <c r="B159" s="14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>
      <c r="A160" s="14"/>
      <c r="B160" s="14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>
      <c r="A161" s="14"/>
      <c r="B161" s="14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>
      <c r="A162" s="14"/>
      <c r="B162" s="14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>
      <c r="A163" s="14"/>
      <c r="B163" s="14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>
      <c r="A164" s="14"/>
      <c r="B164" s="14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>
      <c r="A165" s="14"/>
      <c r="B165" s="14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>
      <c r="A166" s="14"/>
      <c r="B166" s="14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>
      <c r="A167" s="14"/>
      <c r="B167" s="14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>
      <c r="A168" s="14"/>
      <c r="B168" s="14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>
      <c r="A169" s="14"/>
      <c r="B169" s="14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>
      <c r="A170" s="14"/>
      <c r="B170" s="14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>
      <c r="A171" s="14"/>
      <c r="B171" s="14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>
      <c r="A172" s="14"/>
      <c r="B172" s="14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>
      <c r="A173" s="14"/>
      <c r="B173" s="14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>
      <c r="A174" s="14"/>
      <c r="B174" s="14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>
      <c r="A175" s="14"/>
      <c r="B175" s="14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>
      <c r="A176" s="14"/>
      <c r="B176" s="14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>
      <c r="A177" s="14"/>
      <c r="B177" s="14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>
      <c r="A178" s="14"/>
      <c r="B178" s="14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>
      <c r="A179" s="14"/>
      <c r="B179" s="14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>
      <c r="A180" s="14"/>
      <c r="B180" s="14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>
      <c r="A181" s="14"/>
      <c r="B181" s="14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>
      <c r="A182" s="14"/>
      <c r="B182" s="14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>
      <c r="A183" s="14"/>
      <c r="B183" s="14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>
      <c r="A184" s="14"/>
      <c r="B184" s="14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>
      <c r="A185" s="14"/>
      <c r="B185" s="14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>
      <c r="A186" s="14"/>
      <c r="B186" s="14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>
      <c r="A187" s="14"/>
      <c r="B187" s="14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>
      <c r="A188" s="14"/>
      <c r="B188" s="14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>
      <c r="A189" s="14"/>
      <c r="B189" s="14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>
      <c r="A190" s="14"/>
      <c r="B190" s="14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>
      <c r="A191" s="14"/>
      <c r="B191" s="14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>
      <c r="A192" s="14"/>
      <c r="B192" s="14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>
      <c r="A193" s="14"/>
      <c r="B193" s="14"/>
      <c r="C193" s="39"/>
      <c r="D193" s="39"/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>
      <c r="A194" s="14"/>
      <c r="B194" s="14"/>
      <c r="C194" s="39"/>
      <c r="D194" s="39"/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>
      <c r="A195" s="14"/>
      <c r="B195" s="14"/>
      <c r="C195" s="39"/>
      <c r="D195" s="39"/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>
      <c r="A196" s="14"/>
      <c r="B196" s="14"/>
      <c r="C196" s="39"/>
      <c r="D196" s="39"/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>
      <c r="A197" s="14"/>
      <c r="B197" s="14"/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>
      <c r="A198" s="14"/>
      <c r="B198" s="14"/>
      <c r="C198" s="39"/>
      <c r="D198" s="39"/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>
      <c r="A199" s="14"/>
      <c r="B199" s="14"/>
      <c r="C199" s="39"/>
      <c r="D199" s="39"/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>
      <c r="A200" s="14"/>
      <c r="B200" s="14"/>
      <c r="C200" s="39"/>
      <c r="D200" s="39"/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>
      <c r="A201" s="14"/>
      <c r="B201" s="14"/>
      <c r="C201" s="39"/>
      <c r="D201" s="39"/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>
      <c r="A202" s="14"/>
      <c r="B202" s="14"/>
      <c r="C202" s="39"/>
      <c r="D202" s="39"/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>
      <c r="A203" s="14"/>
      <c r="B203" s="14"/>
      <c r="C203" s="39"/>
      <c r="D203" s="39"/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>
      <c r="A204" s="14"/>
      <c r="B204" s="14"/>
      <c r="C204" s="39"/>
      <c r="D204" s="39"/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>
      <c r="A205" s="14"/>
      <c r="B205" s="14"/>
      <c r="C205" s="39"/>
      <c r="D205" s="39"/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>
      <c r="A206" s="14"/>
      <c r="B206" s="14"/>
      <c r="C206" s="39"/>
      <c r="D206" s="39"/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>
      <c r="A207" s="14"/>
      <c r="B207" s="14"/>
      <c r="C207" s="39"/>
      <c r="D207" s="39"/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>
      <c r="A208" s="14"/>
      <c r="B208" s="14"/>
      <c r="C208" s="39"/>
      <c r="D208" s="39"/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>
      <c r="A209" s="14"/>
      <c r="B209" s="14"/>
      <c r="C209" s="39"/>
      <c r="D209" s="39"/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>
      <c r="A210" s="14"/>
      <c r="B210" s="14"/>
      <c r="C210" s="39"/>
      <c r="D210" s="39"/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>
      <c r="A211" s="14"/>
      <c r="B211" s="14"/>
      <c r="C211" s="39"/>
      <c r="D211" s="39"/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>
      <c r="A212" s="14"/>
      <c r="B212" s="14"/>
      <c r="C212" s="39"/>
      <c r="D212" s="39"/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>
      <c r="A213" s="14"/>
      <c r="B213" s="14"/>
      <c r="C213" s="39"/>
      <c r="D213" s="39"/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>
      <c r="A214" s="14"/>
      <c r="B214" s="14"/>
      <c r="C214" s="39"/>
      <c r="D214" s="39"/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>
      <c r="A215" s="14"/>
      <c r="B215" s="14"/>
      <c r="C215" s="39"/>
      <c r="D215" s="39"/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>
      <c r="A216" s="14"/>
      <c r="B216" s="14"/>
      <c r="C216" s="39"/>
      <c r="D216" s="39"/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>
      <c r="A217" s="14"/>
      <c r="B217" s="14"/>
      <c r="C217" s="39"/>
      <c r="D217" s="39"/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>
      <c r="A218" s="14"/>
      <c r="B218" s="14"/>
      <c r="C218" s="39"/>
      <c r="D218" s="39"/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>
      <c r="A219" s="14"/>
      <c r="B219" s="14"/>
      <c r="C219" s="39"/>
      <c r="D219" s="39"/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>
      <c r="A220" s="14"/>
      <c r="B220" s="14"/>
      <c r="C220" s="39"/>
      <c r="D220" s="39"/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>
      <c r="R221" s="30"/>
      <c r="S221" s="40"/>
    </row>
    <row r="222" spans="1:33" ht="15.75" customHeight="1">
      <c r="R222" s="30"/>
      <c r="S222" s="40"/>
    </row>
    <row r="223" spans="1:33" ht="15.75" customHeight="1">
      <c r="R223" s="30"/>
      <c r="S223" s="40"/>
    </row>
    <row r="224" spans="1:33" ht="15.75" customHeight="1">
      <c r="R224" s="30"/>
      <c r="S224" s="40"/>
    </row>
    <row r="225" spans="18:18" ht="15.75" customHeight="1">
      <c r="R225" s="30"/>
    </row>
    <row r="226" spans="18:18" ht="15.75" customHeight="1">
      <c r="R226" s="30"/>
    </row>
    <row r="227" spans="18:18" ht="15.75" customHeight="1">
      <c r="R227" s="30"/>
    </row>
    <row r="228" spans="18:18" ht="15.75" customHeight="1">
      <c r="R228" s="30"/>
    </row>
    <row r="229" spans="18:18" ht="15.75" customHeight="1">
      <c r="R229" s="30"/>
    </row>
    <row r="230" spans="18:18" ht="15.75" customHeight="1">
      <c r="R230" s="30"/>
    </row>
    <row r="231" spans="18:18" ht="15.75" customHeight="1">
      <c r="R231" s="30"/>
    </row>
    <row r="232" spans="18:18" ht="15.75" customHeight="1">
      <c r="R232" s="30"/>
    </row>
    <row r="233" spans="18:18" ht="15.75" customHeight="1">
      <c r="R233" s="30"/>
    </row>
    <row r="234" spans="18:18" ht="15.75" customHeight="1">
      <c r="R234" s="30"/>
    </row>
    <row r="235" spans="18:18" ht="15.75" customHeight="1">
      <c r="R235" s="30"/>
    </row>
    <row r="236" spans="18:18" ht="15.75" customHeight="1">
      <c r="R236" s="30"/>
    </row>
    <row r="237" spans="18:18" ht="15.75" customHeight="1">
      <c r="R237" s="30"/>
    </row>
    <row r="238" spans="18:18" ht="15.75" customHeight="1">
      <c r="R238" s="30"/>
    </row>
    <row r="239" spans="18:18" ht="15.75" customHeight="1">
      <c r="R239" s="30"/>
    </row>
    <row r="240" spans="18:18" ht="15.75" customHeight="1">
      <c r="R240" s="30"/>
    </row>
    <row r="241" spans="18:18" ht="15.75" customHeight="1">
      <c r="R241" s="30"/>
    </row>
    <row r="242" spans="18:18" ht="15.75" customHeight="1">
      <c r="R242" s="30"/>
    </row>
    <row r="243" spans="18:18" ht="15.75" customHeight="1">
      <c r="R243" s="30"/>
    </row>
    <row r="244" spans="18:18" ht="15.75" customHeight="1">
      <c r="R244" s="30"/>
    </row>
    <row r="245" spans="18:18" ht="15.75" customHeight="1">
      <c r="R245" s="30"/>
    </row>
    <row r="246" spans="18:18" ht="15.75" customHeight="1">
      <c r="R246" s="30"/>
    </row>
    <row r="247" spans="18:18" ht="15.75" customHeight="1">
      <c r="R247" s="30"/>
    </row>
    <row r="248" spans="18:18" ht="15.75" customHeight="1">
      <c r="R248" s="30"/>
    </row>
    <row r="249" spans="18:18" ht="15.75" customHeight="1">
      <c r="R249" s="30"/>
    </row>
    <row r="250" spans="18:18" ht="15.75" customHeight="1">
      <c r="R250" s="30"/>
    </row>
    <row r="251" spans="18:18" ht="15.75" customHeight="1">
      <c r="R251" s="30"/>
    </row>
    <row r="252" spans="18:18" ht="15.75" customHeight="1">
      <c r="R252" s="30"/>
    </row>
    <row r="253" spans="18:18" ht="15.75" customHeight="1">
      <c r="R253" s="30"/>
    </row>
    <row r="254" spans="18:18" ht="15.75" customHeight="1">
      <c r="R254" s="30"/>
    </row>
    <row r="255" spans="18:18" ht="15.75" customHeight="1">
      <c r="R255" s="30"/>
    </row>
    <row r="256" spans="18:18" ht="15.75" customHeight="1">
      <c r="R256" s="30"/>
    </row>
    <row r="257" spans="18:18" ht="15.75" customHeight="1">
      <c r="R257" s="30"/>
    </row>
    <row r="258" spans="18:18" ht="15.75" customHeight="1">
      <c r="R258" s="30"/>
    </row>
    <row r="259" spans="18:18" ht="15.75" customHeight="1">
      <c r="R259" s="30"/>
    </row>
    <row r="260" spans="18:18" ht="15.75" customHeight="1">
      <c r="R260" s="30"/>
    </row>
    <row r="261" spans="18:18" ht="15.75" customHeight="1">
      <c r="R261" s="30"/>
    </row>
    <row r="262" spans="18:18" ht="15.75" customHeight="1">
      <c r="R262" s="30"/>
    </row>
    <row r="263" spans="18:18" ht="15.75" customHeight="1">
      <c r="R263" s="30"/>
    </row>
    <row r="264" spans="18:18" ht="15.75" customHeight="1">
      <c r="R264" s="30"/>
    </row>
    <row r="265" spans="18:18" ht="15.75" customHeight="1">
      <c r="R265" s="30"/>
    </row>
    <row r="266" spans="18:18" ht="15.75" customHeight="1">
      <c r="R266" s="30"/>
    </row>
    <row r="267" spans="18:18" ht="15.75" customHeight="1">
      <c r="R267" s="30"/>
    </row>
    <row r="268" spans="18:18" ht="15.75" customHeight="1">
      <c r="R268" s="30"/>
    </row>
    <row r="269" spans="18:18" ht="15.75" customHeight="1">
      <c r="R269" s="30"/>
    </row>
    <row r="270" spans="18:18" ht="15.75" customHeight="1">
      <c r="R270" s="30"/>
    </row>
    <row r="271" spans="18:18" ht="15.75" customHeight="1">
      <c r="R271" s="30"/>
    </row>
    <row r="272" spans="18:18" ht="15.75" customHeight="1">
      <c r="R272" s="30"/>
    </row>
    <row r="273" spans="18:18" ht="15.75" customHeight="1">
      <c r="R273" s="30"/>
    </row>
    <row r="274" spans="18:18" ht="15.75" customHeight="1">
      <c r="R274" s="30"/>
    </row>
    <row r="275" spans="18:18" ht="15.75" customHeight="1">
      <c r="R275" s="30"/>
    </row>
    <row r="276" spans="18:18" ht="15.75" customHeight="1">
      <c r="R276" s="30"/>
    </row>
    <row r="277" spans="18:18" ht="15.75" customHeight="1">
      <c r="R277" s="30"/>
    </row>
    <row r="278" spans="18:18" ht="15.75" customHeight="1">
      <c r="R278" s="30"/>
    </row>
    <row r="279" spans="18:18" ht="15.75" customHeight="1">
      <c r="R279" s="30"/>
    </row>
    <row r="280" spans="18:18" ht="15.75" customHeight="1">
      <c r="R280" s="30"/>
    </row>
    <row r="281" spans="18:18" ht="15.75" customHeight="1">
      <c r="R281" s="30"/>
    </row>
    <row r="282" spans="18:18" ht="15.75" customHeight="1">
      <c r="R282" s="30"/>
    </row>
    <row r="283" spans="18:18" ht="15.75" customHeight="1">
      <c r="R283" s="30"/>
    </row>
    <row r="284" spans="18:18" ht="15.75" customHeight="1">
      <c r="R284" s="30"/>
    </row>
    <row r="285" spans="18:18" ht="15.75" customHeight="1">
      <c r="R285" s="30"/>
    </row>
    <row r="286" spans="18:18" ht="15.75" customHeight="1">
      <c r="R286" s="30"/>
    </row>
    <row r="287" spans="18:18" ht="15.75" customHeight="1">
      <c r="R287" s="30"/>
    </row>
    <row r="288" spans="18:18" ht="15.75" customHeight="1">
      <c r="R288" s="30"/>
    </row>
    <row r="289" spans="18:18" ht="15.75" customHeight="1">
      <c r="R289" s="30"/>
    </row>
    <row r="290" spans="18:18" ht="15.75" customHeight="1">
      <c r="R290" s="30"/>
    </row>
    <row r="291" spans="18:18" ht="15.75" customHeight="1">
      <c r="R291" s="30"/>
    </row>
    <row r="292" spans="18:18" ht="15.75" customHeight="1">
      <c r="R292" s="30"/>
    </row>
    <row r="293" spans="18:18" ht="15.75" customHeight="1">
      <c r="R293" s="30"/>
    </row>
    <row r="294" spans="18:18" ht="15.75" customHeight="1">
      <c r="R294" s="30"/>
    </row>
    <row r="295" spans="18:18" ht="15.75" customHeight="1">
      <c r="R295" s="30"/>
    </row>
    <row r="296" spans="18:18" ht="15.75" customHeight="1">
      <c r="R296" s="30"/>
    </row>
    <row r="297" spans="18:18" ht="15.75" customHeight="1">
      <c r="R297" s="30"/>
    </row>
    <row r="298" spans="18:18" ht="15.75" customHeight="1">
      <c r="R298" s="30"/>
    </row>
    <row r="299" spans="18:18" ht="15.75" customHeight="1">
      <c r="R299" s="30"/>
    </row>
    <row r="300" spans="18:18" ht="15.75" customHeight="1">
      <c r="R300" s="30"/>
    </row>
    <row r="301" spans="18:18" ht="15.75" customHeight="1">
      <c r="R301" s="30"/>
    </row>
    <row r="302" spans="18:18" ht="15.75" customHeight="1">
      <c r="R302" s="30"/>
    </row>
    <row r="303" spans="18:18" ht="15.75" customHeight="1">
      <c r="R303" s="30"/>
    </row>
    <row r="304" spans="18:18" ht="15.75" customHeight="1">
      <c r="R304" s="30"/>
    </row>
    <row r="305" spans="18:18" ht="15.75" customHeight="1">
      <c r="R305" s="30"/>
    </row>
    <row r="306" spans="18:18" ht="15.75" customHeight="1">
      <c r="R306" s="30"/>
    </row>
    <row r="307" spans="18:18" ht="15.75" customHeight="1">
      <c r="R307" s="30"/>
    </row>
    <row r="308" spans="18:18" ht="15.75" customHeight="1">
      <c r="R308" s="30"/>
    </row>
    <row r="309" spans="18:18" ht="15.75" customHeight="1">
      <c r="R309" s="30"/>
    </row>
    <row r="310" spans="18:18" ht="15.75" customHeight="1">
      <c r="R310" s="30"/>
    </row>
    <row r="311" spans="18:18" ht="15.75" customHeight="1">
      <c r="R311" s="30"/>
    </row>
    <row r="312" spans="18:18" ht="15.75" customHeight="1">
      <c r="R312" s="30"/>
    </row>
    <row r="313" spans="18:18" ht="15.75" customHeight="1">
      <c r="R313" s="30"/>
    </row>
    <row r="314" spans="18:18" ht="15.75" customHeight="1">
      <c r="R314" s="30"/>
    </row>
    <row r="315" spans="18:18" ht="15.75" customHeight="1">
      <c r="R315" s="30"/>
    </row>
    <row r="316" spans="18:18" ht="15.75" customHeight="1">
      <c r="R316" s="30"/>
    </row>
    <row r="317" spans="18:18" ht="15.75" customHeight="1">
      <c r="R317" s="30"/>
    </row>
    <row r="318" spans="18:18" ht="15.75" customHeight="1">
      <c r="R318" s="30"/>
    </row>
    <row r="319" spans="18:18" ht="15.75" customHeight="1">
      <c r="R319" s="30"/>
    </row>
    <row r="320" spans="18:18" ht="15.75" customHeight="1">
      <c r="R320" s="30"/>
    </row>
    <row r="321" spans="18:18" ht="15.75" customHeight="1">
      <c r="R321" s="30"/>
    </row>
    <row r="322" spans="18:18" ht="15.75" customHeight="1">
      <c r="R322" s="30"/>
    </row>
    <row r="323" spans="18:18" ht="15.75" customHeight="1">
      <c r="R323" s="30"/>
    </row>
    <row r="324" spans="18:18" ht="15.75" customHeight="1">
      <c r="R324" s="30"/>
    </row>
    <row r="325" spans="18:18" ht="15.75" customHeight="1">
      <c r="R325" s="30"/>
    </row>
    <row r="326" spans="18:18" ht="15.75" customHeight="1">
      <c r="R326" s="30"/>
    </row>
    <row r="327" spans="18:18" ht="15.75" customHeight="1">
      <c r="R327" s="30"/>
    </row>
    <row r="328" spans="18:18" ht="15.75" customHeight="1">
      <c r="R328" s="30"/>
    </row>
    <row r="329" spans="18:18" ht="15.75" customHeight="1">
      <c r="R329" s="30"/>
    </row>
    <row r="330" spans="18:18" ht="15.75" customHeight="1">
      <c r="R330" s="30"/>
    </row>
    <row r="331" spans="18:18" ht="15.75" customHeight="1">
      <c r="R331" s="30"/>
    </row>
    <row r="332" spans="18:18" ht="15.75" customHeight="1">
      <c r="R332" s="30"/>
    </row>
    <row r="333" spans="18:18" ht="15.75" customHeight="1">
      <c r="R333" s="30"/>
    </row>
    <row r="334" spans="18:18" ht="15.75" customHeight="1">
      <c r="R334" s="30"/>
    </row>
    <row r="335" spans="18:18" ht="15.75" customHeight="1">
      <c r="R335" s="30"/>
    </row>
    <row r="336" spans="18:18" ht="15.75" customHeight="1">
      <c r="R336" s="30"/>
    </row>
    <row r="337" spans="18:18" ht="15.75" customHeight="1">
      <c r="R337" s="30"/>
    </row>
    <row r="338" spans="18:18" ht="15.75" customHeight="1">
      <c r="R338" s="30"/>
    </row>
    <row r="339" spans="18:18" ht="15.75" customHeight="1">
      <c r="R339" s="30"/>
    </row>
    <row r="340" spans="18:18" ht="15.75" customHeight="1">
      <c r="R340" s="30"/>
    </row>
    <row r="341" spans="18:18" ht="15.75" customHeight="1">
      <c r="R341" s="30"/>
    </row>
    <row r="342" spans="18:18" ht="15.75" customHeight="1">
      <c r="R342" s="30"/>
    </row>
    <row r="343" spans="18:18" ht="15.75" customHeight="1">
      <c r="R343" s="30"/>
    </row>
    <row r="344" spans="18:18" ht="15.75" customHeight="1">
      <c r="R344" s="30"/>
    </row>
    <row r="345" spans="18:18" ht="15.75" customHeight="1">
      <c r="R345" s="30"/>
    </row>
    <row r="346" spans="18:18" ht="15.75" customHeight="1">
      <c r="R346" s="30"/>
    </row>
    <row r="347" spans="18:18" ht="15.75" customHeight="1">
      <c r="R347" s="30"/>
    </row>
    <row r="348" spans="18:18" ht="15.75" customHeight="1">
      <c r="R348" s="30"/>
    </row>
    <row r="349" spans="18:18" ht="15.75" customHeight="1">
      <c r="R349" s="30"/>
    </row>
    <row r="350" spans="18:18" ht="15.75" customHeight="1">
      <c r="R350" s="30"/>
    </row>
    <row r="351" spans="18:18" ht="15.75" customHeight="1">
      <c r="R351" s="30"/>
    </row>
    <row r="352" spans="18:18" ht="15.75" customHeight="1">
      <c r="R352" s="30"/>
    </row>
    <row r="353" spans="18:18" ht="15.75" customHeight="1">
      <c r="R353" s="30"/>
    </row>
    <row r="354" spans="18:18" ht="15.75" customHeight="1">
      <c r="R354" s="30"/>
    </row>
    <row r="355" spans="18:18" ht="15.75" customHeight="1">
      <c r="R355" s="30"/>
    </row>
    <row r="356" spans="18:18" ht="15.75" customHeight="1">
      <c r="R356" s="30"/>
    </row>
    <row r="357" spans="18:18" ht="15.75" customHeight="1">
      <c r="R357" s="30"/>
    </row>
    <row r="358" spans="18:18" ht="15.75" customHeight="1">
      <c r="R358" s="30"/>
    </row>
    <row r="359" spans="18:18" ht="15.75" customHeight="1">
      <c r="R359" s="30"/>
    </row>
    <row r="360" spans="18:18" ht="15.75" customHeight="1">
      <c r="R360" s="30"/>
    </row>
    <row r="361" spans="18:18" ht="15.75" customHeight="1">
      <c r="R361" s="30"/>
    </row>
    <row r="362" spans="18:18" ht="15.75" customHeight="1">
      <c r="R362" s="30"/>
    </row>
    <row r="363" spans="18:18" ht="15.75" customHeight="1">
      <c r="R363" s="30"/>
    </row>
    <row r="364" spans="18:18" ht="15.75" customHeight="1">
      <c r="R364" s="30"/>
    </row>
    <row r="365" spans="18:18" ht="15.75" customHeight="1">
      <c r="R365" s="30"/>
    </row>
    <row r="366" spans="18:18" ht="15.75" customHeight="1">
      <c r="R366" s="30"/>
    </row>
    <row r="367" spans="18:18" ht="15.75" customHeight="1">
      <c r="R367" s="30"/>
    </row>
    <row r="368" spans="18:18" ht="15.75" customHeight="1">
      <c r="R368" s="30"/>
    </row>
    <row r="369" spans="18:18" ht="15.75" customHeight="1">
      <c r="R369" s="30"/>
    </row>
    <row r="370" spans="18:18" ht="15.75" customHeight="1">
      <c r="R370" s="30"/>
    </row>
    <row r="371" spans="18:18" ht="15.75" customHeight="1">
      <c r="R371" s="30"/>
    </row>
    <row r="372" spans="18:18" ht="15.75" customHeight="1">
      <c r="R372" s="30"/>
    </row>
    <row r="373" spans="18:18" ht="15.75" customHeight="1">
      <c r="R373" s="30"/>
    </row>
    <row r="374" spans="18:18" ht="15.75" customHeight="1">
      <c r="R374" s="30"/>
    </row>
    <row r="375" spans="18:18" ht="15.75" customHeight="1">
      <c r="R375" s="30"/>
    </row>
    <row r="376" spans="18:18" ht="15.75" customHeight="1">
      <c r="R376" s="30"/>
    </row>
    <row r="377" spans="18:18" ht="15.75" customHeight="1">
      <c r="R377" s="30"/>
    </row>
    <row r="378" spans="18:18" ht="15.75" customHeight="1">
      <c r="R378" s="30"/>
    </row>
    <row r="379" spans="18:18" ht="15.75" customHeight="1">
      <c r="R379" s="30"/>
    </row>
    <row r="380" spans="18:18" ht="15.75" customHeight="1">
      <c r="R380" s="30"/>
    </row>
    <row r="381" spans="18:18" ht="15.75" customHeight="1">
      <c r="R381" s="30"/>
    </row>
    <row r="382" spans="18:18" ht="15.75" customHeight="1">
      <c r="R382" s="30"/>
    </row>
    <row r="383" spans="18:18" ht="15.75" customHeight="1">
      <c r="R383" s="30"/>
    </row>
    <row r="384" spans="18:18" ht="15.75" customHeight="1">
      <c r="R384" s="30"/>
    </row>
    <row r="385" spans="18:18" ht="15.75" customHeight="1">
      <c r="R385" s="30"/>
    </row>
    <row r="386" spans="18:18" ht="15.75" customHeight="1">
      <c r="R386" s="30"/>
    </row>
    <row r="387" spans="18:18" ht="15.75" customHeight="1">
      <c r="R387" s="30"/>
    </row>
    <row r="388" spans="18:18" ht="15.75" customHeight="1">
      <c r="R388" s="30"/>
    </row>
    <row r="389" spans="18:18" ht="15.75" customHeight="1">
      <c r="R389" s="30"/>
    </row>
    <row r="390" spans="18:18" ht="15.75" customHeight="1">
      <c r="R390" s="30"/>
    </row>
    <row r="391" spans="18:18" ht="15.75" customHeight="1">
      <c r="R391" s="30"/>
    </row>
    <row r="392" spans="18:18" ht="15.75" customHeight="1">
      <c r="R392" s="30"/>
    </row>
    <row r="393" spans="18:18" ht="15.75" customHeight="1">
      <c r="R393" s="30"/>
    </row>
    <row r="394" spans="18:18" ht="15.75" customHeight="1">
      <c r="R394" s="30"/>
    </row>
    <row r="395" spans="18:18" ht="15.75" customHeight="1">
      <c r="R395" s="30"/>
    </row>
    <row r="396" spans="18:18" ht="15.75" customHeight="1">
      <c r="R396" s="30"/>
    </row>
    <row r="397" spans="18:18" ht="15.75" customHeight="1">
      <c r="R397" s="30"/>
    </row>
    <row r="398" spans="18:18" ht="15.75" customHeight="1">
      <c r="R398" s="30"/>
    </row>
    <row r="399" spans="18:18" ht="15.75" customHeight="1">
      <c r="R399" s="30"/>
    </row>
    <row r="400" spans="18:18" ht="15.75" customHeight="1">
      <c r="R400" s="30"/>
    </row>
    <row r="401" spans="18:18" ht="15.75" customHeight="1">
      <c r="R401" s="30"/>
    </row>
    <row r="402" spans="18:18" ht="15.75" customHeight="1">
      <c r="R402" s="30"/>
    </row>
    <row r="403" spans="18:18" ht="15.75" customHeight="1">
      <c r="R403" s="30"/>
    </row>
    <row r="404" spans="18:18" ht="15.75" customHeight="1">
      <c r="R404" s="30"/>
    </row>
    <row r="405" spans="18:18" ht="15.75" customHeight="1">
      <c r="R405" s="30"/>
    </row>
    <row r="406" spans="18:18" ht="15.75" customHeight="1">
      <c r="R406" s="30"/>
    </row>
    <row r="407" spans="18:18" ht="15.75" customHeight="1">
      <c r="R407" s="30"/>
    </row>
    <row r="408" spans="18:18" ht="15.75" customHeight="1">
      <c r="R408" s="30"/>
    </row>
    <row r="409" spans="18:18" ht="15.75" customHeight="1">
      <c r="R409" s="30"/>
    </row>
    <row r="410" spans="18:18" ht="15.75" customHeight="1">
      <c r="R410" s="30"/>
    </row>
    <row r="411" spans="18:18" ht="15.75" customHeight="1">
      <c r="R411" s="30"/>
    </row>
    <row r="412" spans="18:18" ht="15.75" customHeight="1">
      <c r="R412" s="30"/>
    </row>
    <row r="413" spans="18:18" ht="15.75" customHeight="1">
      <c r="R413" s="30"/>
    </row>
    <row r="414" spans="18:18" ht="15.75" customHeight="1">
      <c r="R414" s="30"/>
    </row>
    <row r="415" spans="18:18" ht="15.75" customHeight="1">
      <c r="R415" s="30"/>
    </row>
    <row r="416" spans="18:18" ht="15.75" customHeight="1">
      <c r="R416" s="30"/>
    </row>
    <row r="417" spans="18:18" ht="15.75" customHeight="1">
      <c r="R417" s="30"/>
    </row>
    <row r="418" spans="18:18" ht="15.75" customHeight="1">
      <c r="R418" s="30"/>
    </row>
    <row r="419" spans="18:18" ht="15.75" customHeight="1">
      <c r="R419" s="30"/>
    </row>
    <row r="420" spans="18:18" ht="15.75" customHeight="1">
      <c r="R420" s="30"/>
    </row>
    <row r="421" spans="18:18" ht="15.75" customHeight="1">
      <c r="R421" s="30"/>
    </row>
    <row r="422" spans="18:18" ht="15.75" customHeight="1">
      <c r="R422" s="30"/>
    </row>
    <row r="423" spans="18:18" ht="15.75" customHeight="1">
      <c r="R423" s="30"/>
    </row>
    <row r="424" spans="18:18" ht="15.75" customHeight="1">
      <c r="R424" s="30"/>
    </row>
    <row r="425" spans="18:18" ht="15.75" customHeight="1">
      <c r="R425" s="30"/>
    </row>
    <row r="426" spans="18:18" ht="15.75" customHeight="1">
      <c r="R426" s="30"/>
    </row>
    <row r="427" spans="18:18" ht="15.75" customHeight="1">
      <c r="R427" s="30"/>
    </row>
    <row r="428" spans="18:18" ht="15.75" customHeight="1">
      <c r="R428" s="30"/>
    </row>
    <row r="429" spans="18:18" ht="15.75" customHeight="1">
      <c r="R429" s="30"/>
    </row>
    <row r="430" spans="18:18" ht="15.75" customHeight="1">
      <c r="R430" s="30"/>
    </row>
    <row r="431" spans="18:18" ht="15.75" customHeight="1">
      <c r="R431" s="30"/>
    </row>
    <row r="432" spans="18:18" ht="15.75" customHeight="1">
      <c r="R432" s="30"/>
    </row>
    <row r="433" spans="18:18" ht="15.75" customHeight="1">
      <c r="R433" s="30"/>
    </row>
    <row r="434" spans="18:18" ht="15.75" customHeight="1">
      <c r="R434" s="30"/>
    </row>
    <row r="435" spans="18:18" ht="15.75" customHeight="1">
      <c r="R435" s="30"/>
    </row>
    <row r="436" spans="18:18" ht="15.75" customHeight="1">
      <c r="R436" s="30"/>
    </row>
    <row r="437" spans="18:18" ht="15.75" customHeight="1">
      <c r="R437" s="30"/>
    </row>
    <row r="438" spans="18:18" ht="15.75" customHeight="1">
      <c r="R438" s="30"/>
    </row>
    <row r="439" spans="18:18" ht="15.75" customHeight="1">
      <c r="R439" s="30"/>
    </row>
    <row r="440" spans="18:18" ht="15.75" customHeight="1">
      <c r="R440" s="30"/>
    </row>
    <row r="441" spans="18:18" ht="15.75" customHeight="1">
      <c r="R441" s="30"/>
    </row>
    <row r="442" spans="18:18" ht="15.75" customHeight="1">
      <c r="R442" s="30"/>
    </row>
    <row r="443" spans="18:18" ht="15.75" customHeight="1">
      <c r="R443" s="30"/>
    </row>
    <row r="444" spans="18:18" ht="15.75" customHeight="1">
      <c r="R444" s="30"/>
    </row>
    <row r="445" spans="18:18" ht="15.75" customHeight="1">
      <c r="R445" s="30"/>
    </row>
    <row r="446" spans="18:18" ht="15.75" customHeight="1">
      <c r="R446" s="30"/>
    </row>
    <row r="447" spans="18:18" ht="15.75" customHeight="1">
      <c r="R447" s="30"/>
    </row>
    <row r="448" spans="18:18" ht="15.75" customHeight="1">
      <c r="R448" s="30"/>
    </row>
    <row r="449" spans="18:18" ht="15.75" customHeight="1">
      <c r="R449" s="30"/>
    </row>
    <row r="450" spans="18:18" ht="15.75" customHeight="1">
      <c r="R450" s="30"/>
    </row>
    <row r="451" spans="18:18" ht="15.75" customHeight="1">
      <c r="R451" s="30"/>
    </row>
    <row r="452" spans="18:18" ht="15.75" customHeight="1">
      <c r="R452" s="30"/>
    </row>
    <row r="453" spans="18:18" ht="15.75" customHeight="1">
      <c r="R453" s="30"/>
    </row>
    <row r="454" spans="18:18" ht="15.75" customHeight="1">
      <c r="R454" s="30"/>
    </row>
    <row r="455" spans="18:18" ht="15.75" customHeight="1">
      <c r="R455" s="30"/>
    </row>
    <row r="456" spans="18:18" ht="15.75" customHeight="1">
      <c r="R456" s="30"/>
    </row>
    <row r="457" spans="18:18" ht="15.75" customHeight="1">
      <c r="R457" s="30"/>
    </row>
    <row r="458" spans="18:18" ht="15.75" customHeight="1">
      <c r="R458" s="30"/>
    </row>
    <row r="459" spans="18:18" ht="15.75" customHeight="1">
      <c r="R459" s="30"/>
    </row>
    <row r="460" spans="18:18" ht="15.75" customHeight="1">
      <c r="R460" s="30"/>
    </row>
    <row r="461" spans="18:18" ht="15.75" customHeight="1">
      <c r="R461" s="30"/>
    </row>
    <row r="462" spans="18:18" ht="15.75" customHeight="1">
      <c r="R462" s="30"/>
    </row>
    <row r="463" spans="18:18" ht="15.75" customHeight="1">
      <c r="R463" s="30"/>
    </row>
    <row r="464" spans="18:18" ht="15.75" customHeight="1">
      <c r="R464" s="30"/>
    </row>
    <row r="465" spans="18:18" ht="15.75" customHeight="1">
      <c r="R465" s="30"/>
    </row>
    <row r="466" spans="18:18" ht="15.75" customHeight="1">
      <c r="R466" s="30"/>
    </row>
    <row r="467" spans="18:18" ht="15.75" customHeight="1">
      <c r="R467" s="30"/>
    </row>
    <row r="468" spans="18:18" ht="15.75" customHeight="1">
      <c r="R468" s="30"/>
    </row>
    <row r="469" spans="18:18" ht="15.75" customHeight="1">
      <c r="R469" s="30"/>
    </row>
    <row r="470" spans="18:18" ht="15.75" customHeight="1">
      <c r="R470" s="30"/>
    </row>
    <row r="471" spans="18:18" ht="15.75" customHeight="1">
      <c r="R471" s="30"/>
    </row>
    <row r="472" spans="18:18" ht="15.75" customHeight="1">
      <c r="R472" s="30"/>
    </row>
    <row r="473" spans="18:18" ht="15.75" customHeight="1">
      <c r="R473" s="30"/>
    </row>
    <row r="474" spans="18:18" ht="15.75" customHeight="1">
      <c r="R474" s="30"/>
    </row>
    <row r="475" spans="18:18" ht="15.75" customHeight="1">
      <c r="R475" s="30"/>
    </row>
    <row r="476" spans="18:18" ht="15.75" customHeight="1">
      <c r="R476" s="30"/>
    </row>
    <row r="477" spans="18:18" ht="15.75" customHeight="1">
      <c r="R477" s="30"/>
    </row>
    <row r="478" spans="18:18" ht="15.75" customHeight="1">
      <c r="R478" s="30"/>
    </row>
    <row r="479" spans="18:18" ht="15.75" customHeight="1">
      <c r="R479" s="30"/>
    </row>
    <row r="480" spans="18:18" ht="15.75" customHeight="1">
      <c r="R480" s="30"/>
    </row>
    <row r="481" spans="18:18" ht="15.75" customHeight="1">
      <c r="R481" s="30"/>
    </row>
    <row r="482" spans="18:18" ht="15.75" customHeight="1">
      <c r="R482" s="30"/>
    </row>
    <row r="483" spans="18:18" ht="15.75" customHeight="1">
      <c r="R483" s="30"/>
    </row>
    <row r="484" spans="18:18" ht="15.75" customHeight="1">
      <c r="R484" s="30"/>
    </row>
    <row r="485" spans="18:18" ht="15.75" customHeight="1">
      <c r="R485" s="30"/>
    </row>
    <row r="486" spans="18:18" ht="15.75" customHeight="1">
      <c r="R486" s="30"/>
    </row>
    <row r="487" spans="18:18" ht="15.75" customHeight="1">
      <c r="R487" s="30"/>
    </row>
    <row r="488" spans="18:18" ht="15.75" customHeight="1">
      <c r="R488" s="30"/>
    </row>
    <row r="489" spans="18:18" ht="15.75" customHeight="1">
      <c r="R489" s="30"/>
    </row>
    <row r="490" spans="18:18" ht="15.75" customHeight="1">
      <c r="R490" s="30"/>
    </row>
    <row r="491" spans="18:18" ht="15.75" customHeight="1">
      <c r="R491" s="30"/>
    </row>
    <row r="492" spans="18:18" ht="15.75" customHeight="1">
      <c r="R492" s="30"/>
    </row>
    <row r="493" spans="18:18" ht="15.75" customHeight="1">
      <c r="R493" s="30"/>
    </row>
    <row r="494" spans="18:18" ht="15.75" customHeight="1">
      <c r="R494" s="30"/>
    </row>
    <row r="495" spans="18:18" ht="15.75" customHeight="1">
      <c r="R495" s="30"/>
    </row>
    <row r="496" spans="18:18" ht="15.75" customHeight="1">
      <c r="R496" s="30"/>
    </row>
    <row r="497" spans="18:18" ht="15.75" customHeight="1">
      <c r="R497" s="30"/>
    </row>
    <row r="498" spans="18:18" ht="15.75" customHeight="1">
      <c r="R498" s="30"/>
    </row>
    <row r="499" spans="18:18" ht="15.75" customHeight="1">
      <c r="R499" s="30"/>
    </row>
    <row r="500" spans="18:18" ht="15.75" customHeight="1">
      <c r="R500" s="30"/>
    </row>
    <row r="501" spans="18:18" ht="15.75" customHeight="1">
      <c r="R501" s="30"/>
    </row>
    <row r="502" spans="18:18" ht="15.75" customHeight="1">
      <c r="R502" s="30"/>
    </row>
    <row r="503" spans="18:18" ht="15.75" customHeight="1">
      <c r="R503" s="30"/>
    </row>
    <row r="504" spans="18:18" ht="15.75" customHeight="1">
      <c r="R504" s="30"/>
    </row>
    <row r="505" spans="18:18" ht="15.75" customHeight="1">
      <c r="R505" s="30"/>
    </row>
    <row r="506" spans="18:18" ht="15.75" customHeight="1">
      <c r="R506" s="30"/>
    </row>
    <row r="507" spans="18:18" ht="15.75" customHeight="1">
      <c r="R507" s="30"/>
    </row>
    <row r="508" spans="18:18" ht="15.75" customHeight="1">
      <c r="R508" s="30"/>
    </row>
    <row r="509" spans="18:18" ht="15.75" customHeight="1">
      <c r="R509" s="30"/>
    </row>
    <row r="510" spans="18:18" ht="15.75" customHeight="1">
      <c r="R510" s="30"/>
    </row>
    <row r="511" spans="18:18" ht="15.75" customHeight="1">
      <c r="R511" s="30"/>
    </row>
    <row r="512" spans="18:18" ht="15.75" customHeight="1">
      <c r="R512" s="30"/>
    </row>
    <row r="513" spans="18:18" ht="15.75" customHeight="1">
      <c r="R513" s="30"/>
    </row>
    <row r="514" spans="18:18" ht="15.75" customHeight="1">
      <c r="R514" s="30"/>
    </row>
    <row r="515" spans="18:18" ht="15.75" customHeight="1">
      <c r="R515" s="30"/>
    </row>
    <row r="516" spans="18:18" ht="15.75" customHeight="1">
      <c r="R516" s="30"/>
    </row>
    <row r="517" spans="18:18" ht="15.75" customHeight="1">
      <c r="R517" s="30"/>
    </row>
    <row r="518" spans="18:18" ht="15.75" customHeight="1">
      <c r="R518" s="30"/>
    </row>
    <row r="519" spans="18:18" ht="15.75" customHeight="1">
      <c r="R519" s="30"/>
    </row>
    <row r="520" spans="18:18" ht="15.75" customHeight="1">
      <c r="R520" s="30"/>
    </row>
    <row r="521" spans="18:18" ht="15.75" customHeight="1">
      <c r="R521" s="30"/>
    </row>
    <row r="522" spans="18:18" ht="15.75" customHeight="1">
      <c r="R522" s="30"/>
    </row>
    <row r="523" spans="18:18" ht="15.75" customHeight="1">
      <c r="R523" s="30"/>
    </row>
    <row r="524" spans="18:18" ht="15.75" customHeight="1">
      <c r="R524" s="30"/>
    </row>
    <row r="525" spans="18:18" ht="15.75" customHeight="1">
      <c r="R525" s="30"/>
    </row>
    <row r="526" spans="18:18" ht="15.75" customHeight="1">
      <c r="R526" s="30"/>
    </row>
    <row r="527" spans="18:18" ht="15.75" customHeight="1">
      <c r="R527" s="30"/>
    </row>
    <row r="528" spans="18:18" ht="15.75" customHeight="1">
      <c r="R528" s="30"/>
    </row>
    <row r="529" spans="18:18" ht="15.75" customHeight="1">
      <c r="R529" s="30"/>
    </row>
    <row r="530" spans="18:18" ht="15.75" customHeight="1">
      <c r="R530" s="30"/>
    </row>
    <row r="531" spans="18:18" ht="15.75" customHeight="1">
      <c r="R531" s="30"/>
    </row>
    <row r="532" spans="18:18" ht="15.75" customHeight="1">
      <c r="R532" s="30"/>
    </row>
    <row r="533" spans="18:18" ht="15.75" customHeight="1">
      <c r="R533" s="30"/>
    </row>
    <row r="534" spans="18:18" ht="15.75" customHeight="1">
      <c r="R534" s="30"/>
    </row>
    <row r="535" spans="18:18" ht="15.75" customHeight="1">
      <c r="R535" s="30"/>
    </row>
    <row r="536" spans="18:18" ht="15.75" customHeight="1">
      <c r="R536" s="30"/>
    </row>
    <row r="537" spans="18:18" ht="15.75" customHeight="1">
      <c r="R537" s="30"/>
    </row>
    <row r="538" spans="18:18" ht="15.75" customHeight="1">
      <c r="R538" s="30"/>
    </row>
    <row r="539" spans="18:18" ht="15.75" customHeight="1">
      <c r="R539" s="30"/>
    </row>
    <row r="540" spans="18:18" ht="15.75" customHeight="1">
      <c r="R540" s="30"/>
    </row>
    <row r="541" spans="18:18" ht="15.75" customHeight="1">
      <c r="R541" s="30"/>
    </row>
    <row r="542" spans="18:18" ht="15.75" customHeight="1">
      <c r="R542" s="30"/>
    </row>
    <row r="543" spans="18:18" ht="15.75" customHeight="1">
      <c r="R543" s="30"/>
    </row>
    <row r="544" spans="18:18" ht="15.75" customHeight="1">
      <c r="R544" s="30"/>
    </row>
    <row r="545" spans="18:18" ht="15.75" customHeight="1">
      <c r="R545" s="30"/>
    </row>
    <row r="546" spans="18:18" ht="15.75" customHeight="1">
      <c r="R546" s="30"/>
    </row>
    <row r="547" spans="18:18" ht="15.75" customHeight="1">
      <c r="R547" s="30"/>
    </row>
    <row r="548" spans="18:18" ht="15.75" customHeight="1">
      <c r="R548" s="30"/>
    </row>
    <row r="549" spans="18:18" ht="15.75" customHeight="1">
      <c r="R549" s="30"/>
    </row>
    <row r="550" spans="18:18" ht="15.75" customHeight="1">
      <c r="R550" s="30"/>
    </row>
    <row r="551" spans="18:18" ht="15.75" customHeight="1">
      <c r="R551" s="30"/>
    </row>
    <row r="552" spans="18:18" ht="15.75" customHeight="1">
      <c r="R552" s="30"/>
    </row>
    <row r="553" spans="18:18" ht="15.75" customHeight="1">
      <c r="R553" s="30"/>
    </row>
    <row r="554" spans="18:18" ht="15.75" customHeight="1">
      <c r="R554" s="30"/>
    </row>
    <row r="555" spans="18:18" ht="15.75" customHeight="1">
      <c r="R555" s="30"/>
    </row>
    <row r="556" spans="18:18" ht="15.75" customHeight="1">
      <c r="R556" s="30"/>
    </row>
    <row r="557" spans="18:18" ht="15.75" customHeight="1">
      <c r="R557" s="30"/>
    </row>
    <row r="558" spans="18:18" ht="15.75" customHeight="1">
      <c r="R558" s="30"/>
    </row>
    <row r="559" spans="18:18" ht="15.75" customHeight="1">
      <c r="R559" s="30"/>
    </row>
    <row r="560" spans="18:18" ht="15.75" customHeight="1">
      <c r="R560" s="30"/>
    </row>
    <row r="561" spans="18:18" ht="15.75" customHeight="1">
      <c r="R561" s="30"/>
    </row>
    <row r="562" spans="18:18" ht="15.75" customHeight="1">
      <c r="R562" s="30"/>
    </row>
    <row r="563" spans="18:18" ht="15.75" customHeight="1">
      <c r="R563" s="30"/>
    </row>
    <row r="564" spans="18:18" ht="15.75" customHeight="1">
      <c r="R564" s="30"/>
    </row>
    <row r="565" spans="18:18" ht="15.75" customHeight="1">
      <c r="R565" s="30"/>
    </row>
    <row r="566" spans="18:18" ht="15.75" customHeight="1">
      <c r="R566" s="30"/>
    </row>
    <row r="567" spans="18:18" ht="15.75" customHeight="1">
      <c r="R567" s="30"/>
    </row>
    <row r="568" spans="18:18" ht="15.75" customHeight="1">
      <c r="R568" s="30"/>
    </row>
    <row r="569" spans="18:18" ht="15.75" customHeight="1">
      <c r="R569" s="30"/>
    </row>
    <row r="570" spans="18:18" ht="15.75" customHeight="1">
      <c r="R570" s="30"/>
    </row>
    <row r="571" spans="18:18" ht="15.75" customHeight="1">
      <c r="R571" s="30"/>
    </row>
    <row r="572" spans="18:18" ht="15.75" customHeight="1">
      <c r="R572" s="30"/>
    </row>
    <row r="573" spans="18:18" ht="15.75" customHeight="1">
      <c r="R573" s="30"/>
    </row>
    <row r="574" spans="18:18" ht="15.75" customHeight="1">
      <c r="R574" s="30"/>
    </row>
    <row r="575" spans="18:18" ht="15.75" customHeight="1">
      <c r="R575" s="30"/>
    </row>
    <row r="576" spans="18:18" ht="15.75" customHeight="1">
      <c r="R576" s="30"/>
    </row>
    <row r="577" spans="18:18" ht="15.75" customHeight="1">
      <c r="R577" s="30"/>
    </row>
    <row r="578" spans="18:18" ht="15.75" customHeight="1">
      <c r="R578" s="30"/>
    </row>
    <row r="579" spans="18:18" ht="15.75" customHeight="1">
      <c r="R579" s="30"/>
    </row>
    <row r="580" spans="18:18" ht="15.75" customHeight="1">
      <c r="R580" s="30"/>
    </row>
    <row r="581" spans="18:18" ht="15.75" customHeight="1">
      <c r="R581" s="30"/>
    </row>
    <row r="582" spans="18:18" ht="15.75" customHeight="1">
      <c r="R582" s="30"/>
    </row>
    <row r="583" spans="18:18" ht="15.75" customHeight="1">
      <c r="R583" s="30"/>
    </row>
    <row r="584" spans="18:18" ht="15.75" customHeight="1">
      <c r="R584" s="30"/>
    </row>
    <row r="585" spans="18:18" ht="15.75" customHeight="1">
      <c r="R585" s="30"/>
    </row>
    <row r="586" spans="18:18" ht="15.75" customHeight="1">
      <c r="R586" s="30"/>
    </row>
    <row r="587" spans="18:18" ht="15.75" customHeight="1">
      <c r="R587" s="30"/>
    </row>
    <row r="588" spans="18:18" ht="15.75" customHeight="1">
      <c r="R588" s="30"/>
    </row>
    <row r="589" spans="18:18" ht="15.75" customHeight="1">
      <c r="R589" s="30"/>
    </row>
    <row r="590" spans="18:18" ht="15.75" customHeight="1">
      <c r="R590" s="30"/>
    </row>
    <row r="591" spans="18:18" ht="15.75" customHeight="1">
      <c r="R591" s="30"/>
    </row>
    <row r="592" spans="18:18" ht="15.75" customHeight="1">
      <c r="R592" s="30"/>
    </row>
    <row r="593" spans="18:18" ht="15.75" customHeight="1">
      <c r="R593" s="30"/>
    </row>
    <row r="594" spans="18:18" ht="15.75" customHeight="1">
      <c r="R594" s="30"/>
    </row>
    <row r="595" spans="18:18" ht="15.75" customHeight="1">
      <c r="R595" s="30"/>
    </row>
    <row r="596" spans="18:18" ht="15.75" customHeight="1">
      <c r="R596" s="30"/>
    </row>
    <row r="597" spans="18:18" ht="15.75" customHeight="1">
      <c r="R597" s="30"/>
    </row>
    <row r="598" spans="18:18" ht="15.75" customHeight="1">
      <c r="R598" s="30"/>
    </row>
    <row r="599" spans="18:18" ht="15.75" customHeight="1">
      <c r="R599" s="30"/>
    </row>
    <row r="600" spans="18:18" ht="15.75" customHeight="1">
      <c r="R600" s="30"/>
    </row>
    <row r="601" spans="18:18" ht="15.75" customHeight="1">
      <c r="R601" s="30"/>
    </row>
    <row r="602" spans="18:18" ht="15.75" customHeight="1">
      <c r="R602" s="30"/>
    </row>
    <row r="603" spans="18:18" ht="15.75" customHeight="1">
      <c r="R603" s="30"/>
    </row>
    <row r="604" spans="18:18" ht="15.75" customHeight="1">
      <c r="R604" s="30"/>
    </row>
    <row r="605" spans="18:18" ht="15.75" customHeight="1">
      <c r="R605" s="30"/>
    </row>
    <row r="606" spans="18:18" ht="15.75" customHeight="1">
      <c r="R606" s="30"/>
    </row>
    <row r="607" spans="18:18" ht="15.75" customHeight="1">
      <c r="R607" s="30"/>
    </row>
    <row r="608" spans="18:18" ht="15.75" customHeight="1">
      <c r="R608" s="30"/>
    </row>
    <row r="609" spans="18:18" ht="15.75" customHeight="1">
      <c r="R609" s="30"/>
    </row>
    <row r="610" spans="18:18" ht="15.75" customHeight="1">
      <c r="R610" s="30"/>
    </row>
    <row r="611" spans="18:18" ht="15.75" customHeight="1">
      <c r="R611" s="30"/>
    </row>
    <row r="612" spans="18:18" ht="15.75" customHeight="1">
      <c r="R612" s="30"/>
    </row>
    <row r="613" spans="18:18" ht="15.75" customHeight="1">
      <c r="R613" s="30"/>
    </row>
    <row r="614" spans="18:18" ht="15.75" customHeight="1">
      <c r="R614" s="30"/>
    </row>
    <row r="615" spans="18:18" ht="15.75" customHeight="1">
      <c r="R615" s="30"/>
    </row>
    <row r="616" spans="18:18" ht="15.75" customHeight="1">
      <c r="R616" s="30"/>
    </row>
    <row r="617" spans="18:18" ht="15.75" customHeight="1">
      <c r="R617" s="30"/>
    </row>
    <row r="618" spans="18:18" ht="15.75" customHeight="1">
      <c r="R618" s="30"/>
    </row>
    <row r="619" spans="18:18" ht="15.75" customHeight="1">
      <c r="R619" s="30"/>
    </row>
    <row r="620" spans="18:18" ht="15.75" customHeight="1">
      <c r="R620" s="30"/>
    </row>
    <row r="621" spans="18:18" ht="15.75" customHeight="1">
      <c r="R621" s="30"/>
    </row>
    <row r="622" spans="18:18" ht="15.75" customHeight="1">
      <c r="R622" s="30"/>
    </row>
    <row r="623" spans="18:18" ht="15.75" customHeight="1">
      <c r="R623" s="30"/>
    </row>
    <row r="624" spans="18:18" ht="15.75" customHeight="1">
      <c r="R624" s="30"/>
    </row>
    <row r="625" spans="18:18" ht="15.75" customHeight="1">
      <c r="R625" s="30"/>
    </row>
    <row r="626" spans="18:18" ht="15.75" customHeight="1">
      <c r="R626" s="30"/>
    </row>
    <row r="627" spans="18:18" ht="15.75" customHeight="1">
      <c r="R627" s="30"/>
    </row>
    <row r="628" spans="18:18" ht="15.75" customHeight="1">
      <c r="R628" s="30"/>
    </row>
    <row r="629" spans="18:18" ht="15.75" customHeight="1">
      <c r="R629" s="30"/>
    </row>
    <row r="630" spans="18:18" ht="15.75" customHeight="1">
      <c r="R630" s="30"/>
    </row>
    <row r="631" spans="18:18" ht="15.75" customHeight="1">
      <c r="R631" s="30"/>
    </row>
    <row r="632" spans="18:18" ht="15.75" customHeight="1">
      <c r="R632" s="30"/>
    </row>
    <row r="633" spans="18:18" ht="15.75" customHeight="1">
      <c r="R633" s="30"/>
    </row>
    <row r="634" spans="18:18" ht="15.75" customHeight="1">
      <c r="R634" s="30"/>
    </row>
    <row r="635" spans="18:18" ht="15.75" customHeight="1">
      <c r="R635" s="30"/>
    </row>
    <row r="636" spans="18:18" ht="15.75" customHeight="1">
      <c r="R636" s="30"/>
    </row>
    <row r="637" spans="18:18" ht="15.75" customHeight="1">
      <c r="R637" s="30"/>
    </row>
    <row r="638" spans="18:18" ht="15.75" customHeight="1">
      <c r="R638" s="30"/>
    </row>
    <row r="639" spans="18:18" ht="15.75" customHeight="1">
      <c r="R639" s="30"/>
    </row>
    <row r="640" spans="18:18" ht="15.75" customHeight="1">
      <c r="R640" s="30"/>
    </row>
    <row r="641" spans="18:18" ht="15.75" customHeight="1">
      <c r="R641" s="30"/>
    </row>
    <row r="642" spans="18:18" ht="15.75" customHeight="1">
      <c r="R642" s="30"/>
    </row>
    <row r="643" spans="18:18" ht="15.75" customHeight="1">
      <c r="R643" s="30"/>
    </row>
    <row r="644" spans="18:18" ht="15.75" customHeight="1">
      <c r="R644" s="30"/>
    </row>
    <row r="645" spans="18:18" ht="15.75" customHeight="1">
      <c r="R645" s="30"/>
    </row>
    <row r="646" spans="18:18" ht="15.75" customHeight="1">
      <c r="R646" s="30"/>
    </row>
    <row r="647" spans="18:18" ht="15.75" customHeight="1">
      <c r="R647" s="30"/>
    </row>
    <row r="648" spans="18:18" ht="15.75" customHeight="1">
      <c r="R648" s="30"/>
    </row>
    <row r="649" spans="18:18" ht="15.75" customHeight="1">
      <c r="R649" s="30"/>
    </row>
    <row r="650" spans="18:18" ht="15.75" customHeight="1">
      <c r="R650" s="30"/>
    </row>
    <row r="651" spans="18:18" ht="15.75" customHeight="1">
      <c r="R651" s="30"/>
    </row>
    <row r="652" spans="18:18" ht="15.75" customHeight="1">
      <c r="R652" s="30"/>
    </row>
    <row r="653" spans="18:18" ht="15.75" customHeight="1">
      <c r="R653" s="30"/>
    </row>
    <row r="654" spans="18:18" ht="15.75" customHeight="1">
      <c r="R654" s="30"/>
    </row>
    <row r="655" spans="18:18" ht="15.75" customHeight="1">
      <c r="R655" s="30"/>
    </row>
    <row r="656" spans="18:18" ht="15.75" customHeight="1">
      <c r="R656" s="30"/>
    </row>
    <row r="657" spans="18:18" ht="15.75" customHeight="1">
      <c r="R657" s="30"/>
    </row>
    <row r="658" spans="18:18" ht="15.75" customHeight="1">
      <c r="R658" s="30"/>
    </row>
    <row r="659" spans="18:18" ht="15.75" customHeight="1">
      <c r="R659" s="30"/>
    </row>
    <row r="660" spans="18:18" ht="15.75" customHeight="1">
      <c r="R660" s="30"/>
    </row>
    <row r="661" spans="18:18" ht="15.75" customHeight="1">
      <c r="R661" s="30"/>
    </row>
    <row r="662" spans="18:18" ht="15.75" customHeight="1">
      <c r="R662" s="30"/>
    </row>
    <row r="663" spans="18:18" ht="15.75" customHeight="1">
      <c r="R663" s="30"/>
    </row>
    <row r="664" spans="18:18" ht="15.75" customHeight="1">
      <c r="R664" s="30"/>
    </row>
    <row r="665" spans="18:18" ht="15.75" customHeight="1">
      <c r="R665" s="30"/>
    </row>
    <row r="666" spans="18:18" ht="15.75" customHeight="1">
      <c r="R666" s="30"/>
    </row>
    <row r="667" spans="18:18" ht="15.75" customHeight="1">
      <c r="R667" s="30"/>
    </row>
    <row r="668" spans="18:18" ht="15.75" customHeight="1">
      <c r="R668" s="30"/>
    </row>
    <row r="669" spans="18:18" ht="15.75" customHeight="1">
      <c r="R669" s="30"/>
    </row>
    <row r="670" spans="18:18" ht="15.75" customHeight="1">
      <c r="R670" s="30"/>
    </row>
    <row r="671" spans="18:18" ht="15.75" customHeight="1">
      <c r="R671" s="30"/>
    </row>
    <row r="672" spans="18:18" ht="15.75" customHeight="1">
      <c r="R672" s="30"/>
    </row>
    <row r="673" spans="18:18" ht="15.75" customHeight="1">
      <c r="R673" s="30"/>
    </row>
    <row r="674" spans="18:18" ht="15.75" customHeight="1">
      <c r="R674" s="30"/>
    </row>
    <row r="675" spans="18:18" ht="15.75" customHeight="1">
      <c r="R675" s="30"/>
    </row>
    <row r="676" spans="18:18" ht="15.75" customHeight="1">
      <c r="R676" s="30"/>
    </row>
    <row r="677" spans="18:18" ht="15.75" customHeight="1">
      <c r="R677" s="30"/>
    </row>
    <row r="678" spans="18:18" ht="15.75" customHeight="1">
      <c r="R678" s="30"/>
    </row>
    <row r="679" spans="18:18" ht="15.75" customHeight="1">
      <c r="R679" s="30"/>
    </row>
    <row r="680" spans="18:18" ht="15.75" customHeight="1">
      <c r="R680" s="30"/>
    </row>
    <row r="681" spans="18:18" ht="15.75" customHeight="1">
      <c r="R681" s="30"/>
    </row>
    <row r="682" spans="18:18" ht="15.75" customHeight="1">
      <c r="R682" s="30"/>
    </row>
    <row r="683" spans="18:18" ht="15.75" customHeight="1">
      <c r="R683" s="30"/>
    </row>
    <row r="684" spans="18:18" ht="15.75" customHeight="1">
      <c r="R684" s="30"/>
    </row>
    <row r="685" spans="18:18" ht="15.75" customHeight="1">
      <c r="R685" s="30"/>
    </row>
    <row r="686" spans="18:18" ht="15.75" customHeight="1">
      <c r="R686" s="30"/>
    </row>
    <row r="687" spans="18:18" ht="15.75" customHeight="1">
      <c r="R687" s="30"/>
    </row>
    <row r="688" spans="18:18" ht="15.75" customHeight="1">
      <c r="R688" s="30"/>
    </row>
    <row r="689" spans="18:18" ht="15.75" customHeight="1">
      <c r="R689" s="30"/>
    </row>
    <row r="690" spans="18:18" ht="15.75" customHeight="1">
      <c r="R690" s="30"/>
    </row>
    <row r="691" spans="18:18" ht="15.75" customHeight="1">
      <c r="R691" s="30"/>
    </row>
    <row r="692" spans="18:18" ht="15.75" customHeight="1">
      <c r="R692" s="30"/>
    </row>
    <row r="693" spans="18:18" ht="15.75" customHeight="1">
      <c r="R693" s="30"/>
    </row>
    <row r="694" spans="18:18" ht="15.75" customHeight="1">
      <c r="R694" s="30"/>
    </row>
    <row r="695" spans="18:18" ht="15.75" customHeight="1">
      <c r="R695" s="30"/>
    </row>
    <row r="696" spans="18:18" ht="15.75" customHeight="1">
      <c r="R696" s="30"/>
    </row>
    <row r="697" spans="18:18" ht="15.75" customHeight="1">
      <c r="R697" s="30"/>
    </row>
    <row r="698" spans="18:18" ht="15.75" customHeight="1">
      <c r="R698" s="30"/>
    </row>
    <row r="699" spans="18:18" ht="15.75" customHeight="1">
      <c r="R699" s="30"/>
    </row>
    <row r="700" spans="18:18" ht="15.75" customHeight="1">
      <c r="R700" s="30"/>
    </row>
    <row r="701" spans="18:18" ht="15.75" customHeight="1">
      <c r="R701" s="30"/>
    </row>
    <row r="702" spans="18:18" ht="15.75" customHeight="1">
      <c r="R702" s="30"/>
    </row>
    <row r="703" spans="18:18" ht="15.75" customHeight="1">
      <c r="R703" s="30"/>
    </row>
    <row r="704" spans="18:18" ht="15.75" customHeight="1">
      <c r="R704" s="30"/>
    </row>
    <row r="705" spans="18:18" ht="15.75" customHeight="1">
      <c r="R705" s="30"/>
    </row>
    <row r="706" spans="18:18" ht="15.75" customHeight="1">
      <c r="R706" s="30"/>
    </row>
    <row r="707" spans="18:18" ht="15.75" customHeight="1">
      <c r="R707" s="30"/>
    </row>
    <row r="708" spans="18:18" ht="15.75" customHeight="1">
      <c r="R708" s="30"/>
    </row>
    <row r="709" spans="18:18" ht="15.75" customHeight="1">
      <c r="R709" s="30"/>
    </row>
    <row r="710" spans="18:18" ht="15.75" customHeight="1">
      <c r="R710" s="30"/>
    </row>
    <row r="711" spans="18:18" ht="15.75" customHeight="1">
      <c r="R711" s="30"/>
    </row>
    <row r="712" spans="18:18" ht="15.75" customHeight="1">
      <c r="R712" s="30"/>
    </row>
    <row r="713" spans="18:18" ht="15.75" customHeight="1">
      <c r="R713" s="30"/>
    </row>
    <row r="714" spans="18:18" ht="15.75" customHeight="1">
      <c r="R714" s="30"/>
    </row>
    <row r="715" spans="18:18" ht="15.75" customHeight="1">
      <c r="R715" s="30"/>
    </row>
    <row r="716" spans="18:18" ht="15.75" customHeight="1">
      <c r="R716" s="30"/>
    </row>
    <row r="717" spans="18:18" ht="15.75" customHeight="1">
      <c r="R717" s="30"/>
    </row>
    <row r="718" spans="18:18" ht="15.75" customHeight="1">
      <c r="R718" s="30"/>
    </row>
    <row r="719" spans="18:18" ht="15.75" customHeight="1">
      <c r="R719" s="30"/>
    </row>
    <row r="720" spans="18:18" ht="15.75" customHeight="1">
      <c r="R720" s="30"/>
    </row>
    <row r="721" spans="18:18" ht="15.75" customHeight="1">
      <c r="R721" s="30"/>
    </row>
    <row r="722" spans="18:18" ht="15.75" customHeight="1">
      <c r="R722" s="30"/>
    </row>
    <row r="723" spans="18:18" ht="15.75" customHeight="1">
      <c r="R723" s="30"/>
    </row>
    <row r="724" spans="18:18" ht="15.75" customHeight="1">
      <c r="R724" s="30"/>
    </row>
    <row r="725" spans="18:18" ht="15.75" customHeight="1">
      <c r="R725" s="30"/>
    </row>
    <row r="726" spans="18:18" ht="15.75" customHeight="1">
      <c r="R726" s="30"/>
    </row>
    <row r="727" spans="18:18" ht="15.75" customHeight="1">
      <c r="R727" s="30"/>
    </row>
    <row r="728" spans="18:18" ht="15.75" customHeight="1">
      <c r="R728" s="30"/>
    </row>
    <row r="729" spans="18:18" ht="15.75" customHeight="1">
      <c r="R729" s="30"/>
    </row>
    <row r="730" spans="18:18" ht="15.75" customHeight="1">
      <c r="R730" s="30"/>
    </row>
    <row r="731" spans="18:18" ht="15.75" customHeight="1">
      <c r="R731" s="30"/>
    </row>
    <row r="732" spans="18:18" ht="15.75" customHeight="1">
      <c r="R732" s="30"/>
    </row>
    <row r="733" spans="18:18" ht="15.75" customHeight="1">
      <c r="R733" s="30"/>
    </row>
    <row r="734" spans="18:18" ht="15.75" customHeight="1">
      <c r="R734" s="30"/>
    </row>
    <row r="735" spans="18:18" ht="15.75" customHeight="1">
      <c r="R735" s="30"/>
    </row>
    <row r="736" spans="18:18" ht="15.75" customHeight="1">
      <c r="R736" s="30"/>
    </row>
    <row r="737" spans="18:18" ht="15.75" customHeight="1">
      <c r="R737" s="30"/>
    </row>
    <row r="738" spans="18:18" ht="15.75" customHeight="1">
      <c r="R738" s="30"/>
    </row>
    <row r="739" spans="18:18" ht="15.75" customHeight="1">
      <c r="R739" s="30"/>
    </row>
    <row r="740" spans="18:18" ht="15.75" customHeight="1">
      <c r="R740" s="30"/>
    </row>
    <row r="741" spans="18:18" ht="15.75" customHeight="1">
      <c r="R741" s="30"/>
    </row>
    <row r="742" spans="18:18" ht="15.75" customHeight="1">
      <c r="R742" s="30"/>
    </row>
    <row r="743" spans="18:18" ht="15.75" customHeight="1">
      <c r="R743" s="30"/>
    </row>
    <row r="744" spans="18:18" ht="15.75" customHeight="1">
      <c r="R744" s="30"/>
    </row>
    <row r="745" spans="18:18" ht="15.75" customHeight="1">
      <c r="R745" s="30"/>
    </row>
    <row r="746" spans="18:18" ht="15.75" customHeight="1">
      <c r="R746" s="30"/>
    </row>
    <row r="747" spans="18:18" ht="15.75" customHeight="1">
      <c r="R747" s="30"/>
    </row>
    <row r="748" spans="18:18" ht="15.75" customHeight="1">
      <c r="R748" s="30"/>
    </row>
    <row r="749" spans="18:18" ht="15.75" customHeight="1">
      <c r="R749" s="30"/>
    </row>
    <row r="750" spans="18:18" ht="15.75" customHeight="1">
      <c r="R750" s="30"/>
    </row>
    <row r="751" spans="18:18" ht="15.75" customHeight="1">
      <c r="R751" s="30"/>
    </row>
    <row r="752" spans="18:18" ht="15.75" customHeight="1">
      <c r="R752" s="30"/>
    </row>
    <row r="753" spans="18:18" ht="15.75" customHeight="1">
      <c r="R753" s="30"/>
    </row>
    <row r="754" spans="18:18" ht="15.75" customHeight="1">
      <c r="R754" s="30"/>
    </row>
    <row r="755" spans="18:18" ht="15.75" customHeight="1">
      <c r="R755" s="30"/>
    </row>
    <row r="756" spans="18:18" ht="15.75" customHeight="1">
      <c r="R756" s="30"/>
    </row>
    <row r="757" spans="18:18" ht="15.75" customHeight="1">
      <c r="R757" s="30"/>
    </row>
    <row r="758" spans="18:18" ht="15.75" customHeight="1">
      <c r="R758" s="30"/>
    </row>
    <row r="759" spans="18:18" ht="15.75" customHeight="1">
      <c r="R759" s="30"/>
    </row>
    <row r="760" spans="18:18" ht="15.75" customHeight="1">
      <c r="R760" s="30"/>
    </row>
    <row r="761" spans="18:18" ht="15.75" customHeight="1">
      <c r="R761" s="30"/>
    </row>
    <row r="762" spans="18:18" ht="15.75" customHeight="1">
      <c r="R762" s="30"/>
    </row>
    <row r="763" spans="18:18" ht="15.75" customHeight="1">
      <c r="R763" s="30"/>
    </row>
    <row r="764" spans="18:18" ht="15.75" customHeight="1">
      <c r="R764" s="30"/>
    </row>
    <row r="765" spans="18:18" ht="15.75" customHeight="1">
      <c r="R765" s="30"/>
    </row>
    <row r="766" spans="18:18" ht="15.75" customHeight="1">
      <c r="R766" s="30"/>
    </row>
    <row r="767" spans="18:18" ht="15.75" customHeight="1">
      <c r="R767" s="30"/>
    </row>
    <row r="768" spans="18:18" ht="15.75" customHeight="1">
      <c r="R768" s="30"/>
    </row>
    <row r="769" spans="18:18" ht="15.75" customHeight="1">
      <c r="R769" s="30"/>
    </row>
    <row r="770" spans="18:18" ht="15.75" customHeight="1">
      <c r="R770" s="30"/>
    </row>
    <row r="771" spans="18:18" ht="15.75" customHeight="1">
      <c r="R771" s="30"/>
    </row>
    <row r="772" spans="18:18" ht="15.75" customHeight="1">
      <c r="R772" s="30"/>
    </row>
    <row r="773" spans="18:18" ht="15.75" customHeight="1">
      <c r="R773" s="30"/>
    </row>
    <row r="774" spans="18:18" ht="15.75" customHeight="1">
      <c r="R774" s="30"/>
    </row>
    <row r="775" spans="18:18" ht="15.75" customHeight="1">
      <c r="R775" s="30"/>
    </row>
    <row r="776" spans="18:18" ht="15.75" customHeight="1">
      <c r="R776" s="30"/>
    </row>
    <row r="777" spans="18:18" ht="15.75" customHeight="1">
      <c r="R777" s="30"/>
    </row>
    <row r="778" spans="18:18" ht="15.75" customHeight="1">
      <c r="R778" s="30"/>
    </row>
    <row r="779" spans="18:18" ht="15.75" customHeight="1">
      <c r="R779" s="30"/>
    </row>
    <row r="780" spans="18:18" ht="15.75" customHeight="1">
      <c r="R780" s="30"/>
    </row>
    <row r="781" spans="18:18" ht="15.75" customHeight="1">
      <c r="R781" s="30"/>
    </row>
    <row r="782" spans="18:18" ht="15.75" customHeight="1">
      <c r="R782" s="30"/>
    </row>
    <row r="783" spans="18:18" ht="15.75" customHeight="1">
      <c r="R783" s="30"/>
    </row>
    <row r="784" spans="18:18" ht="15.75" customHeight="1">
      <c r="R784" s="30"/>
    </row>
    <row r="785" spans="18:18" ht="15.75" customHeight="1">
      <c r="R785" s="30"/>
    </row>
    <row r="786" spans="18:18" ht="15.75" customHeight="1">
      <c r="R786" s="30"/>
    </row>
    <row r="787" spans="18:18" ht="15.75" customHeight="1">
      <c r="R787" s="30"/>
    </row>
    <row r="788" spans="18:18" ht="15.75" customHeight="1">
      <c r="R788" s="30"/>
    </row>
    <row r="789" spans="18:18" ht="15.75" customHeight="1">
      <c r="R789" s="30"/>
    </row>
    <row r="790" spans="18:18" ht="15.75" customHeight="1">
      <c r="R790" s="30"/>
    </row>
    <row r="791" spans="18:18" ht="15.75" customHeight="1">
      <c r="R791" s="30"/>
    </row>
    <row r="792" spans="18:18" ht="15.75" customHeight="1">
      <c r="R792" s="30"/>
    </row>
    <row r="793" spans="18:18" ht="15.75" customHeight="1">
      <c r="R793" s="30"/>
    </row>
    <row r="794" spans="18:18" ht="15.75" customHeight="1">
      <c r="R794" s="30"/>
    </row>
    <row r="795" spans="18:18" ht="15.75" customHeight="1">
      <c r="R795" s="30"/>
    </row>
    <row r="796" spans="18:18" ht="15.75" customHeight="1">
      <c r="R796" s="30"/>
    </row>
    <row r="797" spans="18:18" ht="15.75" customHeight="1">
      <c r="R797" s="30"/>
    </row>
    <row r="798" spans="18:18" ht="15.75" customHeight="1">
      <c r="R798" s="30"/>
    </row>
    <row r="799" spans="18:18" ht="15.75" customHeight="1">
      <c r="R799" s="30"/>
    </row>
    <row r="800" spans="18:18" ht="15.75" customHeight="1">
      <c r="R800" s="30"/>
    </row>
    <row r="801" spans="18:18" ht="15.75" customHeight="1">
      <c r="R801" s="30"/>
    </row>
    <row r="802" spans="18:18" ht="15.75" customHeight="1">
      <c r="R802" s="30"/>
    </row>
    <row r="803" spans="18:18" ht="15.75" customHeight="1">
      <c r="R803" s="30"/>
    </row>
    <row r="804" spans="18:18" ht="15.75" customHeight="1">
      <c r="R804" s="30"/>
    </row>
    <row r="805" spans="18:18" ht="15.75" customHeight="1">
      <c r="R805" s="30"/>
    </row>
    <row r="806" spans="18:18" ht="15.75" customHeight="1">
      <c r="R806" s="30"/>
    </row>
    <row r="807" spans="18:18" ht="15.75" customHeight="1">
      <c r="R807" s="30"/>
    </row>
    <row r="808" spans="18:18" ht="15.75" customHeight="1">
      <c r="R808" s="30"/>
    </row>
    <row r="809" spans="18:18" ht="15.75" customHeight="1">
      <c r="R809" s="30"/>
    </row>
    <row r="810" spans="18:18" ht="15.75" customHeight="1">
      <c r="R810" s="30"/>
    </row>
    <row r="811" spans="18:18" ht="15.75" customHeight="1">
      <c r="R811" s="30"/>
    </row>
    <row r="812" spans="18:18" ht="15.75" customHeight="1">
      <c r="R812" s="30"/>
    </row>
    <row r="813" spans="18:18" ht="15.75" customHeight="1">
      <c r="R813" s="30"/>
    </row>
    <row r="814" spans="18:18" ht="15.75" customHeight="1">
      <c r="R814" s="30"/>
    </row>
    <row r="815" spans="18:18" ht="15.75" customHeight="1">
      <c r="R815" s="30"/>
    </row>
    <row r="816" spans="18:18" ht="15.75" customHeight="1">
      <c r="R816" s="30"/>
    </row>
    <row r="817" spans="18:18" ht="15.75" customHeight="1">
      <c r="R817" s="30"/>
    </row>
    <row r="818" spans="18:18" ht="15.75" customHeight="1">
      <c r="R818" s="30"/>
    </row>
    <row r="819" spans="18:18" ht="15.75" customHeight="1">
      <c r="R819" s="30"/>
    </row>
    <row r="820" spans="18:18" ht="15.75" customHeight="1">
      <c r="R820" s="30"/>
    </row>
    <row r="821" spans="18:18" ht="15.75" customHeight="1">
      <c r="R821" s="30"/>
    </row>
    <row r="822" spans="18:18" ht="15.75" customHeight="1">
      <c r="R822" s="30"/>
    </row>
    <row r="823" spans="18:18" ht="15.75" customHeight="1">
      <c r="R823" s="30"/>
    </row>
    <row r="824" spans="18:18" ht="15.75" customHeight="1">
      <c r="R824" s="30"/>
    </row>
    <row r="825" spans="18:18" ht="15.75" customHeight="1">
      <c r="R825" s="30"/>
    </row>
    <row r="826" spans="18:18" ht="15.75" customHeight="1">
      <c r="R826" s="30"/>
    </row>
    <row r="827" spans="18:18" ht="15.75" customHeight="1">
      <c r="R827" s="30"/>
    </row>
    <row r="828" spans="18:18" ht="15.75" customHeight="1">
      <c r="R828" s="30"/>
    </row>
    <row r="829" spans="18:18" ht="15.75" customHeight="1">
      <c r="R829" s="30"/>
    </row>
    <row r="830" spans="18:18" ht="15.75" customHeight="1">
      <c r="R830" s="30"/>
    </row>
    <row r="831" spans="18:18" ht="15.75" customHeight="1">
      <c r="R831" s="30"/>
    </row>
    <row r="832" spans="18:18" ht="15.75" customHeight="1">
      <c r="R832" s="30"/>
    </row>
    <row r="833" spans="18:18" ht="15.75" customHeight="1">
      <c r="R833" s="30"/>
    </row>
    <row r="834" spans="18:18" ht="15.75" customHeight="1">
      <c r="R834" s="30"/>
    </row>
    <row r="835" spans="18:18" ht="15.75" customHeight="1">
      <c r="R835" s="30"/>
    </row>
    <row r="836" spans="18:18" ht="15.75" customHeight="1">
      <c r="R836" s="30"/>
    </row>
    <row r="837" spans="18:18" ht="15.75" customHeight="1">
      <c r="R837" s="30"/>
    </row>
    <row r="838" spans="18:18" ht="15.75" customHeight="1">
      <c r="R838" s="30"/>
    </row>
    <row r="839" spans="18:18" ht="15.75" customHeight="1">
      <c r="R839" s="30"/>
    </row>
    <row r="840" spans="18:18" ht="15.75" customHeight="1">
      <c r="R840" s="30"/>
    </row>
    <row r="841" spans="18:18" ht="15.75" customHeight="1">
      <c r="R841" s="30"/>
    </row>
    <row r="842" spans="18:18" ht="15.75" customHeight="1">
      <c r="R842" s="30"/>
    </row>
    <row r="843" spans="18:18" ht="15.75" customHeight="1">
      <c r="R843" s="30"/>
    </row>
    <row r="844" spans="18:18" ht="15.75" customHeight="1">
      <c r="R844" s="30"/>
    </row>
    <row r="845" spans="18:18" ht="15.75" customHeight="1">
      <c r="R845" s="30"/>
    </row>
    <row r="846" spans="18:18" ht="15.75" customHeight="1">
      <c r="R846" s="30"/>
    </row>
    <row r="847" spans="18:18" ht="15.75" customHeight="1">
      <c r="R847" s="30"/>
    </row>
    <row r="848" spans="18:18" ht="15.75" customHeight="1">
      <c r="R848" s="30"/>
    </row>
    <row r="849" spans="18:18" ht="15.75" customHeight="1">
      <c r="R849" s="30"/>
    </row>
    <row r="850" spans="18:18" ht="15.75" customHeight="1">
      <c r="R850" s="30"/>
    </row>
    <row r="851" spans="18:18" ht="15.75" customHeight="1">
      <c r="R851" s="30"/>
    </row>
    <row r="852" spans="18:18" ht="15.75" customHeight="1">
      <c r="R852" s="30"/>
    </row>
    <row r="853" spans="18:18" ht="15.75" customHeight="1">
      <c r="R853" s="30"/>
    </row>
    <row r="854" spans="18:18" ht="15.75" customHeight="1">
      <c r="R854" s="30"/>
    </row>
    <row r="855" spans="18:18" ht="15.75" customHeight="1">
      <c r="R855" s="30"/>
    </row>
    <row r="856" spans="18:18" ht="15.75" customHeight="1">
      <c r="R856" s="30"/>
    </row>
    <row r="857" spans="18:18" ht="15.75" customHeight="1">
      <c r="R857" s="30"/>
    </row>
    <row r="858" spans="18:18" ht="15.75" customHeight="1">
      <c r="R858" s="30"/>
    </row>
    <row r="859" spans="18:18" ht="15.75" customHeight="1">
      <c r="R859" s="30"/>
    </row>
    <row r="860" spans="18:18" ht="15.75" customHeight="1">
      <c r="R860" s="30"/>
    </row>
    <row r="861" spans="18:18" ht="15.75" customHeight="1">
      <c r="R861" s="30"/>
    </row>
    <row r="862" spans="18:18" ht="15.75" customHeight="1">
      <c r="R862" s="30"/>
    </row>
    <row r="863" spans="18:18" ht="15.75" customHeight="1">
      <c r="R863" s="30"/>
    </row>
    <row r="864" spans="18:18" ht="15.75" customHeight="1">
      <c r="R864" s="30"/>
    </row>
    <row r="865" spans="18:18" ht="15.75" customHeight="1">
      <c r="R865" s="30"/>
    </row>
    <row r="866" spans="18:18" ht="15.75" customHeight="1">
      <c r="R866" s="30"/>
    </row>
    <row r="867" spans="18:18" ht="15.75" customHeight="1">
      <c r="R867" s="30"/>
    </row>
    <row r="868" spans="18:18" ht="15.75" customHeight="1">
      <c r="R868" s="30"/>
    </row>
    <row r="869" spans="18:18" ht="15.75" customHeight="1">
      <c r="R869" s="30"/>
    </row>
    <row r="870" spans="18:18" ht="15.75" customHeight="1">
      <c r="R870" s="30"/>
    </row>
    <row r="871" spans="18:18" ht="15.75" customHeight="1">
      <c r="R871" s="30"/>
    </row>
    <row r="872" spans="18:18" ht="15.75" customHeight="1">
      <c r="R872" s="30"/>
    </row>
    <row r="873" spans="18:18" ht="15.75" customHeight="1">
      <c r="R873" s="30"/>
    </row>
    <row r="874" spans="18:18" ht="15.75" customHeight="1">
      <c r="R874" s="30"/>
    </row>
    <row r="875" spans="18:18" ht="15.75" customHeight="1">
      <c r="R875" s="30"/>
    </row>
    <row r="876" spans="18:18" ht="15.75" customHeight="1">
      <c r="R876" s="30"/>
    </row>
    <row r="877" spans="18:18" ht="15.75" customHeight="1">
      <c r="R877" s="30"/>
    </row>
    <row r="878" spans="18:18" ht="15.75" customHeight="1">
      <c r="R878" s="30"/>
    </row>
    <row r="879" spans="18:18" ht="15.75" customHeight="1">
      <c r="R879" s="30"/>
    </row>
    <row r="880" spans="18:18" ht="15.75" customHeight="1">
      <c r="R880" s="30"/>
    </row>
    <row r="881" spans="18:18" ht="15.75" customHeight="1">
      <c r="R881" s="30"/>
    </row>
    <row r="882" spans="18:18" ht="15.75" customHeight="1">
      <c r="R882" s="30"/>
    </row>
    <row r="883" spans="18:18" ht="15.75" customHeight="1">
      <c r="R883" s="30"/>
    </row>
    <row r="884" spans="18:18" ht="15.75" customHeight="1">
      <c r="R884" s="30"/>
    </row>
    <row r="885" spans="18:18" ht="15.75" customHeight="1">
      <c r="R885" s="30"/>
    </row>
    <row r="886" spans="18:18" ht="15.75" customHeight="1">
      <c r="R886" s="30"/>
    </row>
    <row r="887" spans="18:18" ht="15.75" customHeight="1">
      <c r="R887" s="30"/>
    </row>
    <row r="888" spans="18:18" ht="15.75" customHeight="1">
      <c r="R888" s="30"/>
    </row>
    <row r="889" spans="18:18" ht="15.75" customHeight="1">
      <c r="R889" s="30"/>
    </row>
    <row r="890" spans="18:18" ht="15.75" customHeight="1">
      <c r="R890" s="30"/>
    </row>
    <row r="891" spans="18:18" ht="15.75" customHeight="1">
      <c r="R891" s="30"/>
    </row>
    <row r="892" spans="18:18" ht="15.75" customHeight="1">
      <c r="R892" s="30"/>
    </row>
    <row r="893" spans="18:18" ht="15.75" customHeight="1">
      <c r="R893" s="30"/>
    </row>
    <row r="894" spans="18:18" ht="15.75" customHeight="1">
      <c r="R894" s="30"/>
    </row>
    <row r="895" spans="18:18" ht="15.75" customHeight="1">
      <c r="R895" s="30"/>
    </row>
    <row r="896" spans="18:18" ht="15.75" customHeight="1">
      <c r="R896" s="30"/>
    </row>
    <row r="897" spans="18:18" ht="15.75" customHeight="1">
      <c r="R897" s="30"/>
    </row>
    <row r="898" spans="18:18" ht="15.75" customHeight="1">
      <c r="R898" s="30"/>
    </row>
    <row r="899" spans="18:18" ht="15.75" customHeight="1">
      <c r="R899" s="30"/>
    </row>
    <row r="900" spans="18:18" ht="15.75" customHeight="1">
      <c r="R900" s="30"/>
    </row>
    <row r="901" spans="18:18" ht="15.75" customHeight="1">
      <c r="R901" s="30"/>
    </row>
    <row r="902" spans="18:18" ht="15.75" customHeight="1">
      <c r="R902" s="30"/>
    </row>
    <row r="903" spans="18:18" ht="15.75" customHeight="1">
      <c r="R903" s="30"/>
    </row>
    <row r="904" spans="18:18" ht="15.75" customHeight="1">
      <c r="R904" s="30"/>
    </row>
    <row r="905" spans="18:18" ht="15.75" customHeight="1">
      <c r="R905" s="30"/>
    </row>
    <row r="906" spans="18:18" ht="15.75" customHeight="1">
      <c r="R906" s="30"/>
    </row>
    <row r="907" spans="18:18" ht="15.75" customHeight="1">
      <c r="R907" s="30"/>
    </row>
    <row r="908" spans="18:18" ht="15.75" customHeight="1">
      <c r="R908" s="30"/>
    </row>
    <row r="909" spans="18:18" ht="15.75" customHeight="1">
      <c r="R909" s="30"/>
    </row>
    <row r="910" spans="18:18" ht="15.75" customHeight="1">
      <c r="R910" s="30"/>
    </row>
    <row r="911" spans="18:18" ht="15.75" customHeight="1">
      <c r="R911" s="30"/>
    </row>
    <row r="912" spans="18:18" ht="15.75" customHeight="1">
      <c r="R912" s="30"/>
    </row>
    <row r="913" spans="18:18" ht="15.75" customHeight="1">
      <c r="R913" s="30"/>
    </row>
    <row r="914" spans="18:18" ht="15.75" customHeight="1">
      <c r="R914" s="30"/>
    </row>
    <row r="915" spans="18:18" ht="15.75" customHeight="1">
      <c r="R915" s="30"/>
    </row>
    <row r="916" spans="18:18" ht="15.75" customHeight="1">
      <c r="R916" s="30"/>
    </row>
    <row r="917" spans="18:18" ht="15.75" customHeight="1">
      <c r="R917" s="30"/>
    </row>
    <row r="918" spans="18:18" ht="15.75" customHeight="1">
      <c r="R918" s="30"/>
    </row>
    <row r="919" spans="18:18" ht="15.75" customHeight="1">
      <c r="R919" s="30"/>
    </row>
    <row r="920" spans="18:18" ht="15.75" customHeight="1">
      <c r="R920" s="30"/>
    </row>
    <row r="921" spans="18:18" ht="15.75" customHeight="1">
      <c r="R921" s="30"/>
    </row>
    <row r="922" spans="18:18" ht="15.75" customHeight="1">
      <c r="R922" s="30"/>
    </row>
    <row r="923" spans="18:18" ht="15.75" customHeight="1">
      <c r="R923" s="30"/>
    </row>
    <row r="924" spans="18:18" ht="15.75" customHeight="1">
      <c r="R924" s="30"/>
    </row>
    <row r="925" spans="18:18" ht="15.75" customHeight="1">
      <c r="R925" s="30"/>
    </row>
    <row r="926" spans="18:18" ht="15.75" customHeight="1">
      <c r="R926" s="30"/>
    </row>
    <row r="927" spans="18:18" ht="15.75" customHeight="1">
      <c r="R927" s="30"/>
    </row>
    <row r="928" spans="18:18" ht="15.75" customHeight="1">
      <c r="R928" s="30"/>
    </row>
    <row r="929" spans="18:18" ht="15.75" customHeight="1">
      <c r="R929" s="30"/>
    </row>
    <row r="930" spans="18:18" ht="15.75" customHeight="1">
      <c r="R930" s="30"/>
    </row>
    <row r="931" spans="18:18" ht="15.75" customHeight="1">
      <c r="R931" s="30"/>
    </row>
    <row r="932" spans="18:18" ht="15.75" customHeight="1">
      <c r="R932" s="30"/>
    </row>
    <row r="933" spans="18:18" ht="15.75" customHeight="1">
      <c r="R933" s="30"/>
    </row>
    <row r="934" spans="18:18" ht="15.75" customHeight="1">
      <c r="R934" s="30"/>
    </row>
    <row r="935" spans="18:18" ht="15.75" customHeight="1">
      <c r="R935" s="30"/>
    </row>
    <row r="936" spans="18:18" ht="15.75" customHeight="1">
      <c r="R936" s="30"/>
    </row>
    <row r="937" spans="18:18" ht="15.75" customHeight="1">
      <c r="R937" s="30"/>
    </row>
    <row r="938" spans="18:18" ht="15.75" customHeight="1">
      <c r="R938" s="30"/>
    </row>
    <row r="939" spans="18:18" ht="15.75" customHeight="1">
      <c r="R939" s="30"/>
    </row>
    <row r="940" spans="18:18" ht="15.75" customHeight="1">
      <c r="R940" s="30"/>
    </row>
    <row r="941" spans="18:18" ht="15.75" customHeight="1">
      <c r="R941" s="30"/>
    </row>
    <row r="942" spans="18:18" ht="15.75" customHeight="1">
      <c r="R942" s="30"/>
    </row>
    <row r="943" spans="18:18" ht="15.75" customHeight="1">
      <c r="R943" s="30"/>
    </row>
    <row r="944" spans="18:18" ht="15.75" customHeight="1">
      <c r="R944" s="30"/>
    </row>
    <row r="945" spans="18:18" ht="15.75" customHeight="1">
      <c r="R945" s="30"/>
    </row>
    <row r="946" spans="18:18" ht="15.75" customHeight="1">
      <c r="R946" s="30"/>
    </row>
    <row r="947" spans="18:18" ht="15.75" customHeight="1">
      <c r="R947" s="30"/>
    </row>
    <row r="948" spans="18:18" ht="15.75" customHeight="1">
      <c r="R948" s="30"/>
    </row>
    <row r="949" spans="18:18" ht="15.75" customHeight="1">
      <c r="R949" s="30"/>
    </row>
    <row r="950" spans="18:18" ht="15.75" customHeight="1">
      <c r="R950" s="30"/>
    </row>
    <row r="951" spans="18:18" ht="15.75" customHeight="1">
      <c r="R951" s="30"/>
    </row>
    <row r="952" spans="18:18" ht="15.75" customHeight="1">
      <c r="R952" s="30"/>
    </row>
    <row r="953" spans="18:18" ht="15.75" customHeight="1">
      <c r="R953" s="30"/>
    </row>
    <row r="954" spans="18:18" ht="15.75" customHeight="1">
      <c r="R954" s="30"/>
    </row>
    <row r="955" spans="18:18" ht="15.75" customHeight="1">
      <c r="R955" s="30"/>
    </row>
    <row r="956" spans="18:18" ht="15.75" customHeight="1">
      <c r="R956" s="30"/>
    </row>
    <row r="957" spans="18:18" ht="15.75" customHeight="1">
      <c r="R957" s="30"/>
    </row>
    <row r="958" spans="18:18" ht="15.75" customHeight="1">
      <c r="R958" s="30"/>
    </row>
    <row r="959" spans="18:18" ht="15.75" customHeight="1">
      <c r="R959" s="30"/>
    </row>
    <row r="960" spans="18:18" ht="15.75" customHeight="1">
      <c r="R960" s="30"/>
    </row>
    <row r="961" spans="18:18" ht="15.75" customHeight="1">
      <c r="R961" s="30"/>
    </row>
    <row r="962" spans="18:18" ht="15.75" customHeight="1">
      <c r="R962" s="30"/>
    </row>
    <row r="963" spans="18:18" ht="15.75" customHeight="1">
      <c r="R963" s="30"/>
    </row>
    <row r="964" spans="18:18" ht="15.75" customHeight="1">
      <c r="R964" s="30"/>
    </row>
    <row r="965" spans="18:18" ht="15.75" customHeight="1">
      <c r="R965" s="30"/>
    </row>
    <row r="966" spans="18:18" ht="15.75" customHeight="1">
      <c r="R966" s="30"/>
    </row>
    <row r="967" spans="18:18" ht="15.75" customHeight="1">
      <c r="R967" s="30"/>
    </row>
    <row r="968" spans="18:18" ht="15.75" customHeight="1">
      <c r="R968" s="30"/>
    </row>
    <row r="969" spans="18:18" ht="15.75" customHeight="1">
      <c r="R969" s="30"/>
    </row>
    <row r="970" spans="18:18" ht="15.75" customHeight="1">
      <c r="R970" s="30"/>
    </row>
    <row r="971" spans="18:18" ht="15.75" customHeight="1">
      <c r="R971" s="30"/>
    </row>
    <row r="972" spans="18:18" ht="15.75" customHeight="1">
      <c r="R972" s="30"/>
    </row>
    <row r="973" spans="18:18" ht="15.75" customHeight="1">
      <c r="R973" s="30"/>
    </row>
    <row r="974" spans="18:18" ht="15.75" customHeight="1">
      <c r="R974" s="30"/>
    </row>
    <row r="975" spans="18:18" ht="15.75" customHeight="1">
      <c r="R975" s="30"/>
    </row>
    <row r="976" spans="18:18" ht="15.75" customHeight="1">
      <c r="R976" s="30"/>
    </row>
    <row r="977" spans="18:18" ht="15.75" customHeight="1">
      <c r="R977" s="30"/>
    </row>
    <row r="978" spans="18:18" ht="15.75" customHeight="1">
      <c r="R978" s="30"/>
    </row>
    <row r="979" spans="18:18" ht="15.75" customHeight="1">
      <c r="R979" s="30"/>
    </row>
    <row r="980" spans="18:18" ht="15.75" customHeight="1">
      <c r="R980" s="30"/>
    </row>
    <row r="981" spans="18:18" ht="15.75" customHeight="1">
      <c r="R981" s="30"/>
    </row>
    <row r="982" spans="18:18" ht="15.75" customHeight="1">
      <c r="R982" s="30"/>
    </row>
    <row r="983" spans="18:18" ht="15.75" customHeight="1">
      <c r="R983" s="30"/>
    </row>
    <row r="984" spans="18:18" ht="15.75" customHeight="1">
      <c r="R984" s="30"/>
    </row>
    <row r="985" spans="18:18" ht="15.75" customHeight="1">
      <c r="R985" s="30"/>
    </row>
    <row r="986" spans="18:18" ht="15.75" customHeight="1">
      <c r="R986" s="30"/>
    </row>
    <row r="987" spans="18:18" ht="15.75" customHeight="1">
      <c r="R987" s="30"/>
    </row>
    <row r="988" spans="18:18" ht="15.75" customHeight="1">
      <c r="R988" s="30"/>
    </row>
    <row r="989" spans="18:18" ht="15.75" customHeight="1">
      <c r="R989" s="30"/>
    </row>
    <row r="990" spans="18:18" ht="15.75" customHeight="1">
      <c r="R990" s="30"/>
    </row>
    <row r="991" spans="18:18" ht="15.75" customHeight="1">
      <c r="R991" s="30"/>
    </row>
    <row r="992" spans="18:18" ht="15.75" customHeight="1">
      <c r="R992" s="30"/>
    </row>
    <row r="993" spans="18:18" ht="15.75" customHeight="1">
      <c r="R993" s="30"/>
    </row>
    <row r="994" spans="18:18" ht="15.75" customHeight="1">
      <c r="R994" s="30"/>
    </row>
    <row r="995" spans="18:18" ht="15.75" customHeight="1">
      <c r="R995" s="30"/>
    </row>
    <row r="996" spans="18:18" ht="15.75" customHeight="1">
      <c r="R996" s="30"/>
    </row>
    <row r="997" spans="18:18" ht="15.75" customHeight="1">
      <c r="R997" s="30"/>
    </row>
    <row r="998" spans="18:18" ht="15.75" customHeight="1">
      <c r="R998" s="30"/>
    </row>
    <row r="999" spans="18:18" ht="15.75" customHeight="1">
      <c r="R999" s="30"/>
    </row>
    <row r="1000" spans="18:18" ht="15.75" customHeight="1">
      <c r="R1000" s="3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2.6640625" defaultRowHeight="15" customHeight="1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8.6640625" customWidth="1"/>
    <col min="6" max="6" width="9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16.33203125" customWidth="1"/>
    <col min="16" max="16" width="10" customWidth="1"/>
    <col min="17" max="18" width="7.33203125" customWidth="1"/>
    <col min="19" max="19" width="7.1640625" customWidth="1"/>
    <col min="20" max="20" width="14.5" customWidth="1"/>
    <col min="21" max="21" width="22" customWidth="1"/>
    <col min="22" max="22" width="33.164062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8.6640625" customWidth="1"/>
    <col min="32" max="32" width="10.1640625" customWidth="1"/>
    <col min="33" max="33" width="8.83203125" customWidth="1"/>
  </cols>
  <sheetData>
    <row r="1" spans="1:33" ht="18.75" customHeight="1">
      <c r="A1" s="46" t="str">
        <f ca="1">IFERROR(__xludf.DUMMYFUNCTION("IFERROR(VLOOKUP(B2,IMPORTRANGE(""https://docs.google.com/spreadsheets/d/1x0DhHglkXKoEBOD2MBsuK_EyIr1ouxD2ftIpqOYFa-k/edit?usp=sharing"",""Ubiquitty-SKU-Specific Info!B1:BJ5000""),3,FALSE),"""")"),"2 Pack of 100 Foot Lighted Outdoor Extension Cord - 12/3 SJTW Heavy Duty Yellow Extension Cable Extension Cable with 3 Prong Grounded Plug for Safety - Great for Garden and Major Appliances")</f>
        <v>2 Pack of 100 Foot Lighted Outdoor Extension Cord - 12/3 SJTW Heavy Duty Yellow Extension Cable Extension Cable with 3 Prong Grounded Plug for Safety - Great for Garden and Major Appliances</v>
      </c>
      <c r="B1" s="47"/>
      <c r="C1" s="48" t="s">
        <v>0</v>
      </c>
      <c r="D1" s="50" t="s">
        <v>1</v>
      </c>
      <c r="E1" s="50" t="s">
        <v>2</v>
      </c>
      <c r="F1" s="52" t="s">
        <v>3</v>
      </c>
      <c r="G1" s="52" t="s">
        <v>4</v>
      </c>
      <c r="H1" s="53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58" t="s">
        <v>10</v>
      </c>
      <c r="N1" s="59" t="s">
        <v>11</v>
      </c>
      <c r="O1" s="50" t="s">
        <v>12</v>
      </c>
      <c r="P1" s="50" t="s">
        <v>13</v>
      </c>
      <c r="Q1" s="57" t="s">
        <v>14</v>
      </c>
      <c r="R1" s="57" t="s">
        <v>15</v>
      </c>
      <c r="S1" s="60" t="s">
        <v>16</v>
      </c>
      <c r="T1" s="62" t="s">
        <v>2006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Info!B1:BJ5000""),2,FALSE),"""")"),"B07MTPZ37H")</f>
        <v>B07MTPZ37H</v>
      </c>
      <c r="B2" s="3" t="s">
        <v>1234</v>
      </c>
      <c r="C2" s="49"/>
      <c r="D2" s="49"/>
      <c r="E2" s="51"/>
      <c r="F2" s="49"/>
      <c r="G2" s="49"/>
      <c r="H2" s="54"/>
      <c r="I2" s="49"/>
      <c r="J2" s="49"/>
      <c r="K2" s="54"/>
      <c r="L2" s="54"/>
      <c r="M2" s="54"/>
      <c r="N2" s="49"/>
      <c r="O2" s="49"/>
      <c r="P2" s="51"/>
      <c r="Q2" s="49"/>
      <c r="R2" s="49"/>
      <c r="S2" s="61"/>
      <c r="T2" s="47"/>
      <c r="U2" s="63"/>
      <c r="V2" s="63"/>
      <c r="W2" s="47"/>
      <c r="X2" s="47"/>
      <c r="Y2" s="47"/>
      <c r="Z2" s="47"/>
      <c r="AA2" s="63"/>
      <c r="AB2" s="63"/>
      <c r="AC2" s="63"/>
      <c r="AD2" s="63"/>
      <c r="AE2" s="47"/>
      <c r="AF2" s="47"/>
      <c r="AG2" s="47"/>
    </row>
    <row r="3" spans="1:33" ht="159" customHeight="1">
      <c r="A3" s="55" t="s">
        <v>31</v>
      </c>
      <c r="B3" s="56"/>
      <c r="C3" s="4">
        <f>((AE32+AF32)/0.85)*-1</f>
        <v>108.82823529411766</v>
      </c>
      <c r="D3" s="5">
        <f>SUM(D4:D99765)</f>
        <v>88</v>
      </c>
      <c r="E3" s="5"/>
      <c r="F3" s="6">
        <f t="shared" ref="F3:G3" si="0">SUM(F4:F99765)</f>
        <v>13555.550000000001</v>
      </c>
      <c r="G3" s="6">
        <f t="shared" si="0"/>
        <v>-0.08</v>
      </c>
      <c r="H3" s="7">
        <f t="shared" ref="H3:H32" si="1">G3/F3*-1</f>
        <v>5.9016417629679351E-6</v>
      </c>
      <c r="I3" s="8">
        <f t="shared" ref="I3:I32" si="2">J3/F3</f>
        <v>0.25022669772374306</v>
      </c>
      <c r="J3" s="6">
        <f>SUM(J4:J99765)</f>
        <v>3391.9605123290853</v>
      </c>
      <c r="K3" s="6">
        <f t="shared" ref="K3:K32" si="3">J3/D3</f>
        <v>38.545005821921421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Sheet!a1:g5000""),2,FALSE),"""")"),"1 - March
1 - April
1 - May
1 - June
1 - July
1 - Aug
1 - Sept
1 - Oct
2.5 - Nov
2.5 - Dec
1 - Jan
1 - Feb")</f>
        <v>1 - March
1 - April
1 - May
1 - June
1 - July
1 - Aug
1 - Sept
1 - Oct
2.5 - Nov
2.5 - Dec
1 - Jan
1 -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QTY-0")</f>
        <v>US QTY-0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0</v>
      </c>
      <c r="X3" s="7">
        <f>W3/D3</f>
        <v>0</v>
      </c>
      <c r="Y3" s="6"/>
      <c r="Z3" s="5"/>
      <c r="AA3" s="5"/>
      <c r="AB3" s="5"/>
      <c r="AC3" s="5"/>
      <c r="AD3" s="6">
        <f>SUM(AD4:AD99765)</f>
        <v>-57.588987670915429</v>
      </c>
      <c r="AE3" s="6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Info!B2:BZ3000""),37,FALSE)),"""")*-1"),-73.584)</f>
        <v>-73.584000000000003</v>
      </c>
      <c r="AG3" s="6">
        <f>SUM(AG4:AG99765)</f>
        <v>0</v>
      </c>
    </row>
    <row r="4" spans="1:33" ht="15.75" customHeight="1">
      <c r="A4" s="14" t="s">
        <v>181</v>
      </c>
      <c r="B4" s="14" t="s">
        <v>1235</v>
      </c>
      <c r="C4" s="15">
        <f t="shared" ref="C4:C32" si="4">IFERROR(F4/D4," - ")</f>
        <v>142.35</v>
      </c>
      <c r="D4" s="16">
        <v>7</v>
      </c>
      <c r="E4" s="16">
        <v>1</v>
      </c>
      <c r="F4" s="17">
        <v>996.45</v>
      </c>
      <c r="G4" s="17">
        <v>0</v>
      </c>
      <c r="H4" s="18">
        <f t="shared" si="1"/>
        <v>0</v>
      </c>
      <c r="I4" s="18">
        <f t="shared" si="2"/>
        <v>0.24514558014284052</v>
      </c>
      <c r="J4" s="17">
        <f t="shared" ref="J4:J32" si="5">F4*0.85+G4+AF4*D4+D4*AE4+AG4+AD4</f>
        <v>244.27531333333346</v>
      </c>
      <c r="K4" s="17">
        <f t="shared" si="3"/>
        <v>34.896473333333354</v>
      </c>
      <c r="L4" s="16">
        <v>125</v>
      </c>
      <c r="M4" s="19">
        <f t="shared" ref="M4:M32" si="6">IFERROR(D4/L4,"-")</f>
        <v>5.6000000000000001E-2</v>
      </c>
      <c r="N4" s="16">
        <v>40</v>
      </c>
      <c r="O4" s="20">
        <f t="shared" ref="O4:P4" si="7">D4/7</f>
        <v>1</v>
      </c>
      <c r="P4" s="20">
        <f t="shared" si="7"/>
        <v>0.14285714285714285</v>
      </c>
      <c r="Q4" s="16">
        <f t="shared" ref="Q4:Q32" si="8">ROUNDDOWN(N4/(O4+P4),0)</f>
        <v>35</v>
      </c>
      <c r="R4" s="16"/>
      <c r="S4" s="21">
        <v>1.5184135977337101</v>
      </c>
      <c r="T4" s="14">
        <v>200</v>
      </c>
      <c r="U4" s="22" t="s">
        <v>34</v>
      </c>
      <c r="V4" s="23" t="s">
        <v>34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26" t="s">
        <v>63</v>
      </c>
      <c r="AB4" s="27">
        <f t="shared" ref="AB4:AB32" si="11">IF(OR(AA4="UsLargeStandardSize",AA4="UsSmallStandardSize"),-0.69,-0.48)</f>
        <v>-0.48</v>
      </c>
      <c r="AC4" s="28">
        <v>0.68162500000000015</v>
      </c>
      <c r="AD4" s="25">
        <f t="shared" ref="AD4:AD32" si="12">IFERROR(AB4*AC4*D4*2,0)</f>
        <v>-4.5805200000000008</v>
      </c>
      <c r="AE4" s="25">
        <v>-18.52</v>
      </c>
      <c r="AF4" s="25">
        <v>-66.926666666666662</v>
      </c>
      <c r="AG4" s="25">
        <v>0</v>
      </c>
    </row>
    <row r="5" spans="1:33" ht="15.75" customHeight="1">
      <c r="A5" s="14" t="s">
        <v>183</v>
      </c>
      <c r="B5" s="14" t="s">
        <v>1236</v>
      </c>
      <c r="C5" s="15">
        <f t="shared" si="4"/>
        <v>141.99</v>
      </c>
      <c r="D5" s="16">
        <v>7</v>
      </c>
      <c r="E5" s="16">
        <v>4</v>
      </c>
      <c r="F5" s="29">
        <v>993.93000000000006</v>
      </c>
      <c r="G5" s="29">
        <v>0</v>
      </c>
      <c r="H5" s="18">
        <f t="shared" si="1"/>
        <v>0</v>
      </c>
      <c r="I5" s="18">
        <f t="shared" si="2"/>
        <v>0.24360669832122783</v>
      </c>
      <c r="J5" s="17">
        <f t="shared" si="5"/>
        <v>242.12800566241799</v>
      </c>
      <c r="K5" s="17">
        <f t="shared" si="3"/>
        <v>34.589715094631138</v>
      </c>
      <c r="L5" s="16">
        <v>147</v>
      </c>
      <c r="M5" s="19">
        <f t="shared" si="6"/>
        <v>4.7619047619047616E-2</v>
      </c>
      <c r="N5" s="16">
        <v>29</v>
      </c>
      <c r="O5" s="20">
        <f t="shared" ref="O5:P5" si="13">D5/7</f>
        <v>1</v>
      </c>
      <c r="P5" s="20">
        <f t="shared" si="13"/>
        <v>0.5714285714285714</v>
      </c>
      <c r="Q5" s="16">
        <f t="shared" si="8"/>
        <v>18</v>
      </c>
      <c r="R5" s="16"/>
      <c r="S5" s="21">
        <v>1.7538994800693199</v>
      </c>
      <c r="T5" s="14">
        <v>200</v>
      </c>
      <c r="U5" s="22" t="s">
        <v>34</v>
      </c>
      <c r="V5" s="23" t="s">
        <v>34</v>
      </c>
      <c r="W5" s="14">
        <v>0</v>
      </c>
      <c r="X5" s="24">
        <f t="shared" si="9"/>
        <v>0</v>
      </c>
      <c r="Y5" s="25">
        <f t="shared" si="10"/>
        <v>0</v>
      </c>
      <c r="Z5" s="14">
        <v>0</v>
      </c>
      <c r="AA5" s="14" t="s">
        <v>63</v>
      </c>
      <c r="AB5" s="27">
        <f t="shared" si="11"/>
        <v>-0.48</v>
      </c>
      <c r="AC5" s="28">
        <v>0.68241483198146013</v>
      </c>
      <c r="AD5" s="25">
        <f t="shared" si="12"/>
        <v>-4.5858276709154122</v>
      </c>
      <c r="AE5" s="25">
        <v>-18.52</v>
      </c>
      <c r="AF5" s="25">
        <v>-66.926666666666662</v>
      </c>
      <c r="AG5" s="25">
        <v>0</v>
      </c>
    </row>
    <row r="6" spans="1:33" ht="15.75" customHeight="1">
      <c r="A6" s="14" t="s">
        <v>185</v>
      </c>
      <c r="B6" s="14" t="s">
        <v>1237</v>
      </c>
      <c r="C6" s="15">
        <f t="shared" si="4"/>
        <v>145.19529411764708</v>
      </c>
      <c r="D6" s="16">
        <v>17</v>
      </c>
      <c r="E6" s="16">
        <v>0</v>
      </c>
      <c r="F6" s="29">
        <v>2468.3200000000002</v>
      </c>
      <c r="G6" s="29">
        <v>0</v>
      </c>
      <c r="H6" s="18">
        <f t="shared" si="1"/>
        <v>0</v>
      </c>
      <c r="I6" s="18">
        <f t="shared" si="2"/>
        <v>0.25699850370562444</v>
      </c>
      <c r="J6" s="17">
        <f t="shared" si="5"/>
        <v>634.35454666666692</v>
      </c>
      <c r="K6" s="17">
        <f t="shared" si="3"/>
        <v>37.314973333333349</v>
      </c>
      <c r="L6" s="16">
        <v>123</v>
      </c>
      <c r="M6" s="19">
        <f t="shared" si="6"/>
        <v>0.13821138211382114</v>
      </c>
      <c r="N6" s="16">
        <v>10</v>
      </c>
      <c r="O6" s="20">
        <f t="shared" ref="O6:P6" si="14">D6/7</f>
        <v>2.4285714285714284</v>
      </c>
      <c r="P6" s="20">
        <f t="shared" si="14"/>
        <v>0</v>
      </c>
      <c r="Q6" s="16">
        <f t="shared" si="8"/>
        <v>4</v>
      </c>
      <c r="R6" s="16"/>
      <c r="S6" s="21">
        <v>1.875</v>
      </c>
      <c r="T6" s="14">
        <v>200</v>
      </c>
      <c r="U6" s="22" t="s">
        <v>34</v>
      </c>
      <c r="V6" s="23" t="s">
        <v>186</v>
      </c>
      <c r="W6" s="14">
        <v>0</v>
      </c>
      <c r="X6" s="24">
        <f t="shared" si="9"/>
        <v>0</v>
      </c>
      <c r="Y6" s="25">
        <f t="shared" si="10"/>
        <v>0</v>
      </c>
      <c r="Z6" s="14">
        <v>0</v>
      </c>
      <c r="AA6" s="14" t="s">
        <v>63</v>
      </c>
      <c r="AB6" s="27">
        <f t="shared" si="11"/>
        <v>-0.48</v>
      </c>
      <c r="AC6" s="28">
        <v>0.68162500000000015</v>
      </c>
      <c r="AD6" s="25">
        <f t="shared" si="12"/>
        <v>-11.124120000000003</v>
      </c>
      <c r="AE6" s="25">
        <v>-18.52</v>
      </c>
      <c r="AF6" s="25">
        <v>-66.926666666666662</v>
      </c>
      <c r="AG6" s="25">
        <v>0</v>
      </c>
    </row>
    <row r="7" spans="1:33" ht="15.75" customHeight="1">
      <c r="A7" s="14" t="s">
        <v>187</v>
      </c>
      <c r="B7" s="14" t="s">
        <v>1238</v>
      </c>
      <c r="C7" s="15">
        <f t="shared" si="4"/>
        <v>159.99</v>
      </c>
      <c r="D7" s="16">
        <v>4</v>
      </c>
      <c r="E7" s="16">
        <v>0</v>
      </c>
      <c r="F7" s="29">
        <v>639.96</v>
      </c>
      <c r="G7" s="29">
        <v>0</v>
      </c>
      <c r="H7" s="18">
        <f t="shared" si="1"/>
        <v>0</v>
      </c>
      <c r="I7" s="18">
        <f t="shared" si="2"/>
        <v>0.31183494801758449</v>
      </c>
      <c r="J7" s="17">
        <f t="shared" si="5"/>
        <v>199.56189333333339</v>
      </c>
      <c r="K7" s="17">
        <f t="shared" si="3"/>
        <v>49.890473333333347</v>
      </c>
      <c r="L7" s="16">
        <v>129</v>
      </c>
      <c r="M7" s="19">
        <f t="shared" si="6"/>
        <v>3.1007751937984496E-2</v>
      </c>
      <c r="N7" s="16">
        <v>6</v>
      </c>
      <c r="O7" s="20">
        <f t="shared" ref="O7:P7" si="15">D7/7</f>
        <v>0.5714285714285714</v>
      </c>
      <c r="P7" s="20">
        <f t="shared" si="15"/>
        <v>0</v>
      </c>
      <c r="Q7" s="16">
        <f t="shared" si="8"/>
        <v>10</v>
      </c>
      <c r="R7" s="16"/>
      <c r="S7" s="21">
        <v>1.97903563941299</v>
      </c>
      <c r="T7" s="14">
        <v>200</v>
      </c>
      <c r="U7" s="22" t="s">
        <v>34</v>
      </c>
      <c r="V7" s="23" t="s">
        <v>186</v>
      </c>
      <c r="W7" s="14">
        <v>0</v>
      </c>
      <c r="X7" s="24">
        <f t="shared" si="9"/>
        <v>0</v>
      </c>
      <c r="Y7" s="25">
        <f t="shared" si="10"/>
        <v>0</v>
      </c>
      <c r="Z7" s="14">
        <v>0</v>
      </c>
      <c r="AA7" s="14" t="s">
        <v>63</v>
      </c>
      <c r="AB7" s="27">
        <f t="shared" si="11"/>
        <v>-0.48</v>
      </c>
      <c r="AC7" s="28">
        <v>0.68162500000000015</v>
      </c>
      <c r="AD7" s="25">
        <f t="shared" si="12"/>
        <v>-2.6174400000000007</v>
      </c>
      <c r="AE7" s="25">
        <v>-18.52</v>
      </c>
      <c r="AF7" s="25">
        <v>-66.926666666666662</v>
      </c>
      <c r="AG7" s="25">
        <v>0</v>
      </c>
    </row>
    <row r="8" spans="1:33" ht="15.75" customHeight="1">
      <c r="A8" s="14" t="s">
        <v>189</v>
      </c>
      <c r="B8" s="14" t="s">
        <v>1239</v>
      </c>
      <c r="C8" s="15" t="str">
        <f t="shared" si="4"/>
        <v xml:space="preserve"> - </v>
      </c>
      <c r="D8" s="16">
        <v>0</v>
      </c>
      <c r="E8" s="16">
        <v>0</v>
      </c>
      <c r="F8" s="29">
        <v>0</v>
      </c>
      <c r="G8" s="29">
        <v>0</v>
      </c>
      <c r="H8" s="18" t="e">
        <f t="shared" si="1"/>
        <v>#DIV/0!</v>
      </c>
      <c r="I8" s="18" t="e">
        <f t="shared" si="2"/>
        <v>#DIV/0!</v>
      </c>
      <c r="J8" s="17">
        <f t="shared" si="5"/>
        <v>0</v>
      </c>
      <c r="K8" s="17" t="e">
        <f t="shared" si="3"/>
        <v>#DIV/0!</v>
      </c>
      <c r="L8" s="16">
        <v>0</v>
      </c>
      <c r="M8" s="19" t="str">
        <f t="shared" si="6"/>
        <v>-</v>
      </c>
      <c r="N8" s="16">
        <v>6</v>
      </c>
      <c r="O8" s="20">
        <f t="shared" ref="O8:P8" si="16">D8/7</f>
        <v>0</v>
      </c>
      <c r="P8" s="20">
        <f t="shared" si="16"/>
        <v>0</v>
      </c>
      <c r="Q8" s="16" t="e">
        <f t="shared" si="8"/>
        <v>#DIV/0!</v>
      </c>
      <c r="R8" s="16"/>
      <c r="S8" s="21">
        <v>2.0046838407494101</v>
      </c>
      <c r="T8" s="14">
        <v>200</v>
      </c>
      <c r="U8" s="22">
        <v>120</v>
      </c>
      <c r="V8" s="23" t="s">
        <v>1240</v>
      </c>
      <c r="W8" s="14">
        <v>0</v>
      </c>
      <c r="X8" s="24">
        <f t="shared" si="9"/>
        <v>0</v>
      </c>
      <c r="Y8" s="25">
        <f t="shared" si="10"/>
        <v>0</v>
      </c>
      <c r="Z8" s="14">
        <v>0</v>
      </c>
      <c r="AA8" s="14" t="s">
        <v>63</v>
      </c>
      <c r="AB8" s="27">
        <f t="shared" si="11"/>
        <v>-0.48</v>
      </c>
      <c r="AC8" s="28">
        <v>0.68162500000000015</v>
      </c>
      <c r="AD8" s="25">
        <f t="shared" si="12"/>
        <v>0</v>
      </c>
      <c r="AE8" s="25">
        <v>-18.52</v>
      </c>
      <c r="AF8" s="25">
        <v>-66.930000000000007</v>
      </c>
      <c r="AG8" s="25">
        <v>0</v>
      </c>
    </row>
    <row r="9" spans="1:33" ht="15.75" customHeight="1">
      <c r="A9" s="14" t="s">
        <v>191</v>
      </c>
      <c r="B9" s="14" t="s">
        <v>68</v>
      </c>
      <c r="C9" s="15">
        <f t="shared" si="4"/>
        <v>174.45</v>
      </c>
      <c r="D9" s="16">
        <v>1</v>
      </c>
      <c r="E9" s="16">
        <v>0</v>
      </c>
      <c r="F9" s="29">
        <v>174.45</v>
      </c>
      <c r="G9" s="29">
        <v>0</v>
      </c>
      <c r="H9" s="18">
        <f t="shared" si="1"/>
        <v>0</v>
      </c>
      <c r="I9" s="18">
        <f t="shared" si="2"/>
        <v>0.34918203878857385</v>
      </c>
      <c r="J9" s="17">
        <f t="shared" si="5"/>
        <v>60.914806666666706</v>
      </c>
      <c r="K9" s="17">
        <f t="shared" si="3"/>
        <v>60.914806666666706</v>
      </c>
      <c r="L9" s="16">
        <v>157</v>
      </c>
      <c r="M9" s="19">
        <f t="shared" si="6"/>
        <v>6.369426751592357E-3</v>
      </c>
      <c r="N9" s="16">
        <v>5</v>
      </c>
      <c r="O9" s="20">
        <f t="shared" ref="O9:P9" si="17">D9/7</f>
        <v>0.14285714285714285</v>
      </c>
      <c r="P9" s="20">
        <f t="shared" si="17"/>
        <v>0</v>
      </c>
      <c r="Q9" s="16">
        <f t="shared" si="8"/>
        <v>35</v>
      </c>
      <c r="R9" s="16"/>
      <c r="S9" s="21">
        <v>1.87261146496815</v>
      </c>
      <c r="T9" s="14">
        <v>200</v>
      </c>
      <c r="U9" s="22">
        <v>120</v>
      </c>
      <c r="V9" s="23" t="s">
        <v>1241</v>
      </c>
      <c r="W9" s="14">
        <v>0</v>
      </c>
      <c r="X9" s="24">
        <f t="shared" si="9"/>
        <v>0</v>
      </c>
      <c r="Y9" s="25">
        <f t="shared" si="10"/>
        <v>0</v>
      </c>
      <c r="Z9" s="14">
        <v>0</v>
      </c>
      <c r="AA9" s="14" t="s">
        <v>63</v>
      </c>
      <c r="AB9" s="27">
        <f t="shared" si="11"/>
        <v>-0.48</v>
      </c>
      <c r="AC9" s="28">
        <v>0.68162500000000015</v>
      </c>
      <c r="AD9" s="25">
        <f t="shared" si="12"/>
        <v>-0.65436000000000016</v>
      </c>
      <c r="AE9" s="25">
        <v>-18.52</v>
      </c>
      <c r="AF9" s="25">
        <v>-68.1933333333333</v>
      </c>
      <c r="AG9" s="25">
        <v>0</v>
      </c>
    </row>
    <row r="10" spans="1:33" ht="15.75" customHeight="1">
      <c r="A10" s="14" t="s">
        <v>192</v>
      </c>
      <c r="B10" s="14" t="s">
        <v>343</v>
      </c>
      <c r="C10" s="15">
        <f t="shared" si="4"/>
        <v>169.99</v>
      </c>
      <c r="D10" s="16">
        <v>4</v>
      </c>
      <c r="E10" s="16">
        <v>0</v>
      </c>
      <c r="F10" s="29">
        <v>679.96</v>
      </c>
      <c r="G10" s="29">
        <v>0</v>
      </c>
      <c r="H10" s="18">
        <f t="shared" si="1"/>
        <v>0</v>
      </c>
      <c r="I10" s="18">
        <f t="shared" si="2"/>
        <v>0.33604215934270665</v>
      </c>
      <c r="J10" s="17">
        <f t="shared" si="5"/>
        <v>228.49522666666684</v>
      </c>
      <c r="K10" s="17">
        <f t="shared" si="3"/>
        <v>57.123806666666709</v>
      </c>
      <c r="L10" s="16">
        <v>137</v>
      </c>
      <c r="M10" s="19">
        <f t="shared" si="6"/>
        <v>2.9197080291970802E-2</v>
      </c>
      <c r="N10" s="16">
        <v>2</v>
      </c>
      <c r="O10" s="20">
        <f t="shared" ref="O10:P10" si="18">D10/7</f>
        <v>0.5714285714285714</v>
      </c>
      <c r="P10" s="20">
        <f t="shared" si="18"/>
        <v>0</v>
      </c>
      <c r="Q10" s="16">
        <f t="shared" si="8"/>
        <v>3</v>
      </c>
      <c r="R10" s="16"/>
      <c r="S10" s="21" t="e">
        <v>#N/A</v>
      </c>
      <c r="T10" s="14">
        <v>200</v>
      </c>
      <c r="U10" s="22">
        <v>120</v>
      </c>
      <c r="V10" s="23" t="s">
        <v>1242</v>
      </c>
      <c r="W10" s="14">
        <v>0</v>
      </c>
      <c r="X10" s="24">
        <f t="shared" si="9"/>
        <v>0</v>
      </c>
      <c r="Y10" s="25">
        <f t="shared" si="10"/>
        <v>0</v>
      </c>
      <c r="Z10" s="14">
        <v>0</v>
      </c>
      <c r="AA10" s="14" t="s">
        <v>63</v>
      </c>
      <c r="AB10" s="27">
        <f t="shared" si="11"/>
        <v>-0.48</v>
      </c>
      <c r="AC10" s="28">
        <v>0.68162500000000015</v>
      </c>
      <c r="AD10" s="25">
        <f t="shared" si="12"/>
        <v>-2.6174400000000007</v>
      </c>
      <c r="AE10" s="25">
        <v>-18.52</v>
      </c>
      <c r="AF10" s="25">
        <v>-68.1933333333333</v>
      </c>
      <c r="AG10" s="25">
        <v>0</v>
      </c>
    </row>
    <row r="11" spans="1:33" ht="15.75" customHeight="1">
      <c r="A11" s="14" t="s">
        <v>193</v>
      </c>
      <c r="B11" s="14"/>
      <c r="C11" s="15" t="str">
        <f t="shared" si="4"/>
        <v xml:space="preserve"> - </v>
      </c>
      <c r="D11" s="16">
        <v>0</v>
      </c>
      <c r="E11" s="16">
        <v>0</v>
      </c>
      <c r="F11" s="29">
        <v>0</v>
      </c>
      <c r="G11" s="29">
        <v>0</v>
      </c>
      <c r="H11" s="18" t="e">
        <f t="shared" si="1"/>
        <v>#DIV/0!</v>
      </c>
      <c r="I11" s="18" t="e">
        <f t="shared" si="2"/>
        <v>#DIV/0!</v>
      </c>
      <c r="J11" s="17">
        <f t="shared" si="5"/>
        <v>0</v>
      </c>
      <c r="K11" s="17" t="e">
        <f t="shared" si="3"/>
        <v>#DIV/0!</v>
      </c>
      <c r="L11" s="16">
        <v>0</v>
      </c>
      <c r="M11" s="19" t="str">
        <f t="shared" si="6"/>
        <v>-</v>
      </c>
      <c r="N11" s="16">
        <v>1</v>
      </c>
      <c r="O11" s="20">
        <f t="shared" ref="O11:P11" si="19">D11/7</f>
        <v>0</v>
      </c>
      <c r="P11" s="20">
        <f t="shared" si="19"/>
        <v>0</v>
      </c>
      <c r="Q11" s="16" t="e">
        <f t="shared" si="8"/>
        <v>#DIV/0!</v>
      </c>
      <c r="R11" s="16"/>
      <c r="S11" s="21" t="e">
        <v>#N/A</v>
      </c>
      <c r="T11" s="14">
        <v>200</v>
      </c>
      <c r="U11" s="22">
        <v>120</v>
      </c>
      <c r="V11" s="23" t="s">
        <v>1243</v>
      </c>
      <c r="W11" s="14">
        <v>0</v>
      </c>
      <c r="X11" s="24">
        <f t="shared" si="9"/>
        <v>0</v>
      </c>
      <c r="Y11" s="25">
        <f t="shared" si="10"/>
        <v>0</v>
      </c>
      <c r="Z11" s="14">
        <v>0</v>
      </c>
      <c r="AA11" s="14" t="e">
        <v>#N/A</v>
      </c>
      <c r="AB11" s="27" t="e">
        <f t="shared" si="11"/>
        <v>#N/A</v>
      </c>
      <c r="AC11" s="28" t="e">
        <v>#N/A</v>
      </c>
      <c r="AD11" s="25">
        <f t="shared" si="12"/>
        <v>0</v>
      </c>
      <c r="AE11" s="25">
        <v>0</v>
      </c>
      <c r="AF11" s="25">
        <v>-68.1933333333333</v>
      </c>
      <c r="AG11" s="25">
        <v>0</v>
      </c>
    </row>
    <row r="12" spans="1:33" ht="15.75" customHeight="1">
      <c r="A12" s="14" t="s">
        <v>195</v>
      </c>
      <c r="B12" s="14"/>
      <c r="C12" s="15" t="str">
        <f t="shared" si="4"/>
        <v xml:space="preserve"> - </v>
      </c>
      <c r="D12" s="16">
        <v>0</v>
      </c>
      <c r="E12" s="16">
        <v>0</v>
      </c>
      <c r="F12" s="29">
        <v>0</v>
      </c>
      <c r="G12" s="29">
        <v>0</v>
      </c>
      <c r="H12" s="18" t="e">
        <f t="shared" si="1"/>
        <v>#DIV/0!</v>
      </c>
      <c r="I12" s="18" t="e">
        <f t="shared" si="2"/>
        <v>#DIV/0!</v>
      </c>
      <c r="J12" s="17">
        <f t="shared" si="5"/>
        <v>0</v>
      </c>
      <c r="K12" s="17" t="e">
        <f t="shared" si="3"/>
        <v>#DIV/0!</v>
      </c>
      <c r="L12" s="16">
        <v>0</v>
      </c>
      <c r="M12" s="19" t="str">
        <f t="shared" si="6"/>
        <v>-</v>
      </c>
      <c r="N12" s="16">
        <v>1</v>
      </c>
      <c r="O12" s="20">
        <f t="shared" ref="O12:P12" si="20">D12/7</f>
        <v>0</v>
      </c>
      <c r="P12" s="20">
        <f t="shared" si="20"/>
        <v>0</v>
      </c>
      <c r="Q12" s="16" t="e">
        <f t="shared" si="8"/>
        <v>#DIV/0!</v>
      </c>
      <c r="R12" s="16"/>
      <c r="S12" s="21" t="e">
        <v>#N/A</v>
      </c>
      <c r="T12" s="14">
        <v>200</v>
      </c>
      <c r="U12" s="22">
        <v>120</v>
      </c>
      <c r="V12" s="23" t="s">
        <v>1243</v>
      </c>
      <c r="W12" s="14">
        <v>0</v>
      </c>
      <c r="X12" s="24">
        <f t="shared" si="9"/>
        <v>0</v>
      </c>
      <c r="Y12" s="25">
        <f t="shared" si="10"/>
        <v>0</v>
      </c>
      <c r="Z12" s="14">
        <v>0</v>
      </c>
      <c r="AA12" s="14" t="e">
        <v>#N/A</v>
      </c>
      <c r="AB12" s="27" t="e">
        <f t="shared" si="11"/>
        <v>#N/A</v>
      </c>
      <c r="AC12" s="28" t="e">
        <v>#N/A</v>
      </c>
      <c r="AD12" s="25">
        <f t="shared" si="12"/>
        <v>0</v>
      </c>
      <c r="AE12" s="25">
        <v>0</v>
      </c>
      <c r="AF12" s="25">
        <v>-68.1933333333333</v>
      </c>
      <c r="AG12" s="25">
        <v>0</v>
      </c>
    </row>
    <row r="13" spans="1:33" ht="15.75" customHeight="1">
      <c r="A13" s="14" t="s">
        <v>197</v>
      </c>
      <c r="B13" s="14"/>
      <c r="C13" s="15" t="str">
        <f t="shared" si="4"/>
        <v xml:space="preserve"> - </v>
      </c>
      <c r="D13" s="16">
        <v>0</v>
      </c>
      <c r="E13" s="16">
        <v>0</v>
      </c>
      <c r="F13" s="17">
        <v>0</v>
      </c>
      <c r="G13" s="29">
        <v>0</v>
      </c>
      <c r="H13" s="18" t="e">
        <f t="shared" si="1"/>
        <v>#DIV/0!</v>
      </c>
      <c r="I13" s="18" t="e">
        <f t="shared" si="2"/>
        <v>#DIV/0!</v>
      </c>
      <c r="J13" s="17">
        <f t="shared" si="5"/>
        <v>0</v>
      </c>
      <c r="K13" s="17" t="e">
        <f t="shared" si="3"/>
        <v>#DIV/0!</v>
      </c>
      <c r="L13" s="16">
        <v>0</v>
      </c>
      <c r="M13" s="19" t="str">
        <f t="shared" si="6"/>
        <v>-</v>
      </c>
      <c r="N13" s="16">
        <v>1</v>
      </c>
      <c r="O13" s="20">
        <f t="shared" ref="O13:P13" si="21">D13/7</f>
        <v>0</v>
      </c>
      <c r="P13" s="20">
        <f t="shared" si="21"/>
        <v>0</v>
      </c>
      <c r="Q13" s="16" t="e">
        <f t="shared" si="8"/>
        <v>#DIV/0!</v>
      </c>
      <c r="R13" s="16"/>
      <c r="S13" s="21" t="e">
        <v>#N/A</v>
      </c>
      <c r="T13" s="14">
        <v>200</v>
      </c>
      <c r="U13" s="22">
        <v>120</v>
      </c>
      <c r="V13" s="23" t="s">
        <v>1243</v>
      </c>
      <c r="W13" s="14">
        <v>0</v>
      </c>
      <c r="X13" s="24">
        <f t="shared" si="9"/>
        <v>0</v>
      </c>
      <c r="Y13" s="25">
        <f t="shared" si="10"/>
        <v>0</v>
      </c>
      <c r="Z13" s="14">
        <v>0</v>
      </c>
      <c r="AA13" s="14" t="e">
        <v>#N/A</v>
      </c>
      <c r="AB13" s="27" t="e">
        <f t="shared" si="11"/>
        <v>#N/A</v>
      </c>
      <c r="AC13" s="28" t="e">
        <v>#N/A</v>
      </c>
      <c r="AD13" s="25">
        <f t="shared" si="12"/>
        <v>0</v>
      </c>
      <c r="AE13" s="25">
        <v>0</v>
      </c>
      <c r="AF13" s="25">
        <v>-68.86</v>
      </c>
      <c r="AG13" s="25">
        <v>0</v>
      </c>
    </row>
    <row r="14" spans="1:33" ht="15.75" customHeight="1">
      <c r="A14" s="14" t="s">
        <v>32</v>
      </c>
      <c r="B14" s="14"/>
      <c r="C14" s="15" t="str">
        <f t="shared" si="4"/>
        <v xml:space="preserve"> - </v>
      </c>
      <c r="D14" s="16">
        <v>0</v>
      </c>
      <c r="E14" s="16">
        <v>0</v>
      </c>
      <c r="F14" s="17">
        <v>0</v>
      </c>
      <c r="G14" s="29">
        <v>0</v>
      </c>
      <c r="H14" s="18" t="e">
        <f t="shared" si="1"/>
        <v>#DIV/0!</v>
      </c>
      <c r="I14" s="18" t="e">
        <f t="shared" si="2"/>
        <v>#DIV/0!</v>
      </c>
      <c r="J14" s="17">
        <f t="shared" si="5"/>
        <v>0</v>
      </c>
      <c r="K14" s="17" t="e">
        <f t="shared" si="3"/>
        <v>#DIV/0!</v>
      </c>
      <c r="L14" s="16">
        <v>0</v>
      </c>
      <c r="M14" s="19" t="str">
        <f t="shared" si="6"/>
        <v>-</v>
      </c>
      <c r="N14" s="16">
        <v>1</v>
      </c>
      <c r="O14" s="20">
        <f t="shared" ref="O14:P14" si="22">D14/7</f>
        <v>0</v>
      </c>
      <c r="P14" s="20">
        <f t="shared" si="22"/>
        <v>0</v>
      </c>
      <c r="Q14" s="16" t="e">
        <f t="shared" si="8"/>
        <v>#DIV/0!</v>
      </c>
      <c r="R14" s="16"/>
      <c r="S14" s="21" t="e">
        <v>#N/A</v>
      </c>
      <c r="T14" s="14">
        <v>200</v>
      </c>
      <c r="U14" s="22">
        <v>120</v>
      </c>
      <c r="V14" s="23" t="s">
        <v>1243</v>
      </c>
      <c r="W14" s="14">
        <v>0</v>
      </c>
      <c r="X14" s="24">
        <f t="shared" si="9"/>
        <v>0</v>
      </c>
      <c r="Y14" s="25">
        <f t="shared" si="10"/>
        <v>0</v>
      </c>
      <c r="Z14" s="14">
        <v>0</v>
      </c>
      <c r="AA14" s="14" t="e">
        <v>#N/A</v>
      </c>
      <c r="AB14" s="27" t="e">
        <f t="shared" si="11"/>
        <v>#N/A</v>
      </c>
      <c r="AC14" s="28" t="e">
        <v>#N/A</v>
      </c>
      <c r="AD14" s="25">
        <f t="shared" si="12"/>
        <v>0</v>
      </c>
      <c r="AE14" s="25">
        <v>0</v>
      </c>
      <c r="AF14" s="25">
        <v>-68.86</v>
      </c>
      <c r="AG14" s="25">
        <v>0</v>
      </c>
    </row>
    <row r="15" spans="1:33" ht="15.75" customHeight="1">
      <c r="A15" s="14" t="s">
        <v>36</v>
      </c>
      <c r="B15" s="14"/>
      <c r="C15" s="15" t="str">
        <f t="shared" si="4"/>
        <v xml:space="preserve"> - </v>
      </c>
      <c r="D15" s="16">
        <v>0</v>
      </c>
      <c r="E15" s="16">
        <v>0</v>
      </c>
      <c r="F15" s="17">
        <v>0</v>
      </c>
      <c r="G15" s="29">
        <v>0</v>
      </c>
      <c r="H15" s="18" t="e">
        <f t="shared" si="1"/>
        <v>#DIV/0!</v>
      </c>
      <c r="I15" s="18" t="e">
        <f t="shared" si="2"/>
        <v>#DIV/0!</v>
      </c>
      <c r="J15" s="17">
        <f t="shared" si="5"/>
        <v>0</v>
      </c>
      <c r="K15" s="17" t="e">
        <f t="shared" si="3"/>
        <v>#DIV/0!</v>
      </c>
      <c r="L15" s="16">
        <v>0</v>
      </c>
      <c r="M15" s="19" t="str">
        <f t="shared" si="6"/>
        <v>-</v>
      </c>
      <c r="N15" s="16">
        <v>1</v>
      </c>
      <c r="O15" s="20">
        <f t="shared" ref="O15:P15" si="23">D15/7</f>
        <v>0</v>
      </c>
      <c r="P15" s="20">
        <f t="shared" si="23"/>
        <v>0</v>
      </c>
      <c r="Q15" s="16" t="e">
        <f t="shared" si="8"/>
        <v>#DIV/0!</v>
      </c>
      <c r="R15" s="16"/>
      <c r="S15" s="21" t="e">
        <v>#N/A</v>
      </c>
      <c r="T15" s="14">
        <v>200</v>
      </c>
      <c r="U15" s="22">
        <v>120</v>
      </c>
      <c r="V15" s="23" t="s">
        <v>1243</v>
      </c>
      <c r="W15" s="14">
        <v>0</v>
      </c>
      <c r="X15" s="24">
        <f t="shared" si="9"/>
        <v>0</v>
      </c>
      <c r="Y15" s="25">
        <f t="shared" si="10"/>
        <v>0</v>
      </c>
      <c r="Z15" s="14">
        <v>0</v>
      </c>
      <c r="AA15" s="14" t="e">
        <v>#N/A</v>
      </c>
      <c r="AB15" s="27" t="e">
        <f t="shared" si="11"/>
        <v>#N/A</v>
      </c>
      <c r="AC15" s="28" t="e">
        <v>#N/A</v>
      </c>
      <c r="AD15" s="25">
        <f t="shared" si="12"/>
        <v>0</v>
      </c>
      <c r="AE15" s="25">
        <v>0</v>
      </c>
      <c r="AF15" s="25">
        <v>-75.28</v>
      </c>
      <c r="AG15" s="25">
        <v>0</v>
      </c>
    </row>
    <row r="16" spans="1:33" ht="15.75" customHeight="1">
      <c r="A16" s="14" t="s">
        <v>38</v>
      </c>
      <c r="B16" s="14"/>
      <c r="C16" s="15" t="str">
        <f t="shared" si="4"/>
        <v xml:space="preserve"> - </v>
      </c>
      <c r="D16" s="16">
        <v>0</v>
      </c>
      <c r="E16" s="16">
        <v>0</v>
      </c>
      <c r="F16" s="17">
        <v>0</v>
      </c>
      <c r="G16" s="29">
        <v>0</v>
      </c>
      <c r="H16" s="18" t="e">
        <f t="shared" si="1"/>
        <v>#DIV/0!</v>
      </c>
      <c r="I16" s="18" t="e">
        <f t="shared" si="2"/>
        <v>#DIV/0!</v>
      </c>
      <c r="J16" s="17">
        <f t="shared" si="5"/>
        <v>0</v>
      </c>
      <c r="K16" s="17" t="e">
        <f t="shared" si="3"/>
        <v>#DIV/0!</v>
      </c>
      <c r="L16" s="16">
        <v>0</v>
      </c>
      <c r="M16" s="19" t="str">
        <f t="shared" si="6"/>
        <v>-</v>
      </c>
      <c r="N16" s="16">
        <v>1</v>
      </c>
      <c r="O16" s="20">
        <f t="shared" ref="O16:P16" si="24">D16/7</f>
        <v>0</v>
      </c>
      <c r="P16" s="20">
        <f t="shared" si="24"/>
        <v>0</v>
      </c>
      <c r="Q16" s="16" t="e">
        <f t="shared" si="8"/>
        <v>#DIV/0!</v>
      </c>
      <c r="R16" s="16"/>
      <c r="S16" s="21" t="e">
        <v>#N/A</v>
      </c>
      <c r="T16" s="14">
        <v>200</v>
      </c>
      <c r="U16" s="22">
        <v>120</v>
      </c>
      <c r="V16" s="23" t="s">
        <v>1243</v>
      </c>
      <c r="W16" s="14">
        <v>0</v>
      </c>
      <c r="X16" s="24">
        <f t="shared" si="9"/>
        <v>0</v>
      </c>
      <c r="Y16" s="25">
        <f t="shared" si="10"/>
        <v>0</v>
      </c>
      <c r="Z16" s="14">
        <v>0</v>
      </c>
      <c r="AA16" s="14" t="e">
        <v>#N/A</v>
      </c>
      <c r="AB16" s="27" t="e">
        <f t="shared" si="11"/>
        <v>#N/A</v>
      </c>
      <c r="AC16" s="28" t="e">
        <v>#N/A</v>
      </c>
      <c r="AD16" s="25">
        <f t="shared" si="12"/>
        <v>0</v>
      </c>
      <c r="AE16" s="25">
        <v>0</v>
      </c>
      <c r="AF16" s="25">
        <v>-75.28</v>
      </c>
      <c r="AG16" s="25">
        <v>0</v>
      </c>
    </row>
    <row r="17" spans="1:33" ht="15.75" customHeight="1">
      <c r="A17" s="14" t="s">
        <v>40</v>
      </c>
      <c r="B17" s="14" t="s">
        <v>1244</v>
      </c>
      <c r="C17" s="15" t="str">
        <f t="shared" si="4"/>
        <v xml:space="preserve"> - </v>
      </c>
      <c r="D17" s="16">
        <v>0</v>
      </c>
      <c r="E17" s="16">
        <v>0</v>
      </c>
      <c r="F17" s="17">
        <v>0</v>
      </c>
      <c r="G17" s="29">
        <v>0</v>
      </c>
      <c r="H17" s="18" t="e">
        <f t="shared" si="1"/>
        <v>#DIV/0!</v>
      </c>
      <c r="I17" s="18" t="e">
        <f t="shared" si="2"/>
        <v>#DIV/0!</v>
      </c>
      <c r="J17" s="17">
        <f t="shared" si="5"/>
        <v>0</v>
      </c>
      <c r="K17" s="17" t="e">
        <f t="shared" si="3"/>
        <v>#DIV/0!</v>
      </c>
      <c r="L17" s="16">
        <v>0</v>
      </c>
      <c r="M17" s="19" t="str">
        <f t="shared" si="6"/>
        <v>-</v>
      </c>
      <c r="N17" s="16">
        <v>1</v>
      </c>
      <c r="O17" s="20">
        <f t="shared" ref="O17:P17" si="25">D17/7</f>
        <v>0</v>
      </c>
      <c r="P17" s="20">
        <f t="shared" si="25"/>
        <v>0</v>
      </c>
      <c r="Q17" s="16" t="e">
        <f t="shared" si="8"/>
        <v>#DIV/0!</v>
      </c>
      <c r="R17" s="16"/>
      <c r="S17" s="21" t="e">
        <v>#N/A</v>
      </c>
      <c r="T17" s="14">
        <v>200</v>
      </c>
      <c r="U17" s="22">
        <v>120</v>
      </c>
      <c r="V17" s="23" t="s">
        <v>1243</v>
      </c>
      <c r="W17" s="14">
        <v>0</v>
      </c>
      <c r="X17" s="24">
        <f t="shared" si="9"/>
        <v>0</v>
      </c>
      <c r="Y17" s="25">
        <f t="shared" si="10"/>
        <v>0</v>
      </c>
      <c r="Z17" s="14">
        <v>0</v>
      </c>
      <c r="AA17" s="14" t="e">
        <v>#N/A</v>
      </c>
      <c r="AB17" s="27" t="e">
        <f t="shared" si="11"/>
        <v>#N/A</v>
      </c>
      <c r="AC17" s="28" t="e">
        <v>#N/A</v>
      </c>
      <c r="AD17" s="25">
        <f t="shared" si="12"/>
        <v>0</v>
      </c>
      <c r="AE17" s="25">
        <v>0</v>
      </c>
      <c r="AF17" s="25">
        <v>-75.28</v>
      </c>
      <c r="AG17" s="25">
        <v>0</v>
      </c>
    </row>
    <row r="18" spans="1:33" ht="15.75" customHeight="1">
      <c r="A18" s="14" t="s">
        <v>42</v>
      </c>
      <c r="B18" s="14" t="s">
        <v>45</v>
      </c>
      <c r="C18" s="15" t="str">
        <f t="shared" si="4"/>
        <v xml:space="preserve"> - </v>
      </c>
      <c r="D18" s="16">
        <v>0</v>
      </c>
      <c r="E18" s="16">
        <v>0</v>
      </c>
      <c r="F18" s="17">
        <v>0</v>
      </c>
      <c r="G18" s="29">
        <v>0</v>
      </c>
      <c r="H18" s="18" t="e">
        <f t="shared" si="1"/>
        <v>#DIV/0!</v>
      </c>
      <c r="I18" s="18" t="e">
        <f t="shared" si="2"/>
        <v>#DIV/0!</v>
      </c>
      <c r="J18" s="17">
        <f t="shared" si="5"/>
        <v>0</v>
      </c>
      <c r="K18" s="17" t="e">
        <f t="shared" si="3"/>
        <v>#DIV/0!</v>
      </c>
      <c r="L18" s="16">
        <v>0</v>
      </c>
      <c r="M18" s="19" t="str">
        <f t="shared" si="6"/>
        <v>-</v>
      </c>
      <c r="N18" s="16">
        <v>1</v>
      </c>
      <c r="O18" s="20">
        <f t="shared" ref="O18:P18" si="26">D18/7</f>
        <v>0</v>
      </c>
      <c r="P18" s="20">
        <f t="shared" si="26"/>
        <v>0</v>
      </c>
      <c r="Q18" s="16" t="e">
        <f t="shared" si="8"/>
        <v>#DIV/0!</v>
      </c>
      <c r="R18" s="16"/>
      <c r="S18" s="21" t="e">
        <v>#N/A</v>
      </c>
      <c r="T18" s="14">
        <v>80</v>
      </c>
      <c r="U18" s="22">
        <v>0</v>
      </c>
      <c r="V18" s="23" t="s">
        <v>34</v>
      </c>
      <c r="W18" s="14">
        <v>0</v>
      </c>
      <c r="X18" s="24">
        <f t="shared" si="9"/>
        <v>0</v>
      </c>
      <c r="Y18" s="25">
        <f t="shared" si="10"/>
        <v>0</v>
      </c>
      <c r="Z18" s="14">
        <v>0</v>
      </c>
      <c r="AA18" s="14" t="e">
        <v>#N/A</v>
      </c>
      <c r="AB18" s="27" t="e">
        <f t="shared" si="11"/>
        <v>#N/A</v>
      </c>
      <c r="AC18" s="28" t="e">
        <v>#N/A</v>
      </c>
      <c r="AD18" s="25">
        <f t="shared" si="12"/>
        <v>0</v>
      </c>
      <c r="AE18" s="25">
        <v>0</v>
      </c>
      <c r="AF18" s="25">
        <v>-75.28</v>
      </c>
      <c r="AG18" s="25">
        <v>0</v>
      </c>
    </row>
    <row r="19" spans="1:33" ht="15.75" customHeight="1">
      <c r="A19" s="14" t="s">
        <v>44</v>
      </c>
      <c r="B19" s="14" t="s">
        <v>45</v>
      </c>
      <c r="C19" s="15" t="str">
        <f t="shared" si="4"/>
        <v xml:space="preserve"> - </v>
      </c>
      <c r="D19" s="16">
        <v>0</v>
      </c>
      <c r="E19" s="16">
        <v>0</v>
      </c>
      <c r="F19" s="17">
        <v>0</v>
      </c>
      <c r="G19" s="29">
        <v>0</v>
      </c>
      <c r="H19" s="18" t="e">
        <f t="shared" si="1"/>
        <v>#DIV/0!</v>
      </c>
      <c r="I19" s="18" t="e">
        <f t="shared" si="2"/>
        <v>#DIV/0!</v>
      </c>
      <c r="J19" s="17">
        <f t="shared" si="5"/>
        <v>0</v>
      </c>
      <c r="K19" s="17" t="e">
        <f t="shared" si="3"/>
        <v>#DIV/0!</v>
      </c>
      <c r="L19" s="16">
        <v>0</v>
      </c>
      <c r="M19" s="19" t="str">
        <f t="shared" si="6"/>
        <v>-</v>
      </c>
      <c r="N19" s="16">
        <v>1</v>
      </c>
      <c r="O19" s="20">
        <f t="shared" ref="O19:P19" si="27">D19/7</f>
        <v>0</v>
      </c>
      <c r="P19" s="20">
        <f t="shared" si="27"/>
        <v>0</v>
      </c>
      <c r="Q19" s="16" t="e">
        <f t="shared" si="8"/>
        <v>#DIV/0!</v>
      </c>
      <c r="R19" s="16"/>
      <c r="S19" s="21" t="e">
        <v>#N/A</v>
      </c>
      <c r="T19" s="14">
        <v>80</v>
      </c>
      <c r="U19" s="22" t="s">
        <v>34</v>
      </c>
      <c r="V19" s="23" t="s">
        <v>34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14" t="e">
        <v>#N/A</v>
      </c>
      <c r="AB19" s="27" t="e">
        <f t="shared" si="11"/>
        <v>#N/A</v>
      </c>
      <c r="AC19" s="28" t="e">
        <v>#N/A</v>
      </c>
      <c r="AD19" s="25">
        <f t="shared" si="12"/>
        <v>0</v>
      </c>
      <c r="AE19" s="25">
        <v>0</v>
      </c>
      <c r="AF19" s="25">
        <v>-78.784000000000006</v>
      </c>
      <c r="AG19" s="25">
        <v>0</v>
      </c>
    </row>
    <row r="20" spans="1:33" ht="15.75" customHeight="1">
      <c r="A20" s="14" t="s">
        <v>46</v>
      </c>
      <c r="B20" s="14" t="s">
        <v>45</v>
      </c>
      <c r="C20" s="15" t="str">
        <f t="shared" si="4"/>
        <v xml:space="preserve"> - </v>
      </c>
      <c r="D20" s="16">
        <v>0</v>
      </c>
      <c r="E20" s="16">
        <v>0</v>
      </c>
      <c r="F20" s="17">
        <v>0</v>
      </c>
      <c r="G20" s="29">
        <v>0</v>
      </c>
      <c r="H20" s="18" t="e">
        <f t="shared" si="1"/>
        <v>#DIV/0!</v>
      </c>
      <c r="I20" s="18" t="e">
        <f t="shared" si="2"/>
        <v>#DIV/0!</v>
      </c>
      <c r="J20" s="17">
        <f t="shared" si="5"/>
        <v>0</v>
      </c>
      <c r="K20" s="17" t="e">
        <f t="shared" si="3"/>
        <v>#DIV/0!</v>
      </c>
      <c r="L20" s="16">
        <v>0</v>
      </c>
      <c r="M20" s="19" t="str">
        <f t="shared" si="6"/>
        <v>-</v>
      </c>
      <c r="N20" s="16">
        <v>1</v>
      </c>
      <c r="O20" s="20">
        <f t="shared" ref="O20:P20" si="28">D20/7</f>
        <v>0</v>
      </c>
      <c r="P20" s="20">
        <f t="shared" si="28"/>
        <v>0</v>
      </c>
      <c r="Q20" s="16" t="e">
        <f t="shared" si="8"/>
        <v>#DIV/0!</v>
      </c>
      <c r="R20" s="16"/>
      <c r="S20" s="21" t="e">
        <v>#N/A</v>
      </c>
      <c r="T20" s="14">
        <v>80</v>
      </c>
      <c r="U20" s="22" t="s">
        <v>34</v>
      </c>
      <c r="V20" s="23" t="s">
        <v>34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14" t="e">
        <v>#N/A</v>
      </c>
      <c r="AB20" s="27" t="e">
        <f t="shared" si="11"/>
        <v>#N/A</v>
      </c>
      <c r="AC20" s="28" t="e">
        <v>#N/A</v>
      </c>
      <c r="AD20" s="25">
        <f t="shared" si="12"/>
        <v>0</v>
      </c>
      <c r="AE20" s="25">
        <v>0</v>
      </c>
      <c r="AF20" s="25">
        <v>-78.784000000000006</v>
      </c>
      <c r="AG20" s="25">
        <v>0</v>
      </c>
    </row>
    <row r="21" spans="1:33" ht="15.75" customHeight="1">
      <c r="A21" s="14" t="s">
        <v>47</v>
      </c>
      <c r="B21" s="14"/>
      <c r="C21" s="15" t="str">
        <f t="shared" si="4"/>
        <v xml:space="preserve"> - </v>
      </c>
      <c r="D21" s="16">
        <v>0</v>
      </c>
      <c r="E21" s="16">
        <v>0</v>
      </c>
      <c r="F21" s="17">
        <v>0</v>
      </c>
      <c r="G21" s="29">
        <v>0</v>
      </c>
      <c r="H21" s="18" t="e">
        <f t="shared" si="1"/>
        <v>#DIV/0!</v>
      </c>
      <c r="I21" s="18" t="e">
        <f t="shared" si="2"/>
        <v>#DIV/0!</v>
      </c>
      <c r="J21" s="17">
        <f t="shared" si="5"/>
        <v>0</v>
      </c>
      <c r="K21" s="17" t="e">
        <f t="shared" si="3"/>
        <v>#DIV/0!</v>
      </c>
      <c r="L21" s="16">
        <v>0</v>
      </c>
      <c r="M21" s="19" t="str">
        <f t="shared" si="6"/>
        <v>-</v>
      </c>
      <c r="N21" s="16">
        <v>1</v>
      </c>
      <c r="O21" s="20">
        <f t="shared" ref="O21:P21" si="29">D21/7</f>
        <v>0</v>
      </c>
      <c r="P21" s="20">
        <f t="shared" si="29"/>
        <v>0</v>
      </c>
      <c r="Q21" s="16" t="e">
        <f t="shared" si="8"/>
        <v>#DIV/0!</v>
      </c>
      <c r="R21" s="16"/>
      <c r="S21" s="21" t="e">
        <v>#N/A</v>
      </c>
      <c r="T21" s="14">
        <v>80</v>
      </c>
      <c r="U21" s="22" t="s">
        <v>34</v>
      </c>
      <c r="V21" s="23" t="s">
        <v>34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14" t="e">
        <v>#N/A</v>
      </c>
      <c r="AB21" s="27" t="e">
        <f t="shared" si="11"/>
        <v>#N/A</v>
      </c>
      <c r="AC21" s="28" t="e">
        <v>#N/A</v>
      </c>
      <c r="AD21" s="25">
        <f t="shared" si="12"/>
        <v>0</v>
      </c>
      <c r="AE21" s="25">
        <v>0</v>
      </c>
      <c r="AF21" s="25">
        <v>-78.784000000000006</v>
      </c>
      <c r="AG21" s="25">
        <v>0</v>
      </c>
    </row>
    <row r="22" spans="1:33" ht="15.75" customHeight="1">
      <c r="A22" s="14" t="s">
        <v>48</v>
      </c>
      <c r="B22" s="14"/>
      <c r="C22" s="15" t="str">
        <f t="shared" si="4"/>
        <v xml:space="preserve"> - </v>
      </c>
      <c r="D22" s="16">
        <v>0</v>
      </c>
      <c r="E22" s="16">
        <v>0</v>
      </c>
      <c r="F22" s="29">
        <v>0</v>
      </c>
      <c r="G22" s="29">
        <v>0</v>
      </c>
      <c r="H22" s="18" t="e">
        <f t="shared" si="1"/>
        <v>#DIV/0!</v>
      </c>
      <c r="I22" s="18" t="e">
        <f t="shared" si="2"/>
        <v>#DIV/0!</v>
      </c>
      <c r="J22" s="17">
        <f t="shared" si="5"/>
        <v>0</v>
      </c>
      <c r="K22" s="17" t="e">
        <f t="shared" si="3"/>
        <v>#DIV/0!</v>
      </c>
      <c r="L22" s="16">
        <v>0</v>
      </c>
      <c r="M22" s="19" t="str">
        <f t="shared" si="6"/>
        <v>-</v>
      </c>
      <c r="N22" s="16">
        <v>1</v>
      </c>
      <c r="O22" s="20">
        <f t="shared" ref="O22:P22" si="30">D22/7</f>
        <v>0</v>
      </c>
      <c r="P22" s="20">
        <f t="shared" si="30"/>
        <v>0</v>
      </c>
      <c r="Q22" s="16" t="e">
        <f t="shared" si="8"/>
        <v>#DIV/0!</v>
      </c>
      <c r="R22" s="16"/>
      <c r="S22" s="21" t="e">
        <v>#N/A</v>
      </c>
      <c r="T22" s="14">
        <v>80</v>
      </c>
      <c r="U22" s="22" t="s">
        <v>34</v>
      </c>
      <c r="V22" s="23" t="s">
        <v>34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e">
        <v>#N/A</v>
      </c>
      <c r="AB22" s="27" t="e">
        <f t="shared" si="11"/>
        <v>#N/A</v>
      </c>
      <c r="AC22" s="28" t="e">
        <v>#N/A</v>
      </c>
      <c r="AD22" s="25">
        <f t="shared" si="12"/>
        <v>0</v>
      </c>
      <c r="AE22" s="25">
        <v>0</v>
      </c>
      <c r="AF22" s="25">
        <v>-78.784000000000006</v>
      </c>
      <c r="AG22" s="25">
        <v>0</v>
      </c>
    </row>
    <row r="23" spans="1:33" ht="15.75" customHeight="1">
      <c r="A23" s="14" t="s">
        <v>49</v>
      </c>
      <c r="B23" s="14" t="s">
        <v>45</v>
      </c>
      <c r="C23" s="15">
        <f t="shared" si="4"/>
        <v>169.99</v>
      </c>
      <c r="D23" s="16">
        <v>1</v>
      </c>
      <c r="E23" s="16">
        <v>0</v>
      </c>
      <c r="F23" s="17">
        <v>169.99</v>
      </c>
      <c r="G23" s="29">
        <v>0</v>
      </c>
      <c r="H23" s="18">
        <f t="shared" si="1"/>
        <v>0</v>
      </c>
      <c r="I23" s="18">
        <f t="shared" si="2"/>
        <v>0.27374045532090124</v>
      </c>
      <c r="J23" s="17">
        <f t="shared" si="5"/>
        <v>46.533140000000003</v>
      </c>
      <c r="K23" s="17">
        <f t="shared" si="3"/>
        <v>46.533140000000003</v>
      </c>
      <c r="L23" s="16">
        <v>0</v>
      </c>
      <c r="M23" s="19" t="str">
        <f t="shared" si="6"/>
        <v>-</v>
      </c>
      <c r="N23" s="16">
        <v>1</v>
      </c>
      <c r="O23" s="20">
        <f t="shared" ref="O23:P23" si="31">D23/7</f>
        <v>0.14285714285714285</v>
      </c>
      <c r="P23" s="20">
        <f t="shared" si="31"/>
        <v>0</v>
      </c>
      <c r="Q23" s="16">
        <f t="shared" si="8"/>
        <v>7</v>
      </c>
      <c r="R23" s="16"/>
      <c r="S23" s="21" t="e">
        <v>#N/A</v>
      </c>
      <c r="T23" s="14">
        <v>80</v>
      </c>
      <c r="U23" s="22" t="s">
        <v>34</v>
      </c>
      <c r="V23" s="23" t="s">
        <v>34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63</v>
      </c>
      <c r="AB23" s="27">
        <f t="shared" si="11"/>
        <v>-0.48</v>
      </c>
      <c r="AC23" s="28">
        <v>0.68162500000000015</v>
      </c>
      <c r="AD23" s="25">
        <f t="shared" si="12"/>
        <v>-0.65436000000000016</v>
      </c>
      <c r="AE23" s="25">
        <v>-18.52</v>
      </c>
      <c r="AF23" s="25">
        <v>-78.784000000000006</v>
      </c>
      <c r="AG23" s="25">
        <v>0</v>
      </c>
    </row>
    <row r="24" spans="1:33" ht="15.75" customHeight="1">
      <c r="A24" s="14" t="s">
        <v>50</v>
      </c>
      <c r="B24" s="14" t="s">
        <v>45</v>
      </c>
      <c r="C24" s="15">
        <f t="shared" si="4"/>
        <v>169.99</v>
      </c>
      <c r="D24" s="16">
        <v>4</v>
      </c>
      <c r="E24" s="16">
        <v>0</v>
      </c>
      <c r="F24" s="17">
        <v>679.96</v>
      </c>
      <c r="G24" s="17">
        <v>0</v>
      </c>
      <c r="H24" s="18">
        <f t="shared" si="1"/>
        <v>0</v>
      </c>
      <c r="I24" s="18">
        <f t="shared" si="2"/>
        <v>0.27374045532090124</v>
      </c>
      <c r="J24" s="17">
        <f t="shared" si="5"/>
        <v>186.13256000000001</v>
      </c>
      <c r="K24" s="17">
        <f t="shared" si="3"/>
        <v>46.533140000000003</v>
      </c>
      <c r="L24" s="16">
        <v>78</v>
      </c>
      <c r="M24" s="19">
        <f t="shared" si="6"/>
        <v>5.128205128205128E-2</v>
      </c>
      <c r="N24" s="16">
        <v>1</v>
      </c>
      <c r="O24" s="20">
        <f t="shared" ref="O24:P24" si="32">D24/7</f>
        <v>0.5714285714285714</v>
      </c>
      <c r="P24" s="20">
        <f t="shared" si="32"/>
        <v>0</v>
      </c>
      <c r="Q24" s="16">
        <f t="shared" si="8"/>
        <v>1</v>
      </c>
      <c r="R24" s="16"/>
      <c r="S24" s="21" t="e">
        <v>#N/A</v>
      </c>
      <c r="T24" s="14">
        <v>80</v>
      </c>
      <c r="U24" s="22" t="s">
        <v>34</v>
      </c>
      <c r="V24" s="23" t="s">
        <v>34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14" t="s">
        <v>63</v>
      </c>
      <c r="AB24" s="27">
        <f t="shared" si="11"/>
        <v>-0.48</v>
      </c>
      <c r="AC24" s="28">
        <v>0.68162500000000015</v>
      </c>
      <c r="AD24" s="25">
        <f t="shared" si="12"/>
        <v>-2.6174400000000007</v>
      </c>
      <c r="AE24" s="25">
        <v>-18.52</v>
      </c>
      <c r="AF24" s="25">
        <v>-78.784000000000006</v>
      </c>
      <c r="AG24" s="25">
        <v>0</v>
      </c>
    </row>
    <row r="25" spans="1:33" ht="15.75" customHeight="1">
      <c r="A25" s="14" t="s">
        <v>51</v>
      </c>
      <c r="B25" s="14"/>
      <c r="C25" s="15">
        <f t="shared" si="4"/>
        <v>169.99</v>
      </c>
      <c r="D25" s="16">
        <v>1</v>
      </c>
      <c r="E25" s="16">
        <v>0</v>
      </c>
      <c r="F25" s="17">
        <v>169.99</v>
      </c>
      <c r="G25" s="17">
        <v>-0.08</v>
      </c>
      <c r="H25" s="18">
        <f t="shared" si="1"/>
        <v>4.7061591858344609E-4</v>
      </c>
      <c r="I25" s="18">
        <f t="shared" si="2"/>
        <v>0.2732933701982469</v>
      </c>
      <c r="J25" s="17">
        <f t="shared" si="5"/>
        <v>46.457139999999995</v>
      </c>
      <c r="K25" s="17">
        <f t="shared" si="3"/>
        <v>46.457139999999995</v>
      </c>
      <c r="L25" s="16">
        <v>49</v>
      </c>
      <c r="M25" s="19">
        <f t="shared" si="6"/>
        <v>2.0408163265306121E-2</v>
      </c>
      <c r="N25" s="16">
        <v>42</v>
      </c>
      <c r="O25" s="20">
        <f t="shared" ref="O25:P25" si="33">D25/7</f>
        <v>0.14285714285714285</v>
      </c>
      <c r="P25" s="20">
        <f t="shared" si="33"/>
        <v>0</v>
      </c>
      <c r="Q25" s="16">
        <f t="shared" si="8"/>
        <v>294</v>
      </c>
      <c r="R25" s="16"/>
      <c r="S25" s="21">
        <v>0</v>
      </c>
      <c r="T25" s="14">
        <v>80</v>
      </c>
      <c r="U25" s="22" t="s">
        <v>34</v>
      </c>
      <c r="V25" s="23" t="s">
        <v>34</v>
      </c>
      <c r="W25" s="30">
        <v>0</v>
      </c>
      <c r="X25" s="24">
        <f t="shared" si="9"/>
        <v>0</v>
      </c>
      <c r="Y25" s="25">
        <f t="shared" si="10"/>
        <v>0</v>
      </c>
      <c r="Z25" s="30">
        <v>0</v>
      </c>
      <c r="AA25" s="14" t="s">
        <v>63</v>
      </c>
      <c r="AB25" s="27">
        <f t="shared" si="11"/>
        <v>-0.48</v>
      </c>
      <c r="AC25" s="28">
        <v>0.68162500000000015</v>
      </c>
      <c r="AD25" s="25">
        <f t="shared" si="12"/>
        <v>-0.65436000000000016</v>
      </c>
      <c r="AE25" s="25">
        <v>-18.52</v>
      </c>
      <c r="AF25" s="25">
        <v>-78.78</v>
      </c>
      <c r="AG25" s="25">
        <v>0</v>
      </c>
    </row>
    <row r="26" spans="1:33" ht="15.75" customHeight="1">
      <c r="A26" s="14" t="s">
        <v>52</v>
      </c>
      <c r="B26" s="14" t="s">
        <v>45</v>
      </c>
      <c r="C26" s="15">
        <f t="shared" si="4"/>
        <v>169.99</v>
      </c>
      <c r="D26" s="16">
        <v>3</v>
      </c>
      <c r="E26" s="16">
        <v>0</v>
      </c>
      <c r="F26" s="17">
        <v>509.97</v>
      </c>
      <c r="G26" s="17">
        <v>0</v>
      </c>
      <c r="H26" s="18">
        <f t="shared" si="1"/>
        <v>0</v>
      </c>
      <c r="I26" s="18">
        <f t="shared" si="2"/>
        <v>0.27138737572798405</v>
      </c>
      <c r="J26" s="17">
        <f t="shared" si="5"/>
        <v>138.39942000000002</v>
      </c>
      <c r="K26" s="17">
        <f t="shared" si="3"/>
        <v>46.133140000000004</v>
      </c>
      <c r="L26" s="16">
        <v>65</v>
      </c>
      <c r="M26" s="19">
        <f t="shared" si="6"/>
        <v>4.6153846153846156E-2</v>
      </c>
      <c r="N26" s="16">
        <v>39</v>
      </c>
      <c r="O26" s="20">
        <f t="shared" ref="O26:P26" si="34">D26/7</f>
        <v>0.42857142857142855</v>
      </c>
      <c r="P26" s="20">
        <f t="shared" si="34"/>
        <v>0</v>
      </c>
      <c r="Q26" s="16">
        <f t="shared" si="8"/>
        <v>91</v>
      </c>
      <c r="R26" s="16"/>
      <c r="S26" s="21">
        <v>0</v>
      </c>
      <c r="T26" s="14">
        <v>80</v>
      </c>
      <c r="U26" s="22" t="s">
        <v>34</v>
      </c>
      <c r="V26" s="23" t="s">
        <v>34</v>
      </c>
      <c r="W26" s="30">
        <v>0</v>
      </c>
      <c r="X26" s="24">
        <f t="shared" si="9"/>
        <v>0</v>
      </c>
      <c r="Y26" s="25">
        <f t="shared" si="10"/>
        <v>0</v>
      </c>
      <c r="Z26" s="30">
        <v>0</v>
      </c>
      <c r="AA26" s="14" t="s">
        <v>63</v>
      </c>
      <c r="AB26" s="27">
        <f t="shared" si="11"/>
        <v>-0.48</v>
      </c>
      <c r="AC26" s="28">
        <v>0.68162500000000015</v>
      </c>
      <c r="AD26" s="25">
        <f t="shared" si="12"/>
        <v>-1.9630800000000006</v>
      </c>
      <c r="AE26" s="25">
        <v>-18.920000000000002</v>
      </c>
      <c r="AF26" s="25">
        <v>-78.784000000000006</v>
      </c>
      <c r="AG26" s="25">
        <v>0</v>
      </c>
    </row>
    <row r="27" spans="1:33" ht="15.75" customHeight="1">
      <c r="A27" s="14" t="s">
        <v>53</v>
      </c>
      <c r="B27" s="14" t="s">
        <v>1245</v>
      </c>
      <c r="C27" s="15">
        <f t="shared" si="4"/>
        <v>169.99</v>
      </c>
      <c r="D27" s="16">
        <v>1</v>
      </c>
      <c r="E27" s="16">
        <v>0</v>
      </c>
      <c r="F27" s="17">
        <v>169.99</v>
      </c>
      <c r="G27" s="17">
        <v>0</v>
      </c>
      <c r="H27" s="18">
        <f t="shared" si="1"/>
        <v>0</v>
      </c>
      <c r="I27" s="18">
        <f t="shared" si="2"/>
        <v>0.26985787399258782</v>
      </c>
      <c r="J27" s="17">
        <f t="shared" si="5"/>
        <v>45.873140000000006</v>
      </c>
      <c r="K27" s="17">
        <f t="shared" si="3"/>
        <v>45.873140000000006</v>
      </c>
      <c r="L27" s="16">
        <v>57</v>
      </c>
      <c r="M27" s="19">
        <f t="shared" si="6"/>
        <v>1.7543859649122806E-2</v>
      </c>
      <c r="N27" s="16">
        <v>38</v>
      </c>
      <c r="O27" s="20">
        <f t="shared" ref="O27:P27" si="35">D27/7</f>
        <v>0.14285714285714285</v>
      </c>
      <c r="P27" s="20">
        <f t="shared" si="35"/>
        <v>0</v>
      </c>
      <c r="Q27" s="16">
        <f t="shared" si="8"/>
        <v>266</v>
      </c>
      <c r="R27" s="16"/>
      <c r="S27" s="21">
        <v>0</v>
      </c>
      <c r="T27" s="14">
        <v>80</v>
      </c>
      <c r="U27" s="22" t="s">
        <v>34</v>
      </c>
      <c r="V27" s="23" t="s">
        <v>34</v>
      </c>
      <c r="W27" s="30">
        <v>0</v>
      </c>
      <c r="X27" s="24">
        <f t="shared" si="9"/>
        <v>0</v>
      </c>
      <c r="Y27" s="25">
        <f t="shared" si="10"/>
        <v>0</v>
      </c>
      <c r="Z27" s="30">
        <v>0</v>
      </c>
      <c r="AA27" s="14" t="s">
        <v>63</v>
      </c>
      <c r="AB27" s="27">
        <f t="shared" si="11"/>
        <v>-0.48</v>
      </c>
      <c r="AC27" s="28">
        <v>0.68162500000000015</v>
      </c>
      <c r="AD27" s="25">
        <f t="shared" si="12"/>
        <v>-0.65436000000000016</v>
      </c>
      <c r="AE27" s="25">
        <v>-18.920000000000002</v>
      </c>
      <c r="AF27" s="25">
        <v>-79.043999999999997</v>
      </c>
      <c r="AG27" s="25">
        <v>0</v>
      </c>
    </row>
    <row r="28" spans="1:33" ht="15.75" customHeight="1">
      <c r="A28" s="14" t="s">
        <v>54</v>
      </c>
      <c r="B28" s="14" t="s">
        <v>1246</v>
      </c>
      <c r="C28" s="15">
        <f t="shared" si="4"/>
        <v>150.89849999999998</v>
      </c>
      <c r="D28" s="16">
        <v>20</v>
      </c>
      <c r="E28" s="16">
        <v>0</v>
      </c>
      <c r="F28" s="17">
        <v>3017.97</v>
      </c>
      <c r="G28" s="17">
        <v>0</v>
      </c>
      <c r="H28" s="18">
        <f t="shared" si="1"/>
        <v>0</v>
      </c>
      <c r="I28" s="18">
        <f t="shared" si="2"/>
        <v>0.19645897739208806</v>
      </c>
      <c r="J28" s="17">
        <f t="shared" si="5"/>
        <v>592.90729999999996</v>
      </c>
      <c r="K28" s="17">
        <f t="shared" si="3"/>
        <v>29.645364999999998</v>
      </c>
      <c r="L28" s="16">
        <v>85</v>
      </c>
      <c r="M28" s="19">
        <f t="shared" si="6"/>
        <v>0.23529411764705882</v>
      </c>
      <c r="N28" s="16">
        <v>22</v>
      </c>
      <c r="O28" s="20">
        <f t="shared" ref="O28:P28" si="36">D28/7</f>
        <v>2.8571428571428572</v>
      </c>
      <c r="P28" s="20">
        <f t="shared" si="36"/>
        <v>0</v>
      </c>
      <c r="Q28" s="16">
        <f t="shared" si="8"/>
        <v>7</v>
      </c>
      <c r="R28" s="16"/>
      <c r="S28" s="21">
        <v>1.368421052631579</v>
      </c>
      <c r="T28" s="14">
        <v>80</v>
      </c>
      <c r="U28" s="22" t="s">
        <v>34</v>
      </c>
      <c r="V28" s="23" t="s">
        <v>34</v>
      </c>
      <c r="W28" s="30">
        <v>0</v>
      </c>
      <c r="X28" s="24">
        <f t="shared" si="9"/>
        <v>0</v>
      </c>
      <c r="Y28" s="25">
        <f t="shared" si="10"/>
        <v>0</v>
      </c>
      <c r="Z28" s="30">
        <v>0</v>
      </c>
      <c r="AA28" s="14" t="s">
        <v>63</v>
      </c>
      <c r="AB28" s="27">
        <f t="shared" si="11"/>
        <v>-0.48</v>
      </c>
      <c r="AC28" s="28">
        <v>0.68162500000000015</v>
      </c>
      <c r="AD28" s="25">
        <f t="shared" si="12"/>
        <v>-13.087200000000003</v>
      </c>
      <c r="AE28" s="25">
        <v>-18.920000000000002</v>
      </c>
      <c r="AF28" s="25">
        <v>-79.043999999999997</v>
      </c>
      <c r="AG28" s="25">
        <v>0</v>
      </c>
    </row>
    <row r="29" spans="1:33" ht="15.75" customHeight="1">
      <c r="A29" s="14" t="s">
        <v>55</v>
      </c>
      <c r="B29" s="14" t="s">
        <v>1247</v>
      </c>
      <c r="C29" s="15">
        <f t="shared" si="4"/>
        <v>155.54444444444445</v>
      </c>
      <c r="D29" s="16">
        <v>9</v>
      </c>
      <c r="E29" s="16">
        <v>0</v>
      </c>
      <c r="F29" s="17">
        <v>1399.9</v>
      </c>
      <c r="G29" s="17">
        <v>0</v>
      </c>
      <c r="H29" s="18">
        <f t="shared" si="1"/>
        <v>0</v>
      </c>
      <c r="I29" s="18">
        <f t="shared" si="2"/>
        <v>0.21597954139581393</v>
      </c>
      <c r="J29" s="17">
        <f t="shared" si="5"/>
        <v>302.34975999999995</v>
      </c>
      <c r="K29" s="17">
        <f t="shared" si="3"/>
        <v>33.594417777777771</v>
      </c>
      <c r="L29" s="16">
        <v>102</v>
      </c>
      <c r="M29" s="19">
        <f t="shared" si="6"/>
        <v>8.8235294117647065E-2</v>
      </c>
      <c r="N29" s="16">
        <v>11</v>
      </c>
      <c r="O29" s="20">
        <f t="shared" ref="O29:P29" si="37">D29/7</f>
        <v>1.2857142857142858</v>
      </c>
      <c r="P29" s="20">
        <f t="shared" si="37"/>
        <v>0</v>
      </c>
      <c r="Q29" s="16">
        <f t="shared" si="8"/>
        <v>8</v>
      </c>
      <c r="R29" s="16"/>
      <c r="S29" s="21">
        <v>9.0666666666666664</v>
      </c>
      <c r="T29" s="14">
        <v>80</v>
      </c>
      <c r="U29" s="22" t="s">
        <v>34</v>
      </c>
      <c r="V29" s="23" t="s">
        <v>34</v>
      </c>
      <c r="W29" s="30">
        <v>0</v>
      </c>
      <c r="X29" s="24">
        <f t="shared" si="9"/>
        <v>0</v>
      </c>
      <c r="Y29" s="25">
        <f t="shared" si="10"/>
        <v>0</v>
      </c>
      <c r="Z29" s="30">
        <v>0</v>
      </c>
      <c r="AA29" s="14" t="s">
        <v>63</v>
      </c>
      <c r="AB29" s="27">
        <f t="shared" si="11"/>
        <v>-0.48</v>
      </c>
      <c r="AC29" s="28">
        <v>0.68162500000000015</v>
      </c>
      <c r="AD29" s="25">
        <f t="shared" si="12"/>
        <v>-5.8892400000000018</v>
      </c>
      <c r="AE29" s="25">
        <v>-18.920000000000002</v>
      </c>
      <c r="AF29" s="25">
        <v>-79.043999999999997</v>
      </c>
      <c r="AG29" s="25">
        <v>0</v>
      </c>
    </row>
    <row r="30" spans="1:33" ht="15.75" customHeight="1">
      <c r="A30" s="14" t="s">
        <v>57</v>
      </c>
      <c r="B30" s="14" t="s">
        <v>45</v>
      </c>
      <c r="C30" s="15">
        <f t="shared" si="4"/>
        <v>164.9677777777778</v>
      </c>
      <c r="D30" s="16">
        <v>9</v>
      </c>
      <c r="E30" s="16">
        <v>0</v>
      </c>
      <c r="F30" s="17">
        <v>1484.7100000000003</v>
      </c>
      <c r="G30" s="17">
        <v>0</v>
      </c>
      <c r="H30" s="18">
        <f t="shared" si="1"/>
        <v>0</v>
      </c>
      <c r="I30" s="18">
        <f t="shared" si="2"/>
        <v>0.28529359942345645</v>
      </c>
      <c r="J30" s="17">
        <f t="shared" si="5"/>
        <v>423.57826000000011</v>
      </c>
      <c r="K30" s="17">
        <f t="shared" si="3"/>
        <v>47.064251111111126</v>
      </c>
      <c r="L30" s="16">
        <v>53</v>
      </c>
      <c r="M30" s="19">
        <f t="shared" si="6"/>
        <v>0.16981132075471697</v>
      </c>
      <c r="N30" s="16">
        <v>2</v>
      </c>
      <c r="O30" s="20">
        <f t="shared" ref="O30:P30" si="38">D30/7</f>
        <v>1.2857142857142858</v>
      </c>
      <c r="P30" s="20">
        <f t="shared" si="38"/>
        <v>0</v>
      </c>
      <c r="Q30" s="16">
        <f t="shared" si="8"/>
        <v>1</v>
      </c>
      <c r="R30" s="16"/>
      <c r="S30" s="21">
        <v>2.9090909090909092</v>
      </c>
      <c r="T30" s="14">
        <v>80</v>
      </c>
      <c r="U30" s="22" t="s">
        <v>34</v>
      </c>
      <c r="V30" s="23" t="s">
        <v>34</v>
      </c>
      <c r="W30" s="30">
        <v>0</v>
      </c>
      <c r="X30" s="24">
        <f t="shared" si="9"/>
        <v>0</v>
      </c>
      <c r="Y30" s="25">
        <f t="shared" si="10"/>
        <v>0</v>
      </c>
      <c r="Z30" s="30">
        <v>0</v>
      </c>
      <c r="AA30" s="14" t="s">
        <v>63</v>
      </c>
      <c r="AB30" s="27">
        <f t="shared" si="11"/>
        <v>-0.48</v>
      </c>
      <c r="AC30" s="28">
        <v>0.68162500000000015</v>
      </c>
      <c r="AD30" s="25">
        <f t="shared" si="12"/>
        <v>-5.8892400000000018</v>
      </c>
      <c r="AE30" s="25">
        <v>-18.920000000000002</v>
      </c>
      <c r="AF30" s="25">
        <v>-73.584000000000003</v>
      </c>
      <c r="AG30" s="25">
        <v>0</v>
      </c>
    </row>
    <row r="31" spans="1:33" ht="15.75" customHeight="1">
      <c r="A31" s="14" t="s">
        <v>58</v>
      </c>
      <c r="B31" s="14" t="s">
        <v>45</v>
      </c>
      <c r="C31" s="15" t="str">
        <f t="shared" si="4"/>
        <v xml:space="preserve"> - </v>
      </c>
      <c r="D31" s="16">
        <v>0</v>
      </c>
      <c r="E31" s="16">
        <v>0</v>
      </c>
      <c r="F31" s="17">
        <v>0</v>
      </c>
      <c r="G31" s="17">
        <v>0</v>
      </c>
      <c r="H31" s="18" t="e">
        <f t="shared" si="1"/>
        <v>#DIV/0!</v>
      </c>
      <c r="I31" s="18" t="e">
        <f t="shared" si="2"/>
        <v>#DIV/0!</v>
      </c>
      <c r="J31" s="17">
        <f t="shared" si="5"/>
        <v>0</v>
      </c>
      <c r="K31" s="17" t="e">
        <f t="shared" si="3"/>
        <v>#DIV/0!</v>
      </c>
      <c r="L31" s="16">
        <v>0</v>
      </c>
      <c r="M31" s="19" t="str">
        <f t="shared" si="6"/>
        <v>-</v>
      </c>
      <c r="N31" s="16">
        <v>1</v>
      </c>
      <c r="O31" s="20">
        <f t="shared" ref="O31:P31" si="39">D31/7</f>
        <v>0</v>
      </c>
      <c r="P31" s="20">
        <f t="shared" si="39"/>
        <v>0</v>
      </c>
      <c r="Q31" s="16" t="e">
        <f t="shared" si="8"/>
        <v>#DIV/0!</v>
      </c>
      <c r="R31" s="16"/>
      <c r="S31" s="21">
        <v>3.3846153846153801</v>
      </c>
      <c r="T31" s="14">
        <v>80</v>
      </c>
      <c r="U31" s="22" t="s">
        <v>34</v>
      </c>
      <c r="V31" s="23" t="s">
        <v>218</v>
      </c>
      <c r="W31" s="30">
        <v>0</v>
      </c>
      <c r="X31" s="24">
        <f t="shared" si="9"/>
        <v>0</v>
      </c>
      <c r="Y31" s="25">
        <f t="shared" si="10"/>
        <v>0</v>
      </c>
      <c r="Z31" s="30">
        <v>0</v>
      </c>
      <c r="AA31" s="14" t="s">
        <v>63</v>
      </c>
      <c r="AB31" s="27">
        <f t="shared" si="11"/>
        <v>-0.48</v>
      </c>
      <c r="AC31" s="28">
        <v>0.68162500000000015</v>
      </c>
      <c r="AD31" s="25">
        <f t="shared" si="12"/>
        <v>0</v>
      </c>
      <c r="AE31" s="25">
        <v>-18.920000000000002</v>
      </c>
      <c r="AF31" s="25">
        <v>-73.584000000000003</v>
      </c>
      <c r="AG31" s="25">
        <v>0</v>
      </c>
    </row>
    <row r="32" spans="1:33" ht="15.75" customHeight="1">
      <c r="A32" s="14" t="s">
        <v>60</v>
      </c>
      <c r="B32" s="14"/>
      <c r="C32" s="15" t="str">
        <f t="shared" si="4"/>
        <v xml:space="preserve"> - </v>
      </c>
      <c r="D32" s="16">
        <v>0</v>
      </c>
      <c r="E32" s="16">
        <v>0</v>
      </c>
      <c r="F32" s="17">
        <v>0</v>
      </c>
      <c r="G32" s="17">
        <v>0</v>
      </c>
      <c r="H32" s="18" t="e">
        <f t="shared" si="1"/>
        <v>#DIV/0!</v>
      </c>
      <c r="I32" s="18" t="e">
        <f t="shared" si="2"/>
        <v>#DIV/0!</v>
      </c>
      <c r="J32" s="17">
        <f t="shared" si="5"/>
        <v>0</v>
      </c>
      <c r="K32" s="17" t="e">
        <f t="shared" si="3"/>
        <v>#DIV/0!</v>
      </c>
      <c r="L32" s="16">
        <v>0</v>
      </c>
      <c r="M32" s="19" t="str">
        <f t="shared" si="6"/>
        <v>-</v>
      </c>
      <c r="N32" s="16">
        <v>1</v>
      </c>
      <c r="O32" s="20">
        <f t="shared" ref="O32:P32" si="40">D32/7</f>
        <v>0</v>
      </c>
      <c r="P32" s="20">
        <f t="shared" si="40"/>
        <v>0</v>
      </c>
      <c r="Q32" s="16" t="e">
        <f t="shared" si="8"/>
        <v>#DIV/0!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4.4000000000000004</v>
      </c>
      <c r="T32" s="14">
        <f ca="1">IFERROR(__xludf.DUMMYFUNCTION("IFERROR(VLOOKUP($B$2,IMPORTRANGE(""https://docs.google.com/spreadsheets/d/1KiWZV1ko8G7lnRucBRBd29jj3Be6ltMfljMDqzOkQmI/edit#gid=1381463014"",""Lookup!A:D""),4,FALSE),"""")"),80)</f>
        <v>80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23" t="str">
        <f ca="1">IFERROR(__xludf.DUMMYFUNCTION("IFERROR(VLOOKUP($B$2,IMPORTRANGE(""https://docs.google.com/spreadsheets/d/1KiWZV1ko8G7lnRucBRBd29jj3Be6ltMfljMDqzOkQmI/edit#gid=1381463014"",""Lookup!A:D""),2,FALSE),"""")"),"No Transit, But 80 At Factory 50-75 days from Earliest Arrival")</f>
        <v>No Transit, But 80 At Factory 50-75 days from Earliest Arrival</v>
      </c>
      <c r="W32" s="30">
        <v>0</v>
      </c>
      <c r="X32" s="24">
        <f t="shared" si="9"/>
        <v>0</v>
      </c>
      <c r="Y32" s="25">
        <f t="shared" si="10"/>
        <v>0</v>
      </c>
      <c r="Z32" s="30">
        <v>0</v>
      </c>
      <c r="AA32" s="14" t="s">
        <v>63</v>
      </c>
      <c r="AB32" s="27">
        <f t="shared" si="11"/>
        <v>-0.48</v>
      </c>
      <c r="AC32" s="28">
        <v>0.68162500000000015</v>
      </c>
      <c r="AD32" s="25">
        <f t="shared" si="12"/>
        <v>0</v>
      </c>
      <c r="AE32" s="25">
        <v>-18.920000000000002</v>
      </c>
      <c r="AF32" s="25">
        <v>-73.584000000000003</v>
      </c>
      <c r="AG32" s="25">
        <v>0</v>
      </c>
    </row>
    <row r="33" spans="1:33" ht="15.75" customHeight="1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16"/>
      <c r="S33" s="21"/>
      <c r="T33" s="31"/>
      <c r="U33" s="36"/>
      <c r="V33" s="1"/>
      <c r="W33" s="31"/>
      <c r="X33" s="31"/>
      <c r="Y33" s="31"/>
      <c r="Z33" s="31"/>
      <c r="AA33" s="2"/>
      <c r="AB33" s="31"/>
      <c r="AC33" s="31"/>
      <c r="AD33" s="31"/>
      <c r="AE33" s="37"/>
      <c r="AF33" s="37"/>
      <c r="AG33" s="37"/>
    </row>
    <row r="34" spans="1:33" ht="15.75" customHeight="1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6"/>
      <c r="V34" s="1"/>
      <c r="W34" s="31"/>
      <c r="X34" s="31"/>
      <c r="Y34" s="31"/>
      <c r="Z34" s="31"/>
      <c r="AA34" s="2"/>
      <c r="AB34" s="31"/>
      <c r="AC34" s="31"/>
      <c r="AD34" s="31"/>
      <c r="AE34" s="37"/>
      <c r="AF34" s="37"/>
      <c r="AG34" s="37"/>
    </row>
    <row r="35" spans="1:33" ht="15.75" customHeight="1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6"/>
      <c r="V35" s="1"/>
      <c r="W35" s="31"/>
      <c r="X35" s="31"/>
      <c r="Y35" s="31"/>
      <c r="Z35" s="31"/>
      <c r="AA35" s="2"/>
      <c r="AB35" s="31"/>
      <c r="AC35" s="31"/>
      <c r="AD35" s="31"/>
      <c r="AE35" s="37"/>
      <c r="AF35" s="37"/>
      <c r="AG35" s="37"/>
    </row>
    <row r="36" spans="1:33" ht="15.75" customHeight="1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6"/>
      <c r="V36" s="1"/>
      <c r="W36" s="31"/>
      <c r="X36" s="31"/>
      <c r="Y36" s="31"/>
      <c r="Z36" s="31"/>
      <c r="AA36" s="2"/>
      <c r="AB36" s="31"/>
      <c r="AC36" s="31"/>
      <c r="AD36" s="31"/>
      <c r="AE36" s="37"/>
      <c r="AF36" s="37"/>
      <c r="AG36" s="37"/>
    </row>
    <row r="37" spans="1:33" ht="15.75" customHeight="1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6"/>
      <c r="V37" s="1"/>
      <c r="W37" s="31"/>
      <c r="X37" s="31"/>
      <c r="Y37" s="31"/>
      <c r="Z37" s="31"/>
      <c r="AA37" s="2"/>
      <c r="AB37" s="31"/>
      <c r="AC37" s="31"/>
      <c r="AD37" s="31"/>
      <c r="AE37" s="37"/>
      <c r="AF37" s="37"/>
      <c r="AG37" s="37"/>
    </row>
    <row r="38" spans="1:33" ht="15.75" customHeight="1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6"/>
      <c r="V38" s="1"/>
      <c r="W38" s="31"/>
      <c r="X38" s="31"/>
      <c r="Y38" s="31"/>
      <c r="Z38" s="31"/>
      <c r="AA38" s="2"/>
      <c r="AB38" s="31"/>
      <c r="AC38" s="31"/>
      <c r="AD38" s="31"/>
      <c r="AE38" s="37"/>
      <c r="AF38" s="37"/>
      <c r="AG38" s="37"/>
    </row>
    <row r="39" spans="1:33" ht="15.75" customHeight="1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6"/>
      <c r="V39" s="1"/>
      <c r="W39" s="31"/>
      <c r="X39" s="31"/>
      <c r="Y39" s="31"/>
      <c r="Z39" s="31"/>
      <c r="AA39" s="2"/>
      <c r="AB39" s="31"/>
      <c r="AC39" s="31"/>
      <c r="AD39" s="31"/>
      <c r="AE39" s="37"/>
      <c r="AF39" s="37"/>
      <c r="AG39" s="37"/>
    </row>
    <row r="40" spans="1:33" ht="15.75" customHeight="1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6"/>
      <c r="V40" s="1"/>
      <c r="W40" s="31"/>
      <c r="X40" s="31"/>
      <c r="Y40" s="31"/>
      <c r="Z40" s="31"/>
      <c r="AA40" s="2"/>
      <c r="AB40" s="31"/>
      <c r="AC40" s="31"/>
      <c r="AD40" s="31"/>
      <c r="AE40" s="37"/>
      <c r="AF40" s="37"/>
      <c r="AG40" s="37"/>
    </row>
    <row r="41" spans="1:33" ht="15.75" customHeight="1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6"/>
      <c r="V41" s="1"/>
      <c r="W41" s="31"/>
      <c r="X41" s="31"/>
      <c r="Y41" s="31"/>
      <c r="Z41" s="31"/>
      <c r="AA41" s="2"/>
      <c r="AB41" s="31"/>
      <c r="AC41" s="31"/>
      <c r="AD41" s="31"/>
      <c r="AE41" s="37"/>
      <c r="AF41" s="37"/>
      <c r="AG41" s="37"/>
    </row>
    <row r="42" spans="1:33" ht="15.75" customHeight="1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6"/>
      <c r="V42" s="1"/>
      <c r="W42" s="31"/>
      <c r="X42" s="31"/>
      <c r="Y42" s="31"/>
      <c r="Z42" s="31"/>
      <c r="AA42" s="2"/>
      <c r="AB42" s="31"/>
      <c r="AC42" s="31"/>
      <c r="AD42" s="31"/>
      <c r="AE42" s="37"/>
      <c r="AF42" s="37"/>
      <c r="AG42" s="37"/>
    </row>
    <row r="43" spans="1:33" ht="15.75" customHeight="1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6"/>
      <c r="V43" s="1"/>
      <c r="W43" s="31"/>
      <c r="X43" s="31"/>
      <c r="Y43" s="31"/>
      <c r="Z43" s="31"/>
      <c r="AA43" s="2"/>
      <c r="AB43" s="31"/>
      <c r="AC43" s="31"/>
      <c r="AD43" s="31"/>
      <c r="AE43" s="37"/>
      <c r="AF43" s="37"/>
      <c r="AG43" s="37"/>
    </row>
    <row r="44" spans="1:33" ht="15.75" customHeight="1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6"/>
      <c r="V44" s="1"/>
      <c r="W44" s="31"/>
      <c r="X44" s="31"/>
      <c r="Y44" s="31"/>
      <c r="Z44" s="31"/>
      <c r="AA44" s="2"/>
      <c r="AB44" s="31"/>
      <c r="AC44" s="31"/>
      <c r="AD44" s="31"/>
      <c r="AE44" s="37"/>
      <c r="AF44" s="37"/>
      <c r="AG44" s="37"/>
    </row>
    <row r="45" spans="1:33" ht="15.75" customHeight="1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6"/>
      <c r="V45" s="1"/>
      <c r="W45" s="31"/>
      <c r="X45" s="31"/>
      <c r="Y45" s="31"/>
      <c r="Z45" s="31"/>
      <c r="AA45" s="2"/>
      <c r="AB45" s="31"/>
      <c r="AC45" s="31"/>
      <c r="AD45" s="31"/>
      <c r="AE45" s="37"/>
      <c r="AF45" s="37"/>
      <c r="AG45" s="37"/>
    </row>
    <row r="46" spans="1:33" ht="15.75" customHeight="1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6"/>
      <c r="V46" s="1"/>
      <c r="W46" s="31"/>
      <c r="X46" s="31"/>
      <c r="Y46" s="31"/>
      <c r="Z46" s="31"/>
      <c r="AA46" s="2"/>
      <c r="AB46" s="31"/>
      <c r="AC46" s="31"/>
      <c r="AD46" s="31"/>
      <c r="AE46" s="37"/>
      <c r="AF46" s="37"/>
      <c r="AG46" s="37"/>
    </row>
    <row r="47" spans="1:33" ht="15.75" customHeight="1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6"/>
      <c r="V47" s="1"/>
      <c r="W47" s="31"/>
      <c r="X47" s="31"/>
      <c r="Y47" s="31"/>
      <c r="Z47" s="31"/>
      <c r="AA47" s="2"/>
      <c r="AB47" s="31"/>
      <c r="AC47" s="31"/>
      <c r="AD47" s="31"/>
      <c r="AE47" s="37"/>
      <c r="AF47" s="37"/>
      <c r="AG47" s="37"/>
    </row>
    <row r="48" spans="1:33" ht="15.75" customHeight="1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6"/>
      <c r="V48" s="1"/>
      <c r="W48" s="31"/>
      <c r="X48" s="31"/>
      <c r="Y48" s="31"/>
      <c r="Z48" s="31"/>
      <c r="AA48" s="2"/>
      <c r="AB48" s="31"/>
      <c r="AC48" s="31"/>
      <c r="AD48" s="31"/>
      <c r="AE48" s="37"/>
      <c r="AF48" s="37"/>
      <c r="AG48" s="37"/>
    </row>
    <row r="49" spans="1:33" ht="15.75" customHeight="1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6"/>
      <c r="V49" s="1"/>
      <c r="W49" s="31"/>
      <c r="X49" s="31"/>
      <c r="Y49" s="31"/>
      <c r="Z49" s="31"/>
      <c r="AA49" s="2"/>
      <c r="AB49" s="31"/>
      <c r="AC49" s="31"/>
      <c r="AD49" s="31"/>
      <c r="AE49" s="37"/>
      <c r="AF49" s="37"/>
      <c r="AG49" s="37"/>
    </row>
    <row r="50" spans="1:33" ht="15.75" customHeight="1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6"/>
      <c r="V50" s="1"/>
      <c r="W50" s="31"/>
      <c r="X50" s="31"/>
      <c r="Y50" s="31"/>
      <c r="Z50" s="31"/>
      <c r="AA50" s="2"/>
      <c r="AB50" s="31"/>
      <c r="AC50" s="31"/>
      <c r="AD50" s="31"/>
      <c r="AE50" s="37"/>
      <c r="AF50" s="37"/>
      <c r="AG50" s="37"/>
    </row>
    <row r="51" spans="1:33" ht="15.75" customHeight="1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6"/>
      <c r="V51" s="1"/>
      <c r="W51" s="31"/>
      <c r="X51" s="31"/>
      <c r="Y51" s="31"/>
      <c r="Z51" s="31"/>
      <c r="AA51" s="2"/>
      <c r="AB51" s="31"/>
      <c r="AC51" s="31"/>
      <c r="AD51" s="31"/>
      <c r="AE51" s="37"/>
      <c r="AF51" s="37"/>
      <c r="AG51" s="37"/>
    </row>
    <row r="52" spans="1:33" ht="15.75" customHeight="1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6"/>
      <c r="V52" s="1"/>
      <c r="W52" s="31"/>
      <c r="X52" s="31"/>
      <c r="Y52" s="31"/>
      <c r="Z52" s="31"/>
      <c r="AA52" s="2"/>
      <c r="AB52" s="31"/>
      <c r="AC52" s="31"/>
      <c r="AD52" s="31"/>
      <c r="AE52" s="37"/>
      <c r="AF52" s="37"/>
      <c r="AG52" s="37"/>
    </row>
    <row r="53" spans="1:33" ht="15.75" customHeight="1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6"/>
      <c r="V53" s="1"/>
      <c r="W53" s="31"/>
      <c r="X53" s="31"/>
      <c r="Y53" s="31"/>
      <c r="Z53" s="31"/>
      <c r="AA53" s="2"/>
      <c r="AB53" s="31"/>
      <c r="AC53" s="31"/>
      <c r="AD53" s="31"/>
      <c r="AE53" s="37"/>
      <c r="AF53" s="37"/>
      <c r="AG53" s="37"/>
    </row>
    <row r="54" spans="1:33" ht="15.75" customHeight="1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6"/>
      <c r="V54" s="1"/>
      <c r="W54" s="31"/>
      <c r="X54" s="31"/>
      <c r="Y54" s="31"/>
      <c r="Z54" s="31"/>
      <c r="AA54" s="2"/>
      <c r="AB54" s="31"/>
      <c r="AC54" s="31"/>
      <c r="AD54" s="31"/>
      <c r="AE54" s="37"/>
      <c r="AF54" s="37"/>
      <c r="AG54" s="37"/>
    </row>
    <row r="55" spans="1:33" ht="15.75" customHeight="1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6"/>
      <c r="V55" s="1"/>
      <c r="W55" s="31"/>
      <c r="X55" s="31"/>
      <c r="Y55" s="31"/>
      <c r="Z55" s="31"/>
      <c r="AA55" s="2"/>
      <c r="AB55" s="31"/>
      <c r="AC55" s="31"/>
      <c r="AD55" s="31"/>
      <c r="AE55" s="37"/>
      <c r="AF55" s="37"/>
      <c r="AG55" s="37"/>
    </row>
    <row r="56" spans="1:33" ht="15.75" customHeight="1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6"/>
      <c r="V56" s="1"/>
      <c r="W56" s="31"/>
      <c r="X56" s="31"/>
      <c r="Y56" s="31"/>
      <c r="Z56" s="31"/>
      <c r="AA56" s="2"/>
      <c r="AB56" s="31"/>
      <c r="AC56" s="31"/>
      <c r="AD56" s="31"/>
      <c r="AE56" s="37"/>
      <c r="AF56" s="37"/>
      <c r="AG56" s="37"/>
    </row>
    <row r="57" spans="1:33" ht="15.75" customHeight="1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6"/>
      <c r="V57" s="1"/>
      <c r="W57" s="31"/>
      <c r="X57" s="31"/>
      <c r="Y57" s="31"/>
      <c r="Z57" s="31"/>
      <c r="AA57" s="2"/>
      <c r="AB57" s="31"/>
      <c r="AC57" s="31"/>
      <c r="AD57" s="31"/>
      <c r="AE57" s="37"/>
      <c r="AF57" s="37"/>
      <c r="AG57" s="37"/>
    </row>
    <row r="58" spans="1:33" ht="15.75" customHeight="1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6"/>
      <c r="V58" s="1"/>
      <c r="W58" s="31"/>
      <c r="X58" s="31"/>
      <c r="Y58" s="31"/>
      <c r="Z58" s="31"/>
      <c r="AA58" s="2"/>
      <c r="AB58" s="31"/>
      <c r="AC58" s="31"/>
      <c r="AD58" s="31"/>
      <c r="AE58" s="37"/>
      <c r="AF58" s="37"/>
      <c r="AG58" s="37"/>
    </row>
    <row r="59" spans="1:33" ht="15.75" customHeight="1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6"/>
      <c r="V59" s="1"/>
      <c r="W59" s="31"/>
      <c r="X59" s="31"/>
      <c r="Y59" s="31"/>
      <c r="Z59" s="31"/>
      <c r="AA59" s="2"/>
      <c r="AB59" s="31"/>
      <c r="AC59" s="31"/>
      <c r="AD59" s="31"/>
      <c r="AE59" s="37"/>
      <c r="AF59" s="37"/>
      <c r="AG59" s="37"/>
    </row>
    <row r="60" spans="1:33" ht="15.75" customHeight="1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6"/>
      <c r="V60" s="1"/>
      <c r="W60" s="31"/>
      <c r="X60" s="31"/>
      <c r="Y60" s="31"/>
      <c r="Z60" s="31"/>
      <c r="AA60" s="2"/>
      <c r="AB60" s="31"/>
      <c r="AC60" s="31"/>
      <c r="AD60" s="31"/>
      <c r="AE60" s="37"/>
      <c r="AF60" s="37"/>
      <c r="AG60" s="37"/>
    </row>
    <row r="61" spans="1:33" ht="15.75" customHeight="1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6"/>
      <c r="V61" s="1"/>
      <c r="W61" s="31"/>
      <c r="X61" s="31"/>
      <c r="Y61" s="31"/>
      <c r="Z61" s="31"/>
      <c r="AA61" s="2"/>
      <c r="AB61" s="31"/>
      <c r="AC61" s="31"/>
      <c r="AD61" s="31"/>
      <c r="AE61" s="37"/>
      <c r="AF61" s="37"/>
      <c r="AG61" s="37"/>
    </row>
    <row r="62" spans="1:33" ht="15.75" customHeight="1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6"/>
      <c r="V62" s="1"/>
      <c r="W62" s="31"/>
      <c r="X62" s="31"/>
      <c r="Y62" s="31"/>
      <c r="Z62" s="31"/>
      <c r="AA62" s="2"/>
      <c r="AB62" s="31"/>
      <c r="AC62" s="31"/>
      <c r="AD62" s="31"/>
      <c r="AE62" s="37"/>
      <c r="AF62" s="37"/>
      <c r="AG62" s="37"/>
    </row>
    <row r="63" spans="1:33" ht="15.75" customHeight="1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6"/>
      <c r="V63" s="1"/>
      <c r="W63" s="31"/>
      <c r="X63" s="31"/>
      <c r="Y63" s="31"/>
      <c r="Z63" s="31"/>
      <c r="AA63" s="2"/>
      <c r="AB63" s="31"/>
      <c r="AC63" s="31"/>
      <c r="AD63" s="31"/>
      <c r="AE63" s="37"/>
      <c r="AF63" s="37"/>
      <c r="AG63" s="37"/>
    </row>
    <row r="64" spans="1:33" ht="15.75" customHeight="1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6"/>
      <c r="V64" s="1"/>
      <c r="W64" s="31"/>
      <c r="X64" s="31"/>
      <c r="Y64" s="31"/>
      <c r="Z64" s="31"/>
      <c r="AA64" s="2"/>
      <c r="AB64" s="31"/>
      <c r="AC64" s="31"/>
      <c r="AD64" s="31"/>
      <c r="AE64" s="37"/>
      <c r="AF64" s="37"/>
      <c r="AG64" s="37"/>
    </row>
    <row r="65" spans="1:33" ht="15.75" customHeight="1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6"/>
      <c r="V65" s="1"/>
      <c r="W65" s="31"/>
      <c r="X65" s="31"/>
      <c r="Y65" s="31"/>
      <c r="Z65" s="31"/>
      <c r="AA65" s="2"/>
      <c r="AB65" s="31"/>
      <c r="AC65" s="31"/>
      <c r="AD65" s="31"/>
      <c r="AE65" s="37"/>
      <c r="AF65" s="37"/>
      <c r="AG65" s="37"/>
    </row>
    <row r="66" spans="1:33" ht="15.75" customHeight="1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6"/>
      <c r="V66" s="1"/>
      <c r="W66" s="31"/>
      <c r="X66" s="31"/>
      <c r="Y66" s="31"/>
      <c r="Z66" s="31"/>
      <c r="AA66" s="2"/>
      <c r="AB66" s="31"/>
      <c r="AC66" s="31"/>
      <c r="AD66" s="31"/>
      <c r="AE66" s="37"/>
      <c r="AF66" s="37"/>
      <c r="AG66" s="37"/>
    </row>
    <row r="67" spans="1:33" ht="15.75" customHeight="1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6"/>
      <c r="V67" s="1"/>
      <c r="W67" s="31"/>
      <c r="X67" s="31"/>
      <c r="Y67" s="31"/>
      <c r="Z67" s="31"/>
      <c r="AA67" s="2"/>
      <c r="AB67" s="31"/>
      <c r="AC67" s="31"/>
      <c r="AD67" s="31"/>
      <c r="AE67" s="37"/>
      <c r="AF67" s="37"/>
      <c r="AG67" s="37"/>
    </row>
    <row r="68" spans="1:33" ht="15.75" customHeight="1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6"/>
      <c r="V68" s="1"/>
      <c r="W68" s="31"/>
      <c r="X68" s="31"/>
      <c r="Y68" s="31"/>
      <c r="Z68" s="31"/>
      <c r="AA68" s="2"/>
      <c r="AB68" s="31"/>
      <c r="AC68" s="31"/>
      <c r="AD68" s="31"/>
      <c r="AE68" s="37"/>
      <c r="AF68" s="37"/>
      <c r="AG68" s="37"/>
    </row>
    <row r="69" spans="1:33" ht="15.75" customHeight="1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6"/>
      <c r="V69" s="1"/>
      <c r="W69" s="31"/>
      <c r="X69" s="31"/>
      <c r="Y69" s="31"/>
      <c r="Z69" s="31"/>
      <c r="AA69" s="2"/>
      <c r="AB69" s="31"/>
      <c r="AC69" s="31"/>
      <c r="AD69" s="31"/>
      <c r="AE69" s="37"/>
      <c r="AF69" s="37"/>
      <c r="AG69" s="37"/>
    </row>
    <row r="70" spans="1:33" ht="15.75" customHeight="1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6"/>
      <c r="V70" s="1"/>
      <c r="W70" s="31"/>
      <c r="X70" s="31"/>
      <c r="Y70" s="31"/>
      <c r="Z70" s="31"/>
      <c r="AA70" s="2"/>
      <c r="AB70" s="31"/>
      <c r="AC70" s="31"/>
      <c r="AD70" s="31"/>
      <c r="AE70" s="37"/>
      <c r="AF70" s="37"/>
      <c r="AG70" s="37"/>
    </row>
    <row r="71" spans="1:33" ht="15.75" customHeight="1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6"/>
      <c r="V71" s="1"/>
      <c r="W71" s="31"/>
      <c r="X71" s="31"/>
      <c r="Y71" s="31"/>
      <c r="Z71" s="31"/>
      <c r="AA71" s="2"/>
      <c r="AB71" s="31"/>
      <c r="AC71" s="31"/>
      <c r="AD71" s="31"/>
      <c r="AE71" s="37"/>
      <c r="AF71" s="37"/>
      <c r="AG71" s="37"/>
    </row>
    <row r="72" spans="1:33" ht="15.75" customHeight="1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6"/>
      <c r="V72" s="1"/>
      <c r="W72" s="31"/>
      <c r="X72" s="31"/>
      <c r="Y72" s="31"/>
      <c r="Z72" s="31"/>
      <c r="AA72" s="2"/>
      <c r="AB72" s="31"/>
      <c r="AC72" s="31"/>
      <c r="AD72" s="31"/>
      <c r="AE72" s="37"/>
      <c r="AF72" s="37"/>
      <c r="AG72" s="37"/>
    </row>
    <row r="73" spans="1:33" ht="15.75" customHeight="1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6"/>
      <c r="V73" s="1"/>
      <c r="W73" s="31"/>
      <c r="X73" s="31"/>
      <c r="Y73" s="31"/>
      <c r="Z73" s="31"/>
      <c r="AA73" s="2"/>
      <c r="AB73" s="31"/>
      <c r="AC73" s="31"/>
      <c r="AD73" s="31"/>
      <c r="AE73" s="37"/>
      <c r="AF73" s="37"/>
      <c r="AG73" s="37"/>
    </row>
    <row r="74" spans="1:33" ht="15.75" customHeight="1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6"/>
      <c r="V74" s="1"/>
      <c r="W74" s="31"/>
      <c r="X74" s="31"/>
      <c r="Y74" s="31"/>
      <c r="Z74" s="31"/>
      <c r="AA74" s="2"/>
      <c r="AB74" s="31"/>
      <c r="AC74" s="31"/>
      <c r="AD74" s="31"/>
      <c r="AE74" s="37"/>
      <c r="AF74" s="37"/>
      <c r="AG74" s="37"/>
    </row>
    <row r="75" spans="1:33" ht="15.75" customHeight="1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6"/>
      <c r="V75" s="1"/>
      <c r="W75" s="31"/>
      <c r="X75" s="31"/>
      <c r="Y75" s="31"/>
      <c r="Z75" s="31"/>
      <c r="AA75" s="2"/>
      <c r="AB75" s="31"/>
      <c r="AC75" s="31"/>
      <c r="AD75" s="31"/>
      <c r="AE75" s="37"/>
      <c r="AF75" s="37"/>
      <c r="AG75" s="37"/>
    </row>
    <row r="76" spans="1:33" ht="15.75" customHeight="1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6"/>
      <c r="V76" s="1"/>
      <c r="W76" s="31"/>
      <c r="X76" s="31"/>
      <c r="Y76" s="31"/>
      <c r="Z76" s="31"/>
      <c r="AA76" s="2"/>
      <c r="AB76" s="31"/>
      <c r="AC76" s="31"/>
      <c r="AD76" s="31"/>
      <c r="AE76" s="37"/>
      <c r="AF76" s="37"/>
      <c r="AG76" s="37"/>
    </row>
    <row r="77" spans="1:33" ht="15.75" customHeight="1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6"/>
      <c r="V77" s="1"/>
      <c r="W77" s="31"/>
      <c r="X77" s="31"/>
      <c r="Y77" s="31"/>
      <c r="Z77" s="31"/>
      <c r="AA77" s="2"/>
      <c r="AB77" s="31"/>
      <c r="AC77" s="31"/>
      <c r="AD77" s="31"/>
      <c r="AE77" s="37"/>
      <c r="AF77" s="37"/>
      <c r="AG77" s="37"/>
    </row>
    <row r="78" spans="1:33" ht="15.75" customHeight="1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6"/>
      <c r="V78" s="1"/>
      <c r="W78" s="31"/>
      <c r="X78" s="31"/>
      <c r="Y78" s="31"/>
      <c r="Z78" s="31"/>
      <c r="AA78" s="2"/>
      <c r="AB78" s="31"/>
      <c r="AC78" s="31"/>
      <c r="AD78" s="31"/>
      <c r="AE78" s="37"/>
      <c r="AF78" s="37"/>
      <c r="AG78" s="37"/>
    </row>
    <row r="79" spans="1:33" ht="15.75" customHeight="1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6"/>
      <c r="V79" s="1"/>
      <c r="W79" s="31"/>
      <c r="X79" s="31"/>
      <c r="Y79" s="31"/>
      <c r="Z79" s="31"/>
      <c r="AA79" s="2"/>
      <c r="AB79" s="31"/>
      <c r="AC79" s="31"/>
      <c r="AD79" s="31"/>
      <c r="AE79" s="37"/>
      <c r="AF79" s="37"/>
      <c r="AG79" s="37"/>
    </row>
    <row r="80" spans="1:33" ht="15.75" customHeight="1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6"/>
      <c r="V80" s="1"/>
      <c r="W80" s="31"/>
      <c r="X80" s="31"/>
      <c r="Y80" s="31"/>
      <c r="Z80" s="31"/>
      <c r="AA80" s="2"/>
      <c r="AB80" s="31"/>
      <c r="AC80" s="31"/>
      <c r="AD80" s="31"/>
      <c r="AE80" s="37"/>
      <c r="AF80" s="37"/>
      <c r="AG80" s="37"/>
    </row>
    <row r="81" spans="1:33" ht="15.75" customHeight="1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6"/>
      <c r="V81" s="1"/>
      <c r="W81" s="31"/>
      <c r="X81" s="31"/>
      <c r="Y81" s="31"/>
      <c r="Z81" s="31"/>
      <c r="AA81" s="2"/>
      <c r="AB81" s="31"/>
      <c r="AC81" s="31"/>
      <c r="AD81" s="31"/>
      <c r="AE81" s="37"/>
      <c r="AF81" s="37"/>
      <c r="AG81" s="37"/>
    </row>
    <row r="82" spans="1:33" ht="15.75" customHeight="1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6"/>
      <c r="V82" s="1"/>
      <c r="W82" s="31"/>
      <c r="X82" s="31"/>
      <c r="Y82" s="31"/>
      <c r="Z82" s="31"/>
      <c r="AA82" s="2"/>
      <c r="AB82" s="31"/>
      <c r="AC82" s="31"/>
      <c r="AD82" s="31"/>
      <c r="AE82" s="37"/>
      <c r="AF82" s="37"/>
      <c r="AG82" s="37"/>
    </row>
    <row r="83" spans="1:33" ht="15.75" customHeight="1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6"/>
      <c r="V83" s="1"/>
      <c r="W83" s="31"/>
      <c r="X83" s="31"/>
      <c r="Y83" s="31"/>
      <c r="Z83" s="31"/>
      <c r="AA83" s="2"/>
      <c r="AB83" s="31"/>
      <c r="AC83" s="31"/>
      <c r="AD83" s="31"/>
      <c r="AE83" s="37"/>
      <c r="AF83" s="37"/>
      <c r="AG83" s="37"/>
    </row>
    <row r="84" spans="1:33" ht="15.75" customHeight="1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6"/>
      <c r="V84" s="1"/>
      <c r="W84" s="31"/>
      <c r="X84" s="31"/>
      <c r="Y84" s="31"/>
      <c r="Z84" s="31"/>
      <c r="AA84" s="2"/>
      <c r="AB84" s="31"/>
      <c r="AC84" s="31"/>
      <c r="AD84" s="31"/>
      <c r="AE84" s="37"/>
      <c r="AF84" s="37"/>
      <c r="AG84" s="37"/>
    </row>
    <row r="85" spans="1:33" ht="15.75" customHeight="1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6"/>
      <c r="V85" s="1"/>
      <c r="W85" s="31"/>
      <c r="X85" s="31"/>
      <c r="Y85" s="31"/>
      <c r="Z85" s="31"/>
      <c r="AA85" s="2"/>
      <c r="AB85" s="31"/>
      <c r="AC85" s="31"/>
      <c r="AD85" s="31"/>
      <c r="AE85" s="37"/>
      <c r="AF85" s="37"/>
      <c r="AG85" s="37"/>
    </row>
    <row r="86" spans="1:33" ht="15.75" customHeight="1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6"/>
      <c r="V86" s="1"/>
      <c r="W86" s="31"/>
      <c r="X86" s="31"/>
      <c r="Y86" s="31"/>
      <c r="Z86" s="31"/>
      <c r="AA86" s="2"/>
      <c r="AB86" s="31"/>
      <c r="AC86" s="31"/>
      <c r="AD86" s="31"/>
      <c r="AE86" s="37"/>
      <c r="AF86" s="37"/>
      <c r="AG86" s="37"/>
    </row>
    <row r="87" spans="1:33" ht="15.75" customHeight="1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6"/>
      <c r="V87" s="1"/>
      <c r="W87" s="31"/>
      <c r="X87" s="31"/>
      <c r="Y87" s="31"/>
      <c r="Z87" s="31"/>
      <c r="AA87" s="2"/>
      <c r="AB87" s="31"/>
      <c r="AC87" s="31"/>
      <c r="AD87" s="31"/>
      <c r="AE87" s="37"/>
      <c r="AF87" s="37"/>
      <c r="AG87" s="37"/>
    </row>
    <row r="88" spans="1:33" ht="15.75" customHeight="1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6"/>
      <c r="V88" s="1"/>
      <c r="W88" s="31"/>
      <c r="X88" s="31"/>
      <c r="Y88" s="31"/>
      <c r="Z88" s="31"/>
      <c r="AA88" s="2"/>
      <c r="AB88" s="31"/>
      <c r="AC88" s="31"/>
      <c r="AD88" s="31"/>
      <c r="AE88" s="37"/>
      <c r="AF88" s="37"/>
      <c r="AG88" s="37"/>
    </row>
    <row r="89" spans="1:33" ht="15.75" customHeight="1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6"/>
      <c r="V89" s="1"/>
      <c r="W89" s="31"/>
      <c r="X89" s="31"/>
      <c r="Y89" s="31"/>
      <c r="Z89" s="31"/>
      <c r="AA89" s="2"/>
      <c r="AB89" s="31"/>
      <c r="AC89" s="31"/>
      <c r="AD89" s="31"/>
      <c r="AE89" s="37"/>
      <c r="AF89" s="37"/>
      <c r="AG89" s="37"/>
    </row>
    <row r="90" spans="1:33" ht="15.75" customHeight="1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6"/>
      <c r="V90" s="1"/>
      <c r="W90" s="31"/>
      <c r="X90" s="31"/>
      <c r="Y90" s="31"/>
      <c r="Z90" s="31"/>
      <c r="AA90" s="2"/>
      <c r="AB90" s="31"/>
      <c r="AC90" s="31"/>
      <c r="AD90" s="31"/>
      <c r="AE90" s="37"/>
      <c r="AF90" s="37"/>
      <c r="AG90" s="37"/>
    </row>
    <row r="91" spans="1:33" ht="15.75" customHeight="1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6"/>
      <c r="V91" s="1"/>
      <c r="W91" s="31"/>
      <c r="X91" s="31"/>
      <c r="Y91" s="31"/>
      <c r="Z91" s="31"/>
      <c r="AA91" s="2"/>
      <c r="AB91" s="31"/>
      <c r="AC91" s="31"/>
      <c r="AD91" s="31"/>
      <c r="AE91" s="37"/>
      <c r="AF91" s="37"/>
      <c r="AG91" s="37"/>
    </row>
    <row r="92" spans="1:33" ht="15.75" customHeight="1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6"/>
      <c r="V92" s="1"/>
      <c r="W92" s="31"/>
      <c r="X92" s="31"/>
      <c r="Y92" s="31"/>
      <c r="Z92" s="31"/>
      <c r="AA92" s="2"/>
      <c r="AB92" s="31"/>
      <c r="AC92" s="31"/>
      <c r="AD92" s="31"/>
      <c r="AE92" s="37"/>
      <c r="AF92" s="37"/>
      <c r="AG92" s="37"/>
    </row>
    <row r="93" spans="1:33" ht="15.75" customHeight="1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6"/>
      <c r="V93" s="1"/>
      <c r="W93" s="31"/>
      <c r="X93" s="31"/>
      <c r="Y93" s="31"/>
      <c r="Z93" s="31"/>
      <c r="AA93" s="2"/>
      <c r="AB93" s="31"/>
      <c r="AC93" s="31"/>
      <c r="AD93" s="31"/>
      <c r="AE93" s="37"/>
      <c r="AF93" s="37"/>
      <c r="AG93" s="37"/>
    </row>
    <row r="94" spans="1:33" ht="15.75" customHeight="1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6"/>
      <c r="V94" s="1"/>
      <c r="W94" s="31"/>
      <c r="X94" s="31"/>
      <c r="Y94" s="31"/>
      <c r="Z94" s="31"/>
      <c r="AA94" s="2"/>
      <c r="AB94" s="31"/>
      <c r="AC94" s="31"/>
      <c r="AD94" s="31"/>
      <c r="AE94" s="37"/>
      <c r="AF94" s="37"/>
      <c r="AG94" s="37"/>
    </row>
    <row r="95" spans="1:33" ht="15.75" customHeight="1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6"/>
      <c r="V95" s="1"/>
      <c r="W95" s="31"/>
      <c r="X95" s="31"/>
      <c r="Y95" s="31"/>
      <c r="Z95" s="31"/>
      <c r="AA95" s="2"/>
      <c r="AB95" s="31"/>
      <c r="AC95" s="31"/>
      <c r="AD95" s="31"/>
      <c r="AE95" s="37"/>
      <c r="AF95" s="37"/>
      <c r="AG95" s="37"/>
    </row>
    <row r="96" spans="1:33" ht="15.75" customHeight="1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6"/>
      <c r="V96" s="1"/>
      <c r="W96" s="31"/>
      <c r="X96" s="31"/>
      <c r="Y96" s="31"/>
      <c r="Z96" s="31"/>
      <c r="AA96" s="2"/>
      <c r="AB96" s="31"/>
      <c r="AC96" s="31"/>
      <c r="AD96" s="31"/>
      <c r="AE96" s="37"/>
      <c r="AF96" s="37"/>
      <c r="AG96" s="37"/>
    </row>
    <row r="97" spans="1:33" ht="15.75" customHeight="1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8"/>
      <c r="R97" s="38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8"/>
      <c r="R98" s="38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8"/>
      <c r="R99" s="38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8"/>
      <c r="R100" s="38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8"/>
      <c r="R101" s="38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8"/>
      <c r="R102" s="38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8"/>
      <c r="R103" s="38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8"/>
      <c r="R104" s="38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8"/>
      <c r="R105" s="38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8"/>
      <c r="R106" s="38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8"/>
      <c r="R107" s="38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8"/>
      <c r="R108" s="38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8"/>
      <c r="R109" s="38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8"/>
      <c r="R110" s="38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8"/>
      <c r="R111" s="38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8"/>
      <c r="R112" s="38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8"/>
      <c r="R113" s="38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8"/>
      <c r="R114" s="38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>
      <c r="A115" s="31"/>
      <c r="B115" s="31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>
      <c r="A116" s="31"/>
      <c r="B116" s="31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>
      <c r="A117" s="31"/>
      <c r="B117" s="31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>
      <c r="A118" s="31"/>
      <c r="B118" s="31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>
      <c r="A119" s="31"/>
      <c r="B119" s="31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>
      <c r="A120" s="31"/>
      <c r="B120" s="31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>
      <c r="A121" s="31"/>
      <c r="B121" s="31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>
      <c r="A122" s="31"/>
      <c r="B122" s="31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>
      <c r="A123" s="31"/>
      <c r="B123" s="31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>
      <c r="A124" s="31"/>
      <c r="B124" s="31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>
      <c r="A125" s="31"/>
      <c r="B125" s="31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>
      <c r="A126" s="31"/>
      <c r="B126" s="31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>
      <c r="A127" s="31"/>
      <c r="B127" s="31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>
      <c r="A128" s="31"/>
      <c r="B128" s="31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>
      <c r="A129" s="31"/>
      <c r="B129" s="31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>
      <c r="A130" s="31"/>
      <c r="B130" s="31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>
      <c r="A131" s="31"/>
      <c r="B131" s="31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>
      <c r="A132" s="31"/>
      <c r="B132" s="31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>
      <c r="A133" s="31"/>
      <c r="B133" s="31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>
      <c r="A134" s="31"/>
      <c r="B134" s="31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>
      <c r="A135" s="31"/>
      <c r="B135" s="31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>
      <c r="A136" s="31"/>
      <c r="B136" s="31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>
      <c r="A137" s="31"/>
      <c r="B137" s="31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>
      <c r="A138" s="31"/>
      <c r="B138" s="31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>
      <c r="A139" s="31"/>
      <c r="B139" s="31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>
      <c r="A140" s="31"/>
      <c r="B140" s="31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>
      <c r="A141" s="31"/>
      <c r="B141" s="31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2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>
      <c r="A142" s="31"/>
      <c r="B142" s="31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2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>
      <c r="A143" s="31"/>
      <c r="B143" s="31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2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>
      <c r="A144" s="31"/>
      <c r="B144" s="31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2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>
      <c r="A145" s="31"/>
      <c r="B145" s="31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2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>
      <c r="A146" s="31"/>
      <c r="B146" s="31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2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>
      <c r="A147" s="31"/>
      <c r="B147" s="31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2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>
      <c r="A148" s="31"/>
      <c r="B148" s="31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2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</row>
    <row r="149" spans="1:33" ht="15.75" customHeight="1">
      <c r="A149" s="14"/>
      <c r="B149" s="14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>
      <c r="A150" s="14"/>
      <c r="B150" s="14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>
      <c r="A151" s="14"/>
      <c r="B151" s="14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>
      <c r="A152" s="14"/>
      <c r="B152" s="14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>
      <c r="A153" s="14"/>
      <c r="B153" s="14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>
      <c r="A154" s="14"/>
      <c r="B154" s="14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>
      <c r="A155" s="14"/>
      <c r="B155" s="14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>
      <c r="A156" s="14"/>
      <c r="B156" s="14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>
      <c r="A157" s="14"/>
      <c r="B157" s="14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>
      <c r="A158" s="14"/>
      <c r="B158" s="14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>
      <c r="A159" s="14"/>
      <c r="B159" s="14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>
      <c r="A160" s="14"/>
      <c r="B160" s="14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>
      <c r="A161" s="14"/>
      <c r="B161" s="14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>
      <c r="A162" s="14"/>
      <c r="B162" s="14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>
      <c r="A163" s="14"/>
      <c r="B163" s="14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>
      <c r="A164" s="14"/>
      <c r="B164" s="14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>
      <c r="A165" s="14"/>
      <c r="B165" s="14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>
      <c r="A166" s="14"/>
      <c r="B166" s="14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>
      <c r="A167" s="14"/>
      <c r="B167" s="14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>
      <c r="A168" s="14"/>
      <c r="B168" s="14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>
      <c r="A169" s="14"/>
      <c r="B169" s="14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>
      <c r="A170" s="14"/>
      <c r="B170" s="14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>
      <c r="A171" s="14"/>
      <c r="B171" s="14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>
      <c r="A172" s="14"/>
      <c r="B172" s="14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>
      <c r="A173" s="14"/>
      <c r="B173" s="14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>
      <c r="A174" s="14"/>
      <c r="B174" s="14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>
      <c r="A175" s="14"/>
      <c r="B175" s="14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>
      <c r="A176" s="14"/>
      <c r="B176" s="14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>
      <c r="A177" s="14"/>
      <c r="B177" s="14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>
      <c r="A178" s="14"/>
      <c r="B178" s="14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>
      <c r="A179" s="14"/>
      <c r="B179" s="14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>
      <c r="A180" s="14"/>
      <c r="B180" s="14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>
      <c r="A181" s="14"/>
      <c r="B181" s="14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>
      <c r="A182" s="14"/>
      <c r="B182" s="14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>
      <c r="A183" s="14"/>
      <c r="B183" s="14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>
      <c r="A184" s="14"/>
      <c r="B184" s="14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>
      <c r="A185" s="14"/>
      <c r="B185" s="14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>
      <c r="A186" s="14"/>
      <c r="B186" s="14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>
      <c r="A187" s="14"/>
      <c r="B187" s="14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>
      <c r="A188" s="14"/>
      <c r="B188" s="14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>
      <c r="A189" s="14"/>
      <c r="B189" s="14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>
      <c r="A190" s="14"/>
      <c r="B190" s="14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>
      <c r="A191" s="14"/>
      <c r="B191" s="14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>
      <c r="A192" s="14"/>
      <c r="B192" s="14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>
      <c r="A193" s="14"/>
      <c r="B193" s="14"/>
      <c r="C193" s="39"/>
      <c r="D193" s="39"/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>
      <c r="A194" s="14"/>
      <c r="B194" s="14"/>
      <c r="C194" s="39"/>
      <c r="D194" s="39"/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>
      <c r="A195" s="14"/>
      <c r="B195" s="14"/>
      <c r="C195" s="39"/>
      <c r="D195" s="39"/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>
      <c r="A196" s="14"/>
      <c r="B196" s="14"/>
      <c r="C196" s="39"/>
      <c r="D196" s="39"/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>
      <c r="A197" s="14"/>
      <c r="B197" s="14"/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>
      <c r="A198" s="14"/>
      <c r="B198" s="14"/>
      <c r="C198" s="39"/>
      <c r="D198" s="39"/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>
      <c r="A199" s="14"/>
      <c r="B199" s="14"/>
      <c r="C199" s="39"/>
      <c r="D199" s="39"/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>
      <c r="A200" s="14"/>
      <c r="B200" s="14"/>
      <c r="C200" s="39"/>
      <c r="D200" s="39"/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>
      <c r="A201" s="14"/>
      <c r="B201" s="14"/>
      <c r="C201" s="39"/>
      <c r="D201" s="39"/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>
      <c r="A202" s="14"/>
      <c r="B202" s="14"/>
      <c r="C202" s="39"/>
      <c r="D202" s="39"/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>
      <c r="A203" s="14"/>
      <c r="B203" s="14"/>
      <c r="C203" s="39"/>
      <c r="D203" s="39"/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>
      <c r="A204" s="14"/>
      <c r="B204" s="14"/>
      <c r="C204" s="39"/>
      <c r="D204" s="39"/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>
      <c r="A205" s="14"/>
      <c r="B205" s="14"/>
      <c r="C205" s="39"/>
      <c r="D205" s="39"/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>
      <c r="A206" s="14"/>
      <c r="B206" s="14"/>
      <c r="C206" s="39"/>
      <c r="D206" s="39"/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>
      <c r="A207" s="14"/>
      <c r="B207" s="14"/>
      <c r="C207" s="39"/>
      <c r="D207" s="39"/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>
      <c r="A208" s="14"/>
      <c r="B208" s="14"/>
      <c r="C208" s="39"/>
      <c r="D208" s="39"/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>
      <c r="A209" s="14"/>
      <c r="B209" s="14"/>
      <c r="C209" s="39"/>
      <c r="D209" s="39"/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>
      <c r="A210" s="14"/>
      <c r="B210" s="14"/>
      <c r="C210" s="39"/>
      <c r="D210" s="39"/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>
      <c r="A211" s="14"/>
      <c r="B211" s="14"/>
      <c r="C211" s="39"/>
      <c r="D211" s="39"/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>
      <c r="A212" s="14"/>
      <c r="B212" s="14"/>
      <c r="C212" s="39"/>
      <c r="D212" s="39"/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>
      <c r="A213" s="14"/>
      <c r="B213" s="14"/>
      <c r="C213" s="39"/>
      <c r="D213" s="39"/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>
      <c r="A214" s="14"/>
      <c r="B214" s="14"/>
      <c r="C214" s="39"/>
      <c r="D214" s="39"/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>
      <c r="A215" s="14"/>
      <c r="B215" s="14"/>
      <c r="C215" s="39"/>
      <c r="D215" s="39"/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>
      <c r="A216" s="14"/>
      <c r="B216" s="14"/>
      <c r="C216" s="39"/>
      <c r="D216" s="39"/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>
      <c r="A217" s="14"/>
      <c r="B217" s="14"/>
      <c r="C217" s="39"/>
      <c r="D217" s="39"/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>
      <c r="A218" s="14"/>
      <c r="B218" s="14"/>
      <c r="C218" s="39"/>
      <c r="D218" s="39"/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>
      <c r="A219" s="14"/>
      <c r="B219" s="14"/>
      <c r="C219" s="39"/>
      <c r="D219" s="39"/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>
      <c r="A220" s="14"/>
      <c r="B220" s="14"/>
      <c r="C220" s="39"/>
      <c r="D220" s="39"/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>
      <c r="R221" s="30"/>
      <c r="S221" s="40"/>
    </row>
    <row r="222" spans="1:33" ht="15.75" customHeight="1">
      <c r="R222" s="30"/>
      <c r="S222" s="40"/>
    </row>
    <row r="223" spans="1:33" ht="15.75" customHeight="1">
      <c r="R223" s="30"/>
      <c r="S223" s="40"/>
    </row>
    <row r="224" spans="1:33" ht="15.75" customHeight="1">
      <c r="R224" s="30"/>
      <c r="S224" s="40"/>
    </row>
    <row r="225" spans="18:18" ht="15.75" customHeight="1">
      <c r="R225" s="30"/>
    </row>
    <row r="226" spans="18:18" ht="15.75" customHeight="1">
      <c r="R226" s="30"/>
    </row>
    <row r="227" spans="18:18" ht="15.75" customHeight="1">
      <c r="R227" s="30"/>
    </row>
    <row r="228" spans="18:18" ht="15.75" customHeight="1">
      <c r="R228" s="30"/>
    </row>
    <row r="229" spans="18:18" ht="15.75" customHeight="1">
      <c r="R229" s="30"/>
    </row>
    <row r="230" spans="18:18" ht="15.75" customHeight="1">
      <c r="R230" s="30"/>
    </row>
    <row r="231" spans="18:18" ht="15.75" customHeight="1">
      <c r="R231" s="30"/>
    </row>
    <row r="232" spans="18:18" ht="15.75" customHeight="1">
      <c r="R232" s="30"/>
    </row>
    <row r="233" spans="18:18" ht="15.75" customHeight="1">
      <c r="R233" s="30"/>
    </row>
    <row r="234" spans="18:18" ht="15.75" customHeight="1">
      <c r="R234" s="30"/>
    </row>
    <row r="235" spans="18:18" ht="15.75" customHeight="1">
      <c r="R235" s="30"/>
    </row>
    <row r="236" spans="18:18" ht="15.75" customHeight="1">
      <c r="R236" s="30"/>
    </row>
    <row r="237" spans="18:18" ht="15.75" customHeight="1">
      <c r="R237" s="30"/>
    </row>
    <row r="238" spans="18:18" ht="15.75" customHeight="1">
      <c r="R238" s="30"/>
    </row>
    <row r="239" spans="18:18" ht="15.75" customHeight="1">
      <c r="R239" s="30"/>
    </row>
    <row r="240" spans="18:18" ht="15.75" customHeight="1">
      <c r="R240" s="30"/>
    </row>
    <row r="241" spans="18:18" ht="15.75" customHeight="1">
      <c r="R241" s="30"/>
    </row>
    <row r="242" spans="18:18" ht="15.75" customHeight="1">
      <c r="R242" s="30"/>
    </row>
    <row r="243" spans="18:18" ht="15.75" customHeight="1">
      <c r="R243" s="30"/>
    </row>
    <row r="244" spans="18:18" ht="15.75" customHeight="1">
      <c r="R244" s="30"/>
    </row>
    <row r="245" spans="18:18" ht="15.75" customHeight="1">
      <c r="R245" s="30"/>
    </row>
    <row r="246" spans="18:18" ht="15.75" customHeight="1">
      <c r="R246" s="30"/>
    </row>
    <row r="247" spans="18:18" ht="15.75" customHeight="1">
      <c r="R247" s="30"/>
    </row>
    <row r="248" spans="18:18" ht="15.75" customHeight="1">
      <c r="R248" s="30"/>
    </row>
    <row r="249" spans="18:18" ht="15.75" customHeight="1">
      <c r="R249" s="30"/>
    </row>
    <row r="250" spans="18:18" ht="15.75" customHeight="1">
      <c r="R250" s="30"/>
    </row>
    <row r="251" spans="18:18" ht="15.75" customHeight="1">
      <c r="R251" s="30"/>
    </row>
    <row r="252" spans="18:18" ht="15.75" customHeight="1">
      <c r="R252" s="30"/>
    </row>
    <row r="253" spans="18:18" ht="15.75" customHeight="1">
      <c r="R253" s="30"/>
    </row>
    <row r="254" spans="18:18" ht="15.75" customHeight="1">
      <c r="R254" s="30"/>
    </row>
    <row r="255" spans="18:18" ht="15.75" customHeight="1">
      <c r="R255" s="30"/>
    </row>
    <row r="256" spans="18:18" ht="15.75" customHeight="1">
      <c r="R256" s="30"/>
    </row>
    <row r="257" spans="18:18" ht="15.75" customHeight="1">
      <c r="R257" s="30"/>
    </row>
    <row r="258" spans="18:18" ht="15.75" customHeight="1">
      <c r="R258" s="30"/>
    </row>
    <row r="259" spans="18:18" ht="15.75" customHeight="1">
      <c r="R259" s="30"/>
    </row>
    <row r="260" spans="18:18" ht="15.75" customHeight="1">
      <c r="R260" s="30"/>
    </row>
    <row r="261" spans="18:18" ht="15.75" customHeight="1">
      <c r="R261" s="30"/>
    </row>
    <row r="262" spans="18:18" ht="15.75" customHeight="1">
      <c r="R262" s="30"/>
    </row>
    <row r="263" spans="18:18" ht="15.75" customHeight="1">
      <c r="R263" s="30"/>
    </row>
    <row r="264" spans="18:18" ht="15.75" customHeight="1">
      <c r="R264" s="30"/>
    </row>
    <row r="265" spans="18:18" ht="15.75" customHeight="1">
      <c r="R265" s="30"/>
    </row>
    <row r="266" spans="18:18" ht="15.75" customHeight="1">
      <c r="R266" s="30"/>
    </row>
    <row r="267" spans="18:18" ht="15.75" customHeight="1">
      <c r="R267" s="30"/>
    </row>
    <row r="268" spans="18:18" ht="15.75" customHeight="1">
      <c r="R268" s="30"/>
    </row>
    <row r="269" spans="18:18" ht="15.75" customHeight="1">
      <c r="R269" s="30"/>
    </row>
    <row r="270" spans="18:18" ht="15.75" customHeight="1">
      <c r="R270" s="30"/>
    </row>
    <row r="271" spans="18:18" ht="15.75" customHeight="1">
      <c r="R271" s="30"/>
    </row>
    <row r="272" spans="18:18" ht="15.75" customHeight="1">
      <c r="R272" s="30"/>
    </row>
    <row r="273" spans="18:18" ht="15.75" customHeight="1">
      <c r="R273" s="30"/>
    </row>
    <row r="274" spans="18:18" ht="15.75" customHeight="1">
      <c r="R274" s="30"/>
    </row>
    <row r="275" spans="18:18" ht="15.75" customHeight="1">
      <c r="R275" s="30"/>
    </row>
    <row r="276" spans="18:18" ht="15.75" customHeight="1">
      <c r="R276" s="30"/>
    </row>
    <row r="277" spans="18:18" ht="15.75" customHeight="1">
      <c r="R277" s="30"/>
    </row>
    <row r="278" spans="18:18" ht="15.75" customHeight="1">
      <c r="R278" s="30"/>
    </row>
    <row r="279" spans="18:18" ht="15.75" customHeight="1">
      <c r="R279" s="30"/>
    </row>
    <row r="280" spans="18:18" ht="15.75" customHeight="1">
      <c r="R280" s="30"/>
    </row>
    <row r="281" spans="18:18" ht="15.75" customHeight="1">
      <c r="R281" s="30"/>
    </row>
    <row r="282" spans="18:18" ht="15.75" customHeight="1">
      <c r="R282" s="30"/>
    </row>
    <row r="283" spans="18:18" ht="15.75" customHeight="1">
      <c r="R283" s="30"/>
    </row>
    <row r="284" spans="18:18" ht="15.75" customHeight="1">
      <c r="R284" s="30"/>
    </row>
    <row r="285" spans="18:18" ht="15.75" customHeight="1">
      <c r="R285" s="30"/>
    </row>
    <row r="286" spans="18:18" ht="15.75" customHeight="1">
      <c r="R286" s="30"/>
    </row>
    <row r="287" spans="18:18" ht="15.75" customHeight="1">
      <c r="R287" s="30"/>
    </row>
    <row r="288" spans="18:18" ht="15.75" customHeight="1">
      <c r="R288" s="30"/>
    </row>
    <row r="289" spans="18:18" ht="15.75" customHeight="1">
      <c r="R289" s="30"/>
    </row>
    <row r="290" spans="18:18" ht="15.75" customHeight="1">
      <c r="R290" s="30"/>
    </row>
    <row r="291" spans="18:18" ht="15.75" customHeight="1">
      <c r="R291" s="30"/>
    </row>
    <row r="292" spans="18:18" ht="15.75" customHeight="1">
      <c r="R292" s="30"/>
    </row>
    <row r="293" spans="18:18" ht="15.75" customHeight="1">
      <c r="R293" s="30"/>
    </row>
    <row r="294" spans="18:18" ht="15.75" customHeight="1">
      <c r="R294" s="30"/>
    </row>
    <row r="295" spans="18:18" ht="15.75" customHeight="1">
      <c r="R295" s="30"/>
    </row>
    <row r="296" spans="18:18" ht="15.75" customHeight="1">
      <c r="R296" s="30"/>
    </row>
    <row r="297" spans="18:18" ht="15.75" customHeight="1">
      <c r="R297" s="30"/>
    </row>
    <row r="298" spans="18:18" ht="15.75" customHeight="1">
      <c r="R298" s="30"/>
    </row>
    <row r="299" spans="18:18" ht="15.75" customHeight="1">
      <c r="R299" s="30"/>
    </row>
    <row r="300" spans="18:18" ht="15.75" customHeight="1">
      <c r="R300" s="30"/>
    </row>
    <row r="301" spans="18:18" ht="15.75" customHeight="1">
      <c r="R301" s="30"/>
    </row>
    <row r="302" spans="18:18" ht="15.75" customHeight="1">
      <c r="R302" s="30"/>
    </row>
    <row r="303" spans="18:18" ht="15.75" customHeight="1">
      <c r="R303" s="30"/>
    </row>
    <row r="304" spans="18:18" ht="15.75" customHeight="1">
      <c r="R304" s="30"/>
    </row>
    <row r="305" spans="18:18" ht="15.75" customHeight="1">
      <c r="R305" s="30"/>
    </row>
    <row r="306" spans="18:18" ht="15.75" customHeight="1">
      <c r="R306" s="30"/>
    </row>
    <row r="307" spans="18:18" ht="15.75" customHeight="1">
      <c r="R307" s="30"/>
    </row>
    <row r="308" spans="18:18" ht="15.75" customHeight="1">
      <c r="R308" s="30"/>
    </row>
    <row r="309" spans="18:18" ht="15.75" customHeight="1">
      <c r="R309" s="30"/>
    </row>
    <row r="310" spans="18:18" ht="15.75" customHeight="1">
      <c r="R310" s="30"/>
    </row>
    <row r="311" spans="18:18" ht="15.75" customHeight="1">
      <c r="R311" s="30"/>
    </row>
    <row r="312" spans="18:18" ht="15.75" customHeight="1">
      <c r="R312" s="30"/>
    </row>
    <row r="313" spans="18:18" ht="15.75" customHeight="1">
      <c r="R313" s="30"/>
    </row>
    <row r="314" spans="18:18" ht="15.75" customHeight="1">
      <c r="R314" s="30"/>
    </row>
    <row r="315" spans="18:18" ht="15.75" customHeight="1">
      <c r="R315" s="30"/>
    </row>
    <row r="316" spans="18:18" ht="15.75" customHeight="1">
      <c r="R316" s="30"/>
    </row>
    <row r="317" spans="18:18" ht="15.75" customHeight="1">
      <c r="R317" s="30"/>
    </row>
    <row r="318" spans="18:18" ht="15.75" customHeight="1">
      <c r="R318" s="30"/>
    </row>
    <row r="319" spans="18:18" ht="15.75" customHeight="1">
      <c r="R319" s="30"/>
    </row>
    <row r="320" spans="18:18" ht="15.75" customHeight="1">
      <c r="R320" s="30"/>
    </row>
    <row r="321" spans="18:18" ht="15.75" customHeight="1">
      <c r="R321" s="30"/>
    </row>
    <row r="322" spans="18:18" ht="15.75" customHeight="1">
      <c r="R322" s="30"/>
    </row>
    <row r="323" spans="18:18" ht="15.75" customHeight="1">
      <c r="R323" s="30"/>
    </row>
    <row r="324" spans="18:18" ht="15.75" customHeight="1">
      <c r="R324" s="30"/>
    </row>
    <row r="325" spans="18:18" ht="15.75" customHeight="1">
      <c r="R325" s="30"/>
    </row>
    <row r="326" spans="18:18" ht="15.75" customHeight="1">
      <c r="R326" s="30"/>
    </row>
    <row r="327" spans="18:18" ht="15.75" customHeight="1">
      <c r="R327" s="30"/>
    </row>
    <row r="328" spans="18:18" ht="15.75" customHeight="1">
      <c r="R328" s="30"/>
    </row>
    <row r="329" spans="18:18" ht="15.75" customHeight="1">
      <c r="R329" s="30"/>
    </row>
    <row r="330" spans="18:18" ht="15.75" customHeight="1">
      <c r="R330" s="30"/>
    </row>
    <row r="331" spans="18:18" ht="15.75" customHeight="1">
      <c r="R331" s="30"/>
    </row>
    <row r="332" spans="18:18" ht="15.75" customHeight="1">
      <c r="R332" s="30"/>
    </row>
    <row r="333" spans="18:18" ht="15.75" customHeight="1">
      <c r="R333" s="30"/>
    </row>
    <row r="334" spans="18:18" ht="15.75" customHeight="1">
      <c r="R334" s="30"/>
    </row>
    <row r="335" spans="18:18" ht="15.75" customHeight="1">
      <c r="R335" s="30"/>
    </row>
    <row r="336" spans="18:18" ht="15.75" customHeight="1">
      <c r="R336" s="30"/>
    </row>
    <row r="337" spans="18:18" ht="15.75" customHeight="1">
      <c r="R337" s="30"/>
    </row>
    <row r="338" spans="18:18" ht="15.75" customHeight="1">
      <c r="R338" s="30"/>
    </row>
    <row r="339" spans="18:18" ht="15.75" customHeight="1">
      <c r="R339" s="30"/>
    </row>
    <row r="340" spans="18:18" ht="15.75" customHeight="1">
      <c r="R340" s="30"/>
    </row>
    <row r="341" spans="18:18" ht="15.75" customHeight="1">
      <c r="R341" s="30"/>
    </row>
    <row r="342" spans="18:18" ht="15.75" customHeight="1">
      <c r="R342" s="30"/>
    </row>
    <row r="343" spans="18:18" ht="15.75" customHeight="1">
      <c r="R343" s="30"/>
    </row>
    <row r="344" spans="18:18" ht="15.75" customHeight="1">
      <c r="R344" s="30"/>
    </row>
    <row r="345" spans="18:18" ht="15.75" customHeight="1">
      <c r="R345" s="30"/>
    </row>
    <row r="346" spans="18:18" ht="15.75" customHeight="1">
      <c r="R346" s="30"/>
    </row>
    <row r="347" spans="18:18" ht="15.75" customHeight="1">
      <c r="R347" s="30"/>
    </row>
    <row r="348" spans="18:18" ht="15.75" customHeight="1">
      <c r="R348" s="30"/>
    </row>
    <row r="349" spans="18:18" ht="15.75" customHeight="1">
      <c r="R349" s="30"/>
    </row>
    <row r="350" spans="18:18" ht="15.75" customHeight="1">
      <c r="R350" s="30"/>
    </row>
    <row r="351" spans="18:18" ht="15.75" customHeight="1">
      <c r="R351" s="30"/>
    </row>
    <row r="352" spans="18:18" ht="15.75" customHeight="1">
      <c r="R352" s="30"/>
    </row>
    <row r="353" spans="18:18" ht="15.75" customHeight="1">
      <c r="R353" s="30"/>
    </row>
    <row r="354" spans="18:18" ht="15.75" customHeight="1">
      <c r="R354" s="30"/>
    </row>
    <row r="355" spans="18:18" ht="15.75" customHeight="1">
      <c r="R355" s="30"/>
    </row>
    <row r="356" spans="18:18" ht="15.75" customHeight="1">
      <c r="R356" s="30"/>
    </row>
    <row r="357" spans="18:18" ht="15.75" customHeight="1">
      <c r="R357" s="30"/>
    </row>
    <row r="358" spans="18:18" ht="15.75" customHeight="1">
      <c r="R358" s="30"/>
    </row>
    <row r="359" spans="18:18" ht="15.75" customHeight="1">
      <c r="R359" s="30"/>
    </row>
    <row r="360" spans="18:18" ht="15.75" customHeight="1">
      <c r="R360" s="30"/>
    </row>
    <row r="361" spans="18:18" ht="15.75" customHeight="1">
      <c r="R361" s="30"/>
    </row>
    <row r="362" spans="18:18" ht="15.75" customHeight="1">
      <c r="R362" s="30"/>
    </row>
    <row r="363" spans="18:18" ht="15.75" customHeight="1">
      <c r="R363" s="30"/>
    </row>
    <row r="364" spans="18:18" ht="15.75" customHeight="1">
      <c r="R364" s="30"/>
    </row>
    <row r="365" spans="18:18" ht="15.75" customHeight="1">
      <c r="R365" s="30"/>
    </row>
    <row r="366" spans="18:18" ht="15.75" customHeight="1">
      <c r="R366" s="30"/>
    </row>
    <row r="367" spans="18:18" ht="15.75" customHeight="1">
      <c r="R367" s="30"/>
    </row>
    <row r="368" spans="18:18" ht="15.75" customHeight="1">
      <c r="R368" s="30"/>
    </row>
    <row r="369" spans="18:18" ht="15.75" customHeight="1">
      <c r="R369" s="30"/>
    </row>
    <row r="370" spans="18:18" ht="15.75" customHeight="1">
      <c r="R370" s="30"/>
    </row>
    <row r="371" spans="18:18" ht="15.75" customHeight="1">
      <c r="R371" s="30"/>
    </row>
    <row r="372" spans="18:18" ht="15.75" customHeight="1">
      <c r="R372" s="30"/>
    </row>
    <row r="373" spans="18:18" ht="15.75" customHeight="1">
      <c r="R373" s="30"/>
    </row>
    <row r="374" spans="18:18" ht="15.75" customHeight="1">
      <c r="R374" s="30"/>
    </row>
    <row r="375" spans="18:18" ht="15.75" customHeight="1">
      <c r="R375" s="30"/>
    </row>
    <row r="376" spans="18:18" ht="15.75" customHeight="1">
      <c r="R376" s="30"/>
    </row>
    <row r="377" spans="18:18" ht="15.75" customHeight="1">
      <c r="R377" s="30"/>
    </row>
    <row r="378" spans="18:18" ht="15.75" customHeight="1">
      <c r="R378" s="30"/>
    </row>
    <row r="379" spans="18:18" ht="15.75" customHeight="1">
      <c r="R379" s="30"/>
    </row>
    <row r="380" spans="18:18" ht="15.75" customHeight="1">
      <c r="R380" s="30"/>
    </row>
    <row r="381" spans="18:18" ht="15.75" customHeight="1">
      <c r="R381" s="30"/>
    </row>
    <row r="382" spans="18:18" ht="15.75" customHeight="1">
      <c r="R382" s="30"/>
    </row>
    <row r="383" spans="18:18" ht="15.75" customHeight="1">
      <c r="R383" s="30"/>
    </row>
    <row r="384" spans="18:18" ht="15.75" customHeight="1">
      <c r="R384" s="30"/>
    </row>
    <row r="385" spans="18:18" ht="15.75" customHeight="1">
      <c r="R385" s="30"/>
    </row>
    <row r="386" spans="18:18" ht="15.75" customHeight="1">
      <c r="R386" s="30"/>
    </row>
    <row r="387" spans="18:18" ht="15.75" customHeight="1">
      <c r="R387" s="30"/>
    </row>
    <row r="388" spans="18:18" ht="15.75" customHeight="1">
      <c r="R388" s="30"/>
    </row>
    <row r="389" spans="18:18" ht="15.75" customHeight="1">
      <c r="R389" s="30"/>
    </row>
    <row r="390" spans="18:18" ht="15.75" customHeight="1">
      <c r="R390" s="30"/>
    </row>
    <row r="391" spans="18:18" ht="15.75" customHeight="1">
      <c r="R391" s="30"/>
    </row>
    <row r="392" spans="18:18" ht="15.75" customHeight="1">
      <c r="R392" s="30"/>
    </row>
    <row r="393" spans="18:18" ht="15.75" customHeight="1">
      <c r="R393" s="30"/>
    </row>
    <row r="394" spans="18:18" ht="15.75" customHeight="1">
      <c r="R394" s="30"/>
    </row>
    <row r="395" spans="18:18" ht="15.75" customHeight="1">
      <c r="R395" s="30"/>
    </row>
    <row r="396" spans="18:18" ht="15.75" customHeight="1">
      <c r="R396" s="30"/>
    </row>
    <row r="397" spans="18:18" ht="15.75" customHeight="1">
      <c r="R397" s="30"/>
    </row>
    <row r="398" spans="18:18" ht="15.75" customHeight="1">
      <c r="R398" s="30"/>
    </row>
    <row r="399" spans="18:18" ht="15.75" customHeight="1">
      <c r="R399" s="30"/>
    </row>
    <row r="400" spans="18:18" ht="15.75" customHeight="1">
      <c r="R400" s="30"/>
    </row>
    <row r="401" spans="18:18" ht="15.75" customHeight="1">
      <c r="R401" s="30"/>
    </row>
    <row r="402" spans="18:18" ht="15.75" customHeight="1">
      <c r="R402" s="30"/>
    </row>
    <row r="403" spans="18:18" ht="15.75" customHeight="1">
      <c r="R403" s="30"/>
    </row>
    <row r="404" spans="18:18" ht="15.75" customHeight="1">
      <c r="R404" s="30"/>
    </row>
    <row r="405" spans="18:18" ht="15.75" customHeight="1">
      <c r="R405" s="30"/>
    </row>
    <row r="406" spans="18:18" ht="15.75" customHeight="1">
      <c r="R406" s="30"/>
    </row>
    <row r="407" spans="18:18" ht="15.75" customHeight="1">
      <c r="R407" s="30"/>
    </row>
    <row r="408" spans="18:18" ht="15.75" customHeight="1">
      <c r="R408" s="30"/>
    </row>
    <row r="409" spans="18:18" ht="15.75" customHeight="1">
      <c r="R409" s="30"/>
    </row>
    <row r="410" spans="18:18" ht="15.75" customHeight="1">
      <c r="R410" s="30"/>
    </row>
    <row r="411" spans="18:18" ht="15.75" customHeight="1">
      <c r="R411" s="30"/>
    </row>
    <row r="412" spans="18:18" ht="15.75" customHeight="1">
      <c r="R412" s="30"/>
    </row>
    <row r="413" spans="18:18" ht="15.75" customHeight="1">
      <c r="R413" s="30"/>
    </row>
    <row r="414" spans="18:18" ht="15.75" customHeight="1">
      <c r="R414" s="30"/>
    </row>
    <row r="415" spans="18:18" ht="15.75" customHeight="1">
      <c r="R415" s="30"/>
    </row>
    <row r="416" spans="18:18" ht="15.75" customHeight="1">
      <c r="R416" s="30"/>
    </row>
    <row r="417" spans="18:18" ht="15.75" customHeight="1">
      <c r="R417" s="30"/>
    </row>
    <row r="418" spans="18:18" ht="15.75" customHeight="1">
      <c r="R418" s="30"/>
    </row>
    <row r="419" spans="18:18" ht="15.75" customHeight="1">
      <c r="R419" s="30"/>
    </row>
    <row r="420" spans="18:18" ht="15.75" customHeight="1">
      <c r="R420" s="30"/>
    </row>
    <row r="421" spans="18:18" ht="15.75" customHeight="1">
      <c r="R421" s="30"/>
    </row>
    <row r="422" spans="18:18" ht="15.75" customHeight="1">
      <c r="R422" s="30"/>
    </row>
    <row r="423" spans="18:18" ht="15.75" customHeight="1">
      <c r="R423" s="30"/>
    </row>
    <row r="424" spans="18:18" ht="15.75" customHeight="1">
      <c r="R424" s="30"/>
    </row>
    <row r="425" spans="18:18" ht="15.75" customHeight="1">
      <c r="R425" s="30"/>
    </row>
    <row r="426" spans="18:18" ht="15.75" customHeight="1">
      <c r="R426" s="30"/>
    </row>
    <row r="427" spans="18:18" ht="15.75" customHeight="1">
      <c r="R427" s="30"/>
    </row>
    <row r="428" spans="18:18" ht="15.75" customHeight="1">
      <c r="R428" s="30"/>
    </row>
    <row r="429" spans="18:18" ht="15.75" customHeight="1">
      <c r="R429" s="30"/>
    </row>
    <row r="430" spans="18:18" ht="15.75" customHeight="1">
      <c r="R430" s="30"/>
    </row>
    <row r="431" spans="18:18" ht="15.75" customHeight="1">
      <c r="R431" s="30"/>
    </row>
    <row r="432" spans="18:18" ht="15.75" customHeight="1">
      <c r="R432" s="30"/>
    </row>
    <row r="433" spans="18:18" ht="15.75" customHeight="1">
      <c r="R433" s="30"/>
    </row>
    <row r="434" spans="18:18" ht="15.75" customHeight="1">
      <c r="R434" s="30"/>
    </row>
    <row r="435" spans="18:18" ht="15.75" customHeight="1">
      <c r="R435" s="30"/>
    </row>
    <row r="436" spans="18:18" ht="15.75" customHeight="1">
      <c r="R436" s="30"/>
    </row>
    <row r="437" spans="18:18" ht="15.75" customHeight="1">
      <c r="R437" s="30"/>
    </row>
    <row r="438" spans="18:18" ht="15.75" customHeight="1">
      <c r="R438" s="30"/>
    </row>
    <row r="439" spans="18:18" ht="15.75" customHeight="1">
      <c r="R439" s="30"/>
    </row>
    <row r="440" spans="18:18" ht="15.75" customHeight="1">
      <c r="R440" s="30"/>
    </row>
    <row r="441" spans="18:18" ht="15.75" customHeight="1">
      <c r="R441" s="30"/>
    </row>
    <row r="442" spans="18:18" ht="15.75" customHeight="1">
      <c r="R442" s="30"/>
    </row>
    <row r="443" spans="18:18" ht="15.75" customHeight="1">
      <c r="R443" s="30"/>
    </row>
    <row r="444" spans="18:18" ht="15.75" customHeight="1">
      <c r="R444" s="30"/>
    </row>
    <row r="445" spans="18:18" ht="15.75" customHeight="1">
      <c r="R445" s="30"/>
    </row>
    <row r="446" spans="18:18" ht="15.75" customHeight="1">
      <c r="R446" s="30"/>
    </row>
    <row r="447" spans="18:18" ht="15.75" customHeight="1">
      <c r="R447" s="30"/>
    </row>
    <row r="448" spans="18:18" ht="15.75" customHeight="1">
      <c r="R448" s="30"/>
    </row>
    <row r="449" spans="18:18" ht="15.75" customHeight="1">
      <c r="R449" s="30"/>
    </row>
    <row r="450" spans="18:18" ht="15.75" customHeight="1">
      <c r="R450" s="30"/>
    </row>
    <row r="451" spans="18:18" ht="15.75" customHeight="1">
      <c r="R451" s="30"/>
    </row>
    <row r="452" spans="18:18" ht="15.75" customHeight="1">
      <c r="R452" s="30"/>
    </row>
    <row r="453" spans="18:18" ht="15.75" customHeight="1">
      <c r="R453" s="30"/>
    </row>
    <row r="454" spans="18:18" ht="15.75" customHeight="1">
      <c r="R454" s="30"/>
    </row>
    <row r="455" spans="18:18" ht="15.75" customHeight="1">
      <c r="R455" s="30"/>
    </row>
    <row r="456" spans="18:18" ht="15.75" customHeight="1">
      <c r="R456" s="30"/>
    </row>
    <row r="457" spans="18:18" ht="15.75" customHeight="1">
      <c r="R457" s="30"/>
    </row>
    <row r="458" spans="18:18" ht="15.75" customHeight="1">
      <c r="R458" s="30"/>
    </row>
    <row r="459" spans="18:18" ht="15.75" customHeight="1">
      <c r="R459" s="30"/>
    </row>
    <row r="460" spans="18:18" ht="15.75" customHeight="1">
      <c r="R460" s="30"/>
    </row>
    <row r="461" spans="18:18" ht="15.75" customHeight="1">
      <c r="R461" s="30"/>
    </row>
    <row r="462" spans="18:18" ht="15.75" customHeight="1">
      <c r="R462" s="30"/>
    </row>
    <row r="463" spans="18:18" ht="15.75" customHeight="1">
      <c r="R463" s="30"/>
    </row>
    <row r="464" spans="18:18" ht="15.75" customHeight="1">
      <c r="R464" s="30"/>
    </row>
    <row r="465" spans="18:18" ht="15.75" customHeight="1">
      <c r="R465" s="30"/>
    </row>
    <row r="466" spans="18:18" ht="15.75" customHeight="1">
      <c r="R466" s="30"/>
    </row>
    <row r="467" spans="18:18" ht="15.75" customHeight="1">
      <c r="R467" s="30"/>
    </row>
    <row r="468" spans="18:18" ht="15.75" customHeight="1">
      <c r="R468" s="30"/>
    </row>
    <row r="469" spans="18:18" ht="15.75" customHeight="1">
      <c r="R469" s="30"/>
    </row>
    <row r="470" spans="18:18" ht="15.75" customHeight="1">
      <c r="R470" s="30"/>
    </row>
    <row r="471" spans="18:18" ht="15.75" customHeight="1">
      <c r="R471" s="30"/>
    </row>
    <row r="472" spans="18:18" ht="15.75" customHeight="1">
      <c r="R472" s="30"/>
    </row>
    <row r="473" spans="18:18" ht="15.75" customHeight="1">
      <c r="R473" s="30"/>
    </row>
    <row r="474" spans="18:18" ht="15.75" customHeight="1">
      <c r="R474" s="30"/>
    </row>
    <row r="475" spans="18:18" ht="15.75" customHeight="1">
      <c r="R475" s="30"/>
    </row>
    <row r="476" spans="18:18" ht="15.75" customHeight="1">
      <c r="R476" s="30"/>
    </row>
    <row r="477" spans="18:18" ht="15.75" customHeight="1">
      <c r="R477" s="30"/>
    </row>
    <row r="478" spans="18:18" ht="15.75" customHeight="1">
      <c r="R478" s="30"/>
    </row>
    <row r="479" spans="18:18" ht="15.75" customHeight="1">
      <c r="R479" s="30"/>
    </row>
    <row r="480" spans="18:18" ht="15.75" customHeight="1">
      <c r="R480" s="30"/>
    </row>
    <row r="481" spans="18:18" ht="15.75" customHeight="1">
      <c r="R481" s="30"/>
    </row>
    <row r="482" spans="18:18" ht="15.75" customHeight="1">
      <c r="R482" s="30"/>
    </row>
    <row r="483" spans="18:18" ht="15.75" customHeight="1">
      <c r="R483" s="30"/>
    </row>
    <row r="484" spans="18:18" ht="15.75" customHeight="1">
      <c r="R484" s="30"/>
    </row>
    <row r="485" spans="18:18" ht="15.75" customHeight="1">
      <c r="R485" s="30"/>
    </row>
    <row r="486" spans="18:18" ht="15.75" customHeight="1">
      <c r="R486" s="30"/>
    </row>
    <row r="487" spans="18:18" ht="15.75" customHeight="1">
      <c r="R487" s="30"/>
    </row>
    <row r="488" spans="18:18" ht="15.75" customHeight="1">
      <c r="R488" s="30"/>
    </row>
    <row r="489" spans="18:18" ht="15.75" customHeight="1">
      <c r="R489" s="30"/>
    </row>
    <row r="490" spans="18:18" ht="15.75" customHeight="1">
      <c r="R490" s="30"/>
    </row>
    <row r="491" spans="18:18" ht="15.75" customHeight="1">
      <c r="R491" s="30"/>
    </row>
    <row r="492" spans="18:18" ht="15.75" customHeight="1">
      <c r="R492" s="30"/>
    </row>
    <row r="493" spans="18:18" ht="15.75" customHeight="1">
      <c r="R493" s="30"/>
    </row>
    <row r="494" spans="18:18" ht="15.75" customHeight="1">
      <c r="R494" s="30"/>
    </row>
    <row r="495" spans="18:18" ht="15.75" customHeight="1">
      <c r="R495" s="30"/>
    </row>
    <row r="496" spans="18:18" ht="15.75" customHeight="1">
      <c r="R496" s="30"/>
    </row>
    <row r="497" spans="18:18" ht="15.75" customHeight="1">
      <c r="R497" s="30"/>
    </row>
    <row r="498" spans="18:18" ht="15.75" customHeight="1">
      <c r="R498" s="30"/>
    </row>
    <row r="499" spans="18:18" ht="15.75" customHeight="1">
      <c r="R499" s="30"/>
    </row>
    <row r="500" spans="18:18" ht="15.75" customHeight="1">
      <c r="R500" s="30"/>
    </row>
    <row r="501" spans="18:18" ht="15.75" customHeight="1">
      <c r="R501" s="30"/>
    </row>
    <row r="502" spans="18:18" ht="15.75" customHeight="1">
      <c r="R502" s="30"/>
    </row>
    <row r="503" spans="18:18" ht="15.75" customHeight="1">
      <c r="R503" s="30"/>
    </row>
    <row r="504" spans="18:18" ht="15.75" customHeight="1">
      <c r="R504" s="30"/>
    </row>
    <row r="505" spans="18:18" ht="15.75" customHeight="1">
      <c r="R505" s="30"/>
    </row>
    <row r="506" spans="18:18" ht="15.75" customHeight="1">
      <c r="R506" s="30"/>
    </row>
    <row r="507" spans="18:18" ht="15.75" customHeight="1">
      <c r="R507" s="30"/>
    </row>
    <row r="508" spans="18:18" ht="15.75" customHeight="1">
      <c r="R508" s="30"/>
    </row>
    <row r="509" spans="18:18" ht="15.75" customHeight="1">
      <c r="R509" s="30"/>
    </row>
    <row r="510" spans="18:18" ht="15.75" customHeight="1">
      <c r="R510" s="30"/>
    </row>
    <row r="511" spans="18:18" ht="15.75" customHeight="1">
      <c r="R511" s="30"/>
    </row>
    <row r="512" spans="18:18" ht="15.75" customHeight="1">
      <c r="R512" s="30"/>
    </row>
    <row r="513" spans="18:18" ht="15.75" customHeight="1">
      <c r="R513" s="30"/>
    </row>
    <row r="514" spans="18:18" ht="15.75" customHeight="1">
      <c r="R514" s="30"/>
    </row>
    <row r="515" spans="18:18" ht="15.75" customHeight="1">
      <c r="R515" s="30"/>
    </row>
    <row r="516" spans="18:18" ht="15.75" customHeight="1">
      <c r="R516" s="30"/>
    </row>
    <row r="517" spans="18:18" ht="15.75" customHeight="1">
      <c r="R517" s="30"/>
    </row>
    <row r="518" spans="18:18" ht="15.75" customHeight="1">
      <c r="R518" s="30"/>
    </row>
    <row r="519" spans="18:18" ht="15.75" customHeight="1">
      <c r="R519" s="30"/>
    </row>
    <row r="520" spans="18:18" ht="15.75" customHeight="1">
      <c r="R520" s="30"/>
    </row>
    <row r="521" spans="18:18" ht="15.75" customHeight="1">
      <c r="R521" s="30"/>
    </row>
    <row r="522" spans="18:18" ht="15.75" customHeight="1">
      <c r="R522" s="30"/>
    </row>
    <row r="523" spans="18:18" ht="15.75" customHeight="1">
      <c r="R523" s="30"/>
    </row>
    <row r="524" spans="18:18" ht="15.75" customHeight="1">
      <c r="R524" s="30"/>
    </row>
    <row r="525" spans="18:18" ht="15.75" customHeight="1">
      <c r="R525" s="30"/>
    </row>
    <row r="526" spans="18:18" ht="15.75" customHeight="1">
      <c r="R526" s="30"/>
    </row>
    <row r="527" spans="18:18" ht="15.75" customHeight="1">
      <c r="R527" s="30"/>
    </row>
    <row r="528" spans="18:18" ht="15.75" customHeight="1">
      <c r="R528" s="30"/>
    </row>
    <row r="529" spans="18:18" ht="15.75" customHeight="1">
      <c r="R529" s="30"/>
    </row>
    <row r="530" spans="18:18" ht="15.75" customHeight="1">
      <c r="R530" s="30"/>
    </row>
    <row r="531" spans="18:18" ht="15.75" customHeight="1">
      <c r="R531" s="30"/>
    </row>
    <row r="532" spans="18:18" ht="15.75" customHeight="1">
      <c r="R532" s="30"/>
    </row>
    <row r="533" spans="18:18" ht="15.75" customHeight="1">
      <c r="R533" s="30"/>
    </row>
    <row r="534" spans="18:18" ht="15.75" customHeight="1">
      <c r="R534" s="30"/>
    </row>
    <row r="535" spans="18:18" ht="15.75" customHeight="1">
      <c r="R535" s="30"/>
    </row>
    <row r="536" spans="18:18" ht="15.75" customHeight="1">
      <c r="R536" s="30"/>
    </row>
    <row r="537" spans="18:18" ht="15.75" customHeight="1">
      <c r="R537" s="30"/>
    </row>
    <row r="538" spans="18:18" ht="15.75" customHeight="1">
      <c r="R538" s="30"/>
    </row>
    <row r="539" spans="18:18" ht="15.75" customHeight="1">
      <c r="R539" s="30"/>
    </row>
    <row r="540" spans="18:18" ht="15.75" customHeight="1">
      <c r="R540" s="30"/>
    </row>
    <row r="541" spans="18:18" ht="15.75" customHeight="1">
      <c r="R541" s="30"/>
    </row>
    <row r="542" spans="18:18" ht="15.75" customHeight="1">
      <c r="R542" s="30"/>
    </row>
    <row r="543" spans="18:18" ht="15.75" customHeight="1">
      <c r="R543" s="30"/>
    </row>
    <row r="544" spans="18:18" ht="15.75" customHeight="1">
      <c r="R544" s="30"/>
    </row>
    <row r="545" spans="18:18" ht="15.75" customHeight="1">
      <c r="R545" s="30"/>
    </row>
    <row r="546" spans="18:18" ht="15.75" customHeight="1">
      <c r="R546" s="30"/>
    </row>
    <row r="547" spans="18:18" ht="15.75" customHeight="1">
      <c r="R547" s="30"/>
    </row>
    <row r="548" spans="18:18" ht="15.75" customHeight="1">
      <c r="R548" s="30"/>
    </row>
    <row r="549" spans="18:18" ht="15.75" customHeight="1">
      <c r="R549" s="30"/>
    </row>
    <row r="550" spans="18:18" ht="15.75" customHeight="1">
      <c r="R550" s="30"/>
    </row>
    <row r="551" spans="18:18" ht="15.75" customHeight="1">
      <c r="R551" s="30"/>
    </row>
    <row r="552" spans="18:18" ht="15.75" customHeight="1">
      <c r="R552" s="30"/>
    </row>
    <row r="553" spans="18:18" ht="15.75" customHeight="1">
      <c r="R553" s="30"/>
    </row>
    <row r="554" spans="18:18" ht="15.75" customHeight="1">
      <c r="R554" s="30"/>
    </row>
    <row r="555" spans="18:18" ht="15.75" customHeight="1">
      <c r="R555" s="30"/>
    </row>
    <row r="556" spans="18:18" ht="15.75" customHeight="1">
      <c r="R556" s="30"/>
    </row>
    <row r="557" spans="18:18" ht="15.75" customHeight="1">
      <c r="R557" s="30"/>
    </row>
    <row r="558" spans="18:18" ht="15.75" customHeight="1">
      <c r="R558" s="30"/>
    </row>
    <row r="559" spans="18:18" ht="15.75" customHeight="1">
      <c r="R559" s="30"/>
    </row>
    <row r="560" spans="18:18" ht="15.75" customHeight="1">
      <c r="R560" s="30"/>
    </row>
    <row r="561" spans="18:18" ht="15.75" customHeight="1">
      <c r="R561" s="30"/>
    </row>
    <row r="562" spans="18:18" ht="15.75" customHeight="1">
      <c r="R562" s="30"/>
    </row>
    <row r="563" spans="18:18" ht="15.75" customHeight="1">
      <c r="R563" s="30"/>
    </row>
    <row r="564" spans="18:18" ht="15.75" customHeight="1">
      <c r="R564" s="30"/>
    </row>
    <row r="565" spans="18:18" ht="15.75" customHeight="1">
      <c r="R565" s="30"/>
    </row>
    <row r="566" spans="18:18" ht="15.75" customHeight="1">
      <c r="R566" s="30"/>
    </row>
    <row r="567" spans="18:18" ht="15.75" customHeight="1">
      <c r="R567" s="30"/>
    </row>
    <row r="568" spans="18:18" ht="15.75" customHeight="1">
      <c r="R568" s="30"/>
    </row>
    <row r="569" spans="18:18" ht="15.75" customHeight="1">
      <c r="R569" s="30"/>
    </row>
    <row r="570" spans="18:18" ht="15.75" customHeight="1">
      <c r="R570" s="30"/>
    </row>
    <row r="571" spans="18:18" ht="15.75" customHeight="1">
      <c r="R571" s="30"/>
    </row>
    <row r="572" spans="18:18" ht="15.75" customHeight="1">
      <c r="R572" s="30"/>
    </row>
    <row r="573" spans="18:18" ht="15.75" customHeight="1">
      <c r="R573" s="30"/>
    </row>
    <row r="574" spans="18:18" ht="15.75" customHeight="1">
      <c r="R574" s="30"/>
    </row>
    <row r="575" spans="18:18" ht="15.75" customHeight="1">
      <c r="R575" s="30"/>
    </row>
    <row r="576" spans="18:18" ht="15.75" customHeight="1">
      <c r="R576" s="30"/>
    </row>
    <row r="577" spans="18:18" ht="15.75" customHeight="1">
      <c r="R577" s="30"/>
    </row>
    <row r="578" spans="18:18" ht="15.75" customHeight="1">
      <c r="R578" s="30"/>
    </row>
    <row r="579" spans="18:18" ht="15.75" customHeight="1">
      <c r="R579" s="30"/>
    </row>
    <row r="580" spans="18:18" ht="15.75" customHeight="1">
      <c r="R580" s="30"/>
    </row>
    <row r="581" spans="18:18" ht="15.75" customHeight="1">
      <c r="R581" s="30"/>
    </row>
    <row r="582" spans="18:18" ht="15.75" customHeight="1">
      <c r="R582" s="30"/>
    </row>
    <row r="583" spans="18:18" ht="15.75" customHeight="1">
      <c r="R583" s="30"/>
    </row>
    <row r="584" spans="18:18" ht="15.75" customHeight="1">
      <c r="R584" s="30"/>
    </row>
    <row r="585" spans="18:18" ht="15.75" customHeight="1">
      <c r="R585" s="30"/>
    </row>
    <row r="586" spans="18:18" ht="15.75" customHeight="1">
      <c r="R586" s="30"/>
    </row>
    <row r="587" spans="18:18" ht="15.75" customHeight="1">
      <c r="R587" s="30"/>
    </row>
    <row r="588" spans="18:18" ht="15.75" customHeight="1">
      <c r="R588" s="30"/>
    </row>
    <row r="589" spans="18:18" ht="15.75" customHeight="1">
      <c r="R589" s="30"/>
    </row>
    <row r="590" spans="18:18" ht="15.75" customHeight="1">
      <c r="R590" s="30"/>
    </row>
    <row r="591" spans="18:18" ht="15.75" customHeight="1">
      <c r="R591" s="30"/>
    </row>
    <row r="592" spans="18:18" ht="15.75" customHeight="1">
      <c r="R592" s="30"/>
    </row>
    <row r="593" spans="18:18" ht="15.75" customHeight="1">
      <c r="R593" s="30"/>
    </row>
    <row r="594" spans="18:18" ht="15.75" customHeight="1">
      <c r="R594" s="30"/>
    </row>
    <row r="595" spans="18:18" ht="15.75" customHeight="1">
      <c r="R595" s="30"/>
    </row>
    <row r="596" spans="18:18" ht="15.75" customHeight="1">
      <c r="R596" s="30"/>
    </row>
    <row r="597" spans="18:18" ht="15.75" customHeight="1">
      <c r="R597" s="30"/>
    </row>
    <row r="598" spans="18:18" ht="15.75" customHeight="1">
      <c r="R598" s="30"/>
    </row>
    <row r="599" spans="18:18" ht="15.75" customHeight="1">
      <c r="R599" s="30"/>
    </row>
    <row r="600" spans="18:18" ht="15.75" customHeight="1">
      <c r="R600" s="30"/>
    </row>
    <row r="601" spans="18:18" ht="15.75" customHeight="1">
      <c r="R601" s="30"/>
    </row>
    <row r="602" spans="18:18" ht="15.75" customHeight="1">
      <c r="R602" s="30"/>
    </row>
    <row r="603" spans="18:18" ht="15.75" customHeight="1">
      <c r="R603" s="30"/>
    </row>
    <row r="604" spans="18:18" ht="15.75" customHeight="1">
      <c r="R604" s="30"/>
    </row>
    <row r="605" spans="18:18" ht="15.75" customHeight="1">
      <c r="R605" s="30"/>
    </row>
    <row r="606" spans="18:18" ht="15.75" customHeight="1">
      <c r="R606" s="30"/>
    </row>
    <row r="607" spans="18:18" ht="15.75" customHeight="1">
      <c r="R607" s="30"/>
    </row>
    <row r="608" spans="18:18" ht="15.75" customHeight="1">
      <c r="R608" s="30"/>
    </row>
    <row r="609" spans="18:18" ht="15.75" customHeight="1">
      <c r="R609" s="30"/>
    </row>
    <row r="610" spans="18:18" ht="15.75" customHeight="1">
      <c r="R610" s="30"/>
    </row>
    <row r="611" spans="18:18" ht="15.75" customHeight="1">
      <c r="R611" s="30"/>
    </row>
    <row r="612" spans="18:18" ht="15.75" customHeight="1">
      <c r="R612" s="30"/>
    </row>
    <row r="613" spans="18:18" ht="15.75" customHeight="1">
      <c r="R613" s="30"/>
    </row>
    <row r="614" spans="18:18" ht="15.75" customHeight="1">
      <c r="R614" s="30"/>
    </row>
    <row r="615" spans="18:18" ht="15.75" customHeight="1">
      <c r="R615" s="30"/>
    </row>
    <row r="616" spans="18:18" ht="15.75" customHeight="1">
      <c r="R616" s="30"/>
    </row>
    <row r="617" spans="18:18" ht="15.75" customHeight="1">
      <c r="R617" s="30"/>
    </row>
    <row r="618" spans="18:18" ht="15.75" customHeight="1">
      <c r="R618" s="30"/>
    </row>
    <row r="619" spans="18:18" ht="15.75" customHeight="1">
      <c r="R619" s="30"/>
    </row>
    <row r="620" spans="18:18" ht="15.75" customHeight="1">
      <c r="R620" s="30"/>
    </row>
    <row r="621" spans="18:18" ht="15.75" customHeight="1">
      <c r="R621" s="30"/>
    </row>
    <row r="622" spans="18:18" ht="15.75" customHeight="1">
      <c r="R622" s="30"/>
    </row>
    <row r="623" spans="18:18" ht="15.75" customHeight="1">
      <c r="R623" s="30"/>
    </row>
    <row r="624" spans="18:18" ht="15.75" customHeight="1">
      <c r="R624" s="30"/>
    </row>
    <row r="625" spans="18:18" ht="15.75" customHeight="1">
      <c r="R625" s="30"/>
    </row>
    <row r="626" spans="18:18" ht="15.75" customHeight="1">
      <c r="R626" s="30"/>
    </row>
    <row r="627" spans="18:18" ht="15.75" customHeight="1">
      <c r="R627" s="30"/>
    </row>
    <row r="628" spans="18:18" ht="15.75" customHeight="1">
      <c r="R628" s="30"/>
    </row>
    <row r="629" spans="18:18" ht="15.75" customHeight="1">
      <c r="R629" s="30"/>
    </row>
    <row r="630" spans="18:18" ht="15.75" customHeight="1">
      <c r="R630" s="30"/>
    </row>
    <row r="631" spans="18:18" ht="15.75" customHeight="1">
      <c r="R631" s="30"/>
    </row>
    <row r="632" spans="18:18" ht="15.75" customHeight="1">
      <c r="R632" s="30"/>
    </row>
    <row r="633" spans="18:18" ht="15.75" customHeight="1">
      <c r="R633" s="30"/>
    </row>
    <row r="634" spans="18:18" ht="15.75" customHeight="1">
      <c r="R634" s="30"/>
    </row>
    <row r="635" spans="18:18" ht="15.75" customHeight="1">
      <c r="R635" s="30"/>
    </row>
    <row r="636" spans="18:18" ht="15.75" customHeight="1">
      <c r="R636" s="30"/>
    </row>
    <row r="637" spans="18:18" ht="15.75" customHeight="1">
      <c r="R637" s="30"/>
    </row>
    <row r="638" spans="18:18" ht="15.75" customHeight="1">
      <c r="R638" s="30"/>
    </row>
    <row r="639" spans="18:18" ht="15.75" customHeight="1">
      <c r="R639" s="30"/>
    </row>
    <row r="640" spans="18:18" ht="15.75" customHeight="1">
      <c r="R640" s="30"/>
    </row>
    <row r="641" spans="18:18" ht="15.75" customHeight="1">
      <c r="R641" s="30"/>
    </row>
    <row r="642" spans="18:18" ht="15.75" customHeight="1">
      <c r="R642" s="30"/>
    </row>
    <row r="643" spans="18:18" ht="15.75" customHeight="1">
      <c r="R643" s="30"/>
    </row>
    <row r="644" spans="18:18" ht="15.75" customHeight="1">
      <c r="R644" s="30"/>
    </row>
    <row r="645" spans="18:18" ht="15.75" customHeight="1">
      <c r="R645" s="30"/>
    </row>
    <row r="646" spans="18:18" ht="15.75" customHeight="1">
      <c r="R646" s="30"/>
    </row>
    <row r="647" spans="18:18" ht="15.75" customHeight="1">
      <c r="R647" s="30"/>
    </row>
    <row r="648" spans="18:18" ht="15.75" customHeight="1">
      <c r="R648" s="30"/>
    </row>
    <row r="649" spans="18:18" ht="15.75" customHeight="1">
      <c r="R649" s="30"/>
    </row>
    <row r="650" spans="18:18" ht="15.75" customHeight="1">
      <c r="R650" s="30"/>
    </row>
    <row r="651" spans="18:18" ht="15.75" customHeight="1">
      <c r="R651" s="30"/>
    </row>
    <row r="652" spans="18:18" ht="15.75" customHeight="1">
      <c r="R652" s="30"/>
    </row>
    <row r="653" spans="18:18" ht="15.75" customHeight="1">
      <c r="R653" s="30"/>
    </row>
    <row r="654" spans="18:18" ht="15.75" customHeight="1">
      <c r="R654" s="30"/>
    </row>
    <row r="655" spans="18:18" ht="15.75" customHeight="1">
      <c r="R655" s="30"/>
    </row>
    <row r="656" spans="18:18" ht="15.75" customHeight="1">
      <c r="R656" s="30"/>
    </row>
    <row r="657" spans="18:18" ht="15.75" customHeight="1">
      <c r="R657" s="30"/>
    </row>
    <row r="658" spans="18:18" ht="15.75" customHeight="1">
      <c r="R658" s="30"/>
    </row>
    <row r="659" spans="18:18" ht="15.75" customHeight="1">
      <c r="R659" s="30"/>
    </row>
    <row r="660" spans="18:18" ht="15.75" customHeight="1">
      <c r="R660" s="30"/>
    </row>
    <row r="661" spans="18:18" ht="15.75" customHeight="1">
      <c r="R661" s="30"/>
    </row>
    <row r="662" spans="18:18" ht="15.75" customHeight="1">
      <c r="R662" s="30"/>
    </row>
    <row r="663" spans="18:18" ht="15.75" customHeight="1">
      <c r="R663" s="30"/>
    </row>
    <row r="664" spans="18:18" ht="15.75" customHeight="1">
      <c r="R664" s="30"/>
    </row>
    <row r="665" spans="18:18" ht="15.75" customHeight="1">
      <c r="R665" s="30"/>
    </row>
    <row r="666" spans="18:18" ht="15.75" customHeight="1">
      <c r="R666" s="30"/>
    </row>
    <row r="667" spans="18:18" ht="15.75" customHeight="1">
      <c r="R667" s="30"/>
    </row>
    <row r="668" spans="18:18" ht="15.75" customHeight="1">
      <c r="R668" s="30"/>
    </row>
    <row r="669" spans="18:18" ht="15.75" customHeight="1">
      <c r="R669" s="30"/>
    </row>
    <row r="670" spans="18:18" ht="15.75" customHeight="1">
      <c r="R670" s="30"/>
    </row>
    <row r="671" spans="18:18" ht="15.75" customHeight="1">
      <c r="R671" s="30"/>
    </row>
    <row r="672" spans="18:18" ht="15.75" customHeight="1">
      <c r="R672" s="30"/>
    </row>
    <row r="673" spans="18:18" ht="15.75" customHeight="1">
      <c r="R673" s="30"/>
    </row>
    <row r="674" spans="18:18" ht="15.75" customHeight="1">
      <c r="R674" s="30"/>
    </row>
    <row r="675" spans="18:18" ht="15.75" customHeight="1">
      <c r="R675" s="30"/>
    </row>
    <row r="676" spans="18:18" ht="15.75" customHeight="1">
      <c r="R676" s="30"/>
    </row>
    <row r="677" spans="18:18" ht="15.75" customHeight="1">
      <c r="R677" s="30"/>
    </row>
    <row r="678" spans="18:18" ht="15.75" customHeight="1">
      <c r="R678" s="30"/>
    </row>
    <row r="679" spans="18:18" ht="15.75" customHeight="1">
      <c r="R679" s="30"/>
    </row>
    <row r="680" spans="18:18" ht="15.75" customHeight="1">
      <c r="R680" s="30"/>
    </row>
    <row r="681" spans="18:18" ht="15.75" customHeight="1">
      <c r="R681" s="30"/>
    </row>
    <row r="682" spans="18:18" ht="15.75" customHeight="1">
      <c r="R682" s="30"/>
    </row>
    <row r="683" spans="18:18" ht="15.75" customHeight="1">
      <c r="R683" s="30"/>
    </row>
    <row r="684" spans="18:18" ht="15.75" customHeight="1">
      <c r="R684" s="30"/>
    </row>
    <row r="685" spans="18:18" ht="15.75" customHeight="1">
      <c r="R685" s="30"/>
    </row>
    <row r="686" spans="18:18" ht="15.75" customHeight="1">
      <c r="R686" s="30"/>
    </row>
    <row r="687" spans="18:18" ht="15.75" customHeight="1">
      <c r="R687" s="30"/>
    </row>
    <row r="688" spans="18:18" ht="15.75" customHeight="1">
      <c r="R688" s="30"/>
    </row>
    <row r="689" spans="18:18" ht="15.75" customHeight="1">
      <c r="R689" s="30"/>
    </row>
    <row r="690" spans="18:18" ht="15.75" customHeight="1">
      <c r="R690" s="30"/>
    </row>
    <row r="691" spans="18:18" ht="15.75" customHeight="1">
      <c r="R691" s="30"/>
    </row>
    <row r="692" spans="18:18" ht="15.75" customHeight="1">
      <c r="R692" s="30"/>
    </row>
    <row r="693" spans="18:18" ht="15.75" customHeight="1">
      <c r="R693" s="30"/>
    </row>
    <row r="694" spans="18:18" ht="15.75" customHeight="1">
      <c r="R694" s="30"/>
    </row>
    <row r="695" spans="18:18" ht="15.75" customHeight="1">
      <c r="R695" s="30"/>
    </row>
    <row r="696" spans="18:18" ht="15.75" customHeight="1">
      <c r="R696" s="30"/>
    </row>
    <row r="697" spans="18:18" ht="15.75" customHeight="1">
      <c r="R697" s="30"/>
    </row>
    <row r="698" spans="18:18" ht="15.75" customHeight="1">
      <c r="R698" s="30"/>
    </row>
    <row r="699" spans="18:18" ht="15.75" customHeight="1">
      <c r="R699" s="30"/>
    </row>
    <row r="700" spans="18:18" ht="15.75" customHeight="1">
      <c r="R700" s="30"/>
    </row>
    <row r="701" spans="18:18" ht="15.75" customHeight="1">
      <c r="R701" s="30"/>
    </row>
    <row r="702" spans="18:18" ht="15.75" customHeight="1">
      <c r="R702" s="30"/>
    </row>
    <row r="703" spans="18:18" ht="15.75" customHeight="1">
      <c r="R703" s="30"/>
    </row>
    <row r="704" spans="18:18" ht="15.75" customHeight="1">
      <c r="R704" s="30"/>
    </row>
    <row r="705" spans="18:18" ht="15.75" customHeight="1">
      <c r="R705" s="30"/>
    </row>
    <row r="706" spans="18:18" ht="15.75" customHeight="1">
      <c r="R706" s="30"/>
    </row>
    <row r="707" spans="18:18" ht="15.75" customHeight="1">
      <c r="R707" s="30"/>
    </row>
    <row r="708" spans="18:18" ht="15.75" customHeight="1">
      <c r="R708" s="30"/>
    </row>
    <row r="709" spans="18:18" ht="15.75" customHeight="1">
      <c r="R709" s="30"/>
    </row>
    <row r="710" spans="18:18" ht="15.75" customHeight="1">
      <c r="R710" s="30"/>
    </row>
    <row r="711" spans="18:18" ht="15.75" customHeight="1">
      <c r="R711" s="30"/>
    </row>
    <row r="712" spans="18:18" ht="15.75" customHeight="1">
      <c r="R712" s="30"/>
    </row>
    <row r="713" spans="18:18" ht="15.75" customHeight="1">
      <c r="R713" s="30"/>
    </row>
    <row r="714" spans="18:18" ht="15.75" customHeight="1">
      <c r="R714" s="30"/>
    </row>
    <row r="715" spans="18:18" ht="15.75" customHeight="1">
      <c r="R715" s="30"/>
    </row>
    <row r="716" spans="18:18" ht="15.75" customHeight="1">
      <c r="R716" s="30"/>
    </row>
    <row r="717" spans="18:18" ht="15.75" customHeight="1">
      <c r="R717" s="30"/>
    </row>
    <row r="718" spans="18:18" ht="15.75" customHeight="1">
      <c r="R718" s="30"/>
    </row>
    <row r="719" spans="18:18" ht="15.75" customHeight="1">
      <c r="R719" s="30"/>
    </row>
    <row r="720" spans="18:18" ht="15.75" customHeight="1">
      <c r="R720" s="30"/>
    </row>
    <row r="721" spans="18:18" ht="15.75" customHeight="1">
      <c r="R721" s="30"/>
    </row>
    <row r="722" spans="18:18" ht="15.75" customHeight="1">
      <c r="R722" s="30"/>
    </row>
    <row r="723" spans="18:18" ht="15.75" customHeight="1">
      <c r="R723" s="30"/>
    </row>
    <row r="724" spans="18:18" ht="15.75" customHeight="1">
      <c r="R724" s="30"/>
    </row>
    <row r="725" spans="18:18" ht="15.75" customHeight="1">
      <c r="R725" s="30"/>
    </row>
    <row r="726" spans="18:18" ht="15.75" customHeight="1">
      <c r="R726" s="30"/>
    </row>
    <row r="727" spans="18:18" ht="15.75" customHeight="1">
      <c r="R727" s="30"/>
    </row>
    <row r="728" spans="18:18" ht="15.75" customHeight="1">
      <c r="R728" s="30"/>
    </row>
    <row r="729" spans="18:18" ht="15.75" customHeight="1">
      <c r="R729" s="30"/>
    </row>
    <row r="730" spans="18:18" ht="15.75" customHeight="1">
      <c r="R730" s="30"/>
    </row>
    <row r="731" spans="18:18" ht="15.75" customHeight="1">
      <c r="R731" s="30"/>
    </row>
    <row r="732" spans="18:18" ht="15.75" customHeight="1">
      <c r="R732" s="30"/>
    </row>
    <row r="733" spans="18:18" ht="15.75" customHeight="1">
      <c r="R733" s="30"/>
    </row>
    <row r="734" spans="18:18" ht="15.75" customHeight="1">
      <c r="R734" s="30"/>
    </row>
    <row r="735" spans="18:18" ht="15.75" customHeight="1">
      <c r="R735" s="30"/>
    </row>
    <row r="736" spans="18:18" ht="15.75" customHeight="1">
      <c r="R736" s="30"/>
    </row>
    <row r="737" spans="18:18" ht="15.75" customHeight="1">
      <c r="R737" s="30"/>
    </row>
    <row r="738" spans="18:18" ht="15.75" customHeight="1">
      <c r="R738" s="30"/>
    </row>
    <row r="739" spans="18:18" ht="15.75" customHeight="1">
      <c r="R739" s="30"/>
    </row>
    <row r="740" spans="18:18" ht="15.75" customHeight="1">
      <c r="R740" s="30"/>
    </row>
    <row r="741" spans="18:18" ht="15.75" customHeight="1">
      <c r="R741" s="30"/>
    </row>
    <row r="742" spans="18:18" ht="15.75" customHeight="1">
      <c r="R742" s="30"/>
    </row>
    <row r="743" spans="18:18" ht="15.75" customHeight="1">
      <c r="R743" s="30"/>
    </row>
    <row r="744" spans="18:18" ht="15.75" customHeight="1">
      <c r="R744" s="30"/>
    </row>
    <row r="745" spans="18:18" ht="15.75" customHeight="1">
      <c r="R745" s="30"/>
    </row>
    <row r="746" spans="18:18" ht="15.75" customHeight="1">
      <c r="R746" s="30"/>
    </row>
    <row r="747" spans="18:18" ht="15.75" customHeight="1">
      <c r="R747" s="30"/>
    </row>
    <row r="748" spans="18:18" ht="15.75" customHeight="1">
      <c r="R748" s="30"/>
    </row>
    <row r="749" spans="18:18" ht="15.75" customHeight="1">
      <c r="R749" s="30"/>
    </row>
    <row r="750" spans="18:18" ht="15.75" customHeight="1">
      <c r="R750" s="30"/>
    </row>
    <row r="751" spans="18:18" ht="15.75" customHeight="1">
      <c r="R751" s="30"/>
    </row>
    <row r="752" spans="18:18" ht="15.75" customHeight="1">
      <c r="R752" s="30"/>
    </row>
    <row r="753" spans="18:18" ht="15.75" customHeight="1">
      <c r="R753" s="30"/>
    </row>
    <row r="754" spans="18:18" ht="15.75" customHeight="1">
      <c r="R754" s="30"/>
    </row>
    <row r="755" spans="18:18" ht="15.75" customHeight="1">
      <c r="R755" s="30"/>
    </row>
    <row r="756" spans="18:18" ht="15.75" customHeight="1">
      <c r="R756" s="30"/>
    </row>
    <row r="757" spans="18:18" ht="15.75" customHeight="1">
      <c r="R757" s="30"/>
    </row>
    <row r="758" spans="18:18" ht="15.75" customHeight="1">
      <c r="R758" s="30"/>
    </row>
    <row r="759" spans="18:18" ht="15.75" customHeight="1">
      <c r="R759" s="30"/>
    </row>
    <row r="760" spans="18:18" ht="15.75" customHeight="1">
      <c r="R760" s="30"/>
    </row>
    <row r="761" spans="18:18" ht="15.75" customHeight="1">
      <c r="R761" s="30"/>
    </row>
    <row r="762" spans="18:18" ht="15.75" customHeight="1">
      <c r="R762" s="30"/>
    </row>
    <row r="763" spans="18:18" ht="15.75" customHeight="1">
      <c r="R763" s="30"/>
    </row>
    <row r="764" spans="18:18" ht="15.75" customHeight="1">
      <c r="R764" s="30"/>
    </row>
    <row r="765" spans="18:18" ht="15.75" customHeight="1">
      <c r="R765" s="30"/>
    </row>
    <row r="766" spans="18:18" ht="15.75" customHeight="1">
      <c r="R766" s="30"/>
    </row>
    <row r="767" spans="18:18" ht="15.75" customHeight="1">
      <c r="R767" s="30"/>
    </row>
    <row r="768" spans="18:18" ht="15.75" customHeight="1">
      <c r="R768" s="30"/>
    </row>
    <row r="769" spans="18:18" ht="15.75" customHeight="1">
      <c r="R769" s="30"/>
    </row>
    <row r="770" spans="18:18" ht="15.75" customHeight="1">
      <c r="R770" s="30"/>
    </row>
    <row r="771" spans="18:18" ht="15.75" customHeight="1">
      <c r="R771" s="30"/>
    </row>
    <row r="772" spans="18:18" ht="15.75" customHeight="1">
      <c r="R772" s="30"/>
    </row>
    <row r="773" spans="18:18" ht="15.75" customHeight="1">
      <c r="R773" s="30"/>
    </row>
    <row r="774" spans="18:18" ht="15.75" customHeight="1">
      <c r="R774" s="30"/>
    </row>
    <row r="775" spans="18:18" ht="15.75" customHeight="1">
      <c r="R775" s="30"/>
    </row>
    <row r="776" spans="18:18" ht="15.75" customHeight="1">
      <c r="R776" s="30"/>
    </row>
    <row r="777" spans="18:18" ht="15.75" customHeight="1">
      <c r="R777" s="30"/>
    </row>
    <row r="778" spans="18:18" ht="15.75" customHeight="1">
      <c r="R778" s="30"/>
    </row>
    <row r="779" spans="18:18" ht="15.75" customHeight="1">
      <c r="R779" s="30"/>
    </row>
    <row r="780" spans="18:18" ht="15.75" customHeight="1">
      <c r="R780" s="30"/>
    </row>
    <row r="781" spans="18:18" ht="15.75" customHeight="1">
      <c r="R781" s="30"/>
    </row>
    <row r="782" spans="18:18" ht="15.75" customHeight="1">
      <c r="R782" s="30"/>
    </row>
    <row r="783" spans="18:18" ht="15.75" customHeight="1">
      <c r="R783" s="30"/>
    </row>
    <row r="784" spans="18:18" ht="15.75" customHeight="1">
      <c r="R784" s="30"/>
    </row>
    <row r="785" spans="18:18" ht="15.75" customHeight="1">
      <c r="R785" s="30"/>
    </row>
    <row r="786" spans="18:18" ht="15.75" customHeight="1">
      <c r="R786" s="30"/>
    </row>
    <row r="787" spans="18:18" ht="15.75" customHeight="1">
      <c r="R787" s="30"/>
    </row>
    <row r="788" spans="18:18" ht="15.75" customHeight="1">
      <c r="R788" s="30"/>
    </row>
    <row r="789" spans="18:18" ht="15.75" customHeight="1">
      <c r="R789" s="30"/>
    </row>
    <row r="790" spans="18:18" ht="15.75" customHeight="1">
      <c r="R790" s="30"/>
    </row>
    <row r="791" spans="18:18" ht="15.75" customHeight="1">
      <c r="R791" s="30"/>
    </row>
    <row r="792" spans="18:18" ht="15.75" customHeight="1">
      <c r="R792" s="30"/>
    </row>
    <row r="793" spans="18:18" ht="15.75" customHeight="1">
      <c r="R793" s="30"/>
    </row>
    <row r="794" spans="18:18" ht="15.75" customHeight="1">
      <c r="R794" s="30"/>
    </row>
    <row r="795" spans="18:18" ht="15.75" customHeight="1">
      <c r="R795" s="30"/>
    </row>
    <row r="796" spans="18:18" ht="15.75" customHeight="1">
      <c r="R796" s="30"/>
    </row>
    <row r="797" spans="18:18" ht="15.75" customHeight="1">
      <c r="R797" s="30"/>
    </row>
    <row r="798" spans="18:18" ht="15.75" customHeight="1">
      <c r="R798" s="30"/>
    </row>
    <row r="799" spans="18:18" ht="15.75" customHeight="1">
      <c r="R799" s="30"/>
    </row>
    <row r="800" spans="18:18" ht="15.75" customHeight="1">
      <c r="R800" s="30"/>
    </row>
    <row r="801" spans="18:18" ht="15.75" customHeight="1">
      <c r="R801" s="30"/>
    </row>
    <row r="802" spans="18:18" ht="15.75" customHeight="1">
      <c r="R802" s="30"/>
    </row>
    <row r="803" spans="18:18" ht="15.75" customHeight="1">
      <c r="R803" s="30"/>
    </row>
    <row r="804" spans="18:18" ht="15.75" customHeight="1">
      <c r="R804" s="30"/>
    </row>
    <row r="805" spans="18:18" ht="15.75" customHeight="1">
      <c r="R805" s="30"/>
    </row>
    <row r="806" spans="18:18" ht="15.75" customHeight="1">
      <c r="R806" s="30"/>
    </row>
    <row r="807" spans="18:18" ht="15.75" customHeight="1">
      <c r="R807" s="30"/>
    </row>
    <row r="808" spans="18:18" ht="15.75" customHeight="1">
      <c r="R808" s="30"/>
    </row>
    <row r="809" spans="18:18" ht="15.75" customHeight="1">
      <c r="R809" s="30"/>
    </row>
    <row r="810" spans="18:18" ht="15.75" customHeight="1">
      <c r="R810" s="30"/>
    </row>
    <row r="811" spans="18:18" ht="15.75" customHeight="1">
      <c r="R811" s="30"/>
    </row>
    <row r="812" spans="18:18" ht="15.75" customHeight="1">
      <c r="R812" s="30"/>
    </row>
    <row r="813" spans="18:18" ht="15.75" customHeight="1">
      <c r="R813" s="30"/>
    </row>
    <row r="814" spans="18:18" ht="15.75" customHeight="1">
      <c r="R814" s="30"/>
    </row>
    <row r="815" spans="18:18" ht="15.75" customHeight="1">
      <c r="R815" s="30"/>
    </row>
    <row r="816" spans="18:18" ht="15.75" customHeight="1">
      <c r="R816" s="30"/>
    </row>
    <row r="817" spans="18:18" ht="15.75" customHeight="1">
      <c r="R817" s="30"/>
    </row>
    <row r="818" spans="18:18" ht="15.75" customHeight="1">
      <c r="R818" s="30"/>
    </row>
    <row r="819" spans="18:18" ht="15.75" customHeight="1">
      <c r="R819" s="30"/>
    </row>
    <row r="820" spans="18:18" ht="15.75" customHeight="1">
      <c r="R820" s="30"/>
    </row>
    <row r="821" spans="18:18" ht="15.75" customHeight="1">
      <c r="R821" s="30"/>
    </row>
    <row r="822" spans="18:18" ht="15.75" customHeight="1">
      <c r="R822" s="30"/>
    </row>
    <row r="823" spans="18:18" ht="15.75" customHeight="1">
      <c r="R823" s="30"/>
    </row>
    <row r="824" spans="18:18" ht="15.75" customHeight="1">
      <c r="R824" s="30"/>
    </row>
    <row r="825" spans="18:18" ht="15.75" customHeight="1">
      <c r="R825" s="30"/>
    </row>
    <row r="826" spans="18:18" ht="15.75" customHeight="1">
      <c r="R826" s="30"/>
    </row>
    <row r="827" spans="18:18" ht="15.75" customHeight="1">
      <c r="R827" s="30"/>
    </row>
    <row r="828" spans="18:18" ht="15.75" customHeight="1">
      <c r="R828" s="30"/>
    </row>
    <row r="829" spans="18:18" ht="15.75" customHeight="1">
      <c r="R829" s="30"/>
    </row>
    <row r="830" spans="18:18" ht="15.75" customHeight="1">
      <c r="R830" s="30"/>
    </row>
    <row r="831" spans="18:18" ht="15.75" customHeight="1">
      <c r="R831" s="30"/>
    </row>
    <row r="832" spans="18:18" ht="15.75" customHeight="1">
      <c r="R832" s="30"/>
    </row>
    <row r="833" spans="18:18" ht="15.75" customHeight="1">
      <c r="R833" s="30"/>
    </row>
    <row r="834" spans="18:18" ht="15.75" customHeight="1">
      <c r="R834" s="30"/>
    </row>
    <row r="835" spans="18:18" ht="15.75" customHeight="1">
      <c r="R835" s="30"/>
    </row>
    <row r="836" spans="18:18" ht="15.75" customHeight="1">
      <c r="R836" s="30"/>
    </row>
    <row r="837" spans="18:18" ht="15.75" customHeight="1">
      <c r="R837" s="30"/>
    </row>
    <row r="838" spans="18:18" ht="15.75" customHeight="1">
      <c r="R838" s="30"/>
    </row>
    <row r="839" spans="18:18" ht="15.75" customHeight="1">
      <c r="R839" s="30"/>
    </row>
    <row r="840" spans="18:18" ht="15.75" customHeight="1">
      <c r="R840" s="30"/>
    </row>
    <row r="841" spans="18:18" ht="15.75" customHeight="1">
      <c r="R841" s="30"/>
    </row>
    <row r="842" spans="18:18" ht="15.75" customHeight="1">
      <c r="R842" s="30"/>
    </row>
    <row r="843" spans="18:18" ht="15.75" customHeight="1">
      <c r="R843" s="30"/>
    </row>
    <row r="844" spans="18:18" ht="15.75" customHeight="1">
      <c r="R844" s="30"/>
    </row>
    <row r="845" spans="18:18" ht="15.75" customHeight="1">
      <c r="R845" s="30"/>
    </row>
    <row r="846" spans="18:18" ht="15.75" customHeight="1">
      <c r="R846" s="30"/>
    </row>
    <row r="847" spans="18:18" ht="15.75" customHeight="1">
      <c r="R847" s="30"/>
    </row>
    <row r="848" spans="18:18" ht="15.75" customHeight="1">
      <c r="R848" s="30"/>
    </row>
    <row r="849" spans="18:18" ht="15.75" customHeight="1">
      <c r="R849" s="30"/>
    </row>
    <row r="850" spans="18:18" ht="15.75" customHeight="1">
      <c r="R850" s="30"/>
    </row>
    <row r="851" spans="18:18" ht="15.75" customHeight="1">
      <c r="R851" s="30"/>
    </row>
    <row r="852" spans="18:18" ht="15.75" customHeight="1">
      <c r="R852" s="30"/>
    </row>
    <row r="853" spans="18:18" ht="15.75" customHeight="1">
      <c r="R853" s="30"/>
    </row>
    <row r="854" spans="18:18" ht="15.75" customHeight="1">
      <c r="R854" s="30"/>
    </row>
    <row r="855" spans="18:18" ht="15.75" customHeight="1">
      <c r="R855" s="30"/>
    </row>
    <row r="856" spans="18:18" ht="15.75" customHeight="1">
      <c r="R856" s="30"/>
    </row>
    <row r="857" spans="18:18" ht="15.75" customHeight="1">
      <c r="R857" s="30"/>
    </row>
    <row r="858" spans="18:18" ht="15.75" customHeight="1">
      <c r="R858" s="30"/>
    </row>
    <row r="859" spans="18:18" ht="15.75" customHeight="1">
      <c r="R859" s="30"/>
    </row>
    <row r="860" spans="18:18" ht="15.75" customHeight="1">
      <c r="R860" s="30"/>
    </row>
    <row r="861" spans="18:18" ht="15.75" customHeight="1">
      <c r="R861" s="30"/>
    </row>
    <row r="862" spans="18:18" ht="15.75" customHeight="1">
      <c r="R862" s="30"/>
    </row>
    <row r="863" spans="18:18" ht="15.75" customHeight="1">
      <c r="R863" s="30"/>
    </row>
    <row r="864" spans="18:18" ht="15.75" customHeight="1">
      <c r="R864" s="30"/>
    </row>
    <row r="865" spans="18:18" ht="15.75" customHeight="1">
      <c r="R865" s="30"/>
    </row>
    <row r="866" spans="18:18" ht="15.75" customHeight="1">
      <c r="R866" s="30"/>
    </row>
    <row r="867" spans="18:18" ht="15.75" customHeight="1">
      <c r="R867" s="30"/>
    </row>
    <row r="868" spans="18:18" ht="15.75" customHeight="1">
      <c r="R868" s="30"/>
    </row>
    <row r="869" spans="18:18" ht="15.75" customHeight="1">
      <c r="R869" s="30"/>
    </row>
    <row r="870" spans="18:18" ht="15.75" customHeight="1">
      <c r="R870" s="30"/>
    </row>
    <row r="871" spans="18:18" ht="15.75" customHeight="1">
      <c r="R871" s="30"/>
    </row>
    <row r="872" spans="18:18" ht="15.75" customHeight="1">
      <c r="R872" s="30"/>
    </row>
    <row r="873" spans="18:18" ht="15.75" customHeight="1">
      <c r="R873" s="30"/>
    </row>
    <row r="874" spans="18:18" ht="15.75" customHeight="1">
      <c r="R874" s="30"/>
    </row>
    <row r="875" spans="18:18" ht="15.75" customHeight="1">
      <c r="R875" s="30"/>
    </row>
    <row r="876" spans="18:18" ht="15.75" customHeight="1">
      <c r="R876" s="30"/>
    </row>
    <row r="877" spans="18:18" ht="15.75" customHeight="1">
      <c r="R877" s="30"/>
    </row>
    <row r="878" spans="18:18" ht="15.75" customHeight="1">
      <c r="R878" s="30"/>
    </row>
    <row r="879" spans="18:18" ht="15.75" customHeight="1">
      <c r="R879" s="30"/>
    </row>
    <row r="880" spans="18:18" ht="15.75" customHeight="1">
      <c r="R880" s="30"/>
    </row>
    <row r="881" spans="18:18" ht="15.75" customHeight="1">
      <c r="R881" s="30"/>
    </row>
    <row r="882" spans="18:18" ht="15.75" customHeight="1">
      <c r="R882" s="30"/>
    </row>
    <row r="883" spans="18:18" ht="15.75" customHeight="1">
      <c r="R883" s="30"/>
    </row>
    <row r="884" spans="18:18" ht="15.75" customHeight="1">
      <c r="R884" s="30"/>
    </row>
    <row r="885" spans="18:18" ht="15.75" customHeight="1">
      <c r="R885" s="30"/>
    </row>
    <row r="886" spans="18:18" ht="15.75" customHeight="1">
      <c r="R886" s="30"/>
    </row>
    <row r="887" spans="18:18" ht="15.75" customHeight="1">
      <c r="R887" s="30"/>
    </row>
    <row r="888" spans="18:18" ht="15.75" customHeight="1">
      <c r="R888" s="30"/>
    </row>
    <row r="889" spans="18:18" ht="15.75" customHeight="1">
      <c r="R889" s="30"/>
    </row>
    <row r="890" spans="18:18" ht="15.75" customHeight="1">
      <c r="R890" s="30"/>
    </row>
    <row r="891" spans="18:18" ht="15.75" customHeight="1">
      <c r="R891" s="30"/>
    </row>
    <row r="892" spans="18:18" ht="15.75" customHeight="1">
      <c r="R892" s="30"/>
    </row>
    <row r="893" spans="18:18" ht="15.75" customHeight="1">
      <c r="R893" s="30"/>
    </row>
    <row r="894" spans="18:18" ht="15.75" customHeight="1">
      <c r="R894" s="30"/>
    </row>
    <row r="895" spans="18:18" ht="15.75" customHeight="1">
      <c r="R895" s="30"/>
    </row>
    <row r="896" spans="18:18" ht="15.75" customHeight="1">
      <c r="R896" s="30"/>
    </row>
    <row r="897" spans="18:18" ht="15.75" customHeight="1">
      <c r="R897" s="30"/>
    </row>
    <row r="898" spans="18:18" ht="15.75" customHeight="1">
      <c r="R898" s="30"/>
    </row>
    <row r="899" spans="18:18" ht="15.75" customHeight="1">
      <c r="R899" s="30"/>
    </row>
    <row r="900" spans="18:18" ht="15.75" customHeight="1">
      <c r="R900" s="30"/>
    </row>
    <row r="901" spans="18:18" ht="15.75" customHeight="1">
      <c r="R901" s="30"/>
    </row>
    <row r="902" spans="18:18" ht="15.75" customHeight="1">
      <c r="R902" s="30"/>
    </row>
    <row r="903" spans="18:18" ht="15.75" customHeight="1">
      <c r="R903" s="30"/>
    </row>
    <row r="904" spans="18:18" ht="15.75" customHeight="1">
      <c r="R904" s="30"/>
    </row>
    <row r="905" spans="18:18" ht="15.75" customHeight="1">
      <c r="R905" s="30"/>
    </row>
    <row r="906" spans="18:18" ht="15.75" customHeight="1">
      <c r="R906" s="30"/>
    </row>
    <row r="907" spans="18:18" ht="15.75" customHeight="1">
      <c r="R907" s="30"/>
    </row>
    <row r="908" spans="18:18" ht="15.75" customHeight="1">
      <c r="R908" s="30"/>
    </row>
    <row r="909" spans="18:18" ht="15.75" customHeight="1">
      <c r="R909" s="30"/>
    </row>
    <row r="910" spans="18:18" ht="15.75" customHeight="1">
      <c r="R910" s="30"/>
    </row>
    <row r="911" spans="18:18" ht="15.75" customHeight="1">
      <c r="R911" s="30"/>
    </row>
    <row r="912" spans="18:18" ht="15.75" customHeight="1">
      <c r="R912" s="30"/>
    </row>
    <row r="913" spans="18:18" ht="15.75" customHeight="1">
      <c r="R913" s="30"/>
    </row>
    <row r="914" spans="18:18" ht="15.75" customHeight="1">
      <c r="R914" s="30"/>
    </row>
    <row r="915" spans="18:18" ht="15.75" customHeight="1">
      <c r="R915" s="30"/>
    </row>
    <row r="916" spans="18:18" ht="15.75" customHeight="1">
      <c r="R916" s="30"/>
    </row>
    <row r="917" spans="18:18" ht="15.75" customHeight="1">
      <c r="R917" s="30"/>
    </row>
    <row r="918" spans="18:18" ht="15.75" customHeight="1">
      <c r="R918" s="30"/>
    </row>
    <row r="919" spans="18:18" ht="15.75" customHeight="1">
      <c r="R919" s="30"/>
    </row>
    <row r="920" spans="18:18" ht="15.75" customHeight="1">
      <c r="R920" s="30"/>
    </row>
    <row r="921" spans="18:18" ht="15.75" customHeight="1">
      <c r="R921" s="30"/>
    </row>
    <row r="922" spans="18:18" ht="15.75" customHeight="1">
      <c r="R922" s="30"/>
    </row>
    <row r="923" spans="18:18" ht="15.75" customHeight="1">
      <c r="R923" s="30"/>
    </row>
    <row r="924" spans="18:18" ht="15.75" customHeight="1">
      <c r="R924" s="30"/>
    </row>
    <row r="925" spans="18:18" ht="15.75" customHeight="1">
      <c r="R925" s="30"/>
    </row>
    <row r="926" spans="18:18" ht="15.75" customHeight="1">
      <c r="R926" s="30"/>
    </row>
    <row r="927" spans="18:18" ht="15.75" customHeight="1">
      <c r="R927" s="30"/>
    </row>
    <row r="928" spans="18:18" ht="15.75" customHeight="1">
      <c r="R928" s="30"/>
    </row>
    <row r="929" spans="18:18" ht="15.75" customHeight="1">
      <c r="R929" s="30"/>
    </row>
    <row r="930" spans="18:18" ht="15.75" customHeight="1">
      <c r="R930" s="30"/>
    </row>
    <row r="931" spans="18:18" ht="15.75" customHeight="1">
      <c r="R931" s="30"/>
    </row>
    <row r="932" spans="18:18" ht="15.75" customHeight="1">
      <c r="R932" s="30"/>
    </row>
    <row r="933" spans="18:18" ht="15.75" customHeight="1">
      <c r="R933" s="30"/>
    </row>
    <row r="934" spans="18:18" ht="15.75" customHeight="1">
      <c r="R934" s="30"/>
    </row>
    <row r="935" spans="18:18" ht="15.75" customHeight="1">
      <c r="R935" s="30"/>
    </row>
    <row r="936" spans="18:18" ht="15.75" customHeight="1">
      <c r="R936" s="30"/>
    </row>
    <row r="937" spans="18:18" ht="15.75" customHeight="1">
      <c r="R937" s="30"/>
    </row>
    <row r="938" spans="18:18" ht="15.75" customHeight="1">
      <c r="R938" s="30"/>
    </row>
    <row r="939" spans="18:18" ht="15.75" customHeight="1">
      <c r="R939" s="30"/>
    </row>
    <row r="940" spans="18:18" ht="15.75" customHeight="1">
      <c r="R940" s="30"/>
    </row>
    <row r="941" spans="18:18" ht="15.75" customHeight="1">
      <c r="R941" s="30"/>
    </row>
    <row r="942" spans="18:18" ht="15.75" customHeight="1">
      <c r="R942" s="30"/>
    </row>
    <row r="943" spans="18:18" ht="15.75" customHeight="1">
      <c r="R943" s="30"/>
    </row>
    <row r="944" spans="18:18" ht="15.75" customHeight="1">
      <c r="R944" s="30"/>
    </row>
    <row r="945" spans="18:18" ht="15.75" customHeight="1">
      <c r="R945" s="30"/>
    </row>
    <row r="946" spans="18:18" ht="15.75" customHeight="1">
      <c r="R946" s="30"/>
    </row>
    <row r="947" spans="18:18" ht="15.75" customHeight="1">
      <c r="R947" s="30"/>
    </row>
    <row r="948" spans="18:18" ht="15.75" customHeight="1">
      <c r="R948" s="30"/>
    </row>
    <row r="949" spans="18:18" ht="15.75" customHeight="1">
      <c r="R949" s="30"/>
    </row>
    <row r="950" spans="18:18" ht="15.75" customHeight="1">
      <c r="R950" s="30"/>
    </row>
    <row r="951" spans="18:18" ht="15.75" customHeight="1">
      <c r="R951" s="30"/>
    </row>
    <row r="952" spans="18:18" ht="15.75" customHeight="1">
      <c r="R952" s="30"/>
    </row>
    <row r="953" spans="18:18" ht="15.75" customHeight="1">
      <c r="R953" s="30"/>
    </row>
    <row r="954" spans="18:18" ht="15.75" customHeight="1">
      <c r="R954" s="30"/>
    </row>
    <row r="955" spans="18:18" ht="15.75" customHeight="1">
      <c r="R955" s="30"/>
    </row>
    <row r="956" spans="18:18" ht="15.75" customHeight="1">
      <c r="R956" s="30"/>
    </row>
    <row r="957" spans="18:18" ht="15.75" customHeight="1">
      <c r="R957" s="30"/>
    </row>
    <row r="958" spans="18:18" ht="15.75" customHeight="1">
      <c r="R958" s="30"/>
    </row>
    <row r="959" spans="18:18" ht="15.75" customHeight="1">
      <c r="R959" s="30"/>
    </row>
    <row r="960" spans="18:18" ht="15.75" customHeight="1">
      <c r="R960" s="30"/>
    </row>
    <row r="961" spans="18:18" ht="15.75" customHeight="1">
      <c r="R961" s="30"/>
    </row>
    <row r="962" spans="18:18" ht="15.75" customHeight="1">
      <c r="R962" s="30"/>
    </row>
    <row r="963" spans="18:18" ht="15.75" customHeight="1">
      <c r="R963" s="30"/>
    </row>
    <row r="964" spans="18:18" ht="15.75" customHeight="1">
      <c r="R964" s="30"/>
    </row>
    <row r="965" spans="18:18" ht="15.75" customHeight="1">
      <c r="R965" s="30"/>
    </row>
    <row r="966" spans="18:18" ht="15.75" customHeight="1">
      <c r="R966" s="30"/>
    </row>
    <row r="967" spans="18:18" ht="15.75" customHeight="1">
      <c r="R967" s="30"/>
    </row>
    <row r="968" spans="18:18" ht="15.75" customHeight="1">
      <c r="R968" s="30"/>
    </row>
    <row r="969" spans="18:18" ht="15.75" customHeight="1">
      <c r="R969" s="30"/>
    </row>
    <row r="970" spans="18:18" ht="15.75" customHeight="1">
      <c r="R970" s="30"/>
    </row>
    <row r="971" spans="18:18" ht="15.75" customHeight="1">
      <c r="R971" s="30"/>
    </row>
    <row r="972" spans="18:18" ht="15.75" customHeight="1">
      <c r="R972" s="30"/>
    </row>
    <row r="973" spans="18:18" ht="15.75" customHeight="1">
      <c r="R973" s="30"/>
    </row>
    <row r="974" spans="18:18" ht="15.75" customHeight="1">
      <c r="R974" s="30"/>
    </row>
    <row r="975" spans="18:18" ht="15.75" customHeight="1">
      <c r="R975" s="30"/>
    </row>
    <row r="976" spans="18:18" ht="15.75" customHeight="1">
      <c r="R976" s="30"/>
    </row>
    <row r="977" spans="18:18" ht="15.75" customHeight="1">
      <c r="R977" s="30"/>
    </row>
    <row r="978" spans="18:18" ht="15.75" customHeight="1">
      <c r="R978" s="30"/>
    </row>
    <row r="979" spans="18:18" ht="15.75" customHeight="1">
      <c r="R979" s="30"/>
    </row>
    <row r="980" spans="18:18" ht="15.75" customHeight="1">
      <c r="R980" s="30"/>
    </row>
    <row r="981" spans="18:18" ht="15.75" customHeight="1">
      <c r="R981" s="30"/>
    </row>
    <row r="982" spans="18:18" ht="15.75" customHeight="1">
      <c r="R982" s="30"/>
    </row>
    <row r="983" spans="18:18" ht="15.75" customHeight="1">
      <c r="R983" s="30"/>
    </row>
    <row r="984" spans="18:18" ht="15.75" customHeight="1">
      <c r="R984" s="30"/>
    </row>
    <row r="985" spans="18:18" ht="15.75" customHeight="1">
      <c r="R985" s="30"/>
    </row>
    <row r="986" spans="18:18" ht="15.75" customHeight="1">
      <c r="R986" s="30"/>
    </row>
    <row r="987" spans="18:18" ht="15.75" customHeight="1">
      <c r="R987" s="30"/>
    </row>
    <row r="988" spans="18:18" ht="15.75" customHeight="1">
      <c r="R988" s="30"/>
    </row>
    <row r="989" spans="18:18" ht="15.75" customHeight="1">
      <c r="R989" s="30"/>
    </row>
    <row r="990" spans="18:18" ht="15.75" customHeight="1">
      <c r="R990" s="30"/>
    </row>
    <row r="991" spans="18:18" ht="15.75" customHeight="1">
      <c r="R991" s="30"/>
    </row>
    <row r="992" spans="18:18" ht="15.75" customHeight="1">
      <c r="R992" s="30"/>
    </row>
    <row r="993" spans="18:18" ht="15.75" customHeight="1">
      <c r="R993" s="30"/>
    </row>
    <row r="994" spans="18:18" ht="15.75" customHeight="1">
      <c r="R994" s="30"/>
    </row>
    <row r="995" spans="18:18" ht="15.75" customHeight="1">
      <c r="R995" s="30"/>
    </row>
    <row r="996" spans="18:18" ht="15.75" customHeight="1">
      <c r="R996" s="30"/>
    </row>
    <row r="997" spans="18:18" ht="15.75" customHeight="1">
      <c r="R997" s="30"/>
    </row>
    <row r="998" spans="18:18" ht="15.75" customHeight="1">
      <c r="R998" s="30"/>
    </row>
    <row r="999" spans="18:18" ht="15.75" customHeight="1">
      <c r="R999" s="30"/>
    </row>
    <row r="1000" spans="18:18" ht="15.75" customHeight="1">
      <c r="R1000" s="3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2.6640625" defaultRowHeight="15" customHeight="1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8.6640625" customWidth="1"/>
    <col min="6" max="6" width="9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16.33203125" customWidth="1"/>
    <col min="16" max="16" width="10" customWidth="1"/>
    <col min="17" max="18" width="7.33203125" customWidth="1"/>
    <col min="19" max="19" width="7.1640625" customWidth="1"/>
    <col min="20" max="20" width="15.83203125" customWidth="1"/>
    <col min="21" max="21" width="18.1640625" customWidth="1"/>
    <col min="22" max="22" width="64.8320312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6640625" customWidth="1"/>
    <col min="32" max="32" width="10.1640625" customWidth="1"/>
    <col min="33" max="33" width="8.83203125" customWidth="1"/>
  </cols>
  <sheetData>
    <row r="1" spans="1:33" ht="18.75" customHeight="1">
      <c r="A1" s="46" t="str">
        <f ca="1">IFERROR(__xludf.DUMMYFUNCTION("IFERROR(VLOOKUP(B2,IMPORTRANGE(""https://docs.google.com/spreadsheets/d/1x0DhHglkXKoEBOD2MBsuK_EyIr1ouxD2ftIpqOYFa-k/edit?usp=sharing"",""Ubiquitty-SKU-Specific Info!B1:BJ5000""),3,FALSE),"""")"),"2 Pack of 10 Foot Lighted Outdoor Extension Cords - 12/3 SJTW Heavy Duty Yellow Extension Cords")</f>
        <v>2 Pack of 10 Foot Lighted Outdoor Extension Cords - 12/3 SJTW Heavy Duty Yellow Extension Cords</v>
      </c>
      <c r="B1" s="47"/>
      <c r="C1" s="48" t="s">
        <v>0</v>
      </c>
      <c r="D1" s="50" t="s">
        <v>1</v>
      </c>
      <c r="E1" s="50" t="s">
        <v>2</v>
      </c>
      <c r="F1" s="52" t="s">
        <v>3</v>
      </c>
      <c r="G1" s="52" t="s">
        <v>4</v>
      </c>
      <c r="H1" s="53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58" t="s">
        <v>10</v>
      </c>
      <c r="N1" s="59" t="s">
        <v>11</v>
      </c>
      <c r="O1" s="50" t="s">
        <v>12</v>
      </c>
      <c r="P1" s="50" t="s">
        <v>13</v>
      </c>
      <c r="Q1" s="57" t="s">
        <v>14</v>
      </c>
      <c r="R1" s="57" t="s">
        <v>15</v>
      </c>
      <c r="S1" s="60" t="s">
        <v>16</v>
      </c>
      <c r="T1" s="62" t="s">
        <v>2006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Info!B1:BJ5000""),2,FALSE),"""")"),"B07G7HCDC7")</f>
        <v>B07G7HCDC7</v>
      </c>
      <c r="B2" s="3" t="s">
        <v>1248</v>
      </c>
      <c r="C2" s="49"/>
      <c r="D2" s="49"/>
      <c r="E2" s="51"/>
      <c r="F2" s="49"/>
      <c r="G2" s="49"/>
      <c r="H2" s="54"/>
      <c r="I2" s="49"/>
      <c r="J2" s="49"/>
      <c r="K2" s="54"/>
      <c r="L2" s="54"/>
      <c r="M2" s="54"/>
      <c r="N2" s="49"/>
      <c r="O2" s="49"/>
      <c r="P2" s="51"/>
      <c r="Q2" s="49"/>
      <c r="R2" s="49"/>
      <c r="S2" s="61"/>
      <c r="T2" s="47"/>
      <c r="U2" s="63"/>
      <c r="V2" s="63"/>
      <c r="W2" s="47"/>
      <c r="X2" s="47"/>
      <c r="Y2" s="47"/>
      <c r="Z2" s="47"/>
      <c r="AA2" s="63"/>
      <c r="AB2" s="63"/>
      <c r="AC2" s="63"/>
      <c r="AD2" s="63"/>
      <c r="AE2" s="47"/>
      <c r="AF2" s="47"/>
      <c r="AG2" s="47"/>
    </row>
    <row r="3" spans="1:33" ht="191.25" customHeight="1">
      <c r="A3" s="55" t="s">
        <v>31</v>
      </c>
      <c r="B3" s="56"/>
      <c r="C3" s="4">
        <f>((AE32+AF32)/0.85)*-1</f>
        <v>19.027707206274471</v>
      </c>
      <c r="D3" s="5">
        <f>SUM(D4:D99765)</f>
        <v>917</v>
      </c>
      <c r="E3" s="5"/>
      <c r="F3" s="6">
        <f t="shared" ref="F3:G3" si="0">SUM(F4:F99765)</f>
        <v>30842.530000000002</v>
      </c>
      <c r="G3" s="6">
        <f t="shared" si="0"/>
        <v>-0.1</v>
      </c>
      <c r="H3" s="7">
        <f t="shared" ref="H3:H32" si="1">G3/F3*-1</f>
        <v>3.2422761686541278E-6</v>
      </c>
      <c r="I3" s="8">
        <f t="shared" ref="I3:I32" si="2">J3/F3</f>
        <v>0.42672841356818159</v>
      </c>
      <c r="J3" s="6">
        <f>SUM(J4:J99765)</f>
        <v>13161.383897329049</v>
      </c>
      <c r="K3" s="6">
        <f t="shared" ref="K3:K32" si="3">J3/D3</f>
        <v>14.352654195560577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Sheet!a1:g5000""),2,FALSE),"""")"),"9 - March
9 - April
9 - May
9 - June
9.5 - July
8 - Aug
8.5 - Sept
8.5 - Oct
8 - Nov
8 - Dec
6.5 - Jan
7.5 - Feb")</f>
        <v>9 - March
9 - April
9 - May
9 - June
9.5 - July
8 - Aug
8.5 - Sept
8.5 - Oct
8 - Nov
8 - Dec
6.5 - Jan
7.5 -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QTY-0")</f>
        <v>Del QTY-0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QTY-2")</f>
        <v>US QTY-2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1</v>
      </c>
      <c r="X3" s="7">
        <f>W3/D3</f>
        <v>1.0905125408942203E-3</v>
      </c>
      <c r="Y3" s="6"/>
      <c r="Z3" s="5"/>
      <c r="AA3" s="5"/>
      <c r="AB3" s="5"/>
      <c r="AC3" s="5"/>
      <c r="AD3" s="6">
        <f>SUM(AD4:AD99765)</f>
        <v>-150.17673532366746</v>
      </c>
      <c r="AE3" s="6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Info!B2:BZ3000""),37,FALSE)),"""")*-1"),-10.1935511253333)</f>
        <v>-10.1935511253333</v>
      </c>
      <c r="AG3" s="6">
        <f>SUM(AG4:AG99765)</f>
        <v>0</v>
      </c>
    </row>
    <row r="4" spans="1:33" ht="15.75" customHeight="1">
      <c r="A4" s="14" t="s">
        <v>181</v>
      </c>
      <c r="B4" s="14" t="s">
        <v>1249</v>
      </c>
      <c r="C4" s="15">
        <f t="shared" ref="C4:C32" si="4">IFERROR(F4/D4," - ")</f>
        <v>31.325625000000006</v>
      </c>
      <c r="D4" s="16">
        <v>48</v>
      </c>
      <c r="E4" s="16">
        <v>0</v>
      </c>
      <c r="F4" s="17">
        <v>1503.6300000000003</v>
      </c>
      <c r="G4" s="17">
        <v>0</v>
      </c>
      <c r="H4" s="18">
        <f t="shared" si="1"/>
        <v>0</v>
      </c>
      <c r="I4" s="18">
        <f t="shared" si="2"/>
        <v>0.41701295726295246</v>
      </c>
      <c r="J4" s="17">
        <f t="shared" ref="J4:J32" si="5">F4*0.85+G4+AF4*D4+D4*AE4+AG4+AD4</f>
        <v>627.03319292929336</v>
      </c>
      <c r="K4" s="17">
        <f t="shared" si="3"/>
        <v>13.063191519360279</v>
      </c>
      <c r="L4" s="16">
        <v>138</v>
      </c>
      <c r="M4" s="19">
        <f t="shared" ref="M4:M32" si="6">IFERROR(D4/L4,"-")</f>
        <v>0.34782608695652173</v>
      </c>
      <c r="N4" s="16">
        <v>237</v>
      </c>
      <c r="O4" s="20">
        <f t="shared" ref="O4:P4" si="7">D4/7</f>
        <v>6.8571428571428568</v>
      </c>
      <c r="P4" s="20">
        <f t="shared" si="7"/>
        <v>0</v>
      </c>
      <c r="Q4" s="16">
        <f t="shared" ref="Q4:Q32" si="8">ROUNDDOWN(N4/(O4+P4),0)</f>
        <v>34</v>
      </c>
      <c r="R4" s="16"/>
      <c r="S4" s="21">
        <v>3.2707182320441901</v>
      </c>
      <c r="T4" s="14">
        <v>246</v>
      </c>
      <c r="U4" s="22">
        <v>210</v>
      </c>
      <c r="V4" s="23" t="s">
        <v>1250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26" t="s">
        <v>35</v>
      </c>
      <c r="AB4" s="27">
        <f t="shared" ref="AB4:AB32" si="11">IF(OR(AA4="UsLargeStandardSize",AA4="UsSmallStandardSize"),-0.69,-0.48)</f>
        <v>-0.69</v>
      </c>
      <c r="AC4" s="28">
        <v>0.12268518518518519</v>
      </c>
      <c r="AD4" s="25">
        <f t="shared" ref="AD4:AD32" si="12">IFERROR(AB4*AC4*D4*2,0)</f>
        <v>-8.1266666666666652</v>
      </c>
      <c r="AE4" s="25">
        <v>-5.8</v>
      </c>
      <c r="AF4" s="25">
        <v>-7.5942841750841756</v>
      </c>
      <c r="AG4" s="25">
        <v>0</v>
      </c>
    </row>
    <row r="5" spans="1:33" ht="15.75" customHeight="1">
      <c r="A5" s="14" t="s">
        <v>183</v>
      </c>
      <c r="B5" s="14" t="s">
        <v>68</v>
      </c>
      <c r="C5" s="15">
        <f t="shared" si="4"/>
        <v>32.803947368421056</v>
      </c>
      <c r="D5" s="16">
        <v>38</v>
      </c>
      <c r="E5" s="16">
        <v>1</v>
      </c>
      <c r="F5" s="29">
        <v>1246.5500000000002</v>
      </c>
      <c r="G5" s="29">
        <v>0</v>
      </c>
      <c r="H5" s="18">
        <f t="shared" si="1"/>
        <v>0</v>
      </c>
      <c r="I5" s="18">
        <f t="shared" si="2"/>
        <v>0.43651970261773204</v>
      </c>
      <c r="J5" s="17">
        <f t="shared" si="5"/>
        <v>544.14363529813397</v>
      </c>
      <c r="K5" s="17">
        <f t="shared" si="3"/>
        <v>14.319569349950894</v>
      </c>
      <c r="L5" s="16">
        <v>163</v>
      </c>
      <c r="M5" s="19">
        <f t="shared" si="6"/>
        <v>0.23312883435582821</v>
      </c>
      <c r="N5" s="16">
        <v>199</v>
      </c>
      <c r="O5" s="20">
        <f t="shared" ref="O5:P5" si="13">D5/7</f>
        <v>5.4285714285714288</v>
      </c>
      <c r="P5" s="20">
        <f t="shared" si="13"/>
        <v>0.14285714285714285</v>
      </c>
      <c r="Q5" s="16">
        <f t="shared" si="8"/>
        <v>35</v>
      </c>
      <c r="R5" s="16"/>
      <c r="S5" s="21">
        <v>2.7174447174447098</v>
      </c>
      <c r="T5" s="14">
        <v>246</v>
      </c>
      <c r="U5" s="22">
        <v>210</v>
      </c>
      <c r="V5" s="23" t="s">
        <v>1251</v>
      </c>
      <c r="W5" s="14">
        <v>0</v>
      </c>
      <c r="X5" s="24">
        <f t="shared" si="9"/>
        <v>0</v>
      </c>
      <c r="Y5" s="25">
        <f t="shared" si="10"/>
        <v>0</v>
      </c>
      <c r="Z5" s="14">
        <v>0</v>
      </c>
      <c r="AA5" s="14" t="s">
        <v>35</v>
      </c>
      <c r="AB5" s="27">
        <f t="shared" si="11"/>
        <v>-0.69</v>
      </c>
      <c r="AC5" s="28">
        <v>0.12282734646581692</v>
      </c>
      <c r="AD5" s="25">
        <f t="shared" si="12"/>
        <v>-6.4410660486674391</v>
      </c>
      <c r="AE5" s="25">
        <v>-5.8</v>
      </c>
      <c r="AF5" s="25">
        <v>-7.5942841750841756</v>
      </c>
      <c r="AG5" s="25">
        <v>0</v>
      </c>
    </row>
    <row r="6" spans="1:33" ht="15.75" customHeight="1">
      <c r="A6" s="14" t="s">
        <v>185</v>
      </c>
      <c r="B6" s="14" t="s">
        <v>1252</v>
      </c>
      <c r="C6" s="15">
        <f t="shared" si="4"/>
        <v>33.233902439024398</v>
      </c>
      <c r="D6" s="16">
        <v>41</v>
      </c>
      <c r="E6" s="16">
        <v>0</v>
      </c>
      <c r="F6" s="29">
        <v>1362.5900000000004</v>
      </c>
      <c r="G6" s="29">
        <v>-0.08</v>
      </c>
      <c r="H6" s="18">
        <f t="shared" si="1"/>
        <v>5.8711718125041265E-5</v>
      </c>
      <c r="I6" s="18">
        <f t="shared" si="2"/>
        <v>0.44181618905450021</v>
      </c>
      <c r="J6" s="17">
        <f t="shared" si="5"/>
        <v>602.01432104377159</v>
      </c>
      <c r="K6" s="17">
        <f t="shared" si="3"/>
        <v>14.683276123018819</v>
      </c>
      <c r="L6" s="16">
        <v>153</v>
      </c>
      <c r="M6" s="19">
        <f t="shared" si="6"/>
        <v>0.26797385620915032</v>
      </c>
      <c r="N6" s="16">
        <v>163</v>
      </c>
      <c r="O6" s="20">
        <f t="shared" ref="O6:P6" si="14">D6/7</f>
        <v>5.8571428571428568</v>
      </c>
      <c r="P6" s="20">
        <f t="shared" si="14"/>
        <v>0</v>
      </c>
      <c r="Q6" s="16">
        <f t="shared" si="8"/>
        <v>27</v>
      </c>
      <c r="R6" s="16"/>
      <c r="S6" s="21">
        <v>2.6353522867737902</v>
      </c>
      <c r="T6" s="14">
        <v>36</v>
      </c>
      <c r="U6" s="22" t="s">
        <v>34</v>
      </c>
      <c r="V6" s="23" t="s">
        <v>186</v>
      </c>
      <c r="W6" s="14">
        <v>0</v>
      </c>
      <c r="X6" s="24">
        <f t="shared" si="9"/>
        <v>0</v>
      </c>
      <c r="Y6" s="25">
        <f t="shared" si="10"/>
        <v>0</v>
      </c>
      <c r="Z6" s="14">
        <v>0</v>
      </c>
      <c r="AA6" s="14" t="s">
        <v>35</v>
      </c>
      <c r="AB6" s="27">
        <f t="shared" si="11"/>
        <v>-0.69</v>
      </c>
      <c r="AC6" s="28">
        <v>0.12268518518518519</v>
      </c>
      <c r="AD6" s="25">
        <f t="shared" si="12"/>
        <v>-6.9415277777777771</v>
      </c>
      <c r="AE6" s="25">
        <v>-5.8</v>
      </c>
      <c r="AF6" s="25">
        <v>-7.5942841750841756</v>
      </c>
      <c r="AG6" s="25">
        <v>0</v>
      </c>
    </row>
    <row r="7" spans="1:33" ht="15.75" customHeight="1">
      <c r="A7" s="14" t="s">
        <v>187</v>
      </c>
      <c r="B7" s="14" t="s">
        <v>68</v>
      </c>
      <c r="C7" s="15">
        <f t="shared" si="4"/>
        <v>34.518378378378365</v>
      </c>
      <c r="D7" s="16">
        <v>37</v>
      </c>
      <c r="E7" s="16">
        <v>0</v>
      </c>
      <c r="F7" s="29">
        <v>1277.1799999999996</v>
      </c>
      <c r="G7" s="29">
        <v>0</v>
      </c>
      <c r="H7" s="18">
        <f t="shared" si="1"/>
        <v>0</v>
      </c>
      <c r="I7" s="18">
        <f t="shared" si="2"/>
        <v>0.45706179235998823</v>
      </c>
      <c r="J7" s="17">
        <f t="shared" si="5"/>
        <v>583.7501799663296</v>
      </c>
      <c r="K7" s="17">
        <f t="shared" si="3"/>
        <v>15.777031890981881</v>
      </c>
      <c r="L7" s="16">
        <v>128</v>
      </c>
      <c r="M7" s="19">
        <f t="shared" si="6"/>
        <v>0.2890625</v>
      </c>
      <c r="N7" s="16">
        <v>221</v>
      </c>
      <c r="O7" s="20">
        <f t="shared" ref="O7:P7" si="15">D7/7</f>
        <v>5.2857142857142856</v>
      </c>
      <c r="P7" s="20">
        <f t="shared" si="15"/>
        <v>0</v>
      </c>
      <c r="Q7" s="16">
        <f t="shared" si="8"/>
        <v>41</v>
      </c>
      <c r="R7" s="16"/>
      <c r="S7" s="21">
        <v>3.0372492836676201</v>
      </c>
      <c r="T7" s="14">
        <v>36</v>
      </c>
      <c r="U7" s="22">
        <v>36</v>
      </c>
      <c r="V7" s="23" t="s">
        <v>1253</v>
      </c>
      <c r="W7" s="14">
        <v>0</v>
      </c>
      <c r="X7" s="24">
        <f t="shared" si="9"/>
        <v>0</v>
      </c>
      <c r="Y7" s="25">
        <f t="shared" si="10"/>
        <v>0</v>
      </c>
      <c r="Z7" s="14">
        <v>0</v>
      </c>
      <c r="AA7" s="14" t="s">
        <v>35</v>
      </c>
      <c r="AB7" s="27">
        <f t="shared" si="11"/>
        <v>-0.69</v>
      </c>
      <c r="AC7" s="28">
        <v>0.12268518518518519</v>
      </c>
      <c r="AD7" s="25">
        <f t="shared" si="12"/>
        <v>-6.2643055555555547</v>
      </c>
      <c r="AE7" s="25">
        <v>-5.8</v>
      </c>
      <c r="AF7" s="25">
        <v>-7.5942841750841756</v>
      </c>
      <c r="AG7" s="25">
        <v>0</v>
      </c>
    </row>
    <row r="8" spans="1:33" ht="15.75" customHeight="1">
      <c r="A8" s="14" t="s">
        <v>189</v>
      </c>
      <c r="B8" s="14" t="s">
        <v>68</v>
      </c>
      <c r="C8" s="15">
        <f t="shared" si="4"/>
        <v>34.127931034482756</v>
      </c>
      <c r="D8" s="16">
        <v>29</v>
      </c>
      <c r="E8" s="16">
        <v>1</v>
      </c>
      <c r="F8" s="29">
        <v>989.70999999999992</v>
      </c>
      <c r="G8" s="29">
        <v>0</v>
      </c>
      <c r="H8" s="18">
        <f t="shared" si="1"/>
        <v>0</v>
      </c>
      <c r="I8" s="18">
        <f t="shared" si="2"/>
        <v>0.45269183790088896</v>
      </c>
      <c r="J8" s="17">
        <f t="shared" si="5"/>
        <v>448.03363888888879</v>
      </c>
      <c r="K8" s="17">
        <f t="shared" si="3"/>
        <v>15.449435823754786</v>
      </c>
      <c r="L8" s="16">
        <v>144</v>
      </c>
      <c r="M8" s="19">
        <f t="shared" si="6"/>
        <v>0.2013888888888889</v>
      </c>
      <c r="N8" s="16">
        <v>201</v>
      </c>
      <c r="O8" s="20">
        <f t="shared" ref="O8:P8" si="16">D8/7</f>
        <v>4.1428571428571432</v>
      </c>
      <c r="P8" s="20">
        <f t="shared" si="16"/>
        <v>0.14285714285714285</v>
      </c>
      <c r="Q8" s="16">
        <f t="shared" si="8"/>
        <v>46</v>
      </c>
      <c r="R8" s="16"/>
      <c r="S8" s="21">
        <v>3.5655172413793101</v>
      </c>
      <c r="T8" s="14">
        <v>36</v>
      </c>
      <c r="U8" s="22">
        <v>36</v>
      </c>
      <c r="V8" s="23" t="s">
        <v>1254</v>
      </c>
      <c r="W8" s="14">
        <v>0</v>
      </c>
      <c r="X8" s="24">
        <f t="shared" si="9"/>
        <v>0</v>
      </c>
      <c r="Y8" s="25">
        <f t="shared" si="10"/>
        <v>0</v>
      </c>
      <c r="Z8" s="14">
        <v>0</v>
      </c>
      <c r="AA8" s="14" t="s">
        <v>35</v>
      </c>
      <c r="AB8" s="27">
        <f t="shared" si="11"/>
        <v>-0.69</v>
      </c>
      <c r="AC8" s="28">
        <v>0.12268518518518519</v>
      </c>
      <c r="AD8" s="25">
        <f t="shared" si="12"/>
        <v>-4.9098611111111108</v>
      </c>
      <c r="AE8" s="25">
        <v>-5.8</v>
      </c>
      <c r="AF8" s="25">
        <v>-7.59</v>
      </c>
      <c r="AG8" s="25">
        <v>0</v>
      </c>
    </row>
    <row r="9" spans="1:33" ht="15.75" customHeight="1">
      <c r="A9" s="14" t="s">
        <v>191</v>
      </c>
      <c r="B9" s="14" t="s">
        <v>68</v>
      </c>
      <c r="C9" s="15">
        <f t="shared" si="4"/>
        <v>34.770980392156858</v>
      </c>
      <c r="D9" s="16">
        <v>51</v>
      </c>
      <c r="E9" s="16">
        <v>0</v>
      </c>
      <c r="F9" s="29">
        <v>1773.3199999999997</v>
      </c>
      <c r="G9" s="29">
        <v>0</v>
      </c>
      <c r="H9" s="18">
        <f t="shared" si="1"/>
        <v>0</v>
      </c>
      <c r="I9" s="18">
        <f t="shared" si="2"/>
        <v>0.45774978856072512</v>
      </c>
      <c r="J9" s="17">
        <f t="shared" si="5"/>
        <v>811.73685505050491</v>
      </c>
      <c r="K9" s="17">
        <f t="shared" si="3"/>
        <v>15.91640892255892</v>
      </c>
      <c r="L9" s="16">
        <v>197</v>
      </c>
      <c r="M9" s="19">
        <f t="shared" si="6"/>
        <v>0.25888324873096447</v>
      </c>
      <c r="N9" s="16">
        <v>152</v>
      </c>
      <c r="O9" s="20">
        <f t="shared" ref="O9:P9" si="17">D9/7</f>
        <v>7.2857142857142856</v>
      </c>
      <c r="P9" s="20">
        <f t="shared" si="17"/>
        <v>0</v>
      </c>
      <c r="Q9" s="16">
        <f t="shared" si="8"/>
        <v>20</v>
      </c>
      <c r="R9" s="16"/>
      <c r="S9" s="21">
        <v>2.8753315649867299</v>
      </c>
      <c r="T9" s="14">
        <v>36</v>
      </c>
      <c r="U9" s="22">
        <v>36</v>
      </c>
      <c r="V9" s="23" t="s">
        <v>1255</v>
      </c>
      <c r="W9" s="14">
        <v>0</v>
      </c>
      <c r="X9" s="24">
        <f t="shared" si="9"/>
        <v>0</v>
      </c>
      <c r="Y9" s="25">
        <f t="shared" si="10"/>
        <v>0</v>
      </c>
      <c r="Z9" s="14">
        <v>0</v>
      </c>
      <c r="AA9" s="14" t="s">
        <v>35</v>
      </c>
      <c r="AB9" s="27">
        <f t="shared" si="11"/>
        <v>-0.69</v>
      </c>
      <c r="AC9" s="28">
        <v>0.12268518518518519</v>
      </c>
      <c r="AD9" s="25">
        <f t="shared" si="12"/>
        <v>-8.6345833333333335</v>
      </c>
      <c r="AE9" s="25">
        <v>-5.8</v>
      </c>
      <c r="AF9" s="25">
        <v>-7.6696188552188502</v>
      </c>
      <c r="AG9" s="25">
        <v>0</v>
      </c>
    </row>
    <row r="10" spans="1:33" ht="15.75" customHeight="1">
      <c r="A10" s="14" t="s">
        <v>192</v>
      </c>
      <c r="B10" s="14" t="s">
        <v>1256</v>
      </c>
      <c r="C10" s="15">
        <f t="shared" si="4"/>
        <v>33.482592592592596</v>
      </c>
      <c r="D10" s="16">
        <v>54</v>
      </c>
      <c r="E10" s="16">
        <v>0</v>
      </c>
      <c r="F10" s="29">
        <v>1808.0600000000002</v>
      </c>
      <c r="G10" s="29">
        <v>0</v>
      </c>
      <c r="H10" s="18">
        <f t="shared" si="1"/>
        <v>0</v>
      </c>
      <c r="I10" s="18">
        <f t="shared" si="2"/>
        <v>0.44265626241285244</v>
      </c>
      <c r="J10" s="17">
        <f t="shared" si="5"/>
        <v>800.34908181818207</v>
      </c>
      <c r="K10" s="17">
        <f t="shared" si="3"/>
        <v>14.821279292929297</v>
      </c>
      <c r="L10" s="16">
        <v>207</v>
      </c>
      <c r="M10" s="19">
        <f t="shared" si="6"/>
        <v>0.2608695652173913</v>
      </c>
      <c r="N10" s="16">
        <v>113</v>
      </c>
      <c r="O10" s="20">
        <f t="shared" ref="O10:P10" si="18">D10/7</f>
        <v>7.7142857142857144</v>
      </c>
      <c r="P10" s="20">
        <f t="shared" si="18"/>
        <v>0</v>
      </c>
      <c r="Q10" s="16">
        <f t="shared" si="8"/>
        <v>14</v>
      </c>
      <c r="R10" s="16"/>
      <c r="S10" s="21">
        <v>2.8704663212435202</v>
      </c>
      <c r="T10" s="14">
        <v>446</v>
      </c>
      <c r="U10" s="22">
        <v>36</v>
      </c>
      <c r="V10" s="23" t="s">
        <v>1257</v>
      </c>
      <c r="W10" s="14">
        <v>0</v>
      </c>
      <c r="X10" s="24">
        <f t="shared" si="9"/>
        <v>0</v>
      </c>
      <c r="Y10" s="25">
        <f t="shared" si="10"/>
        <v>0</v>
      </c>
      <c r="Z10" s="14">
        <v>0</v>
      </c>
      <c r="AA10" s="14" t="s">
        <v>35</v>
      </c>
      <c r="AB10" s="27">
        <f t="shared" si="11"/>
        <v>-0.69</v>
      </c>
      <c r="AC10" s="28">
        <v>0.12268518518518519</v>
      </c>
      <c r="AD10" s="25">
        <f t="shared" si="12"/>
        <v>-9.1425000000000001</v>
      </c>
      <c r="AE10" s="25">
        <v>-5.8</v>
      </c>
      <c r="AF10" s="25">
        <v>-7.6696188552188502</v>
      </c>
      <c r="AG10" s="25">
        <v>0</v>
      </c>
    </row>
    <row r="11" spans="1:33" ht="15.75" customHeight="1">
      <c r="A11" s="14" t="s">
        <v>193</v>
      </c>
      <c r="B11" s="14" t="s">
        <v>1258</v>
      </c>
      <c r="C11" s="15">
        <f t="shared" si="4"/>
        <v>34.686170212765965</v>
      </c>
      <c r="D11" s="16">
        <v>47</v>
      </c>
      <c r="E11" s="16">
        <v>0</v>
      </c>
      <c r="F11" s="29">
        <v>1630.2500000000002</v>
      </c>
      <c r="G11" s="29">
        <v>0</v>
      </c>
      <c r="H11" s="18">
        <f t="shared" si="1"/>
        <v>0</v>
      </c>
      <c r="I11" s="18">
        <f t="shared" si="2"/>
        <v>0.45702749197072201</v>
      </c>
      <c r="J11" s="17">
        <f t="shared" si="5"/>
        <v>745.06906878526968</v>
      </c>
      <c r="K11" s="17">
        <f t="shared" si="3"/>
        <v>15.852533378409992</v>
      </c>
      <c r="L11" s="16">
        <v>112</v>
      </c>
      <c r="M11" s="19">
        <f t="shared" si="6"/>
        <v>0.41964285714285715</v>
      </c>
      <c r="N11" s="16">
        <v>360</v>
      </c>
      <c r="O11" s="20">
        <f t="shared" ref="O11:P11" si="19">D11/7</f>
        <v>6.7142857142857144</v>
      </c>
      <c r="P11" s="20">
        <f t="shared" si="19"/>
        <v>0</v>
      </c>
      <c r="Q11" s="16">
        <f t="shared" si="8"/>
        <v>53</v>
      </c>
      <c r="R11" s="16"/>
      <c r="S11" s="21">
        <v>2.71961492178098</v>
      </c>
      <c r="T11" s="14">
        <v>644</v>
      </c>
      <c r="U11" s="22">
        <v>36</v>
      </c>
      <c r="V11" s="23" t="s">
        <v>1259</v>
      </c>
      <c r="W11" s="14">
        <v>0</v>
      </c>
      <c r="X11" s="24">
        <f t="shared" si="9"/>
        <v>0</v>
      </c>
      <c r="Y11" s="25">
        <f t="shared" si="10"/>
        <v>0</v>
      </c>
      <c r="Z11" s="14">
        <v>0</v>
      </c>
      <c r="AA11" s="14" t="s">
        <v>35</v>
      </c>
      <c r="AB11" s="27">
        <f t="shared" si="11"/>
        <v>-0.69</v>
      </c>
      <c r="AC11" s="28">
        <v>0.1167336574074074</v>
      </c>
      <c r="AD11" s="25">
        <f t="shared" si="12"/>
        <v>-7.5713450194444443</v>
      </c>
      <c r="AE11" s="25">
        <v>-5.8</v>
      </c>
      <c r="AF11" s="25">
        <v>-7.6696188552188502</v>
      </c>
      <c r="AG11" s="25">
        <v>0</v>
      </c>
    </row>
    <row r="12" spans="1:33" ht="15.75" customHeight="1">
      <c r="A12" s="14" t="s">
        <v>195</v>
      </c>
      <c r="B12" s="14" t="s">
        <v>68</v>
      </c>
      <c r="C12" s="15">
        <f t="shared" si="4"/>
        <v>35.565142857142853</v>
      </c>
      <c r="D12" s="16">
        <v>35</v>
      </c>
      <c r="E12" s="16">
        <v>0</v>
      </c>
      <c r="F12" s="29">
        <v>1244.7799999999997</v>
      </c>
      <c r="G12" s="29">
        <v>0</v>
      </c>
      <c r="H12" s="18">
        <f t="shared" si="1"/>
        <v>0</v>
      </c>
      <c r="I12" s="18">
        <f t="shared" si="2"/>
        <v>0.46673958805135224</v>
      </c>
      <c r="J12" s="17">
        <f t="shared" si="5"/>
        <v>580.98810441456214</v>
      </c>
      <c r="K12" s="17">
        <f t="shared" si="3"/>
        <v>16.599660126130345</v>
      </c>
      <c r="L12" s="16">
        <v>119</v>
      </c>
      <c r="M12" s="19">
        <f t="shared" si="6"/>
        <v>0.29411764705882354</v>
      </c>
      <c r="N12" s="16">
        <v>316</v>
      </c>
      <c r="O12" s="20">
        <f t="shared" ref="O12:P12" si="20">D12/7</f>
        <v>5</v>
      </c>
      <c r="P12" s="20">
        <f t="shared" si="20"/>
        <v>0</v>
      </c>
      <c r="Q12" s="16">
        <f t="shared" si="8"/>
        <v>63</v>
      </c>
      <c r="R12" s="16"/>
      <c r="S12" s="21">
        <v>2.90330477356181</v>
      </c>
      <c r="T12" s="14">
        <v>608</v>
      </c>
      <c r="U12" s="22" t="s">
        <v>34</v>
      </c>
      <c r="V12" s="23" t="s">
        <v>34</v>
      </c>
      <c r="W12" s="14">
        <v>0</v>
      </c>
      <c r="X12" s="24">
        <f t="shared" si="9"/>
        <v>0</v>
      </c>
      <c r="Y12" s="25">
        <f t="shared" si="10"/>
        <v>0</v>
      </c>
      <c r="Z12" s="14">
        <v>0</v>
      </c>
      <c r="AA12" s="14" t="s">
        <v>35</v>
      </c>
      <c r="AB12" s="27">
        <f t="shared" si="11"/>
        <v>-0.69</v>
      </c>
      <c r="AC12" s="28">
        <v>0.1167336574074074</v>
      </c>
      <c r="AD12" s="25">
        <f t="shared" si="12"/>
        <v>-5.6382356527777775</v>
      </c>
      <c r="AE12" s="25">
        <v>-5.8</v>
      </c>
      <c r="AF12" s="25">
        <v>-7.6696188552188502</v>
      </c>
      <c r="AG12" s="25">
        <v>0</v>
      </c>
    </row>
    <row r="13" spans="1:33" ht="15.75" customHeight="1">
      <c r="A13" s="14" t="s">
        <v>197</v>
      </c>
      <c r="B13" s="14" t="s">
        <v>1260</v>
      </c>
      <c r="C13" s="15">
        <f t="shared" si="4"/>
        <v>36.200434782608689</v>
      </c>
      <c r="D13" s="16">
        <v>46</v>
      </c>
      <c r="E13" s="16">
        <v>3</v>
      </c>
      <c r="F13" s="17">
        <v>1665.2199999999996</v>
      </c>
      <c r="G13" s="29">
        <v>0</v>
      </c>
      <c r="H13" s="18">
        <f t="shared" si="1"/>
        <v>0</v>
      </c>
      <c r="I13" s="18">
        <f t="shared" si="2"/>
        <v>0.47237025007615718</v>
      </c>
      <c r="J13" s="17">
        <f t="shared" si="5"/>
        <v>786.60038783181824</v>
      </c>
      <c r="K13" s="17">
        <f t="shared" si="3"/>
        <v>17.100008431126483</v>
      </c>
      <c r="L13" s="16">
        <v>90</v>
      </c>
      <c r="M13" s="19">
        <f t="shared" si="6"/>
        <v>0.51111111111111107</v>
      </c>
      <c r="N13" s="16">
        <v>250</v>
      </c>
      <c r="O13" s="20">
        <f t="shared" ref="O13:P13" si="21">D13/7</f>
        <v>6.5714285714285712</v>
      </c>
      <c r="P13" s="20">
        <f t="shared" si="21"/>
        <v>0.42857142857142855</v>
      </c>
      <c r="Q13" s="16">
        <f t="shared" si="8"/>
        <v>35</v>
      </c>
      <c r="R13" s="16"/>
      <c r="S13" s="21">
        <v>2.9852216748768399</v>
      </c>
      <c r="T13" s="14">
        <v>608</v>
      </c>
      <c r="U13" s="22" t="s">
        <v>34</v>
      </c>
      <c r="V13" s="23" t="s">
        <v>34</v>
      </c>
      <c r="W13" s="14">
        <v>0</v>
      </c>
      <c r="X13" s="24">
        <f t="shared" si="9"/>
        <v>0</v>
      </c>
      <c r="Y13" s="25">
        <f t="shared" si="10"/>
        <v>0</v>
      </c>
      <c r="Z13" s="14">
        <v>0</v>
      </c>
      <c r="AA13" s="14" t="s">
        <v>35</v>
      </c>
      <c r="AB13" s="27">
        <f t="shared" si="11"/>
        <v>-0.69</v>
      </c>
      <c r="AC13" s="28">
        <v>0.1167336574074074</v>
      </c>
      <c r="AD13" s="25">
        <f t="shared" si="12"/>
        <v>-7.4102525722222214</v>
      </c>
      <c r="AE13" s="25">
        <v>-5.8</v>
      </c>
      <c r="AF13" s="25">
        <v>-7.7092686868686799</v>
      </c>
      <c r="AG13" s="25">
        <v>0</v>
      </c>
    </row>
    <row r="14" spans="1:33" ht="15.75" customHeight="1">
      <c r="A14" s="14" t="s">
        <v>32</v>
      </c>
      <c r="B14" s="14" t="s">
        <v>133</v>
      </c>
      <c r="C14" s="15">
        <f t="shared" si="4"/>
        <v>38.128571428571433</v>
      </c>
      <c r="D14" s="16">
        <v>28</v>
      </c>
      <c r="E14" s="16">
        <v>0</v>
      </c>
      <c r="F14" s="17">
        <v>1067.6000000000001</v>
      </c>
      <c r="G14" s="29">
        <v>0</v>
      </c>
      <c r="H14" s="18">
        <f t="shared" si="1"/>
        <v>0</v>
      </c>
      <c r="I14" s="18">
        <f t="shared" si="2"/>
        <v>0.49146673683538294</v>
      </c>
      <c r="J14" s="17">
        <f t="shared" si="5"/>
        <v>524.68988824545488</v>
      </c>
      <c r="K14" s="17">
        <f t="shared" si="3"/>
        <v>18.738924580194816</v>
      </c>
      <c r="L14" s="16">
        <v>111</v>
      </c>
      <c r="M14" s="19">
        <f t="shared" si="6"/>
        <v>0.25225225225225223</v>
      </c>
      <c r="N14" s="16">
        <v>270</v>
      </c>
      <c r="O14" s="20">
        <f t="shared" ref="O14:P14" si="22">D14/7</f>
        <v>4</v>
      </c>
      <c r="P14" s="20">
        <f t="shared" si="22"/>
        <v>0</v>
      </c>
      <c r="Q14" s="16">
        <f t="shared" si="8"/>
        <v>67</v>
      </c>
      <c r="R14" s="16"/>
      <c r="S14" s="21">
        <v>2.3565891472868201</v>
      </c>
      <c r="T14" s="14">
        <v>198</v>
      </c>
      <c r="U14" s="22" t="s">
        <v>34</v>
      </c>
      <c r="V14" s="23" t="s">
        <v>34</v>
      </c>
      <c r="W14" s="14">
        <v>0</v>
      </c>
      <c r="X14" s="24">
        <f t="shared" si="9"/>
        <v>0</v>
      </c>
      <c r="Y14" s="25">
        <f t="shared" si="10"/>
        <v>0</v>
      </c>
      <c r="Z14" s="14">
        <v>0</v>
      </c>
      <c r="AA14" s="14" t="s">
        <v>35</v>
      </c>
      <c r="AB14" s="27">
        <f t="shared" si="11"/>
        <v>-0.69</v>
      </c>
      <c r="AC14" s="28">
        <v>0.1167336574074074</v>
      </c>
      <c r="AD14" s="25">
        <f t="shared" si="12"/>
        <v>-4.5105885222222222</v>
      </c>
      <c r="AE14" s="25">
        <v>-5.8</v>
      </c>
      <c r="AF14" s="25">
        <v>-7.7092686868686799</v>
      </c>
      <c r="AG14" s="25">
        <v>0</v>
      </c>
    </row>
    <row r="15" spans="1:33" ht="15.75" customHeight="1">
      <c r="A15" s="14" t="s">
        <v>36</v>
      </c>
      <c r="B15" s="14" t="s">
        <v>1261</v>
      </c>
      <c r="C15" s="15">
        <f t="shared" si="4"/>
        <v>39.090555555555561</v>
      </c>
      <c r="D15" s="16">
        <v>18</v>
      </c>
      <c r="E15" s="16">
        <v>0</v>
      </c>
      <c r="F15" s="17">
        <v>703.63000000000011</v>
      </c>
      <c r="G15" s="29">
        <v>0</v>
      </c>
      <c r="H15" s="18">
        <f t="shared" si="1"/>
        <v>0</v>
      </c>
      <c r="I15" s="18">
        <f t="shared" si="2"/>
        <v>0.50105737331603784</v>
      </c>
      <c r="J15" s="17">
        <f t="shared" si="5"/>
        <v>352.55899958636377</v>
      </c>
      <c r="K15" s="17">
        <f t="shared" si="3"/>
        <v>19.58661108813132</v>
      </c>
      <c r="L15" s="16">
        <v>97</v>
      </c>
      <c r="M15" s="19">
        <f t="shared" si="6"/>
        <v>0.18556701030927836</v>
      </c>
      <c r="N15" s="16">
        <v>260</v>
      </c>
      <c r="O15" s="20">
        <f t="shared" ref="O15:P15" si="23">D15/7</f>
        <v>2.5714285714285716</v>
      </c>
      <c r="P15" s="20">
        <f t="shared" si="23"/>
        <v>0</v>
      </c>
      <c r="Q15" s="16">
        <f t="shared" si="8"/>
        <v>101</v>
      </c>
      <c r="R15" s="16"/>
      <c r="S15" s="21">
        <v>2.44285714285714</v>
      </c>
      <c r="T15" s="14">
        <v>198</v>
      </c>
      <c r="U15" s="22" t="s">
        <v>34</v>
      </c>
      <c r="V15" s="23" t="s">
        <v>34</v>
      </c>
      <c r="W15" s="14">
        <v>0</v>
      </c>
      <c r="X15" s="24">
        <f t="shared" si="9"/>
        <v>0</v>
      </c>
      <c r="Y15" s="25">
        <f t="shared" si="10"/>
        <v>0</v>
      </c>
      <c r="Z15" s="14">
        <v>0</v>
      </c>
      <c r="AA15" s="14" t="s">
        <v>35</v>
      </c>
      <c r="AB15" s="27">
        <f t="shared" si="11"/>
        <v>-0.69</v>
      </c>
      <c r="AC15" s="28">
        <v>0.1167336574074074</v>
      </c>
      <c r="AD15" s="25">
        <f t="shared" si="12"/>
        <v>-2.8996640499999997</v>
      </c>
      <c r="AE15" s="25">
        <v>-5.8</v>
      </c>
      <c r="AF15" s="25">
        <v>-7.6792686868686797</v>
      </c>
      <c r="AG15" s="25">
        <v>0</v>
      </c>
    </row>
    <row r="16" spans="1:33" ht="15.75" customHeight="1">
      <c r="A16" s="14" t="s">
        <v>38</v>
      </c>
      <c r="B16" s="14" t="s">
        <v>1262</v>
      </c>
      <c r="C16" s="15">
        <f t="shared" si="4"/>
        <v>37.950000000000003</v>
      </c>
      <c r="D16" s="16">
        <v>19</v>
      </c>
      <c r="E16" s="16">
        <v>0</v>
      </c>
      <c r="F16" s="17">
        <v>721.05000000000007</v>
      </c>
      <c r="G16" s="29">
        <v>0</v>
      </c>
      <c r="H16" s="18">
        <f t="shared" si="1"/>
        <v>0</v>
      </c>
      <c r="I16" s="18">
        <f t="shared" si="2"/>
        <v>0.49057019409510139</v>
      </c>
      <c r="J16" s="17">
        <f t="shared" si="5"/>
        <v>353.7256384522729</v>
      </c>
      <c r="K16" s="17">
        <f t="shared" si="3"/>
        <v>18.617138865909101</v>
      </c>
      <c r="L16" s="16">
        <v>80</v>
      </c>
      <c r="M16" s="19">
        <f t="shared" si="6"/>
        <v>0.23749999999999999</v>
      </c>
      <c r="N16" s="16">
        <v>238</v>
      </c>
      <c r="O16" s="20">
        <f t="shared" ref="O16:P16" si="24">D16/7</f>
        <v>2.7142857142857144</v>
      </c>
      <c r="P16" s="20">
        <f t="shared" si="24"/>
        <v>0</v>
      </c>
      <c r="Q16" s="16">
        <f t="shared" si="8"/>
        <v>87</v>
      </c>
      <c r="R16" s="16"/>
      <c r="S16" s="21">
        <v>1.85977859778597</v>
      </c>
      <c r="T16" s="14">
        <v>198</v>
      </c>
      <c r="U16" s="22" t="s">
        <v>34</v>
      </c>
      <c r="V16" s="23" t="s">
        <v>34</v>
      </c>
      <c r="W16" s="14">
        <v>0</v>
      </c>
      <c r="X16" s="24">
        <f t="shared" si="9"/>
        <v>0</v>
      </c>
      <c r="Y16" s="25">
        <f t="shared" si="10"/>
        <v>0</v>
      </c>
      <c r="Z16" s="14">
        <v>0</v>
      </c>
      <c r="AA16" s="14" t="s">
        <v>35</v>
      </c>
      <c r="AB16" s="27">
        <f t="shared" si="11"/>
        <v>-0.69</v>
      </c>
      <c r="AC16" s="28">
        <v>0.1167336574074074</v>
      </c>
      <c r="AD16" s="25">
        <f t="shared" si="12"/>
        <v>-3.0607564972222221</v>
      </c>
      <c r="AE16" s="25">
        <v>-5.8</v>
      </c>
      <c r="AF16" s="25">
        <v>-7.6792686868686797</v>
      </c>
      <c r="AG16" s="25">
        <v>0</v>
      </c>
    </row>
    <row r="17" spans="1:33" ht="15.75" customHeight="1">
      <c r="A17" s="14" t="s">
        <v>40</v>
      </c>
      <c r="B17" s="14" t="s">
        <v>68</v>
      </c>
      <c r="C17" s="15">
        <f t="shared" si="4"/>
        <v>35.381891891891904</v>
      </c>
      <c r="D17" s="16">
        <v>37</v>
      </c>
      <c r="E17" s="16">
        <v>0</v>
      </c>
      <c r="F17" s="17">
        <v>1309.1300000000003</v>
      </c>
      <c r="G17" s="29">
        <v>0</v>
      </c>
      <c r="H17" s="18">
        <f t="shared" si="1"/>
        <v>0</v>
      </c>
      <c r="I17" s="18">
        <f t="shared" si="2"/>
        <v>0.46448186050173523</v>
      </c>
      <c r="J17" s="17">
        <f t="shared" si="5"/>
        <v>608.06713803863681</v>
      </c>
      <c r="K17" s="17">
        <f t="shared" si="3"/>
        <v>16.43424697401721</v>
      </c>
      <c r="L17" s="16">
        <v>87</v>
      </c>
      <c r="M17" s="19">
        <f t="shared" si="6"/>
        <v>0.42528735632183906</v>
      </c>
      <c r="N17" s="16">
        <v>210</v>
      </c>
      <c r="O17" s="20">
        <f t="shared" ref="O17:P17" si="25">D17/7</f>
        <v>5.2857142857142856</v>
      </c>
      <c r="P17" s="20">
        <f t="shared" si="25"/>
        <v>0</v>
      </c>
      <c r="Q17" s="16">
        <f t="shared" si="8"/>
        <v>39</v>
      </c>
      <c r="R17" s="16"/>
      <c r="S17" s="21">
        <v>1.9376884422110501</v>
      </c>
      <c r="T17" s="14">
        <v>198</v>
      </c>
      <c r="U17" s="22" t="s">
        <v>34</v>
      </c>
      <c r="V17" s="23" t="s">
        <v>34</v>
      </c>
      <c r="W17" s="14">
        <v>0</v>
      </c>
      <c r="X17" s="24">
        <f t="shared" si="9"/>
        <v>0</v>
      </c>
      <c r="Y17" s="25">
        <f t="shared" si="10"/>
        <v>0</v>
      </c>
      <c r="Z17" s="14">
        <v>0</v>
      </c>
      <c r="AA17" s="14" t="s">
        <v>35</v>
      </c>
      <c r="AB17" s="27">
        <f t="shared" si="11"/>
        <v>-0.69</v>
      </c>
      <c r="AC17" s="28">
        <v>0.1167336574074074</v>
      </c>
      <c r="AD17" s="25">
        <f t="shared" si="12"/>
        <v>-5.9604205472222223</v>
      </c>
      <c r="AE17" s="25">
        <v>-5.8</v>
      </c>
      <c r="AF17" s="25">
        <v>-7.6792686868686797</v>
      </c>
      <c r="AG17" s="25">
        <v>0</v>
      </c>
    </row>
    <row r="18" spans="1:33" ht="15.75" customHeight="1">
      <c r="A18" s="14" t="s">
        <v>42</v>
      </c>
      <c r="B18" s="14" t="s">
        <v>1263</v>
      </c>
      <c r="C18" s="15">
        <f t="shared" si="4"/>
        <v>34.1889393939394</v>
      </c>
      <c r="D18" s="16">
        <v>66</v>
      </c>
      <c r="E18" s="16">
        <v>0</v>
      </c>
      <c r="F18" s="17">
        <v>2256.4700000000003</v>
      </c>
      <c r="G18" s="29">
        <v>0</v>
      </c>
      <c r="H18" s="18">
        <f t="shared" si="1"/>
        <v>0</v>
      </c>
      <c r="I18" s="18">
        <f t="shared" si="2"/>
        <v>0.45103000046532887</v>
      </c>
      <c r="J18" s="17">
        <f t="shared" si="5"/>
        <v>1017.7356651500007</v>
      </c>
      <c r="K18" s="17">
        <f t="shared" si="3"/>
        <v>15.420237350757587</v>
      </c>
      <c r="L18" s="16">
        <v>107</v>
      </c>
      <c r="M18" s="19">
        <f t="shared" si="6"/>
        <v>0.61682242990654201</v>
      </c>
      <c r="N18" s="16">
        <v>139</v>
      </c>
      <c r="O18" s="20">
        <f t="shared" ref="O18:P18" si="26">D18/7</f>
        <v>9.4285714285714288</v>
      </c>
      <c r="P18" s="20">
        <f t="shared" si="26"/>
        <v>0</v>
      </c>
      <c r="Q18" s="16">
        <f t="shared" si="8"/>
        <v>14</v>
      </c>
      <c r="R18" s="16"/>
      <c r="S18" s="21">
        <v>2.5966709346990999</v>
      </c>
      <c r="T18" s="14">
        <v>608</v>
      </c>
      <c r="U18" s="22">
        <v>0</v>
      </c>
      <c r="V18" s="23" t="s">
        <v>1264</v>
      </c>
      <c r="W18" s="14">
        <v>0</v>
      </c>
      <c r="X18" s="24">
        <f t="shared" si="9"/>
        <v>0</v>
      </c>
      <c r="Y18" s="25">
        <f t="shared" si="10"/>
        <v>0</v>
      </c>
      <c r="Z18" s="14">
        <v>0</v>
      </c>
      <c r="AA18" s="14" t="s">
        <v>35</v>
      </c>
      <c r="AB18" s="27">
        <f t="shared" si="11"/>
        <v>-0.69</v>
      </c>
      <c r="AC18" s="28">
        <v>0.1167336574074074</v>
      </c>
      <c r="AD18" s="25">
        <f t="shared" si="12"/>
        <v>-10.632101516666665</v>
      </c>
      <c r="AE18" s="25">
        <v>-5.8</v>
      </c>
      <c r="AF18" s="25">
        <v>-7.6792686868686797</v>
      </c>
      <c r="AG18" s="25">
        <v>0</v>
      </c>
    </row>
    <row r="19" spans="1:33" ht="15.75" customHeight="1">
      <c r="A19" s="14" t="s">
        <v>44</v>
      </c>
      <c r="B19" s="14" t="s">
        <v>143</v>
      </c>
      <c r="C19" s="15">
        <f t="shared" si="4"/>
        <v>35.676000000000016</v>
      </c>
      <c r="D19" s="16">
        <v>40</v>
      </c>
      <c r="E19" s="16">
        <v>1</v>
      </c>
      <c r="F19" s="17">
        <v>1427.0400000000006</v>
      </c>
      <c r="G19" s="29">
        <v>0</v>
      </c>
      <c r="H19" s="18">
        <f t="shared" si="1"/>
        <v>0</v>
      </c>
      <c r="I19" s="18">
        <f t="shared" si="2"/>
        <v>0.45733094702066091</v>
      </c>
      <c r="J19" s="17">
        <f t="shared" si="5"/>
        <v>652.62955463636422</v>
      </c>
      <c r="K19" s="17">
        <f t="shared" si="3"/>
        <v>16.315738865909104</v>
      </c>
      <c r="L19" s="16">
        <v>107</v>
      </c>
      <c r="M19" s="19">
        <f t="shared" si="6"/>
        <v>0.37383177570093457</v>
      </c>
      <c r="N19" s="16">
        <v>106</v>
      </c>
      <c r="O19" s="20">
        <f t="shared" ref="O19:P19" si="27">D19/7</f>
        <v>5.7142857142857144</v>
      </c>
      <c r="P19" s="20">
        <f t="shared" si="27"/>
        <v>0.14285714285714285</v>
      </c>
      <c r="Q19" s="16">
        <f t="shared" si="8"/>
        <v>18</v>
      </c>
      <c r="R19" s="16"/>
      <c r="S19" s="21">
        <v>3.01620029455081</v>
      </c>
      <c r="T19" s="14">
        <v>608</v>
      </c>
      <c r="U19" s="22">
        <v>410</v>
      </c>
      <c r="V19" s="23" t="s">
        <v>1265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14" t="s">
        <v>35</v>
      </c>
      <c r="AB19" s="27">
        <f t="shared" si="11"/>
        <v>-0.69</v>
      </c>
      <c r="AC19" s="28">
        <v>0.1167336574074074</v>
      </c>
      <c r="AD19" s="25">
        <f t="shared" si="12"/>
        <v>-6.4436978888888881</v>
      </c>
      <c r="AE19" s="25">
        <v>-5.8</v>
      </c>
      <c r="AF19" s="25">
        <v>-8.0477686868686877</v>
      </c>
      <c r="AG19" s="25">
        <v>0</v>
      </c>
    </row>
    <row r="20" spans="1:33" ht="15.75" customHeight="1">
      <c r="A20" s="14" t="s">
        <v>46</v>
      </c>
      <c r="B20" s="14" t="s">
        <v>68</v>
      </c>
      <c r="C20" s="15">
        <f t="shared" si="4"/>
        <v>38.753333333333337</v>
      </c>
      <c r="D20" s="16">
        <v>15</v>
      </c>
      <c r="E20" s="16">
        <v>1</v>
      </c>
      <c r="F20" s="17">
        <v>581.30000000000007</v>
      </c>
      <c r="G20" s="29">
        <v>0</v>
      </c>
      <c r="H20" s="18">
        <f t="shared" si="1"/>
        <v>0</v>
      </c>
      <c r="I20" s="18">
        <f t="shared" si="2"/>
        <v>0.48851209872464535</v>
      </c>
      <c r="J20" s="17">
        <f t="shared" si="5"/>
        <v>283.97208298863637</v>
      </c>
      <c r="K20" s="17">
        <f t="shared" si="3"/>
        <v>18.931472199242425</v>
      </c>
      <c r="L20" s="16">
        <v>102</v>
      </c>
      <c r="M20" s="19">
        <f t="shared" si="6"/>
        <v>0.14705882352941177</v>
      </c>
      <c r="N20" s="16">
        <v>83</v>
      </c>
      <c r="O20" s="20">
        <f t="shared" ref="O20:P20" si="28">D20/7</f>
        <v>2.1428571428571428</v>
      </c>
      <c r="P20" s="20">
        <f t="shared" si="28"/>
        <v>0.14285714285714285</v>
      </c>
      <c r="Q20" s="16">
        <f t="shared" si="8"/>
        <v>36</v>
      </c>
      <c r="R20" s="16"/>
      <c r="S20" s="21">
        <v>2.0806794055201698</v>
      </c>
      <c r="T20" s="14">
        <v>608</v>
      </c>
      <c r="U20" s="22">
        <v>198</v>
      </c>
      <c r="V20" s="23" t="s">
        <v>1266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14" t="s">
        <v>35</v>
      </c>
      <c r="AB20" s="27">
        <f t="shared" si="11"/>
        <v>-0.69</v>
      </c>
      <c r="AC20" s="28">
        <v>0.1167336574074074</v>
      </c>
      <c r="AD20" s="25">
        <f t="shared" si="12"/>
        <v>-2.416386708333333</v>
      </c>
      <c r="AE20" s="25">
        <v>-5.8</v>
      </c>
      <c r="AF20" s="25">
        <v>-8.0477686868686877</v>
      </c>
      <c r="AG20" s="25">
        <v>0</v>
      </c>
    </row>
    <row r="21" spans="1:33" ht="15.75" customHeight="1">
      <c r="A21" s="14" t="s">
        <v>47</v>
      </c>
      <c r="B21" s="14" t="s">
        <v>68</v>
      </c>
      <c r="C21" s="15">
        <f t="shared" si="4"/>
        <v>39.99</v>
      </c>
      <c r="D21" s="16">
        <v>12</v>
      </c>
      <c r="E21" s="16">
        <v>0</v>
      </c>
      <c r="F21" s="17">
        <v>479.88000000000005</v>
      </c>
      <c r="G21" s="29">
        <v>0</v>
      </c>
      <c r="H21" s="18">
        <f t="shared" si="1"/>
        <v>0</v>
      </c>
      <c r="I21" s="18">
        <f t="shared" si="2"/>
        <v>0.49969089437132008</v>
      </c>
      <c r="J21" s="17">
        <f t="shared" si="5"/>
        <v>239.79166639090911</v>
      </c>
      <c r="K21" s="17">
        <f t="shared" si="3"/>
        <v>19.982638865909092</v>
      </c>
      <c r="L21" s="16">
        <v>37</v>
      </c>
      <c r="M21" s="19">
        <f t="shared" si="6"/>
        <v>0.32432432432432434</v>
      </c>
      <c r="N21" s="16">
        <v>70</v>
      </c>
      <c r="O21" s="20">
        <f t="shared" ref="O21:P21" si="29">D21/7</f>
        <v>1.7142857142857142</v>
      </c>
      <c r="P21" s="20">
        <f t="shared" si="29"/>
        <v>0</v>
      </c>
      <c r="Q21" s="16">
        <f t="shared" si="8"/>
        <v>40</v>
      </c>
      <c r="R21" s="16"/>
      <c r="S21" s="21">
        <v>2.2232667450058701</v>
      </c>
      <c r="T21" s="14">
        <v>608</v>
      </c>
      <c r="U21" s="22">
        <v>198</v>
      </c>
      <c r="V21" s="23" t="s">
        <v>1267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14" t="s">
        <v>35</v>
      </c>
      <c r="AB21" s="27">
        <f t="shared" si="11"/>
        <v>-0.69</v>
      </c>
      <c r="AC21" s="28">
        <v>0.1167336574074074</v>
      </c>
      <c r="AD21" s="25">
        <f t="shared" si="12"/>
        <v>-1.9331093666666666</v>
      </c>
      <c r="AE21" s="25">
        <v>-5.8</v>
      </c>
      <c r="AF21" s="25">
        <v>-8.0477686868686877</v>
      </c>
      <c r="AG21" s="25">
        <v>0</v>
      </c>
    </row>
    <row r="22" spans="1:33" ht="15.75" customHeight="1">
      <c r="A22" s="14" t="s">
        <v>48</v>
      </c>
      <c r="B22" s="14" t="s">
        <v>1262</v>
      </c>
      <c r="C22" s="15">
        <f t="shared" si="4"/>
        <v>39.99</v>
      </c>
      <c r="D22" s="16">
        <v>7</v>
      </c>
      <c r="E22" s="16">
        <v>3</v>
      </c>
      <c r="F22" s="29">
        <v>279.93</v>
      </c>
      <c r="G22" s="29">
        <v>0</v>
      </c>
      <c r="H22" s="18">
        <f t="shared" si="1"/>
        <v>0</v>
      </c>
      <c r="I22" s="18">
        <f t="shared" si="2"/>
        <v>0.49969089437132003</v>
      </c>
      <c r="J22" s="17">
        <f t="shared" si="5"/>
        <v>139.87847206136362</v>
      </c>
      <c r="K22" s="17">
        <f t="shared" si="3"/>
        <v>19.982638865909088</v>
      </c>
      <c r="L22" s="16">
        <v>82</v>
      </c>
      <c r="M22" s="19">
        <f t="shared" si="6"/>
        <v>8.5365853658536592E-2</v>
      </c>
      <c r="N22" s="16">
        <v>59</v>
      </c>
      <c r="O22" s="20">
        <f t="shared" ref="O22:P22" si="30">D22/7</f>
        <v>1</v>
      </c>
      <c r="P22" s="20">
        <f t="shared" si="30"/>
        <v>0.42857142857142855</v>
      </c>
      <c r="Q22" s="16">
        <f t="shared" si="8"/>
        <v>41</v>
      </c>
      <c r="R22" s="16"/>
      <c r="S22" s="21">
        <v>2.5970149253731298</v>
      </c>
      <c r="T22" s="14">
        <v>818</v>
      </c>
      <c r="U22" s="22">
        <v>198</v>
      </c>
      <c r="V22" s="23" t="s">
        <v>1267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35</v>
      </c>
      <c r="AB22" s="27">
        <f t="shared" si="11"/>
        <v>-0.69</v>
      </c>
      <c r="AC22" s="28">
        <v>0.1167336574074074</v>
      </c>
      <c r="AD22" s="25">
        <f t="shared" si="12"/>
        <v>-1.1276471305555555</v>
      </c>
      <c r="AE22" s="25">
        <v>-5.8</v>
      </c>
      <c r="AF22" s="25">
        <v>-8.0477686868686877</v>
      </c>
      <c r="AG22" s="25">
        <v>0</v>
      </c>
    </row>
    <row r="23" spans="1:33" ht="15.75" customHeight="1">
      <c r="A23" s="14" t="s">
        <v>49</v>
      </c>
      <c r="B23" s="14" t="s">
        <v>68</v>
      </c>
      <c r="C23" s="15">
        <f t="shared" si="4"/>
        <v>39.703571428571429</v>
      </c>
      <c r="D23" s="16">
        <v>14</v>
      </c>
      <c r="E23" s="16">
        <v>1</v>
      </c>
      <c r="F23" s="17">
        <v>555.85</v>
      </c>
      <c r="G23" s="29">
        <v>0</v>
      </c>
      <c r="H23" s="18">
        <f t="shared" si="1"/>
        <v>0</v>
      </c>
      <c r="I23" s="18">
        <f t="shared" si="2"/>
        <v>0.49716370265850013</v>
      </c>
      <c r="J23" s="17">
        <f t="shared" si="5"/>
        <v>276.3484441227273</v>
      </c>
      <c r="K23" s="17">
        <f t="shared" si="3"/>
        <v>19.739174580194806</v>
      </c>
      <c r="L23" s="16">
        <v>68</v>
      </c>
      <c r="M23" s="19">
        <f t="shared" si="6"/>
        <v>0.20588235294117646</v>
      </c>
      <c r="N23" s="16">
        <v>43</v>
      </c>
      <c r="O23" s="20">
        <f t="shared" ref="O23:P23" si="31">D23/7</f>
        <v>2</v>
      </c>
      <c r="P23" s="20">
        <f t="shared" si="31"/>
        <v>0.14285714285714285</v>
      </c>
      <c r="Q23" s="16">
        <f t="shared" si="8"/>
        <v>20</v>
      </c>
      <c r="R23" s="16"/>
      <c r="S23" s="21">
        <v>2.8356164383561602</v>
      </c>
      <c r="T23" s="14">
        <v>818</v>
      </c>
      <c r="U23" s="22">
        <v>198</v>
      </c>
      <c r="V23" s="23" t="s">
        <v>1268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35</v>
      </c>
      <c r="AB23" s="27">
        <f t="shared" si="11"/>
        <v>-0.69</v>
      </c>
      <c r="AC23" s="28">
        <v>0.1167336574074074</v>
      </c>
      <c r="AD23" s="25">
        <f t="shared" si="12"/>
        <v>-2.2552942611111111</v>
      </c>
      <c r="AE23" s="25">
        <v>-5.8</v>
      </c>
      <c r="AF23" s="25">
        <v>-8.0477686868686877</v>
      </c>
      <c r="AG23" s="25">
        <v>0</v>
      </c>
    </row>
    <row r="24" spans="1:33" ht="15.75" customHeight="1">
      <c r="A24" s="14" t="s">
        <v>50</v>
      </c>
      <c r="B24" s="14" t="s">
        <v>1269</v>
      </c>
      <c r="C24" s="15">
        <f t="shared" si="4"/>
        <v>34.491851851851862</v>
      </c>
      <c r="D24" s="16">
        <v>27</v>
      </c>
      <c r="E24" s="16">
        <v>0</v>
      </c>
      <c r="F24" s="17">
        <v>931.2800000000002</v>
      </c>
      <c r="G24" s="17">
        <v>-0.02</v>
      </c>
      <c r="H24" s="18">
        <f t="shared" si="1"/>
        <v>2.1475818228674509E-5</v>
      </c>
      <c r="I24" s="18">
        <f t="shared" si="2"/>
        <v>0.44382865451802417</v>
      </c>
      <c r="J24" s="17">
        <f t="shared" si="5"/>
        <v>413.32874937954563</v>
      </c>
      <c r="K24" s="17">
        <f t="shared" si="3"/>
        <v>15.308472199242431</v>
      </c>
      <c r="L24" s="16">
        <v>70</v>
      </c>
      <c r="M24" s="19">
        <f t="shared" si="6"/>
        <v>0.38571428571428573</v>
      </c>
      <c r="N24" s="16">
        <v>22</v>
      </c>
      <c r="O24" s="20">
        <f t="shared" ref="O24:P24" si="32">D24/7</f>
        <v>3.8571428571428572</v>
      </c>
      <c r="P24" s="20">
        <f t="shared" si="32"/>
        <v>0</v>
      </c>
      <c r="Q24" s="16">
        <f t="shared" si="8"/>
        <v>5</v>
      </c>
      <c r="R24" s="16"/>
      <c r="S24" s="21">
        <v>1.9013906447534701</v>
      </c>
      <c r="T24" s="14">
        <v>818</v>
      </c>
      <c r="U24" s="22">
        <v>198</v>
      </c>
      <c r="V24" s="23" t="s">
        <v>1270</v>
      </c>
      <c r="W24" s="14">
        <v>1</v>
      </c>
      <c r="X24" s="24">
        <f t="shared" si="9"/>
        <v>3.7037037037037035E-2</v>
      </c>
      <c r="Y24" s="25">
        <f t="shared" si="10"/>
        <v>0.01</v>
      </c>
      <c r="Z24" s="14">
        <v>1</v>
      </c>
      <c r="AA24" s="14" t="s">
        <v>35</v>
      </c>
      <c r="AB24" s="27">
        <f t="shared" si="11"/>
        <v>-0.69</v>
      </c>
      <c r="AC24" s="28">
        <v>0.1167336574074074</v>
      </c>
      <c r="AD24" s="25">
        <f t="shared" si="12"/>
        <v>-4.3494960749999994</v>
      </c>
      <c r="AE24" s="25">
        <v>-5.8</v>
      </c>
      <c r="AF24" s="25">
        <v>-8.0477686868686877</v>
      </c>
      <c r="AG24" s="25">
        <v>0</v>
      </c>
    </row>
    <row r="25" spans="1:33" ht="15.75" customHeight="1">
      <c r="A25" s="14" t="s">
        <v>51</v>
      </c>
      <c r="B25" s="14" t="s">
        <v>45</v>
      </c>
      <c r="C25" s="15">
        <f t="shared" si="4"/>
        <v>37.114000000000004</v>
      </c>
      <c r="D25" s="16">
        <v>15</v>
      </c>
      <c r="E25" s="16">
        <v>0</v>
      </c>
      <c r="F25" s="17">
        <v>556.71</v>
      </c>
      <c r="G25" s="17">
        <v>0</v>
      </c>
      <c r="H25" s="18">
        <f t="shared" si="1"/>
        <v>0</v>
      </c>
      <c r="I25" s="18">
        <f t="shared" si="2"/>
        <v>0.47248498013627682</v>
      </c>
      <c r="J25" s="17">
        <f t="shared" si="5"/>
        <v>263.03711329166669</v>
      </c>
      <c r="K25" s="17">
        <f t="shared" si="3"/>
        <v>17.535807552777779</v>
      </c>
      <c r="L25" s="16">
        <v>80</v>
      </c>
      <c r="M25" s="19">
        <f t="shared" si="6"/>
        <v>0.1875</v>
      </c>
      <c r="N25" s="16">
        <v>0</v>
      </c>
      <c r="O25" s="20">
        <f t="shared" ref="O25:P25" si="33">D25/7</f>
        <v>2.1428571428571428</v>
      </c>
      <c r="P25" s="20">
        <f t="shared" si="33"/>
        <v>0</v>
      </c>
      <c r="Q25" s="16">
        <f t="shared" si="8"/>
        <v>0</v>
      </c>
      <c r="R25" s="16"/>
      <c r="S25" s="21">
        <v>2.1476923076923078</v>
      </c>
      <c r="T25" s="14">
        <v>1124</v>
      </c>
      <c r="U25" s="22">
        <v>198</v>
      </c>
      <c r="V25" s="23" t="s">
        <v>1271</v>
      </c>
      <c r="W25" s="30">
        <v>0</v>
      </c>
      <c r="X25" s="24">
        <f t="shared" si="9"/>
        <v>0</v>
      </c>
      <c r="Y25" s="25">
        <f t="shared" si="10"/>
        <v>0</v>
      </c>
      <c r="Z25" s="30">
        <v>0</v>
      </c>
      <c r="AA25" s="14" t="s">
        <v>35</v>
      </c>
      <c r="AB25" s="27">
        <f t="shared" si="11"/>
        <v>-0.69</v>
      </c>
      <c r="AC25" s="28">
        <v>0.1167336574074074</v>
      </c>
      <c r="AD25" s="25">
        <f t="shared" si="12"/>
        <v>-2.416386708333333</v>
      </c>
      <c r="AE25" s="25">
        <v>-5.8</v>
      </c>
      <c r="AF25" s="25">
        <v>-8.0500000000000007</v>
      </c>
      <c r="AG25" s="25">
        <v>0</v>
      </c>
    </row>
    <row r="26" spans="1:33" ht="15.75" customHeight="1">
      <c r="A26" s="14" t="s">
        <v>52</v>
      </c>
      <c r="B26" s="14" t="s">
        <v>45</v>
      </c>
      <c r="C26" s="15" t="str">
        <f t="shared" si="4"/>
        <v xml:space="preserve"> - </v>
      </c>
      <c r="D26" s="16">
        <v>0</v>
      </c>
      <c r="E26" s="16">
        <v>0</v>
      </c>
      <c r="F26" s="17">
        <v>0</v>
      </c>
      <c r="G26" s="17">
        <v>0</v>
      </c>
      <c r="H26" s="18" t="e">
        <f t="shared" si="1"/>
        <v>#DIV/0!</v>
      </c>
      <c r="I26" s="18" t="e">
        <f t="shared" si="2"/>
        <v>#DIV/0!</v>
      </c>
      <c r="J26" s="17">
        <f t="shared" si="5"/>
        <v>0</v>
      </c>
      <c r="K26" s="17" t="e">
        <f t="shared" si="3"/>
        <v>#DIV/0!</v>
      </c>
      <c r="L26" s="16">
        <v>0</v>
      </c>
      <c r="M26" s="19" t="str">
        <f t="shared" si="6"/>
        <v>-</v>
      </c>
      <c r="N26" s="16">
        <v>1</v>
      </c>
      <c r="O26" s="20">
        <f t="shared" ref="O26:P26" si="34">D26/7</f>
        <v>0</v>
      </c>
      <c r="P26" s="20">
        <f t="shared" si="34"/>
        <v>0</v>
      </c>
      <c r="Q26" s="16" t="e">
        <f t="shared" si="8"/>
        <v>#DIV/0!</v>
      </c>
      <c r="R26" s="16"/>
      <c r="S26" s="21">
        <v>2.395522388059701</v>
      </c>
      <c r="T26" s="14">
        <v>1124</v>
      </c>
      <c r="U26" s="22">
        <v>198</v>
      </c>
      <c r="V26" s="23" t="s">
        <v>1272</v>
      </c>
      <c r="W26" s="30">
        <v>0</v>
      </c>
      <c r="X26" s="24">
        <f t="shared" si="9"/>
        <v>0</v>
      </c>
      <c r="Y26" s="25">
        <f t="shared" si="10"/>
        <v>0</v>
      </c>
      <c r="Z26" s="30">
        <v>0</v>
      </c>
      <c r="AA26" s="14" t="s">
        <v>35</v>
      </c>
      <c r="AB26" s="27">
        <f t="shared" si="11"/>
        <v>-0.69</v>
      </c>
      <c r="AC26" s="28">
        <v>0.1167336574074074</v>
      </c>
      <c r="AD26" s="25">
        <f t="shared" si="12"/>
        <v>0</v>
      </c>
      <c r="AE26" s="25">
        <v>-5.8</v>
      </c>
      <c r="AF26" s="25">
        <v>-8.0477686868686806</v>
      </c>
      <c r="AG26" s="25">
        <v>0</v>
      </c>
    </row>
    <row r="27" spans="1:33" ht="15.75" customHeight="1">
      <c r="A27" s="14" t="s">
        <v>53</v>
      </c>
      <c r="B27" s="14" t="s">
        <v>1273</v>
      </c>
      <c r="C27" s="15">
        <f t="shared" si="4"/>
        <v>37.339999999999996</v>
      </c>
      <c r="D27" s="16">
        <v>5</v>
      </c>
      <c r="E27" s="16">
        <v>0</v>
      </c>
      <c r="F27" s="17">
        <v>186.7</v>
      </c>
      <c r="G27" s="17">
        <v>0</v>
      </c>
      <c r="H27" s="18">
        <f t="shared" si="1"/>
        <v>0</v>
      </c>
      <c r="I27" s="18">
        <f t="shared" si="2"/>
        <v>0.41901915992409422</v>
      </c>
      <c r="J27" s="17">
        <f t="shared" si="5"/>
        <v>78.230877157828388</v>
      </c>
      <c r="K27" s="17">
        <f t="shared" si="3"/>
        <v>15.646175431565677</v>
      </c>
      <c r="L27" s="16">
        <v>18</v>
      </c>
      <c r="M27" s="19">
        <f t="shared" si="6"/>
        <v>0.27777777777777779</v>
      </c>
      <c r="N27" s="16">
        <v>195</v>
      </c>
      <c r="O27" s="20">
        <f t="shared" ref="O27:P27" si="35">D27/7</f>
        <v>0.7142857142857143</v>
      </c>
      <c r="P27" s="20">
        <f t="shared" si="35"/>
        <v>0</v>
      </c>
      <c r="Q27" s="16">
        <f t="shared" si="8"/>
        <v>273</v>
      </c>
      <c r="R27" s="16"/>
      <c r="S27" s="21">
        <v>1.7072419106317409</v>
      </c>
      <c r="T27" s="14">
        <v>926</v>
      </c>
      <c r="U27" s="22">
        <v>410</v>
      </c>
      <c r="V27" s="23" t="s">
        <v>1274</v>
      </c>
      <c r="W27" s="30">
        <v>0</v>
      </c>
      <c r="X27" s="24">
        <f t="shared" si="9"/>
        <v>0</v>
      </c>
      <c r="Y27" s="25">
        <f t="shared" si="10"/>
        <v>0</v>
      </c>
      <c r="Z27" s="30">
        <v>0</v>
      </c>
      <c r="AA27" s="14" t="s">
        <v>35</v>
      </c>
      <c r="AB27" s="27">
        <f t="shared" si="11"/>
        <v>-0.69</v>
      </c>
      <c r="AC27" s="28">
        <v>0.1167336574074074</v>
      </c>
      <c r="AD27" s="25">
        <f t="shared" si="12"/>
        <v>-0.80546223611111101</v>
      </c>
      <c r="AE27" s="25">
        <v>-5.8</v>
      </c>
      <c r="AF27" s="25">
        <v>-10.131732121212099</v>
      </c>
      <c r="AG27" s="25">
        <v>0</v>
      </c>
    </row>
    <row r="28" spans="1:33" ht="15.75" customHeight="1">
      <c r="A28" s="14" t="s">
        <v>54</v>
      </c>
      <c r="B28" s="14" t="s">
        <v>68</v>
      </c>
      <c r="C28" s="15">
        <f t="shared" si="4"/>
        <v>30.307027027027026</v>
      </c>
      <c r="D28" s="16">
        <v>37</v>
      </c>
      <c r="E28" s="16">
        <v>0</v>
      </c>
      <c r="F28" s="17">
        <v>1121.3599999999999</v>
      </c>
      <c r="G28" s="17">
        <v>0</v>
      </c>
      <c r="H28" s="18">
        <f t="shared" si="1"/>
        <v>0</v>
      </c>
      <c r="I28" s="18">
        <f t="shared" si="2"/>
        <v>0.31306760627089425</v>
      </c>
      <c r="J28" s="17">
        <f t="shared" si="5"/>
        <v>351.06149096792996</v>
      </c>
      <c r="K28" s="17">
        <f t="shared" si="3"/>
        <v>9.4881484045386468</v>
      </c>
      <c r="L28" s="16">
        <v>84</v>
      </c>
      <c r="M28" s="19">
        <f t="shared" si="6"/>
        <v>0.44047619047619047</v>
      </c>
      <c r="N28" s="16">
        <v>163</v>
      </c>
      <c r="O28" s="20">
        <f t="shared" ref="O28:P28" si="36">D28/7</f>
        <v>5.2857142857142856</v>
      </c>
      <c r="P28" s="20">
        <f t="shared" si="36"/>
        <v>0</v>
      </c>
      <c r="Q28" s="16">
        <f t="shared" si="8"/>
        <v>30</v>
      </c>
      <c r="R28" s="16"/>
      <c r="S28" s="21">
        <v>1.9</v>
      </c>
      <c r="T28" s="14">
        <v>2536</v>
      </c>
      <c r="U28" s="22">
        <v>44392</v>
      </c>
      <c r="V28" s="23" t="s">
        <v>1275</v>
      </c>
      <c r="W28" s="30">
        <v>0</v>
      </c>
      <c r="X28" s="24">
        <f t="shared" si="9"/>
        <v>0</v>
      </c>
      <c r="Y28" s="25">
        <f t="shared" si="10"/>
        <v>0</v>
      </c>
      <c r="Z28" s="30">
        <v>0</v>
      </c>
      <c r="AA28" s="14" t="s">
        <v>35</v>
      </c>
      <c r="AB28" s="27">
        <f t="shared" si="11"/>
        <v>-0.69</v>
      </c>
      <c r="AC28" s="28">
        <v>0.1167336574074074</v>
      </c>
      <c r="AD28" s="25">
        <f t="shared" si="12"/>
        <v>-5.9604205472222223</v>
      </c>
      <c r="AE28" s="25">
        <v>-5.98</v>
      </c>
      <c r="AF28" s="25">
        <v>-10.131732121212099</v>
      </c>
      <c r="AG28" s="25">
        <v>0</v>
      </c>
    </row>
    <row r="29" spans="1:33" ht="15.75" customHeight="1">
      <c r="A29" s="14" t="s">
        <v>55</v>
      </c>
      <c r="B29" s="14" t="s">
        <v>917</v>
      </c>
      <c r="C29" s="15">
        <f t="shared" si="4"/>
        <v>26.872</v>
      </c>
      <c r="D29" s="16">
        <v>70</v>
      </c>
      <c r="E29" s="16">
        <v>0</v>
      </c>
      <c r="F29" s="17">
        <v>1881.04</v>
      </c>
      <c r="G29" s="17">
        <v>0</v>
      </c>
      <c r="H29" s="18">
        <f t="shared" si="1"/>
        <v>0</v>
      </c>
      <c r="I29" s="18">
        <f t="shared" si="2"/>
        <v>0.2444319526483209</v>
      </c>
      <c r="J29" s="17">
        <f t="shared" si="5"/>
        <v>459.78628020959752</v>
      </c>
      <c r="K29" s="17">
        <f t="shared" si="3"/>
        <v>6.5683754315656788</v>
      </c>
      <c r="L29" s="16">
        <v>103</v>
      </c>
      <c r="M29" s="19">
        <f t="shared" si="6"/>
        <v>0.67961165048543692</v>
      </c>
      <c r="N29" s="16">
        <v>89</v>
      </c>
      <c r="O29" s="20">
        <f t="shared" ref="O29:P29" si="37">D29/7</f>
        <v>10</v>
      </c>
      <c r="P29" s="20">
        <f t="shared" si="37"/>
        <v>0</v>
      </c>
      <c r="Q29" s="16">
        <f t="shared" si="8"/>
        <v>8</v>
      </c>
      <c r="R29" s="16"/>
      <c r="S29" s="21">
        <v>2.8747252747252752</v>
      </c>
      <c r="T29" s="14">
        <v>2736</v>
      </c>
      <c r="U29" s="22">
        <v>44392</v>
      </c>
      <c r="V29" s="23" t="s">
        <v>1276</v>
      </c>
      <c r="W29" s="30">
        <v>0</v>
      </c>
      <c r="X29" s="24">
        <f t="shared" si="9"/>
        <v>0</v>
      </c>
      <c r="Y29" s="25">
        <f t="shared" si="10"/>
        <v>0</v>
      </c>
      <c r="Z29" s="30">
        <v>0</v>
      </c>
      <c r="AA29" s="14" t="s">
        <v>35</v>
      </c>
      <c r="AB29" s="27">
        <f t="shared" si="11"/>
        <v>-0.69</v>
      </c>
      <c r="AC29" s="28">
        <v>0.1167336574074074</v>
      </c>
      <c r="AD29" s="25">
        <f t="shared" si="12"/>
        <v>-11.276471305555555</v>
      </c>
      <c r="AE29" s="25">
        <v>-5.98</v>
      </c>
      <c r="AF29" s="25">
        <v>-10.131732121212099</v>
      </c>
      <c r="AG29" s="25">
        <v>0</v>
      </c>
    </row>
    <row r="30" spans="1:33" ht="15.75" customHeight="1">
      <c r="A30" s="14" t="s">
        <v>57</v>
      </c>
      <c r="B30" s="14" t="s">
        <v>1277</v>
      </c>
      <c r="C30" s="15">
        <f t="shared" si="4"/>
        <v>27.76488372093025</v>
      </c>
      <c r="D30" s="16">
        <v>43</v>
      </c>
      <c r="E30" s="16">
        <v>2</v>
      </c>
      <c r="F30" s="17">
        <v>1193.8900000000008</v>
      </c>
      <c r="G30" s="17">
        <v>0</v>
      </c>
      <c r="H30" s="18">
        <f t="shared" si="1"/>
        <v>0</v>
      </c>
      <c r="I30" s="18">
        <f t="shared" si="2"/>
        <v>0.26167974133304817</v>
      </c>
      <c r="J30" s="17">
        <f t="shared" si="5"/>
        <v>312.41682638011309</v>
      </c>
      <c r="K30" s="17">
        <f t="shared" si="3"/>
        <v>7.2655075902351882</v>
      </c>
      <c r="L30" s="16">
        <v>99</v>
      </c>
      <c r="M30" s="19">
        <f t="shared" si="6"/>
        <v>0.43434343434343436</v>
      </c>
      <c r="N30" s="16">
        <v>32</v>
      </c>
      <c r="O30" s="20">
        <f t="shared" ref="O30:P30" si="38">D30/7</f>
        <v>6.1428571428571432</v>
      </c>
      <c r="P30" s="20">
        <f t="shared" si="38"/>
        <v>0.2857142857142857</v>
      </c>
      <c r="Q30" s="16">
        <f t="shared" si="8"/>
        <v>4</v>
      </c>
      <c r="R30" s="16"/>
      <c r="S30" s="21">
        <v>3.5907928388746799</v>
      </c>
      <c r="T30" s="14">
        <v>1536</v>
      </c>
      <c r="U30" s="22">
        <v>410</v>
      </c>
      <c r="V30" s="23" t="s">
        <v>1276</v>
      </c>
      <c r="W30" s="30">
        <v>0</v>
      </c>
      <c r="X30" s="24">
        <f t="shared" si="9"/>
        <v>0</v>
      </c>
      <c r="Y30" s="25">
        <f t="shared" si="10"/>
        <v>0</v>
      </c>
      <c r="Z30" s="30">
        <v>0</v>
      </c>
      <c r="AA30" s="14" t="s">
        <v>35</v>
      </c>
      <c r="AB30" s="27">
        <f t="shared" si="11"/>
        <v>-0.69</v>
      </c>
      <c r="AC30" s="28">
        <v>0.1167336574074074</v>
      </c>
      <c r="AD30" s="25">
        <f t="shared" si="12"/>
        <v>-6.9269752305555548</v>
      </c>
      <c r="AE30" s="25">
        <v>-5.98</v>
      </c>
      <c r="AF30" s="25">
        <v>-10.1935511253333</v>
      </c>
      <c r="AG30" s="25">
        <v>0</v>
      </c>
    </row>
    <row r="31" spans="1:33" ht="15.75" customHeight="1">
      <c r="A31" s="14" t="s">
        <v>58</v>
      </c>
      <c r="B31" s="14" t="s">
        <v>45</v>
      </c>
      <c r="C31" s="15">
        <f t="shared" si="4"/>
        <v>28.64157894736843</v>
      </c>
      <c r="D31" s="16">
        <v>38</v>
      </c>
      <c r="E31" s="16">
        <v>1</v>
      </c>
      <c r="F31" s="17">
        <v>1088.3800000000003</v>
      </c>
      <c r="G31" s="17">
        <v>0</v>
      </c>
      <c r="H31" s="18">
        <f t="shared" si="1"/>
        <v>0</v>
      </c>
      <c r="I31" s="18">
        <f t="shared" si="2"/>
        <v>0.27968774163701016</v>
      </c>
      <c r="J31" s="17">
        <f t="shared" si="5"/>
        <v>304.4065442428892</v>
      </c>
      <c r="K31" s="17">
        <f t="shared" si="3"/>
        <v>8.010698532707611</v>
      </c>
      <c r="L31" s="16">
        <v>71</v>
      </c>
      <c r="M31" s="19">
        <f t="shared" si="6"/>
        <v>0.53521126760563376</v>
      </c>
      <c r="N31" s="16">
        <v>2</v>
      </c>
      <c r="O31" s="20">
        <f t="shared" ref="O31:P31" si="39">D31/7</f>
        <v>5.4285714285714288</v>
      </c>
      <c r="P31" s="20">
        <f t="shared" si="39"/>
        <v>0.14285714285714285</v>
      </c>
      <c r="Q31" s="16">
        <f t="shared" si="8"/>
        <v>0</v>
      </c>
      <c r="R31" s="16"/>
      <c r="S31" s="21">
        <v>5.4683544303797396</v>
      </c>
      <c r="T31" s="14">
        <v>620</v>
      </c>
      <c r="U31" s="22" t="s">
        <v>34</v>
      </c>
      <c r="V31" s="23" t="s">
        <v>1278</v>
      </c>
      <c r="W31" s="30">
        <v>0</v>
      </c>
      <c r="X31" s="24">
        <f t="shared" si="9"/>
        <v>0</v>
      </c>
      <c r="Y31" s="25">
        <f t="shared" si="10"/>
        <v>0</v>
      </c>
      <c r="Z31" s="30">
        <v>0</v>
      </c>
      <c r="AA31" s="14" t="s">
        <v>35</v>
      </c>
      <c r="AB31" s="27">
        <f t="shared" si="11"/>
        <v>-0.69</v>
      </c>
      <c r="AC31" s="28">
        <v>0.1167336574074074</v>
      </c>
      <c r="AD31" s="25">
        <f t="shared" si="12"/>
        <v>-6.1215129944444442</v>
      </c>
      <c r="AE31" s="25">
        <v>-5.98</v>
      </c>
      <c r="AF31" s="25">
        <v>-10.193551125333332</v>
      </c>
      <c r="AG31" s="25">
        <v>0</v>
      </c>
    </row>
    <row r="32" spans="1:33" ht="15.75" customHeight="1">
      <c r="A32" s="14" t="s">
        <v>60</v>
      </c>
      <c r="B32" s="14"/>
      <c r="C32" s="15" t="str">
        <f t="shared" si="4"/>
        <v xml:space="preserve"> - </v>
      </c>
      <c r="D32" s="16">
        <v>0</v>
      </c>
      <c r="E32" s="16">
        <v>0</v>
      </c>
      <c r="F32" s="17">
        <v>0</v>
      </c>
      <c r="G32" s="17">
        <v>0</v>
      </c>
      <c r="H32" s="18" t="e">
        <f t="shared" si="1"/>
        <v>#DIV/0!</v>
      </c>
      <c r="I32" s="18" t="e">
        <f t="shared" si="2"/>
        <v>#DIV/0!</v>
      </c>
      <c r="J32" s="17">
        <f t="shared" si="5"/>
        <v>0</v>
      </c>
      <c r="K32" s="17" t="e">
        <f t="shared" si="3"/>
        <v>#DIV/0!</v>
      </c>
      <c r="L32" s="16">
        <v>0</v>
      </c>
      <c r="M32" s="19" t="str">
        <f t="shared" si="6"/>
        <v>-</v>
      </c>
      <c r="N32" s="16">
        <v>3</v>
      </c>
      <c r="O32" s="20">
        <f t="shared" ref="O32:P32" si="40">D32/7</f>
        <v>0</v>
      </c>
      <c r="P32" s="20">
        <f t="shared" si="40"/>
        <v>0</v>
      </c>
      <c r="Q32" s="16" t="e">
        <f t="shared" si="8"/>
        <v>#DIV/0!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3.2605042016806718</v>
      </c>
      <c r="T32" s="14">
        <f ca="1">IFERROR(__xludf.DUMMYFUNCTION("IFERROR(VLOOKUP($B$2,IMPORTRANGE(""https://docs.google.com/spreadsheets/d/1KiWZV1ko8G7lnRucBRBd29jj3Be6ltMfljMDqzOkQmI/edit#gid=1381463014"",""Lookup!A:D""),4,FALSE),"""")"),620)</f>
        <v>620</v>
      </c>
      <c r="U32" s="22">
        <f ca="1">IFERROR(__xludf.DUMMYFUNCTION("IFERROR(VLOOKUP($B$2,IMPORTRANGE(""https://docs.google.com/spreadsheets/d/1KiWZV1ko8G7lnRucBRBd29jj3Be6ltMfljMDqzOkQmI/edit#gid=1381463014"",""Lookup!A:D""),3,FALSE),"""")"),610)</f>
        <v>610</v>
      </c>
      <c r="V32" s="23" t="str">
        <f ca="1">IFERROR(__xludf.DUMMYFUNCTION("IFERROR(VLOOKUP($B$2,IMPORTRANGE(""https://docs.google.com/spreadsheets/d/1KiWZV1ko8G7lnRucBRBd29jj3Be6ltMfljMDqzOkQmI/edit#gid=1381463014"",""Lookup!A:D""),2,FALSE),"""")"),"| 408  - 410 units 07/19| 418  - 200 units 09/03")</f>
        <v>| 408  - 410 units 07/19| 418  - 200 units 09/03</v>
      </c>
      <c r="W32" s="30">
        <v>0</v>
      </c>
      <c r="X32" s="24">
        <f t="shared" si="9"/>
        <v>0</v>
      </c>
      <c r="Y32" s="25">
        <f t="shared" si="10"/>
        <v>0</v>
      </c>
      <c r="Z32" s="30">
        <v>0</v>
      </c>
      <c r="AA32" s="14" t="s">
        <v>35</v>
      </c>
      <c r="AB32" s="27">
        <f t="shared" si="11"/>
        <v>-0.69</v>
      </c>
      <c r="AC32" s="28">
        <v>0.1167336574074074</v>
      </c>
      <c r="AD32" s="25">
        <f t="shared" si="12"/>
        <v>0</v>
      </c>
      <c r="AE32" s="25">
        <v>-5.98</v>
      </c>
      <c r="AF32" s="25">
        <v>-10.1935511253333</v>
      </c>
      <c r="AG32" s="25">
        <v>0</v>
      </c>
    </row>
    <row r="33" spans="1:33" ht="15.75" customHeight="1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16"/>
      <c r="S33" s="21"/>
      <c r="T33" s="31"/>
      <c r="U33" s="36"/>
      <c r="V33" s="1"/>
      <c r="W33" s="31"/>
      <c r="X33" s="31"/>
      <c r="Y33" s="31"/>
      <c r="Z33" s="31"/>
      <c r="AA33" s="2"/>
      <c r="AB33" s="31"/>
      <c r="AC33" s="31"/>
      <c r="AD33" s="31"/>
      <c r="AE33" s="37"/>
      <c r="AF33" s="37"/>
      <c r="AG33" s="37"/>
    </row>
    <row r="34" spans="1:33" ht="15.75" customHeight="1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6"/>
      <c r="V34" s="1"/>
      <c r="W34" s="31"/>
      <c r="X34" s="31"/>
      <c r="Y34" s="31"/>
      <c r="Z34" s="31"/>
      <c r="AA34" s="2"/>
      <c r="AB34" s="31"/>
      <c r="AC34" s="31"/>
      <c r="AD34" s="31"/>
      <c r="AE34" s="37"/>
      <c r="AF34" s="37"/>
      <c r="AG34" s="37"/>
    </row>
    <row r="35" spans="1:33" ht="15.75" customHeight="1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6"/>
      <c r="V35" s="1"/>
      <c r="W35" s="31"/>
      <c r="X35" s="31"/>
      <c r="Y35" s="31"/>
      <c r="Z35" s="31"/>
      <c r="AA35" s="2"/>
      <c r="AB35" s="31"/>
      <c r="AC35" s="31"/>
      <c r="AD35" s="31"/>
      <c r="AE35" s="37"/>
      <c r="AF35" s="37"/>
      <c r="AG35" s="37"/>
    </row>
    <row r="36" spans="1:33" ht="15.75" customHeight="1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6"/>
      <c r="V36" s="1"/>
      <c r="W36" s="31"/>
      <c r="X36" s="31"/>
      <c r="Y36" s="31"/>
      <c r="Z36" s="31"/>
      <c r="AA36" s="2"/>
      <c r="AB36" s="31"/>
      <c r="AC36" s="31"/>
      <c r="AD36" s="31"/>
      <c r="AE36" s="37"/>
      <c r="AF36" s="37"/>
      <c r="AG36" s="37"/>
    </row>
    <row r="37" spans="1:33" ht="15.75" customHeight="1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6"/>
      <c r="V37" s="1"/>
      <c r="W37" s="31"/>
      <c r="X37" s="31"/>
      <c r="Y37" s="31"/>
      <c r="Z37" s="31"/>
      <c r="AA37" s="2"/>
      <c r="AB37" s="31"/>
      <c r="AC37" s="31"/>
      <c r="AD37" s="31"/>
      <c r="AE37" s="37"/>
      <c r="AF37" s="37"/>
      <c r="AG37" s="37"/>
    </row>
    <row r="38" spans="1:33" ht="15.75" customHeight="1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6"/>
      <c r="V38" s="1"/>
      <c r="W38" s="31"/>
      <c r="X38" s="31"/>
      <c r="Y38" s="31"/>
      <c r="Z38" s="31"/>
      <c r="AA38" s="2"/>
      <c r="AB38" s="31"/>
      <c r="AC38" s="31"/>
      <c r="AD38" s="31"/>
      <c r="AE38" s="37"/>
      <c r="AF38" s="37"/>
      <c r="AG38" s="37"/>
    </row>
    <row r="39" spans="1:33" ht="15.75" customHeight="1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6"/>
      <c r="V39" s="1"/>
      <c r="W39" s="31"/>
      <c r="X39" s="31"/>
      <c r="Y39" s="31"/>
      <c r="Z39" s="31"/>
      <c r="AA39" s="2"/>
      <c r="AB39" s="31"/>
      <c r="AC39" s="31"/>
      <c r="AD39" s="31"/>
      <c r="AE39" s="37"/>
      <c r="AF39" s="37"/>
      <c r="AG39" s="37"/>
    </row>
    <row r="40" spans="1:33" ht="15.75" customHeight="1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6"/>
      <c r="V40" s="1"/>
      <c r="W40" s="31"/>
      <c r="X40" s="31"/>
      <c r="Y40" s="31"/>
      <c r="Z40" s="31"/>
      <c r="AA40" s="2"/>
      <c r="AB40" s="31"/>
      <c r="AC40" s="31"/>
      <c r="AD40" s="31"/>
      <c r="AE40" s="37"/>
      <c r="AF40" s="37"/>
      <c r="AG40" s="37"/>
    </row>
    <row r="41" spans="1:33" ht="15.75" customHeight="1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6"/>
      <c r="V41" s="1"/>
      <c r="W41" s="31"/>
      <c r="X41" s="31"/>
      <c r="Y41" s="31"/>
      <c r="Z41" s="31"/>
      <c r="AA41" s="2"/>
      <c r="AB41" s="31"/>
      <c r="AC41" s="31"/>
      <c r="AD41" s="31"/>
      <c r="AE41" s="37"/>
      <c r="AF41" s="37"/>
      <c r="AG41" s="37"/>
    </row>
    <row r="42" spans="1:33" ht="15.75" customHeight="1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6"/>
      <c r="V42" s="1"/>
      <c r="W42" s="31"/>
      <c r="X42" s="31"/>
      <c r="Y42" s="31"/>
      <c r="Z42" s="31"/>
      <c r="AA42" s="2"/>
      <c r="AB42" s="31"/>
      <c r="AC42" s="31"/>
      <c r="AD42" s="31"/>
      <c r="AE42" s="37"/>
      <c r="AF42" s="37"/>
      <c r="AG42" s="37"/>
    </row>
    <row r="43" spans="1:33" ht="15.75" customHeight="1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6"/>
      <c r="V43" s="1"/>
      <c r="W43" s="31"/>
      <c r="X43" s="31"/>
      <c r="Y43" s="31"/>
      <c r="Z43" s="31"/>
      <c r="AA43" s="2"/>
      <c r="AB43" s="31"/>
      <c r="AC43" s="31"/>
      <c r="AD43" s="31"/>
      <c r="AE43" s="37"/>
      <c r="AF43" s="37"/>
      <c r="AG43" s="37"/>
    </row>
    <row r="44" spans="1:33" ht="15.75" customHeight="1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6"/>
      <c r="V44" s="1"/>
      <c r="W44" s="31"/>
      <c r="X44" s="31"/>
      <c r="Y44" s="31"/>
      <c r="Z44" s="31"/>
      <c r="AA44" s="2"/>
      <c r="AB44" s="31"/>
      <c r="AC44" s="31"/>
      <c r="AD44" s="31"/>
      <c r="AE44" s="37"/>
      <c r="AF44" s="37"/>
      <c r="AG44" s="37"/>
    </row>
    <row r="45" spans="1:33" ht="15.75" customHeight="1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6"/>
      <c r="V45" s="1"/>
      <c r="W45" s="31"/>
      <c r="X45" s="31"/>
      <c r="Y45" s="31"/>
      <c r="Z45" s="31"/>
      <c r="AA45" s="2"/>
      <c r="AB45" s="31"/>
      <c r="AC45" s="31"/>
      <c r="AD45" s="31"/>
      <c r="AE45" s="37"/>
      <c r="AF45" s="37"/>
      <c r="AG45" s="37"/>
    </row>
    <row r="46" spans="1:33" ht="15.75" customHeight="1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6"/>
      <c r="V46" s="1"/>
      <c r="W46" s="31"/>
      <c r="X46" s="31"/>
      <c r="Y46" s="31"/>
      <c r="Z46" s="31"/>
      <c r="AA46" s="2"/>
      <c r="AB46" s="31"/>
      <c r="AC46" s="31"/>
      <c r="AD46" s="31"/>
      <c r="AE46" s="37"/>
      <c r="AF46" s="37"/>
      <c r="AG46" s="37"/>
    </row>
    <row r="47" spans="1:33" ht="15.75" customHeight="1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6"/>
      <c r="V47" s="1"/>
      <c r="W47" s="31"/>
      <c r="X47" s="31"/>
      <c r="Y47" s="31"/>
      <c r="Z47" s="31"/>
      <c r="AA47" s="2"/>
      <c r="AB47" s="31"/>
      <c r="AC47" s="31"/>
      <c r="AD47" s="31"/>
      <c r="AE47" s="37"/>
      <c r="AF47" s="37"/>
      <c r="AG47" s="37"/>
    </row>
    <row r="48" spans="1:33" ht="15.75" customHeight="1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6"/>
      <c r="V48" s="1"/>
      <c r="W48" s="31"/>
      <c r="X48" s="31"/>
      <c r="Y48" s="31"/>
      <c r="Z48" s="31"/>
      <c r="AA48" s="2"/>
      <c r="AB48" s="31"/>
      <c r="AC48" s="31"/>
      <c r="AD48" s="31"/>
      <c r="AE48" s="37"/>
      <c r="AF48" s="37"/>
      <c r="AG48" s="37"/>
    </row>
    <row r="49" spans="1:33" ht="15.75" customHeight="1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6"/>
      <c r="V49" s="1"/>
      <c r="W49" s="31"/>
      <c r="X49" s="31"/>
      <c r="Y49" s="31"/>
      <c r="Z49" s="31"/>
      <c r="AA49" s="2"/>
      <c r="AB49" s="31"/>
      <c r="AC49" s="31"/>
      <c r="AD49" s="31"/>
      <c r="AE49" s="37"/>
      <c r="AF49" s="37"/>
      <c r="AG49" s="37"/>
    </row>
    <row r="50" spans="1:33" ht="15.75" customHeight="1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6"/>
      <c r="V50" s="1"/>
      <c r="W50" s="31"/>
      <c r="X50" s="31"/>
      <c r="Y50" s="31"/>
      <c r="Z50" s="31"/>
      <c r="AA50" s="2"/>
      <c r="AB50" s="31"/>
      <c r="AC50" s="31"/>
      <c r="AD50" s="31"/>
      <c r="AE50" s="37"/>
      <c r="AF50" s="37"/>
      <c r="AG50" s="37"/>
    </row>
    <row r="51" spans="1:33" ht="15.75" customHeight="1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6"/>
      <c r="V51" s="1"/>
      <c r="W51" s="31"/>
      <c r="X51" s="31"/>
      <c r="Y51" s="31"/>
      <c r="Z51" s="31"/>
      <c r="AA51" s="2"/>
      <c r="AB51" s="31"/>
      <c r="AC51" s="31"/>
      <c r="AD51" s="31"/>
      <c r="AE51" s="37"/>
      <c r="AF51" s="37"/>
      <c r="AG51" s="37"/>
    </row>
    <row r="52" spans="1:33" ht="15.75" customHeight="1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6"/>
      <c r="V52" s="1"/>
      <c r="W52" s="31"/>
      <c r="X52" s="31"/>
      <c r="Y52" s="31"/>
      <c r="Z52" s="31"/>
      <c r="AA52" s="2"/>
      <c r="AB52" s="31"/>
      <c r="AC52" s="31"/>
      <c r="AD52" s="31"/>
      <c r="AE52" s="37"/>
      <c r="AF52" s="37"/>
      <c r="AG52" s="37"/>
    </row>
    <row r="53" spans="1:33" ht="15.75" customHeight="1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6"/>
      <c r="V53" s="1"/>
      <c r="W53" s="31"/>
      <c r="X53" s="31"/>
      <c r="Y53" s="31"/>
      <c r="Z53" s="31"/>
      <c r="AA53" s="2"/>
      <c r="AB53" s="31"/>
      <c r="AC53" s="31"/>
      <c r="AD53" s="31"/>
      <c r="AE53" s="37"/>
      <c r="AF53" s="37"/>
      <c r="AG53" s="37"/>
    </row>
    <row r="54" spans="1:33" ht="15.75" customHeight="1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6"/>
      <c r="V54" s="1"/>
      <c r="W54" s="31"/>
      <c r="X54" s="31"/>
      <c r="Y54" s="31"/>
      <c r="Z54" s="31"/>
      <c r="AA54" s="2"/>
      <c r="AB54" s="31"/>
      <c r="AC54" s="31"/>
      <c r="AD54" s="31"/>
      <c r="AE54" s="37"/>
      <c r="AF54" s="37"/>
      <c r="AG54" s="37"/>
    </row>
    <row r="55" spans="1:33" ht="15.75" customHeight="1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6"/>
      <c r="V55" s="1"/>
      <c r="W55" s="31"/>
      <c r="X55" s="31"/>
      <c r="Y55" s="31"/>
      <c r="Z55" s="31"/>
      <c r="AA55" s="2"/>
      <c r="AB55" s="31"/>
      <c r="AC55" s="31"/>
      <c r="AD55" s="31"/>
      <c r="AE55" s="37"/>
      <c r="AF55" s="37"/>
      <c r="AG55" s="37"/>
    </row>
    <row r="56" spans="1:33" ht="15.75" customHeight="1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6"/>
      <c r="V56" s="1"/>
      <c r="W56" s="31"/>
      <c r="X56" s="31"/>
      <c r="Y56" s="31"/>
      <c r="Z56" s="31"/>
      <c r="AA56" s="2"/>
      <c r="AB56" s="31"/>
      <c r="AC56" s="31"/>
      <c r="AD56" s="31"/>
      <c r="AE56" s="37"/>
      <c r="AF56" s="37"/>
      <c r="AG56" s="37"/>
    </row>
    <row r="57" spans="1:33" ht="15.75" customHeight="1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6"/>
      <c r="V57" s="1"/>
      <c r="W57" s="31"/>
      <c r="X57" s="31"/>
      <c r="Y57" s="31"/>
      <c r="Z57" s="31"/>
      <c r="AA57" s="2"/>
      <c r="AB57" s="31"/>
      <c r="AC57" s="31"/>
      <c r="AD57" s="31"/>
      <c r="AE57" s="37"/>
      <c r="AF57" s="37"/>
      <c r="AG57" s="37"/>
    </row>
    <row r="58" spans="1:33" ht="15.75" customHeight="1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6"/>
      <c r="V58" s="1"/>
      <c r="W58" s="31"/>
      <c r="X58" s="31"/>
      <c r="Y58" s="31"/>
      <c r="Z58" s="31"/>
      <c r="AA58" s="2"/>
      <c r="AB58" s="31"/>
      <c r="AC58" s="31"/>
      <c r="AD58" s="31"/>
      <c r="AE58" s="37"/>
      <c r="AF58" s="37"/>
      <c r="AG58" s="37"/>
    </row>
    <row r="59" spans="1:33" ht="15.75" customHeight="1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6"/>
      <c r="V59" s="1"/>
      <c r="W59" s="31"/>
      <c r="X59" s="31"/>
      <c r="Y59" s="31"/>
      <c r="Z59" s="31"/>
      <c r="AA59" s="2"/>
      <c r="AB59" s="31"/>
      <c r="AC59" s="31"/>
      <c r="AD59" s="31"/>
      <c r="AE59" s="37"/>
      <c r="AF59" s="37"/>
      <c r="AG59" s="37"/>
    </row>
    <row r="60" spans="1:33" ht="15.75" customHeight="1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6"/>
      <c r="V60" s="1"/>
      <c r="W60" s="31"/>
      <c r="X60" s="31"/>
      <c r="Y60" s="31"/>
      <c r="Z60" s="31"/>
      <c r="AA60" s="2"/>
      <c r="AB60" s="31"/>
      <c r="AC60" s="31"/>
      <c r="AD60" s="31"/>
      <c r="AE60" s="37"/>
      <c r="AF60" s="37"/>
      <c r="AG60" s="37"/>
    </row>
    <row r="61" spans="1:33" ht="15.75" customHeight="1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6"/>
      <c r="V61" s="1"/>
      <c r="W61" s="31"/>
      <c r="X61" s="31"/>
      <c r="Y61" s="31"/>
      <c r="Z61" s="31"/>
      <c r="AA61" s="2"/>
      <c r="AB61" s="31"/>
      <c r="AC61" s="31"/>
      <c r="AD61" s="31"/>
      <c r="AE61" s="37"/>
      <c r="AF61" s="37"/>
      <c r="AG61" s="37"/>
    </row>
    <row r="62" spans="1:33" ht="15.75" customHeight="1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6"/>
      <c r="V62" s="1"/>
      <c r="W62" s="31"/>
      <c r="X62" s="31"/>
      <c r="Y62" s="31"/>
      <c r="Z62" s="31"/>
      <c r="AA62" s="2"/>
      <c r="AB62" s="31"/>
      <c r="AC62" s="31"/>
      <c r="AD62" s="31"/>
      <c r="AE62" s="37"/>
      <c r="AF62" s="37"/>
      <c r="AG62" s="37"/>
    </row>
    <row r="63" spans="1:33" ht="15.75" customHeight="1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6"/>
      <c r="V63" s="1"/>
      <c r="W63" s="31"/>
      <c r="X63" s="31"/>
      <c r="Y63" s="31"/>
      <c r="Z63" s="31"/>
      <c r="AA63" s="2"/>
      <c r="AB63" s="31"/>
      <c r="AC63" s="31"/>
      <c r="AD63" s="31"/>
      <c r="AE63" s="37"/>
      <c r="AF63" s="37"/>
      <c r="AG63" s="37"/>
    </row>
    <row r="64" spans="1:33" ht="15.75" customHeight="1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6"/>
      <c r="V64" s="1"/>
      <c r="W64" s="31"/>
      <c r="X64" s="31"/>
      <c r="Y64" s="31"/>
      <c r="Z64" s="31"/>
      <c r="AA64" s="2"/>
      <c r="AB64" s="31"/>
      <c r="AC64" s="31"/>
      <c r="AD64" s="31"/>
      <c r="AE64" s="37"/>
      <c r="AF64" s="37"/>
      <c r="AG64" s="37"/>
    </row>
    <row r="65" spans="1:33" ht="15.75" customHeight="1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6"/>
      <c r="V65" s="1"/>
      <c r="W65" s="31"/>
      <c r="X65" s="31"/>
      <c r="Y65" s="31"/>
      <c r="Z65" s="31"/>
      <c r="AA65" s="2"/>
      <c r="AB65" s="31"/>
      <c r="AC65" s="31"/>
      <c r="AD65" s="31"/>
      <c r="AE65" s="37"/>
      <c r="AF65" s="37"/>
      <c r="AG65" s="37"/>
    </row>
    <row r="66" spans="1:33" ht="15.75" customHeight="1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6"/>
      <c r="V66" s="1"/>
      <c r="W66" s="31"/>
      <c r="X66" s="31"/>
      <c r="Y66" s="31"/>
      <c r="Z66" s="31"/>
      <c r="AA66" s="2"/>
      <c r="AB66" s="31"/>
      <c r="AC66" s="31"/>
      <c r="AD66" s="31"/>
      <c r="AE66" s="37"/>
      <c r="AF66" s="37"/>
      <c r="AG66" s="37"/>
    </row>
    <row r="67" spans="1:33" ht="15.75" customHeight="1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6"/>
      <c r="V67" s="1"/>
      <c r="W67" s="31"/>
      <c r="X67" s="31"/>
      <c r="Y67" s="31"/>
      <c r="Z67" s="31"/>
      <c r="AA67" s="2"/>
      <c r="AB67" s="31"/>
      <c r="AC67" s="31"/>
      <c r="AD67" s="31"/>
      <c r="AE67" s="37"/>
      <c r="AF67" s="37"/>
      <c r="AG67" s="37"/>
    </row>
    <row r="68" spans="1:33" ht="15.75" customHeight="1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6"/>
      <c r="V68" s="1"/>
      <c r="W68" s="31"/>
      <c r="X68" s="31"/>
      <c r="Y68" s="31"/>
      <c r="Z68" s="31"/>
      <c r="AA68" s="2"/>
      <c r="AB68" s="31"/>
      <c r="AC68" s="31"/>
      <c r="AD68" s="31"/>
      <c r="AE68" s="37"/>
      <c r="AF68" s="37"/>
      <c r="AG68" s="37"/>
    </row>
    <row r="69" spans="1:33" ht="15.75" customHeight="1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6"/>
      <c r="V69" s="1"/>
      <c r="W69" s="31"/>
      <c r="X69" s="31"/>
      <c r="Y69" s="31"/>
      <c r="Z69" s="31"/>
      <c r="AA69" s="2"/>
      <c r="AB69" s="31"/>
      <c r="AC69" s="31"/>
      <c r="AD69" s="31"/>
      <c r="AE69" s="37"/>
      <c r="AF69" s="37"/>
      <c r="AG69" s="37"/>
    </row>
    <row r="70" spans="1:33" ht="15.75" customHeight="1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6"/>
      <c r="V70" s="1"/>
      <c r="W70" s="31"/>
      <c r="X70" s="31"/>
      <c r="Y70" s="31"/>
      <c r="Z70" s="31"/>
      <c r="AA70" s="2"/>
      <c r="AB70" s="31"/>
      <c r="AC70" s="31"/>
      <c r="AD70" s="31"/>
      <c r="AE70" s="37"/>
      <c r="AF70" s="37"/>
      <c r="AG70" s="37"/>
    </row>
    <row r="71" spans="1:33" ht="15.75" customHeight="1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6"/>
      <c r="V71" s="1"/>
      <c r="W71" s="31"/>
      <c r="X71" s="31"/>
      <c r="Y71" s="31"/>
      <c r="Z71" s="31"/>
      <c r="AA71" s="2"/>
      <c r="AB71" s="31"/>
      <c r="AC71" s="31"/>
      <c r="AD71" s="31"/>
      <c r="AE71" s="37"/>
      <c r="AF71" s="37"/>
      <c r="AG71" s="37"/>
    </row>
    <row r="72" spans="1:33" ht="15.75" customHeight="1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6"/>
      <c r="V72" s="1"/>
      <c r="W72" s="31"/>
      <c r="X72" s="31"/>
      <c r="Y72" s="31"/>
      <c r="Z72" s="31"/>
      <c r="AA72" s="2"/>
      <c r="AB72" s="31"/>
      <c r="AC72" s="31"/>
      <c r="AD72" s="31"/>
      <c r="AE72" s="37"/>
      <c r="AF72" s="37"/>
      <c r="AG72" s="37"/>
    </row>
    <row r="73" spans="1:33" ht="15.75" customHeight="1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6"/>
      <c r="V73" s="1"/>
      <c r="W73" s="31"/>
      <c r="X73" s="31"/>
      <c r="Y73" s="31"/>
      <c r="Z73" s="31"/>
      <c r="AA73" s="2"/>
      <c r="AB73" s="31"/>
      <c r="AC73" s="31"/>
      <c r="AD73" s="31"/>
      <c r="AE73" s="37"/>
      <c r="AF73" s="37"/>
      <c r="AG73" s="37"/>
    </row>
    <row r="74" spans="1:33" ht="15.75" customHeight="1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6"/>
      <c r="V74" s="1"/>
      <c r="W74" s="31"/>
      <c r="X74" s="31"/>
      <c r="Y74" s="31"/>
      <c r="Z74" s="31"/>
      <c r="AA74" s="2"/>
      <c r="AB74" s="31"/>
      <c r="AC74" s="31"/>
      <c r="AD74" s="31"/>
      <c r="AE74" s="37"/>
      <c r="AF74" s="37"/>
      <c r="AG74" s="37"/>
    </row>
    <row r="75" spans="1:33" ht="15.75" customHeight="1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6"/>
      <c r="V75" s="1"/>
      <c r="W75" s="31"/>
      <c r="X75" s="31"/>
      <c r="Y75" s="31"/>
      <c r="Z75" s="31"/>
      <c r="AA75" s="2"/>
      <c r="AB75" s="31"/>
      <c r="AC75" s="31"/>
      <c r="AD75" s="31"/>
      <c r="AE75" s="37"/>
      <c r="AF75" s="37"/>
      <c r="AG75" s="37"/>
    </row>
    <row r="76" spans="1:33" ht="15.75" customHeight="1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6"/>
      <c r="V76" s="1"/>
      <c r="W76" s="31"/>
      <c r="X76" s="31"/>
      <c r="Y76" s="31"/>
      <c r="Z76" s="31"/>
      <c r="AA76" s="2"/>
      <c r="AB76" s="31"/>
      <c r="AC76" s="31"/>
      <c r="AD76" s="31"/>
      <c r="AE76" s="37"/>
      <c r="AF76" s="37"/>
      <c r="AG76" s="37"/>
    </row>
    <row r="77" spans="1:33" ht="15.75" customHeight="1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6"/>
      <c r="V77" s="1"/>
      <c r="W77" s="31"/>
      <c r="X77" s="31"/>
      <c r="Y77" s="31"/>
      <c r="Z77" s="31"/>
      <c r="AA77" s="2"/>
      <c r="AB77" s="31"/>
      <c r="AC77" s="31"/>
      <c r="AD77" s="31"/>
      <c r="AE77" s="37"/>
      <c r="AF77" s="37"/>
      <c r="AG77" s="37"/>
    </row>
    <row r="78" spans="1:33" ht="15.75" customHeight="1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6"/>
      <c r="V78" s="1"/>
      <c r="W78" s="31"/>
      <c r="X78" s="31"/>
      <c r="Y78" s="31"/>
      <c r="Z78" s="31"/>
      <c r="AA78" s="2"/>
      <c r="AB78" s="31"/>
      <c r="AC78" s="31"/>
      <c r="AD78" s="31"/>
      <c r="AE78" s="37"/>
      <c r="AF78" s="37"/>
      <c r="AG78" s="37"/>
    </row>
    <row r="79" spans="1:33" ht="15.75" customHeight="1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6"/>
      <c r="V79" s="1"/>
      <c r="W79" s="31"/>
      <c r="X79" s="31"/>
      <c r="Y79" s="31"/>
      <c r="Z79" s="31"/>
      <c r="AA79" s="2"/>
      <c r="AB79" s="31"/>
      <c r="AC79" s="31"/>
      <c r="AD79" s="31"/>
      <c r="AE79" s="37"/>
      <c r="AF79" s="37"/>
      <c r="AG79" s="37"/>
    </row>
    <row r="80" spans="1:33" ht="15.75" customHeight="1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6"/>
      <c r="V80" s="1"/>
      <c r="W80" s="31"/>
      <c r="X80" s="31"/>
      <c r="Y80" s="31"/>
      <c r="Z80" s="31"/>
      <c r="AA80" s="2"/>
      <c r="AB80" s="31"/>
      <c r="AC80" s="31"/>
      <c r="AD80" s="31"/>
      <c r="AE80" s="37"/>
      <c r="AF80" s="37"/>
      <c r="AG80" s="37"/>
    </row>
    <row r="81" spans="1:33" ht="15.75" customHeight="1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6"/>
      <c r="V81" s="1"/>
      <c r="W81" s="31"/>
      <c r="X81" s="31"/>
      <c r="Y81" s="31"/>
      <c r="Z81" s="31"/>
      <c r="AA81" s="2"/>
      <c r="AB81" s="31"/>
      <c r="AC81" s="31"/>
      <c r="AD81" s="31"/>
      <c r="AE81" s="37"/>
      <c r="AF81" s="37"/>
      <c r="AG81" s="37"/>
    </row>
    <row r="82" spans="1:33" ht="15.75" customHeight="1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6"/>
      <c r="V82" s="1"/>
      <c r="W82" s="31"/>
      <c r="X82" s="31"/>
      <c r="Y82" s="31"/>
      <c r="Z82" s="31"/>
      <c r="AA82" s="2"/>
      <c r="AB82" s="31"/>
      <c r="AC82" s="31"/>
      <c r="AD82" s="31"/>
      <c r="AE82" s="37"/>
      <c r="AF82" s="37"/>
      <c r="AG82" s="37"/>
    </row>
    <row r="83" spans="1:33" ht="15.75" customHeight="1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6"/>
      <c r="V83" s="1"/>
      <c r="W83" s="31"/>
      <c r="X83" s="31"/>
      <c r="Y83" s="31"/>
      <c r="Z83" s="31"/>
      <c r="AA83" s="2"/>
      <c r="AB83" s="31"/>
      <c r="AC83" s="31"/>
      <c r="AD83" s="31"/>
      <c r="AE83" s="37"/>
      <c r="AF83" s="37"/>
      <c r="AG83" s="37"/>
    </row>
    <row r="84" spans="1:33" ht="15.75" customHeight="1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6"/>
      <c r="V84" s="1"/>
      <c r="W84" s="31"/>
      <c r="X84" s="31"/>
      <c r="Y84" s="31"/>
      <c r="Z84" s="31"/>
      <c r="AA84" s="2"/>
      <c r="AB84" s="31"/>
      <c r="AC84" s="31"/>
      <c r="AD84" s="31"/>
      <c r="AE84" s="37"/>
      <c r="AF84" s="37"/>
      <c r="AG84" s="37"/>
    </row>
    <row r="85" spans="1:33" ht="15.75" customHeight="1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6"/>
      <c r="V85" s="1"/>
      <c r="W85" s="31"/>
      <c r="X85" s="31"/>
      <c r="Y85" s="31"/>
      <c r="Z85" s="31"/>
      <c r="AA85" s="2"/>
      <c r="AB85" s="31"/>
      <c r="AC85" s="31"/>
      <c r="AD85" s="31"/>
      <c r="AE85" s="37"/>
      <c r="AF85" s="37"/>
      <c r="AG85" s="37"/>
    </row>
    <row r="86" spans="1:33" ht="15.75" customHeight="1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6"/>
      <c r="V86" s="1"/>
      <c r="W86" s="31"/>
      <c r="X86" s="31"/>
      <c r="Y86" s="31"/>
      <c r="Z86" s="31"/>
      <c r="AA86" s="2"/>
      <c r="AB86" s="31"/>
      <c r="AC86" s="31"/>
      <c r="AD86" s="31"/>
      <c r="AE86" s="37"/>
      <c r="AF86" s="37"/>
      <c r="AG86" s="37"/>
    </row>
    <row r="87" spans="1:33" ht="15.75" customHeight="1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6"/>
      <c r="V87" s="1"/>
      <c r="W87" s="31"/>
      <c r="X87" s="31"/>
      <c r="Y87" s="31"/>
      <c r="Z87" s="31"/>
      <c r="AA87" s="2"/>
      <c r="AB87" s="31"/>
      <c r="AC87" s="31"/>
      <c r="AD87" s="31"/>
      <c r="AE87" s="37"/>
      <c r="AF87" s="37"/>
      <c r="AG87" s="37"/>
    </row>
    <row r="88" spans="1:33" ht="15.75" customHeight="1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6"/>
      <c r="V88" s="1"/>
      <c r="W88" s="31"/>
      <c r="X88" s="31"/>
      <c r="Y88" s="31"/>
      <c r="Z88" s="31"/>
      <c r="AA88" s="2"/>
      <c r="AB88" s="31"/>
      <c r="AC88" s="31"/>
      <c r="AD88" s="31"/>
      <c r="AE88" s="37"/>
      <c r="AF88" s="37"/>
      <c r="AG88" s="37"/>
    </row>
    <row r="89" spans="1:33" ht="15.75" customHeight="1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6"/>
      <c r="V89" s="1"/>
      <c r="W89" s="31"/>
      <c r="X89" s="31"/>
      <c r="Y89" s="31"/>
      <c r="Z89" s="31"/>
      <c r="AA89" s="2"/>
      <c r="AB89" s="31"/>
      <c r="AC89" s="31"/>
      <c r="AD89" s="31"/>
      <c r="AE89" s="37"/>
      <c r="AF89" s="37"/>
      <c r="AG89" s="37"/>
    </row>
    <row r="90" spans="1:33" ht="15.75" customHeight="1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6"/>
      <c r="V90" s="1"/>
      <c r="W90" s="31"/>
      <c r="X90" s="31"/>
      <c r="Y90" s="31"/>
      <c r="Z90" s="31"/>
      <c r="AA90" s="2"/>
      <c r="AB90" s="31"/>
      <c r="AC90" s="31"/>
      <c r="AD90" s="31"/>
      <c r="AE90" s="37"/>
      <c r="AF90" s="37"/>
      <c r="AG90" s="37"/>
    </row>
    <row r="91" spans="1:33" ht="15.75" customHeight="1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6"/>
      <c r="V91" s="1"/>
      <c r="W91" s="31"/>
      <c r="X91" s="31"/>
      <c r="Y91" s="31"/>
      <c r="Z91" s="31"/>
      <c r="AA91" s="2"/>
      <c r="AB91" s="31"/>
      <c r="AC91" s="31"/>
      <c r="AD91" s="31"/>
      <c r="AE91" s="37"/>
      <c r="AF91" s="37"/>
      <c r="AG91" s="37"/>
    </row>
    <row r="92" spans="1:33" ht="15.75" customHeight="1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6"/>
      <c r="V92" s="1"/>
      <c r="W92" s="31"/>
      <c r="X92" s="31"/>
      <c r="Y92" s="31"/>
      <c r="Z92" s="31"/>
      <c r="AA92" s="2"/>
      <c r="AB92" s="31"/>
      <c r="AC92" s="31"/>
      <c r="AD92" s="31"/>
      <c r="AE92" s="37"/>
      <c r="AF92" s="37"/>
      <c r="AG92" s="37"/>
    </row>
    <row r="93" spans="1:33" ht="15.75" customHeight="1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6"/>
      <c r="V93" s="1"/>
      <c r="W93" s="31"/>
      <c r="X93" s="31"/>
      <c r="Y93" s="31"/>
      <c r="Z93" s="31"/>
      <c r="AA93" s="2"/>
      <c r="AB93" s="31"/>
      <c r="AC93" s="31"/>
      <c r="AD93" s="31"/>
      <c r="AE93" s="37"/>
      <c r="AF93" s="37"/>
      <c r="AG93" s="37"/>
    </row>
    <row r="94" spans="1:33" ht="15.75" customHeight="1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6"/>
      <c r="V94" s="1"/>
      <c r="W94" s="31"/>
      <c r="X94" s="31"/>
      <c r="Y94" s="31"/>
      <c r="Z94" s="31"/>
      <c r="AA94" s="2"/>
      <c r="AB94" s="31"/>
      <c r="AC94" s="31"/>
      <c r="AD94" s="31"/>
      <c r="AE94" s="37"/>
      <c r="AF94" s="37"/>
      <c r="AG94" s="37"/>
    </row>
    <row r="95" spans="1:33" ht="15.75" customHeight="1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6"/>
      <c r="V95" s="1"/>
      <c r="W95" s="31"/>
      <c r="X95" s="31"/>
      <c r="Y95" s="31"/>
      <c r="Z95" s="31"/>
      <c r="AA95" s="2"/>
      <c r="AB95" s="31"/>
      <c r="AC95" s="31"/>
      <c r="AD95" s="31"/>
      <c r="AE95" s="37"/>
      <c r="AF95" s="37"/>
      <c r="AG95" s="37"/>
    </row>
    <row r="96" spans="1:33" ht="15.75" customHeight="1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6"/>
      <c r="V96" s="1"/>
      <c r="W96" s="31"/>
      <c r="X96" s="31"/>
      <c r="Y96" s="31"/>
      <c r="Z96" s="31"/>
      <c r="AA96" s="2"/>
      <c r="AB96" s="31"/>
      <c r="AC96" s="31"/>
      <c r="AD96" s="31"/>
      <c r="AE96" s="37"/>
      <c r="AF96" s="37"/>
      <c r="AG96" s="37"/>
    </row>
    <row r="97" spans="1:33" ht="15.75" customHeight="1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8"/>
      <c r="R97" s="38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8"/>
      <c r="R98" s="38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8"/>
      <c r="R99" s="38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8"/>
      <c r="R100" s="38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8"/>
      <c r="R101" s="38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8"/>
      <c r="R102" s="38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8"/>
      <c r="R103" s="38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8"/>
      <c r="R104" s="38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8"/>
      <c r="R105" s="38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8"/>
      <c r="R106" s="38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8"/>
      <c r="R107" s="38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8"/>
      <c r="R108" s="38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8"/>
      <c r="R109" s="38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8"/>
      <c r="R110" s="38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8"/>
      <c r="R111" s="38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8"/>
      <c r="R112" s="38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8"/>
      <c r="R113" s="38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8"/>
      <c r="R114" s="38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>
      <c r="A115" s="31"/>
      <c r="B115" s="31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>
      <c r="A116" s="31"/>
      <c r="B116" s="31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>
      <c r="A117" s="31"/>
      <c r="B117" s="31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>
      <c r="A118" s="31"/>
      <c r="B118" s="31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>
      <c r="A119" s="31"/>
      <c r="B119" s="31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>
      <c r="A120" s="31"/>
      <c r="B120" s="31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>
      <c r="A121" s="31"/>
      <c r="B121" s="31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>
      <c r="A122" s="31"/>
      <c r="B122" s="31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>
      <c r="A123" s="31"/>
      <c r="B123" s="31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>
      <c r="A124" s="31"/>
      <c r="B124" s="31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>
      <c r="A125" s="31"/>
      <c r="B125" s="31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>
      <c r="A126" s="31"/>
      <c r="B126" s="31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>
      <c r="A127" s="31"/>
      <c r="B127" s="31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>
      <c r="A128" s="31"/>
      <c r="B128" s="31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>
      <c r="A129" s="31"/>
      <c r="B129" s="31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>
      <c r="A130" s="31"/>
      <c r="B130" s="31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>
      <c r="A131" s="31"/>
      <c r="B131" s="31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>
      <c r="A132" s="31"/>
      <c r="B132" s="31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>
      <c r="A133" s="31"/>
      <c r="B133" s="31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>
      <c r="A134" s="31"/>
      <c r="B134" s="31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>
      <c r="A135" s="31"/>
      <c r="B135" s="31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>
      <c r="A136" s="31"/>
      <c r="B136" s="31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>
      <c r="A137" s="31"/>
      <c r="B137" s="31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>
      <c r="A138" s="31"/>
      <c r="B138" s="31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>
      <c r="A139" s="31"/>
      <c r="B139" s="31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>
      <c r="A140" s="31"/>
      <c r="B140" s="31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>
      <c r="A141" s="31"/>
      <c r="B141" s="31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2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>
      <c r="A142" s="31"/>
      <c r="B142" s="31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2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>
      <c r="A143" s="31"/>
      <c r="B143" s="31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2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>
      <c r="A144" s="31"/>
      <c r="B144" s="31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2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>
      <c r="A145" s="31"/>
      <c r="B145" s="31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2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>
      <c r="A146" s="31"/>
      <c r="B146" s="31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2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>
      <c r="A147" s="31"/>
      <c r="B147" s="31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2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>
      <c r="A148" s="31"/>
      <c r="B148" s="31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2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</row>
    <row r="149" spans="1:33" ht="15.75" customHeight="1">
      <c r="A149" s="14"/>
      <c r="B149" s="14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>
      <c r="A150" s="14"/>
      <c r="B150" s="14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>
      <c r="A151" s="14"/>
      <c r="B151" s="14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>
      <c r="A152" s="14"/>
      <c r="B152" s="14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>
      <c r="A153" s="14"/>
      <c r="B153" s="14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>
      <c r="A154" s="14"/>
      <c r="B154" s="14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>
      <c r="A155" s="14"/>
      <c r="B155" s="14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>
      <c r="A156" s="14"/>
      <c r="B156" s="14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>
      <c r="A157" s="14"/>
      <c r="B157" s="14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>
      <c r="A158" s="14"/>
      <c r="B158" s="14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>
      <c r="A159" s="14"/>
      <c r="B159" s="14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>
      <c r="A160" s="14"/>
      <c r="B160" s="14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>
      <c r="A161" s="14"/>
      <c r="B161" s="14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>
      <c r="A162" s="14"/>
      <c r="B162" s="14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>
      <c r="A163" s="14"/>
      <c r="B163" s="14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>
      <c r="A164" s="14"/>
      <c r="B164" s="14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>
      <c r="A165" s="14"/>
      <c r="B165" s="14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>
      <c r="A166" s="14"/>
      <c r="B166" s="14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>
      <c r="A167" s="14"/>
      <c r="B167" s="14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>
      <c r="A168" s="14"/>
      <c r="B168" s="14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>
      <c r="A169" s="14"/>
      <c r="B169" s="14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>
      <c r="A170" s="14"/>
      <c r="B170" s="14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>
      <c r="A171" s="14"/>
      <c r="B171" s="14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>
      <c r="A172" s="14"/>
      <c r="B172" s="14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>
      <c r="A173" s="14"/>
      <c r="B173" s="14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>
      <c r="A174" s="14"/>
      <c r="B174" s="14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>
      <c r="A175" s="14"/>
      <c r="B175" s="14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>
      <c r="A176" s="14"/>
      <c r="B176" s="14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>
      <c r="A177" s="14"/>
      <c r="B177" s="14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>
      <c r="A178" s="14"/>
      <c r="B178" s="14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>
      <c r="A179" s="14"/>
      <c r="B179" s="14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>
      <c r="A180" s="14"/>
      <c r="B180" s="14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>
      <c r="A181" s="14"/>
      <c r="B181" s="14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>
      <c r="A182" s="14"/>
      <c r="B182" s="14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>
      <c r="A183" s="14"/>
      <c r="B183" s="14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>
      <c r="A184" s="14"/>
      <c r="B184" s="14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>
      <c r="A185" s="14"/>
      <c r="B185" s="14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>
      <c r="A186" s="14"/>
      <c r="B186" s="14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>
      <c r="A187" s="14"/>
      <c r="B187" s="14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>
      <c r="A188" s="14"/>
      <c r="B188" s="14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>
      <c r="A189" s="14"/>
      <c r="B189" s="14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>
      <c r="A190" s="14"/>
      <c r="B190" s="14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>
      <c r="A191" s="14"/>
      <c r="B191" s="14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>
      <c r="A192" s="14"/>
      <c r="B192" s="14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>
      <c r="A193" s="14"/>
      <c r="B193" s="14"/>
      <c r="C193" s="39"/>
      <c r="D193" s="39"/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>
      <c r="A194" s="14"/>
      <c r="B194" s="14"/>
      <c r="C194" s="39"/>
      <c r="D194" s="39"/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>
      <c r="A195" s="14"/>
      <c r="B195" s="14"/>
      <c r="C195" s="39"/>
      <c r="D195" s="39"/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>
      <c r="A196" s="14"/>
      <c r="B196" s="14"/>
      <c r="C196" s="39"/>
      <c r="D196" s="39"/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>
      <c r="A197" s="14"/>
      <c r="B197" s="14"/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>
      <c r="A198" s="14"/>
      <c r="B198" s="14"/>
      <c r="C198" s="39"/>
      <c r="D198" s="39"/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>
      <c r="A199" s="14"/>
      <c r="B199" s="14"/>
      <c r="C199" s="39"/>
      <c r="D199" s="39"/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>
      <c r="A200" s="14"/>
      <c r="B200" s="14"/>
      <c r="C200" s="39"/>
      <c r="D200" s="39"/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>
      <c r="A201" s="14"/>
      <c r="B201" s="14"/>
      <c r="C201" s="39"/>
      <c r="D201" s="39"/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>
      <c r="A202" s="14"/>
      <c r="B202" s="14"/>
      <c r="C202" s="39"/>
      <c r="D202" s="39"/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>
      <c r="A203" s="14"/>
      <c r="B203" s="14"/>
      <c r="C203" s="39"/>
      <c r="D203" s="39"/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>
      <c r="A204" s="14"/>
      <c r="B204" s="14"/>
      <c r="C204" s="39"/>
      <c r="D204" s="39"/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>
      <c r="A205" s="14"/>
      <c r="B205" s="14"/>
      <c r="C205" s="39"/>
      <c r="D205" s="39"/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>
      <c r="A206" s="14"/>
      <c r="B206" s="14"/>
      <c r="C206" s="39"/>
      <c r="D206" s="39"/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>
      <c r="A207" s="14"/>
      <c r="B207" s="14"/>
      <c r="C207" s="39"/>
      <c r="D207" s="39"/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>
      <c r="A208" s="14"/>
      <c r="B208" s="14"/>
      <c r="C208" s="39"/>
      <c r="D208" s="39"/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>
      <c r="A209" s="14"/>
      <c r="B209" s="14"/>
      <c r="C209" s="39"/>
      <c r="D209" s="39"/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>
      <c r="A210" s="14"/>
      <c r="B210" s="14"/>
      <c r="C210" s="39"/>
      <c r="D210" s="39"/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>
      <c r="A211" s="14"/>
      <c r="B211" s="14"/>
      <c r="C211" s="39"/>
      <c r="D211" s="39"/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>
      <c r="A212" s="14"/>
      <c r="B212" s="14"/>
      <c r="C212" s="39"/>
      <c r="D212" s="39"/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>
      <c r="A213" s="14"/>
      <c r="B213" s="14"/>
      <c r="C213" s="39"/>
      <c r="D213" s="39"/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>
      <c r="A214" s="14"/>
      <c r="B214" s="14"/>
      <c r="C214" s="39"/>
      <c r="D214" s="39"/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>
      <c r="A215" s="14"/>
      <c r="B215" s="14"/>
      <c r="C215" s="39"/>
      <c r="D215" s="39"/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>
      <c r="A216" s="14"/>
      <c r="B216" s="14"/>
      <c r="C216" s="39"/>
      <c r="D216" s="39"/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>
      <c r="A217" s="14"/>
      <c r="B217" s="14"/>
      <c r="C217" s="39"/>
      <c r="D217" s="39"/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>
      <c r="A218" s="14"/>
      <c r="B218" s="14"/>
      <c r="C218" s="39"/>
      <c r="D218" s="39"/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>
      <c r="A219" s="14"/>
      <c r="B219" s="14"/>
      <c r="C219" s="39"/>
      <c r="D219" s="39"/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>
      <c r="A220" s="14"/>
      <c r="B220" s="14"/>
      <c r="C220" s="39"/>
      <c r="D220" s="39"/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>
      <c r="R221" s="30"/>
      <c r="S221" s="40"/>
    </row>
    <row r="222" spans="1:33" ht="15.75" customHeight="1">
      <c r="R222" s="30"/>
      <c r="S222" s="40"/>
    </row>
    <row r="223" spans="1:33" ht="15.75" customHeight="1">
      <c r="R223" s="30"/>
      <c r="S223" s="40"/>
    </row>
    <row r="224" spans="1:33" ht="15.75" customHeight="1">
      <c r="R224" s="30"/>
      <c r="S224" s="40"/>
    </row>
    <row r="225" spans="18:18" ht="15.75" customHeight="1">
      <c r="R225" s="30"/>
    </row>
    <row r="226" spans="18:18" ht="15.75" customHeight="1">
      <c r="R226" s="30"/>
    </row>
    <row r="227" spans="18:18" ht="15.75" customHeight="1">
      <c r="R227" s="30"/>
    </row>
    <row r="228" spans="18:18" ht="15.75" customHeight="1">
      <c r="R228" s="30"/>
    </row>
    <row r="229" spans="18:18" ht="15.75" customHeight="1">
      <c r="R229" s="30"/>
    </row>
    <row r="230" spans="18:18" ht="15.75" customHeight="1">
      <c r="R230" s="30"/>
    </row>
    <row r="231" spans="18:18" ht="15.75" customHeight="1">
      <c r="R231" s="30"/>
    </row>
    <row r="232" spans="18:18" ht="15.75" customHeight="1">
      <c r="R232" s="30"/>
    </row>
    <row r="233" spans="18:18" ht="15.75" customHeight="1">
      <c r="R233" s="30"/>
    </row>
    <row r="234" spans="18:18" ht="15.75" customHeight="1">
      <c r="R234" s="30"/>
    </row>
    <row r="235" spans="18:18" ht="15.75" customHeight="1">
      <c r="R235" s="30"/>
    </row>
    <row r="236" spans="18:18" ht="15.75" customHeight="1">
      <c r="R236" s="30"/>
    </row>
    <row r="237" spans="18:18" ht="15.75" customHeight="1">
      <c r="R237" s="30"/>
    </row>
    <row r="238" spans="18:18" ht="15.75" customHeight="1">
      <c r="R238" s="30"/>
    </row>
    <row r="239" spans="18:18" ht="15.75" customHeight="1">
      <c r="R239" s="30"/>
    </row>
    <row r="240" spans="18:18" ht="15.75" customHeight="1">
      <c r="R240" s="30"/>
    </row>
    <row r="241" spans="18:18" ht="15.75" customHeight="1">
      <c r="R241" s="30"/>
    </row>
    <row r="242" spans="18:18" ht="15.75" customHeight="1">
      <c r="R242" s="30"/>
    </row>
    <row r="243" spans="18:18" ht="15.75" customHeight="1">
      <c r="R243" s="30"/>
    </row>
    <row r="244" spans="18:18" ht="15.75" customHeight="1">
      <c r="R244" s="30"/>
    </row>
    <row r="245" spans="18:18" ht="15.75" customHeight="1">
      <c r="R245" s="30"/>
    </row>
    <row r="246" spans="18:18" ht="15.75" customHeight="1">
      <c r="R246" s="30"/>
    </row>
    <row r="247" spans="18:18" ht="15.75" customHeight="1">
      <c r="R247" s="30"/>
    </row>
    <row r="248" spans="18:18" ht="15.75" customHeight="1">
      <c r="R248" s="30"/>
    </row>
    <row r="249" spans="18:18" ht="15.75" customHeight="1">
      <c r="R249" s="30"/>
    </row>
    <row r="250" spans="18:18" ht="15.75" customHeight="1">
      <c r="R250" s="30"/>
    </row>
    <row r="251" spans="18:18" ht="15.75" customHeight="1">
      <c r="R251" s="30"/>
    </row>
    <row r="252" spans="18:18" ht="15.75" customHeight="1">
      <c r="R252" s="30"/>
    </row>
    <row r="253" spans="18:18" ht="15.75" customHeight="1">
      <c r="R253" s="30"/>
    </row>
    <row r="254" spans="18:18" ht="15.75" customHeight="1">
      <c r="R254" s="30"/>
    </row>
    <row r="255" spans="18:18" ht="15.75" customHeight="1">
      <c r="R255" s="30"/>
    </row>
    <row r="256" spans="18:18" ht="15.75" customHeight="1">
      <c r="R256" s="30"/>
    </row>
    <row r="257" spans="18:18" ht="15.75" customHeight="1">
      <c r="R257" s="30"/>
    </row>
    <row r="258" spans="18:18" ht="15.75" customHeight="1">
      <c r="R258" s="30"/>
    </row>
    <row r="259" spans="18:18" ht="15.75" customHeight="1">
      <c r="R259" s="30"/>
    </row>
    <row r="260" spans="18:18" ht="15.75" customHeight="1">
      <c r="R260" s="30"/>
    </row>
    <row r="261" spans="18:18" ht="15.75" customHeight="1">
      <c r="R261" s="30"/>
    </row>
    <row r="262" spans="18:18" ht="15.75" customHeight="1">
      <c r="R262" s="30"/>
    </row>
    <row r="263" spans="18:18" ht="15.75" customHeight="1">
      <c r="R263" s="30"/>
    </row>
    <row r="264" spans="18:18" ht="15.75" customHeight="1">
      <c r="R264" s="30"/>
    </row>
    <row r="265" spans="18:18" ht="15.75" customHeight="1">
      <c r="R265" s="30"/>
    </row>
    <row r="266" spans="18:18" ht="15.75" customHeight="1">
      <c r="R266" s="30"/>
    </row>
    <row r="267" spans="18:18" ht="15.75" customHeight="1">
      <c r="R267" s="30"/>
    </row>
    <row r="268" spans="18:18" ht="15.75" customHeight="1">
      <c r="R268" s="30"/>
    </row>
    <row r="269" spans="18:18" ht="15.75" customHeight="1">
      <c r="R269" s="30"/>
    </row>
    <row r="270" spans="18:18" ht="15.75" customHeight="1">
      <c r="R270" s="30"/>
    </row>
    <row r="271" spans="18:18" ht="15.75" customHeight="1">
      <c r="R271" s="30"/>
    </row>
    <row r="272" spans="18:18" ht="15.75" customHeight="1">
      <c r="R272" s="30"/>
    </row>
    <row r="273" spans="18:18" ht="15.75" customHeight="1">
      <c r="R273" s="30"/>
    </row>
    <row r="274" spans="18:18" ht="15.75" customHeight="1">
      <c r="R274" s="30"/>
    </row>
    <row r="275" spans="18:18" ht="15.75" customHeight="1">
      <c r="R275" s="30"/>
    </row>
    <row r="276" spans="18:18" ht="15.75" customHeight="1">
      <c r="R276" s="30"/>
    </row>
    <row r="277" spans="18:18" ht="15.75" customHeight="1">
      <c r="R277" s="30"/>
    </row>
    <row r="278" spans="18:18" ht="15.75" customHeight="1">
      <c r="R278" s="30"/>
    </row>
    <row r="279" spans="18:18" ht="15.75" customHeight="1">
      <c r="R279" s="30"/>
    </row>
    <row r="280" spans="18:18" ht="15.75" customHeight="1">
      <c r="R280" s="30"/>
    </row>
    <row r="281" spans="18:18" ht="15.75" customHeight="1">
      <c r="R281" s="30"/>
    </row>
    <row r="282" spans="18:18" ht="15.75" customHeight="1">
      <c r="R282" s="30"/>
    </row>
    <row r="283" spans="18:18" ht="15.75" customHeight="1">
      <c r="R283" s="30"/>
    </row>
    <row r="284" spans="18:18" ht="15.75" customHeight="1">
      <c r="R284" s="30"/>
    </row>
    <row r="285" spans="18:18" ht="15.75" customHeight="1">
      <c r="R285" s="30"/>
    </row>
    <row r="286" spans="18:18" ht="15.75" customHeight="1">
      <c r="R286" s="30"/>
    </row>
    <row r="287" spans="18:18" ht="15.75" customHeight="1">
      <c r="R287" s="30"/>
    </row>
    <row r="288" spans="18:18" ht="15.75" customHeight="1">
      <c r="R288" s="30"/>
    </row>
    <row r="289" spans="18:18" ht="15.75" customHeight="1">
      <c r="R289" s="30"/>
    </row>
    <row r="290" spans="18:18" ht="15.75" customHeight="1">
      <c r="R290" s="30"/>
    </row>
    <row r="291" spans="18:18" ht="15.75" customHeight="1">
      <c r="R291" s="30"/>
    </row>
    <row r="292" spans="18:18" ht="15.75" customHeight="1">
      <c r="R292" s="30"/>
    </row>
    <row r="293" spans="18:18" ht="15.75" customHeight="1">
      <c r="R293" s="30"/>
    </row>
    <row r="294" spans="18:18" ht="15.75" customHeight="1">
      <c r="R294" s="30"/>
    </row>
    <row r="295" spans="18:18" ht="15.75" customHeight="1">
      <c r="R295" s="30"/>
    </row>
    <row r="296" spans="18:18" ht="15.75" customHeight="1">
      <c r="R296" s="30"/>
    </row>
    <row r="297" spans="18:18" ht="15.75" customHeight="1">
      <c r="R297" s="30"/>
    </row>
    <row r="298" spans="18:18" ht="15.75" customHeight="1">
      <c r="R298" s="30"/>
    </row>
    <row r="299" spans="18:18" ht="15.75" customHeight="1">
      <c r="R299" s="30"/>
    </row>
    <row r="300" spans="18:18" ht="15.75" customHeight="1">
      <c r="R300" s="30"/>
    </row>
    <row r="301" spans="18:18" ht="15.75" customHeight="1">
      <c r="R301" s="30"/>
    </row>
    <row r="302" spans="18:18" ht="15.75" customHeight="1">
      <c r="R302" s="30"/>
    </row>
    <row r="303" spans="18:18" ht="15.75" customHeight="1">
      <c r="R303" s="30"/>
    </row>
    <row r="304" spans="18:18" ht="15.75" customHeight="1">
      <c r="R304" s="30"/>
    </row>
    <row r="305" spans="18:18" ht="15.75" customHeight="1">
      <c r="R305" s="30"/>
    </row>
    <row r="306" spans="18:18" ht="15.75" customHeight="1">
      <c r="R306" s="30"/>
    </row>
    <row r="307" spans="18:18" ht="15.75" customHeight="1">
      <c r="R307" s="30"/>
    </row>
    <row r="308" spans="18:18" ht="15.75" customHeight="1">
      <c r="R308" s="30"/>
    </row>
    <row r="309" spans="18:18" ht="15.75" customHeight="1">
      <c r="R309" s="30"/>
    </row>
    <row r="310" spans="18:18" ht="15.75" customHeight="1">
      <c r="R310" s="30"/>
    </row>
    <row r="311" spans="18:18" ht="15.75" customHeight="1">
      <c r="R311" s="30"/>
    </row>
    <row r="312" spans="18:18" ht="15.75" customHeight="1">
      <c r="R312" s="30"/>
    </row>
    <row r="313" spans="18:18" ht="15.75" customHeight="1">
      <c r="R313" s="30"/>
    </row>
    <row r="314" spans="18:18" ht="15.75" customHeight="1">
      <c r="R314" s="30"/>
    </row>
    <row r="315" spans="18:18" ht="15.75" customHeight="1">
      <c r="R315" s="30"/>
    </row>
    <row r="316" spans="18:18" ht="15.75" customHeight="1">
      <c r="R316" s="30"/>
    </row>
    <row r="317" spans="18:18" ht="15.75" customHeight="1">
      <c r="R317" s="30"/>
    </row>
    <row r="318" spans="18:18" ht="15.75" customHeight="1">
      <c r="R318" s="30"/>
    </row>
    <row r="319" spans="18:18" ht="15.75" customHeight="1">
      <c r="R319" s="30"/>
    </row>
    <row r="320" spans="18:18" ht="15.75" customHeight="1">
      <c r="R320" s="30"/>
    </row>
    <row r="321" spans="18:18" ht="15.75" customHeight="1">
      <c r="R321" s="30"/>
    </row>
    <row r="322" spans="18:18" ht="15.75" customHeight="1">
      <c r="R322" s="30"/>
    </row>
    <row r="323" spans="18:18" ht="15.75" customHeight="1">
      <c r="R323" s="30"/>
    </row>
    <row r="324" spans="18:18" ht="15.75" customHeight="1">
      <c r="R324" s="30"/>
    </row>
    <row r="325" spans="18:18" ht="15.75" customHeight="1">
      <c r="R325" s="30"/>
    </row>
    <row r="326" spans="18:18" ht="15.75" customHeight="1">
      <c r="R326" s="30"/>
    </row>
    <row r="327" spans="18:18" ht="15.75" customHeight="1">
      <c r="R327" s="30"/>
    </row>
    <row r="328" spans="18:18" ht="15.75" customHeight="1">
      <c r="R328" s="30"/>
    </row>
    <row r="329" spans="18:18" ht="15.75" customHeight="1">
      <c r="R329" s="30"/>
    </row>
    <row r="330" spans="18:18" ht="15.75" customHeight="1">
      <c r="R330" s="30"/>
    </row>
    <row r="331" spans="18:18" ht="15.75" customHeight="1">
      <c r="R331" s="30"/>
    </row>
    <row r="332" spans="18:18" ht="15.75" customHeight="1">
      <c r="R332" s="30"/>
    </row>
    <row r="333" spans="18:18" ht="15.75" customHeight="1">
      <c r="R333" s="30"/>
    </row>
    <row r="334" spans="18:18" ht="15.75" customHeight="1">
      <c r="R334" s="30"/>
    </row>
    <row r="335" spans="18:18" ht="15.75" customHeight="1">
      <c r="R335" s="30"/>
    </row>
    <row r="336" spans="18:18" ht="15.75" customHeight="1">
      <c r="R336" s="30"/>
    </row>
    <row r="337" spans="18:18" ht="15.75" customHeight="1">
      <c r="R337" s="30"/>
    </row>
    <row r="338" spans="18:18" ht="15.75" customHeight="1">
      <c r="R338" s="30"/>
    </row>
    <row r="339" spans="18:18" ht="15.75" customHeight="1">
      <c r="R339" s="30"/>
    </row>
    <row r="340" spans="18:18" ht="15.75" customHeight="1">
      <c r="R340" s="30"/>
    </row>
    <row r="341" spans="18:18" ht="15.75" customHeight="1">
      <c r="R341" s="30"/>
    </row>
    <row r="342" spans="18:18" ht="15.75" customHeight="1">
      <c r="R342" s="30"/>
    </row>
    <row r="343" spans="18:18" ht="15.75" customHeight="1">
      <c r="R343" s="30"/>
    </row>
    <row r="344" spans="18:18" ht="15.75" customHeight="1">
      <c r="R344" s="30"/>
    </row>
    <row r="345" spans="18:18" ht="15.75" customHeight="1">
      <c r="R345" s="30"/>
    </row>
    <row r="346" spans="18:18" ht="15.75" customHeight="1">
      <c r="R346" s="30"/>
    </row>
    <row r="347" spans="18:18" ht="15.75" customHeight="1">
      <c r="R347" s="30"/>
    </row>
    <row r="348" spans="18:18" ht="15.75" customHeight="1">
      <c r="R348" s="30"/>
    </row>
    <row r="349" spans="18:18" ht="15.75" customHeight="1">
      <c r="R349" s="30"/>
    </row>
    <row r="350" spans="18:18" ht="15.75" customHeight="1">
      <c r="R350" s="30"/>
    </row>
    <row r="351" spans="18:18" ht="15.75" customHeight="1">
      <c r="R351" s="30"/>
    </row>
    <row r="352" spans="18:18" ht="15.75" customHeight="1">
      <c r="R352" s="30"/>
    </row>
    <row r="353" spans="18:18" ht="15.75" customHeight="1">
      <c r="R353" s="30"/>
    </row>
    <row r="354" spans="18:18" ht="15.75" customHeight="1">
      <c r="R354" s="30"/>
    </row>
    <row r="355" spans="18:18" ht="15.75" customHeight="1">
      <c r="R355" s="30"/>
    </row>
    <row r="356" spans="18:18" ht="15.75" customHeight="1">
      <c r="R356" s="30"/>
    </row>
    <row r="357" spans="18:18" ht="15.75" customHeight="1">
      <c r="R357" s="30"/>
    </row>
    <row r="358" spans="18:18" ht="15.75" customHeight="1">
      <c r="R358" s="30"/>
    </row>
    <row r="359" spans="18:18" ht="15.75" customHeight="1">
      <c r="R359" s="30"/>
    </row>
    <row r="360" spans="18:18" ht="15.75" customHeight="1">
      <c r="R360" s="30"/>
    </row>
    <row r="361" spans="18:18" ht="15.75" customHeight="1">
      <c r="R361" s="30"/>
    </row>
    <row r="362" spans="18:18" ht="15.75" customHeight="1">
      <c r="R362" s="30"/>
    </row>
    <row r="363" spans="18:18" ht="15.75" customHeight="1">
      <c r="R363" s="30"/>
    </row>
    <row r="364" spans="18:18" ht="15.75" customHeight="1">
      <c r="R364" s="30"/>
    </row>
    <row r="365" spans="18:18" ht="15.75" customHeight="1">
      <c r="R365" s="30"/>
    </row>
    <row r="366" spans="18:18" ht="15.75" customHeight="1">
      <c r="R366" s="30"/>
    </row>
    <row r="367" spans="18:18" ht="15.75" customHeight="1">
      <c r="R367" s="30"/>
    </row>
    <row r="368" spans="18:18" ht="15.75" customHeight="1">
      <c r="R368" s="30"/>
    </row>
    <row r="369" spans="18:18" ht="15.75" customHeight="1">
      <c r="R369" s="30"/>
    </row>
    <row r="370" spans="18:18" ht="15.75" customHeight="1">
      <c r="R370" s="30"/>
    </row>
    <row r="371" spans="18:18" ht="15.75" customHeight="1">
      <c r="R371" s="30"/>
    </row>
    <row r="372" spans="18:18" ht="15.75" customHeight="1">
      <c r="R372" s="30"/>
    </row>
    <row r="373" spans="18:18" ht="15.75" customHeight="1">
      <c r="R373" s="30"/>
    </row>
    <row r="374" spans="18:18" ht="15.75" customHeight="1">
      <c r="R374" s="30"/>
    </row>
    <row r="375" spans="18:18" ht="15.75" customHeight="1">
      <c r="R375" s="30"/>
    </row>
    <row r="376" spans="18:18" ht="15.75" customHeight="1">
      <c r="R376" s="30"/>
    </row>
    <row r="377" spans="18:18" ht="15.75" customHeight="1">
      <c r="R377" s="30"/>
    </row>
    <row r="378" spans="18:18" ht="15.75" customHeight="1">
      <c r="R378" s="30"/>
    </row>
    <row r="379" spans="18:18" ht="15.75" customHeight="1">
      <c r="R379" s="30"/>
    </row>
    <row r="380" spans="18:18" ht="15.75" customHeight="1">
      <c r="R380" s="30"/>
    </row>
    <row r="381" spans="18:18" ht="15.75" customHeight="1">
      <c r="R381" s="30"/>
    </row>
    <row r="382" spans="18:18" ht="15.75" customHeight="1">
      <c r="R382" s="30"/>
    </row>
    <row r="383" spans="18:18" ht="15.75" customHeight="1">
      <c r="R383" s="30"/>
    </row>
    <row r="384" spans="18:18" ht="15.75" customHeight="1">
      <c r="R384" s="30"/>
    </row>
    <row r="385" spans="18:18" ht="15.75" customHeight="1">
      <c r="R385" s="30"/>
    </row>
    <row r="386" spans="18:18" ht="15.75" customHeight="1">
      <c r="R386" s="30"/>
    </row>
    <row r="387" spans="18:18" ht="15.75" customHeight="1">
      <c r="R387" s="30"/>
    </row>
    <row r="388" spans="18:18" ht="15.75" customHeight="1">
      <c r="R388" s="30"/>
    </row>
    <row r="389" spans="18:18" ht="15.75" customHeight="1">
      <c r="R389" s="30"/>
    </row>
    <row r="390" spans="18:18" ht="15.75" customHeight="1">
      <c r="R390" s="30"/>
    </row>
    <row r="391" spans="18:18" ht="15.75" customHeight="1">
      <c r="R391" s="30"/>
    </row>
    <row r="392" spans="18:18" ht="15.75" customHeight="1">
      <c r="R392" s="30"/>
    </row>
    <row r="393" spans="18:18" ht="15.75" customHeight="1">
      <c r="R393" s="30"/>
    </row>
    <row r="394" spans="18:18" ht="15.75" customHeight="1">
      <c r="R394" s="30"/>
    </row>
    <row r="395" spans="18:18" ht="15.75" customHeight="1">
      <c r="R395" s="30"/>
    </row>
    <row r="396" spans="18:18" ht="15.75" customHeight="1">
      <c r="R396" s="30"/>
    </row>
    <row r="397" spans="18:18" ht="15.75" customHeight="1">
      <c r="R397" s="30"/>
    </row>
    <row r="398" spans="18:18" ht="15.75" customHeight="1">
      <c r="R398" s="30"/>
    </row>
    <row r="399" spans="18:18" ht="15.75" customHeight="1">
      <c r="R399" s="30"/>
    </row>
    <row r="400" spans="18:18" ht="15.75" customHeight="1">
      <c r="R400" s="30"/>
    </row>
    <row r="401" spans="18:18" ht="15.75" customHeight="1">
      <c r="R401" s="30"/>
    </row>
    <row r="402" spans="18:18" ht="15.75" customHeight="1">
      <c r="R402" s="30"/>
    </row>
    <row r="403" spans="18:18" ht="15.75" customHeight="1">
      <c r="R403" s="30"/>
    </row>
    <row r="404" spans="18:18" ht="15.75" customHeight="1">
      <c r="R404" s="30"/>
    </row>
    <row r="405" spans="18:18" ht="15.75" customHeight="1">
      <c r="R405" s="30"/>
    </row>
    <row r="406" spans="18:18" ht="15.75" customHeight="1">
      <c r="R406" s="30"/>
    </row>
    <row r="407" spans="18:18" ht="15.75" customHeight="1">
      <c r="R407" s="30"/>
    </row>
    <row r="408" spans="18:18" ht="15.75" customHeight="1">
      <c r="R408" s="30"/>
    </row>
    <row r="409" spans="18:18" ht="15.75" customHeight="1">
      <c r="R409" s="30"/>
    </row>
    <row r="410" spans="18:18" ht="15.75" customHeight="1">
      <c r="R410" s="30"/>
    </row>
    <row r="411" spans="18:18" ht="15.75" customHeight="1">
      <c r="R411" s="30"/>
    </row>
    <row r="412" spans="18:18" ht="15.75" customHeight="1">
      <c r="R412" s="30"/>
    </row>
    <row r="413" spans="18:18" ht="15.75" customHeight="1">
      <c r="R413" s="30"/>
    </row>
    <row r="414" spans="18:18" ht="15.75" customHeight="1">
      <c r="R414" s="30"/>
    </row>
    <row r="415" spans="18:18" ht="15.75" customHeight="1">
      <c r="R415" s="30"/>
    </row>
    <row r="416" spans="18:18" ht="15.75" customHeight="1">
      <c r="R416" s="30"/>
    </row>
    <row r="417" spans="18:18" ht="15.75" customHeight="1">
      <c r="R417" s="30"/>
    </row>
    <row r="418" spans="18:18" ht="15.75" customHeight="1">
      <c r="R418" s="30"/>
    </row>
    <row r="419" spans="18:18" ht="15.75" customHeight="1">
      <c r="R419" s="30"/>
    </row>
    <row r="420" spans="18:18" ht="15.75" customHeight="1">
      <c r="R420" s="30"/>
    </row>
    <row r="421" spans="18:18" ht="15.75" customHeight="1">
      <c r="R421" s="30"/>
    </row>
    <row r="422" spans="18:18" ht="15.75" customHeight="1">
      <c r="R422" s="30"/>
    </row>
    <row r="423" spans="18:18" ht="15.75" customHeight="1">
      <c r="R423" s="30"/>
    </row>
    <row r="424" spans="18:18" ht="15.75" customHeight="1">
      <c r="R424" s="30"/>
    </row>
    <row r="425" spans="18:18" ht="15.75" customHeight="1">
      <c r="R425" s="30"/>
    </row>
    <row r="426" spans="18:18" ht="15.75" customHeight="1">
      <c r="R426" s="30"/>
    </row>
    <row r="427" spans="18:18" ht="15.75" customHeight="1">
      <c r="R427" s="30"/>
    </row>
    <row r="428" spans="18:18" ht="15.75" customHeight="1">
      <c r="R428" s="30"/>
    </row>
    <row r="429" spans="18:18" ht="15.75" customHeight="1">
      <c r="R429" s="30"/>
    </row>
    <row r="430" spans="18:18" ht="15.75" customHeight="1">
      <c r="R430" s="30"/>
    </row>
    <row r="431" spans="18:18" ht="15.75" customHeight="1">
      <c r="R431" s="30"/>
    </row>
    <row r="432" spans="18:18" ht="15.75" customHeight="1">
      <c r="R432" s="30"/>
    </row>
    <row r="433" spans="18:18" ht="15.75" customHeight="1">
      <c r="R433" s="30"/>
    </row>
    <row r="434" spans="18:18" ht="15.75" customHeight="1">
      <c r="R434" s="30"/>
    </row>
    <row r="435" spans="18:18" ht="15.75" customHeight="1">
      <c r="R435" s="30"/>
    </row>
    <row r="436" spans="18:18" ht="15.75" customHeight="1">
      <c r="R436" s="30"/>
    </row>
    <row r="437" spans="18:18" ht="15.75" customHeight="1">
      <c r="R437" s="30"/>
    </row>
    <row r="438" spans="18:18" ht="15.75" customHeight="1">
      <c r="R438" s="30"/>
    </row>
    <row r="439" spans="18:18" ht="15.75" customHeight="1">
      <c r="R439" s="30"/>
    </row>
    <row r="440" spans="18:18" ht="15.75" customHeight="1">
      <c r="R440" s="30"/>
    </row>
    <row r="441" spans="18:18" ht="15.75" customHeight="1">
      <c r="R441" s="30"/>
    </row>
    <row r="442" spans="18:18" ht="15.75" customHeight="1">
      <c r="R442" s="30"/>
    </row>
    <row r="443" spans="18:18" ht="15.75" customHeight="1">
      <c r="R443" s="30"/>
    </row>
    <row r="444" spans="18:18" ht="15.75" customHeight="1">
      <c r="R444" s="30"/>
    </row>
    <row r="445" spans="18:18" ht="15.75" customHeight="1">
      <c r="R445" s="30"/>
    </row>
    <row r="446" spans="18:18" ht="15.75" customHeight="1">
      <c r="R446" s="30"/>
    </row>
    <row r="447" spans="18:18" ht="15.75" customHeight="1">
      <c r="R447" s="30"/>
    </row>
    <row r="448" spans="18:18" ht="15.75" customHeight="1">
      <c r="R448" s="30"/>
    </row>
    <row r="449" spans="18:18" ht="15.75" customHeight="1">
      <c r="R449" s="30"/>
    </row>
    <row r="450" spans="18:18" ht="15.75" customHeight="1">
      <c r="R450" s="30"/>
    </row>
    <row r="451" spans="18:18" ht="15.75" customHeight="1">
      <c r="R451" s="30"/>
    </row>
    <row r="452" spans="18:18" ht="15.75" customHeight="1">
      <c r="R452" s="30"/>
    </row>
    <row r="453" spans="18:18" ht="15.75" customHeight="1">
      <c r="R453" s="30"/>
    </row>
    <row r="454" spans="18:18" ht="15.75" customHeight="1">
      <c r="R454" s="30"/>
    </row>
    <row r="455" spans="18:18" ht="15.75" customHeight="1">
      <c r="R455" s="30"/>
    </row>
    <row r="456" spans="18:18" ht="15.75" customHeight="1">
      <c r="R456" s="30"/>
    </row>
    <row r="457" spans="18:18" ht="15.75" customHeight="1">
      <c r="R457" s="30"/>
    </row>
    <row r="458" spans="18:18" ht="15.75" customHeight="1">
      <c r="R458" s="30"/>
    </row>
    <row r="459" spans="18:18" ht="15.75" customHeight="1">
      <c r="R459" s="30"/>
    </row>
    <row r="460" spans="18:18" ht="15.75" customHeight="1">
      <c r="R460" s="30"/>
    </row>
    <row r="461" spans="18:18" ht="15.75" customHeight="1">
      <c r="R461" s="30"/>
    </row>
    <row r="462" spans="18:18" ht="15.75" customHeight="1">
      <c r="R462" s="30"/>
    </row>
    <row r="463" spans="18:18" ht="15.75" customHeight="1">
      <c r="R463" s="30"/>
    </row>
    <row r="464" spans="18:18" ht="15.75" customHeight="1">
      <c r="R464" s="30"/>
    </row>
    <row r="465" spans="18:18" ht="15.75" customHeight="1">
      <c r="R465" s="30"/>
    </row>
    <row r="466" spans="18:18" ht="15.75" customHeight="1">
      <c r="R466" s="30"/>
    </row>
    <row r="467" spans="18:18" ht="15.75" customHeight="1">
      <c r="R467" s="30"/>
    </row>
    <row r="468" spans="18:18" ht="15.75" customHeight="1">
      <c r="R468" s="30"/>
    </row>
    <row r="469" spans="18:18" ht="15.75" customHeight="1">
      <c r="R469" s="30"/>
    </row>
    <row r="470" spans="18:18" ht="15.75" customHeight="1">
      <c r="R470" s="30"/>
    </row>
    <row r="471" spans="18:18" ht="15.75" customHeight="1">
      <c r="R471" s="30"/>
    </row>
    <row r="472" spans="18:18" ht="15.75" customHeight="1">
      <c r="R472" s="30"/>
    </row>
    <row r="473" spans="18:18" ht="15.75" customHeight="1">
      <c r="R473" s="30"/>
    </row>
    <row r="474" spans="18:18" ht="15.75" customHeight="1">
      <c r="R474" s="30"/>
    </row>
    <row r="475" spans="18:18" ht="15.75" customHeight="1">
      <c r="R475" s="30"/>
    </row>
    <row r="476" spans="18:18" ht="15.75" customHeight="1">
      <c r="R476" s="30"/>
    </row>
    <row r="477" spans="18:18" ht="15.75" customHeight="1">
      <c r="R477" s="30"/>
    </row>
    <row r="478" spans="18:18" ht="15.75" customHeight="1">
      <c r="R478" s="30"/>
    </row>
    <row r="479" spans="18:18" ht="15.75" customHeight="1">
      <c r="R479" s="30"/>
    </row>
    <row r="480" spans="18:18" ht="15.75" customHeight="1">
      <c r="R480" s="30"/>
    </row>
    <row r="481" spans="18:18" ht="15.75" customHeight="1">
      <c r="R481" s="30"/>
    </row>
    <row r="482" spans="18:18" ht="15.75" customHeight="1">
      <c r="R482" s="30"/>
    </row>
    <row r="483" spans="18:18" ht="15.75" customHeight="1">
      <c r="R483" s="30"/>
    </row>
    <row r="484" spans="18:18" ht="15.75" customHeight="1">
      <c r="R484" s="30"/>
    </row>
    <row r="485" spans="18:18" ht="15.75" customHeight="1">
      <c r="R485" s="30"/>
    </row>
    <row r="486" spans="18:18" ht="15.75" customHeight="1">
      <c r="R486" s="30"/>
    </row>
    <row r="487" spans="18:18" ht="15.75" customHeight="1">
      <c r="R487" s="30"/>
    </row>
    <row r="488" spans="18:18" ht="15.75" customHeight="1">
      <c r="R488" s="30"/>
    </row>
    <row r="489" spans="18:18" ht="15.75" customHeight="1">
      <c r="R489" s="30"/>
    </row>
    <row r="490" spans="18:18" ht="15.75" customHeight="1">
      <c r="R490" s="30"/>
    </row>
    <row r="491" spans="18:18" ht="15.75" customHeight="1">
      <c r="R491" s="30"/>
    </row>
    <row r="492" spans="18:18" ht="15.75" customHeight="1">
      <c r="R492" s="30"/>
    </row>
    <row r="493" spans="18:18" ht="15.75" customHeight="1">
      <c r="R493" s="30"/>
    </row>
    <row r="494" spans="18:18" ht="15.75" customHeight="1">
      <c r="R494" s="30"/>
    </row>
    <row r="495" spans="18:18" ht="15.75" customHeight="1">
      <c r="R495" s="30"/>
    </row>
    <row r="496" spans="18:18" ht="15.75" customHeight="1">
      <c r="R496" s="30"/>
    </row>
    <row r="497" spans="18:18" ht="15.75" customHeight="1">
      <c r="R497" s="30"/>
    </row>
    <row r="498" spans="18:18" ht="15.75" customHeight="1">
      <c r="R498" s="30"/>
    </row>
    <row r="499" spans="18:18" ht="15.75" customHeight="1">
      <c r="R499" s="30"/>
    </row>
    <row r="500" spans="18:18" ht="15.75" customHeight="1">
      <c r="R500" s="30"/>
    </row>
    <row r="501" spans="18:18" ht="15.75" customHeight="1">
      <c r="R501" s="30"/>
    </row>
    <row r="502" spans="18:18" ht="15.75" customHeight="1">
      <c r="R502" s="30"/>
    </row>
    <row r="503" spans="18:18" ht="15.75" customHeight="1">
      <c r="R503" s="30"/>
    </row>
    <row r="504" spans="18:18" ht="15.75" customHeight="1">
      <c r="R504" s="30"/>
    </row>
    <row r="505" spans="18:18" ht="15.75" customHeight="1">
      <c r="R505" s="30"/>
    </row>
    <row r="506" spans="18:18" ht="15.75" customHeight="1">
      <c r="R506" s="30"/>
    </row>
    <row r="507" spans="18:18" ht="15.75" customHeight="1">
      <c r="R507" s="30"/>
    </row>
    <row r="508" spans="18:18" ht="15.75" customHeight="1">
      <c r="R508" s="30"/>
    </row>
    <row r="509" spans="18:18" ht="15.75" customHeight="1">
      <c r="R509" s="30"/>
    </row>
    <row r="510" spans="18:18" ht="15.75" customHeight="1">
      <c r="R510" s="30"/>
    </row>
    <row r="511" spans="18:18" ht="15.75" customHeight="1">
      <c r="R511" s="30"/>
    </row>
    <row r="512" spans="18:18" ht="15.75" customHeight="1">
      <c r="R512" s="30"/>
    </row>
    <row r="513" spans="18:18" ht="15.75" customHeight="1">
      <c r="R513" s="30"/>
    </row>
    <row r="514" spans="18:18" ht="15.75" customHeight="1">
      <c r="R514" s="30"/>
    </row>
    <row r="515" spans="18:18" ht="15.75" customHeight="1">
      <c r="R515" s="30"/>
    </row>
    <row r="516" spans="18:18" ht="15.75" customHeight="1">
      <c r="R516" s="30"/>
    </row>
    <row r="517" spans="18:18" ht="15.75" customHeight="1">
      <c r="R517" s="30"/>
    </row>
    <row r="518" spans="18:18" ht="15.75" customHeight="1">
      <c r="R518" s="30"/>
    </row>
    <row r="519" spans="18:18" ht="15.75" customHeight="1">
      <c r="R519" s="30"/>
    </row>
    <row r="520" spans="18:18" ht="15.75" customHeight="1">
      <c r="R520" s="30"/>
    </row>
    <row r="521" spans="18:18" ht="15.75" customHeight="1">
      <c r="R521" s="30"/>
    </row>
    <row r="522" spans="18:18" ht="15.75" customHeight="1">
      <c r="R522" s="30"/>
    </row>
    <row r="523" spans="18:18" ht="15.75" customHeight="1">
      <c r="R523" s="30"/>
    </row>
    <row r="524" spans="18:18" ht="15.75" customHeight="1">
      <c r="R524" s="30"/>
    </row>
    <row r="525" spans="18:18" ht="15.75" customHeight="1">
      <c r="R525" s="30"/>
    </row>
    <row r="526" spans="18:18" ht="15.75" customHeight="1">
      <c r="R526" s="30"/>
    </row>
    <row r="527" spans="18:18" ht="15.75" customHeight="1">
      <c r="R527" s="30"/>
    </row>
    <row r="528" spans="18:18" ht="15.75" customHeight="1">
      <c r="R528" s="30"/>
    </row>
    <row r="529" spans="18:18" ht="15.75" customHeight="1">
      <c r="R529" s="30"/>
    </row>
    <row r="530" spans="18:18" ht="15.75" customHeight="1">
      <c r="R530" s="30"/>
    </row>
    <row r="531" spans="18:18" ht="15.75" customHeight="1">
      <c r="R531" s="30"/>
    </row>
    <row r="532" spans="18:18" ht="15.75" customHeight="1">
      <c r="R532" s="30"/>
    </row>
    <row r="533" spans="18:18" ht="15.75" customHeight="1">
      <c r="R533" s="30"/>
    </row>
    <row r="534" spans="18:18" ht="15.75" customHeight="1">
      <c r="R534" s="30"/>
    </row>
    <row r="535" spans="18:18" ht="15.75" customHeight="1">
      <c r="R535" s="30"/>
    </row>
    <row r="536" spans="18:18" ht="15.75" customHeight="1">
      <c r="R536" s="30"/>
    </row>
    <row r="537" spans="18:18" ht="15.75" customHeight="1">
      <c r="R537" s="30"/>
    </row>
    <row r="538" spans="18:18" ht="15.75" customHeight="1">
      <c r="R538" s="30"/>
    </row>
    <row r="539" spans="18:18" ht="15.75" customHeight="1">
      <c r="R539" s="30"/>
    </row>
    <row r="540" spans="18:18" ht="15.75" customHeight="1">
      <c r="R540" s="30"/>
    </row>
    <row r="541" spans="18:18" ht="15.75" customHeight="1">
      <c r="R541" s="30"/>
    </row>
    <row r="542" spans="18:18" ht="15.75" customHeight="1">
      <c r="R542" s="30"/>
    </row>
    <row r="543" spans="18:18" ht="15.75" customHeight="1">
      <c r="R543" s="30"/>
    </row>
    <row r="544" spans="18:18" ht="15.75" customHeight="1">
      <c r="R544" s="30"/>
    </row>
    <row r="545" spans="18:18" ht="15.75" customHeight="1">
      <c r="R545" s="30"/>
    </row>
    <row r="546" spans="18:18" ht="15.75" customHeight="1">
      <c r="R546" s="30"/>
    </row>
    <row r="547" spans="18:18" ht="15.75" customHeight="1">
      <c r="R547" s="30"/>
    </row>
    <row r="548" spans="18:18" ht="15.75" customHeight="1">
      <c r="R548" s="30"/>
    </row>
    <row r="549" spans="18:18" ht="15.75" customHeight="1">
      <c r="R549" s="30"/>
    </row>
    <row r="550" spans="18:18" ht="15.75" customHeight="1">
      <c r="R550" s="30"/>
    </row>
    <row r="551" spans="18:18" ht="15.75" customHeight="1">
      <c r="R551" s="30"/>
    </row>
    <row r="552" spans="18:18" ht="15.75" customHeight="1">
      <c r="R552" s="30"/>
    </row>
    <row r="553" spans="18:18" ht="15.75" customHeight="1">
      <c r="R553" s="30"/>
    </row>
    <row r="554" spans="18:18" ht="15.75" customHeight="1">
      <c r="R554" s="30"/>
    </row>
    <row r="555" spans="18:18" ht="15.75" customHeight="1">
      <c r="R555" s="30"/>
    </row>
    <row r="556" spans="18:18" ht="15.75" customHeight="1">
      <c r="R556" s="30"/>
    </row>
    <row r="557" spans="18:18" ht="15.75" customHeight="1">
      <c r="R557" s="30"/>
    </row>
    <row r="558" spans="18:18" ht="15.75" customHeight="1">
      <c r="R558" s="30"/>
    </row>
    <row r="559" spans="18:18" ht="15.75" customHeight="1">
      <c r="R559" s="30"/>
    </row>
    <row r="560" spans="18:18" ht="15.75" customHeight="1">
      <c r="R560" s="30"/>
    </row>
    <row r="561" spans="18:18" ht="15.75" customHeight="1">
      <c r="R561" s="30"/>
    </row>
    <row r="562" spans="18:18" ht="15.75" customHeight="1">
      <c r="R562" s="30"/>
    </row>
    <row r="563" spans="18:18" ht="15.75" customHeight="1">
      <c r="R563" s="30"/>
    </row>
    <row r="564" spans="18:18" ht="15.75" customHeight="1">
      <c r="R564" s="30"/>
    </row>
    <row r="565" spans="18:18" ht="15.75" customHeight="1">
      <c r="R565" s="30"/>
    </row>
    <row r="566" spans="18:18" ht="15.75" customHeight="1">
      <c r="R566" s="30"/>
    </row>
    <row r="567" spans="18:18" ht="15.75" customHeight="1">
      <c r="R567" s="30"/>
    </row>
    <row r="568" spans="18:18" ht="15.75" customHeight="1">
      <c r="R568" s="30"/>
    </row>
    <row r="569" spans="18:18" ht="15.75" customHeight="1">
      <c r="R569" s="30"/>
    </row>
    <row r="570" spans="18:18" ht="15.75" customHeight="1">
      <c r="R570" s="30"/>
    </row>
    <row r="571" spans="18:18" ht="15.75" customHeight="1">
      <c r="R571" s="30"/>
    </row>
    <row r="572" spans="18:18" ht="15.75" customHeight="1">
      <c r="R572" s="30"/>
    </row>
    <row r="573" spans="18:18" ht="15.75" customHeight="1">
      <c r="R573" s="30"/>
    </row>
    <row r="574" spans="18:18" ht="15.75" customHeight="1">
      <c r="R574" s="30"/>
    </row>
    <row r="575" spans="18:18" ht="15.75" customHeight="1">
      <c r="R575" s="30"/>
    </row>
    <row r="576" spans="18:18" ht="15.75" customHeight="1">
      <c r="R576" s="30"/>
    </row>
    <row r="577" spans="18:18" ht="15.75" customHeight="1">
      <c r="R577" s="30"/>
    </row>
    <row r="578" spans="18:18" ht="15.75" customHeight="1">
      <c r="R578" s="30"/>
    </row>
    <row r="579" spans="18:18" ht="15.75" customHeight="1">
      <c r="R579" s="30"/>
    </row>
    <row r="580" spans="18:18" ht="15.75" customHeight="1">
      <c r="R580" s="30"/>
    </row>
    <row r="581" spans="18:18" ht="15.75" customHeight="1">
      <c r="R581" s="30"/>
    </row>
    <row r="582" spans="18:18" ht="15.75" customHeight="1">
      <c r="R582" s="30"/>
    </row>
    <row r="583" spans="18:18" ht="15.75" customHeight="1">
      <c r="R583" s="30"/>
    </row>
    <row r="584" spans="18:18" ht="15.75" customHeight="1">
      <c r="R584" s="30"/>
    </row>
    <row r="585" spans="18:18" ht="15.75" customHeight="1">
      <c r="R585" s="30"/>
    </row>
    <row r="586" spans="18:18" ht="15.75" customHeight="1">
      <c r="R586" s="30"/>
    </row>
    <row r="587" spans="18:18" ht="15.75" customHeight="1">
      <c r="R587" s="30"/>
    </row>
    <row r="588" spans="18:18" ht="15.75" customHeight="1">
      <c r="R588" s="30"/>
    </row>
    <row r="589" spans="18:18" ht="15.75" customHeight="1">
      <c r="R589" s="30"/>
    </row>
    <row r="590" spans="18:18" ht="15.75" customHeight="1">
      <c r="R590" s="30"/>
    </row>
    <row r="591" spans="18:18" ht="15.75" customHeight="1">
      <c r="R591" s="30"/>
    </row>
    <row r="592" spans="18:18" ht="15.75" customHeight="1">
      <c r="R592" s="30"/>
    </row>
    <row r="593" spans="18:18" ht="15.75" customHeight="1">
      <c r="R593" s="30"/>
    </row>
    <row r="594" spans="18:18" ht="15.75" customHeight="1">
      <c r="R594" s="30"/>
    </row>
    <row r="595" spans="18:18" ht="15.75" customHeight="1">
      <c r="R595" s="30"/>
    </row>
    <row r="596" spans="18:18" ht="15.75" customHeight="1">
      <c r="R596" s="30"/>
    </row>
    <row r="597" spans="18:18" ht="15.75" customHeight="1">
      <c r="R597" s="30"/>
    </row>
    <row r="598" spans="18:18" ht="15.75" customHeight="1">
      <c r="R598" s="30"/>
    </row>
    <row r="599" spans="18:18" ht="15.75" customHeight="1">
      <c r="R599" s="30"/>
    </row>
    <row r="600" spans="18:18" ht="15.75" customHeight="1">
      <c r="R600" s="30"/>
    </row>
    <row r="601" spans="18:18" ht="15.75" customHeight="1">
      <c r="R601" s="30"/>
    </row>
    <row r="602" spans="18:18" ht="15.75" customHeight="1">
      <c r="R602" s="30"/>
    </row>
    <row r="603" spans="18:18" ht="15.75" customHeight="1">
      <c r="R603" s="30"/>
    </row>
    <row r="604" spans="18:18" ht="15.75" customHeight="1">
      <c r="R604" s="30"/>
    </row>
    <row r="605" spans="18:18" ht="15.75" customHeight="1">
      <c r="R605" s="30"/>
    </row>
    <row r="606" spans="18:18" ht="15.75" customHeight="1">
      <c r="R606" s="30"/>
    </row>
    <row r="607" spans="18:18" ht="15.75" customHeight="1">
      <c r="R607" s="30"/>
    </row>
    <row r="608" spans="18:18" ht="15.75" customHeight="1">
      <c r="R608" s="30"/>
    </row>
    <row r="609" spans="18:18" ht="15.75" customHeight="1">
      <c r="R609" s="30"/>
    </row>
    <row r="610" spans="18:18" ht="15.75" customHeight="1">
      <c r="R610" s="30"/>
    </row>
    <row r="611" spans="18:18" ht="15.75" customHeight="1">
      <c r="R611" s="30"/>
    </row>
    <row r="612" spans="18:18" ht="15.75" customHeight="1">
      <c r="R612" s="30"/>
    </row>
    <row r="613" spans="18:18" ht="15.75" customHeight="1">
      <c r="R613" s="30"/>
    </row>
    <row r="614" spans="18:18" ht="15.75" customHeight="1">
      <c r="R614" s="30"/>
    </row>
    <row r="615" spans="18:18" ht="15.75" customHeight="1">
      <c r="R615" s="30"/>
    </row>
    <row r="616" spans="18:18" ht="15.75" customHeight="1">
      <c r="R616" s="30"/>
    </row>
    <row r="617" spans="18:18" ht="15.75" customHeight="1">
      <c r="R617" s="30"/>
    </row>
    <row r="618" spans="18:18" ht="15.75" customHeight="1">
      <c r="R618" s="30"/>
    </row>
    <row r="619" spans="18:18" ht="15.75" customHeight="1">
      <c r="R619" s="30"/>
    </row>
    <row r="620" spans="18:18" ht="15.75" customHeight="1">
      <c r="R620" s="30"/>
    </row>
    <row r="621" spans="18:18" ht="15.75" customHeight="1">
      <c r="R621" s="30"/>
    </row>
    <row r="622" spans="18:18" ht="15.75" customHeight="1">
      <c r="R622" s="30"/>
    </row>
    <row r="623" spans="18:18" ht="15.75" customHeight="1">
      <c r="R623" s="30"/>
    </row>
    <row r="624" spans="18:18" ht="15.75" customHeight="1">
      <c r="R624" s="30"/>
    </row>
    <row r="625" spans="18:18" ht="15.75" customHeight="1">
      <c r="R625" s="30"/>
    </row>
    <row r="626" spans="18:18" ht="15.75" customHeight="1">
      <c r="R626" s="30"/>
    </row>
    <row r="627" spans="18:18" ht="15.75" customHeight="1">
      <c r="R627" s="30"/>
    </row>
    <row r="628" spans="18:18" ht="15.75" customHeight="1">
      <c r="R628" s="30"/>
    </row>
    <row r="629" spans="18:18" ht="15.75" customHeight="1">
      <c r="R629" s="30"/>
    </row>
    <row r="630" spans="18:18" ht="15.75" customHeight="1">
      <c r="R630" s="30"/>
    </row>
    <row r="631" spans="18:18" ht="15.75" customHeight="1">
      <c r="R631" s="30"/>
    </row>
    <row r="632" spans="18:18" ht="15.75" customHeight="1">
      <c r="R632" s="30"/>
    </row>
    <row r="633" spans="18:18" ht="15.75" customHeight="1">
      <c r="R633" s="30"/>
    </row>
    <row r="634" spans="18:18" ht="15.75" customHeight="1">
      <c r="R634" s="30"/>
    </row>
    <row r="635" spans="18:18" ht="15.75" customHeight="1">
      <c r="R635" s="30"/>
    </row>
    <row r="636" spans="18:18" ht="15.75" customHeight="1">
      <c r="R636" s="30"/>
    </row>
    <row r="637" spans="18:18" ht="15.75" customHeight="1">
      <c r="R637" s="30"/>
    </row>
    <row r="638" spans="18:18" ht="15.75" customHeight="1">
      <c r="R638" s="30"/>
    </row>
    <row r="639" spans="18:18" ht="15.75" customHeight="1">
      <c r="R639" s="30"/>
    </row>
    <row r="640" spans="18:18" ht="15.75" customHeight="1">
      <c r="R640" s="30"/>
    </row>
    <row r="641" spans="18:18" ht="15.75" customHeight="1">
      <c r="R641" s="30"/>
    </row>
    <row r="642" spans="18:18" ht="15.75" customHeight="1">
      <c r="R642" s="30"/>
    </row>
    <row r="643" spans="18:18" ht="15.75" customHeight="1">
      <c r="R643" s="30"/>
    </row>
    <row r="644" spans="18:18" ht="15.75" customHeight="1">
      <c r="R644" s="30"/>
    </row>
    <row r="645" spans="18:18" ht="15.75" customHeight="1">
      <c r="R645" s="30"/>
    </row>
    <row r="646" spans="18:18" ht="15.75" customHeight="1">
      <c r="R646" s="30"/>
    </row>
    <row r="647" spans="18:18" ht="15.75" customHeight="1">
      <c r="R647" s="30"/>
    </row>
    <row r="648" spans="18:18" ht="15.75" customHeight="1">
      <c r="R648" s="30"/>
    </row>
    <row r="649" spans="18:18" ht="15.75" customHeight="1">
      <c r="R649" s="30"/>
    </row>
    <row r="650" spans="18:18" ht="15.75" customHeight="1">
      <c r="R650" s="30"/>
    </row>
    <row r="651" spans="18:18" ht="15.75" customHeight="1">
      <c r="R651" s="30"/>
    </row>
    <row r="652" spans="18:18" ht="15.75" customHeight="1">
      <c r="R652" s="30"/>
    </row>
    <row r="653" spans="18:18" ht="15.75" customHeight="1">
      <c r="R653" s="30"/>
    </row>
    <row r="654" spans="18:18" ht="15.75" customHeight="1">
      <c r="R654" s="30"/>
    </row>
    <row r="655" spans="18:18" ht="15.75" customHeight="1">
      <c r="R655" s="30"/>
    </row>
    <row r="656" spans="18:18" ht="15.75" customHeight="1">
      <c r="R656" s="30"/>
    </row>
    <row r="657" spans="18:18" ht="15.75" customHeight="1">
      <c r="R657" s="30"/>
    </row>
    <row r="658" spans="18:18" ht="15.75" customHeight="1">
      <c r="R658" s="30"/>
    </row>
    <row r="659" spans="18:18" ht="15.75" customHeight="1">
      <c r="R659" s="30"/>
    </row>
    <row r="660" spans="18:18" ht="15.75" customHeight="1">
      <c r="R660" s="30"/>
    </row>
    <row r="661" spans="18:18" ht="15.75" customHeight="1">
      <c r="R661" s="30"/>
    </row>
    <row r="662" spans="18:18" ht="15.75" customHeight="1">
      <c r="R662" s="30"/>
    </row>
    <row r="663" spans="18:18" ht="15.75" customHeight="1">
      <c r="R663" s="30"/>
    </row>
    <row r="664" spans="18:18" ht="15.75" customHeight="1">
      <c r="R664" s="30"/>
    </row>
    <row r="665" spans="18:18" ht="15.75" customHeight="1">
      <c r="R665" s="30"/>
    </row>
    <row r="666" spans="18:18" ht="15.75" customHeight="1">
      <c r="R666" s="30"/>
    </row>
    <row r="667" spans="18:18" ht="15.75" customHeight="1">
      <c r="R667" s="30"/>
    </row>
    <row r="668" spans="18:18" ht="15.75" customHeight="1">
      <c r="R668" s="30"/>
    </row>
    <row r="669" spans="18:18" ht="15.75" customHeight="1">
      <c r="R669" s="30"/>
    </row>
    <row r="670" spans="18:18" ht="15.75" customHeight="1">
      <c r="R670" s="30"/>
    </row>
    <row r="671" spans="18:18" ht="15.75" customHeight="1">
      <c r="R671" s="30"/>
    </row>
    <row r="672" spans="18:18" ht="15.75" customHeight="1">
      <c r="R672" s="30"/>
    </row>
    <row r="673" spans="18:18" ht="15.75" customHeight="1">
      <c r="R673" s="30"/>
    </row>
    <row r="674" spans="18:18" ht="15.75" customHeight="1">
      <c r="R674" s="30"/>
    </row>
    <row r="675" spans="18:18" ht="15.75" customHeight="1">
      <c r="R675" s="30"/>
    </row>
    <row r="676" spans="18:18" ht="15.75" customHeight="1">
      <c r="R676" s="30"/>
    </row>
    <row r="677" spans="18:18" ht="15.75" customHeight="1">
      <c r="R677" s="30"/>
    </row>
    <row r="678" spans="18:18" ht="15.75" customHeight="1">
      <c r="R678" s="30"/>
    </row>
    <row r="679" spans="18:18" ht="15.75" customHeight="1">
      <c r="R679" s="30"/>
    </row>
    <row r="680" spans="18:18" ht="15.75" customHeight="1">
      <c r="R680" s="30"/>
    </row>
    <row r="681" spans="18:18" ht="15.75" customHeight="1">
      <c r="R681" s="30"/>
    </row>
    <row r="682" spans="18:18" ht="15.75" customHeight="1">
      <c r="R682" s="30"/>
    </row>
    <row r="683" spans="18:18" ht="15.75" customHeight="1">
      <c r="R683" s="30"/>
    </row>
    <row r="684" spans="18:18" ht="15.75" customHeight="1">
      <c r="R684" s="30"/>
    </row>
    <row r="685" spans="18:18" ht="15.75" customHeight="1">
      <c r="R685" s="30"/>
    </row>
    <row r="686" spans="18:18" ht="15.75" customHeight="1">
      <c r="R686" s="30"/>
    </row>
    <row r="687" spans="18:18" ht="15.75" customHeight="1">
      <c r="R687" s="30"/>
    </row>
    <row r="688" spans="18:18" ht="15.75" customHeight="1">
      <c r="R688" s="30"/>
    </row>
    <row r="689" spans="18:18" ht="15.75" customHeight="1">
      <c r="R689" s="30"/>
    </row>
    <row r="690" spans="18:18" ht="15.75" customHeight="1">
      <c r="R690" s="30"/>
    </row>
    <row r="691" spans="18:18" ht="15.75" customHeight="1">
      <c r="R691" s="30"/>
    </row>
    <row r="692" spans="18:18" ht="15.75" customHeight="1">
      <c r="R692" s="30"/>
    </row>
    <row r="693" spans="18:18" ht="15.75" customHeight="1">
      <c r="R693" s="30"/>
    </row>
    <row r="694" spans="18:18" ht="15.75" customHeight="1">
      <c r="R694" s="30"/>
    </row>
    <row r="695" spans="18:18" ht="15.75" customHeight="1">
      <c r="R695" s="30"/>
    </row>
    <row r="696" spans="18:18" ht="15.75" customHeight="1">
      <c r="R696" s="30"/>
    </row>
    <row r="697" spans="18:18" ht="15.75" customHeight="1">
      <c r="R697" s="30"/>
    </row>
    <row r="698" spans="18:18" ht="15.75" customHeight="1">
      <c r="R698" s="30"/>
    </row>
    <row r="699" spans="18:18" ht="15.75" customHeight="1">
      <c r="R699" s="30"/>
    </row>
    <row r="700" spans="18:18" ht="15.75" customHeight="1">
      <c r="R700" s="30"/>
    </row>
    <row r="701" spans="18:18" ht="15.75" customHeight="1">
      <c r="R701" s="30"/>
    </row>
    <row r="702" spans="18:18" ht="15.75" customHeight="1">
      <c r="R702" s="30"/>
    </row>
    <row r="703" spans="18:18" ht="15.75" customHeight="1">
      <c r="R703" s="30"/>
    </row>
    <row r="704" spans="18:18" ht="15.75" customHeight="1">
      <c r="R704" s="30"/>
    </row>
    <row r="705" spans="18:18" ht="15.75" customHeight="1">
      <c r="R705" s="30"/>
    </row>
    <row r="706" spans="18:18" ht="15.75" customHeight="1">
      <c r="R706" s="30"/>
    </row>
    <row r="707" spans="18:18" ht="15.75" customHeight="1">
      <c r="R707" s="30"/>
    </row>
    <row r="708" spans="18:18" ht="15.75" customHeight="1">
      <c r="R708" s="30"/>
    </row>
    <row r="709" spans="18:18" ht="15.75" customHeight="1">
      <c r="R709" s="30"/>
    </row>
    <row r="710" spans="18:18" ht="15.75" customHeight="1">
      <c r="R710" s="30"/>
    </row>
    <row r="711" spans="18:18" ht="15.75" customHeight="1">
      <c r="R711" s="30"/>
    </row>
    <row r="712" spans="18:18" ht="15.75" customHeight="1">
      <c r="R712" s="30"/>
    </row>
    <row r="713" spans="18:18" ht="15.75" customHeight="1">
      <c r="R713" s="30"/>
    </row>
    <row r="714" spans="18:18" ht="15.75" customHeight="1">
      <c r="R714" s="30"/>
    </row>
    <row r="715" spans="18:18" ht="15.75" customHeight="1">
      <c r="R715" s="30"/>
    </row>
    <row r="716" spans="18:18" ht="15.75" customHeight="1">
      <c r="R716" s="30"/>
    </row>
    <row r="717" spans="18:18" ht="15.75" customHeight="1">
      <c r="R717" s="30"/>
    </row>
    <row r="718" spans="18:18" ht="15.75" customHeight="1">
      <c r="R718" s="30"/>
    </row>
    <row r="719" spans="18:18" ht="15.75" customHeight="1">
      <c r="R719" s="30"/>
    </row>
    <row r="720" spans="18:18" ht="15.75" customHeight="1">
      <c r="R720" s="30"/>
    </row>
    <row r="721" spans="18:18" ht="15.75" customHeight="1">
      <c r="R721" s="30"/>
    </row>
    <row r="722" spans="18:18" ht="15.75" customHeight="1">
      <c r="R722" s="30"/>
    </row>
    <row r="723" spans="18:18" ht="15.75" customHeight="1">
      <c r="R723" s="30"/>
    </row>
    <row r="724" spans="18:18" ht="15.75" customHeight="1">
      <c r="R724" s="30"/>
    </row>
    <row r="725" spans="18:18" ht="15.75" customHeight="1">
      <c r="R725" s="30"/>
    </row>
    <row r="726" spans="18:18" ht="15.75" customHeight="1">
      <c r="R726" s="30"/>
    </row>
    <row r="727" spans="18:18" ht="15.75" customHeight="1">
      <c r="R727" s="30"/>
    </row>
    <row r="728" spans="18:18" ht="15.75" customHeight="1">
      <c r="R728" s="30"/>
    </row>
    <row r="729" spans="18:18" ht="15.75" customHeight="1">
      <c r="R729" s="30"/>
    </row>
    <row r="730" spans="18:18" ht="15.75" customHeight="1">
      <c r="R730" s="30"/>
    </row>
    <row r="731" spans="18:18" ht="15.75" customHeight="1">
      <c r="R731" s="30"/>
    </row>
    <row r="732" spans="18:18" ht="15.75" customHeight="1">
      <c r="R732" s="30"/>
    </row>
    <row r="733" spans="18:18" ht="15.75" customHeight="1">
      <c r="R733" s="30"/>
    </row>
    <row r="734" spans="18:18" ht="15.75" customHeight="1">
      <c r="R734" s="30"/>
    </row>
    <row r="735" spans="18:18" ht="15.75" customHeight="1">
      <c r="R735" s="30"/>
    </row>
    <row r="736" spans="18:18" ht="15.75" customHeight="1">
      <c r="R736" s="30"/>
    </row>
    <row r="737" spans="18:18" ht="15.75" customHeight="1">
      <c r="R737" s="30"/>
    </row>
    <row r="738" spans="18:18" ht="15.75" customHeight="1">
      <c r="R738" s="30"/>
    </row>
    <row r="739" spans="18:18" ht="15.75" customHeight="1">
      <c r="R739" s="30"/>
    </row>
    <row r="740" spans="18:18" ht="15.75" customHeight="1">
      <c r="R740" s="30"/>
    </row>
    <row r="741" spans="18:18" ht="15.75" customHeight="1">
      <c r="R741" s="30"/>
    </row>
    <row r="742" spans="18:18" ht="15.75" customHeight="1">
      <c r="R742" s="30"/>
    </row>
    <row r="743" spans="18:18" ht="15.75" customHeight="1">
      <c r="R743" s="30"/>
    </row>
    <row r="744" spans="18:18" ht="15.75" customHeight="1">
      <c r="R744" s="30"/>
    </row>
    <row r="745" spans="18:18" ht="15.75" customHeight="1">
      <c r="R745" s="30"/>
    </row>
    <row r="746" spans="18:18" ht="15.75" customHeight="1">
      <c r="R746" s="30"/>
    </row>
    <row r="747" spans="18:18" ht="15.75" customHeight="1">
      <c r="R747" s="30"/>
    </row>
    <row r="748" spans="18:18" ht="15.75" customHeight="1">
      <c r="R748" s="30"/>
    </row>
    <row r="749" spans="18:18" ht="15.75" customHeight="1">
      <c r="R749" s="30"/>
    </row>
    <row r="750" spans="18:18" ht="15.75" customHeight="1">
      <c r="R750" s="30"/>
    </row>
    <row r="751" spans="18:18" ht="15.75" customHeight="1">
      <c r="R751" s="30"/>
    </row>
    <row r="752" spans="18:18" ht="15.75" customHeight="1">
      <c r="R752" s="30"/>
    </row>
    <row r="753" spans="18:18" ht="15.75" customHeight="1">
      <c r="R753" s="30"/>
    </row>
    <row r="754" spans="18:18" ht="15.75" customHeight="1">
      <c r="R754" s="30"/>
    </row>
    <row r="755" spans="18:18" ht="15.75" customHeight="1">
      <c r="R755" s="30"/>
    </row>
    <row r="756" spans="18:18" ht="15.75" customHeight="1">
      <c r="R756" s="30"/>
    </row>
    <row r="757" spans="18:18" ht="15.75" customHeight="1">
      <c r="R757" s="30"/>
    </row>
    <row r="758" spans="18:18" ht="15.75" customHeight="1">
      <c r="R758" s="30"/>
    </row>
    <row r="759" spans="18:18" ht="15.75" customHeight="1">
      <c r="R759" s="30"/>
    </row>
    <row r="760" spans="18:18" ht="15.75" customHeight="1">
      <c r="R760" s="30"/>
    </row>
    <row r="761" spans="18:18" ht="15.75" customHeight="1">
      <c r="R761" s="30"/>
    </row>
    <row r="762" spans="18:18" ht="15.75" customHeight="1">
      <c r="R762" s="30"/>
    </row>
    <row r="763" spans="18:18" ht="15.75" customHeight="1">
      <c r="R763" s="30"/>
    </row>
    <row r="764" spans="18:18" ht="15.75" customHeight="1">
      <c r="R764" s="30"/>
    </row>
    <row r="765" spans="18:18" ht="15.75" customHeight="1">
      <c r="R765" s="30"/>
    </row>
    <row r="766" spans="18:18" ht="15.75" customHeight="1">
      <c r="R766" s="30"/>
    </row>
    <row r="767" spans="18:18" ht="15.75" customHeight="1">
      <c r="R767" s="30"/>
    </row>
    <row r="768" spans="18:18" ht="15.75" customHeight="1">
      <c r="R768" s="30"/>
    </row>
    <row r="769" spans="18:18" ht="15.75" customHeight="1">
      <c r="R769" s="30"/>
    </row>
    <row r="770" spans="18:18" ht="15.75" customHeight="1">
      <c r="R770" s="30"/>
    </row>
    <row r="771" spans="18:18" ht="15.75" customHeight="1">
      <c r="R771" s="30"/>
    </row>
    <row r="772" spans="18:18" ht="15.75" customHeight="1">
      <c r="R772" s="30"/>
    </row>
    <row r="773" spans="18:18" ht="15.75" customHeight="1">
      <c r="R773" s="30"/>
    </row>
    <row r="774" spans="18:18" ht="15.75" customHeight="1">
      <c r="R774" s="30"/>
    </row>
    <row r="775" spans="18:18" ht="15.75" customHeight="1">
      <c r="R775" s="30"/>
    </row>
    <row r="776" spans="18:18" ht="15.75" customHeight="1">
      <c r="R776" s="30"/>
    </row>
    <row r="777" spans="18:18" ht="15.75" customHeight="1">
      <c r="R777" s="30"/>
    </row>
    <row r="778" spans="18:18" ht="15.75" customHeight="1">
      <c r="R778" s="30"/>
    </row>
    <row r="779" spans="18:18" ht="15.75" customHeight="1">
      <c r="R779" s="30"/>
    </row>
    <row r="780" spans="18:18" ht="15.75" customHeight="1">
      <c r="R780" s="30"/>
    </row>
    <row r="781" spans="18:18" ht="15.75" customHeight="1">
      <c r="R781" s="30"/>
    </row>
    <row r="782" spans="18:18" ht="15.75" customHeight="1">
      <c r="R782" s="30"/>
    </row>
    <row r="783" spans="18:18" ht="15.75" customHeight="1">
      <c r="R783" s="30"/>
    </row>
    <row r="784" spans="18:18" ht="15.75" customHeight="1">
      <c r="R784" s="30"/>
    </row>
    <row r="785" spans="18:18" ht="15.75" customHeight="1">
      <c r="R785" s="30"/>
    </row>
    <row r="786" spans="18:18" ht="15.75" customHeight="1">
      <c r="R786" s="30"/>
    </row>
    <row r="787" spans="18:18" ht="15.75" customHeight="1">
      <c r="R787" s="30"/>
    </row>
    <row r="788" spans="18:18" ht="15.75" customHeight="1">
      <c r="R788" s="30"/>
    </row>
    <row r="789" spans="18:18" ht="15.75" customHeight="1">
      <c r="R789" s="30"/>
    </row>
    <row r="790" spans="18:18" ht="15.75" customHeight="1">
      <c r="R790" s="30"/>
    </row>
    <row r="791" spans="18:18" ht="15.75" customHeight="1">
      <c r="R791" s="30"/>
    </row>
    <row r="792" spans="18:18" ht="15.75" customHeight="1">
      <c r="R792" s="30"/>
    </row>
    <row r="793" spans="18:18" ht="15.75" customHeight="1">
      <c r="R793" s="30"/>
    </row>
    <row r="794" spans="18:18" ht="15.75" customHeight="1">
      <c r="R794" s="30"/>
    </row>
    <row r="795" spans="18:18" ht="15.75" customHeight="1">
      <c r="R795" s="30"/>
    </row>
    <row r="796" spans="18:18" ht="15.75" customHeight="1">
      <c r="R796" s="30"/>
    </row>
    <row r="797" spans="18:18" ht="15.75" customHeight="1">
      <c r="R797" s="30"/>
    </row>
    <row r="798" spans="18:18" ht="15.75" customHeight="1">
      <c r="R798" s="30"/>
    </row>
    <row r="799" spans="18:18" ht="15.75" customHeight="1">
      <c r="R799" s="30"/>
    </row>
    <row r="800" spans="18:18" ht="15.75" customHeight="1">
      <c r="R800" s="30"/>
    </row>
    <row r="801" spans="18:18" ht="15.75" customHeight="1">
      <c r="R801" s="30"/>
    </row>
    <row r="802" spans="18:18" ht="15.75" customHeight="1">
      <c r="R802" s="30"/>
    </row>
    <row r="803" spans="18:18" ht="15.75" customHeight="1">
      <c r="R803" s="30"/>
    </row>
    <row r="804" spans="18:18" ht="15.75" customHeight="1">
      <c r="R804" s="30"/>
    </row>
    <row r="805" spans="18:18" ht="15.75" customHeight="1">
      <c r="R805" s="30"/>
    </row>
    <row r="806" spans="18:18" ht="15.75" customHeight="1">
      <c r="R806" s="30"/>
    </row>
    <row r="807" spans="18:18" ht="15.75" customHeight="1">
      <c r="R807" s="30"/>
    </row>
    <row r="808" spans="18:18" ht="15.75" customHeight="1">
      <c r="R808" s="30"/>
    </row>
    <row r="809" spans="18:18" ht="15.75" customHeight="1">
      <c r="R809" s="30"/>
    </row>
    <row r="810" spans="18:18" ht="15.75" customHeight="1">
      <c r="R810" s="30"/>
    </row>
    <row r="811" spans="18:18" ht="15.75" customHeight="1">
      <c r="R811" s="30"/>
    </row>
    <row r="812" spans="18:18" ht="15.75" customHeight="1">
      <c r="R812" s="30"/>
    </row>
    <row r="813" spans="18:18" ht="15.75" customHeight="1">
      <c r="R813" s="30"/>
    </row>
    <row r="814" spans="18:18" ht="15.75" customHeight="1">
      <c r="R814" s="30"/>
    </row>
    <row r="815" spans="18:18" ht="15.75" customHeight="1">
      <c r="R815" s="30"/>
    </row>
    <row r="816" spans="18:18" ht="15.75" customHeight="1">
      <c r="R816" s="30"/>
    </row>
    <row r="817" spans="18:18" ht="15.75" customHeight="1">
      <c r="R817" s="30"/>
    </row>
    <row r="818" spans="18:18" ht="15.75" customHeight="1">
      <c r="R818" s="30"/>
    </row>
    <row r="819" spans="18:18" ht="15.75" customHeight="1">
      <c r="R819" s="30"/>
    </row>
    <row r="820" spans="18:18" ht="15.75" customHeight="1">
      <c r="R820" s="30"/>
    </row>
    <row r="821" spans="18:18" ht="15.75" customHeight="1">
      <c r="R821" s="30"/>
    </row>
    <row r="822" spans="18:18" ht="15.75" customHeight="1">
      <c r="R822" s="30"/>
    </row>
    <row r="823" spans="18:18" ht="15.75" customHeight="1">
      <c r="R823" s="30"/>
    </row>
    <row r="824" spans="18:18" ht="15.75" customHeight="1">
      <c r="R824" s="30"/>
    </row>
    <row r="825" spans="18:18" ht="15.75" customHeight="1">
      <c r="R825" s="30"/>
    </row>
    <row r="826" spans="18:18" ht="15.75" customHeight="1">
      <c r="R826" s="30"/>
    </row>
    <row r="827" spans="18:18" ht="15.75" customHeight="1">
      <c r="R827" s="30"/>
    </row>
    <row r="828" spans="18:18" ht="15.75" customHeight="1">
      <c r="R828" s="30"/>
    </row>
    <row r="829" spans="18:18" ht="15.75" customHeight="1">
      <c r="R829" s="30"/>
    </row>
    <row r="830" spans="18:18" ht="15.75" customHeight="1">
      <c r="R830" s="30"/>
    </row>
    <row r="831" spans="18:18" ht="15.75" customHeight="1">
      <c r="R831" s="30"/>
    </row>
    <row r="832" spans="18:18" ht="15.75" customHeight="1">
      <c r="R832" s="30"/>
    </row>
    <row r="833" spans="18:18" ht="15.75" customHeight="1">
      <c r="R833" s="30"/>
    </row>
    <row r="834" spans="18:18" ht="15.75" customHeight="1">
      <c r="R834" s="30"/>
    </row>
    <row r="835" spans="18:18" ht="15.75" customHeight="1">
      <c r="R835" s="30"/>
    </row>
    <row r="836" spans="18:18" ht="15.75" customHeight="1">
      <c r="R836" s="30"/>
    </row>
    <row r="837" spans="18:18" ht="15.75" customHeight="1">
      <c r="R837" s="30"/>
    </row>
    <row r="838" spans="18:18" ht="15.75" customHeight="1">
      <c r="R838" s="30"/>
    </row>
    <row r="839" spans="18:18" ht="15.75" customHeight="1">
      <c r="R839" s="30"/>
    </row>
    <row r="840" spans="18:18" ht="15.75" customHeight="1">
      <c r="R840" s="30"/>
    </row>
    <row r="841" spans="18:18" ht="15.75" customHeight="1">
      <c r="R841" s="30"/>
    </row>
    <row r="842" spans="18:18" ht="15.75" customHeight="1">
      <c r="R842" s="30"/>
    </row>
    <row r="843" spans="18:18" ht="15.75" customHeight="1">
      <c r="R843" s="30"/>
    </row>
    <row r="844" spans="18:18" ht="15.75" customHeight="1">
      <c r="R844" s="30"/>
    </row>
    <row r="845" spans="18:18" ht="15.75" customHeight="1">
      <c r="R845" s="30"/>
    </row>
    <row r="846" spans="18:18" ht="15.75" customHeight="1">
      <c r="R846" s="30"/>
    </row>
    <row r="847" spans="18:18" ht="15.75" customHeight="1">
      <c r="R847" s="30"/>
    </row>
    <row r="848" spans="18:18" ht="15.75" customHeight="1">
      <c r="R848" s="30"/>
    </row>
    <row r="849" spans="18:18" ht="15.75" customHeight="1">
      <c r="R849" s="30"/>
    </row>
    <row r="850" spans="18:18" ht="15.75" customHeight="1">
      <c r="R850" s="30"/>
    </row>
    <row r="851" spans="18:18" ht="15.75" customHeight="1">
      <c r="R851" s="30"/>
    </row>
    <row r="852" spans="18:18" ht="15.75" customHeight="1">
      <c r="R852" s="30"/>
    </row>
    <row r="853" spans="18:18" ht="15.75" customHeight="1">
      <c r="R853" s="30"/>
    </row>
    <row r="854" spans="18:18" ht="15.75" customHeight="1">
      <c r="R854" s="30"/>
    </row>
    <row r="855" spans="18:18" ht="15.75" customHeight="1">
      <c r="R855" s="30"/>
    </row>
    <row r="856" spans="18:18" ht="15.75" customHeight="1">
      <c r="R856" s="30"/>
    </row>
    <row r="857" spans="18:18" ht="15.75" customHeight="1">
      <c r="R857" s="30"/>
    </row>
    <row r="858" spans="18:18" ht="15.75" customHeight="1">
      <c r="R858" s="30"/>
    </row>
    <row r="859" spans="18:18" ht="15.75" customHeight="1">
      <c r="R859" s="30"/>
    </row>
    <row r="860" spans="18:18" ht="15.75" customHeight="1">
      <c r="R860" s="30"/>
    </row>
    <row r="861" spans="18:18" ht="15.75" customHeight="1">
      <c r="R861" s="30"/>
    </row>
    <row r="862" spans="18:18" ht="15.75" customHeight="1">
      <c r="R862" s="30"/>
    </row>
    <row r="863" spans="18:18" ht="15.75" customHeight="1">
      <c r="R863" s="30"/>
    </row>
    <row r="864" spans="18:18" ht="15.75" customHeight="1">
      <c r="R864" s="30"/>
    </row>
    <row r="865" spans="18:18" ht="15.75" customHeight="1">
      <c r="R865" s="30"/>
    </row>
    <row r="866" spans="18:18" ht="15.75" customHeight="1">
      <c r="R866" s="30"/>
    </row>
    <row r="867" spans="18:18" ht="15.75" customHeight="1">
      <c r="R867" s="30"/>
    </row>
    <row r="868" spans="18:18" ht="15.75" customHeight="1">
      <c r="R868" s="30"/>
    </row>
    <row r="869" spans="18:18" ht="15.75" customHeight="1">
      <c r="R869" s="30"/>
    </row>
    <row r="870" spans="18:18" ht="15.75" customHeight="1">
      <c r="R870" s="30"/>
    </row>
    <row r="871" spans="18:18" ht="15.75" customHeight="1">
      <c r="R871" s="30"/>
    </row>
    <row r="872" spans="18:18" ht="15.75" customHeight="1">
      <c r="R872" s="30"/>
    </row>
    <row r="873" spans="18:18" ht="15.75" customHeight="1">
      <c r="R873" s="30"/>
    </row>
    <row r="874" spans="18:18" ht="15.75" customHeight="1">
      <c r="R874" s="30"/>
    </row>
    <row r="875" spans="18:18" ht="15.75" customHeight="1">
      <c r="R875" s="30"/>
    </row>
    <row r="876" spans="18:18" ht="15.75" customHeight="1">
      <c r="R876" s="30"/>
    </row>
    <row r="877" spans="18:18" ht="15.75" customHeight="1">
      <c r="R877" s="30"/>
    </row>
    <row r="878" spans="18:18" ht="15.75" customHeight="1">
      <c r="R878" s="30"/>
    </row>
    <row r="879" spans="18:18" ht="15.75" customHeight="1">
      <c r="R879" s="30"/>
    </row>
    <row r="880" spans="18:18" ht="15.75" customHeight="1">
      <c r="R880" s="30"/>
    </row>
    <row r="881" spans="18:18" ht="15.75" customHeight="1">
      <c r="R881" s="30"/>
    </row>
    <row r="882" spans="18:18" ht="15.75" customHeight="1">
      <c r="R882" s="30"/>
    </row>
    <row r="883" spans="18:18" ht="15.75" customHeight="1">
      <c r="R883" s="30"/>
    </row>
    <row r="884" spans="18:18" ht="15.75" customHeight="1">
      <c r="R884" s="30"/>
    </row>
    <row r="885" spans="18:18" ht="15.75" customHeight="1">
      <c r="R885" s="30"/>
    </row>
    <row r="886" spans="18:18" ht="15.75" customHeight="1">
      <c r="R886" s="30"/>
    </row>
    <row r="887" spans="18:18" ht="15.75" customHeight="1">
      <c r="R887" s="30"/>
    </row>
    <row r="888" spans="18:18" ht="15.75" customHeight="1">
      <c r="R888" s="30"/>
    </row>
    <row r="889" spans="18:18" ht="15.75" customHeight="1">
      <c r="R889" s="30"/>
    </row>
    <row r="890" spans="18:18" ht="15.75" customHeight="1">
      <c r="R890" s="30"/>
    </row>
    <row r="891" spans="18:18" ht="15.75" customHeight="1">
      <c r="R891" s="30"/>
    </row>
    <row r="892" spans="18:18" ht="15.75" customHeight="1">
      <c r="R892" s="30"/>
    </row>
    <row r="893" spans="18:18" ht="15.75" customHeight="1">
      <c r="R893" s="30"/>
    </row>
    <row r="894" spans="18:18" ht="15.75" customHeight="1">
      <c r="R894" s="30"/>
    </row>
    <row r="895" spans="18:18" ht="15.75" customHeight="1">
      <c r="R895" s="30"/>
    </row>
    <row r="896" spans="18:18" ht="15.75" customHeight="1">
      <c r="R896" s="30"/>
    </row>
    <row r="897" spans="18:18" ht="15.75" customHeight="1">
      <c r="R897" s="30"/>
    </row>
    <row r="898" spans="18:18" ht="15.75" customHeight="1">
      <c r="R898" s="30"/>
    </row>
    <row r="899" spans="18:18" ht="15.75" customHeight="1">
      <c r="R899" s="30"/>
    </row>
    <row r="900" spans="18:18" ht="15.75" customHeight="1">
      <c r="R900" s="30"/>
    </row>
    <row r="901" spans="18:18" ht="15.75" customHeight="1">
      <c r="R901" s="30"/>
    </row>
    <row r="902" spans="18:18" ht="15.75" customHeight="1">
      <c r="R902" s="30"/>
    </row>
    <row r="903" spans="18:18" ht="15.75" customHeight="1">
      <c r="R903" s="30"/>
    </row>
    <row r="904" spans="18:18" ht="15.75" customHeight="1">
      <c r="R904" s="30"/>
    </row>
    <row r="905" spans="18:18" ht="15.75" customHeight="1">
      <c r="R905" s="30"/>
    </row>
    <row r="906" spans="18:18" ht="15.75" customHeight="1">
      <c r="R906" s="30"/>
    </row>
    <row r="907" spans="18:18" ht="15.75" customHeight="1">
      <c r="R907" s="30"/>
    </row>
    <row r="908" spans="18:18" ht="15.75" customHeight="1">
      <c r="R908" s="30"/>
    </row>
    <row r="909" spans="18:18" ht="15.75" customHeight="1">
      <c r="R909" s="30"/>
    </row>
    <row r="910" spans="18:18" ht="15.75" customHeight="1">
      <c r="R910" s="30"/>
    </row>
    <row r="911" spans="18:18" ht="15.75" customHeight="1">
      <c r="R911" s="30"/>
    </row>
    <row r="912" spans="18:18" ht="15.75" customHeight="1">
      <c r="R912" s="30"/>
    </row>
    <row r="913" spans="18:18" ht="15.75" customHeight="1">
      <c r="R913" s="30"/>
    </row>
    <row r="914" spans="18:18" ht="15.75" customHeight="1">
      <c r="R914" s="30"/>
    </row>
    <row r="915" spans="18:18" ht="15.75" customHeight="1">
      <c r="R915" s="30"/>
    </row>
    <row r="916" spans="18:18" ht="15.75" customHeight="1">
      <c r="R916" s="30"/>
    </row>
    <row r="917" spans="18:18" ht="15.75" customHeight="1">
      <c r="R917" s="30"/>
    </row>
    <row r="918" spans="18:18" ht="15.75" customHeight="1">
      <c r="R918" s="30"/>
    </row>
    <row r="919" spans="18:18" ht="15.75" customHeight="1">
      <c r="R919" s="30"/>
    </row>
    <row r="920" spans="18:18" ht="15.75" customHeight="1">
      <c r="R920" s="30"/>
    </row>
    <row r="921" spans="18:18" ht="15.75" customHeight="1">
      <c r="R921" s="30"/>
    </row>
    <row r="922" spans="18:18" ht="15.75" customHeight="1">
      <c r="R922" s="30"/>
    </row>
    <row r="923" spans="18:18" ht="15.75" customHeight="1">
      <c r="R923" s="30"/>
    </row>
    <row r="924" spans="18:18" ht="15.75" customHeight="1">
      <c r="R924" s="30"/>
    </row>
    <row r="925" spans="18:18" ht="15.75" customHeight="1">
      <c r="R925" s="30"/>
    </row>
    <row r="926" spans="18:18" ht="15.75" customHeight="1">
      <c r="R926" s="30"/>
    </row>
    <row r="927" spans="18:18" ht="15.75" customHeight="1">
      <c r="R927" s="30"/>
    </row>
    <row r="928" spans="18:18" ht="15.75" customHeight="1">
      <c r="R928" s="30"/>
    </row>
    <row r="929" spans="18:18" ht="15.75" customHeight="1">
      <c r="R929" s="30"/>
    </row>
    <row r="930" spans="18:18" ht="15.75" customHeight="1">
      <c r="R930" s="30"/>
    </row>
    <row r="931" spans="18:18" ht="15.75" customHeight="1">
      <c r="R931" s="30"/>
    </row>
    <row r="932" spans="18:18" ht="15.75" customHeight="1">
      <c r="R932" s="30"/>
    </row>
    <row r="933" spans="18:18" ht="15.75" customHeight="1">
      <c r="R933" s="30"/>
    </row>
    <row r="934" spans="18:18" ht="15.75" customHeight="1">
      <c r="R934" s="30"/>
    </row>
    <row r="935" spans="18:18" ht="15.75" customHeight="1">
      <c r="R935" s="30"/>
    </row>
    <row r="936" spans="18:18" ht="15.75" customHeight="1">
      <c r="R936" s="30"/>
    </row>
    <row r="937" spans="18:18" ht="15.75" customHeight="1">
      <c r="R937" s="30"/>
    </row>
    <row r="938" spans="18:18" ht="15.75" customHeight="1">
      <c r="R938" s="30"/>
    </row>
    <row r="939" spans="18:18" ht="15.75" customHeight="1">
      <c r="R939" s="30"/>
    </row>
    <row r="940" spans="18:18" ht="15.75" customHeight="1">
      <c r="R940" s="30"/>
    </row>
    <row r="941" spans="18:18" ht="15.75" customHeight="1">
      <c r="R941" s="30"/>
    </row>
    <row r="942" spans="18:18" ht="15.75" customHeight="1">
      <c r="R942" s="30"/>
    </row>
    <row r="943" spans="18:18" ht="15.75" customHeight="1">
      <c r="R943" s="30"/>
    </row>
    <row r="944" spans="18:18" ht="15.75" customHeight="1">
      <c r="R944" s="30"/>
    </row>
    <row r="945" spans="18:18" ht="15.75" customHeight="1">
      <c r="R945" s="30"/>
    </row>
    <row r="946" spans="18:18" ht="15.75" customHeight="1">
      <c r="R946" s="30"/>
    </row>
    <row r="947" spans="18:18" ht="15.75" customHeight="1">
      <c r="R947" s="30"/>
    </row>
    <row r="948" spans="18:18" ht="15.75" customHeight="1">
      <c r="R948" s="30"/>
    </row>
    <row r="949" spans="18:18" ht="15.75" customHeight="1">
      <c r="R949" s="30"/>
    </row>
    <row r="950" spans="18:18" ht="15.75" customHeight="1">
      <c r="R950" s="30"/>
    </row>
    <row r="951" spans="18:18" ht="15.75" customHeight="1">
      <c r="R951" s="30"/>
    </row>
    <row r="952" spans="18:18" ht="15.75" customHeight="1">
      <c r="R952" s="30"/>
    </row>
    <row r="953" spans="18:18" ht="15.75" customHeight="1">
      <c r="R953" s="30"/>
    </row>
    <row r="954" spans="18:18" ht="15.75" customHeight="1">
      <c r="R954" s="30"/>
    </row>
    <row r="955" spans="18:18" ht="15.75" customHeight="1">
      <c r="R955" s="30"/>
    </row>
    <row r="956" spans="18:18" ht="15.75" customHeight="1">
      <c r="R956" s="30"/>
    </row>
    <row r="957" spans="18:18" ht="15.75" customHeight="1">
      <c r="R957" s="30"/>
    </row>
    <row r="958" spans="18:18" ht="15.75" customHeight="1">
      <c r="R958" s="30"/>
    </row>
    <row r="959" spans="18:18" ht="15.75" customHeight="1">
      <c r="R959" s="30"/>
    </row>
    <row r="960" spans="18:18" ht="15.75" customHeight="1">
      <c r="R960" s="30"/>
    </row>
    <row r="961" spans="18:18" ht="15.75" customHeight="1">
      <c r="R961" s="30"/>
    </row>
    <row r="962" spans="18:18" ht="15.75" customHeight="1">
      <c r="R962" s="30"/>
    </row>
    <row r="963" spans="18:18" ht="15.75" customHeight="1">
      <c r="R963" s="30"/>
    </row>
    <row r="964" spans="18:18" ht="15.75" customHeight="1">
      <c r="R964" s="30"/>
    </row>
    <row r="965" spans="18:18" ht="15.75" customHeight="1">
      <c r="R965" s="30"/>
    </row>
    <row r="966" spans="18:18" ht="15.75" customHeight="1">
      <c r="R966" s="30"/>
    </row>
    <row r="967" spans="18:18" ht="15.75" customHeight="1">
      <c r="R967" s="30"/>
    </row>
    <row r="968" spans="18:18" ht="15.75" customHeight="1">
      <c r="R968" s="30"/>
    </row>
    <row r="969" spans="18:18" ht="15.75" customHeight="1">
      <c r="R969" s="30"/>
    </row>
    <row r="970" spans="18:18" ht="15.75" customHeight="1">
      <c r="R970" s="30"/>
    </row>
    <row r="971" spans="18:18" ht="15.75" customHeight="1">
      <c r="R971" s="30"/>
    </row>
    <row r="972" spans="18:18" ht="15.75" customHeight="1">
      <c r="R972" s="30"/>
    </row>
    <row r="973" spans="18:18" ht="15.75" customHeight="1">
      <c r="R973" s="30"/>
    </row>
    <row r="974" spans="18:18" ht="15.75" customHeight="1">
      <c r="R974" s="30"/>
    </row>
    <row r="975" spans="18:18" ht="15.75" customHeight="1">
      <c r="R975" s="30"/>
    </row>
    <row r="976" spans="18:18" ht="15.75" customHeight="1">
      <c r="R976" s="30"/>
    </row>
    <row r="977" spans="18:18" ht="15.75" customHeight="1">
      <c r="R977" s="30"/>
    </row>
    <row r="978" spans="18:18" ht="15.75" customHeight="1">
      <c r="R978" s="30"/>
    </row>
    <row r="979" spans="18:18" ht="15.75" customHeight="1">
      <c r="R979" s="30"/>
    </row>
    <row r="980" spans="18:18" ht="15.75" customHeight="1">
      <c r="R980" s="30"/>
    </row>
    <row r="981" spans="18:18" ht="15.75" customHeight="1">
      <c r="R981" s="30"/>
    </row>
    <row r="982" spans="18:18" ht="15.75" customHeight="1">
      <c r="R982" s="30"/>
    </row>
    <row r="983" spans="18:18" ht="15.75" customHeight="1">
      <c r="R983" s="30"/>
    </row>
    <row r="984" spans="18:18" ht="15.75" customHeight="1">
      <c r="R984" s="30"/>
    </row>
    <row r="985" spans="18:18" ht="15.75" customHeight="1">
      <c r="R985" s="30"/>
    </row>
    <row r="986" spans="18:18" ht="15.75" customHeight="1">
      <c r="R986" s="30"/>
    </row>
    <row r="987" spans="18:18" ht="15.75" customHeight="1">
      <c r="R987" s="30"/>
    </row>
    <row r="988" spans="18:18" ht="15.75" customHeight="1">
      <c r="R988" s="30"/>
    </row>
    <row r="989" spans="18:18" ht="15.75" customHeight="1">
      <c r="R989" s="30"/>
    </row>
    <row r="990" spans="18:18" ht="15.75" customHeight="1">
      <c r="R990" s="30"/>
    </row>
    <row r="991" spans="18:18" ht="15.75" customHeight="1">
      <c r="R991" s="30"/>
    </row>
    <row r="992" spans="18:18" ht="15.75" customHeight="1">
      <c r="R992" s="30"/>
    </row>
    <row r="993" spans="18:18" ht="15.75" customHeight="1">
      <c r="R993" s="30"/>
    </row>
    <row r="994" spans="18:18" ht="15.75" customHeight="1">
      <c r="R994" s="30"/>
    </row>
    <row r="995" spans="18:18" ht="15.75" customHeight="1">
      <c r="R995" s="30"/>
    </row>
    <row r="996" spans="18:18" ht="15.75" customHeight="1">
      <c r="R996" s="30"/>
    </row>
    <row r="997" spans="18:18" ht="15.75" customHeight="1">
      <c r="R997" s="30"/>
    </row>
    <row r="998" spans="18:18" ht="15.75" customHeight="1">
      <c r="R998" s="30"/>
    </row>
    <row r="999" spans="18:18" ht="15.75" customHeight="1">
      <c r="R999" s="30"/>
    </row>
    <row r="1000" spans="18:18" ht="15.75" customHeight="1">
      <c r="R1000" s="3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2.6640625" defaultRowHeight="15" customHeight="1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8.6640625" customWidth="1"/>
    <col min="6" max="6" width="9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16.33203125" customWidth="1"/>
    <col min="16" max="16" width="10" customWidth="1"/>
    <col min="17" max="18" width="7.33203125" customWidth="1"/>
    <col min="19" max="19" width="7.1640625" customWidth="1"/>
    <col min="20" max="20" width="15.5" customWidth="1"/>
    <col min="21" max="21" width="20" customWidth="1"/>
    <col min="22" max="22" width="69.8320312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6640625" customWidth="1"/>
    <col min="32" max="32" width="10.1640625" customWidth="1"/>
    <col min="33" max="33" width="8.83203125" customWidth="1"/>
  </cols>
  <sheetData>
    <row r="1" spans="1:33" ht="18.75" customHeight="1">
      <c r="A1" s="46" t="str">
        <f ca="1">IFERROR(__xludf.DUMMYFUNCTION("IFERROR(VLOOKUP(B2,IMPORTRANGE(""https://docs.google.com/spreadsheets/d/1x0DhHglkXKoEBOD2MBsuK_EyIr1ouxD2ftIpqOYFa-k/edit?usp=sharing"",""Ubiquitty-SKU-Specific Info!B1:BJ5000""),3,FALSE),"""")"),"10 Foot Lighted Outdoor Extension Cord with 3 Electrical Power Outlets - 12/3 SJTW Heavy Duty Yellow Extension Cable with 3 Prong Grounded Plug for Safety")</f>
        <v>10 Foot Lighted Outdoor Extension Cord with 3 Electrical Power Outlets - 12/3 SJTW Heavy Duty Yellow Extension Cable with 3 Prong Grounded Plug for Safety</v>
      </c>
      <c r="B1" s="47"/>
      <c r="C1" s="48" t="s">
        <v>0</v>
      </c>
      <c r="D1" s="50" t="s">
        <v>1</v>
      </c>
      <c r="E1" s="50" t="s">
        <v>2</v>
      </c>
      <c r="F1" s="52" t="s">
        <v>3</v>
      </c>
      <c r="G1" s="52" t="s">
        <v>4</v>
      </c>
      <c r="H1" s="53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58" t="s">
        <v>10</v>
      </c>
      <c r="N1" s="59" t="s">
        <v>11</v>
      </c>
      <c r="O1" s="50" t="s">
        <v>12</v>
      </c>
      <c r="P1" s="50" t="s">
        <v>13</v>
      </c>
      <c r="Q1" s="57" t="s">
        <v>14</v>
      </c>
      <c r="R1" s="57" t="s">
        <v>15</v>
      </c>
      <c r="S1" s="60" t="s">
        <v>16</v>
      </c>
      <c r="T1" s="62" t="s">
        <v>2006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Info!B1:BJ5000""),2,FALSE),"""")"),"B0868XB3LY")</f>
        <v>B0868XB3LY</v>
      </c>
      <c r="B2" s="3" t="s">
        <v>1279</v>
      </c>
      <c r="C2" s="49"/>
      <c r="D2" s="49"/>
      <c r="E2" s="51"/>
      <c r="F2" s="49"/>
      <c r="G2" s="49"/>
      <c r="H2" s="54"/>
      <c r="I2" s="49"/>
      <c r="J2" s="49"/>
      <c r="K2" s="54"/>
      <c r="L2" s="54"/>
      <c r="M2" s="54"/>
      <c r="N2" s="49"/>
      <c r="O2" s="49"/>
      <c r="P2" s="51"/>
      <c r="Q2" s="49"/>
      <c r="R2" s="49"/>
      <c r="S2" s="61"/>
      <c r="T2" s="47"/>
      <c r="U2" s="63"/>
      <c r="V2" s="63"/>
      <c r="W2" s="47"/>
      <c r="X2" s="47"/>
      <c r="Y2" s="47"/>
      <c r="Z2" s="47"/>
      <c r="AA2" s="63"/>
      <c r="AB2" s="63"/>
      <c r="AC2" s="63"/>
      <c r="AD2" s="63"/>
      <c r="AE2" s="47"/>
      <c r="AF2" s="47"/>
      <c r="AG2" s="47"/>
    </row>
    <row r="3" spans="1:33" ht="146.25" customHeight="1">
      <c r="A3" s="55" t="s">
        <v>31</v>
      </c>
      <c r="B3" s="56"/>
      <c r="C3" s="4">
        <f>((AE32+AF32)/0.85)*-1</f>
        <v>12.94452365082353</v>
      </c>
      <c r="D3" s="5">
        <f>SUM(D4:D99765)</f>
        <v>1518</v>
      </c>
      <c r="E3" s="5"/>
      <c r="F3" s="6">
        <f t="shared" ref="F3:G3" si="0">SUM(F4:F99765)</f>
        <v>27345.980000000003</v>
      </c>
      <c r="G3" s="6">
        <f t="shared" si="0"/>
        <v>-7.0000000000000007E-2</v>
      </c>
      <c r="H3" s="7">
        <f t="shared" ref="H3:H32" si="1">G3/F3*-1</f>
        <v>2.5597912380540028E-6</v>
      </c>
      <c r="I3" s="8">
        <f t="shared" ref="I3:I32" si="2">J3/F3</f>
        <v>0.28811224029716914</v>
      </c>
      <c r="J3" s="6">
        <f>SUM(J4:J99765)</f>
        <v>7878.7115609215816</v>
      </c>
      <c r="K3" s="6">
        <f t="shared" ref="K3:K32" si="3">J3/D3</f>
        <v>5.1901920691183019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Sheet!a1:g5000""),2,FALSE),"""")"),"13.5 - March
14 - April
14 - May
14 - June
14 - July
10 - Aug
10 - Sept
10 - Oct
14 - Nov
14 - Dec
8.5 - Jan
13.5 - Feb")</f>
        <v>13.5 - March
14 - April
14 - May
14 - June
14 - July
10 - Aug
10 - Sept
10 - Oct
14 - Nov
14 - Dec
8.5 - Jan
13.5 -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QTY-0")</f>
        <v>Del QTY-0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QTY-0")</f>
        <v>US QTY-0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0</v>
      </c>
      <c r="X3" s="7">
        <f>W3/D3</f>
        <v>0</v>
      </c>
      <c r="Y3" s="6"/>
      <c r="Z3" s="5"/>
      <c r="AA3" s="5"/>
      <c r="AB3" s="5"/>
      <c r="AC3" s="5"/>
      <c r="AD3" s="6">
        <f>SUM(AD4:AD99765)</f>
        <v>-60.27514166666667</v>
      </c>
      <c r="AE3" s="6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Info!B2:BZ3000""),37,FALSE)),"""")*-1"),-6.0528451032)</f>
        <v>-6.0528451032000001</v>
      </c>
      <c r="AG3" s="6">
        <f>SUM(AG4:AG99765)</f>
        <v>0</v>
      </c>
    </row>
    <row r="4" spans="1:33" ht="15.75" customHeight="1">
      <c r="A4" s="14" t="s">
        <v>181</v>
      </c>
      <c r="B4" s="14" t="s">
        <v>45</v>
      </c>
      <c r="C4" s="15">
        <f t="shared" ref="C4:C32" si="4">IFERROR(F4/D4," - ")</f>
        <v>21.483333333333334</v>
      </c>
      <c r="D4" s="16">
        <v>3</v>
      </c>
      <c r="E4" s="16">
        <v>0</v>
      </c>
      <c r="F4" s="17">
        <v>64.45</v>
      </c>
      <c r="G4" s="17">
        <v>0</v>
      </c>
      <c r="H4" s="18">
        <f t="shared" si="1"/>
        <v>0</v>
      </c>
      <c r="I4" s="18">
        <f t="shared" si="2"/>
        <v>0.39484863539615273</v>
      </c>
      <c r="J4" s="17">
        <f t="shared" ref="J4:J32" si="5">F4*0.85+G4+AF4*D4+D4*AE4+AG4+AD4</f>
        <v>25.447994551282044</v>
      </c>
      <c r="K4" s="17">
        <f t="shared" si="3"/>
        <v>8.4826648504273479</v>
      </c>
      <c r="L4" s="16">
        <v>22</v>
      </c>
      <c r="M4" s="19">
        <f t="shared" ref="M4:M32" si="6">IFERROR(D4/L4,"-")</f>
        <v>0.13636363636363635</v>
      </c>
      <c r="N4" s="16">
        <v>2</v>
      </c>
      <c r="O4" s="20">
        <f t="shared" ref="O4:P4" si="7">D4/7</f>
        <v>0.42857142857142855</v>
      </c>
      <c r="P4" s="20">
        <f t="shared" si="7"/>
        <v>0</v>
      </c>
      <c r="Q4" s="16">
        <f t="shared" ref="Q4:Q32" si="8">ROUNDDOWN(N4/(O4+P4),0)</f>
        <v>4</v>
      </c>
      <c r="R4" s="16"/>
      <c r="S4" s="21">
        <v>2.8724137931034401</v>
      </c>
      <c r="T4" s="14">
        <v>1290</v>
      </c>
      <c r="U4" s="22">
        <v>240</v>
      </c>
      <c r="V4" s="23" t="s">
        <v>1280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26" t="s">
        <v>35</v>
      </c>
      <c r="AB4" s="27">
        <f t="shared" ref="AB4:AB32" si="11">IF(OR(AA4="UsLargeStandardSize",AA4="UsSmallStandardSize"),-0.69,-0.48)</f>
        <v>-0.69</v>
      </c>
      <c r="AC4" s="28">
        <v>2.8773148148148152E-2</v>
      </c>
      <c r="AD4" s="25">
        <f t="shared" ref="AD4:AD32" si="12">IFERROR(AB4*AC4*D4*2,0)</f>
        <v>-0.11912083333333334</v>
      </c>
      <c r="AE4" s="25">
        <v>-4.9000000000000004</v>
      </c>
      <c r="AF4" s="25">
        <v>-4.838461538461539</v>
      </c>
      <c r="AG4" s="25">
        <v>0</v>
      </c>
    </row>
    <row r="5" spans="1:33" ht="15.75" customHeight="1">
      <c r="A5" s="14" t="s">
        <v>183</v>
      </c>
      <c r="B5" s="14"/>
      <c r="C5" s="15" t="str">
        <f t="shared" si="4"/>
        <v xml:space="preserve"> - </v>
      </c>
      <c r="D5" s="16">
        <v>0</v>
      </c>
      <c r="E5" s="16">
        <v>0</v>
      </c>
      <c r="F5" s="29">
        <v>0</v>
      </c>
      <c r="G5" s="29">
        <v>0</v>
      </c>
      <c r="H5" s="18" t="e">
        <f t="shared" si="1"/>
        <v>#DIV/0!</v>
      </c>
      <c r="I5" s="18" t="e">
        <f t="shared" si="2"/>
        <v>#DIV/0!</v>
      </c>
      <c r="J5" s="17">
        <f t="shared" si="5"/>
        <v>0</v>
      </c>
      <c r="K5" s="17" t="e">
        <f t="shared" si="3"/>
        <v>#DIV/0!</v>
      </c>
      <c r="L5" s="16">
        <v>0</v>
      </c>
      <c r="M5" s="19" t="str">
        <f t="shared" si="6"/>
        <v>-</v>
      </c>
      <c r="N5" s="16">
        <v>0</v>
      </c>
      <c r="O5" s="20">
        <f t="shared" ref="O5:P5" si="13">D5/7</f>
        <v>0</v>
      </c>
      <c r="P5" s="20">
        <f t="shared" si="13"/>
        <v>0</v>
      </c>
      <c r="Q5" s="16" t="e">
        <f t="shared" si="8"/>
        <v>#DIV/0!</v>
      </c>
      <c r="R5" s="16"/>
      <c r="S5" s="21">
        <v>3.2945973496432202</v>
      </c>
      <c r="T5" s="14">
        <v>1290</v>
      </c>
      <c r="U5" s="22">
        <v>240</v>
      </c>
      <c r="V5" s="23" t="s">
        <v>1281</v>
      </c>
      <c r="W5" s="14">
        <v>0</v>
      </c>
      <c r="X5" s="24">
        <f t="shared" si="9"/>
        <v>0</v>
      </c>
      <c r="Y5" s="25">
        <f t="shared" si="10"/>
        <v>0</v>
      </c>
      <c r="Z5" s="14">
        <v>0</v>
      </c>
      <c r="AA5" s="14" t="e">
        <v>#N/A</v>
      </c>
      <c r="AB5" s="27" t="e">
        <f t="shared" si="11"/>
        <v>#N/A</v>
      </c>
      <c r="AC5" s="28" t="e">
        <v>#N/A</v>
      </c>
      <c r="AD5" s="25">
        <f t="shared" si="12"/>
        <v>0</v>
      </c>
      <c r="AE5" s="25">
        <v>0</v>
      </c>
      <c r="AF5" s="25">
        <v>-4.838461538461539</v>
      </c>
      <c r="AG5" s="25">
        <v>0</v>
      </c>
    </row>
    <row r="6" spans="1:33" ht="15.75" customHeight="1">
      <c r="A6" s="14" t="s">
        <v>185</v>
      </c>
      <c r="B6" s="14"/>
      <c r="C6" s="15" t="str">
        <f t="shared" si="4"/>
        <v xml:space="preserve"> - </v>
      </c>
      <c r="D6" s="16">
        <v>0</v>
      </c>
      <c r="E6" s="16">
        <v>0</v>
      </c>
      <c r="F6" s="29">
        <v>0</v>
      </c>
      <c r="G6" s="29">
        <v>0</v>
      </c>
      <c r="H6" s="18" t="e">
        <f t="shared" si="1"/>
        <v>#DIV/0!</v>
      </c>
      <c r="I6" s="18" t="e">
        <f t="shared" si="2"/>
        <v>#DIV/0!</v>
      </c>
      <c r="J6" s="17">
        <f t="shared" si="5"/>
        <v>0</v>
      </c>
      <c r="K6" s="17" t="e">
        <f t="shared" si="3"/>
        <v>#DIV/0!</v>
      </c>
      <c r="L6" s="16">
        <v>0</v>
      </c>
      <c r="M6" s="19" t="str">
        <f t="shared" si="6"/>
        <v>-</v>
      </c>
      <c r="N6" s="16">
        <v>0</v>
      </c>
      <c r="O6" s="20">
        <f t="shared" ref="O6:P6" si="14">D6/7</f>
        <v>0</v>
      </c>
      <c r="P6" s="20">
        <f t="shared" si="14"/>
        <v>0</v>
      </c>
      <c r="Q6" s="16" t="e">
        <f t="shared" si="8"/>
        <v>#DIV/0!</v>
      </c>
      <c r="R6" s="16"/>
      <c r="S6" s="21">
        <v>4.1085271317829397</v>
      </c>
      <c r="T6" s="14">
        <v>1490</v>
      </c>
      <c r="U6" s="22">
        <v>200</v>
      </c>
      <c r="V6" s="23" t="s">
        <v>1282</v>
      </c>
      <c r="W6" s="14">
        <v>0</v>
      </c>
      <c r="X6" s="24">
        <f t="shared" si="9"/>
        <v>0</v>
      </c>
      <c r="Y6" s="25">
        <f t="shared" si="10"/>
        <v>0</v>
      </c>
      <c r="Z6" s="14">
        <v>0</v>
      </c>
      <c r="AA6" s="14" t="e">
        <v>#N/A</v>
      </c>
      <c r="AB6" s="27" t="e">
        <f t="shared" si="11"/>
        <v>#N/A</v>
      </c>
      <c r="AC6" s="28" t="e">
        <v>#N/A</v>
      </c>
      <c r="AD6" s="25">
        <f t="shared" si="12"/>
        <v>0</v>
      </c>
      <c r="AE6" s="25">
        <v>0</v>
      </c>
      <c r="AF6" s="25">
        <v>-4.838461538461539</v>
      </c>
      <c r="AG6" s="25">
        <v>0</v>
      </c>
    </row>
    <row r="7" spans="1:33" ht="15.75" customHeight="1">
      <c r="A7" s="14" t="s">
        <v>187</v>
      </c>
      <c r="B7" s="14" t="s">
        <v>1283</v>
      </c>
      <c r="C7" s="15">
        <f t="shared" si="4"/>
        <v>21.35</v>
      </c>
      <c r="D7" s="16">
        <v>5</v>
      </c>
      <c r="E7" s="16">
        <v>0</v>
      </c>
      <c r="F7" s="29">
        <v>106.75</v>
      </c>
      <c r="G7" s="29">
        <v>0</v>
      </c>
      <c r="H7" s="18">
        <f t="shared" si="1"/>
        <v>0</v>
      </c>
      <c r="I7" s="18">
        <f t="shared" si="2"/>
        <v>0.392006160051242</v>
      </c>
      <c r="J7" s="17">
        <f t="shared" si="5"/>
        <v>41.846657585470084</v>
      </c>
      <c r="K7" s="17">
        <f t="shared" si="3"/>
        <v>8.3693315170940163</v>
      </c>
      <c r="L7" s="16">
        <v>8</v>
      </c>
      <c r="M7" s="19">
        <f t="shared" si="6"/>
        <v>0.625</v>
      </c>
      <c r="N7" s="16">
        <v>238</v>
      </c>
      <c r="O7" s="20">
        <f t="shared" ref="O7:P7" si="15">D7/7</f>
        <v>0.7142857142857143</v>
      </c>
      <c r="P7" s="20">
        <f t="shared" si="15"/>
        <v>0</v>
      </c>
      <c r="Q7" s="16">
        <f t="shared" si="8"/>
        <v>333</v>
      </c>
      <c r="R7" s="16"/>
      <c r="S7" s="21">
        <v>2.1031746031746001</v>
      </c>
      <c r="T7" s="14">
        <v>1050</v>
      </c>
      <c r="U7" s="22">
        <v>200</v>
      </c>
      <c r="V7" s="23" t="s">
        <v>1284</v>
      </c>
      <c r="W7" s="14">
        <v>0</v>
      </c>
      <c r="X7" s="24">
        <f t="shared" si="9"/>
        <v>0</v>
      </c>
      <c r="Y7" s="25">
        <f t="shared" si="10"/>
        <v>0</v>
      </c>
      <c r="Z7" s="14">
        <v>0</v>
      </c>
      <c r="AA7" s="14" t="s">
        <v>35</v>
      </c>
      <c r="AB7" s="27">
        <f t="shared" si="11"/>
        <v>-0.69</v>
      </c>
      <c r="AC7" s="28">
        <v>2.8773148148148152E-2</v>
      </c>
      <c r="AD7" s="25">
        <f t="shared" si="12"/>
        <v>-0.19853472222222224</v>
      </c>
      <c r="AE7" s="25">
        <v>-4.9000000000000004</v>
      </c>
      <c r="AF7" s="25">
        <v>-4.838461538461539</v>
      </c>
      <c r="AG7" s="25">
        <v>0</v>
      </c>
    </row>
    <row r="8" spans="1:33" ht="15.75" customHeight="1">
      <c r="A8" s="14" t="s">
        <v>189</v>
      </c>
      <c r="B8" s="14" t="s">
        <v>68</v>
      </c>
      <c r="C8" s="15">
        <f t="shared" si="4"/>
        <v>18.250952380952377</v>
      </c>
      <c r="D8" s="16">
        <v>42</v>
      </c>
      <c r="E8" s="16">
        <v>0</v>
      </c>
      <c r="F8" s="29">
        <v>766.53999999999985</v>
      </c>
      <c r="G8" s="29">
        <v>0</v>
      </c>
      <c r="H8" s="18">
        <f t="shared" si="1"/>
        <v>0</v>
      </c>
      <c r="I8" s="18">
        <f t="shared" si="2"/>
        <v>0.31415361016167881</v>
      </c>
      <c r="J8" s="17">
        <f t="shared" si="5"/>
        <v>240.81130833333322</v>
      </c>
      <c r="K8" s="17">
        <f t="shared" si="3"/>
        <v>5.7336025793650762</v>
      </c>
      <c r="L8" s="16">
        <v>52</v>
      </c>
      <c r="M8" s="19">
        <f t="shared" si="6"/>
        <v>0.80769230769230771</v>
      </c>
      <c r="N8" s="16">
        <v>398</v>
      </c>
      <c r="O8" s="20">
        <f t="shared" ref="O8:P8" si="16">D8/7</f>
        <v>6</v>
      </c>
      <c r="P8" s="20">
        <f t="shared" si="16"/>
        <v>0</v>
      </c>
      <c r="Q8" s="16">
        <f t="shared" si="8"/>
        <v>66</v>
      </c>
      <c r="R8" s="16"/>
      <c r="S8" s="21">
        <v>2.10143042912873</v>
      </c>
      <c r="T8" s="14">
        <v>1030</v>
      </c>
      <c r="U8" s="22">
        <v>40</v>
      </c>
      <c r="V8" s="23" t="s">
        <v>1285</v>
      </c>
      <c r="W8" s="14">
        <v>0</v>
      </c>
      <c r="X8" s="24">
        <f t="shared" si="9"/>
        <v>0</v>
      </c>
      <c r="Y8" s="25">
        <f t="shared" si="10"/>
        <v>0</v>
      </c>
      <c r="Z8" s="14">
        <v>0</v>
      </c>
      <c r="AA8" s="14" t="s">
        <v>35</v>
      </c>
      <c r="AB8" s="27">
        <f t="shared" si="11"/>
        <v>-0.69</v>
      </c>
      <c r="AC8" s="28">
        <v>2.8773148148148152E-2</v>
      </c>
      <c r="AD8" s="25">
        <f t="shared" si="12"/>
        <v>-1.6676916666666668</v>
      </c>
      <c r="AE8" s="25">
        <v>-4.9000000000000004</v>
      </c>
      <c r="AF8" s="25">
        <v>-4.84</v>
      </c>
      <c r="AG8" s="25">
        <v>0</v>
      </c>
    </row>
    <row r="9" spans="1:33" ht="15.75" customHeight="1">
      <c r="A9" s="14" t="s">
        <v>191</v>
      </c>
      <c r="B9" s="14" t="s">
        <v>68</v>
      </c>
      <c r="C9" s="15">
        <f t="shared" si="4"/>
        <v>17.142127659574466</v>
      </c>
      <c r="D9" s="16">
        <v>94</v>
      </c>
      <c r="E9" s="16">
        <v>0</v>
      </c>
      <c r="F9" s="29">
        <v>1611.36</v>
      </c>
      <c r="G9" s="29">
        <v>0</v>
      </c>
      <c r="H9" s="18">
        <f t="shared" si="1"/>
        <v>0</v>
      </c>
      <c r="I9" s="18">
        <f t="shared" si="2"/>
        <v>0.27531956349767089</v>
      </c>
      <c r="J9" s="17">
        <f t="shared" si="5"/>
        <v>443.63893183760695</v>
      </c>
      <c r="K9" s="17">
        <f t="shared" si="3"/>
        <v>4.7195631046553927</v>
      </c>
      <c r="L9" s="16">
        <v>154</v>
      </c>
      <c r="M9" s="19">
        <f t="shared" si="6"/>
        <v>0.61038961038961037</v>
      </c>
      <c r="N9" s="16">
        <v>318</v>
      </c>
      <c r="O9" s="20">
        <f t="shared" ref="O9:P9" si="17">D9/7</f>
        <v>13.428571428571429</v>
      </c>
      <c r="P9" s="20">
        <f t="shared" si="17"/>
        <v>0</v>
      </c>
      <c r="Q9" s="16">
        <f t="shared" si="8"/>
        <v>23</v>
      </c>
      <c r="R9" s="16"/>
      <c r="S9" s="21">
        <v>2.4837758112094299</v>
      </c>
      <c r="T9" s="14">
        <v>1030</v>
      </c>
      <c r="U9" s="22">
        <v>190</v>
      </c>
      <c r="V9" s="23" t="s">
        <v>1286</v>
      </c>
      <c r="W9" s="14">
        <v>0</v>
      </c>
      <c r="X9" s="24">
        <f t="shared" si="9"/>
        <v>0</v>
      </c>
      <c r="Y9" s="25">
        <f t="shared" si="10"/>
        <v>0</v>
      </c>
      <c r="Z9" s="14">
        <v>0</v>
      </c>
      <c r="AA9" s="14" t="s">
        <v>35</v>
      </c>
      <c r="AB9" s="27">
        <f t="shared" si="11"/>
        <v>-0.69</v>
      </c>
      <c r="AC9" s="28">
        <v>2.8773148148148152E-2</v>
      </c>
      <c r="AD9" s="25">
        <f t="shared" si="12"/>
        <v>-3.7324527777777781</v>
      </c>
      <c r="AE9" s="25">
        <v>-4.9000000000000004</v>
      </c>
      <c r="AF9" s="25">
        <v>-4.9115384615384601</v>
      </c>
      <c r="AG9" s="25">
        <v>0</v>
      </c>
    </row>
    <row r="10" spans="1:33" ht="15.75" customHeight="1">
      <c r="A10" s="14" t="s">
        <v>192</v>
      </c>
      <c r="B10" s="14" t="s">
        <v>1287</v>
      </c>
      <c r="C10" s="15">
        <f t="shared" si="4"/>
        <v>17.967785234899328</v>
      </c>
      <c r="D10" s="16">
        <v>149</v>
      </c>
      <c r="E10" s="16">
        <v>0</v>
      </c>
      <c r="F10" s="29">
        <v>2677.2</v>
      </c>
      <c r="G10" s="29">
        <v>0</v>
      </c>
      <c r="H10" s="18">
        <f t="shared" si="1"/>
        <v>0</v>
      </c>
      <c r="I10" s="18">
        <f t="shared" si="2"/>
        <v>0.3017273399479109</v>
      </c>
      <c r="J10" s="17">
        <f t="shared" si="5"/>
        <v>807.78443450854695</v>
      </c>
      <c r="K10" s="17">
        <f t="shared" si="3"/>
        <v>5.4213720436815231</v>
      </c>
      <c r="L10" s="16">
        <v>205</v>
      </c>
      <c r="M10" s="19">
        <f t="shared" si="6"/>
        <v>0.72682926829268291</v>
      </c>
      <c r="N10" s="16">
        <v>141</v>
      </c>
      <c r="O10" s="20">
        <f t="shared" ref="O10:P10" si="18">D10/7</f>
        <v>21.285714285714285</v>
      </c>
      <c r="P10" s="20">
        <f t="shared" si="18"/>
        <v>0</v>
      </c>
      <c r="Q10" s="16">
        <f t="shared" si="8"/>
        <v>6</v>
      </c>
      <c r="R10" s="16"/>
      <c r="S10" s="21">
        <v>3.8126951092611798</v>
      </c>
      <c r="T10" s="14">
        <v>1030</v>
      </c>
      <c r="U10" s="22">
        <v>190</v>
      </c>
      <c r="V10" s="23" t="s">
        <v>1288</v>
      </c>
      <c r="W10" s="14">
        <v>0</v>
      </c>
      <c r="X10" s="24">
        <f t="shared" si="9"/>
        <v>0</v>
      </c>
      <c r="Y10" s="25">
        <f t="shared" si="10"/>
        <v>0</v>
      </c>
      <c r="Z10" s="14">
        <v>0</v>
      </c>
      <c r="AA10" s="14" t="s">
        <v>35</v>
      </c>
      <c r="AB10" s="27">
        <f t="shared" si="11"/>
        <v>-0.69</v>
      </c>
      <c r="AC10" s="28">
        <v>2.8773148148148152E-2</v>
      </c>
      <c r="AD10" s="25">
        <f t="shared" si="12"/>
        <v>-5.9163347222222225</v>
      </c>
      <c r="AE10" s="25">
        <v>-4.9000000000000004</v>
      </c>
      <c r="AF10" s="25">
        <v>-4.9115384615384601</v>
      </c>
      <c r="AG10" s="25">
        <v>0</v>
      </c>
    </row>
    <row r="11" spans="1:33" ht="15.75" customHeight="1">
      <c r="A11" s="14" t="s">
        <v>193</v>
      </c>
      <c r="B11" s="14" t="s">
        <v>1289</v>
      </c>
      <c r="C11" s="15">
        <f t="shared" si="4"/>
        <v>21.203294117647069</v>
      </c>
      <c r="D11" s="16">
        <v>85</v>
      </c>
      <c r="E11" s="16">
        <v>3</v>
      </c>
      <c r="F11" s="29">
        <v>1802.2800000000009</v>
      </c>
      <c r="G11" s="29">
        <v>0</v>
      </c>
      <c r="H11" s="18">
        <f t="shared" si="1"/>
        <v>0</v>
      </c>
      <c r="I11" s="18">
        <f t="shared" si="2"/>
        <v>0.38539080525304259</v>
      </c>
      <c r="J11" s="17">
        <f t="shared" si="5"/>
        <v>694.58214049145397</v>
      </c>
      <c r="K11" s="17">
        <f t="shared" si="3"/>
        <v>8.1715545940171062</v>
      </c>
      <c r="L11" s="16">
        <v>130</v>
      </c>
      <c r="M11" s="19">
        <f t="shared" si="6"/>
        <v>0.65384615384615385</v>
      </c>
      <c r="N11" s="16">
        <v>80</v>
      </c>
      <c r="O11" s="20">
        <f t="shared" ref="O11:P11" si="19">D11/7</f>
        <v>12.142857142857142</v>
      </c>
      <c r="P11" s="20">
        <f t="shared" si="19"/>
        <v>0.42857142857142855</v>
      </c>
      <c r="Q11" s="16">
        <f t="shared" si="8"/>
        <v>6</v>
      </c>
      <c r="R11" s="16"/>
      <c r="S11" s="21">
        <v>5.1866295264623901</v>
      </c>
      <c r="T11" s="14">
        <v>1270</v>
      </c>
      <c r="U11" s="22">
        <v>190</v>
      </c>
      <c r="V11" s="23" t="s">
        <v>1290</v>
      </c>
      <c r="W11" s="14">
        <v>0</v>
      </c>
      <c r="X11" s="24">
        <f t="shared" si="9"/>
        <v>0</v>
      </c>
      <c r="Y11" s="25">
        <f t="shared" si="10"/>
        <v>0</v>
      </c>
      <c r="Z11" s="14">
        <v>0</v>
      </c>
      <c r="AA11" s="14" t="s">
        <v>35</v>
      </c>
      <c r="AB11" s="27">
        <f t="shared" si="11"/>
        <v>-0.69</v>
      </c>
      <c r="AC11" s="28">
        <v>2.8773148148148152E-2</v>
      </c>
      <c r="AD11" s="25">
        <f t="shared" si="12"/>
        <v>-3.3750902777777778</v>
      </c>
      <c r="AE11" s="25">
        <v>-4.9000000000000004</v>
      </c>
      <c r="AF11" s="25">
        <v>-4.9115384615384601</v>
      </c>
      <c r="AG11" s="25">
        <v>0</v>
      </c>
    </row>
    <row r="12" spans="1:33" ht="15.75" customHeight="1">
      <c r="A12" s="14" t="s">
        <v>195</v>
      </c>
      <c r="B12" s="14" t="s">
        <v>1291</v>
      </c>
      <c r="C12" s="15">
        <f t="shared" si="4"/>
        <v>23.301142857142864</v>
      </c>
      <c r="D12" s="16">
        <v>35</v>
      </c>
      <c r="E12" s="16">
        <v>0</v>
      </c>
      <c r="F12" s="29">
        <v>815.54000000000019</v>
      </c>
      <c r="G12" s="29">
        <v>0</v>
      </c>
      <c r="H12" s="18">
        <f t="shared" si="1"/>
        <v>0</v>
      </c>
      <c r="I12" s="18">
        <f t="shared" si="2"/>
        <v>0.42722050517521948</v>
      </c>
      <c r="J12" s="17">
        <f t="shared" si="5"/>
        <v>348.41541079059857</v>
      </c>
      <c r="K12" s="17">
        <f t="shared" si="3"/>
        <v>9.954726022588531</v>
      </c>
      <c r="L12" s="16">
        <v>70</v>
      </c>
      <c r="M12" s="19">
        <f t="shared" si="6"/>
        <v>0.5</v>
      </c>
      <c r="N12" s="16">
        <v>34</v>
      </c>
      <c r="O12" s="20">
        <f t="shared" ref="O12:P12" si="20">D12/7</f>
        <v>5</v>
      </c>
      <c r="P12" s="20">
        <f t="shared" si="20"/>
        <v>0</v>
      </c>
      <c r="Q12" s="16">
        <f t="shared" si="8"/>
        <v>6</v>
      </c>
      <c r="R12" s="16"/>
      <c r="S12" s="21">
        <v>4.6648501362397798</v>
      </c>
      <c r="T12" s="14">
        <v>1260</v>
      </c>
      <c r="U12" s="22">
        <v>440</v>
      </c>
      <c r="V12" s="23" t="s">
        <v>1292</v>
      </c>
      <c r="W12" s="14">
        <v>0</v>
      </c>
      <c r="X12" s="24">
        <f t="shared" si="9"/>
        <v>0</v>
      </c>
      <c r="Y12" s="25">
        <f t="shared" si="10"/>
        <v>0</v>
      </c>
      <c r="Z12" s="14">
        <v>0</v>
      </c>
      <c r="AA12" s="14" t="s">
        <v>35</v>
      </c>
      <c r="AB12" s="27">
        <f t="shared" si="11"/>
        <v>-0.69</v>
      </c>
      <c r="AC12" s="28">
        <v>2.8773148148148152E-2</v>
      </c>
      <c r="AD12" s="25">
        <f t="shared" si="12"/>
        <v>-1.3897430555555557</v>
      </c>
      <c r="AE12" s="25">
        <v>-4.9000000000000004</v>
      </c>
      <c r="AF12" s="25">
        <v>-4.9115384615384601</v>
      </c>
      <c r="AG12" s="25">
        <v>0</v>
      </c>
    </row>
    <row r="13" spans="1:33" ht="15.75" customHeight="1">
      <c r="A13" s="14" t="s">
        <v>197</v>
      </c>
      <c r="B13" s="14" t="s">
        <v>1293</v>
      </c>
      <c r="C13" s="15">
        <f t="shared" si="4"/>
        <v>25.933157894736844</v>
      </c>
      <c r="D13" s="16">
        <v>19</v>
      </c>
      <c r="E13" s="16">
        <v>0</v>
      </c>
      <c r="F13" s="17">
        <v>492.73</v>
      </c>
      <c r="G13" s="29">
        <v>0</v>
      </c>
      <c r="H13" s="18">
        <f t="shared" si="1"/>
        <v>0</v>
      </c>
      <c r="I13" s="18">
        <f t="shared" si="2"/>
        <v>0.46864625262426785</v>
      </c>
      <c r="J13" s="17">
        <f t="shared" si="5"/>
        <v>230.91606805555551</v>
      </c>
      <c r="K13" s="17">
        <f t="shared" si="3"/>
        <v>12.15347726608187</v>
      </c>
      <c r="L13" s="16">
        <v>34</v>
      </c>
      <c r="M13" s="19">
        <f t="shared" si="6"/>
        <v>0.55882352941176472</v>
      </c>
      <c r="N13" s="16">
        <v>204</v>
      </c>
      <c r="O13" s="20">
        <f t="shared" ref="O13:P13" si="21">D13/7</f>
        <v>2.7142857142857144</v>
      </c>
      <c r="P13" s="20">
        <f t="shared" si="21"/>
        <v>0</v>
      </c>
      <c r="Q13" s="16">
        <f t="shared" si="8"/>
        <v>75</v>
      </c>
      <c r="R13" s="16"/>
      <c r="S13" s="21">
        <v>3.1888111888111799</v>
      </c>
      <c r="T13" s="14">
        <v>820</v>
      </c>
      <c r="U13" s="22">
        <v>40</v>
      </c>
      <c r="V13" s="23" t="s">
        <v>1294</v>
      </c>
      <c r="W13" s="14">
        <v>0</v>
      </c>
      <c r="X13" s="24">
        <f t="shared" si="9"/>
        <v>0</v>
      </c>
      <c r="Y13" s="25">
        <f t="shared" si="10"/>
        <v>0</v>
      </c>
      <c r="Z13" s="14">
        <v>0</v>
      </c>
      <c r="AA13" s="14" t="s">
        <v>35</v>
      </c>
      <c r="AB13" s="27">
        <f t="shared" si="11"/>
        <v>-0.69</v>
      </c>
      <c r="AC13" s="28">
        <v>2.8773148148148152E-2</v>
      </c>
      <c r="AD13" s="25">
        <f t="shared" si="12"/>
        <v>-0.7544319444444445</v>
      </c>
      <c r="AE13" s="25">
        <v>-4.9000000000000004</v>
      </c>
      <c r="AF13" s="25">
        <v>-4.95</v>
      </c>
      <c r="AG13" s="25">
        <v>0</v>
      </c>
    </row>
    <row r="14" spans="1:33" ht="15.75" customHeight="1">
      <c r="A14" s="14" t="s">
        <v>32</v>
      </c>
      <c r="B14" s="14" t="s">
        <v>68</v>
      </c>
      <c r="C14" s="15">
        <f t="shared" si="4"/>
        <v>19.502857142857142</v>
      </c>
      <c r="D14" s="16">
        <v>35</v>
      </c>
      <c r="E14" s="16">
        <v>1</v>
      </c>
      <c r="F14" s="17">
        <v>682.6</v>
      </c>
      <c r="G14" s="29">
        <v>0</v>
      </c>
      <c r="H14" s="18">
        <f t="shared" si="1"/>
        <v>0</v>
      </c>
      <c r="I14" s="18">
        <f t="shared" si="2"/>
        <v>0.34290984023504906</v>
      </c>
      <c r="J14" s="17">
        <f t="shared" si="5"/>
        <v>234.07025694444448</v>
      </c>
      <c r="K14" s="17">
        <f t="shared" si="3"/>
        <v>6.6877216269841284</v>
      </c>
      <c r="L14" s="16">
        <v>89</v>
      </c>
      <c r="M14" s="19">
        <f t="shared" si="6"/>
        <v>0.39325842696629215</v>
      </c>
      <c r="N14" s="16">
        <v>172</v>
      </c>
      <c r="O14" s="20">
        <f t="shared" ref="O14:P14" si="22">D14/7</f>
        <v>5</v>
      </c>
      <c r="P14" s="20">
        <f t="shared" si="22"/>
        <v>0.14285714285714285</v>
      </c>
      <c r="Q14" s="16">
        <f t="shared" si="8"/>
        <v>33</v>
      </c>
      <c r="R14" s="16"/>
      <c r="S14" s="21">
        <v>4.2652705061081999</v>
      </c>
      <c r="T14" s="14">
        <v>820</v>
      </c>
      <c r="U14" s="22">
        <v>40</v>
      </c>
      <c r="V14" s="23" t="s">
        <v>1294</v>
      </c>
      <c r="W14" s="14">
        <v>0</v>
      </c>
      <c r="X14" s="24">
        <f t="shared" si="9"/>
        <v>0</v>
      </c>
      <c r="Y14" s="25">
        <f t="shared" si="10"/>
        <v>0</v>
      </c>
      <c r="Z14" s="14">
        <v>0</v>
      </c>
      <c r="AA14" s="14" t="s">
        <v>35</v>
      </c>
      <c r="AB14" s="27">
        <f t="shared" si="11"/>
        <v>-0.69</v>
      </c>
      <c r="AC14" s="28">
        <v>2.8773148148148152E-2</v>
      </c>
      <c r="AD14" s="25">
        <f t="shared" si="12"/>
        <v>-1.3897430555555557</v>
      </c>
      <c r="AE14" s="25">
        <v>-4.9000000000000004</v>
      </c>
      <c r="AF14" s="25">
        <v>-4.95</v>
      </c>
      <c r="AG14" s="25">
        <v>0</v>
      </c>
    </row>
    <row r="15" spans="1:33" ht="15.75" customHeight="1">
      <c r="A15" s="14" t="s">
        <v>36</v>
      </c>
      <c r="B15" s="14" t="s">
        <v>1295</v>
      </c>
      <c r="C15" s="15">
        <f t="shared" si="4"/>
        <v>16.903157894736843</v>
      </c>
      <c r="D15" s="16">
        <v>76</v>
      </c>
      <c r="E15" s="16">
        <v>0</v>
      </c>
      <c r="F15" s="17">
        <v>1284.6400000000001</v>
      </c>
      <c r="G15" s="29">
        <v>0</v>
      </c>
      <c r="H15" s="18">
        <f t="shared" si="1"/>
        <v>0</v>
      </c>
      <c r="I15" s="18">
        <f t="shared" si="2"/>
        <v>0.26373635588353317</v>
      </c>
      <c r="J15" s="17">
        <f t="shared" si="5"/>
        <v>338.80627222222211</v>
      </c>
      <c r="K15" s="17">
        <f t="shared" si="3"/>
        <v>4.4579772660818699</v>
      </c>
      <c r="L15" s="16">
        <v>145</v>
      </c>
      <c r="M15" s="19">
        <f t="shared" si="6"/>
        <v>0.52413793103448281</v>
      </c>
      <c r="N15" s="16">
        <v>94</v>
      </c>
      <c r="O15" s="20">
        <f t="shared" ref="O15:P15" si="23">D15/7</f>
        <v>10.857142857142858</v>
      </c>
      <c r="P15" s="20">
        <f t="shared" si="23"/>
        <v>0</v>
      </c>
      <c r="Q15" s="16">
        <f t="shared" si="8"/>
        <v>8</v>
      </c>
      <c r="R15" s="16"/>
      <c r="S15" s="21">
        <v>7.4197530864197496</v>
      </c>
      <c r="T15" s="14">
        <v>820</v>
      </c>
      <c r="U15" s="22">
        <v>40</v>
      </c>
      <c r="V15" s="23" t="s">
        <v>1296</v>
      </c>
      <c r="W15" s="14">
        <v>0</v>
      </c>
      <c r="X15" s="24">
        <f t="shared" si="9"/>
        <v>0</v>
      </c>
      <c r="Y15" s="25">
        <f t="shared" si="10"/>
        <v>0</v>
      </c>
      <c r="Z15" s="14">
        <v>0</v>
      </c>
      <c r="AA15" s="14" t="s">
        <v>35</v>
      </c>
      <c r="AB15" s="27">
        <f t="shared" si="11"/>
        <v>-0.69</v>
      </c>
      <c r="AC15" s="28">
        <v>2.8773148148148152E-2</v>
      </c>
      <c r="AD15" s="25">
        <f t="shared" si="12"/>
        <v>-3.017727777777778</v>
      </c>
      <c r="AE15" s="25">
        <v>-4.9000000000000004</v>
      </c>
      <c r="AF15" s="25">
        <v>-4.97</v>
      </c>
      <c r="AG15" s="25">
        <v>0</v>
      </c>
    </row>
    <row r="16" spans="1:33" ht="15.75" customHeight="1">
      <c r="A16" s="14" t="s">
        <v>38</v>
      </c>
      <c r="B16" s="14" t="s">
        <v>68</v>
      </c>
      <c r="C16" s="15">
        <f t="shared" si="4"/>
        <v>16.858469387755111</v>
      </c>
      <c r="D16" s="16">
        <v>98</v>
      </c>
      <c r="E16" s="16">
        <v>0</v>
      </c>
      <c r="F16" s="17">
        <v>1652.1300000000008</v>
      </c>
      <c r="G16" s="29">
        <v>0</v>
      </c>
      <c r="H16" s="18">
        <f t="shared" si="1"/>
        <v>0</v>
      </c>
      <c r="I16" s="18">
        <f t="shared" si="2"/>
        <v>0.26218228556133294</v>
      </c>
      <c r="J16" s="17">
        <f t="shared" si="5"/>
        <v>433.15921944444517</v>
      </c>
      <c r="K16" s="17">
        <f t="shared" si="3"/>
        <v>4.4199920351473994</v>
      </c>
      <c r="L16" s="16">
        <v>185</v>
      </c>
      <c r="M16" s="19">
        <f t="shared" si="6"/>
        <v>0.52972972972972976</v>
      </c>
      <c r="N16" s="16">
        <v>397</v>
      </c>
      <c r="O16" s="20">
        <f t="shared" ref="O16:P16" si="24">D16/7</f>
        <v>14</v>
      </c>
      <c r="P16" s="20">
        <f t="shared" si="24"/>
        <v>0</v>
      </c>
      <c r="Q16" s="16">
        <f t="shared" si="8"/>
        <v>28</v>
      </c>
      <c r="R16" s="16"/>
      <c r="S16" s="21">
        <v>3.4262068965517201</v>
      </c>
      <c r="T16" s="14">
        <v>820</v>
      </c>
      <c r="U16" s="22">
        <v>40</v>
      </c>
      <c r="V16" s="23" t="s">
        <v>1297</v>
      </c>
      <c r="W16" s="14">
        <v>0</v>
      </c>
      <c r="X16" s="24">
        <f t="shared" si="9"/>
        <v>0</v>
      </c>
      <c r="Y16" s="25">
        <f t="shared" si="10"/>
        <v>0</v>
      </c>
      <c r="Z16" s="14">
        <v>0</v>
      </c>
      <c r="AA16" s="14" t="s">
        <v>35</v>
      </c>
      <c r="AB16" s="27">
        <f t="shared" si="11"/>
        <v>-0.69</v>
      </c>
      <c r="AC16" s="28">
        <v>2.8773148148148152E-2</v>
      </c>
      <c r="AD16" s="25">
        <f t="shared" si="12"/>
        <v>-3.8912805555555559</v>
      </c>
      <c r="AE16" s="25">
        <v>-4.9000000000000004</v>
      </c>
      <c r="AF16" s="25">
        <v>-4.97</v>
      </c>
      <c r="AG16" s="25">
        <v>0</v>
      </c>
    </row>
    <row r="17" spans="1:33" ht="15.75" customHeight="1">
      <c r="A17" s="14" t="s">
        <v>40</v>
      </c>
      <c r="B17" s="14" t="s">
        <v>68</v>
      </c>
      <c r="C17" s="15">
        <f t="shared" si="4"/>
        <v>17.0780681818182</v>
      </c>
      <c r="D17" s="16">
        <v>88</v>
      </c>
      <c r="E17" s="16">
        <v>0</v>
      </c>
      <c r="F17" s="17">
        <v>1502.8700000000017</v>
      </c>
      <c r="G17" s="29">
        <v>0</v>
      </c>
      <c r="H17" s="18">
        <f t="shared" si="1"/>
        <v>0</v>
      </c>
      <c r="I17" s="18">
        <f t="shared" si="2"/>
        <v>0.26974075528082259</v>
      </c>
      <c r="J17" s="17">
        <f t="shared" si="5"/>
        <v>405.38528888889027</v>
      </c>
      <c r="K17" s="17">
        <f t="shared" si="3"/>
        <v>4.6066510101010261</v>
      </c>
      <c r="L17" s="16">
        <v>145</v>
      </c>
      <c r="M17" s="19">
        <f t="shared" si="6"/>
        <v>0.60689655172413792</v>
      </c>
      <c r="N17" s="16">
        <v>314</v>
      </c>
      <c r="O17" s="20">
        <f t="shared" ref="O17:P17" si="25">D17/7</f>
        <v>12.571428571428571</v>
      </c>
      <c r="P17" s="20">
        <f t="shared" si="25"/>
        <v>0</v>
      </c>
      <c r="Q17" s="16">
        <f t="shared" si="8"/>
        <v>24</v>
      </c>
      <c r="R17" s="16"/>
      <c r="S17" s="21">
        <v>2.90342679127725</v>
      </c>
      <c r="T17" s="14">
        <v>820</v>
      </c>
      <c r="U17" s="22">
        <v>40</v>
      </c>
      <c r="V17" s="23" t="s">
        <v>1298</v>
      </c>
      <c r="W17" s="14">
        <v>0</v>
      </c>
      <c r="X17" s="24">
        <f t="shared" si="9"/>
        <v>0</v>
      </c>
      <c r="Y17" s="25">
        <f t="shared" si="10"/>
        <v>0</v>
      </c>
      <c r="Z17" s="14">
        <v>0</v>
      </c>
      <c r="AA17" s="14" t="s">
        <v>35</v>
      </c>
      <c r="AB17" s="27">
        <f t="shared" si="11"/>
        <v>-0.69</v>
      </c>
      <c r="AC17" s="28">
        <v>2.8773148148148152E-2</v>
      </c>
      <c r="AD17" s="25">
        <f t="shared" si="12"/>
        <v>-3.4942111111111114</v>
      </c>
      <c r="AE17" s="25">
        <v>-4.9000000000000004</v>
      </c>
      <c r="AF17" s="25">
        <v>-4.97</v>
      </c>
      <c r="AG17" s="25">
        <v>0</v>
      </c>
    </row>
    <row r="18" spans="1:33" ht="15.75" customHeight="1">
      <c r="A18" s="14" t="s">
        <v>42</v>
      </c>
      <c r="B18" s="14" t="s">
        <v>1299</v>
      </c>
      <c r="C18" s="15">
        <f t="shared" si="4"/>
        <v>17.055794392523378</v>
      </c>
      <c r="D18" s="16">
        <v>107</v>
      </c>
      <c r="E18" s="16">
        <v>2</v>
      </c>
      <c r="F18" s="17">
        <v>1824.9700000000014</v>
      </c>
      <c r="G18" s="29">
        <v>-7.0000000000000007E-2</v>
      </c>
      <c r="H18" s="18">
        <f t="shared" si="1"/>
        <v>3.8356794906217608E-5</v>
      </c>
      <c r="I18" s="18">
        <f t="shared" si="2"/>
        <v>0.26894461659339347</v>
      </c>
      <c r="J18" s="17">
        <f t="shared" si="5"/>
        <v>490.81585694444567</v>
      </c>
      <c r="K18" s="17">
        <f t="shared" si="3"/>
        <v>4.5870640835929501</v>
      </c>
      <c r="L18" s="16">
        <v>144</v>
      </c>
      <c r="M18" s="19">
        <f t="shared" si="6"/>
        <v>0.74305555555555558</v>
      </c>
      <c r="N18" s="16">
        <v>369</v>
      </c>
      <c r="O18" s="20">
        <f t="shared" ref="O18:P18" si="26">D18/7</f>
        <v>15.285714285714286</v>
      </c>
      <c r="P18" s="20">
        <f t="shared" si="26"/>
        <v>0.2857142857142857</v>
      </c>
      <c r="Q18" s="16">
        <f t="shared" si="8"/>
        <v>23</v>
      </c>
      <c r="R18" s="16"/>
      <c r="S18" s="21">
        <v>3.5055679287305099</v>
      </c>
      <c r="T18" s="14">
        <v>600</v>
      </c>
      <c r="U18" s="22">
        <v>0</v>
      </c>
      <c r="V18" s="23" t="s">
        <v>1300</v>
      </c>
      <c r="W18" s="14">
        <v>0</v>
      </c>
      <c r="X18" s="24">
        <f t="shared" si="9"/>
        <v>0</v>
      </c>
      <c r="Y18" s="25">
        <f t="shared" si="10"/>
        <v>0</v>
      </c>
      <c r="Z18" s="14">
        <v>0</v>
      </c>
      <c r="AA18" s="14" t="s">
        <v>35</v>
      </c>
      <c r="AB18" s="27">
        <f t="shared" si="11"/>
        <v>-0.69</v>
      </c>
      <c r="AC18" s="28">
        <v>2.8773148148148152E-2</v>
      </c>
      <c r="AD18" s="25">
        <f t="shared" si="12"/>
        <v>-4.2486430555555561</v>
      </c>
      <c r="AE18" s="25">
        <v>-4.9000000000000004</v>
      </c>
      <c r="AF18" s="25">
        <v>-4.97</v>
      </c>
      <c r="AG18" s="25">
        <v>0</v>
      </c>
    </row>
    <row r="19" spans="1:33" ht="15.75" customHeight="1">
      <c r="A19" s="14" t="s">
        <v>44</v>
      </c>
      <c r="B19" s="14" t="s">
        <v>68</v>
      </c>
      <c r="C19" s="15">
        <f t="shared" si="4"/>
        <v>19.003650793650795</v>
      </c>
      <c r="D19" s="16">
        <v>63</v>
      </c>
      <c r="E19" s="16">
        <v>0</v>
      </c>
      <c r="F19" s="17">
        <v>1197.23</v>
      </c>
      <c r="G19" s="29">
        <v>0</v>
      </c>
      <c r="H19" s="18">
        <f t="shared" si="1"/>
        <v>0</v>
      </c>
      <c r="I19" s="18">
        <f t="shared" si="2"/>
        <v>0.31624956148776762</v>
      </c>
      <c r="J19" s="17">
        <f t="shared" si="5"/>
        <v>378.62346250000002</v>
      </c>
      <c r="K19" s="17">
        <f t="shared" si="3"/>
        <v>6.0098962301587306</v>
      </c>
      <c r="L19" s="16">
        <v>141</v>
      </c>
      <c r="M19" s="19">
        <f t="shared" si="6"/>
        <v>0.44680851063829785</v>
      </c>
      <c r="N19" s="16">
        <v>421</v>
      </c>
      <c r="O19" s="20">
        <f t="shared" ref="O19:P19" si="27">D19/7</f>
        <v>9</v>
      </c>
      <c r="P19" s="20">
        <f t="shared" si="27"/>
        <v>0</v>
      </c>
      <c r="Q19" s="16">
        <f t="shared" si="8"/>
        <v>46</v>
      </c>
      <c r="R19" s="16"/>
      <c r="S19" s="21">
        <v>4.1428571428571397</v>
      </c>
      <c r="T19" s="14">
        <v>600</v>
      </c>
      <c r="U19" s="22">
        <v>200</v>
      </c>
      <c r="V19" s="23" t="s">
        <v>1300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14" t="s">
        <v>35</v>
      </c>
      <c r="AB19" s="27">
        <f t="shared" si="11"/>
        <v>-0.69</v>
      </c>
      <c r="AC19" s="28">
        <v>2.8773148148148152E-2</v>
      </c>
      <c r="AD19" s="25">
        <f t="shared" si="12"/>
        <v>-2.5015375000000004</v>
      </c>
      <c r="AE19" s="25">
        <v>-4.9000000000000004</v>
      </c>
      <c r="AF19" s="25">
        <v>-5.2035</v>
      </c>
      <c r="AG19" s="25">
        <v>0</v>
      </c>
    </row>
    <row r="20" spans="1:33" ht="15.75" customHeight="1">
      <c r="A20" s="14" t="s">
        <v>46</v>
      </c>
      <c r="B20" s="14" t="s">
        <v>1301</v>
      </c>
      <c r="C20" s="15">
        <f t="shared" si="4"/>
        <v>19.452631578947365</v>
      </c>
      <c r="D20" s="16">
        <v>38</v>
      </c>
      <c r="E20" s="16">
        <v>0</v>
      </c>
      <c r="F20" s="17">
        <v>739.19999999999982</v>
      </c>
      <c r="G20" s="29">
        <v>0</v>
      </c>
      <c r="H20" s="18">
        <f t="shared" si="1"/>
        <v>0</v>
      </c>
      <c r="I20" s="18">
        <f t="shared" si="2"/>
        <v>0.32856890707671937</v>
      </c>
      <c r="J20" s="17">
        <f t="shared" si="5"/>
        <v>242.8781361111109</v>
      </c>
      <c r="K20" s="17">
        <f t="shared" si="3"/>
        <v>6.3915298976608135</v>
      </c>
      <c r="L20" s="16">
        <v>115</v>
      </c>
      <c r="M20" s="19">
        <f t="shared" si="6"/>
        <v>0.33043478260869563</v>
      </c>
      <c r="N20" s="16">
        <v>366</v>
      </c>
      <c r="O20" s="20">
        <f t="shared" ref="O20:P20" si="28">D20/7</f>
        <v>5.4285714285714288</v>
      </c>
      <c r="P20" s="20">
        <f t="shared" si="28"/>
        <v>0</v>
      </c>
      <c r="Q20" s="16">
        <f t="shared" si="8"/>
        <v>67</v>
      </c>
      <c r="R20" s="16"/>
      <c r="S20" s="21">
        <v>3.0473029045643099</v>
      </c>
      <c r="T20" s="14">
        <v>200</v>
      </c>
      <c r="U20" s="22">
        <v>200</v>
      </c>
      <c r="V20" s="23" t="s">
        <v>1302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14" t="s">
        <v>35</v>
      </c>
      <c r="AB20" s="27">
        <f t="shared" si="11"/>
        <v>-0.69</v>
      </c>
      <c r="AC20" s="28">
        <v>2.8773148148148152E-2</v>
      </c>
      <c r="AD20" s="25">
        <f t="shared" si="12"/>
        <v>-1.508863888888889</v>
      </c>
      <c r="AE20" s="25">
        <v>-4.9000000000000004</v>
      </c>
      <c r="AF20" s="25">
        <v>-5.2035</v>
      </c>
      <c r="AG20" s="25">
        <v>0</v>
      </c>
    </row>
    <row r="21" spans="1:33" ht="15.75" customHeight="1">
      <c r="A21" s="14" t="s">
        <v>47</v>
      </c>
      <c r="B21" s="14" t="s">
        <v>68</v>
      </c>
      <c r="C21" s="15">
        <f t="shared" si="4"/>
        <v>18.515918367346941</v>
      </c>
      <c r="D21" s="16">
        <v>49</v>
      </c>
      <c r="E21" s="16">
        <v>0</v>
      </c>
      <c r="F21" s="17">
        <v>907.2800000000002</v>
      </c>
      <c r="G21" s="29">
        <v>0</v>
      </c>
      <c r="H21" s="18">
        <f t="shared" si="1"/>
        <v>0</v>
      </c>
      <c r="I21" s="18">
        <f t="shared" si="2"/>
        <v>0.30218990799116285</v>
      </c>
      <c r="J21" s="17">
        <f t="shared" si="5"/>
        <v>274.1708597222223</v>
      </c>
      <c r="K21" s="17">
        <f t="shared" si="3"/>
        <v>5.5953236678004554</v>
      </c>
      <c r="L21" s="16">
        <v>39</v>
      </c>
      <c r="M21" s="19">
        <f t="shared" si="6"/>
        <v>1.2564102564102564</v>
      </c>
      <c r="N21" s="16">
        <v>306</v>
      </c>
      <c r="O21" s="20">
        <f t="shared" ref="O21:P21" si="29">D21/7</f>
        <v>7</v>
      </c>
      <c r="P21" s="20">
        <f t="shared" si="29"/>
        <v>0</v>
      </c>
      <c r="Q21" s="16">
        <f t="shared" si="8"/>
        <v>43</v>
      </c>
      <c r="R21" s="16"/>
      <c r="S21" s="21">
        <v>2.8374233128834301</v>
      </c>
      <c r="T21" s="14">
        <v>700</v>
      </c>
      <c r="U21" s="22">
        <v>200</v>
      </c>
      <c r="V21" s="23" t="s">
        <v>1303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14" t="s">
        <v>35</v>
      </c>
      <c r="AB21" s="27">
        <f t="shared" si="11"/>
        <v>-0.69</v>
      </c>
      <c r="AC21" s="28">
        <v>2.8773148148148152E-2</v>
      </c>
      <c r="AD21" s="25">
        <f t="shared" si="12"/>
        <v>-1.9456402777777779</v>
      </c>
      <c r="AE21" s="25">
        <v>-4.9000000000000004</v>
      </c>
      <c r="AF21" s="25">
        <v>-5.2035</v>
      </c>
      <c r="AG21" s="25">
        <v>0</v>
      </c>
    </row>
    <row r="22" spans="1:33" ht="15.75" customHeight="1">
      <c r="A22" s="14" t="s">
        <v>48</v>
      </c>
      <c r="B22" s="14" t="s">
        <v>68</v>
      </c>
      <c r="C22" s="15">
        <f t="shared" si="4"/>
        <v>17.980731707317084</v>
      </c>
      <c r="D22" s="16">
        <v>82</v>
      </c>
      <c r="E22" s="16">
        <v>0</v>
      </c>
      <c r="F22" s="29">
        <v>1474.4200000000008</v>
      </c>
      <c r="G22" s="29">
        <v>0</v>
      </c>
      <c r="H22" s="18">
        <f t="shared" si="1"/>
        <v>0</v>
      </c>
      <c r="I22" s="18">
        <f t="shared" si="2"/>
        <v>0.28588463976041822</v>
      </c>
      <c r="J22" s="17">
        <f t="shared" si="5"/>
        <v>421.51403055555608</v>
      </c>
      <c r="K22" s="17">
        <f t="shared" si="3"/>
        <v>5.1404150067750738</v>
      </c>
      <c r="L22" s="16">
        <v>98</v>
      </c>
      <c r="M22" s="19">
        <f t="shared" si="6"/>
        <v>0.83673469387755106</v>
      </c>
      <c r="N22" s="16">
        <v>260</v>
      </c>
      <c r="O22" s="20">
        <f t="shared" ref="O22:P22" si="30">D22/7</f>
        <v>11.714285714285714</v>
      </c>
      <c r="P22" s="20">
        <f t="shared" si="30"/>
        <v>0</v>
      </c>
      <c r="Q22" s="16">
        <f t="shared" si="8"/>
        <v>22</v>
      </c>
      <c r="R22" s="16"/>
      <c r="S22" s="21">
        <v>3.5085066162570802</v>
      </c>
      <c r="T22" s="14">
        <v>1200</v>
      </c>
      <c r="U22" s="22">
        <v>200</v>
      </c>
      <c r="V22" s="23" t="s">
        <v>1303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35</v>
      </c>
      <c r="AB22" s="27">
        <f t="shared" si="11"/>
        <v>-0.69</v>
      </c>
      <c r="AC22" s="28">
        <v>2.8773148148148152E-2</v>
      </c>
      <c r="AD22" s="25">
        <f t="shared" si="12"/>
        <v>-3.2559694444444447</v>
      </c>
      <c r="AE22" s="25">
        <v>-4.9000000000000004</v>
      </c>
      <c r="AF22" s="25">
        <v>-5.2035</v>
      </c>
      <c r="AG22" s="25">
        <v>0</v>
      </c>
    </row>
    <row r="23" spans="1:33" ht="15.75" customHeight="1">
      <c r="A23" s="14" t="s">
        <v>49</v>
      </c>
      <c r="B23" s="14" t="s">
        <v>1304</v>
      </c>
      <c r="C23" s="15">
        <f t="shared" si="4"/>
        <v>18.015454545454546</v>
      </c>
      <c r="D23" s="16">
        <v>44</v>
      </c>
      <c r="E23" s="16">
        <v>0</v>
      </c>
      <c r="F23" s="17">
        <v>792.68000000000006</v>
      </c>
      <c r="G23" s="29">
        <v>0</v>
      </c>
      <c r="H23" s="18">
        <f t="shared" si="1"/>
        <v>0</v>
      </c>
      <c r="I23" s="18">
        <f t="shared" si="2"/>
        <v>0.28697191104158604</v>
      </c>
      <c r="J23" s="17">
        <f t="shared" si="5"/>
        <v>227.47689444444444</v>
      </c>
      <c r="K23" s="17">
        <f t="shared" si="3"/>
        <v>5.1699294191919192</v>
      </c>
      <c r="L23" s="16">
        <v>84</v>
      </c>
      <c r="M23" s="19">
        <f t="shared" si="6"/>
        <v>0.52380952380952384</v>
      </c>
      <c r="N23" s="16">
        <v>202</v>
      </c>
      <c r="O23" s="20">
        <f t="shared" ref="O23:P23" si="31">D23/7</f>
        <v>6.2857142857142856</v>
      </c>
      <c r="P23" s="20">
        <f t="shared" si="31"/>
        <v>0</v>
      </c>
      <c r="Q23" s="16">
        <f t="shared" si="8"/>
        <v>32</v>
      </c>
      <c r="R23" s="16"/>
      <c r="S23" s="21">
        <v>3.3247269116186602</v>
      </c>
      <c r="T23" s="14">
        <v>1700</v>
      </c>
      <c r="U23" s="22">
        <v>200</v>
      </c>
      <c r="V23" s="23" t="s">
        <v>1305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35</v>
      </c>
      <c r="AB23" s="27">
        <f t="shared" si="11"/>
        <v>-0.69</v>
      </c>
      <c r="AC23" s="28">
        <v>2.8773148148148152E-2</v>
      </c>
      <c r="AD23" s="25">
        <f t="shared" si="12"/>
        <v>-1.7471055555555557</v>
      </c>
      <c r="AE23" s="25">
        <v>-4.9000000000000004</v>
      </c>
      <c r="AF23" s="25">
        <v>-5.2035</v>
      </c>
      <c r="AG23" s="25">
        <v>0</v>
      </c>
    </row>
    <row r="24" spans="1:33" ht="15.75" customHeight="1">
      <c r="A24" s="14" t="s">
        <v>50</v>
      </c>
      <c r="B24" s="14" t="s">
        <v>1306</v>
      </c>
      <c r="C24" s="15">
        <f t="shared" si="4"/>
        <v>17.306603773584914</v>
      </c>
      <c r="D24" s="16">
        <v>53</v>
      </c>
      <c r="E24" s="16">
        <v>0</v>
      </c>
      <c r="F24" s="17">
        <v>917.25000000000045</v>
      </c>
      <c r="G24" s="17">
        <v>0</v>
      </c>
      <c r="H24" s="18">
        <f t="shared" si="1"/>
        <v>0</v>
      </c>
      <c r="I24" s="18">
        <f t="shared" si="2"/>
        <v>0.26391118227794458</v>
      </c>
      <c r="J24" s="17">
        <f t="shared" si="5"/>
        <v>242.07253194444476</v>
      </c>
      <c r="K24" s="17">
        <f t="shared" si="3"/>
        <v>4.5674062631027317</v>
      </c>
      <c r="L24" s="16">
        <v>95</v>
      </c>
      <c r="M24" s="19">
        <f t="shared" si="6"/>
        <v>0.55789473684210522</v>
      </c>
      <c r="N24" s="16">
        <v>163</v>
      </c>
      <c r="O24" s="20">
        <f t="shared" ref="O24:P24" si="32">D24/7</f>
        <v>7.5714285714285712</v>
      </c>
      <c r="P24" s="20">
        <f t="shared" si="32"/>
        <v>0</v>
      </c>
      <c r="Q24" s="16">
        <f t="shared" si="8"/>
        <v>21</v>
      </c>
      <c r="R24" s="16"/>
      <c r="S24" s="21">
        <v>4.0300751879699197</v>
      </c>
      <c r="T24" s="14">
        <v>2100</v>
      </c>
      <c r="U24" s="22">
        <v>200</v>
      </c>
      <c r="V24" s="23" t="s">
        <v>1307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14" t="s">
        <v>35</v>
      </c>
      <c r="AB24" s="27">
        <f t="shared" si="11"/>
        <v>-0.69</v>
      </c>
      <c r="AC24" s="28">
        <v>2.8773148148148152E-2</v>
      </c>
      <c r="AD24" s="25">
        <f t="shared" si="12"/>
        <v>-2.1044680555555555</v>
      </c>
      <c r="AE24" s="25">
        <v>-4.9000000000000004</v>
      </c>
      <c r="AF24" s="25">
        <v>-5.2035</v>
      </c>
      <c r="AG24" s="25">
        <v>0</v>
      </c>
    </row>
    <row r="25" spans="1:33" ht="15.75" customHeight="1">
      <c r="A25" s="14" t="s">
        <v>51</v>
      </c>
      <c r="B25" s="14" t="s">
        <v>860</v>
      </c>
      <c r="C25" s="15">
        <f t="shared" si="4"/>
        <v>17.593636363636364</v>
      </c>
      <c r="D25" s="16">
        <v>110</v>
      </c>
      <c r="E25" s="16">
        <v>1</v>
      </c>
      <c r="F25" s="17">
        <v>1935.3</v>
      </c>
      <c r="G25" s="17">
        <v>0</v>
      </c>
      <c r="H25" s="18">
        <f t="shared" si="1"/>
        <v>0</v>
      </c>
      <c r="I25" s="18">
        <f t="shared" si="2"/>
        <v>0.27367190415496873</v>
      </c>
      <c r="J25" s="17">
        <f t="shared" si="5"/>
        <v>529.63723611111095</v>
      </c>
      <c r="K25" s="17">
        <f t="shared" si="3"/>
        <v>4.8148839646464632</v>
      </c>
      <c r="L25" s="16">
        <v>149</v>
      </c>
      <c r="M25" s="19">
        <f t="shared" si="6"/>
        <v>0.73825503355704702</v>
      </c>
      <c r="N25" s="16">
        <v>57</v>
      </c>
      <c r="O25" s="20">
        <f t="shared" ref="O25:P25" si="33">D25/7</f>
        <v>15.714285714285714</v>
      </c>
      <c r="P25" s="20">
        <f t="shared" si="33"/>
        <v>0.14285714285714285</v>
      </c>
      <c r="Q25" s="16">
        <f t="shared" si="8"/>
        <v>3</v>
      </c>
      <c r="R25" s="16"/>
      <c r="S25" s="21">
        <v>3.9283154121863801</v>
      </c>
      <c r="T25" s="14">
        <v>2600</v>
      </c>
      <c r="U25" s="22">
        <v>200</v>
      </c>
      <c r="V25" s="23" t="s">
        <v>1308</v>
      </c>
      <c r="W25" s="30">
        <v>0</v>
      </c>
      <c r="X25" s="24">
        <f t="shared" si="9"/>
        <v>0</v>
      </c>
      <c r="Y25" s="25">
        <f t="shared" si="10"/>
        <v>0</v>
      </c>
      <c r="Z25" s="30">
        <v>0</v>
      </c>
      <c r="AA25" s="14" t="s">
        <v>35</v>
      </c>
      <c r="AB25" s="27">
        <f t="shared" si="11"/>
        <v>-0.69</v>
      </c>
      <c r="AC25" s="28">
        <v>2.8773148148148152E-2</v>
      </c>
      <c r="AD25" s="25">
        <f t="shared" si="12"/>
        <v>-4.3677638888888897</v>
      </c>
      <c r="AE25" s="25">
        <v>-4.9000000000000004</v>
      </c>
      <c r="AF25" s="25">
        <v>-5.2</v>
      </c>
      <c r="AG25" s="25">
        <v>0</v>
      </c>
    </row>
    <row r="26" spans="1:33" ht="15.75" customHeight="1">
      <c r="A26" s="14" t="s">
        <v>52</v>
      </c>
      <c r="B26" s="14" t="s">
        <v>45</v>
      </c>
      <c r="C26" s="15">
        <f t="shared" si="4"/>
        <v>17.132702702702701</v>
      </c>
      <c r="D26" s="16">
        <v>37</v>
      </c>
      <c r="E26" s="16">
        <v>0</v>
      </c>
      <c r="F26" s="17">
        <v>633.91</v>
      </c>
      <c r="G26" s="17">
        <v>0</v>
      </c>
      <c r="H26" s="18">
        <f t="shared" si="1"/>
        <v>0</v>
      </c>
      <c r="I26" s="18">
        <f t="shared" si="2"/>
        <v>0.25796223920675732</v>
      </c>
      <c r="J26" s="17">
        <f t="shared" si="5"/>
        <v>163.52484305555552</v>
      </c>
      <c r="K26" s="17">
        <f t="shared" si="3"/>
        <v>4.4195903528528522</v>
      </c>
      <c r="L26" s="16">
        <v>110</v>
      </c>
      <c r="M26" s="19">
        <f t="shared" si="6"/>
        <v>0.33636363636363636</v>
      </c>
      <c r="N26" s="16">
        <v>2</v>
      </c>
      <c r="O26" s="20">
        <f t="shared" ref="O26:P26" si="34">D26/7</f>
        <v>5.2857142857142856</v>
      </c>
      <c r="P26" s="20">
        <f t="shared" si="34"/>
        <v>0</v>
      </c>
      <c r="Q26" s="16">
        <f t="shared" si="8"/>
        <v>0</v>
      </c>
      <c r="R26" s="16"/>
      <c r="S26" s="21">
        <v>4.205741626794258</v>
      </c>
      <c r="T26" s="14">
        <v>2600</v>
      </c>
      <c r="U26" s="22">
        <v>200</v>
      </c>
      <c r="V26" s="23" t="s">
        <v>1308</v>
      </c>
      <c r="W26" s="30">
        <v>0</v>
      </c>
      <c r="X26" s="24">
        <f t="shared" si="9"/>
        <v>0</v>
      </c>
      <c r="Y26" s="25">
        <f t="shared" si="10"/>
        <v>0</v>
      </c>
      <c r="Z26" s="30">
        <v>0</v>
      </c>
      <c r="AA26" s="14" t="s">
        <v>35</v>
      </c>
      <c r="AB26" s="27">
        <f t="shared" si="11"/>
        <v>-0.69</v>
      </c>
      <c r="AC26" s="28">
        <v>2.8773148148148152E-2</v>
      </c>
      <c r="AD26" s="25">
        <f t="shared" si="12"/>
        <v>-1.4691569444444446</v>
      </c>
      <c r="AE26" s="25">
        <v>-4.9000000000000004</v>
      </c>
      <c r="AF26" s="25">
        <v>-5.2035</v>
      </c>
      <c r="AG26" s="25">
        <v>0</v>
      </c>
    </row>
    <row r="27" spans="1:33" ht="15.75" customHeight="1">
      <c r="A27" s="14" t="s">
        <v>53</v>
      </c>
      <c r="B27" s="14" t="s">
        <v>1309</v>
      </c>
      <c r="C27" s="15">
        <f t="shared" si="4"/>
        <v>18.64</v>
      </c>
      <c r="D27" s="16">
        <v>2</v>
      </c>
      <c r="E27" s="16">
        <v>0</v>
      </c>
      <c r="F27" s="17">
        <v>37.28</v>
      </c>
      <c r="G27" s="17">
        <v>0</v>
      </c>
      <c r="H27" s="18">
        <f t="shared" si="1"/>
        <v>0</v>
      </c>
      <c r="I27" s="18">
        <f t="shared" si="2"/>
        <v>0.25715091499761566</v>
      </c>
      <c r="J27" s="17">
        <f t="shared" si="5"/>
        <v>9.5865861111111119</v>
      </c>
      <c r="K27" s="17">
        <f t="shared" si="3"/>
        <v>4.793293055555556</v>
      </c>
      <c r="L27" s="16">
        <v>19</v>
      </c>
      <c r="M27" s="19">
        <f t="shared" si="6"/>
        <v>0.10526315789473684</v>
      </c>
      <c r="N27" s="16">
        <v>199</v>
      </c>
      <c r="O27" s="20">
        <f t="shared" ref="O27:P27" si="35">D27/7</f>
        <v>0.2857142857142857</v>
      </c>
      <c r="P27" s="20">
        <f t="shared" si="35"/>
        <v>0</v>
      </c>
      <c r="Q27" s="16">
        <f t="shared" si="8"/>
        <v>696</v>
      </c>
      <c r="R27" s="16"/>
      <c r="S27" s="21">
        <v>3.3867457962413452</v>
      </c>
      <c r="T27" s="14">
        <v>2400</v>
      </c>
      <c r="U27" s="22">
        <v>400</v>
      </c>
      <c r="V27" s="23" t="s">
        <v>1310</v>
      </c>
      <c r="W27" s="30">
        <v>0</v>
      </c>
      <c r="X27" s="24">
        <f t="shared" si="9"/>
        <v>0</v>
      </c>
      <c r="Y27" s="25">
        <f t="shared" si="10"/>
        <v>0</v>
      </c>
      <c r="Z27" s="30">
        <v>0</v>
      </c>
      <c r="AA27" s="14" t="s">
        <v>35</v>
      </c>
      <c r="AB27" s="27">
        <f t="shared" si="11"/>
        <v>-0.69</v>
      </c>
      <c r="AC27" s="28">
        <v>2.8773148148148152E-2</v>
      </c>
      <c r="AD27" s="25">
        <f t="shared" si="12"/>
        <v>-7.9413888888888895E-2</v>
      </c>
      <c r="AE27" s="25">
        <v>-4.9000000000000004</v>
      </c>
      <c r="AF27" s="25">
        <v>-6.1109999999999998</v>
      </c>
      <c r="AG27" s="25">
        <v>0</v>
      </c>
    </row>
    <row r="28" spans="1:33" ht="15.75" customHeight="1">
      <c r="A28" s="14" t="s">
        <v>54</v>
      </c>
      <c r="B28" s="14" t="s">
        <v>1311</v>
      </c>
      <c r="C28" s="15">
        <f t="shared" si="4"/>
        <v>17.718333333333334</v>
      </c>
      <c r="D28" s="16">
        <v>36</v>
      </c>
      <c r="E28" s="16">
        <v>0</v>
      </c>
      <c r="F28" s="17">
        <v>637.86</v>
      </c>
      <c r="G28" s="17">
        <v>0</v>
      </c>
      <c r="H28" s="18">
        <f t="shared" si="1"/>
        <v>0</v>
      </c>
      <c r="I28" s="18">
        <f t="shared" si="2"/>
        <v>0.22349034270843138</v>
      </c>
      <c r="J28" s="17">
        <f t="shared" si="5"/>
        <v>142.55555000000004</v>
      </c>
      <c r="K28" s="17">
        <f t="shared" si="3"/>
        <v>3.9598763888888899</v>
      </c>
      <c r="L28" s="16">
        <v>99</v>
      </c>
      <c r="M28" s="19">
        <f t="shared" si="6"/>
        <v>0.36363636363636365</v>
      </c>
      <c r="N28" s="16">
        <v>172</v>
      </c>
      <c r="O28" s="20">
        <f t="shared" ref="O28:P28" si="36">D28/7</f>
        <v>5.1428571428571432</v>
      </c>
      <c r="P28" s="20">
        <f t="shared" si="36"/>
        <v>0</v>
      </c>
      <c r="Q28" s="16">
        <f t="shared" si="8"/>
        <v>33</v>
      </c>
      <c r="R28" s="16"/>
      <c r="S28" s="21">
        <v>3.5982339955849891</v>
      </c>
      <c r="T28" s="14">
        <v>1400</v>
      </c>
      <c r="U28" s="22">
        <v>44384</v>
      </c>
      <c r="V28" s="23" t="s">
        <v>1310</v>
      </c>
      <c r="W28" s="30">
        <v>0</v>
      </c>
      <c r="X28" s="24">
        <f t="shared" si="9"/>
        <v>0</v>
      </c>
      <c r="Y28" s="25">
        <f t="shared" si="10"/>
        <v>0</v>
      </c>
      <c r="Z28" s="30">
        <v>0</v>
      </c>
      <c r="AA28" s="14" t="s">
        <v>35</v>
      </c>
      <c r="AB28" s="27">
        <f t="shared" si="11"/>
        <v>-0.69</v>
      </c>
      <c r="AC28" s="28">
        <v>2.8773148148148152E-2</v>
      </c>
      <c r="AD28" s="25">
        <f t="shared" si="12"/>
        <v>-1.4294500000000001</v>
      </c>
      <c r="AE28" s="25">
        <v>-4.95</v>
      </c>
      <c r="AF28" s="25">
        <v>-6.1109999999999998</v>
      </c>
      <c r="AG28" s="25">
        <v>0</v>
      </c>
    </row>
    <row r="29" spans="1:33" ht="15.75" customHeight="1">
      <c r="A29" s="14" t="s">
        <v>55</v>
      </c>
      <c r="B29" s="14" t="s">
        <v>1295</v>
      </c>
      <c r="C29" s="15">
        <f t="shared" si="4"/>
        <v>15.956352941176471</v>
      </c>
      <c r="D29" s="16">
        <v>85</v>
      </c>
      <c r="E29" s="16">
        <v>0</v>
      </c>
      <c r="F29" s="17">
        <v>1356.29</v>
      </c>
      <c r="G29" s="17">
        <v>0</v>
      </c>
      <c r="H29" s="18">
        <f t="shared" si="1"/>
        <v>0</v>
      </c>
      <c r="I29" s="18">
        <f t="shared" si="2"/>
        <v>0.1543080091442259</v>
      </c>
      <c r="J29" s="17">
        <f t="shared" si="5"/>
        <v>209.28640972222215</v>
      </c>
      <c r="K29" s="17">
        <f t="shared" si="3"/>
        <v>2.4621930555555545</v>
      </c>
      <c r="L29" s="16">
        <v>136</v>
      </c>
      <c r="M29" s="19">
        <f t="shared" si="6"/>
        <v>0.625</v>
      </c>
      <c r="N29" s="16">
        <v>92</v>
      </c>
      <c r="O29" s="20">
        <f t="shared" ref="O29:P29" si="37">D29/7</f>
        <v>12.142857142857142</v>
      </c>
      <c r="P29" s="20">
        <f t="shared" si="37"/>
        <v>0</v>
      </c>
      <c r="Q29" s="16">
        <f t="shared" si="8"/>
        <v>7</v>
      </c>
      <c r="R29" s="16"/>
      <c r="S29" s="21">
        <v>3.1585365853658538</v>
      </c>
      <c r="T29" s="14">
        <v>1900</v>
      </c>
      <c r="U29" s="22">
        <v>44386</v>
      </c>
      <c r="V29" s="23" t="s">
        <v>1312</v>
      </c>
      <c r="W29" s="30">
        <v>0</v>
      </c>
      <c r="X29" s="24">
        <f t="shared" si="9"/>
        <v>0</v>
      </c>
      <c r="Y29" s="25">
        <f t="shared" si="10"/>
        <v>0</v>
      </c>
      <c r="Z29" s="30">
        <v>0</v>
      </c>
      <c r="AA29" s="14" t="s">
        <v>35</v>
      </c>
      <c r="AB29" s="27">
        <f t="shared" si="11"/>
        <v>-0.69</v>
      </c>
      <c r="AC29" s="28">
        <v>2.8773148148148152E-2</v>
      </c>
      <c r="AD29" s="25">
        <f t="shared" si="12"/>
        <v>-3.3750902777777778</v>
      </c>
      <c r="AE29" s="25">
        <v>-4.95</v>
      </c>
      <c r="AF29" s="25">
        <v>-6.1109999999999998</v>
      </c>
      <c r="AG29" s="25">
        <v>0</v>
      </c>
    </row>
    <row r="30" spans="1:33" ht="15.75" customHeight="1">
      <c r="A30" s="14" t="s">
        <v>57</v>
      </c>
      <c r="B30" s="14" t="s">
        <v>860</v>
      </c>
      <c r="C30" s="15">
        <f t="shared" si="4"/>
        <v>16.66418181818181</v>
      </c>
      <c r="D30" s="16">
        <v>55</v>
      </c>
      <c r="E30" s="16">
        <v>0</v>
      </c>
      <c r="F30" s="17">
        <v>916.52999999999952</v>
      </c>
      <c r="G30" s="17">
        <v>0</v>
      </c>
      <c r="H30" s="18">
        <f t="shared" si="1"/>
        <v>0</v>
      </c>
      <c r="I30" s="18">
        <f t="shared" si="2"/>
        <v>0.18734808176443243</v>
      </c>
      <c r="J30" s="17">
        <f t="shared" si="5"/>
        <v>171.71013737955516</v>
      </c>
      <c r="K30" s="17">
        <f t="shared" si="3"/>
        <v>3.1220024978100938</v>
      </c>
      <c r="L30" s="16">
        <v>109</v>
      </c>
      <c r="M30" s="19">
        <f t="shared" si="6"/>
        <v>0.50458715596330272</v>
      </c>
      <c r="N30" s="16">
        <v>3</v>
      </c>
      <c r="O30" s="20">
        <f t="shared" ref="O30:P30" si="38">D30/7</f>
        <v>7.8571428571428568</v>
      </c>
      <c r="P30" s="20">
        <f t="shared" si="38"/>
        <v>0</v>
      </c>
      <c r="Q30" s="16">
        <f t="shared" si="8"/>
        <v>0</v>
      </c>
      <c r="R30" s="16"/>
      <c r="S30" s="21">
        <v>3.954140127388535</v>
      </c>
      <c r="T30" s="14">
        <v>1500</v>
      </c>
      <c r="U30" s="22">
        <v>500</v>
      </c>
      <c r="V30" s="23" t="s">
        <v>1313</v>
      </c>
      <c r="W30" s="30">
        <v>0</v>
      </c>
      <c r="X30" s="24">
        <f t="shared" si="9"/>
        <v>0</v>
      </c>
      <c r="Y30" s="25">
        <f t="shared" si="10"/>
        <v>0</v>
      </c>
      <c r="Z30" s="30">
        <v>0</v>
      </c>
      <c r="AA30" s="14" t="s">
        <v>35</v>
      </c>
      <c r="AB30" s="27">
        <f t="shared" si="11"/>
        <v>-0.69</v>
      </c>
      <c r="AC30" s="28">
        <v>2.8773148148148152E-2</v>
      </c>
      <c r="AD30" s="25">
        <f t="shared" si="12"/>
        <v>-2.1838819444444448</v>
      </c>
      <c r="AE30" s="25">
        <v>-4.95</v>
      </c>
      <c r="AF30" s="25">
        <v>-6.0528451032000001</v>
      </c>
      <c r="AG30" s="25">
        <v>0</v>
      </c>
    </row>
    <row r="31" spans="1:33" ht="15.75" customHeight="1">
      <c r="A31" s="14" t="s">
        <v>58</v>
      </c>
      <c r="B31" s="14" t="s">
        <v>1314</v>
      </c>
      <c r="C31" s="15">
        <f t="shared" si="4"/>
        <v>17.347647058823526</v>
      </c>
      <c r="D31" s="16">
        <v>17</v>
      </c>
      <c r="E31" s="16">
        <v>0</v>
      </c>
      <c r="F31" s="17">
        <v>294.90999999999997</v>
      </c>
      <c r="G31" s="17">
        <v>0</v>
      </c>
      <c r="H31" s="18">
        <f t="shared" si="1"/>
        <v>0</v>
      </c>
      <c r="I31" s="18">
        <f t="shared" si="2"/>
        <v>0.21345534295223764</v>
      </c>
      <c r="J31" s="17">
        <f t="shared" si="5"/>
        <v>62.9501151900444</v>
      </c>
      <c r="K31" s="17">
        <f t="shared" si="3"/>
        <v>3.7029479523555531</v>
      </c>
      <c r="L31" s="16">
        <v>66</v>
      </c>
      <c r="M31" s="19">
        <f t="shared" si="6"/>
        <v>0.25757575757575757</v>
      </c>
      <c r="N31" s="16">
        <v>6</v>
      </c>
      <c r="O31" s="20">
        <f t="shared" ref="O31:P31" si="39">D31/7</f>
        <v>2.4285714285714284</v>
      </c>
      <c r="P31" s="20">
        <f t="shared" si="39"/>
        <v>0</v>
      </c>
      <c r="Q31" s="16">
        <f t="shared" si="8"/>
        <v>2</v>
      </c>
      <c r="R31" s="16"/>
      <c r="S31" s="21">
        <v>5.5172413793103399</v>
      </c>
      <c r="T31" s="14">
        <v>500</v>
      </c>
      <c r="U31" s="22" t="s">
        <v>34</v>
      </c>
      <c r="V31" s="23" t="s">
        <v>1315</v>
      </c>
      <c r="W31" s="30">
        <v>0</v>
      </c>
      <c r="X31" s="24">
        <f t="shared" si="9"/>
        <v>0</v>
      </c>
      <c r="Y31" s="25">
        <f t="shared" si="10"/>
        <v>0</v>
      </c>
      <c r="Z31" s="30">
        <v>0</v>
      </c>
      <c r="AA31" s="14" t="s">
        <v>35</v>
      </c>
      <c r="AB31" s="27">
        <f t="shared" si="11"/>
        <v>-0.69</v>
      </c>
      <c r="AC31" s="28">
        <v>2.8773148148148152E-2</v>
      </c>
      <c r="AD31" s="25">
        <f t="shared" si="12"/>
        <v>-0.67501805555555561</v>
      </c>
      <c r="AE31" s="25">
        <v>-4.95</v>
      </c>
      <c r="AF31" s="25">
        <v>-6.0528451032000001</v>
      </c>
      <c r="AG31" s="25">
        <v>0</v>
      </c>
    </row>
    <row r="32" spans="1:33" ht="15.75" customHeight="1">
      <c r="A32" s="14" t="s">
        <v>60</v>
      </c>
      <c r="B32" s="14"/>
      <c r="C32" s="15">
        <f t="shared" si="4"/>
        <v>20.16181818181818</v>
      </c>
      <c r="D32" s="16">
        <v>11</v>
      </c>
      <c r="E32" s="16">
        <v>0</v>
      </c>
      <c r="F32" s="17">
        <v>221.78</v>
      </c>
      <c r="G32" s="17">
        <v>0</v>
      </c>
      <c r="H32" s="18">
        <f t="shared" si="1"/>
        <v>0</v>
      </c>
      <c r="I32" s="18">
        <f t="shared" si="2"/>
        <v>0.30230375812025928</v>
      </c>
      <c r="J32" s="17">
        <f t="shared" si="5"/>
        <v>67.044927475911109</v>
      </c>
      <c r="K32" s="17">
        <f t="shared" si="3"/>
        <v>6.0949934069010103</v>
      </c>
      <c r="L32" s="16">
        <v>54</v>
      </c>
      <c r="M32" s="19">
        <f t="shared" si="6"/>
        <v>0.20370370370370369</v>
      </c>
      <c r="N32" s="16">
        <v>3</v>
      </c>
      <c r="O32" s="20">
        <f t="shared" ref="O32:P32" si="40">D32/7</f>
        <v>1.5714285714285714</v>
      </c>
      <c r="P32" s="20">
        <f t="shared" si="40"/>
        <v>0</v>
      </c>
      <c r="Q32" s="16">
        <f t="shared" si="8"/>
        <v>1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3.0216867469879518</v>
      </c>
      <c r="T32" s="14">
        <f ca="1">IFERROR(__xludf.DUMMYFUNCTION("IFERROR(VLOOKUP($B$2,IMPORTRANGE(""https://docs.google.com/spreadsheets/d/1KiWZV1ko8G7lnRucBRBd29jj3Be6ltMfljMDqzOkQmI/edit#gid=1381463014"",""Lookup!A:D""),4,FALSE),"""")"),500)</f>
        <v>500</v>
      </c>
      <c r="U32" s="22">
        <f ca="1">IFERROR(__xludf.DUMMYFUNCTION("IFERROR(VLOOKUP($B$2,IMPORTRANGE(""https://docs.google.com/spreadsheets/d/1KiWZV1ko8G7lnRucBRBd29jj3Be6ltMfljMDqzOkQmI/edit#gid=1381463014"",""Lookup!A:D""),3,FALSE),"""")"),900)</f>
        <v>900</v>
      </c>
      <c r="V32" s="23" t="str">
        <f ca="1">IFERROR(__xludf.DUMMYFUNCTION("IFERROR(VLOOKUP($B$2,IMPORTRANGE(""https://docs.google.com/spreadsheets/d/1KiWZV1ko8G7lnRucBRBd29jj3Be6ltMfljMDqzOkQmI/edit#gid=1381463014"",""Lookup!A:D""),2,FALSE),"""")"),"| 406  - 400 units 07/22| 415  - 500 units 08/21")</f>
        <v>| 406  - 400 units 07/22| 415  - 500 units 08/21</v>
      </c>
      <c r="W32" s="30">
        <v>0</v>
      </c>
      <c r="X32" s="24">
        <f t="shared" si="9"/>
        <v>0</v>
      </c>
      <c r="Y32" s="25">
        <f t="shared" si="10"/>
        <v>0</v>
      </c>
      <c r="Z32" s="30">
        <v>0</v>
      </c>
      <c r="AA32" s="14" t="s">
        <v>35</v>
      </c>
      <c r="AB32" s="27">
        <f t="shared" si="11"/>
        <v>-0.69</v>
      </c>
      <c r="AC32" s="28">
        <v>2.8773148148148152E-2</v>
      </c>
      <c r="AD32" s="25">
        <f t="shared" si="12"/>
        <v>-0.43677638888888892</v>
      </c>
      <c r="AE32" s="25">
        <v>-4.95</v>
      </c>
      <c r="AF32" s="25">
        <v>-6.0528451032000001</v>
      </c>
      <c r="AG32" s="25">
        <v>0</v>
      </c>
    </row>
    <row r="33" spans="1:33" ht="15.75" customHeight="1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16"/>
      <c r="S33" s="21"/>
      <c r="T33" s="31"/>
      <c r="U33" s="36"/>
      <c r="V33" s="1"/>
      <c r="W33" s="31"/>
      <c r="X33" s="31"/>
      <c r="Y33" s="31"/>
      <c r="Z33" s="31"/>
      <c r="AA33" s="2"/>
      <c r="AB33" s="31"/>
      <c r="AC33" s="31"/>
      <c r="AD33" s="31"/>
      <c r="AE33" s="37"/>
      <c r="AF33" s="37"/>
      <c r="AG33" s="37"/>
    </row>
    <row r="34" spans="1:33" ht="15.75" customHeight="1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6"/>
      <c r="V34" s="1"/>
      <c r="W34" s="31"/>
      <c r="X34" s="31"/>
      <c r="Y34" s="31"/>
      <c r="Z34" s="31"/>
      <c r="AA34" s="2"/>
      <c r="AB34" s="31"/>
      <c r="AC34" s="31"/>
      <c r="AD34" s="31"/>
      <c r="AE34" s="37"/>
      <c r="AF34" s="37"/>
      <c r="AG34" s="37"/>
    </row>
    <row r="35" spans="1:33" ht="15.75" customHeight="1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6"/>
      <c r="V35" s="1"/>
      <c r="W35" s="31"/>
      <c r="X35" s="31"/>
      <c r="Y35" s="31"/>
      <c r="Z35" s="31"/>
      <c r="AA35" s="2"/>
      <c r="AB35" s="31"/>
      <c r="AC35" s="31"/>
      <c r="AD35" s="31"/>
      <c r="AE35" s="37"/>
      <c r="AF35" s="37"/>
      <c r="AG35" s="37"/>
    </row>
    <row r="36" spans="1:33" ht="15.75" customHeight="1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6"/>
      <c r="V36" s="1"/>
      <c r="W36" s="31"/>
      <c r="X36" s="31"/>
      <c r="Y36" s="31"/>
      <c r="Z36" s="31"/>
      <c r="AA36" s="2"/>
      <c r="AB36" s="31"/>
      <c r="AC36" s="31"/>
      <c r="AD36" s="31"/>
      <c r="AE36" s="37"/>
      <c r="AF36" s="37"/>
      <c r="AG36" s="37"/>
    </row>
    <row r="37" spans="1:33" ht="15.75" customHeight="1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6"/>
      <c r="V37" s="1"/>
      <c r="W37" s="31"/>
      <c r="X37" s="31"/>
      <c r="Y37" s="31"/>
      <c r="Z37" s="31"/>
      <c r="AA37" s="2"/>
      <c r="AB37" s="31"/>
      <c r="AC37" s="31"/>
      <c r="AD37" s="31"/>
      <c r="AE37" s="37"/>
      <c r="AF37" s="37"/>
      <c r="AG37" s="37"/>
    </row>
    <row r="38" spans="1:33" ht="15.75" customHeight="1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6"/>
      <c r="V38" s="1"/>
      <c r="W38" s="31"/>
      <c r="X38" s="31"/>
      <c r="Y38" s="31"/>
      <c r="Z38" s="31"/>
      <c r="AA38" s="2"/>
      <c r="AB38" s="31"/>
      <c r="AC38" s="31"/>
      <c r="AD38" s="31"/>
      <c r="AE38" s="37"/>
      <c r="AF38" s="37"/>
      <c r="AG38" s="37"/>
    </row>
    <row r="39" spans="1:33" ht="15.75" customHeight="1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6"/>
      <c r="V39" s="1"/>
      <c r="W39" s="31"/>
      <c r="X39" s="31"/>
      <c r="Y39" s="31"/>
      <c r="Z39" s="31"/>
      <c r="AA39" s="2"/>
      <c r="AB39" s="31"/>
      <c r="AC39" s="31"/>
      <c r="AD39" s="31"/>
      <c r="AE39" s="37"/>
      <c r="AF39" s="37"/>
      <c r="AG39" s="37"/>
    </row>
    <row r="40" spans="1:33" ht="15.75" customHeight="1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6"/>
      <c r="V40" s="1"/>
      <c r="W40" s="31"/>
      <c r="X40" s="31"/>
      <c r="Y40" s="31"/>
      <c r="Z40" s="31"/>
      <c r="AA40" s="2"/>
      <c r="AB40" s="31"/>
      <c r="AC40" s="31"/>
      <c r="AD40" s="31"/>
      <c r="AE40" s="37"/>
      <c r="AF40" s="37"/>
      <c r="AG40" s="37"/>
    </row>
    <row r="41" spans="1:33" ht="15.75" customHeight="1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6"/>
      <c r="V41" s="1"/>
      <c r="W41" s="31"/>
      <c r="X41" s="31"/>
      <c r="Y41" s="31"/>
      <c r="Z41" s="31"/>
      <c r="AA41" s="2"/>
      <c r="AB41" s="31"/>
      <c r="AC41" s="31"/>
      <c r="AD41" s="31"/>
      <c r="AE41" s="37"/>
      <c r="AF41" s="37"/>
      <c r="AG41" s="37"/>
    </row>
    <row r="42" spans="1:33" ht="15.75" customHeight="1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6"/>
      <c r="V42" s="1"/>
      <c r="W42" s="31"/>
      <c r="X42" s="31"/>
      <c r="Y42" s="31"/>
      <c r="Z42" s="31"/>
      <c r="AA42" s="2"/>
      <c r="AB42" s="31"/>
      <c r="AC42" s="31"/>
      <c r="AD42" s="31"/>
      <c r="AE42" s="37"/>
      <c r="AF42" s="37"/>
      <c r="AG42" s="37"/>
    </row>
    <row r="43" spans="1:33" ht="15.75" customHeight="1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6"/>
      <c r="V43" s="1"/>
      <c r="W43" s="31"/>
      <c r="X43" s="31"/>
      <c r="Y43" s="31"/>
      <c r="Z43" s="31"/>
      <c r="AA43" s="2"/>
      <c r="AB43" s="31"/>
      <c r="AC43" s="31"/>
      <c r="AD43" s="31"/>
      <c r="AE43" s="37"/>
      <c r="AF43" s="37"/>
      <c r="AG43" s="37"/>
    </row>
    <row r="44" spans="1:33" ht="15.75" customHeight="1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6"/>
      <c r="V44" s="1"/>
      <c r="W44" s="31"/>
      <c r="X44" s="31"/>
      <c r="Y44" s="31"/>
      <c r="Z44" s="31"/>
      <c r="AA44" s="2"/>
      <c r="AB44" s="31"/>
      <c r="AC44" s="31"/>
      <c r="AD44" s="31"/>
      <c r="AE44" s="37"/>
      <c r="AF44" s="37"/>
      <c r="AG44" s="37"/>
    </row>
    <row r="45" spans="1:33" ht="15.75" customHeight="1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6"/>
      <c r="V45" s="1"/>
      <c r="W45" s="31"/>
      <c r="X45" s="31"/>
      <c r="Y45" s="31"/>
      <c r="Z45" s="31"/>
      <c r="AA45" s="2"/>
      <c r="AB45" s="31"/>
      <c r="AC45" s="31"/>
      <c r="AD45" s="31"/>
      <c r="AE45" s="37"/>
      <c r="AF45" s="37"/>
      <c r="AG45" s="37"/>
    </row>
    <row r="46" spans="1:33" ht="15.75" customHeight="1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6"/>
      <c r="V46" s="1"/>
      <c r="W46" s="31"/>
      <c r="X46" s="31"/>
      <c r="Y46" s="31"/>
      <c r="Z46" s="31"/>
      <c r="AA46" s="2"/>
      <c r="AB46" s="31"/>
      <c r="AC46" s="31"/>
      <c r="AD46" s="31"/>
      <c r="AE46" s="37"/>
      <c r="AF46" s="37"/>
      <c r="AG46" s="37"/>
    </row>
    <row r="47" spans="1:33" ht="15.75" customHeight="1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6"/>
      <c r="V47" s="1"/>
      <c r="W47" s="31"/>
      <c r="X47" s="31"/>
      <c r="Y47" s="31"/>
      <c r="Z47" s="31"/>
      <c r="AA47" s="2"/>
      <c r="AB47" s="31"/>
      <c r="AC47" s="31"/>
      <c r="AD47" s="31"/>
      <c r="AE47" s="37"/>
      <c r="AF47" s="37"/>
      <c r="AG47" s="37"/>
    </row>
    <row r="48" spans="1:33" ht="15.75" customHeight="1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6"/>
      <c r="V48" s="1"/>
      <c r="W48" s="31"/>
      <c r="X48" s="31"/>
      <c r="Y48" s="31"/>
      <c r="Z48" s="31"/>
      <c r="AA48" s="2"/>
      <c r="AB48" s="31"/>
      <c r="AC48" s="31"/>
      <c r="AD48" s="31"/>
      <c r="AE48" s="37"/>
      <c r="AF48" s="37"/>
      <c r="AG48" s="37"/>
    </row>
    <row r="49" spans="1:33" ht="15.75" customHeight="1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6"/>
      <c r="V49" s="1"/>
      <c r="W49" s="31"/>
      <c r="X49" s="31"/>
      <c r="Y49" s="31"/>
      <c r="Z49" s="31"/>
      <c r="AA49" s="2"/>
      <c r="AB49" s="31"/>
      <c r="AC49" s="31"/>
      <c r="AD49" s="31"/>
      <c r="AE49" s="37"/>
      <c r="AF49" s="37"/>
      <c r="AG49" s="37"/>
    </row>
    <row r="50" spans="1:33" ht="15.75" customHeight="1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6"/>
      <c r="V50" s="1"/>
      <c r="W50" s="31"/>
      <c r="X50" s="31"/>
      <c r="Y50" s="31"/>
      <c r="Z50" s="31"/>
      <c r="AA50" s="2"/>
      <c r="AB50" s="31"/>
      <c r="AC50" s="31"/>
      <c r="AD50" s="31"/>
      <c r="AE50" s="37"/>
      <c r="AF50" s="37"/>
      <c r="AG50" s="37"/>
    </row>
    <row r="51" spans="1:33" ht="15.75" customHeight="1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6"/>
      <c r="V51" s="1"/>
      <c r="W51" s="31"/>
      <c r="X51" s="31"/>
      <c r="Y51" s="31"/>
      <c r="Z51" s="31"/>
      <c r="AA51" s="2"/>
      <c r="AB51" s="31"/>
      <c r="AC51" s="31"/>
      <c r="AD51" s="31"/>
      <c r="AE51" s="37"/>
      <c r="AF51" s="37"/>
      <c r="AG51" s="37"/>
    </row>
    <row r="52" spans="1:33" ht="15.75" customHeight="1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6"/>
      <c r="V52" s="1"/>
      <c r="W52" s="31"/>
      <c r="X52" s="31"/>
      <c r="Y52" s="31"/>
      <c r="Z52" s="31"/>
      <c r="AA52" s="2"/>
      <c r="AB52" s="31"/>
      <c r="AC52" s="31"/>
      <c r="AD52" s="31"/>
      <c r="AE52" s="37"/>
      <c r="AF52" s="37"/>
      <c r="AG52" s="37"/>
    </row>
    <row r="53" spans="1:33" ht="15.75" customHeight="1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6"/>
      <c r="V53" s="1"/>
      <c r="W53" s="31"/>
      <c r="X53" s="31"/>
      <c r="Y53" s="31"/>
      <c r="Z53" s="31"/>
      <c r="AA53" s="2"/>
      <c r="AB53" s="31"/>
      <c r="AC53" s="31"/>
      <c r="AD53" s="31"/>
      <c r="AE53" s="37"/>
      <c r="AF53" s="37"/>
      <c r="AG53" s="37"/>
    </row>
    <row r="54" spans="1:33" ht="15.75" customHeight="1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6"/>
      <c r="V54" s="1"/>
      <c r="W54" s="31"/>
      <c r="X54" s="31"/>
      <c r="Y54" s="31"/>
      <c r="Z54" s="31"/>
      <c r="AA54" s="2"/>
      <c r="AB54" s="31"/>
      <c r="AC54" s="31"/>
      <c r="AD54" s="31"/>
      <c r="AE54" s="37"/>
      <c r="AF54" s="37"/>
      <c r="AG54" s="37"/>
    </row>
    <row r="55" spans="1:33" ht="15.75" customHeight="1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6"/>
      <c r="V55" s="1"/>
      <c r="W55" s="31"/>
      <c r="X55" s="31"/>
      <c r="Y55" s="31"/>
      <c r="Z55" s="31"/>
      <c r="AA55" s="2"/>
      <c r="AB55" s="31"/>
      <c r="AC55" s="31"/>
      <c r="AD55" s="31"/>
      <c r="AE55" s="37"/>
      <c r="AF55" s="37"/>
      <c r="AG55" s="37"/>
    </row>
    <row r="56" spans="1:33" ht="15.75" customHeight="1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6"/>
      <c r="V56" s="1"/>
      <c r="W56" s="31"/>
      <c r="X56" s="31"/>
      <c r="Y56" s="31"/>
      <c r="Z56" s="31"/>
      <c r="AA56" s="2"/>
      <c r="AB56" s="31"/>
      <c r="AC56" s="31"/>
      <c r="AD56" s="31"/>
      <c r="AE56" s="37"/>
      <c r="AF56" s="37"/>
      <c r="AG56" s="37"/>
    </row>
    <row r="57" spans="1:33" ht="15.75" customHeight="1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6"/>
      <c r="V57" s="1"/>
      <c r="W57" s="31"/>
      <c r="X57" s="31"/>
      <c r="Y57" s="31"/>
      <c r="Z57" s="31"/>
      <c r="AA57" s="2"/>
      <c r="AB57" s="31"/>
      <c r="AC57" s="31"/>
      <c r="AD57" s="31"/>
      <c r="AE57" s="37"/>
      <c r="AF57" s="37"/>
      <c r="AG57" s="37"/>
    </row>
    <row r="58" spans="1:33" ht="15.75" customHeight="1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6"/>
      <c r="V58" s="1"/>
      <c r="W58" s="31"/>
      <c r="X58" s="31"/>
      <c r="Y58" s="31"/>
      <c r="Z58" s="31"/>
      <c r="AA58" s="2"/>
      <c r="AB58" s="31"/>
      <c r="AC58" s="31"/>
      <c r="AD58" s="31"/>
      <c r="AE58" s="37"/>
      <c r="AF58" s="37"/>
      <c r="AG58" s="37"/>
    </row>
    <row r="59" spans="1:33" ht="15.75" customHeight="1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6"/>
      <c r="V59" s="1"/>
      <c r="W59" s="31"/>
      <c r="X59" s="31"/>
      <c r="Y59" s="31"/>
      <c r="Z59" s="31"/>
      <c r="AA59" s="2"/>
      <c r="AB59" s="31"/>
      <c r="AC59" s="31"/>
      <c r="AD59" s="31"/>
      <c r="AE59" s="37"/>
      <c r="AF59" s="37"/>
      <c r="AG59" s="37"/>
    </row>
    <row r="60" spans="1:33" ht="15.75" customHeight="1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6"/>
      <c r="V60" s="1"/>
      <c r="W60" s="31"/>
      <c r="X60" s="31"/>
      <c r="Y60" s="31"/>
      <c r="Z60" s="31"/>
      <c r="AA60" s="2"/>
      <c r="AB60" s="31"/>
      <c r="AC60" s="31"/>
      <c r="AD60" s="31"/>
      <c r="AE60" s="37"/>
      <c r="AF60" s="37"/>
      <c r="AG60" s="37"/>
    </row>
    <row r="61" spans="1:33" ht="15.75" customHeight="1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6"/>
      <c r="V61" s="1"/>
      <c r="W61" s="31"/>
      <c r="X61" s="31"/>
      <c r="Y61" s="31"/>
      <c r="Z61" s="31"/>
      <c r="AA61" s="2"/>
      <c r="AB61" s="31"/>
      <c r="AC61" s="31"/>
      <c r="AD61" s="31"/>
      <c r="AE61" s="37"/>
      <c r="AF61" s="37"/>
      <c r="AG61" s="37"/>
    </row>
    <row r="62" spans="1:33" ht="15.75" customHeight="1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6"/>
      <c r="V62" s="1"/>
      <c r="W62" s="31"/>
      <c r="X62" s="31"/>
      <c r="Y62" s="31"/>
      <c r="Z62" s="31"/>
      <c r="AA62" s="2"/>
      <c r="AB62" s="31"/>
      <c r="AC62" s="31"/>
      <c r="AD62" s="31"/>
      <c r="AE62" s="37"/>
      <c r="AF62" s="37"/>
      <c r="AG62" s="37"/>
    </row>
    <row r="63" spans="1:33" ht="15.75" customHeight="1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6"/>
      <c r="V63" s="1"/>
      <c r="W63" s="31"/>
      <c r="X63" s="31"/>
      <c r="Y63" s="31"/>
      <c r="Z63" s="31"/>
      <c r="AA63" s="2"/>
      <c r="AB63" s="31"/>
      <c r="AC63" s="31"/>
      <c r="AD63" s="31"/>
      <c r="AE63" s="37"/>
      <c r="AF63" s="37"/>
      <c r="AG63" s="37"/>
    </row>
    <row r="64" spans="1:33" ht="15.75" customHeight="1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6"/>
      <c r="V64" s="1"/>
      <c r="W64" s="31"/>
      <c r="X64" s="31"/>
      <c r="Y64" s="31"/>
      <c r="Z64" s="31"/>
      <c r="AA64" s="2"/>
      <c r="AB64" s="31"/>
      <c r="AC64" s="31"/>
      <c r="AD64" s="31"/>
      <c r="AE64" s="37"/>
      <c r="AF64" s="37"/>
      <c r="AG64" s="37"/>
    </row>
    <row r="65" spans="1:33" ht="15.75" customHeight="1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6"/>
      <c r="V65" s="1"/>
      <c r="W65" s="31"/>
      <c r="X65" s="31"/>
      <c r="Y65" s="31"/>
      <c r="Z65" s="31"/>
      <c r="AA65" s="2"/>
      <c r="AB65" s="31"/>
      <c r="AC65" s="31"/>
      <c r="AD65" s="31"/>
      <c r="AE65" s="37"/>
      <c r="AF65" s="37"/>
      <c r="AG65" s="37"/>
    </row>
    <row r="66" spans="1:33" ht="15.75" customHeight="1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6"/>
      <c r="V66" s="1"/>
      <c r="W66" s="31"/>
      <c r="X66" s="31"/>
      <c r="Y66" s="31"/>
      <c r="Z66" s="31"/>
      <c r="AA66" s="2"/>
      <c r="AB66" s="31"/>
      <c r="AC66" s="31"/>
      <c r="AD66" s="31"/>
      <c r="AE66" s="37"/>
      <c r="AF66" s="37"/>
      <c r="AG66" s="37"/>
    </row>
    <row r="67" spans="1:33" ht="15.75" customHeight="1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6"/>
      <c r="V67" s="1"/>
      <c r="W67" s="31"/>
      <c r="X67" s="31"/>
      <c r="Y67" s="31"/>
      <c r="Z67" s="31"/>
      <c r="AA67" s="2"/>
      <c r="AB67" s="31"/>
      <c r="AC67" s="31"/>
      <c r="AD67" s="31"/>
      <c r="AE67" s="37"/>
      <c r="AF67" s="37"/>
      <c r="AG67" s="37"/>
    </row>
    <row r="68" spans="1:33" ht="15.75" customHeight="1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6"/>
      <c r="V68" s="1"/>
      <c r="W68" s="31"/>
      <c r="X68" s="31"/>
      <c r="Y68" s="31"/>
      <c r="Z68" s="31"/>
      <c r="AA68" s="2"/>
      <c r="AB68" s="31"/>
      <c r="AC68" s="31"/>
      <c r="AD68" s="31"/>
      <c r="AE68" s="37"/>
      <c r="AF68" s="37"/>
      <c r="AG68" s="37"/>
    </row>
    <row r="69" spans="1:33" ht="15.75" customHeight="1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6"/>
      <c r="V69" s="1"/>
      <c r="W69" s="31"/>
      <c r="X69" s="31"/>
      <c r="Y69" s="31"/>
      <c r="Z69" s="31"/>
      <c r="AA69" s="2"/>
      <c r="AB69" s="31"/>
      <c r="AC69" s="31"/>
      <c r="AD69" s="31"/>
      <c r="AE69" s="37"/>
      <c r="AF69" s="37"/>
      <c r="AG69" s="37"/>
    </row>
    <row r="70" spans="1:33" ht="15.75" customHeight="1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6"/>
      <c r="V70" s="1"/>
      <c r="W70" s="31"/>
      <c r="X70" s="31"/>
      <c r="Y70" s="31"/>
      <c r="Z70" s="31"/>
      <c r="AA70" s="2"/>
      <c r="AB70" s="31"/>
      <c r="AC70" s="31"/>
      <c r="AD70" s="31"/>
      <c r="AE70" s="37"/>
      <c r="AF70" s="37"/>
      <c r="AG70" s="37"/>
    </row>
    <row r="71" spans="1:33" ht="15.75" customHeight="1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6"/>
      <c r="V71" s="1"/>
      <c r="W71" s="31"/>
      <c r="X71" s="31"/>
      <c r="Y71" s="31"/>
      <c r="Z71" s="31"/>
      <c r="AA71" s="2"/>
      <c r="AB71" s="31"/>
      <c r="AC71" s="31"/>
      <c r="AD71" s="31"/>
      <c r="AE71" s="37"/>
      <c r="AF71" s="37"/>
      <c r="AG71" s="37"/>
    </row>
    <row r="72" spans="1:33" ht="15.75" customHeight="1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6"/>
      <c r="V72" s="1"/>
      <c r="W72" s="31"/>
      <c r="X72" s="31"/>
      <c r="Y72" s="31"/>
      <c r="Z72" s="31"/>
      <c r="AA72" s="2"/>
      <c r="AB72" s="31"/>
      <c r="AC72" s="31"/>
      <c r="AD72" s="31"/>
      <c r="AE72" s="37"/>
      <c r="AF72" s="37"/>
      <c r="AG72" s="37"/>
    </row>
    <row r="73" spans="1:33" ht="15.75" customHeight="1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6"/>
      <c r="V73" s="1"/>
      <c r="W73" s="31"/>
      <c r="X73" s="31"/>
      <c r="Y73" s="31"/>
      <c r="Z73" s="31"/>
      <c r="AA73" s="2"/>
      <c r="AB73" s="31"/>
      <c r="AC73" s="31"/>
      <c r="AD73" s="31"/>
      <c r="AE73" s="37"/>
      <c r="AF73" s="37"/>
      <c r="AG73" s="37"/>
    </row>
    <row r="74" spans="1:33" ht="15.75" customHeight="1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6"/>
      <c r="V74" s="1"/>
      <c r="W74" s="31"/>
      <c r="X74" s="31"/>
      <c r="Y74" s="31"/>
      <c r="Z74" s="31"/>
      <c r="AA74" s="2"/>
      <c r="AB74" s="31"/>
      <c r="AC74" s="31"/>
      <c r="AD74" s="31"/>
      <c r="AE74" s="37"/>
      <c r="AF74" s="37"/>
      <c r="AG74" s="37"/>
    </row>
    <row r="75" spans="1:33" ht="15.75" customHeight="1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6"/>
      <c r="V75" s="1"/>
      <c r="W75" s="31"/>
      <c r="X75" s="31"/>
      <c r="Y75" s="31"/>
      <c r="Z75" s="31"/>
      <c r="AA75" s="2"/>
      <c r="AB75" s="31"/>
      <c r="AC75" s="31"/>
      <c r="AD75" s="31"/>
      <c r="AE75" s="37"/>
      <c r="AF75" s="37"/>
      <c r="AG75" s="37"/>
    </row>
    <row r="76" spans="1:33" ht="15.75" customHeight="1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6"/>
      <c r="V76" s="1"/>
      <c r="W76" s="31"/>
      <c r="X76" s="31"/>
      <c r="Y76" s="31"/>
      <c r="Z76" s="31"/>
      <c r="AA76" s="2"/>
      <c r="AB76" s="31"/>
      <c r="AC76" s="31"/>
      <c r="AD76" s="31"/>
      <c r="AE76" s="37"/>
      <c r="AF76" s="37"/>
      <c r="AG76" s="37"/>
    </row>
    <row r="77" spans="1:33" ht="15.75" customHeight="1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6"/>
      <c r="V77" s="1"/>
      <c r="W77" s="31"/>
      <c r="X77" s="31"/>
      <c r="Y77" s="31"/>
      <c r="Z77" s="31"/>
      <c r="AA77" s="2"/>
      <c r="AB77" s="31"/>
      <c r="AC77" s="31"/>
      <c r="AD77" s="31"/>
      <c r="AE77" s="37"/>
      <c r="AF77" s="37"/>
      <c r="AG77" s="37"/>
    </row>
    <row r="78" spans="1:33" ht="15.75" customHeight="1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6"/>
      <c r="V78" s="1"/>
      <c r="W78" s="31"/>
      <c r="X78" s="31"/>
      <c r="Y78" s="31"/>
      <c r="Z78" s="31"/>
      <c r="AA78" s="2"/>
      <c r="AB78" s="31"/>
      <c r="AC78" s="31"/>
      <c r="AD78" s="31"/>
      <c r="AE78" s="37"/>
      <c r="AF78" s="37"/>
      <c r="AG78" s="37"/>
    </row>
    <row r="79" spans="1:33" ht="15.75" customHeight="1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6"/>
      <c r="V79" s="1"/>
      <c r="W79" s="31"/>
      <c r="X79" s="31"/>
      <c r="Y79" s="31"/>
      <c r="Z79" s="31"/>
      <c r="AA79" s="2"/>
      <c r="AB79" s="31"/>
      <c r="AC79" s="31"/>
      <c r="AD79" s="31"/>
      <c r="AE79" s="37"/>
      <c r="AF79" s="37"/>
      <c r="AG79" s="37"/>
    </row>
    <row r="80" spans="1:33" ht="15.75" customHeight="1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6"/>
      <c r="V80" s="1"/>
      <c r="W80" s="31"/>
      <c r="X80" s="31"/>
      <c r="Y80" s="31"/>
      <c r="Z80" s="31"/>
      <c r="AA80" s="2"/>
      <c r="AB80" s="31"/>
      <c r="AC80" s="31"/>
      <c r="AD80" s="31"/>
      <c r="AE80" s="37"/>
      <c r="AF80" s="37"/>
      <c r="AG80" s="37"/>
    </row>
    <row r="81" spans="1:33" ht="15.75" customHeight="1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6"/>
      <c r="V81" s="1"/>
      <c r="W81" s="31"/>
      <c r="X81" s="31"/>
      <c r="Y81" s="31"/>
      <c r="Z81" s="31"/>
      <c r="AA81" s="2"/>
      <c r="AB81" s="31"/>
      <c r="AC81" s="31"/>
      <c r="AD81" s="31"/>
      <c r="AE81" s="37"/>
      <c r="AF81" s="37"/>
      <c r="AG81" s="37"/>
    </row>
    <row r="82" spans="1:33" ht="15.75" customHeight="1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6"/>
      <c r="V82" s="1"/>
      <c r="W82" s="31"/>
      <c r="X82" s="31"/>
      <c r="Y82" s="31"/>
      <c r="Z82" s="31"/>
      <c r="AA82" s="2"/>
      <c r="AB82" s="31"/>
      <c r="AC82" s="31"/>
      <c r="AD82" s="31"/>
      <c r="AE82" s="37"/>
      <c r="AF82" s="37"/>
      <c r="AG82" s="37"/>
    </row>
    <row r="83" spans="1:33" ht="15.75" customHeight="1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6"/>
      <c r="V83" s="1"/>
      <c r="W83" s="31"/>
      <c r="X83" s="31"/>
      <c r="Y83" s="31"/>
      <c r="Z83" s="31"/>
      <c r="AA83" s="2"/>
      <c r="AB83" s="31"/>
      <c r="AC83" s="31"/>
      <c r="AD83" s="31"/>
      <c r="AE83" s="37"/>
      <c r="AF83" s="37"/>
      <c r="AG83" s="37"/>
    </row>
    <row r="84" spans="1:33" ht="15.75" customHeight="1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6"/>
      <c r="V84" s="1"/>
      <c r="W84" s="31"/>
      <c r="X84" s="31"/>
      <c r="Y84" s="31"/>
      <c r="Z84" s="31"/>
      <c r="AA84" s="2"/>
      <c r="AB84" s="31"/>
      <c r="AC84" s="31"/>
      <c r="AD84" s="31"/>
      <c r="AE84" s="37"/>
      <c r="AF84" s="37"/>
      <c r="AG84" s="37"/>
    </row>
    <row r="85" spans="1:33" ht="15.75" customHeight="1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6"/>
      <c r="V85" s="1"/>
      <c r="W85" s="31"/>
      <c r="X85" s="31"/>
      <c r="Y85" s="31"/>
      <c r="Z85" s="31"/>
      <c r="AA85" s="2"/>
      <c r="AB85" s="31"/>
      <c r="AC85" s="31"/>
      <c r="AD85" s="31"/>
      <c r="AE85" s="37"/>
      <c r="AF85" s="37"/>
      <c r="AG85" s="37"/>
    </row>
    <row r="86" spans="1:33" ht="15.75" customHeight="1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6"/>
      <c r="V86" s="1"/>
      <c r="W86" s="31"/>
      <c r="X86" s="31"/>
      <c r="Y86" s="31"/>
      <c r="Z86" s="31"/>
      <c r="AA86" s="2"/>
      <c r="AB86" s="31"/>
      <c r="AC86" s="31"/>
      <c r="AD86" s="31"/>
      <c r="AE86" s="37"/>
      <c r="AF86" s="37"/>
      <c r="AG86" s="37"/>
    </row>
    <row r="87" spans="1:33" ht="15.75" customHeight="1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6"/>
      <c r="V87" s="1"/>
      <c r="W87" s="31"/>
      <c r="X87" s="31"/>
      <c r="Y87" s="31"/>
      <c r="Z87" s="31"/>
      <c r="AA87" s="2"/>
      <c r="AB87" s="31"/>
      <c r="AC87" s="31"/>
      <c r="AD87" s="31"/>
      <c r="AE87" s="37"/>
      <c r="AF87" s="37"/>
      <c r="AG87" s="37"/>
    </row>
    <row r="88" spans="1:33" ht="15.75" customHeight="1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6"/>
      <c r="V88" s="1"/>
      <c r="W88" s="31"/>
      <c r="X88" s="31"/>
      <c r="Y88" s="31"/>
      <c r="Z88" s="31"/>
      <c r="AA88" s="2"/>
      <c r="AB88" s="31"/>
      <c r="AC88" s="31"/>
      <c r="AD88" s="31"/>
      <c r="AE88" s="37"/>
      <c r="AF88" s="37"/>
      <c r="AG88" s="37"/>
    </row>
    <row r="89" spans="1:33" ht="15.75" customHeight="1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6"/>
      <c r="V89" s="1"/>
      <c r="W89" s="31"/>
      <c r="X89" s="31"/>
      <c r="Y89" s="31"/>
      <c r="Z89" s="31"/>
      <c r="AA89" s="2"/>
      <c r="AB89" s="31"/>
      <c r="AC89" s="31"/>
      <c r="AD89" s="31"/>
      <c r="AE89" s="37"/>
      <c r="AF89" s="37"/>
      <c r="AG89" s="37"/>
    </row>
    <row r="90" spans="1:33" ht="15.75" customHeight="1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6"/>
      <c r="V90" s="1"/>
      <c r="W90" s="31"/>
      <c r="X90" s="31"/>
      <c r="Y90" s="31"/>
      <c r="Z90" s="31"/>
      <c r="AA90" s="2"/>
      <c r="AB90" s="31"/>
      <c r="AC90" s="31"/>
      <c r="AD90" s="31"/>
      <c r="AE90" s="37"/>
      <c r="AF90" s="37"/>
      <c r="AG90" s="37"/>
    </row>
    <row r="91" spans="1:33" ht="15.75" customHeight="1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6"/>
      <c r="V91" s="1"/>
      <c r="W91" s="31"/>
      <c r="X91" s="31"/>
      <c r="Y91" s="31"/>
      <c r="Z91" s="31"/>
      <c r="AA91" s="2"/>
      <c r="AB91" s="31"/>
      <c r="AC91" s="31"/>
      <c r="AD91" s="31"/>
      <c r="AE91" s="37"/>
      <c r="AF91" s="37"/>
      <c r="AG91" s="37"/>
    </row>
    <row r="92" spans="1:33" ht="15.75" customHeight="1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6"/>
      <c r="V92" s="1"/>
      <c r="W92" s="31"/>
      <c r="X92" s="31"/>
      <c r="Y92" s="31"/>
      <c r="Z92" s="31"/>
      <c r="AA92" s="2"/>
      <c r="AB92" s="31"/>
      <c r="AC92" s="31"/>
      <c r="AD92" s="31"/>
      <c r="AE92" s="37"/>
      <c r="AF92" s="37"/>
      <c r="AG92" s="37"/>
    </row>
    <row r="93" spans="1:33" ht="15.75" customHeight="1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6"/>
      <c r="V93" s="1"/>
      <c r="W93" s="31"/>
      <c r="X93" s="31"/>
      <c r="Y93" s="31"/>
      <c r="Z93" s="31"/>
      <c r="AA93" s="2"/>
      <c r="AB93" s="31"/>
      <c r="AC93" s="31"/>
      <c r="AD93" s="31"/>
      <c r="AE93" s="37"/>
      <c r="AF93" s="37"/>
      <c r="AG93" s="37"/>
    </row>
    <row r="94" spans="1:33" ht="15.75" customHeight="1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6"/>
      <c r="V94" s="1"/>
      <c r="W94" s="31"/>
      <c r="X94" s="31"/>
      <c r="Y94" s="31"/>
      <c r="Z94" s="31"/>
      <c r="AA94" s="2"/>
      <c r="AB94" s="31"/>
      <c r="AC94" s="31"/>
      <c r="AD94" s="31"/>
      <c r="AE94" s="37"/>
      <c r="AF94" s="37"/>
      <c r="AG94" s="37"/>
    </row>
    <row r="95" spans="1:33" ht="15.75" customHeight="1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6"/>
      <c r="V95" s="1"/>
      <c r="W95" s="31"/>
      <c r="X95" s="31"/>
      <c r="Y95" s="31"/>
      <c r="Z95" s="31"/>
      <c r="AA95" s="2"/>
      <c r="AB95" s="31"/>
      <c r="AC95" s="31"/>
      <c r="AD95" s="31"/>
      <c r="AE95" s="37"/>
      <c r="AF95" s="37"/>
      <c r="AG95" s="37"/>
    </row>
    <row r="96" spans="1:33" ht="15.75" customHeight="1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6"/>
      <c r="V96" s="1"/>
      <c r="W96" s="31"/>
      <c r="X96" s="31"/>
      <c r="Y96" s="31"/>
      <c r="Z96" s="31"/>
      <c r="AA96" s="2"/>
      <c r="AB96" s="31"/>
      <c r="AC96" s="31"/>
      <c r="AD96" s="31"/>
      <c r="AE96" s="37"/>
      <c r="AF96" s="37"/>
      <c r="AG96" s="37"/>
    </row>
    <row r="97" spans="1:33" ht="15.75" customHeight="1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8"/>
      <c r="R97" s="38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8"/>
      <c r="R98" s="38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8"/>
      <c r="R99" s="38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8"/>
      <c r="R100" s="38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8"/>
      <c r="R101" s="38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8"/>
      <c r="R102" s="38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8"/>
      <c r="R103" s="38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8"/>
      <c r="R104" s="38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8"/>
      <c r="R105" s="38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8"/>
      <c r="R106" s="38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8"/>
      <c r="R107" s="38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8"/>
      <c r="R108" s="38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8"/>
      <c r="R109" s="38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8"/>
      <c r="R110" s="38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8"/>
      <c r="R111" s="38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8"/>
      <c r="R112" s="38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8"/>
      <c r="R113" s="38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8"/>
      <c r="R114" s="38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>
      <c r="A115" s="31"/>
      <c r="B115" s="31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>
      <c r="A116" s="31"/>
      <c r="B116" s="31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>
      <c r="A117" s="31"/>
      <c r="B117" s="31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>
      <c r="A118" s="31"/>
      <c r="B118" s="31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>
      <c r="A119" s="31"/>
      <c r="B119" s="31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>
      <c r="A120" s="31"/>
      <c r="B120" s="31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>
      <c r="A121" s="31"/>
      <c r="B121" s="31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>
      <c r="A122" s="31"/>
      <c r="B122" s="31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>
      <c r="A123" s="31"/>
      <c r="B123" s="31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>
      <c r="A124" s="31"/>
      <c r="B124" s="31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>
      <c r="A125" s="31"/>
      <c r="B125" s="31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>
      <c r="A126" s="31"/>
      <c r="B126" s="31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>
      <c r="A127" s="31"/>
      <c r="B127" s="31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>
      <c r="A128" s="31"/>
      <c r="B128" s="31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>
      <c r="A129" s="31"/>
      <c r="B129" s="31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>
      <c r="A130" s="31"/>
      <c r="B130" s="31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>
      <c r="A131" s="31"/>
      <c r="B131" s="31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>
      <c r="A132" s="31"/>
      <c r="B132" s="31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>
      <c r="A133" s="31"/>
      <c r="B133" s="31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>
      <c r="A134" s="31"/>
      <c r="B134" s="31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>
      <c r="A135" s="31"/>
      <c r="B135" s="31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>
      <c r="A136" s="31"/>
      <c r="B136" s="31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>
      <c r="A137" s="31"/>
      <c r="B137" s="31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>
      <c r="A138" s="31"/>
      <c r="B138" s="31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>
      <c r="A139" s="31"/>
      <c r="B139" s="31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>
      <c r="A140" s="31"/>
      <c r="B140" s="31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>
      <c r="A141" s="31"/>
      <c r="B141" s="31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2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>
      <c r="A142" s="31"/>
      <c r="B142" s="31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2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>
      <c r="A143" s="31"/>
      <c r="B143" s="31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2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>
      <c r="A144" s="31"/>
      <c r="B144" s="31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2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>
      <c r="A145" s="31"/>
      <c r="B145" s="31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2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>
      <c r="A146" s="31"/>
      <c r="B146" s="31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2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>
      <c r="A147" s="31"/>
      <c r="B147" s="31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2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>
      <c r="A148" s="31"/>
      <c r="B148" s="31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2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</row>
    <row r="149" spans="1:33" ht="15.75" customHeight="1">
      <c r="A149" s="14"/>
      <c r="B149" s="14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>
      <c r="A150" s="14"/>
      <c r="B150" s="14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>
      <c r="A151" s="14"/>
      <c r="B151" s="14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>
      <c r="A152" s="14"/>
      <c r="B152" s="14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>
      <c r="A153" s="14"/>
      <c r="B153" s="14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>
      <c r="A154" s="14"/>
      <c r="B154" s="14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>
      <c r="A155" s="14"/>
      <c r="B155" s="14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>
      <c r="A156" s="14"/>
      <c r="B156" s="14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>
      <c r="A157" s="14"/>
      <c r="B157" s="14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>
      <c r="A158" s="14"/>
      <c r="B158" s="14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>
      <c r="A159" s="14"/>
      <c r="B159" s="14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>
      <c r="A160" s="14"/>
      <c r="B160" s="14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>
      <c r="A161" s="14"/>
      <c r="B161" s="14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>
      <c r="A162" s="14"/>
      <c r="B162" s="14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>
      <c r="A163" s="14"/>
      <c r="B163" s="14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>
      <c r="A164" s="14"/>
      <c r="B164" s="14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>
      <c r="A165" s="14"/>
      <c r="B165" s="14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>
      <c r="A166" s="14"/>
      <c r="B166" s="14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>
      <c r="A167" s="14"/>
      <c r="B167" s="14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>
      <c r="A168" s="14"/>
      <c r="B168" s="14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>
      <c r="A169" s="14"/>
      <c r="B169" s="14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>
      <c r="A170" s="14"/>
      <c r="B170" s="14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>
      <c r="A171" s="14"/>
      <c r="B171" s="14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>
      <c r="A172" s="14"/>
      <c r="B172" s="14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>
      <c r="A173" s="14"/>
      <c r="B173" s="14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>
      <c r="A174" s="14"/>
      <c r="B174" s="14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>
      <c r="A175" s="14"/>
      <c r="B175" s="14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>
      <c r="A176" s="14"/>
      <c r="B176" s="14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>
      <c r="A177" s="14"/>
      <c r="B177" s="14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>
      <c r="A178" s="14"/>
      <c r="B178" s="14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>
      <c r="A179" s="14"/>
      <c r="B179" s="14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>
      <c r="A180" s="14"/>
      <c r="B180" s="14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>
      <c r="A181" s="14"/>
      <c r="B181" s="14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>
      <c r="A182" s="14"/>
      <c r="B182" s="14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>
      <c r="A183" s="14"/>
      <c r="B183" s="14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>
      <c r="A184" s="14"/>
      <c r="B184" s="14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>
      <c r="A185" s="14"/>
      <c r="B185" s="14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>
      <c r="A186" s="14"/>
      <c r="B186" s="14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>
      <c r="A187" s="14"/>
      <c r="B187" s="14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>
      <c r="A188" s="14"/>
      <c r="B188" s="14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>
      <c r="A189" s="14"/>
      <c r="B189" s="14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>
      <c r="A190" s="14"/>
      <c r="B190" s="14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>
      <c r="A191" s="14"/>
      <c r="B191" s="14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>
      <c r="A192" s="14"/>
      <c r="B192" s="14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>
      <c r="A193" s="14"/>
      <c r="B193" s="14"/>
      <c r="C193" s="39"/>
      <c r="D193" s="39"/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>
      <c r="A194" s="14"/>
      <c r="B194" s="14"/>
      <c r="C194" s="39"/>
      <c r="D194" s="39"/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>
      <c r="A195" s="14"/>
      <c r="B195" s="14"/>
      <c r="C195" s="39"/>
      <c r="D195" s="39"/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>
      <c r="A196" s="14"/>
      <c r="B196" s="14"/>
      <c r="C196" s="39"/>
      <c r="D196" s="39"/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>
      <c r="A197" s="14"/>
      <c r="B197" s="14"/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>
      <c r="A198" s="14"/>
      <c r="B198" s="14"/>
      <c r="C198" s="39"/>
      <c r="D198" s="39"/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>
      <c r="A199" s="14"/>
      <c r="B199" s="14"/>
      <c r="C199" s="39"/>
      <c r="D199" s="39"/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>
      <c r="A200" s="14"/>
      <c r="B200" s="14"/>
      <c r="C200" s="39"/>
      <c r="D200" s="39"/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>
      <c r="A201" s="14"/>
      <c r="B201" s="14"/>
      <c r="C201" s="39"/>
      <c r="D201" s="39"/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>
      <c r="A202" s="14"/>
      <c r="B202" s="14"/>
      <c r="C202" s="39"/>
      <c r="D202" s="39"/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>
      <c r="A203" s="14"/>
      <c r="B203" s="14"/>
      <c r="C203" s="39"/>
      <c r="D203" s="39"/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>
      <c r="A204" s="14"/>
      <c r="B204" s="14"/>
      <c r="C204" s="39"/>
      <c r="D204" s="39"/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>
      <c r="A205" s="14"/>
      <c r="B205" s="14"/>
      <c r="C205" s="39"/>
      <c r="D205" s="39"/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>
      <c r="A206" s="14"/>
      <c r="B206" s="14"/>
      <c r="C206" s="39"/>
      <c r="D206" s="39"/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>
      <c r="A207" s="14"/>
      <c r="B207" s="14"/>
      <c r="C207" s="39"/>
      <c r="D207" s="39"/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>
      <c r="A208" s="14"/>
      <c r="B208" s="14"/>
      <c r="C208" s="39"/>
      <c r="D208" s="39"/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>
      <c r="A209" s="14"/>
      <c r="B209" s="14"/>
      <c r="C209" s="39"/>
      <c r="D209" s="39"/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>
      <c r="A210" s="14"/>
      <c r="B210" s="14"/>
      <c r="C210" s="39"/>
      <c r="D210" s="39"/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>
      <c r="A211" s="14"/>
      <c r="B211" s="14"/>
      <c r="C211" s="39"/>
      <c r="D211" s="39"/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>
      <c r="A212" s="14"/>
      <c r="B212" s="14"/>
      <c r="C212" s="39"/>
      <c r="D212" s="39"/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>
      <c r="A213" s="14"/>
      <c r="B213" s="14"/>
      <c r="C213" s="39"/>
      <c r="D213" s="39"/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>
      <c r="A214" s="14"/>
      <c r="B214" s="14"/>
      <c r="C214" s="39"/>
      <c r="D214" s="39"/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>
      <c r="A215" s="14"/>
      <c r="B215" s="14"/>
      <c r="C215" s="39"/>
      <c r="D215" s="39"/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>
      <c r="A216" s="14"/>
      <c r="B216" s="14"/>
      <c r="C216" s="39"/>
      <c r="D216" s="39"/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>
      <c r="A217" s="14"/>
      <c r="B217" s="14"/>
      <c r="C217" s="39"/>
      <c r="D217" s="39"/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>
      <c r="A218" s="14"/>
      <c r="B218" s="14"/>
      <c r="C218" s="39"/>
      <c r="D218" s="39"/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>
      <c r="A219" s="14"/>
      <c r="B219" s="14"/>
      <c r="C219" s="39"/>
      <c r="D219" s="39"/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>
      <c r="A220" s="14"/>
      <c r="B220" s="14"/>
      <c r="C220" s="39"/>
      <c r="D220" s="39"/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>
      <c r="R221" s="30"/>
      <c r="S221" s="40"/>
    </row>
    <row r="222" spans="1:33" ht="15.75" customHeight="1">
      <c r="R222" s="30"/>
      <c r="S222" s="40"/>
    </row>
    <row r="223" spans="1:33" ht="15.75" customHeight="1">
      <c r="R223" s="30"/>
      <c r="S223" s="40"/>
    </row>
    <row r="224" spans="1:33" ht="15.75" customHeight="1">
      <c r="R224" s="30"/>
      <c r="S224" s="40"/>
    </row>
    <row r="225" spans="18:18" ht="15.75" customHeight="1">
      <c r="R225" s="30"/>
    </row>
    <row r="226" spans="18:18" ht="15.75" customHeight="1">
      <c r="R226" s="30"/>
    </row>
    <row r="227" spans="18:18" ht="15.75" customHeight="1">
      <c r="R227" s="30"/>
    </row>
    <row r="228" spans="18:18" ht="15.75" customHeight="1">
      <c r="R228" s="30"/>
    </row>
    <row r="229" spans="18:18" ht="15.75" customHeight="1">
      <c r="R229" s="30"/>
    </row>
    <row r="230" spans="18:18" ht="15.75" customHeight="1">
      <c r="R230" s="30"/>
    </row>
    <row r="231" spans="18:18" ht="15.75" customHeight="1">
      <c r="R231" s="30"/>
    </row>
    <row r="232" spans="18:18" ht="15.75" customHeight="1">
      <c r="R232" s="30"/>
    </row>
    <row r="233" spans="18:18" ht="15.75" customHeight="1">
      <c r="R233" s="30"/>
    </row>
    <row r="234" spans="18:18" ht="15.75" customHeight="1">
      <c r="R234" s="30"/>
    </row>
    <row r="235" spans="18:18" ht="15.75" customHeight="1">
      <c r="R235" s="30"/>
    </row>
    <row r="236" spans="18:18" ht="15.75" customHeight="1">
      <c r="R236" s="30"/>
    </row>
    <row r="237" spans="18:18" ht="15.75" customHeight="1">
      <c r="R237" s="30"/>
    </row>
    <row r="238" spans="18:18" ht="15.75" customHeight="1">
      <c r="R238" s="30"/>
    </row>
    <row r="239" spans="18:18" ht="15.75" customHeight="1">
      <c r="R239" s="30"/>
    </row>
    <row r="240" spans="18:18" ht="15.75" customHeight="1">
      <c r="R240" s="30"/>
    </row>
    <row r="241" spans="18:18" ht="15.75" customHeight="1">
      <c r="R241" s="30"/>
    </row>
    <row r="242" spans="18:18" ht="15.75" customHeight="1">
      <c r="R242" s="30"/>
    </row>
    <row r="243" spans="18:18" ht="15.75" customHeight="1">
      <c r="R243" s="30"/>
    </row>
    <row r="244" spans="18:18" ht="15.75" customHeight="1">
      <c r="R244" s="30"/>
    </row>
    <row r="245" spans="18:18" ht="15.75" customHeight="1">
      <c r="R245" s="30"/>
    </row>
    <row r="246" spans="18:18" ht="15.75" customHeight="1">
      <c r="R246" s="30"/>
    </row>
    <row r="247" spans="18:18" ht="15.75" customHeight="1">
      <c r="R247" s="30"/>
    </row>
    <row r="248" spans="18:18" ht="15.75" customHeight="1">
      <c r="R248" s="30"/>
    </row>
    <row r="249" spans="18:18" ht="15.75" customHeight="1">
      <c r="R249" s="30"/>
    </row>
    <row r="250" spans="18:18" ht="15.75" customHeight="1">
      <c r="R250" s="30"/>
    </row>
    <row r="251" spans="18:18" ht="15.75" customHeight="1">
      <c r="R251" s="30"/>
    </row>
    <row r="252" spans="18:18" ht="15.75" customHeight="1">
      <c r="R252" s="30"/>
    </row>
    <row r="253" spans="18:18" ht="15.75" customHeight="1">
      <c r="R253" s="30"/>
    </row>
    <row r="254" spans="18:18" ht="15.75" customHeight="1">
      <c r="R254" s="30"/>
    </row>
    <row r="255" spans="18:18" ht="15.75" customHeight="1">
      <c r="R255" s="30"/>
    </row>
    <row r="256" spans="18:18" ht="15.75" customHeight="1">
      <c r="R256" s="30"/>
    </row>
    <row r="257" spans="18:18" ht="15.75" customHeight="1">
      <c r="R257" s="30"/>
    </row>
    <row r="258" spans="18:18" ht="15.75" customHeight="1">
      <c r="R258" s="30"/>
    </row>
    <row r="259" spans="18:18" ht="15.75" customHeight="1">
      <c r="R259" s="30"/>
    </row>
    <row r="260" spans="18:18" ht="15.75" customHeight="1">
      <c r="R260" s="30"/>
    </row>
    <row r="261" spans="18:18" ht="15.75" customHeight="1">
      <c r="R261" s="30"/>
    </row>
    <row r="262" spans="18:18" ht="15.75" customHeight="1">
      <c r="R262" s="30"/>
    </row>
    <row r="263" spans="18:18" ht="15.75" customHeight="1">
      <c r="R263" s="30"/>
    </row>
    <row r="264" spans="18:18" ht="15.75" customHeight="1">
      <c r="R264" s="30"/>
    </row>
    <row r="265" spans="18:18" ht="15.75" customHeight="1">
      <c r="R265" s="30"/>
    </row>
    <row r="266" spans="18:18" ht="15.75" customHeight="1">
      <c r="R266" s="30"/>
    </row>
    <row r="267" spans="18:18" ht="15.75" customHeight="1">
      <c r="R267" s="30"/>
    </row>
    <row r="268" spans="18:18" ht="15.75" customHeight="1">
      <c r="R268" s="30"/>
    </row>
    <row r="269" spans="18:18" ht="15.75" customHeight="1">
      <c r="R269" s="30"/>
    </row>
    <row r="270" spans="18:18" ht="15.75" customHeight="1">
      <c r="R270" s="30"/>
    </row>
    <row r="271" spans="18:18" ht="15.75" customHeight="1">
      <c r="R271" s="30"/>
    </row>
    <row r="272" spans="18:18" ht="15.75" customHeight="1">
      <c r="R272" s="30"/>
    </row>
    <row r="273" spans="18:18" ht="15.75" customHeight="1">
      <c r="R273" s="30"/>
    </row>
    <row r="274" spans="18:18" ht="15.75" customHeight="1">
      <c r="R274" s="30"/>
    </row>
    <row r="275" spans="18:18" ht="15.75" customHeight="1">
      <c r="R275" s="30"/>
    </row>
    <row r="276" spans="18:18" ht="15.75" customHeight="1">
      <c r="R276" s="30"/>
    </row>
    <row r="277" spans="18:18" ht="15.75" customHeight="1">
      <c r="R277" s="30"/>
    </row>
    <row r="278" spans="18:18" ht="15.75" customHeight="1">
      <c r="R278" s="30"/>
    </row>
    <row r="279" spans="18:18" ht="15.75" customHeight="1">
      <c r="R279" s="30"/>
    </row>
    <row r="280" spans="18:18" ht="15.75" customHeight="1">
      <c r="R280" s="30"/>
    </row>
    <row r="281" spans="18:18" ht="15.75" customHeight="1">
      <c r="R281" s="30"/>
    </row>
    <row r="282" spans="18:18" ht="15.75" customHeight="1">
      <c r="R282" s="30"/>
    </row>
    <row r="283" spans="18:18" ht="15.75" customHeight="1">
      <c r="R283" s="30"/>
    </row>
    <row r="284" spans="18:18" ht="15.75" customHeight="1">
      <c r="R284" s="30"/>
    </row>
    <row r="285" spans="18:18" ht="15.75" customHeight="1">
      <c r="R285" s="30"/>
    </row>
    <row r="286" spans="18:18" ht="15.75" customHeight="1">
      <c r="R286" s="30"/>
    </row>
    <row r="287" spans="18:18" ht="15.75" customHeight="1">
      <c r="R287" s="30"/>
    </row>
    <row r="288" spans="18:18" ht="15.75" customHeight="1">
      <c r="R288" s="30"/>
    </row>
    <row r="289" spans="18:18" ht="15.75" customHeight="1">
      <c r="R289" s="30"/>
    </row>
    <row r="290" spans="18:18" ht="15.75" customHeight="1">
      <c r="R290" s="30"/>
    </row>
    <row r="291" spans="18:18" ht="15.75" customHeight="1">
      <c r="R291" s="30"/>
    </row>
    <row r="292" spans="18:18" ht="15.75" customHeight="1">
      <c r="R292" s="30"/>
    </row>
    <row r="293" spans="18:18" ht="15.75" customHeight="1">
      <c r="R293" s="30"/>
    </row>
    <row r="294" spans="18:18" ht="15.75" customHeight="1">
      <c r="R294" s="30"/>
    </row>
    <row r="295" spans="18:18" ht="15.75" customHeight="1">
      <c r="R295" s="30"/>
    </row>
    <row r="296" spans="18:18" ht="15.75" customHeight="1">
      <c r="R296" s="30"/>
    </row>
    <row r="297" spans="18:18" ht="15.75" customHeight="1">
      <c r="R297" s="30"/>
    </row>
    <row r="298" spans="18:18" ht="15.75" customHeight="1">
      <c r="R298" s="30"/>
    </row>
    <row r="299" spans="18:18" ht="15.75" customHeight="1">
      <c r="R299" s="30"/>
    </row>
    <row r="300" spans="18:18" ht="15.75" customHeight="1">
      <c r="R300" s="30"/>
    </row>
    <row r="301" spans="18:18" ht="15.75" customHeight="1">
      <c r="R301" s="30"/>
    </row>
    <row r="302" spans="18:18" ht="15.75" customHeight="1">
      <c r="R302" s="30"/>
    </row>
    <row r="303" spans="18:18" ht="15.75" customHeight="1">
      <c r="R303" s="30"/>
    </row>
    <row r="304" spans="18:18" ht="15.75" customHeight="1">
      <c r="R304" s="30"/>
    </row>
    <row r="305" spans="18:18" ht="15.75" customHeight="1">
      <c r="R305" s="30"/>
    </row>
    <row r="306" spans="18:18" ht="15.75" customHeight="1">
      <c r="R306" s="30"/>
    </row>
    <row r="307" spans="18:18" ht="15.75" customHeight="1">
      <c r="R307" s="30"/>
    </row>
    <row r="308" spans="18:18" ht="15.75" customHeight="1">
      <c r="R308" s="30"/>
    </row>
    <row r="309" spans="18:18" ht="15.75" customHeight="1">
      <c r="R309" s="30"/>
    </row>
    <row r="310" spans="18:18" ht="15.75" customHeight="1">
      <c r="R310" s="30"/>
    </row>
    <row r="311" spans="18:18" ht="15.75" customHeight="1">
      <c r="R311" s="30"/>
    </row>
    <row r="312" spans="18:18" ht="15.75" customHeight="1">
      <c r="R312" s="30"/>
    </row>
    <row r="313" spans="18:18" ht="15.75" customHeight="1">
      <c r="R313" s="30"/>
    </row>
    <row r="314" spans="18:18" ht="15.75" customHeight="1">
      <c r="R314" s="30"/>
    </row>
    <row r="315" spans="18:18" ht="15.75" customHeight="1">
      <c r="R315" s="30"/>
    </row>
    <row r="316" spans="18:18" ht="15.75" customHeight="1">
      <c r="R316" s="30"/>
    </row>
    <row r="317" spans="18:18" ht="15.75" customHeight="1">
      <c r="R317" s="30"/>
    </row>
    <row r="318" spans="18:18" ht="15.75" customHeight="1">
      <c r="R318" s="30"/>
    </row>
    <row r="319" spans="18:18" ht="15.75" customHeight="1">
      <c r="R319" s="30"/>
    </row>
    <row r="320" spans="18:18" ht="15.75" customHeight="1">
      <c r="R320" s="30"/>
    </row>
    <row r="321" spans="18:18" ht="15.75" customHeight="1">
      <c r="R321" s="30"/>
    </row>
    <row r="322" spans="18:18" ht="15.75" customHeight="1">
      <c r="R322" s="30"/>
    </row>
    <row r="323" spans="18:18" ht="15.75" customHeight="1">
      <c r="R323" s="30"/>
    </row>
    <row r="324" spans="18:18" ht="15.75" customHeight="1">
      <c r="R324" s="30"/>
    </row>
    <row r="325" spans="18:18" ht="15.75" customHeight="1">
      <c r="R325" s="30"/>
    </row>
    <row r="326" spans="18:18" ht="15.75" customHeight="1">
      <c r="R326" s="30"/>
    </row>
    <row r="327" spans="18:18" ht="15.75" customHeight="1">
      <c r="R327" s="30"/>
    </row>
    <row r="328" spans="18:18" ht="15.75" customHeight="1">
      <c r="R328" s="30"/>
    </row>
    <row r="329" spans="18:18" ht="15.75" customHeight="1">
      <c r="R329" s="30"/>
    </row>
    <row r="330" spans="18:18" ht="15.75" customHeight="1">
      <c r="R330" s="30"/>
    </row>
    <row r="331" spans="18:18" ht="15.75" customHeight="1">
      <c r="R331" s="30"/>
    </row>
    <row r="332" spans="18:18" ht="15.75" customHeight="1">
      <c r="R332" s="30"/>
    </row>
    <row r="333" spans="18:18" ht="15.75" customHeight="1">
      <c r="R333" s="30"/>
    </row>
    <row r="334" spans="18:18" ht="15.75" customHeight="1">
      <c r="R334" s="30"/>
    </row>
    <row r="335" spans="18:18" ht="15.75" customHeight="1">
      <c r="R335" s="30"/>
    </row>
    <row r="336" spans="18:18" ht="15.75" customHeight="1">
      <c r="R336" s="30"/>
    </row>
    <row r="337" spans="18:18" ht="15.75" customHeight="1">
      <c r="R337" s="30"/>
    </row>
    <row r="338" spans="18:18" ht="15.75" customHeight="1">
      <c r="R338" s="30"/>
    </row>
    <row r="339" spans="18:18" ht="15.75" customHeight="1">
      <c r="R339" s="30"/>
    </row>
    <row r="340" spans="18:18" ht="15.75" customHeight="1">
      <c r="R340" s="30"/>
    </row>
    <row r="341" spans="18:18" ht="15.75" customHeight="1">
      <c r="R341" s="30"/>
    </row>
    <row r="342" spans="18:18" ht="15.75" customHeight="1">
      <c r="R342" s="30"/>
    </row>
    <row r="343" spans="18:18" ht="15.75" customHeight="1">
      <c r="R343" s="30"/>
    </row>
    <row r="344" spans="18:18" ht="15.75" customHeight="1">
      <c r="R344" s="30"/>
    </row>
    <row r="345" spans="18:18" ht="15.75" customHeight="1">
      <c r="R345" s="30"/>
    </row>
    <row r="346" spans="18:18" ht="15.75" customHeight="1">
      <c r="R346" s="30"/>
    </row>
    <row r="347" spans="18:18" ht="15.75" customHeight="1">
      <c r="R347" s="30"/>
    </row>
    <row r="348" spans="18:18" ht="15.75" customHeight="1">
      <c r="R348" s="30"/>
    </row>
    <row r="349" spans="18:18" ht="15.75" customHeight="1">
      <c r="R349" s="30"/>
    </row>
    <row r="350" spans="18:18" ht="15.75" customHeight="1">
      <c r="R350" s="30"/>
    </row>
    <row r="351" spans="18:18" ht="15.75" customHeight="1">
      <c r="R351" s="30"/>
    </row>
    <row r="352" spans="18:18" ht="15.75" customHeight="1">
      <c r="R352" s="30"/>
    </row>
    <row r="353" spans="18:18" ht="15.75" customHeight="1">
      <c r="R353" s="30"/>
    </row>
    <row r="354" spans="18:18" ht="15.75" customHeight="1">
      <c r="R354" s="30"/>
    </row>
    <row r="355" spans="18:18" ht="15.75" customHeight="1">
      <c r="R355" s="30"/>
    </row>
    <row r="356" spans="18:18" ht="15.75" customHeight="1">
      <c r="R356" s="30"/>
    </row>
    <row r="357" spans="18:18" ht="15.75" customHeight="1">
      <c r="R357" s="30"/>
    </row>
    <row r="358" spans="18:18" ht="15.75" customHeight="1">
      <c r="R358" s="30"/>
    </row>
    <row r="359" spans="18:18" ht="15.75" customHeight="1">
      <c r="R359" s="30"/>
    </row>
    <row r="360" spans="18:18" ht="15.75" customHeight="1">
      <c r="R360" s="30"/>
    </row>
    <row r="361" spans="18:18" ht="15.75" customHeight="1">
      <c r="R361" s="30"/>
    </row>
    <row r="362" spans="18:18" ht="15.75" customHeight="1">
      <c r="R362" s="30"/>
    </row>
    <row r="363" spans="18:18" ht="15.75" customHeight="1">
      <c r="R363" s="30"/>
    </row>
    <row r="364" spans="18:18" ht="15.75" customHeight="1">
      <c r="R364" s="30"/>
    </row>
    <row r="365" spans="18:18" ht="15.75" customHeight="1">
      <c r="R365" s="30"/>
    </row>
    <row r="366" spans="18:18" ht="15.75" customHeight="1">
      <c r="R366" s="30"/>
    </row>
    <row r="367" spans="18:18" ht="15.75" customHeight="1">
      <c r="R367" s="30"/>
    </row>
    <row r="368" spans="18:18" ht="15.75" customHeight="1">
      <c r="R368" s="30"/>
    </row>
    <row r="369" spans="18:18" ht="15.75" customHeight="1">
      <c r="R369" s="30"/>
    </row>
    <row r="370" spans="18:18" ht="15.75" customHeight="1">
      <c r="R370" s="30"/>
    </row>
    <row r="371" spans="18:18" ht="15.75" customHeight="1">
      <c r="R371" s="30"/>
    </row>
    <row r="372" spans="18:18" ht="15.75" customHeight="1">
      <c r="R372" s="30"/>
    </row>
    <row r="373" spans="18:18" ht="15.75" customHeight="1">
      <c r="R373" s="30"/>
    </row>
    <row r="374" spans="18:18" ht="15.75" customHeight="1">
      <c r="R374" s="30"/>
    </row>
    <row r="375" spans="18:18" ht="15.75" customHeight="1">
      <c r="R375" s="30"/>
    </row>
    <row r="376" spans="18:18" ht="15.75" customHeight="1">
      <c r="R376" s="30"/>
    </row>
    <row r="377" spans="18:18" ht="15.75" customHeight="1">
      <c r="R377" s="30"/>
    </row>
    <row r="378" spans="18:18" ht="15.75" customHeight="1">
      <c r="R378" s="30"/>
    </row>
    <row r="379" spans="18:18" ht="15.75" customHeight="1">
      <c r="R379" s="30"/>
    </row>
    <row r="380" spans="18:18" ht="15.75" customHeight="1">
      <c r="R380" s="30"/>
    </row>
    <row r="381" spans="18:18" ht="15.75" customHeight="1">
      <c r="R381" s="30"/>
    </row>
    <row r="382" spans="18:18" ht="15.75" customHeight="1">
      <c r="R382" s="30"/>
    </row>
    <row r="383" spans="18:18" ht="15.75" customHeight="1">
      <c r="R383" s="30"/>
    </row>
    <row r="384" spans="18:18" ht="15.75" customHeight="1">
      <c r="R384" s="30"/>
    </row>
    <row r="385" spans="18:18" ht="15.75" customHeight="1">
      <c r="R385" s="30"/>
    </row>
    <row r="386" spans="18:18" ht="15.75" customHeight="1">
      <c r="R386" s="30"/>
    </row>
    <row r="387" spans="18:18" ht="15.75" customHeight="1">
      <c r="R387" s="30"/>
    </row>
    <row r="388" spans="18:18" ht="15.75" customHeight="1">
      <c r="R388" s="30"/>
    </row>
    <row r="389" spans="18:18" ht="15.75" customHeight="1">
      <c r="R389" s="30"/>
    </row>
    <row r="390" spans="18:18" ht="15.75" customHeight="1">
      <c r="R390" s="30"/>
    </row>
    <row r="391" spans="18:18" ht="15.75" customHeight="1">
      <c r="R391" s="30"/>
    </row>
    <row r="392" spans="18:18" ht="15.75" customHeight="1">
      <c r="R392" s="30"/>
    </row>
    <row r="393" spans="18:18" ht="15.75" customHeight="1">
      <c r="R393" s="30"/>
    </row>
    <row r="394" spans="18:18" ht="15.75" customHeight="1">
      <c r="R394" s="30"/>
    </row>
    <row r="395" spans="18:18" ht="15.75" customHeight="1">
      <c r="R395" s="30"/>
    </row>
    <row r="396" spans="18:18" ht="15.75" customHeight="1">
      <c r="R396" s="30"/>
    </row>
    <row r="397" spans="18:18" ht="15.75" customHeight="1">
      <c r="R397" s="30"/>
    </row>
    <row r="398" spans="18:18" ht="15.75" customHeight="1">
      <c r="R398" s="30"/>
    </row>
    <row r="399" spans="18:18" ht="15.75" customHeight="1">
      <c r="R399" s="30"/>
    </row>
    <row r="400" spans="18:18" ht="15.75" customHeight="1">
      <c r="R400" s="30"/>
    </row>
    <row r="401" spans="18:18" ht="15.75" customHeight="1">
      <c r="R401" s="30"/>
    </row>
    <row r="402" spans="18:18" ht="15.75" customHeight="1">
      <c r="R402" s="30"/>
    </row>
    <row r="403" spans="18:18" ht="15.75" customHeight="1">
      <c r="R403" s="30"/>
    </row>
    <row r="404" spans="18:18" ht="15.75" customHeight="1">
      <c r="R404" s="30"/>
    </row>
    <row r="405" spans="18:18" ht="15.75" customHeight="1">
      <c r="R405" s="30"/>
    </row>
    <row r="406" spans="18:18" ht="15.75" customHeight="1">
      <c r="R406" s="30"/>
    </row>
    <row r="407" spans="18:18" ht="15.75" customHeight="1">
      <c r="R407" s="30"/>
    </row>
    <row r="408" spans="18:18" ht="15.75" customHeight="1">
      <c r="R408" s="30"/>
    </row>
    <row r="409" spans="18:18" ht="15.75" customHeight="1">
      <c r="R409" s="30"/>
    </row>
    <row r="410" spans="18:18" ht="15.75" customHeight="1">
      <c r="R410" s="30"/>
    </row>
    <row r="411" spans="18:18" ht="15.75" customHeight="1">
      <c r="R411" s="30"/>
    </row>
    <row r="412" spans="18:18" ht="15.75" customHeight="1">
      <c r="R412" s="30"/>
    </row>
    <row r="413" spans="18:18" ht="15.75" customHeight="1">
      <c r="R413" s="30"/>
    </row>
    <row r="414" spans="18:18" ht="15.75" customHeight="1">
      <c r="R414" s="30"/>
    </row>
    <row r="415" spans="18:18" ht="15.75" customHeight="1">
      <c r="R415" s="30"/>
    </row>
    <row r="416" spans="18:18" ht="15.75" customHeight="1">
      <c r="R416" s="30"/>
    </row>
    <row r="417" spans="18:18" ht="15.75" customHeight="1">
      <c r="R417" s="30"/>
    </row>
    <row r="418" spans="18:18" ht="15.75" customHeight="1">
      <c r="R418" s="30"/>
    </row>
    <row r="419" spans="18:18" ht="15.75" customHeight="1">
      <c r="R419" s="30"/>
    </row>
    <row r="420" spans="18:18" ht="15.75" customHeight="1">
      <c r="R420" s="30"/>
    </row>
    <row r="421" spans="18:18" ht="15.75" customHeight="1">
      <c r="R421" s="30"/>
    </row>
    <row r="422" spans="18:18" ht="15.75" customHeight="1">
      <c r="R422" s="30"/>
    </row>
    <row r="423" spans="18:18" ht="15.75" customHeight="1">
      <c r="R423" s="30"/>
    </row>
    <row r="424" spans="18:18" ht="15.75" customHeight="1">
      <c r="R424" s="30"/>
    </row>
    <row r="425" spans="18:18" ht="15.75" customHeight="1">
      <c r="R425" s="30"/>
    </row>
    <row r="426" spans="18:18" ht="15.75" customHeight="1">
      <c r="R426" s="30"/>
    </row>
    <row r="427" spans="18:18" ht="15.75" customHeight="1">
      <c r="R427" s="30"/>
    </row>
    <row r="428" spans="18:18" ht="15.75" customHeight="1">
      <c r="R428" s="30"/>
    </row>
    <row r="429" spans="18:18" ht="15.75" customHeight="1">
      <c r="R429" s="30"/>
    </row>
    <row r="430" spans="18:18" ht="15.75" customHeight="1">
      <c r="R430" s="30"/>
    </row>
    <row r="431" spans="18:18" ht="15.75" customHeight="1">
      <c r="R431" s="30"/>
    </row>
    <row r="432" spans="18:18" ht="15.75" customHeight="1">
      <c r="R432" s="30"/>
    </row>
    <row r="433" spans="18:18" ht="15.75" customHeight="1">
      <c r="R433" s="30"/>
    </row>
    <row r="434" spans="18:18" ht="15.75" customHeight="1">
      <c r="R434" s="30"/>
    </row>
    <row r="435" spans="18:18" ht="15.75" customHeight="1">
      <c r="R435" s="30"/>
    </row>
    <row r="436" spans="18:18" ht="15.75" customHeight="1">
      <c r="R436" s="30"/>
    </row>
    <row r="437" spans="18:18" ht="15.75" customHeight="1">
      <c r="R437" s="30"/>
    </row>
    <row r="438" spans="18:18" ht="15.75" customHeight="1">
      <c r="R438" s="30"/>
    </row>
    <row r="439" spans="18:18" ht="15.75" customHeight="1">
      <c r="R439" s="30"/>
    </row>
    <row r="440" spans="18:18" ht="15.75" customHeight="1">
      <c r="R440" s="30"/>
    </row>
    <row r="441" spans="18:18" ht="15.75" customHeight="1">
      <c r="R441" s="30"/>
    </row>
    <row r="442" spans="18:18" ht="15.75" customHeight="1">
      <c r="R442" s="30"/>
    </row>
    <row r="443" spans="18:18" ht="15.75" customHeight="1">
      <c r="R443" s="30"/>
    </row>
    <row r="444" spans="18:18" ht="15.75" customHeight="1">
      <c r="R444" s="30"/>
    </row>
    <row r="445" spans="18:18" ht="15.75" customHeight="1">
      <c r="R445" s="30"/>
    </row>
    <row r="446" spans="18:18" ht="15.75" customHeight="1">
      <c r="R446" s="30"/>
    </row>
    <row r="447" spans="18:18" ht="15.75" customHeight="1">
      <c r="R447" s="30"/>
    </row>
    <row r="448" spans="18:18" ht="15.75" customHeight="1">
      <c r="R448" s="30"/>
    </row>
    <row r="449" spans="18:18" ht="15.75" customHeight="1">
      <c r="R449" s="30"/>
    </row>
    <row r="450" spans="18:18" ht="15.75" customHeight="1">
      <c r="R450" s="30"/>
    </row>
    <row r="451" spans="18:18" ht="15.75" customHeight="1">
      <c r="R451" s="30"/>
    </row>
    <row r="452" spans="18:18" ht="15.75" customHeight="1">
      <c r="R452" s="30"/>
    </row>
    <row r="453" spans="18:18" ht="15.75" customHeight="1">
      <c r="R453" s="30"/>
    </row>
    <row r="454" spans="18:18" ht="15.75" customHeight="1">
      <c r="R454" s="30"/>
    </row>
    <row r="455" spans="18:18" ht="15.75" customHeight="1">
      <c r="R455" s="30"/>
    </row>
    <row r="456" spans="18:18" ht="15.75" customHeight="1">
      <c r="R456" s="30"/>
    </row>
    <row r="457" spans="18:18" ht="15.75" customHeight="1">
      <c r="R457" s="30"/>
    </row>
    <row r="458" spans="18:18" ht="15.75" customHeight="1">
      <c r="R458" s="30"/>
    </row>
    <row r="459" spans="18:18" ht="15.75" customHeight="1">
      <c r="R459" s="30"/>
    </row>
    <row r="460" spans="18:18" ht="15.75" customHeight="1">
      <c r="R460" s="30"/>
    </row>
    <row r="461" spans="18:18" ht="15.75" customHeight="1">
      <c r="R461" s="30"/>
    </row>
    <row r="462" spans="18:18" ht="15.75" customHeight="1">
      <c r="R462" s="30"/>
    </row>
    <row r="463" spans="18:18" ht="15.75" customHeight="1">
      <c r="R463" s="30"/>
    </row>
    <row r="464" spans="18:18" ht="15.75" customHeight="1">
      <c r="R464" s="30"/>
    </row>
    <row r="465" spans="18:18" ht="15.75" customHeight="1">
      <c r="R465" s="30"/>
    </row>
    <row r="466" spans="18:18" ht="15.75" customHeight="1">
      <c r="R466" s="30"/>
    </row>
    <row r="467" spans="18:18" ht="15.75" customHeight="1">
      <c r="R467" s="30"/>
    </row>
    <row r="468" spans="18:18" ht="15.75" customHeight="1">
      <c r="R468" s="30"/>
    </row>
    <row r="469" spans="18:18" ht="15.75" customHeight="1">
      <c r="R469" s="30"/>
    </row>
    <row r="470" spans="18:18" ht="15.75" customHeight="1">
      <c r="R470" s="30"/>
    </row>
    <row r="471" spans="18:18" ht="15.75" customHeight="1">
      <c r="R471" s="30"/>
    </row>
    <row r="472" spans="18:18" ht="15.75" customHeight="1">
      <c r="R472" s="30"/>
    </row>
    <row r="473" spans="18:18" ht="15.75" customHeight="1">
      <c r="R473" s="30"/>
    </row>
    <row r="474" spans="18:18" ht="15.75" customHeight="1">
      <c r="R474" s="30"/>
    </row>
    <row r="475" spans="18:18" ht="15.75" customHeight="1">
      <c r="R475" s="30"/>
    </row>
    <row r="476" spans="18:18" ht="15.75" customHeight="1">
      <c r="R476" s="30"/>
    </row>
    <row r="477" spans="18:18" ht="15.75" customHeight="1">
      <c r="R477" s="30"/>
    </row>
    <row r="478" spans="18:18" ht="15.75" customHeight="1">
      <c r="R478" s="30"/>
    </row>
    <row r="479" spans="18:18" ht="15.75" customHeight="1">
      <c r="R479" s="30"/>
    </row>
    <row r="480" spans="18:18" ht="15.75" customHeight="1">
      <c r="R480" s="30"/>
    </row>
    <row r="481" spans="18:18" ht="15.75" customHeight="1">
      <c r="R481" s="30"/>
    </row>
    <row r="482" spans="18:18" ht="15.75" customHeight="1">
      <c r="R482" s="30"/>
    </row>
    <row r="483" spans="18:18" ht="15.75" customHeight="1">
      <c r="R483" s="30"/>
    </row>
    <row r="484" spans="18:18" ht="15.75" customHeight="1">
      <c r="R484" s="30"/>
    </row>
    <row r="485" spans="18:18" ht="15.75" customHeight="1">
      <c r="R485" s="30"/>
    </row>
    <row r="486" spans="18:18" ht="15.75" customHeight="1">
      <c r="R486" s="30"/>
    </row>
    <row r="487" spans="18:18" ht="15.75" customHeight="1">
      <c r="R487" s="30"/>
    </row>
    <row r="488" spans="18:18" ht="15.75" customHeight="1">
      <c r="R488" s="30"/>
    </row>
    <row r="489" spans="18:18" ht="15.75" customHeight="1">
      <c r="R489" s="30"/>
    </row>
    <row r="490" spans="18:18" ht="15.75" customHeight="1">
      <c r="R490" s="30"/>
    </row>
    <row r="491" spans="18:18" ht="15.75" customHeight="1">
      <c r="R491" s="30"/>
    </row>
    <row r="492" spans="18:18" ht="15.75" customHeight="1">
      <c r="R492" s="30"/>
    </row>
    <row r="493" spans="18:18" ht="15.75" customHeight="1">
      <c r="R493" s="30"/>
    </row>
    <row r="494" spans="18:18" ht="15.75" customHeight="1">
      <c r="R494" s="30"/>
    </row>
    <row r="495" spans="18:18" ht="15.75" customHeight="1">
      <c r="R495" s="30"/>
    </row>
    <row r="496" spans="18:18" ht="15.75" customHeight="1">
      <c r="R496" s="30"/>
    </row>
    <row r="497" spans="18:18" ht="15.75" customHeight="1">
      <c r="R497" s="30"/>
    </row>
    <row r="498" spans="18:18" ht="15.75" customHeight="1">
      <c r="R498" s="30"/>
    </row>
    <row r="499" spans="18:18" ht="15.75" customHeight="1">
      <c r="R499" s="30"/>
    </row>
    <row r="500" spans="18:18" ht="15.75" customHeight="1">
      <c r="R500" s="30"/>
    </row>
    <row r="501" spans="18:18" ht="15.75" customHeight="1">
      <c r="R501" s="30"/>
    </row>
    <row r="502" spans="18:18" ht="15.75" customHeight="1">
      <c r="R502" s="30"/>
    </row>
    <row r="503" spans="18:18" ht="15.75" customHeight="1">
      <c r="R503" s="30"/>
    </row>
    <row r="504" spans="18:18" ht="15.75" customHeight="1">
      <c r="R504" s="30"/>
    </row>
    <row r="505" spans="18:18" ht="15.75" customHeight="1">
      <c r="R505" s="30"/>
    </row>
    <row r="506" spans="18:18" ht="15.75" customHeight="1">
      <c r="R506" s="30"/>
    </row>
    <row r="507" spans="18:18" ht="15.75" customHeight="1">
      <c r="R507" s="30"/>
    </row>
    <row r="508" spans="18:18" ht="15.75" customHeight="1">
      <c r="R508" s="30"/>
    </row>
    <row r="509" spans="18:18" ht="15.75" customHeight="1">
      <c r="R509" s="30"/>
    </row>
    <row r="510" spans="18:18" ht="15.75" customHeight="1">
      <c r="R510" s="30"/>
    </row>
    <row r="511" spans="18:18" ht="15.75" customHeight="1">
      <c r="R511" s="30"/>
    </row>
    <row r="512" spans="18:18" ht="15.75" customHeight="1">
      <c r="R512" s="30"/>
    </row>
    <row r="513" spans="18:18" ht="15.75" customHeight="1">
      <c r="R513" s="30"/>
    </row>
    <row r="514" spans="18:18" ht="15.75" customHeight="1">
      <c r="R514" s="30"/>
    </row>
    <row r="515" spans="18:18" ht="15.75" customHeight="1">
      <c r="R515" s="30"/>
    </row>
    <row r="516" spans="18:18" ht="15.75" customHeight="1">
      <c r="R516" s="30"/>
    </row>
    <row r="517" spans="18:18" ht="15.75" customHeight="1">
      <c r="R517" s="30"/>
    </row>
    <row r="518" spans="18:18" ht="15.75" customHeight="1">
      <c r="R518" s="30"/>
    </row>
    <row r="519" spans="18:18" ht="15.75" customHeight="1">
      <c r="R519" s="30"/>
    </row>
    <row r="520" spans="18:18" ht="15.75" customHeight="1">
      <c r="R520" s="30"/>
    </row>
    <row r="521" spans="18:18" ht="15.75" customHeight="1">
      <c r="R521" s="30"/>
    </row>
    <row r="522" spans="18:18" ht="15.75" customHeight="1">
      <c r="R522" s="30"/>
    </row>
    <row r="523" spans="18:18" ht="15.75" customHeight="1">
      <c r="R523" s="30"/>
    </row>
    <row r="524" spans="18:18" ht="15.75" customHeight="1">
      <c r="R524" s="30"/>
    </row>
    <row r="525" spans="18:18" ht="15.75" customHeight="1">
      <c r="R525" s="30"/>
    </row>
    <row r="526" spans="18:18" ht="15.75" customHeight="1">
      <c r="R526" s="30"/>
    </row>
    <row r="527" spans="18:18" ht="15.75" customHeight="1">
      <c r="R527" s="30"/>
    </row>
    <row r="528" spans="18:18" ht="15.75" customHeight="1">
      <c r="R528" s="30"/>
    </row>
    <row r="529" spans="18:18" ht="15.75" customHeight="1">
      <c r="R529" s="30"/>
    </row>
    <row r="530" spans="18:18" ht="15.75" customHeight="1">
      <c r="R530" s="30"/>
    </row>
    <row r="531" spans="18:18" ht="15.75" customHeight="1">
      <c r="R531" s="30"/>
    </row>
    <row r="532" spans="18:18" ht="15.75" customHeight="1">
      <c r="R532" s="30"/>
    </row>
    <row r="533" spans="18:18" ht="15.75" customHeight="1">
      <c r="R533" s="30"/>
    </row>
    <row r="534" spans="18:18" ht="15.75" customHeight="1">
      <c r="R534" s="30"/>
    </row>
    <row r="535" spans="18:18" ht="15.75" customHeight="1">
      <c r="R535" s="30"/>
    </row>
    <row r="536" spans="18:18" ht="15.75" customHeight="1">
      <c r="R536" s="30"/>
    </row>
    <row r="537" spans="18:18" ht="15.75" customHeight="1">
      <c r="R537" s="30"/>
    </row>
    <row r="538" spans="18:18" ht="15.75" customHeight="1">
      <c r="R538" s="30"/>
    </row>
    <row r="539" spans="18:18" ht="15.75" customHeight="1">
      <c r="R539" s="30"/>
    </row>
    <row r="540" spans="18:18" ht="15.75" customHeight="1">
      <c r="R540" s="30"/>
    </row>
    <row r="541" spans="18:18" ht="15.75" customHeight="1">
      <c r="R541" s="30"/>
    </row>
    <row r="542" spans="18:18" ht="15.75" customHeight="1">
      <c r="R542" s="30"/>
    </row>
    <row r="543" spans="18:18" ht="15.75" customHeight="1">
      <c r="R543" s="30"/>
    </row>
    <row r="544" spans="18:18" ht="15.75" customHeight="1">
      <c r="R544" s="30"/>
    </row>
    <row r="545" spans="18:18" ht="15.75" customHeight="1">
      <c r="R545" s="30"/>
    </row>
    <row r="546" spans="18:18" ht="15.75" customHeight="1">
      <c r="R546" s="30"/>
    </row>
    <row r="547" spans="18:18" ht="15.75" customHeight="1">
      <c r="R547" s="30"/>
    </row>
    <row r="548" spans="18:18" ht="15.75" customHeight="1">
      <c r="R548" s="30"/>
    </row>
    <row r="549" spans="18:18" ht="15.75" customHeight="1">
      <c r="R549" s="30"/>
    </row>
    <row r="550" spans="18:18" ht="15.75" customHeight="1">
      <c r="R550" s="30"/>
    </row>
    <row r="551" spans="18:18" ht="15.75" customHeight="1">
      <c r="R551" s="30"/>
    </row>
    <row r="552" spans="18:18" ht="15.75" customHeight="1">
      <c r="R552" s="30"/>
    </row>
    <row r="553" spans="18:18" ht="15.75" customHeight="1">
      <c r="R553" s="30"/>
    </row>
    <row r="554" spans="18:18" ht="15.75" customHeight="1">
      <c r="R554" s="30"/>
    </row>
    <row r="555" spans="18:18" ht="15.75" customHeight="1">
      <c r="R555" s="30"/>
    </row>
    <row r="556" spans="18:18" ht="15.75" customHeight="1">
      <c r="R556" s="30"/>
    </row>
    <row r="557" spans="18:18" ht="15.75" customHeight="1">
      <c r="R557" s="30"/>
    </row>
    <row r="558" spans="18:18" ht="15.75" customHeight="1">
      <c r="R558" s="30"/>
    </row>
    <row r="559" spans="18:18" ht="15.75" customHeight="1">
      <c r="R559" s="30"/>
    </row>
    <row r="560" spans="18:18" ht="15.75" customHeight="1">
      <c r="R560" s="30"/>
    </row>
    <row r="561" spans="18:18" ht="15.75" customHeight="1">
      <c r="R561" s="30"/>
    </row>
    <row r="562" spans="18:18" ht="15.75" customHeight="1">
      <c r="R562" s="30"/>
    </row>
    <row r="563" spans="18:18" ht="15.75" customHeight="1">
      <c r="R563" s="30"/>
    </row>
    <row r="564" spans="18:18" ht="15.75" customHeight="1">
      <c r="R564" s="30"/>
    </row>
    <row r="565" spans="18:18" ht="15.75" customHeight="1">
      <c r="R565" s="30"/>
    </row>
    <row r="566" spans="18:18" ht="15.75" customHeight="1">
      <c r="R566" s="30"/>
    </row>
    <row r="567" spans="18:18" ht="15.75" customHeight="1">
      <c r="R567" s="30"/>
    </row>
    <row r="568" spans="18:18" ht="15.75" customHeight="1">
      <c r="R568" s="30"/>
    </row>
    <row r="569" spans="18:18" ht="15.75" customHeight="1">
      <c r="R569" s="30"/>
    </row>
    <row r="570" spans="18:18" ht="15.75" customHeight="1">
      <c r="R570" s="30"/>
    </row>
    <row r="571" spans="18:18" ht="15.75" customHeight="1">
      <c r="R571" s="30"/>
    </row>
    <row r="572" spans="18:18" ht="15.75" customHeight="1">
      <c r="R572" s="30"/>
    </row>
    <row r="573" spans="18:18" ht="15.75" customHeight="1">
      <c r="R573" s="30"/>
    </row>
    <row r="574" spans="18:18" ht="15.75" customHeight="1">
      <c r="R574" s="30"/>
    </row>
    <row r="575" spans="18:18" ht="15.75" customHeight="1">
      <c r="R575" s="30"/>
    </row>
    <row r="576" spans="18:18" ht="15.75" customHeight="1">
      <c r="R576" s="30"/>
    </row>
    <row r="577" spans="18:18" ht="15.75" customHeight="1">
      <c r="R577" s="30"/>
    </row>
    <row r="578" spans="18:18" ht="15.75" customHeight="1">
      <c r="R578" s="30"/>
    </row>
    <row r="579" spans="18:18" ht="15.75" customHeight="1">
      <c r="R579" s="30"/>
    </row>
    <row r="580" spans="18:18" ht="15.75" customHeight="1">
      <c r="R580" s="30"/>
    </row>
    <row r="581" spans="18:18" ht="15.75" customHeight="1">
      <c r="R581" s="30"/>
    </row>
    <row r="582" spans="18:18" ht="15.75" customHeight="1">
      <c r="R582" s="30"/>
    </row>
    <row r="583" spans="18:18" ht="15.75" customHeight="1">
      <c r="R583" s="30"/>
    </row>
    <row r="584" spans="18:18" ht="15.75" customHeight="1">
      <c r="R584" s="30"/>
    </row>
    <row r="585" spans="18:18" ht="15.75" customHeight="1">
      <c r="R585" s="30"/>
    </row>
    <row r="586" spans="18:18" ht="15.75" customHeight="1">
      <c r="R586" s="30"/>
    </row>
    <row r="587" spans="18:18" ht="15.75" customHeight="1">
      <c r="R587" s="30"/>
    </row>
    <row r="588" spans="18:18" ht="15.75" customHeight="1">
      <c r="R588" s="30"/>
    </row>
    <row r="589" spans="18:18" ht="15.75" customHeight="1">
      <c r="R589" s="30"/>
    </row>
    <row r="590" spans="18:18" ht="15.75" customHeight="1">
      <c r="R590" s="30"/>
    </row>
    <row r="591" spans="18:18" ht="15.75" customHeight="1">
      <c r="R591" s="30"/>
    </row>
    <row r="592" spans="18:18" ht="15.75" customHeight="1">
      <c r="R592" s="30"/>
    </row>
    <row r="593" spans="18:18" ht="15.75" customHeight="1">
      <c r="R593" s="30"/>
    </row>
    <row r="594" spans="18:18" ht="15.75" customHeight="1">
      <c r="R594" s="30"/>
    </row>
    <row r="595" spans="18:18" ht="15.75" customHeight="1">
      <c r="R595" s="30"/>
    </row>
    <row r="596" spans="18:18" ht="15.75" customHeight="1">
      <c r="R596" s="30"/>
    </row>
    <row r="597" spans="18:18" ht="15.75" customHeight="1">
      <c r="R597" s="30"/>
    </row>
    <row r="598" spans="18:18" ht="15.75" customHeight="1">
      <c r="R598" s="30"/>
    </row>
    <row r="599" spans="18:18" ht="15.75" customHeight="1">
      <c r="R599" s="30"/>
    </row>
    <row r="600" spans="18:18" ht="15.75" customHeight="1">
      <c r="R600" s="30"/>
    </row>
    <row r="601" spans="18:18" ht="15.75" customHeight="1">
      <c r="R601" s="30"/>
    </row>
    <row r="602" spans="18:18" ht="15.75" customHeight="1">
      <c r="R602" s="30"/>
    </row>
    <row r="603" spans="18:18" ht="15.75" customHeight="1">
      <c r="R603" s="30"/>
    </row>
    <row r="604" spans="18:18" ht="15.75" customHeight="1">
      <c r="R604" s="30"/>
    </row>
    <row r="605" spans="18:18" ht="15.75" customHeight="1">
      <c r="R605" s="30"/>
    </row>
    <row r="606" spans="18:18" ht="15.75" customHeight="1">
      <c r="R606" s="30"/>
    </row>
    <row r="607" spans="18:18" ht="15.75" customHeight="1">
      <c r="R607" s="30"/>
    </row>
    <row r="608" spans="18:18" ht="15.75" customHeight="1">
      <c r="R608" s="30"/>
    </row>
    <row r="609" spans="18:18" ht="15.75" customHeight="1">
      <c r="R609" s="30"/>
    </row>
    <row r="610" spans="18:18" ht="15.75" customHeight="1">
      <c r="R610" s="30"/>
    </row>
    <row r="611" spans="18:18" ht="15.75" customHeight="1">
      <c r="R611" s="30"/>
    </row>
    <row r="612" spans="18:18" ht="15.75" customHeight="1">
      <c r="R612" s="30"/>
    </row>
    <row r="613" spans="18:18" ht="15.75" customHeight="1">
      <c r="R613" s="30"/>
    </row>
    <row r="614" spans="18:18" ht="15.75" customHeight="1">
      <c r="R614" s="30"/>
    </row>
    <row r="615" spans="18:18" ht="15.75" customHeight="1">
      <c r="R615" s="30"/>
    </row>
    <row r="616" spans="18:18" ht="15.75" customHeight="1">
      <c r="R616" s="30"/>
    </row>
    <row r="617" spans="18:18" ht="15.75" customHeight="1">
      <c r="R617" s="30"/>
    </row>
    <row r="618" spans="18:18" ht="15.75" customHeight="1">
      <c r="R618" s="30"/>
    </row>
    <row r="619" spans="18:18" ht="15.75" customHeight="1">
      <c r="R619" s="30"/>
    </row>
    <row r="620" spans="18:18" ht="15.75" customHeight="1">
      <c r="R620" s="30"/>
    </row>
    <row r="621" spans="18:18" ht="15.75" customHeight="1">
      <c r="R621" s="30"/>
    </row>
    <row r="622" spans="18:18" ht="15.75" customHeight="1">
      <c r="R622" s="30"/>
    </row>
    <row r="623" spans="18:18" ht="15.75" customHeight="1">
      <c r="R623" s="30"/>
    </row>
    <row r="624" spans="18:18" ht="15.75" customHeight="1">
      <c r="R624" s="30"/>
    </row>
    <row r="625" spans="18:18" ht="15.75" customHeight="1">
      <c r="R625" s="30"/>
    </row>
    <row r="626" spans="18:18" ht="15.75" customHeight="1">
      <c r="R626" s="30"/>
    </row>
    <row r="627" spans="18:18" ht="15.75" customHeight="1">
      <c r="R627" s="30"/>
    </row>
    <row r="628" spans="18:18" ht="15.75" customHeight="1">
      <c r="R628" s="30"/>
    </row>
    <row r="629" spans="18:18" ht="15.75" customHeight="1">
      <c r="R629" s="30"/>
    </row>
    <row r="630" spans="18:18" ht="15.75" customHeight="1">
      <c r="R630" s="30"/>
    </row>
    <row r="631" spans="18:18" ht="15.75" customHeight="1">
      <c r="R631" s="30"/>
    </row>
    <row r="632" spans="18:18" ht="15.75" customHeight="1">
      <c r="R632" s="30"/>
    </row>
    <row r="633" spans="18:18" ht="15.75" customHeight="1">
      <c r="R633" s="30"/>
    </row>
    <row r="634" spans="18:18" ht="15.75" customHeight="1">
      <c r="R634" s="30"/>
    </row>
    <row r="635" spans="18:18" ht="15.75" customHeight="1">
      <c r="R635" s="30"/>
    </row>
    <row r="636" spans="18:18" ht="15.75" customHeight="1">
      <c r="R636" s="30"/>
    </row>
    <row r="637" spans="18:18" ht="15.75" customHeight="1">
      <c r="R637" s="30"/>
    </row>
    <row r="638" spans="18:18" ht="15.75" customHeight="1">
      <c r="R638" s="30"/>
    </row>
    <row r="639" spans="18:18" ht="15.75" customHeight="1">
      <c r="R639" s="30"/>
    </row>
    <row r="640" spans="18:18" ht="15.75" customHeight="1">
      <c r="R640" s="30"/>
    </row>
    <row r="641" spans="18:18" ht="15.75" customHeight="1">
      <c r="R641" s="30"/>
    </row>
    <row r="642" spans="18:18" ht="15.75" customHeight="1">
      <c r="R642" s="30"/>
    </row>
    <row r="643" spans="18:18" ht="15.75" customHeight="1">
      <c r="R643" s="30"/>
    </row>
    <row r="644" spans="18:18" ht="15.75" customHeight="1">
      <c r="R644" s="30"/>
    </row>
    <row r="645" spans="18:18" ht="15.75" customHeight="1">
      <c r="R645" s="30"/>
    </row>
    <row r="646" spans="18:18" ht="15.75" customHeight="1">
      <c r="R646" s="30"/>
    </row>
    <row r="647" spans="18:18" ht="15.75" customHeight="1">
      <c r="R647" s="30"/>
    </row>
    <row r="648" spans="18:18" ht="15.75" customHeight="1">
      <c r="R648" s="30"/>
    </row>
    <row r="649" spans="18:18" ht="15.75" customHeight="1">
      <c r="R649" s="30"/>
    </row>
    <row r="650" spans="18:18" ht="15.75" customHeight="1">
      <c r="R650" s="30"/>
    </row>
    <row r="651" spans="18:18" ht="15.75" customHeight="1">
      <c r="R651" s="30"/>
    </row>
    <row r="652" spans="18:18" ht="15.75" customHeight="1">
      <c r="R652" s="30"/>
    </row>
    <row r="653" spans="18:18" ht="15.75" customHeight="1">
      <c r="R653" s="30"/>
    </row>
    <row r="654" spans="18:18" ht="15.75" customHeight="1">
      <c r="R654" s="30"/>
    </row>
    <row r="655" spans="18:18" ht="15.75" customHeight="1">
      <c r="R655" s="30"/>
    </row>
    <row r="656" spans="18:18" ht="15.75" customHeight="1">
      <c r="R656" s="30"/>
    </row>
    <row r="657" spans="18:18" ht="15.75" customHeight="1">
      <c r="R657" s="30"/>
    </row>
    <row r="658" spans="18:18" ht="15.75" customHeight="1">
      <c r="R658" s="30"/>
    </row>
    <row r="659" spans="18:18" ht="15.75" customHeight="1">
      <c r="R659" s="30"/>
    </row>
    <row r="660" spans="18:18" ht="15.75" customHeight="1">
      <c r="R660" s="30"/>
    </row>
    <row r="661" spans="18:18" ht="15.75" customHeight="1">
      <c r="R661" s="30"/>
    </row>
    <row r="662" spans="18:18" ht="15.75" customHeight="1">
      <c r="R662" s="30"/>
    </row>
    <row r="663" spans="18:18" ht="15.75" customHeight="1">
      <c r="R663" s="30"/>
    </row>
    <row r="664" spans="18:18" ht="15.75" customHeight="1">
      <c r="R664" s="30"/>
    </row>
    <row r="665" spans="18:18" ht="15.75" customHeight="1">
      <c r="R665" s="30"/>
    </row>
    <row r="666" spans="18:18" ht="15.75" customHeight="1">
      <c r="R666" s="30"/>
    </row>
    <row r="667" spans="18:18" ht="15.75" customHeight="1">
      <c r="R667" s="30"/>
    </row>
    <row r="668" spans="18:18" ht="15.75" customHeight="1">
      <c r="R668" s="30"/>
    </row>
    <row r="669" spans="18:18" ht="15.75" customHeight="1">
      <c r="R669" s="30"/>
    </row>
    <row r="670" spans="18:18" ht="15.75" customHeight="1">
      <c r="R670" s="30"/>
    </row>
    <row r="671" spans="18:18" ht="15.75" customHeight="1">
      <c r="R671" s="30"/>
    </row>
    <row r="672" spans="18:18" ht="15.75" customHeight="1">
      <c r="R672" s="30"/>
    </row>
    <row r="673" spans="18:18" ht="15.75" customHeight="1">
      <c r="R673" s="30"/>
    </row>
    <row r="674" spans="18:18" ht="15.75" customHeight="1">
      <c r="R674" s="30"/>
    </row>
    <row r="675" spans="18:18" ht="15.75" customHeight="1">
      <c r="R675" s="30"/>
    </row>
    <row r="676" spans="18:18" ht="15.75" customHeight="1">
      <c r="R676" s="30"/>
    </row>
    <row r="677" spans="18:18" ht="15.75" customHeight="1">
      <c r="R677" s="30"/>
    </row>
    <row r="678" spans="18:18" ht="15.75" customHeight="1">
      <c r="R678" s="30"/>
    </row>
    <row r="679" spans="18:18" ht="15.75" customHeight="1">
      <c r="R679" s="30"/>
    </row>
    <row r="680" spans="18:18" ht="15.75" customHeight="1">
      <c r="R680" s="30"/>
    </row>
    <row r="681" spans="18:18" ht="15.75" customHeight="1">
      <c r="R681" s="30"/>
    </row>
    <row r="682" spans="18:18" ht="15.75" customHeight="1">
      <c r="R682" s="30"/>
    </row>
    <row r="683" spans="18:18" ht="15.75" customHeight="1">
      <c r="R683" s="30"/>
    </row>
    <row r="684" spans="18:18" ht="15.75" customHeight="1">
      <c r="R684" s="30"/>
    </row>
    <row r="685" spans="18:18" ht="15.75" customHeight="1">
      <c r="R685" s="30"/>
    </row>
    <row r="686" spans="18:18" ht="15.75" customHeight="1">
      <c r="R686" s="30"/>
    </row>
    <row r="687" spans="18:18" ht="15.75" customHeight="1">
      <c r="R687" s="30"/>
    </row>
    <row r="688" spans="18:18" ht="15.75" customHeight="1">
      <c r="R688" s="30"/>
    </row>
    <row r="689" spans="18:18" ht="15.75" customHeight="1">
      <c r="R689" s="30"/>
    </row>
    <row r="690" spans="18:18" ht="15.75" customHeight="1">
      <c r="R690" s="30"/>
    </row>
    <row r="691" spans="18:18" ht="15.75" customHeight="1">
      <c r="R691" s="30"/>
    </row>
    <row r="692" spans="18:18" ht="15.75" customHeight="1">
      <c r="R692" s="30"/>
    </row>
    <row r="693" spans="18:18" ht="15.75" customHeight="1">
      <c r="R693" s="30"/>
    </row>
    <row r="694" spans="18:18" ht="15.75" customHeight="1">
      <c r="R694" s="30"/>
    </row>
    <row r="695" spans="18:18" ht="15.75" customHeight="1">
      <c r="R695" s="30"/>
    </row>
    <row r="696" spans="18:18" ht="15.75" customHeight="1">
      <c r="R696" s="30"/>
    </row>
    <row r="697" spans="18:18" ht="15.75" customHeight="1">
      <c r="R697" s="30"/>
    </row>
    <row r="698" spans="18:18" ht="15.75" customHeight="1">
      <c r="R698" s="30"/>
    </row>
    <row r="699" spans="18:18" ht="15.75" customHeight="1">
      <c r="R699" s="30"/>
    </row>
    <row r="700" spans="18:18" ht="15.75" customHeight="1">
      <c r="R700" s="30"/>
    </row>
    <row r="701" spans="18:18" ht="15.75" customHeight="1">
      <c r="R701" s="30"/>
    </row>
    <row r="702" spans="18:18" ht="15.75" customHeight="1">
      <c r="R702" s="30"/>
    </row>
    <row r="703" spans="18:18" ht="15.75" customHeight="1">
      <c r="R703" s="30"/>
    </row>
    <row r="704" spans="18:18" ht="15.75" customHeight="1">
      <c r="R704" s="30"/>
    </row>
    <row r="705" spans="18:18" ht="15.75" customHeight="1">
      <c r="R705" s="30"/>
    </row>
    <row r="706" spans="18:18" ht="15.75" customHeight="1">
      <c r="R706" s="30"/>
    </row>
    <row r="707" spans="18:18" ht="15.75" customHeight="1">
      <c r="R707" s="30"/>
    </row>
    <row r="708" spans="18:18" ht="15.75" customHeight="1">
      <c r="R708" s="30"/>
    </row>
    <row r="709" spans="18:18" ht="15.75" customHeight="1">
      <c r="R709" s="30"/>
    </row>
    <row r="710" spans="18:18" ht="15.75" customHeight="1">
      <c r="R710" s="30"/>
    </row>
    <row r="711" spans="18:18" ht="15.75" customHeight="1">
      <c r="R711" s="30"/>
    </row>
    <row r="712" spans="18:18" ht="15.75" customHeight="1">
      <c r="R712" s="30"/>
    </row>
    <row r="713" spans="18:18" ht="15.75" customHeight="1">
      <c r="R713" s="30"/>
    </row>
    <row r="714" spans="18:18" ht="15.75" customHeight="1">
      <c r="R714" s="30"/>
    </row>
    <row r="715" spans="18:18" ht="15.75" customHeight="1">
      <c r="R715" s="30"/>
    </row>
    <row r="716" spans="18:18" ht="15.75" customHeight="1">
      <c r="R716" s="30"/>
    </row>
    <row r="717" spans="18:18" ht="15.75" customHeight="1">
      <c r="R717" s="30"/>
    </row>
    <row r="718" spans="18:18" ht="15.75" customHeight="1">
      <c r="R718" s="30"/>
    </row>
    <row r="719" spans="18:18" ht="15.75" customHeight="1">
      <c r="R719" s="30"/>
    </row>
    <row r="720" spans="18:18" ht="15.75" customHeight="1">
      <c r="R720" s="30"/>
    </row>
    <row r="721" spans="18:18" ht="15.75" customHeight="1">
      <c r="R721" s="30"/>
    </row>
    <row r="722" spans="18:18" ht="15.75" customHeight="1">
      <c r="R722" s="30"/>
    </row>
    <row r="723" spans="18:18" ht="15.75" customHeight="1">
      <c r="R723" s="30"/>
    </row>
    <row r="724" spans="18:18" ht="15.75" customHeight="1">
      <c r="R724" s="30"/>
    </row>
    <row r="725" spans="18:18" ht="15.75" customHeight="1">
      <c r="R725" s="30"/>
    </row>
    <row r="726" spans="18:18" ht="15.75" customHeight="1">
      <c r="R726" s="30"/>
    </row>
    <row r="727" spans="18:18" ht="15.75" customHeight="1">
      <c r="R727" s="30"/>
    </row>
    <row r="728" spans="18:18" ht="15.75" customHeight="1">
      <c r="R728" s="30"/>
    </row>
    <row r="729" spans="18:18" ht="15.75" customHeight="1">
      <c r="R729" s="30"/>
    </row>
    <row r="730" spans="18:18" ht="15.75" customHeight="1">
      <c r="R730" s="30"/>
    </row>
    <row r="731" spans="18:18" ht="15.75" customHeight="1">
      <c r="R731" s="30"/>
    </row>
    <row r="732" spans="18:18" ht="15.75" customHeight="1">
      <c r="R732" s="30"/>
    </row>
    <row r="733" spans="18:18" ht="15.75" customHeight="1">
      <c r="R733" s="30"/>
    </row>
    <row r="734" spans="18:18" ht="15.75" customHeight="1">
      <c r="R734" s="30"/>
    </row>
    <row r="735" spans="18:18" ht="15.75" customHeight="1">
      <c r="R735" s="30"/>
    </row>
    <row r="736" spans="18:18" ht="15.75" customHeight="1">
      <c r="R736" s="30"/>
    </row>
    <row r="737" spans="18:18" ht="15.75" customHeight="1">
      <c r="R737" s="30"/>
    </row>
    <row r="738" spans="18:18" ht="15.75" customHeight="1">
      <c r="R738" s="30"/>
    </row>
    <row r="739" spans="18:18" ht="15.75" customHeight="1">
      <c r="R739" s="30"/>
    </row>
    <row r="740" spans="18:18" ht="15.75" customHeight="1">
      <c r="R740" s="30"/>
    </row>
    <row r="741" spans="18:18" ht="15.75" customHeight="1">
      <c r="R741" s="30"/>
    </row>
    <row r="742" spans="18:18" ht="15.75" customHeight="1">
      <c r="R742" s="30"/>
    </row>
    <row r="743" spans="18:18" ht="15.75" customHeight="1">
      <c r="R743" s="30"/>
    </row>
    <row r="744" spans="18:18" ht="15.75" customHeight="1">
      <c r="R744" s="30"/>
    </row>
    <row r="745" spans="18:18" ht="15.75" customHeight="1">
      <c r="R745" s="30"/>
    </row>
    <row r="746" spans="18:18" ht="15.75" customHeight="1">
      <c r="R746" s="30"/>
    </row>
    <row r="747" spans="18:18" ht="15.75" customHeight="1">
      <c r="R747" s="30"/>
    </row>
    <row r="748" spans="18:18" ht="15.75" customHeight="1">
      <c r="R748" s="30"/>
    </row>
    <row r="749" spans="18:18" ht="15.75" customHeight="1">
      <c r="R749" s="30"/>
    </row>
    <row r="750" spans="18:18" ht="15.75" customHeight="1">
      <c r="R750" s="30"/>
    </row>
    <row r="751" spans="18:18" ht="15.75" customHeight="1">
      <c r="R751" s="30"/>
    </row>
    <row r="752" spans="18:18" ht="15.75" customHeight="1">
      <c r="R752" s="30"/>
    </row>
    <row r="753" spans="18:18" ht="15.75" customHeight="1">
      <c r="R753" s="30"/>
    </row>
    <row r="754" spans="18:18" ht="15.75" customHeight="1">
      <c r="R754" s="30"/>
    </row>
    <row r="755" spans="18:18" ht="15.75" customHeight="1">
      <c r="R755" s="30"/>
    </row>
    <row r="756" spans="18:18" ht="15.75" customHeight="1">
      <c r="R756" s="30"/>
    </row>
    <row r="757" spans="18:18" ht="15.75" customHeight="1">
      <c r="R757" s="30"/>
    </row>
    <row r="758" spans="18:18" ht="15.75" customHeight="1">
      <c r="R758" s="30"/>
    </row>
    <row r="759" spans="18:18" ht="15.75" customHeight="1">
      <c r="R759" s="30"/>
    </row>
    <row r="760" spans="18:18" ht="15.75" customHeight="1">
      <c r="R760" s="30"/>
    </row>
    <row r="761" spans="18:18" ht="15.75" customHeight="1">
      <c r="R761" s="30"/>
    </row>
    <row r="762" spans="18:18" ht="15.75" customHeight="1">
      <c r="R762" s="30"/>
    </row>
    <row r="763" spans="18:18" ht="15.75" customHeight="1">
      <c r="R763" s="30"/>
    </row>
    <row r="764" spans="18:18" ht="15.75" customHeight="1">
      <c r="R764" s="30"/>
    </row>
    <row r="765" spans="18:18" ht="15.75" customHeight="1">
      <c r="R765" s="30"/>
    </row>
    <row r="766" spans="18:18" ht="15.75" customHeight="1">
      <c r="R766" s="30"/>
    </row>
    <row r="767" spans="18:18" ht="15.75" customHeight="1">
      <c r="R767" s="30"/>
    </row>
    <row r="768" spans="18:18" ht="15.75" customHeight="1">
      <c r="R768" s="30"/>
    </row>
    <row r="769" spans="18:18" ht="15.75" customHeight="1">
      <c r="R769" s="30"/>
    </row>
    <row r="770" spans="18:18" ht="15.75" customHeight="1">
      <c r="R770" s="30"/>
    </row>
    <row r="771" spans="18:18" ht="15.75" customHeight="1">
      <c r="R771" s="30"/>
    </row>
    <row r="772" spans="18:18" ht="15.75" customHeight="1">
      <c r="R772" s="30"/>
    </row>
    <row r="773" spans="18:18" ht="15.75" customHeight="1">
      <c r="R773" s="30"/>
    </row>
    <row r="774" spans="18:18" ht="15.75" customHeight="1">
      <c r="R774" s="30"/>
    </row>
    <row r="775" spans="18:18" ht="15.75" customHeight="1">
      <c r="R775" s="30"/>
    </row>
    <row r="776" spans="18:18" ht="15.75" customHeight="1">
      <c r="R776" s="30"/>
    </row>
    <row r="777" spans="18:18" ht="15.75" customHeight="1">
      <c r="R777" s="30"/>
    </row>
    <row r="778" spans="18:18" ht="15.75" customHeight="1">
      <c r="R778" s="30"/>
    </row>
    <row r="779" spans="18:18" ht="15.75" customHeight="1">
      <c r="R779" s="30"/>
    </row>
    <row r="780" spans="18:18" ht="15.75" customHeight="1">
      <c r="R780" s="30"/>
    </row>
    <row r="781" spans="18:18" ht="15.75" customHeight="1">
      <c r="R781" s="30"/>
    </row>
    <row r="782" spans="18:18" ht="15.75" customHeight="1">
      <c r="R782" s="30"/>
    </row>
    <row r="783" spans="18:18" ht="15.75" customHeight="1">
      <c r="R783" s="30"/>
    </row>
    <row r="784" spans="18:18" ht="15.75" customHeight="1">
      <c r="R784" s="30"/>
    </row>
    <row r="785" spans="18:18" ht="15.75" customHeight="1">
      <c r="R785" s="30"/>
    </row>
    <row r="786" spans="18:18" ht="15.75" customHeight="1">
      <c r="R786" s="30"/>
    </row>
    <row r="787" spans="18:18" ht="15.75" customHeight="1">
      <c r="R787" s="30"/>
    </row>
    <row r="788" spans="18:18" ht="15.75" customHeight="1">
      <c r="R788" s="30"/>
    </row>
    <row r="789" spans="18:18" ht="15.75" customHeight="1">
      <c r="R789" s="30"/>
    </row>
    <row r="790" spans="18:18" ht="15.75" customHeight="1">
      <c r="R790" s="30"/>
    </row>
    <row r="791" spans="18:18" ht="15.75" customHeight="1">
      <c r="R791" s="30"/>
    </row>
    <row r="792" spans="18:18" ht="15.75" customHeight="1">
      <c r="R792" s="30"/>
    </row>
    <row r="793" spans="18:18" ht="15.75" customHeight="1">
      <c r="R793" s="30"/>
    </row>
    <row r="794" spans="18:18" ht="15.75" customHeight="1">
      <c r="R794" s="30"/>
    </row>
    <row r="795" spans="18:18" ht="15.75" customHeight="1">
      <c r="R795" s="30"/>
    </row>
    <row r="796" spans="18:18" ht="15.75" customHeight="1">
      <c r="R796" s="30"/>
    </row>
    <row r="797" spans="18:18" ht="15.75" customHeight="1">
      <c r="R797" s="30"/>
    </row>
    <row r="798" spans="18:18" ht="15.75" customHeight="1">
      <c r="R798" s="30"/>
    </row>
    <row r="799" spans="18:18" ht="15.75" customHeight="1">
      <c r="R799" s="30"/>
    </row>
    <row r="800" spans="18:18" ht="15.75" customHeight="1">
      <c r="R800" s="30"/>
    </row>
    <row r="801" spans="18:18" ht="15.75" customHeight="1">
      <c r="R801" s="30"/>
    </row>
    <row r="802" spans="18:18" ht="15.75" customHeight="1">
      <c r="R802" s="30"/>
    </row>
    <row r="803" spans="18:18" ht="15.75" customHeight="1">
      <c r="R803" s="30"/>
    </row>
    <row r="804" spans="18:18" ht="15.75" customHeight="1">
      <c r="R804" s="30"/>
    </row>
    <row r="805" spans="18:18" ht="15.75" customHeight="1">
      <c r="R805" s="30"/>
    </row>
    <row r="806" spans="18:18" ht="15.75" customHeight="1">
      <c r="R806" s="30"/>
    </row>
    <row r="807" spans="18:18" ht="15.75" customHeight="1">
      <c r="R807" s="30"/>
    </row>
    <row r="808" spans="18:18" ht="15.75" customHeight="1">
      <c r="R808" s="30"/>
    </row>
    <row r="809" spans="18:18" ht="15.75" customHeight="1">
      <c r="R809" s="30"/>
    </row>
    <row r="810" spans="18:18" ht="15.75" customHeight="1">
      <c r="R810" s="30"/>
    </row>
    <row r="811" spans="18:18" ht="15.75" customHeight="1">
      <c r="R811" s="30"/>
    </row>
    <row r="812" spans="18:18" ht="15.75" customHeight="1">
      <c r="R812" s="30"/>
    </row>
    <row r="813" spans="18:18" ht="15.75" customHeight="1">
      <c r="R813" s="30"/>
    </row>
    <row r="814" spans="18:18" ht="15.75" customHeight="1">
      <c r="R814" s="30"/>
    </row>
    <row r="815" spans="18:18" ht="15.75" customHeight="1">
      <c r="R815" s="30"/>
    </row>
    <row r="816" spans="18:18" ht="15.75" customHeight="1">
      <c r="R816" s="30"/>
    </row>
    <row r="817" spans="18:18" ht="15.75" customHeight="1">
      <c r="R817" s="30"/>
    </row>
    <row r="818" spans="18:18" ht="15.75" customHeight="1">
      <c r="R818" s="30"/>
    </row>
    <row r="819" spans="18:18" ht="15.75" customHeight="1">
      <c r="R819" s="30"/>
    </row>
    <row r="820" spans="18:18" ht="15.75" customHeight="1">
      <c r="R820" s="30"/>
    </row>
    <row r="821" spans="18:18" ht="15.75" customHeight="1">
      <c r="R821" s="30"/>
    </row>
    <row r="822" spans="18:18" ht="15.75" customHeight="1">
      <c r="R822" s="30"/>
    </row>
    <row r="823" spans="18:18" ht="15.75" customHeight="1">
      <c r="R823" s="30"/>
    </row>
    <row r="824" spans="18:18" ht="15.75" customHeight="1">
      <c r="R824" s="30"/>
    </row>
    <row r="825" spans="18:18" ht="15.75" customHeight="1">
      <c r="R825" s="30"/>
    </row>
    <row r="826" spans="18:18" ht="15.75" customHeight="1">
      <c r="R826" s="30"/>
    </row>
    <row r="827" spans="18:18" ht="15.75" customHeight="1">
      <c r="R827" s="30"/>
    </row>
    <row r="828" spans="18:18" ht="15.75" customHeight="1">
      <c r="R828" s="30"/>
    </row>
    <row r="829" spans="18:18" ht="15.75" customHeight="1">
      <c r="R829" s="30"/>
    </row>
    <row r="830" spans="18:18" ht="15.75" customHeight="1">
      <c r="R830" s="30"/>
    </row>
    <row r="831" spans="18:18" ht="15.75" customHeight="1">
      <c r="R831" s="30"/>
    </row>
    <row r="832" spans="18:18" ht="15.75" customHeight="1">
      <c r="R832" s="30"/>
    </row>
    <row r="833" spans="18:18" ht="15.75" customHeight="1">
      <c r="R833" s="30"/>
    </row>
    <row r="834" spans="18:18" ht="15.75" customHeight="1">
      <c r="R834" s="30"/>
    </row>
    <row r="835" spans="18:18" ht="15.75" customHeight="1">
      <c r="R835" s="30"/>
    </row>
    <row r="836" spans="18:18" ht="15.75" customHeight="1">
      <c r="R836" s="30"/>
    </row>
    <row r="837" spans="18:18" ht="15.75" customHeight="1">
      <c r="R837" s="30"/>
    </row>
    <row r="838" spans="18:18" ht="15.75" customHeight="1">
      <c r="R838" s="30"/>
    </row>
    <row r="839" spans="18:18" ht="15.75" customHeight="1">
      <c r="R839" s="30"/>
    </row>
    <row r="840" spans="18:18" ht="15.75" customHeight="1">
      <c r="R840" s="30"/>
    </row>
    <row r="841" spans="18:18" ht="15.75" customHeight="1">
      <c r="R841" s="30"/>
    </row>
    <row r="842" spans="18:18" ht="15.75" customHeight="1">
      <c r="R842" s="30"/>
    </row>
    <row r="843" spans="18:18" ht="15.75" customHeight="1">
      <c r="R843" s="30"/>
    </row>
    <row r="844" spans="18:18" ht="15.75" customHeight="1">
      <c r="R844" s="30"/>
    </row>
    <row r="845" spans="18:18" ht="15.75" customHeight="1">
      <c r="R845" s="30"/>
    </row>
    <row r="846" spans="18:18" ht="15.75" customHeight="1">
      <c r="R846" s="30"/>
    </row>
    <row r="847" spans="18:18" ht="15.75" customHeight="1">
      <c r="R847" s="30"/>
    </row>
    <row r="848" spans="18:18" ht="15.75" customHeight="1">
      <c r="R848" s="30"/>
    </row>
    <row r="849" spans="18:18" ht="15.75" customHeight="1">
      <c r="R849" s="30"/>
    </row>
    <row r="850" spans="18:18" ht="15.75" customHeight="1">
      <c r="R850" s="30"/>
    </row>
    <row r="851" spans="18:18" ht="15.75" customHeight="1">
      <c r="R851" s="30"/>
    </row>
    <row r="852" spans="18:18" ht="15.75" customHeight="1">
      <c r="R852" s="30"/>
    </row>
    <row r="853" spans="18:18" ht="15.75" customHeight="1">
      <c r="R853" s="30"/>
    </row>
    <row r="854" spans="18:18" ht="15.75" customHeight="1">
      <c r="R854" s="30"/>
    </row>
    <row r="855" spans="18:18" ht="15.75" customHeight="1">
      <c r="R855" s="30"/>
    </row>
    <row r="856" spans="18:18" ht="15.75" customHeight="1">
      <c r="R856" s="30"/>
    </row>
    <row r="857" spans="18:18" ht="15.75" customHeight="1">
      <c r="R857" s="30"/>
    </row>
    <row r="858" spans="18:18" ht="15.75" customHeight="1">
      <c r="R858" s="30"/>
    </row>
    <row r="859" spans="18:18" ht="15.75" customHeight="1">
      <c r="R859" s="30"/>
    </row>
    <row r="860" spans="18:18" ht="15.75" customHeight="1">
      <c r="R860" s="30"/>
    </row>
    <row r="861" spans="18:18" ht="15.75" customHeight="1">
      <c r="R861" s="30"/>
    </row>
    <row r="862" spans="18:18" ht="15.75" customHeight="1">
      <c r="R862" s="30"/>
    </row>
    <row r="863" spans="18:18" ht="15.75" customHeight="1">
      <c r="R863" s="30"/>
    </row>
    <row r="864" spans="18:18" ht="15.75" customHeight="1">
      <c r="R864" s="30"/>
    </row>
    <row r="865" spans="18:18" ht="15.75" customHeight="1">
      <c r="R865" s="30"/>
    </row>
    <row r="866" spans="18:18" ht="15.75" customHeight="1">
      <c r="R866" s="30"/>
    </row>
    <row r="867" spans="18:18" ht="15.75" customHeight="1">
      <c r="R867" s="30"/>
    </row>
    <row r="868" spans="18:18" ht="15.75" customHeight="1">
      <c r="R868" s="30"/>
    </row>
    <row r="869" spans="18:18" ht="15.75" customHeight="1">
      <c r="R869" s="30"/>
    </row>
    <row r="870" spans="18:18" ht="15.75" customHeight="1">
      <c r="R870" s="30"/>
    </row>
    <row r="871" spans="18:18" ht="15.75" customHeight="1">
      <c r="R871" s="30"/>
    </row>
    <row r="872" spans="18:18" ht="15.75" customHeight="1">
      <c r="R872" s="30"/>
    </row>
    <row r="873" spans="18:18" ht="15.75" customHeight="1">
      <c r="R873" s="30"/>
    </row>
    <row r="874" spans="18:18" ht="15.75" customHeight="1">
      <c r="R874" s="30"/>
    </row>
    <row r="875" spans="18:18" ht="15.75" customHeight="1">
      <c r="R875" s="30"/>
    </row>
    <row r="876" spans="18:18" ht="15.75" customHeight="1">
      <c r="R876" s="30"/>
    </row>
    <row r="877" spans="18:18" ht="15.75" customHeight="1">
      <c r="R877" s="30"/>
    </row>
    <row r="878" spans="18:18" ht="15.75" customHeight="1">
      <c r="R878" s="30"/>
    </row>
    <row r="879" spans="18:18" ht="15.75" customHeight="1">
      <c r="R879" s="30"/>
    </row>
    <row r="880" spans="18:18" ht="15.75" customHeight="1">
      <c r="R880" s="30"/>
    </row>
    <row r="881" spans="18:18" ht="15.75" customHeight="1">
      <c r="R881" s="30"/>
    </row>
    <row r="882" spans="18:18" ht="15.75" customHeight="1">
      <c r="R882" s="30"/>
    </row>
    <row r="883" spans="18:18" ht="15.75" customHeight="1">
      <c r="R883" s="30"/>
    </row>
    <row r="884" spans="18:18" ht="15.75" customHeight="1">
      <c r="R884" s="30"/>
    </row>
    <row r="885" spans="18:18" ht="15.75" customHeight="1">
      <c r="R885" s="30"/>
    </row>
    <row r="886" spans="18:18" ht="15.75" customHeight="1">
      <c r="R886" s="30"/>
    </row>
    <row r="887" spans="18:18" ht="15.75" customHeight="1">
      <c r="R887" s="30"/>
    </row>
    <row r="888" spans="18:18" ht="15.75" customHeight="1">
      <c r="R888" s="30"/>
    </row>
    <row r="889" spans="18:18" ht="15.75" customHeight="1">
      <c r="R889" s="30"/>
    </row>
    <row r="890" spans="18:18" ht="15.75" customHeight="1">
      <c r="R890" s="30"/>
    </row>
    <row r="891" spans="18:18" ht="15.75" customHeight="1">
      <c r="R891" s="30"/>
    </row>
    <row r="892" spans="18:18" ht="15.75" customHeight="1">
      <c r="R892" s="30"/>
    </row>
    <row r="893" spans="18:18" ht="15.75" customHeight="1">
      <c r="R893" s="30"/>
    </row>
    <row r="894" spans="18:18" ht="15.75" customHeight="1">
      <c r="R894" s="30"/>
    </row>
    <row r="895" spans="18:18" ht="15.75" customHeight="1">
      <c r="R895" s="30"/>
    </row>
    <row r="896" spans="18:18" ht="15.75" customHeight="1">
      <c r="R896" s="30"/>
    </row>
    <row r="897" spans="18:18" ht="15.75" customHeight="1">
      <c r="R897" s="30"/>
    </row>
    <row r="898" spans="18:18" ht="15.75" customHeight="1">
      <c r="R898" s="30"/>
    </row>
    <row r="899" spans="18:18" ht="15.75" customHeight="1">
      <c r="R899" s="30"/>
    </row>
    <row r="900" spans="18:18" ht="15.75" customHeight="1">
      <c r="R900" s="30"/>
    </row>
    <row r="901" spans="18:18" ht="15.75" customHeight="1">
      <c r="R901" s="30"/>
    </row>
    <row r="902" spans="18:18" ht="15.75" customHeight="1">
      <c r="R902" s="30"/>
    </row>
    <row r="903" spans="18:18" ht="15.75" customHeight="1">
      <c r="R903" s="30"/>
    </row>
    <row r="904" spans="18:18" ht="15.75" customHeight="1">
      <c r="R904" s="30"/>
    </row>
    <row r="905" spans="18:18" ht="15.75" customHeight="1">
      <c r="R905" s="30"/>
    </row>
    <row r="906" spans="18:18" ht="15.75" customHeight="1">
      <c r="R906" s="30"/>
    </row>
    <row r="907" spans="18:18" ht="15.75" customHeight="1">
      <c r="R907" s="30"/>
    </row>
    <row r="908" spans="18:18" ht="15.75" customHeight="1">
      <c r="R908" s="30"/>
    </row>
    <row r="909" spans="18:18" ht="15.75" customHeight="1">
      <c r="R909" s="30"/>
    </row>
    <row r="910" spans="18:18" ht="15.75" customHeight="1">
      <c r="R910" s="30"/>
    </row>
    <row r="911" spans="18:18" ht="15.75" customHeight="1">
      <c r="R911" s="30"/>
    </row>
    <row r="912" spans="18:18" ht="15.75" customHeight="1">
      <c r="R912" s="30"/>
    </row>
    <row r="913" spans="18:18" ht="15.75" customHeight="1">
      <c r="R913" s="30"/>
    </row>
    <row r="914" spans="18:18" ht="15.75" customHeight="1">
      <c r="R914" s="30"/>
    </row>
    <row r="915" spans="18:18" ht="15.75" customHeight="1">
      <c r="R915" s="30"/>
    </row>
    <row r="916" spans="18:18" ht="15.75" customHeight="1">
      <c r="R916" s="30"/>
    </row>
    <row r="917" spans="18:18" ht="15.75" customHeight="1">
      <c r="R917" s="30"/>
    </row>
    <row r="918" spans="18:18" ht="15.75" customHeight="1">
      <c r="R918" s="30"/>
    </row>
    <row r="919" spans="18:18" ht="15.75" customHeight="1">
      <c r="R919" s="30"/>
    </row>
    <row r="920" spans="18:18" ht="15.75" customHeight="1">
      <c r="R920" s="30"/>
    </row>
    <row r="921" spans="18:18" ht="15.75" customHeight="1">
      <c r="R921" s="30"/>
    </row>
    <row r="922" spans="18:18" ht="15.75" customHeight="1">
      <c r="R922" s="30"/>
    </row>
    <row r="923" spans="18:18" ht="15.75" customHeight="1">
      <c r="R923" s="30"/>
    </row>
    <row r="924" spans="18:18" ht="15.75" customHeight="1">
      <c r="R924" s="30"/>
    </row>
    <row r="925" spans="18:18" ht="15.75" customHeight="1">
      <c r="R925" s="30"/>
    </row>
    <row r="926" spans="18:18" ht="15.75" customHeight="1">
      <c r="R926" s="30"/>
    </row>
    <row r="927" spans="18:18" ht="15.75" customHeight="1">
      <c r="R927" s="30"/>
    </row>
    <row r="928" spans="18:18" ht="15.75" customHeight="1">
      <c r="R928" s="30"/>
    </row>
    <row r="929" spans="18:18" ht="15.75" customHeight="1">
      <c r="R929" s="30"/>
    </row>
    <row r="930" spans="18:18" ht="15.75" customHeight="1">
      <c r="R930" s="30"/>
    </row>
    <row r="931" spans="18:18" ht="15.75" customHeight="1">
      <c r="R931" s="30"/>
    </row>
    <row r="932" spans="18:18" ht="15.75" customHeight="1">
      <c r="R932" s="30"/>
    </row>
    <row r="933" spans="18:18" ht="15.75" customHeight="1">
      <c r="R933" s="30"/>
    </row>
    <row r="934" spans="18:18" ht="15.75" customHeight="1">
      <c r="R934" s="30"/>
    </row>
    <row r="935" spans="18:18" ht="15.75" customHeight="1">
      <c r="R935" s="30"/>
    </row>
    <row r="936" spans="18:18" ht="15.75" customHeight="1">
      <c r="R936" s="30"/>
    </row>
    <row r="937" spans="18:18" ht="15.75" customHeight="1">
      <c r="R937" s="30"/>
    </row>
    <row r="938" spans="18:18" ht="15.75" customHeight="1">
      <c r="R938" s="30"/>
    </row>
    <row r="939" spans="18:18" ht="15.75" customHeight="1">
      <c r="R939" s="30"/>
    </row>
    <row r="940" spans="18:18" ht="15.75" customHeight="1">
      <c r="R940" s="30"/>
    </row>
    <row r="941" spans="18:18" ht="15.75" customHeight="1">
      <c r="R941" s="30"/>
    </row>
    <row r="942" spans="18:18" ht="15.75" customHeight="1">
      <c r="R942" s="30"/>
    </row>
    <row r="943" spans="18:18" ht="15.75" customHeight="1">
      <c r="R943" s="30"/>
    </row>
    <row r="944" spans="18:18" ht="15.75" customHeight="1">
      <c r="R944" s="30"/>
    </row>
    <row r="945" spans="18:18" ht="15.75" customHeight="1">
      <c r="R945" s="30"/>
    </row>
    <row r="946" spans="18:18" ht="15.75" customHeight="1">
      <c r="R946" s="30"/>
    </row>
    <row r="947" spans="18:18" ht="15.75" customHeight="1">
      <c r="R947" s="30"/>
    </row>
    <row r="948" spans="18:18" ht="15.75" customHeight="1">
      <c r="R948" s="30"/>
    </row>
    <row r="949" spans="18:18" ht="15.75" customHeight="1">
      <c r="R949" s="30"/>
    </row>
    <row r="950" spans="18:18" ht="15.75" customHeight="1">
      <c r="R950" s="30"/>
    </row>
    <row r="951" spans="18:18" ht="15.75" customHeight="1">
      <c r="R951" s="30"/>
    </row>
    <row r="952" spans="18:18" ht="15.75" customHeight="1">
      <c r="R952" s="30"/>
    </row>
    <row r="953" spans="18:18" ht="15.75" customHeight="1">
      <c r="R953" s="30"/>
    </row>
    <row r="954" spans="18:18" ht="15.75" customHeight="1">
      <c r="R954" s="30"/>
    </row>
    <row r="955" spans="18:18" ht="15.75" customHeight="1">
      <c r="R955" s="30"/>
    </row>
    <row r="956" spans="18:18" ht="15.75" customHeight="1">
      <c r="R956" s="30"/>
    </row>
    <row r="957" spans="18:18" ht="15.75" customHeight="1">
      <c r="R957" s="30"/>
    </row>
    <row r="958" spans="18:18" ht="15.75" customHeight="1">
      <c r="R958" s="30"/>
    </row>
    <row r="959" spans="18:18" ht="15.75" customHeight="1">
      <c r="R959" s="30"/>
    </row>
    <row r="960" spans="18:18" ht="15.75" customHeight="1">
      <c r="R960" s="30"/>
    </row>
    <row r="961" spans="18:18" ht="15.75" customHeight="1">
      <c r="R961" s="30"/>
    </row>
    <row r="962" spans="18:18" ht="15.75" customHeight="1">
      <c r="R962" s="30"/>
    </row>
    <row r="963" spans="18:18" ht="15.75" customHeight="1">
      <c r="R963" s="30"/>
    </row>
    <row r="964" spans="18:18" ht="15.75" customHeight="1">
      <c r="R964" s="30"/>
    </row>
    <row r="965" spans="18:18" ht="15.75" customHeight="1">
      <c r="R965" s="30"/>
    </row>
    <row r="966" spans="18:18" ht="15.75" customHeight="1">
      <c r="R966" s="30"/>
    </row>
    <row r="967" spans="18:18" ht="15.75" customHeight="1">
      <c r="R967" s="30"/>
    </row>
    <row r="968" spans="18:18" ht="15.75" customHeight="1">
      <c r="R968" s="30"/>
    </row>
    <row r="969" spans="18:18" ht="15.75" customHeight="1">
      <c r="R969" s="30"/>
    </row>
    <row r="970" spans="18:18" ht="15.75" customHeight="1">
      <c r="R970" s="30"/>
    </row>
    <row r="971" spans="18:18" ht="15.75" customHeight="1">
      <c r="R971" s="30"/>
    </row>
    <row r="972" spans="18:18" ht="15.75" customHeight="1">
      <c r="R972" s="30"/>
    </row>
    <row r="973" spans="18:18" ht="15.75" customHeight="1">
      <c r="R973" s="30"/>
    </row>
    <row r="974" spans="18:18" ht="15.75" customHeight="1">
      <c r="R974" s="30"/>
    </row>
    <row r="975" spans="18:18" ht="15.75" customHeight="1">
      <c r="R975" s="30"/>
    </row>
    <row r="976" spans="18:18" ht="15.75" customHeight="1">
      <c r="R976" s="30"/>
    </row>
    <row r="977" spans="18:18" ht="15.75" customHeight="1">
      <c r="R977" s="30"/>
    </row>
    <row r="978" spans="18:18" ht="15.75" customHeight="1">
      <c r="R978" s="30"/>
    </row>
    <row r="979" spans="18:18" ht="15.75" customHeight="1">
      <c r="R979" s="30"/>
    </row>
    <row r="980" spans="18:18" ht="15.75" customHeight="1">
      <c r="R980" s="30"/>
    </row>
    <row r="981" spans="18:18" ht="15.75" customHeight="1">
      <c r="R981" s="30"/>
    </row>
    <row r="982" spans="18:18" ht="15.75" customHeight="1">
      <c r="R982" s="30"/>
    </row>
    <row r="983" spans="18:18" ht="15.75" customHeight="1">
      <c r="R983" s="30"/>
    </row>
    <row r="984" spans="18:18" ht="15.75" customHeight="1">
      <c r="R984" s="30"/>
    </row>
    <row r="985" spans="18:18" ht="15.75" customHeight="1">
      <c r="R985" s="30"/>
    </row>
    <row r="986" spans="18:18" ht="15.75" customHeight="1">
      <c r="R986" s="30"/>
    </row>
    <row r="987" spans="18:18" ht="15.75" customHeight="1">
      <c r="R987" s="30"/>
    </row>
    <row r="988" spans="18:18" ht="15.75" customHeight="1">
      <c r="R988" s="30"/>
    </row>
    <row r="989" spans="18:18" ht="15.75" customHeight="1">
      <c r="R989" s="30"/>
    </row>
    <row r="990" spans="18:18" ht="15.75" customHeight="1">
      <c r="R990" s="30"/>
    </row>
    <row r="991" spans="18:18" ht="15.75" customHeight="1">
      <c r="R991" s="30"/>
    </row>
    <row r="992" spans="18:18" ht="15.75" customHeight="1">
      <c r="R992" s="30"/>
    </row>
    <row r="993" spans="18:18" ht="15.75" customHeight="1">
      <c r="R993" s="30"/>
    </row>
    <row r="994" spans="18:18" ht="15.75" customHeight="1">
      <c r="R994" s="30"/>
    </row>
    <row r="995" spans="18:18" ht="15.75" customHeight="1">
      <c r="R995" s="30"/>
    </row>
    <row r="996" spans="18:18" ht="15.75" customHeight="1">
      <c r="R996" s="30"/>
    </row>
    <row r="997" spans="18:18" ht="15.75" customHeight="1">
      <c r="R997" s="30"/>
    </row>
    <row r="998" spans="18:18" ht="15.75" customHeight="1">
      <c r="R998" s="30"/>
    </row>
    <row r="999" spans="18:18" ht="15.75" customHeight="1">
      <c r="R999" s="30"/>
    </row>
    <row r="1000" spans="18:18" ht="15.75" customHeight="1">
      <c r="R1000" s="3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2.6640625" defaultRowHeight="15" customHeight="1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8.6640625" customWidth="1"/>
    <col min="6" max="6" width="9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16.33203125" customWidth="1"/>
    <col min="16" max="16" width="10" customWidth="1"/>
    <col min="17" max="18" width="7.33203125" customWidth="1"/>
    <col min="19" max="19" width="7.1640625" customWidth="1"/>
    <col min="20" max="20" width="11.1640625" customWidth="1"/>
    <col min="21" max="21" width="21.6640625" customWidth="1"/>
    <col min="22" max="22" width="73.164062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6640625" customWidth="1"/>
    <col min="32" max="32" width="10.1640625" customWidth="1"/>
    <col min="33" max="33" width="8.83203125" customWidth="1"/>
  </cols>
  <sheetData>
    <row r="1" spans="1:33" ht="18.75" customHeight="1">
      <c r="A1" s="46" t="str">
        <f ca="1">IFERROR(__xludf.DUMMYFUNCTION("IFERROR(VLOOKUP(B2,IMPORTRANGE(""https://docs.google.com/spreadsheets/d/1x0DhHglkXKoEBOD2MBsuK_EyIr1ouxD2ftIpqOYFa-k/edit?usp=sharing"",""Ubiquitty-SKU-Specific Info!B1:BJ5000""),3,FALSE),"""")"),"15 Foot Lighted Outdoor Extension Cord - 12/3 SJTW Heavy Duty Yellow Extension Cable with 3 Prong Grounded Plug for Safety - Great for Garden and Major Appliances")</f>
        <v>15 Foot Lighted Outdoor Extension Cord - 12/3 SJTW Heavy Duty Yellow Extension Cable with 3 Prong Grounded Plug for Safety - Great for Garden and Major Appliances</v>
      </c>
      <c r="B1" s="47"/>
      <c r="C1" s="48" t="s">
        <v>0</v>
      </c>
      <c r="D1" s="50" t="s">
        <v>1</v>
      </c>
      <c r="E1" s="50" t="s">
        <v>2</v>
      </c>
      <c r="F1" s="52" t="s">
        <v>3</v>
      </c>
      <c r="G1" s="52" t="s">
        <v>4</v>
      </c>
      <c r="H1" s="53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58" t="s">
        <v>10</v>
      </c>
      <c r="N1" s="59" t="s">
        <v>11</v>
      </c>
      <c r="O1" s="50" t="s">
        <v>12</v>
      </c>
      <c r="P1" s="50" t="s">
        <v>13</v>
      </c>
      <c r="Q1" s="57" t="s">
        <v>14</v>
      </c>
      <c r="R1" s="57" t="s">
        <v>15</v>
      </c>
      <c r="S1" s="60" t="s">
        <v>16</v>
      </c>
      <c r="T1" s="62" t="s">
        <v>2006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Info!B1:BJ5000""),2,FALSE),"""")"),"B0868WXSNG")</f>
        <v>B0868WXSNG</v>
      </c>
      <c r="B2" s="3" t="s">
        <v>1316</v>
      </c>
      <c r="C2" s="49"/>
      <c r="D2" s="49"/>
      <c r="E2" s="51"/>
      <c r="F2" s="49"/>
      <c r="G2" s="49"/>
      <c r="H2" s="54"/>
      <c r="I2" s="49"/>
      <c r="J2" s="49"/>
      <c r="K2" s="54"/>
      <c r="L2" s="54"/>
      <c r="M2" s="54"/>
      <c r="N2" s="49"/>
      <c r="O2" s="49"/>
      <c r="P2" s="51"/>
      <c r="Q2" s="49"/>
      <c r="R2" s="49"/>
      <c r="S2" s="61"/>
      <c r="T2" s="47"/>
      <c r="U2" s="63"/>
      <c r="V2" s="63"/>
      <c r="W2" s="47"/>
      <c r="X2" s="47"/>
      <c r="Y2" s="47"/>
      <c r="Z2" s="47"/>
      <c r="AA2" s="63"/>
      <c r="AB2" s="63"/>
      <c r="AC2" s="63"/>
      <c r="AD2" s="63"/>
      <c r="AE2" s="47"/>
      <c r="AF2" s="47"/>
      <c r="AG2" s="47"/>
    </row>
    <row r="3" spans="1:33" ht="160.5" customHeight="1">
      <c r="A3" s="55" t="s">
        <v>31</v>
      </c>
      <c r="B3" s="56"/>
      <c r="C3" s="4">
        <f>((AE32+AF32)/0.85)*-1</f>
        <v>14.160783080941178</v>
      </c>
      <c r="D3" s="5">
        <f>SUM(D4:D99765)</f>
        <v>3246</v>
      </c>
      <c r="E3" s="5"/>
      <c r="F3" s="6">
        <f t="shared" ref="F3:G3" si="0">SUM(F4:F99765)</f>
        <v>66284.559999999969</v>
      </c>
      <c r="G3" s="6">
        <f t="shared" si="0"/>
        <v>-549.58999999999992</v>
      </c>
      <c r="H3" s="7">
        <f t="shared" ref="H3:H32" si="1">G3/F3*-1</f>
        <v>8.2913728325269137E-3</v>
      </c>
      <c r="I3" s="8">
        <f t="shared" ref="I3:I32" si="2">J3/F3</f>
        <v>0.28655440808415489</v>
      </c>
      <c r="J3" s="6">
        <f>SUM(J4:J99765)</f>
        <v>18994.13285591864</v>
      </c>
      <c r="K3" s="6">
        <f t="shared" ref="K3:K32" si="3">J3/D3</f>
        <v>5.8515504793341471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Sheet!a1:g5000""),2,FALSE),"""")"),"28 - March
28 - April
28 - May
28 - June
28 - July
25 - Aug
25 - Sept
21 - Oct
21 - Nov
21 - Dec
25 - Jan
28 - Feb")</f>
        <v>28 - March
28 - April
28 - May
28 - June
28 - July
25 - Aug
25 - Sept
21 - Oct
21 - Nov
21 - Dec
25 - Jan
28 -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QTY-0")</f>
        <v>Del QTY-0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QTY-190")</f>
        <v>US QTY-190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183</v>
      </c>
      <c r="X3" s="7">
        <f>W3/D3</f>
        <v>5.6377079482439925E-2</v>
      </c>
      <c r="Y3" s="6"/>
      <c r="Z3" s="5"/>
      <c r="AA3" s="5"/>
      <c r="AB3" s="5"/>
      <c r="AC3" s="5"/>
      <c r="AD3" s="6">
        <f>SUM(AD4:AD99765)</f>
        <v>-242.10540847120626</v>
      </c>
      <c r="AE3" s="6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Info!B2:BZ3000""),37,FALSE)),"""")*-1"),-6.3566656188)</f>
        <v>-6.3566656188000001</v>
      </c>
      <c r="AG3" s="6">
        <f>SUM(AG4:AG99765)</f>
        <v>0</v>
      </c>
    </row>
    <row r="4" spans="1:33" ht="15.75" customHeight="1">
      <c r="A4" s="14" t="s">
        <v>181</v>
      </c>
      <c r="B4" s="14" t="s">
        <v>1317</v>
      </c>
      <c r="C4" s="15">
        <f t="shared" ref="C4:C32" si="4">IFERROR(F4/D4," - ")</f>
        <v>21.456350364963491</v>
      </c>
      <c r="D4" s="16">
        <v>137</v>
      </c>
      <c r="E4" s="16">
        <v>2</v>
      </c>
      <c r="F4" s="17">
        <v>2939.5199999999982</v>
      </c>
      <c r="G4" s="17">
        <v>0</v>
      </c>
      <c r="H4" s="18">
        <f t="shared" si="1"/>
        <v>0</v>
      </c>
      <c r="I4" s="18">
        <f t="shared" si="2"/>
        <v>0.35011558619328764</v>
      </c>
      <c r="J4" s="17">
        <f t="shared" ref="J4:J32" si="5">F4*0.85+G4+AF4*D4+D4*AE4+AG4+AD4</f>
        <v>1029.1717679268922</v>
      </c>
      <c r="K4" s="17">
        <f t="shared" si="3"/>
        <v>7.5122026855977539</v>
      </c>
      <c r="L4" s="16">
        <v>211</v>
      </c>
      <c r="M4" s="19">
        <f t="shared" ref="M4:M32" si="6">IFERROR(D4/L4,"-")</f>
        <v>0.64928909952606639</v>
      </c>
      <c r="N4" s="16">
        <v>346</v>
      </c>
      <c r="O4" s="20">
        <f t="shared" ref="O4:P4" si="7">D4/7</f>
        <v>19.571428571428573</v>
      </c>
      <c r="P4" s="20">
        <f t="shared" si="7"/>
        <v>0.2857142857142857</v>
      </c>
      <c r="Q4" s="16">
        <f t="shared" ref="Q4:Q32" si="8">ROUNDDOWN(N4/(O4+P4),0)</f>
        <v>17</v>
      </c>
      <c r="R4" s="16"/>
      <c r="S4" s="21">
        <v>2.9707241910631699</v>
      </c>
      <c r="T4" s="14" t="s">
        <v>34</v>
      </c>
      <c r="U4" s="22" t="s">
        <v>34</v>
      </c>
      <c r="V4" s="23" t="s">
        <v>34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26" t="s">
        <v>35</v>
      </c>
      <c r="AB4" s="27">
        <f t="shared" ref="AB4:AB32" si="11">IF(OR(AA4="UsLargeStandardSize",AA4="UsSmallStandardSize"),-0.69,-0.48)</f>
        <v>-0.69</v>
      </c>
      <c r="AC4" s="28">
        <v>5.5756458333333342E-2</v>
      </c>
      <c r="AD4" s="25">
        <f t="shared" ref="AD4:AD32" si="12">IFERROR(AB4*AC4*D4*2,0)</f>
        <v>-10.541316012500001</v>
      </c>
      <c r="AE4" s="25">
        <v>-5.42</v>
      </c>
      <c r="AF4" s="25">
        <v>-5.2287512121212121</v>
      </c>
      <c r="AG4" s="25">
        <v>0</v>
      </c>
    </row>
    <row r="5" spans="1:33" ht="15.75" customHeight="1">
      <c r="A5" s="14" t="s">
        <v>183</v>
      </c>
      <c r="B5" s="14" t="s">
        <v>1318</v>
      </c>
      <c r="C5" s="15">
        <f t="shared" si="4"/>
        <v>23.992661290322584</v>
      </c>
      <c r="D5" s="16">
        <v>124</v>
      </c>
      <c r="E5" s="16">
        <v>0</v>
      </c>
      <c r="F5" s="29">
        <v>2975.0900000000006</v>
      </c>
      <c r="G5" s="29">
        <v>0</v>
      </c>
      <c r="H5" s="18">
        <f t="shared" si="1"/>
        <v>0</v>
      </c>
      <c r="I5" s="18">
        <f t="shared" si="2"/>
        <v>0.40295562449361932</v>
      </c>
      <c r="J5" s="17">
        <f t="shared" si="5"/>
        <v>1198.8292488747222</v>
      </c>
      <c r="K5" s="17">
        <f t="shared" si="3"/>
        <v>9.667977813505825</v>
      </c>
      <c r="L5" s="16">
        <v>271</v>
      </c>
      <c r="M5" s="19">
        <f t="shared" si="6"/>
        <v>0.45756457564575648</v>
      </c>
      <c r="N5" s="16">
        <v>522</v>
      </c>
      <c r="O5" s="20">
        <f t="shared" ref="O5:P5" si="13">D5/7</f>
        <v>17.714285714285715</v>
      </c>
      <c r="P5" s="20">
        <f t="shared" si="13"/>
        <v>0</v>
      </c>
      <c r="Q5" s="16">
        <f t="shared" si="8"/>
        <v>29</v>
      </c>
      <c r="R5" s="16"/>
      <c r="S5" s="21">
        <v>3.9534467323187101</v>
      </c>
      <c r="T5" s="14" t="s">
        <v>34</v>
      </c>
      <c r="U5" s="22" t="s">
        <v>34</v>
      </c>
      <c r="V5" s="23" t="s">
        <v>34</v>
      </c>
      <c r="W5" s="14">
        <v>0</v>
      </c>
      <c r="X5" s="24">
        <f t="shared" si="9"/>
        <v>0</v>
      </c>
      <c r="Y5" s="25">
        <f t="shared" si="10"/>
        <v>0</v>
      </c>
      <c r="Z5" s="14">
        <v>0</v>
      </c>
      <c r="AA5" s="14" t="s">
        <v>35</v>
      </c>
      <c r="AB5" s="27">
        <f t="shared" si="11"/>
        <v>-0.69</v>
      </c>
      <c r="AC5" s="28">
        <v>5.5821066048667448E-2</v>
      </c>
      <c r="AD5" s="25">
        <f t="shared" si="12"/>
        <v>-9.5521008222479722</v>
      </c>
      <c r="AE5" s="25">
        <v>-5.42</v>
      </c>
      <c r="AF5" s="25">
        <v>-5.2287512121212121</v>
      </c>
      <c r="AG5" s="25">
        <v>0</v>
      </c>
    </row>
    <row r="6" spans="1:33" ht="15.75" customHeight="1">
      <c r="A6" s="14" t="s">
        <v>185</v>
      </c>
      <c r="B6" s="14" t="s">
        <v>1319</v>
      </c>
      <c r="C6" s="15">
        <f t="shared" si="4"/>
        <v>26.536481481481491</v>
      </c>
      <c r="D6" s="16">
        <v>54</v>
      </c>
      <c r="E6" s="16">
        <v>1</v>
      </c>
      <c r="F6" s="29">
        <v>1432.9700000000005</v>
      </c>
      <c r="G6" s="29">
        <v>0</v>
      </c>
      <c r="H6" s="18">
        <f t="shared" si="1"/>
        <v>0</v>
      </c>
      <c r="I6" s="18">
        <f t="shared" si="2"/>
        <v>0.44577711603903419</v>
      </c>
      <c r="J6" s="17">
        <f t="shared" si="5"/>
        <v>638.78523397045501</v>
      </c>
      <c r="K6" s="17">
        <f t="shared" si="3"/>
        <v>11.829356184638057</v>
      </c>
      <c r="L6" s="16">
        <v>209</v>
      </c>
      <c r="M6" s="19">
        <f t="shared" si="6"/>
        <v>0.25837320574162681</v>
      </c>
      <c r="N6" s="16">
        <v>443</v>
      </c>
      <c r="O6" s="20">
        <f t="shared" ref="O6:P6" si="14">D6/7</f>
        <v>7.7142857142857144</v>
      </c>
      <c r="P6" s="20">
        <f t="shared" si="14"/>
        <v>0.14285714285714285</v>
      </c>
      <c r="Q6" s="16">
        <f t="shared" si="8"/>
        <v>56</v>
      </c>
      <c r="R6" s="16"/>
      <c r="S6" s="21">
        <v>3.06786171574903</v>
      </c>
      <c r="T6" s="14">
        <v>4200</v>
      </c>
      <c r="U6" s="22">
        <v>600</v>
      </c>
      <c r="V6" s="23" t="s">
        <v>1320</v>
      </c>
      <c r="W6" s="14">
        <v>0</v>
      </c>
      <c r="X6" s="24">
        <f t="shared" si="9"/>
        <v>0</v>
      </c>
      <c r="Y6" s="25">
        <f t="shared" si="10"/>
        <v>0</v>
      </c>
      <c r="Z6" s="14">
        <v>0</v>
      </c>
      <c r="AA6" s="14" t="s">
        <v>35</v>
      </c>
      <c r="AB6" s="27">
        <f t="shared" si="11"/>
        <v>-0.69</v>
      </c>
      <c r="AC6" s="28">
        <v>5.6450624999999997E-2</v>
      </c>
      <c r="AD6" s="25">
        <f t="shared" si="12"/>
        <v>-4.2067005749999993</v>
      </c>
      <c r="AE6" s="25">
        <v>-5.42</v>
      </c>
      <c r="AF6" s="25">
        <v>-5.2287512121212121</v>
      </c>
      <c r="AG6" s="25">
        <v>0</v>
      </c>
    </row>
    <row r="7" spans="1:33" ht="15.75" customHeight="1">
      <c r="A7" s="14" t="s">
        <v>187</v>
      </c>
      <c r="B7" s="14" t="s">
        <v>1321</v>
      </c>
      <c r="C7" s="15">
        <f t="shared" si="4"/>
        <v>25.106741573033688</v>
      </c>
      <c r="D7" s="16">
        <v>89</v>
      </c>
      <c r="E7" s="16">
        <v>0</v>
      </c>
      <c r="F7" s="29">
        <v>2234.4999999999982</v>
      </c>
      <c r="G7" s="29">
        <v>0</v>
      </c>
      <c r="H7" s="18">
        <f t="shared" si="1"/>
        <v>0</v>
      </c>
      <c r="I7" s="18">
        <f t="shared" si="2"/>
        <v>0.42275805610145956</v>
      </c>
      <c r="J7" s="17">
        <f t="shared" si="5"/>
        <v>944.65287635871061</v>
      </c>
      <c r="K7" s="17">
        <f t="shared" si="3"/>
        <v>10.614077262457423</v>
      </c>
      <c r="L7" s="16">
        <v>216</v>
      </c>
      <c r="M7" s="19">
        <f t="shared" si="6"/>
        <v>0.41203703703703703</v>
      </c>
      <c r="N7" s="16">
        <v>394</v>
      </c>
      <c r="O7" s="20">
        <f t="shared" ref="O7:P7" si="15">D7/7</f>
        <v>12.714285714285714</v>
      </c>
      <c r="P7" s="20">
        <f t="shared" si="15"/>
        <v>0</v>
      </c>
      <c r="Q7" s="16">
        <f t="shared" si="8"/>
        <v>30</v>
      </c>
      <c r="R7" s="16"/>
      <c r="S7" s="21">
        <v>2.52442671984047</v>
      </c>
      <c r="T7" s="14">
        <v>4400</v>
      </c>
      <c r="U7" s="22">
        <v>600</v>
      </c>
      <c r="V7" s="23" t="s">
        <v>1322</v>
      </c>
      <c r="W7" s="14">
        <v>0</v>
      </c>
      <c r="X7" s="24">
        <f t="shared" si="9"/>
        <v>0</v>
      </c>
      <c r="Y7" s="25">
        <f t="shared" si="10"/>
        <v>0</v>
      </c>
      <c r="Z7" s="14">
        <v>0</v>
      </c>
      <c r="AA7" s="14" t="s">
        <v>35</v>
      </c>
      <c r="AB7" s="27">
        <f t="shared" si="11"/>
        <v>-0.69</v>
      </c>
      <c r="AC7" s="28">
        <v>5.6450624999999997E-2</v>
      </c>
      <c r="AD7" s="25">
        <f t="shared" si="12"/>
        <v>-6.9332657624999987</v>
      </c>
      <c r="AE7" s="25">
        <v>-5.42</v>
      </c>
      <c r="AF7" s="25">
        <v>-5.2287512121212121</v>
      </c>
      <c r="AG7" s="25">
        <v>0</v>
      </c>
    </row>
    <row r="8" spans="1:33" ht="15.75" customHeight="1">
      <c r="A8" s="14" t="s">
        <v>189</v>
      </c>
      <c r="B8" s="14" t="s">
        <v>1323</v>
      </c>
      <c r="C8" s="15">
        <f t="shared" si="4"/>
        <v>20.09340425531914</v>
      </c>
      <c r="D8" s="16">
        <v>141</v>
      </c>
      <c r="E8" s="16">
        <v>0</v>
      </c>
      <c r="F8" s="29">
        <v>2833.1699999999987</v>
      </c>
      <c r="G8" s="29">
        <v>0</v>
      </c>
      <c r="H8" s="18">
        <f t="shared" si="1"/>
        <v>0</v>
      </c>
      <c r="I8" s="18">
        <f t="shared" si="2"/>
        <v>0.31609834121761105</v>
      </c>
      <c r="J8" s="17">
        <f t="shared" si="5"/>
        <v>895.56033738749863</v>
      </c>
      <c r="K8" s="17">
        <f t="shared" si="3"/>
        <v>6.351491754521267</v>
      </c>
      <c r="L8" s="16">
        <v>232</v>
      </c>
      <c r="M8" s="19">
        <f t="shared" si="6"/>
        <v>0.60775862068965514</v>
      </c>
      <c r="N8" s="16">
        <v>860</v>
      </c>
      <c r="O8" s="20">
        <f t="shared" ref="O8:P8" si="16">D8/7</f>
        <v>20.142857142857142</v>
      </c>
      <c r="P8" s="20">
        <f t="shared" si="16"/>
        <v>0</v>
      </c>
      <c r="Q8" s="16">
        <f t="shared" si="8"/>
        <v>42</v>
      </c>
      <c r="R8" s="16"/>
      <c r="S8" s="21">
        <v>2.5632131446827899</v>
      </c>
      <c r="T8" s="14">
        <v>6000</v>
      </c>
      <c r="U8" s="22">
        <v>600</v>
      </c>
      <c r="V8" s="23" t="s">
        <v>1324</v>
      </c>
      <c r="W8" s="14">
        <v>0</v>
      </c>
      <c r="X8" s="24">
        <f t="shared" si="9"/>
        <v>0</v>
      </c>
      <c r="Y8" s="25">
        <f t="shared" si="10"/>
        <v>0</v>
      </c>
      <c r="Z8" s="14">
        <v>0</v>
      </c>
      <c r="AA8" s="14" t="s">
        <v>35</v>
      </c>
      <c r="AB8" s="27">
        <f t="shared" si="11"/>
        <v>-0.69</v>
      </c>
      <c r="AC8" s="28">
        <v>5.6450624999999997E-2</v>
      </c>
      <c r="AD8" s="25">
        <f t="shared" si="12"/>
        <v>-10.984162612499999</v>
      </c>
      <c r="AE8" s="25">
        <v>-5.42</v>
      </c>
      <c r="AF8" s="25">
        <v>-5.23</v>
      </c>
      <c r="AG8" s="25">
        <v>0</v>
      </c>
    </row>
    <row r="9" spans="1:33" ht="15.75" customHeight="1">
      <c r="A9" s="14" t="s">
        <v>191</v>
      </c>
      <c r="B9" s="14" t="s">
        <v>260</v>
      </c>
      <c r="C9" s="15">
        <f t="shared" si="4"/>
        <v>18.501979695431473</v>
      </c>
      <c r="D9" s="16">
        <v>197</v>
      </c>
      <c r="E9" s="16">
        <v>3</v>
      </c>
      <c r="F9" s="29">
        <v>3644.8900000000003</v>
      </c>
      <c r="G9" s="29">
        <v>-37.32</v>
      </c>
      <c r="H9" s="18">
        <f t="shared" si="1"/>
        <v>1.0238992123219081E-2</v>
      </c>
      <c r="I9" s="18">
        <f t="shared" si="2"/>
        <v>0.25730566031869689</v>
      </c>
      <c r="J9" s="17">
        <f t="shared" si="5"/>
        <v>937.8508282390153</v>
      </c>
      <c r="K9" s="17">
        <f t="shared" si="3"/>
        <v>4.7606641027361185</v>
      </c>
      <c r="L9" s="16">
        <v>370</v>
      </c>
      <c r="M9" s="19">
        <f t="shared" si="6"/>
        <v>0.53243243243243243</v>
      </c>
      <c r="N9" s="16">
        <v>685</v>
      </c>
      <c r="O9" s="20">
        <f t="shared" ref="O9:P9" si="17">D9/7</f>
        <v>28.142857142857142</v>
      </c>
      <c r="P9" s="20">
        <f t="shared" si="17"/>
        <v>0.42857142857142855</v>
      </c>
      <c r="Q9" s="16">
        <f t="shared" si="8"/>
        <v>23</v>
      </c>
      <c r="R9" s="16"/>
      <c r="S9" s="21">
        <v>3.2474393530997299</v>
      </c>
      <c r="T9" s="14">
        <v>6000</v>
      </c>
      <c r="U9" s="22">
        <v>600</v>
      </c>
      <c r="V9" s="23" t="s">
        <v>1325</v>
      </c>
      <c r="W9" s="14">
        <v>11</v>
      </c>
      <c r="X9" s="24">
        <f t="shared" si="9"/>
        <v>5.5837563451776651E-2</v>
      </c>
      <c r="Y9" s="25">
        <f t="shared" si="10"/>
        <v>1.8660000000000001</v>
      </c>
      <c r="Z9" s="14">
        <v>9</v>
      </c>
      <c r="AA9" s="14" t="s">
        <v>35</v>
      </c>
      <c r="AB9" s="27">
        <f t="shared" si="11"/>
        <v>-0.69</v>
      </c>
      <c r="AC9" s="28">
        <v>5.6450624999999997E-2</v>
      </c>
      <c r="AD9" s="25">
        <f t="shared" si="12"/>
        <v>-15.346666912499998</v>
      </c>
      <c r="AE9" s="25">
        <v>-5.42</v>
      </c>
      <c r="AF9" s="25">
        <v>-5.2786751515151504</v>
      </c>
      <c r="AG9" s="25">
        <v>0</v>
      </c>
    </row>
    <row r="10" spans="1:33" ht="15.75" customHeight="1">
      <c r="A10" s="14" t="s">
        <v>192</v>
      </c>
      <c r="B10" s="14" t="s">
        <v>1326</v>
      </c>
      <c r="C10" s="15">
        <f t="shared" si="4"/>
        <v>20.043681592039789</v>
      </c>
      <c r="D10" s="16">
        <v>201</v>
      </c>
      <c r="E10" s="16">
        <v>9</v>
      </c>
      <c r="F10" s="29">
        <v>4028.7799999999979</v>
      </c>
      <c r="G10" s="29">
        <v>-36.99</v>
      </c>
      <c r="H10" s="18">
        <f t="shared" si="1"/>
        <v>9.1814395424917768E-3</v>
      </c>
      <c r="I10" s="18">
        <f t="shared" si="2"/>
        <v>0.30316399013670492</v>
      </c>
      <c r="J10" s="17">
        <f t="shared" si="5"/>
        <v>1221.3810201829533</v>
      </c>
      <c r="K10" s="17">
        <f t="shared" si="3"/>
        <v>6.0765224884724045</v>
      </c>
      <c r="L10" s="16">
        <v>390</v>
      </c>
      <c r="M10" s="19">
        <f t="shared" si="6"/>
        <v>0.51538461538461533</v>
      </c>
      <c r="N10" s="16">
        <v>467</v>
      </c>
      <c r="O10" s="20">
        <f t="shared" ref="O10:P10" si="18">D10/7</f>
        <v>28.714285714285715</v>
      </c>
      <c r="P10" s="20">
        <f t="shared" si="18"/>
        <v>1.2857142857142858</v>
      </c>
      <c r="Q10" s="16">
        <f t="shared" si="8"/>
        <v>15</v>
      </c>
      <c r="R10" s="16"/>
      <c r="S10" s="21">
        <v>2.9981024667931599</v>
      </c>
      <c r="T10" s="14">
        <v>3100</v>
      </c>
      <c r="U10" s="22">
        <v>2200</v>
      </c>
      <c r="V10" s="23" t="s">
        <v>1327</v>
      </c>
      <c r="W10" s="14">
        <v>13</v>
      </c>
      <c r="X10" s="24">
        <f t="shared" si="9"/>
        <v>6.4676616915422883E-2</v>
      </c>
      <c r="Y10" s="25">
        <f t="shared" si="10"/>
        <v>2.0550000000000002</v>
      </c>
      <c r="Z10" s="14">
        <v>5</v>
      </c>
      <c r="AA10" s="14" t="s">
        <v>35</v>
      </c>
      <c r="AB10" s="27">
        <f t="shared" si="11"/>
        <v>-0.69</v>
      </c>
      <c r="AC10" s="28">
        <v>5.6450624999999997E-2</v>
      </c>
      <c r="AD10" s="25">
        <f t="shared" si="12"/>
        <v>-15.658274362499998</v>
      </c>
      <c r="AE10" s="25">
        <v>-5.42</v>
      </c>
      <c r="AF10" s="25">
        <v>-5.2786751515151504</v>
      </c>
      <c r="AG10" s="25">
        <v>0</v>
      </c>
    </row>
    <row r="11" spans="1:33" ht="15.75" customHeight="1">
      <c r="A11" s="14" t="s">
        <v>193</v>
      </c>
      <c r="B11" s="14" t="s">
        <v>1328</v>
      </c>
      <c r="C11" s="15">
        <f t="shared" si="4"/>
        <v>21.955085714285733</v>
      </c>
      <c r="D11" s="16">
        <v>175</v>
      </c>
      <c r="E11" s="16">
        <v>7</v>
      </c>
      <c r="F11" s="29">
        <v>3842.1400000000035</v>
      </c>
      <c r="G11" s="29">
        <v>-34.99</v>
      </c>
      <c r="H11" s="18">
        <f t="shared" si="1"/>
        <v>9.1069039649778437E-3</v>
      </c>
      <c r="I11" s="18">
        <f t="shared" si="2"/>
        <v>0.35004659448831915</v>
      </c>
      <c r="J11" s="17">
        <f t="shared" si="5"/>
        <v>1344.9280225473517</v>
      </c>
      <c r="K11" s="17">
        <f t="shared" si="3"/>
        <v>7.6853029859848672</v>
      </c>
      <c r="L11" s="16">
        <v>298</v>
      </c>
      <c r="M11" s="19">
        <f t="shared" si="6"/>
        <v>0.58724832214765099</v>
      </c>
      <c r="N11" s="16">
        <v>315</v>
      </c>
      <c r="O11" s="20">
        <f t="shared" ref="O11:P11" si="19">D11/7</f>
        <v>25</v>
      </c>
      <c r="P11" s="20">
        <f t="shared" si="19"/>
        <v>1</v>
      </c>
      <c r="Q11" s="16">
        <f t="shared" si="8"/>
        <v>12</v>
      </c>
      <c r="R11" s="16"/>
      <c r="S11" s="21">
        <v>4.0535931790499298</v>
      </c>
      <c r="T11" s="14">
        <v>3200</v>
      </c>
      <c r="U11" s="22">
        <v>2200</v>
      </c>
      <c r="V11" s="23" t="s">
        <v>1329</v>
      </c>
      <c r="W11" s="14">
        <v>5</v>
      </c>
      <c r="X11" s="24">
        <f t="shared" si="9"/>
        <v>2.8571428571428571E-2</v>
      </c>
      <c r="Y11" s="25">
        <f t="shared" si="10"/>
        <v>3.4990000000000001</v>
      </c>
      <c r="Z11" s="14">
        <v>5</v>
      </c>
      <c r="AA11" s="14" t="s">
        <v>35</v>
      </c>
      <c r="AB11" s="27">
        <f t="shared" si="11"/>
        <v>-0.69</v>
      </c>
      <c r="AC11" s="28">
        <v>5.6450624999999997E-2</v>
      </c>
      <c r="AD11" s="25">
        <f t="shared" si="12"/>
        <v>-13.632825937499998</v>
      </c>
      <c r="AE11" s="25">
        <v>-5.42</v>
      </c>
      <c r="AF11" s="25">
        <v>-5.2786751515151504</v>
      </c>
      <c r="AG11" s="25">
        <v>0</v>
      </c>
    </row>
    <row r="12" spans="1:33" ht="15.75" customHeight="1">
      <c r="A12" s="14" t="s">
        <v>195</v>
      </c>
      <c r="B12" s="14" t="s">
        <v>1330</v>
      </c>
      <c r="C12" s="15">
        <f t="shared" si="4"/>
        <v>23.609379844961246</v>
      </c>
      <c r="D12" s="16">
        <v>129</v>
      </c>
      <c r="E12" s="16">
        <v>8</v>
      </c>
      <c r="F12" s="29">
        <v>3045.6100000000006</v>
      </c>
      <c r="G12" s="29">
        <v>-10.090000000000002</v>
      </c>
      <c r="H12" s="18">
        <f t="shared" si="1"/>
        <v>3.3129652187903241E-3</v>
      </c>
      <c r="I12" s="18">
        <f t="shared" si="2"/>
        <v>0.39023383335096939</v>
      </c>
      <c r="J12" s="17">
        <f t="shared" si="5"/>
        <v>1188.5000651920461</v>
      </c>
      <c r="K12" s="17">
        <f t="shared" si="3"/>
        <v>9.2131787999383423</v>
      </c>
      <c r="L12" s="16">
        <v>255</v>
      </c>
      <c r="M12" s="19">
        <f t="shared" si="6"/>
        <v>0.50588235294117645</v>
      </c>
      <c r="N12" s="16">
        <v>182</v>
      </c>
      <c r="O12" s="20">
        <f t="shared" ref="O12:P12" si="20">D12/7</f>
        <v>18.428571428571427</v>
      </c>
      <c r="P12" s="20">
        <f t="shared" si="20"/>
        <v>1.1428571428571428</v>
      </c>
      <c r="Q12" s="16">
        <f t="shared" si="8"/>
        <v>9</v>
      </c>
      <c r="R12" s="16"/>
      <c r="S12" s="21">
        <v>5.7080900750625503</v>
      </c>
      <c r="T12" s="14">
        <v>3200</v>
      </c>
      <c r="U12" s="22">
        <v>2200</v>
      </c>
      <c r="V12" s="23" t="s">
        <v>1331</v>
      </c>
      <c r="W12" s="14">
        <v>0</v>
      </c>
      <c r="X12" s="24">
        <f t="shared" si="9"/>
        <v>0</v>
      </c>
      <c r="Y12" s="25">
        <f t="shared" si="10"/>
        <v>2.5225000000000004</v>
      </c>
      <c r="Z12" s="14">
        <v>4</v>
      </c>
      <c r="AA12" s="14" t="s">
        <v>35</v>
      </c>
      <c r="AB12" s="27">
        <f t="shared" si="11"/>
        <v>-0.69</v>
      </c>
      <c r="AC12" s="28">
        <v>5.6450624999999997E-2</v>
      </c>
      <c r="AD12" s="25">
        <f t="shared" si="12"/>
        <v>-10.049340262499998</v>
      </c>
      <c r="AE12" s="25">
        <v>-5.42</v>
      </c>
      <c r="AF12" s="25">
        <v>-5.2786751515151504</v>
      </c>
      <c r="AG12" s="25">
        <v>0</v>
      </c>
    </row>
    <row r="13" spans="1:33" ht="15.75" customHeight="1">
      <c r="A13" s="14" t="s">
        <v>197</v>
      </c>
      <c r="B13" s="14" t="s">
        <v>1332</v>
      </c>
      <c r="C13" s="15">
        <f t="shared" si="4"/>
        <v>26.228676470588262</v>
      </c>
      <c r="D13" s="16">
        <v>68</v>
      </c>
      <c r="E13" s="16">
        <v>4</v>
      </c>
      <c r="F13" s="17">
        <v>1783.5500000000018</v>
      </c>
      <c r="G13" s="29">
        <v>-0.08</v>
      </c>
      <c r="H13" s="18">
        <f t="shared" si="1"/>
        <v>4.485436348854808E-5</v>
      </c>
      <c r="I13" s="18">
        <f t="shared" si="2"/>
        <v>0.43808332344583545</v>
      </c>
      <c r="J13" s="17">
        <f t="shared" si="5"/>
        <v>781.34351153182058</v>
      </c>
      <c r="K13" s="17">
        <f t="shared" si="3"/>
        <v>11.49034575782089</v>
      </c>
      <c r="L13" s="16">
        <v>162</v>
      </c>
      <c r="M13" s="19">
        <f t="shared" si="6"/>
        <v>0.41975308641975306</v>
      </c>
      <c r="N13" s="16">
        <v>130</v>
      </c>
      <c r="O13" s="20">
        <f t="shared" ref="O13:P13" si="21">D13/7</f>
        <v>9.7142857142857135</v>
      </c>
      <c r="P13" s="20">
        <f t="shared" si="21"/>
        <v>0.5714285714285714</v>
      </c>
      <c r="Q13" s="16">
        <f t="shared" si="8"/>
        <v>12</v>
      </c>
      <c r="R13" s="16"/>
      <c r="S13" s="21">
        <v>4.0729040097205296</v>
      </c>
      <c r="T13" s="14">
        <v>3200</v>
      </c>
      <c r="U13" s="22">
        <v>2200</v>
      </c>
      <c r="V13" s="23" t="s">
        <v>1331</v>
      </c>
      <c r="W13" s="14">
        <v>0</v>
      </c>
      <c r="X13" s="24">
        <f t="shared" si="9"/>
        <v>0</v>
      </c>
      <c r="Y13" s="25">
        <f t="shared" si="10"/>
        <v>0</v>
      </c>
      <c r="Z13" s="14">
        <v>0</v>
      </c>
      <c r="AA13" s="14" t="s">
        <v>35</v>
      </c>
      <c r="AB13" s="27">
        <f t="shared" si="11"/>
        <v>-0.69</v>
      </c>
      <c r="AC13" s="28">
        <v>5.6450624999999997E-2</v>
      </c>
      <c r="AD13" s="25">
        <f t="shared" si="12"/>
        <v>-5.2973266499999996</v>
      </c>
      <c r="AE13" s="25">
        <v>-5.42</v>
      </c>
      <c r="AF13" s="25">
        <v>-5.3049509090909002</v>
      </c>
      <c r="AG13" s="25">
        <v>0</v>
      </c>
    </row>
    <row r="14" spans="1:33" ht="15.75" customHeight="1">
      <c r="A14" s="14" t="s">
        <v>32</v>
      </c>
      <c r="B14" s="14" t="s">
        <v>1277</v>
      </c>
      <c r="C14" s="15">
        <f t="shared" si="4"/>
        <v>28.418249999999993</v>
      </c>
      <c r="D14" s="16">
        <v>40</v>
      </c>
      <c r="E14" s="16">
        <v>7</v>
      </c>
      <c r="F14" s="17">
        <v>1136.7299999999998</v>
      </c>
      <c r="G14" s="29">
        <v>0</v>
      </c>
      <c r="H14" s="18">
        <f t="shared" si="1"/>
        <v>0</v>
      </c>
      <c r="I14" s="18">
        <f t="shared" si="2"/>
        <v>0.4698621388864232</v>
      </c>
      <c r="J14" s="17">
        <f t="shared" si="5"/>
        <v>534.10638913636376</v>
      </c>
      <c r="K14" s="17">
        <f t="shared" si="3"/>
        <v>13.352659728409094</v>
      </c>
      <c r="L14" s="16">
        <v>156</v>
      </c>
      <c r="M14" s="19">
        <f t="shared" si="6"/>
        <v>0.25641025641025639</v>
      </c>
      <c r="N14" s="16">
        <v>85</v>
      </c>
      <c r="O14" s="20">
        <f t="shared" ref="O14:P14" si="22">D14/7</f>
        <v>5.7142857142857144</v>
      </c>
      <c r="P14" s="20">
        <f t="shared" si="22"/>
        <v>1</v>
      </c>
      <c r="Q14" s="16">
        <f t="shared" si="8"/>
        <v>12</v>
      </c>
      <c r="R14" s="16"/>
      <c r="S14" s="21">
        <v>3.50106157112526</v>
      </c>
      <c r="T14" s="14">
        <v>3100</v>
      </c>
      <c r="U14" s="22">
        <v>2200</v>
      </c>
      <c r="V14" s="23" t="s">
        <v>1331</v>
      </c>
      <c r="W14" s="14">
        <v>0</v>
      </c>
      <c r="X14" s="24">
        <f t="shared" si="9"/>
        <v>0</v>
      </c>
      <c r="Y14" s="25">
        <f t="shared" si="10"/>
        <v>0</v>
      </c>
      <c r="Z14" s="14">
        <v>0</v>
      </c>
      <c r="AA14" s="14" t="s">
        <v>35</v>
      </c>
      <c r="AB14" s="27">
        <f t="shared" si="11"/>
        <v>-0.69</v>
      </c>
      <c r="AC14" s="28">
        <v>5.6450624999999997E-2</v>
      </c>
      <c r="AD14" s="25">
        <f t="shared" si="12"/>
        <v>-3.1160744999999994</v>
      </c>
      <c r="AE14" s="25">
        <v>-5.42</v>
      </c>
      <c r="AF14" s="25">
        <v>-5.3049509090909002</v>
      </c>
      <c r="AG14" s="25">
        <v>0</v>
      </c>
    </row>
    <row r="15" spans="1:33" ht="15.75" customHeight="1">
      <c r="A15" s="14" t="s">
        <v>36</v>
      </c>
      <c r="B15" s="14" t="s">
        <v>1333</v>
      </c>
      <c r="C15" s="15">
        <f t="shared" si="4"/>
        <v>29.990000000000006</v>
      </c>
      <c r="D15" s="16">
        <v>32</v>
      </c>
      <c r="E15" s="16">
        <v>11</v>
      </c>
      <c r="F15" s="17">
        <v>959.68000000000018</v>
      </c>
      <c r="G15" s="29">
        <v>0</v>
      </c>
      <c r="H15" s="18">
        <f t="shared" si="1"/>
        <v>0</v>
      </c>
      <c r="I15" s="18">
        <f t="shared" si="2"/>
        <v>0.48728366998279765</v>
      </c>
      <c r="J15" s="17">
        <f t="shared" si="5"/>
        <v>467.63639240909134</v>
      </c>
      <c r="K15" s="17">
        <f t="shared" si="3"/>
        <v>14.613637262784104</v>
      </c>
      <c r="L15" s="16">
        <v>138</v>
      </c>
      <c r="M15" s="19">
        <f t="shared" si="6"/>
        <v>0.2318840579710145</v>
      </c>
      <c r="N15" s="16">
        <v>46</v>
      </c>
      <c r="O15" s="20">
        <f t="shared" ref="O15:P15" si="23">D15/7</f>
        <v>4.5714285714285712</v>
      </c>
      <c r="P15" s="20">
        <f t="shared" si="23"/>
        <v>1.5714285714285714</v>
      </c>
      <c r="Q15" s="16">
        <f t="shared" si="8"/>
        <v>7</v>
      </c>
      <c r="R15" s="16"/>
      <c r="S15" s="21">
        <v>4.0745980707395502</v>
      </c>
      <c r="T15" s="14">
        <v>3100</v>
      </c>
      <c r="U15" s="22">
        <v>2200</v>
      </c>
      <c r="V15" s="23" t="s">
        <v>1334</v>
      </c>
      <c r="W15" s="14">
        <v>0</v>
      </c>
      <c r="X15" s="24">
        <f t="shared" si="9"/>
        <v>0</v>
      </c>
      <c r="Y15" s="25">
        <f t="shared" si="10"/>
        <v>0</v>
      </c>
      <c r="Z15" s="14">
        <v>0</v>
      </c>
      <c r="AA15" s="14" t="s">
        <v>35</v>
      </c>
      <c r="AB15" s="27">
        <f t="shared" si="11"/>
        <v>-0.69</v>
      </c>
      <c r="AC15" s="28">
        <v>4.5588281250000001E-2</v>
      </c>
      <c r="AD15" s="25">
        <f t="shared" si="12"/>
        <v>-2.0131785</v>
      </c>
      <c r="AE15" s="25">
        <v>-4.9000000000000004</v>
      </c>
      <c r="AF15" s="25">
        <v>-5.9149509090908996</v>
      </c>
      <c r="AG15" s="25">
        <v>0</v>
      </c>
    </row>
    <row r="16" spans="1:33" ht="15.75" customHeight="1">
      <c r="A16" s="14" t="s">
        <v>38</v>
      </c>
      <c r="B16" s="14" t="s">
        <v>45</v>
      </c>
      <c r="C16" s="15">
        <f t="shared" si="4"/>
        <v>32.773793103448284</v>
      </c>
      <c r="D16" s="16">
        <v>29</v>
      </c>
      <c r="E16" s="16">
        <v>9</v>
      </c>
      <c r="F16" s="17">
        <v>950.44000000000017</v>
      </c>
      <c r="G16" s="29">
        <v>0</v>
      </c>
      <c r="H16" s="18">
        <f t="shared" si="1"/>
        <v>0</v>
      </c>
      <c r="I16" s="18">
        <f t="shared" si="2"/>
        <v>0.5104325964651899</v>
      </c>
      <c r="J16" s="17">
        <f t="shared" si="5"/>
        <v>485.13555698437517</v>
      </c>
      <c r="K16" s="17">
        <f t="shared" si="3"/>
        <v>16.728812309806042</v>
      </c>
      <c r="L16" s="16">
        <v>138</v>
      </c>
      <c r="M16" s="19">
        <f t="shared" si="6"/>
        <v>0.21014492753623187</v>
      </c>
      <c r="N16" s="16">
        <v>6</v>
      </c>
      <c r="O16" s="20">
        <f t="shared" ref="O16:P16" si="24">D16/7</f>
        <v>4.1428571428571432</v>
      </c>
      <c r="P16" s="20">
        <f t="shared" si="24"/>
        <v>1.2857142857142858</v>
      </c>
      <c r="Q16" s="16">
        <f t="shared" si="8"/>
        <v>1</v>
      </c>
      <c r="R16" s="16"/>
      <c r="S16" s="21">
        <v>5.1044003451251001</v>
      </c>
      <c r="T16" s="14">
        <v>3100</v>
      </c>
      <c r="U16" s="22">
        <v>2200</v>
      </c>
      <c r="V16" s="23" t="s">
        <v>1335</v>
      </c>
      <c r="W16" s="14">
        <v>0</v>
      </c>
      <c r="X16" s="24">
        <f t="shared" si="9"/>
        <v>0</v>
      </c>
      <c r="Y16" s="25">
        <f t="shared" si="10"/>
        <v>0</v>
      </c>
      <c r="Z16" s="14">
        <v>0</v>
      </c>
      <c r="AA16" s="14" t="s">
        <v>35</v>
      </c>
      <c r="AB16" s="27">
        <f t="shared" si="11"/>
        <v>-0.69</v>
      </c>
      <c r="AC16" s="28">
        <v>4.5588281250000001E-2</v>
      </c>
      <c r="AD16" s="25">
        <f t="shared" si="12"/>
        <v>-1.824443015625</v>
      </c>
      <c r="AE16" s="25">
        <v>-4.9000000000000004</v>
      </c>
      <c r="AF16" s="25">
        <v>-6.1660000000000004</v>
      </c>
      <c r="AG16" s="25">
        <v>0</v>
      </c>
    </row>
    <row r="17" spans="1:33" ht="15.75" customHeight="1">
      <c r="A17" s="14" t="s">
        <v>40</v>
      </c>
      <c r="B17" s="14" t="s">
        <v>1336</v>
      </c>
      <c r="C17" s="15">
        <f t="shared" si="4"/>
        <v>31.669090909090908</v>
      </c>
      <c r="D17" s="16">
        <v>33</v>
      </c>
      <c r="E17" s="16">
        <v>0</v>
      </c>
      <c r="F17" s="17">
        <v>1045.08</v>
      </c>
      <c r="G17" s="29">
        <v>0</v>
      </c>
      <c r="H17" s="18">
        <f t="shared" si="1"/>
        <v>0</v>
      </c>
      <c r="I17" s="18">
        <f t="shared" si="2"/>
        <v>0.49858758149794741</v>
      </c>
      <c r="J17" s="17">
        <f t="shared" si="5"/>
        <v>521.06390967187485</v>
      </c>
      <c r="K17" s="17">
        <f t="shared" si="3"/>
        <v>15.789815444602269</v>
      </c>
      <c r="L17" s="16">
        <v>124</v>
      </c>
      <c r="M17" s="19">
        <f t="shared" si="6"/>
        <v>0.2661290322580645</v>
      </c>
      <c r="N17" s="16">
        <v>388</v>
      </c>
      <c r="O17" s="20">
        <f t="shared" ref="O17:P17" si="25">D17/7</f>
        <v>4.7142857142857144</v>
      </c>
      <c r="P17" s="20">
        <f t="shared" si="25"/>
        <v>0</v>
      </c>
      <c r="Q17" s="16">
        <f t="shared" si="8"/>
        <v>82</v>
      </c>
      <c r="R17" s="16"/>
      <c r="S17" s="21">
        <v>3.03335155822854</v>
      </c>
      <c r="T17" s="14">
        <v>2500</v>
      </c>
      <c r="U17" s="22">
        <v>2200</v>
      </c>
      <c r="V17" s="23" t="s">
        <v>1337</v>
      </c>
      <c r="W17" s="14">
        <v>0</v>
      </c>
      <c r="X17" s="24">
        <f t="shared" si="9"/>
        <v>0</v>
      </c>
      <c r="Y17" s="25">
        <f t="shared" si="10"/>
        <v>0</v>
      </c>
      <c r="Z17" s="14">
        <v>0</v>
      </c>
      <c r="AA17" s="14" t="s">
        <v>35</v>
      </c>
      <c r="AB17" s="27">
        <f t="shared" si="11"/>
        <v>-0.69</v>
      </c>
      <c r="AC17" s="28">
        <v>4.5588281250000001E-2</v>
      </c>
      <c r="AD17" s="25">
        <f t="shared" si="12"/>
        <v>-2.0760903281249998</v>
      </c>
      <c r="AE17" s="25">
        <v>-4.9000000000000004</v>
      </c>
      <c r="AF17" s="25">
        <v>-6.1660000000000004</v>
      </c>
      <c r="AG17" s="25">
        <v>0</v>
      </c>
    </row>
    <row r="18" spans="1:33" ht="15.75" customHeight="1">
      <c r="A18" s="14" t="s">
        <v>42</v>
      </c>
      <c r="B18" s="14" t="s">
        <v>1338</v>
      </c>
      <c r="C18" s="15">
        <f t="shared" si="4"/>
        <v>27.422711864406786</v>
      </c>
      <c r="D18" s="16">
        <v>59</v>
      </c>
      <c r="E18" s="16">
        <v>0</v>
      </c>
      <c r="F18" s="17">
        <v>1617.9400000000003</v>
      </c>
      <c r="G18" s="29">
        <v>0</v>
      </c>
      <c r="H18" s="18">
        <f t="shared" si="1"/>
        <v>0</v>
      </c>
      <c r="I18" s="18">
        <f t="shared" si="2"/>
        <v>0.4441717258616667</v>
      </c>
      <c r="J18" s="17">
        <f t="shared" si="5"/>
        <v>718.64320214062514</v>
      </c>
      <c r="K18" s="17">
        <f t="shared" si="3"/>
        <v>12.180393256620764</v>
      </c>
      <c r="L18" s="16">
        <v>198</v>
      </c>
      <c r="M18" s="19">
        <f t="shared" si="6"/>
        <v>0.29797979797979796</v>
      </c>
      <c r="N18" s="16">
        <v>919</v>
      </c>
      <c r="O18" s="20">
        <f t="shared" ref="O18:P18" si="26">D18/7</f>
        <v>8.4285714285714288</v>
      </c>
      <c r="P18" s="20">
        <f t="shared" si="26"/>
        <v>0</v>
      </c>
      <c r="Q18" s="16">
        <f t="shared" si="8"/>
        <v>109</v>
      </c>
      <c r="R18" s="16"/>
      <c r="S18" s="21">
        <v>2.3854214123006798</v>
      </c>
      <c r="T18" s="14">
        <v>400</v>
      </c>
      <c r="U18" s="22">
        <v>0</v>
      </c>
      <c r="V18" s="23" t="s">
        <v>1339</v>
      </c>
      <c r="W18" s="14">
        <v>0</v>
      </c>
      <c r="X18" s="24">
        <f t="shared" si="9"/>
        <v>0</v>
      </c>
      <c r="Y18" s="25">
        <f t="shared" si="10"/>
        <v>0</v>
      </c>
      <c r="Z18" s="14">
        <v>0</v>
      </c>
      <c r="AA18" s="14" t="s">
        <v>35</v>
      </c>
      <c r="AB18" s="27">
        <f t="shared" si="11"/>
        <v>-0.69</v>
      </c>
      <c r="AC18" s="28">
        <v>4.5588281250000001E-2</v>
      </c>
      <c r="AD18" s="25">
        <f t="shared" si="12"/>
        <v>-3.7117978593749998</v>
      </c>
      <c r="AE18" s="25">
        <v>-4.9000000000000004</v>
      </c>
      <c r="AF18" s="25">
        <v>-6.1660000000000004</v>
      </c>
      <c r="AG18" s="25">
        <v>0</v>
      </c>
    </row>
    <row r="19" spans="1:33" ht="15.75" customHeight="1">
      <c r="A19" s="14" t="s">
        <v>44</v>
      </c>
      <c r="B19" s="14" t="s">
        <v>1340</v>
      </c>
      <c r="C19" s="15">
        <f t="shared" si="4"/>
        <v>20.218267716535408</v>
      </c>
      <c r="D19" s="16">
        <v>127</v>
      </c>
      <c r="E19" s="16">
        <v>0</v>
      </c>
      <c r="F19" s="17">
        <v>2567.7199999999966</v>
      </c>
      <c r="G19" s="29">
        <v>-29.740000000000002</v>
      </c>
      <c r="H19" s="18">
        <f t="shared" si="1"/>
        <v>1.1582259747947611E-2</v>
      </c>
      <c r="I19" s="18">
        <f t="shared" si="2"/>
        <v>0.27385840271841294</v>
      </c>
      <c r="J19" s="17">
        <f t="shared" si="5"/>
        <v>703.1916978281223</v>
      </c>
      <c r="K19" s="17">
        <f t="shared" si="3"/>
        <v>5.5369425025836403</v>
      </c>
      <c r="L19" s="16">
        <v>236</v>
      </c>
      <c r="M19" s="19">
        <f t="shared" si="6"/>
        <v>0.53813559322033899</v>
      </c>
      <c r="N19" s="16">
        <v>1053</v>
      </c>
      <c r="O19" s="20">
        <f t="shared" ref="O19:P19" si="27">D19/7</f>
        <v>18.142857142857142</v>
      </c>
      <c r="P19" s="20">
        <f t="shared" si="27"/>
        <v>0</v>
      </c>
      <c r="Q19" s="16">
        <f t="shared" si="8"/>
        <v>58</v>
      </c>
      <c r="R19" s="16"/>
      <c r="S19" s="21">
        <v>2.45614035087719</v>
      </c>
      <c r="T19" s="14">
        <v>200</v>
      </c>
      <c r="U19" s="22">
        <v>100</v>
      </c>
      <c r="V19" s="23" t="s">
        <v>1341</v>
      </c>
      <c r="W19" s="14">
        <v>10</v>
      </c>
      <c r="X19" s="24">
        <f t="shared" si="9"/>
        <v>7.874015748031496E-2</v>
      </c>
      <c r="Y19" s="25">
        <f t="shared" si="10"/>
        <v>2.1242857142857146</v>
      </c>
      <c r="Z19" s="14">
        <v>4</v>
      </c>
      <c r="AA19" s="14" t="s">
        <v>35</v>
      </c>
      <c r="AB19" s="27">
        <f t="shared" si="11"/>
        <v>-0.69</v>
      </c>
      <c r="AC19" s="28">
        <v>4.5588281250000001E-2</v>
      </c>
      <c r="AD19" s="25">
        <f t="shared" si="12"/>
        <v>-7.9898021718749996</v>
      </c>
      <c r="AE19" s="25">
        <v>-4.9000000000000004</v>
      </c>
      <c r="AF19" s="25">
        <v>-6.4515000000000002</v>
      </c>
      <c r="AG19" s="25">
        <v>0</v>
      </c>
    </row>
    <row r="20" spans="1:33" ht="15.75" customHeight="1">
      <c r="A20" s="14" t="s">
        <v>46</v>
      </c>
      <c r="B20" s="14" t="s">
        <v>1112</v>
      </c>
      <c r="C20" s="15">
        <f t="shared" si="4"/>
        <v>17.823305785123996</v>
      </c>
      <c r="D20" s="16">
        <v>242</v>
      </c>
      <c r="E20" s="16">
        <v>1</v>
      </c>
      <c r="F20" s="17">
        <v>4313.2400000000071</v>
      </c>
      <c r="G20" s="29">
        <v>-51.27000000000001</v>
      </c>
      <c r="H20" s="18">
        <f t="shared" si="1"/>
        <v>1.1886655970917438E-2</v>
      </c>
      <c r="I20" s="18">
        <f t="shared" si="2"/>
        <v>0.19769276404599659</v>
      </c>
      <c r="J20" s="17">
        <f t="shared" si="5"/>
        <v>852.69633759375574</v>
      </c>
      <c r="K20" s="17">
        <f t="shared" si="3"/>
        <v>3.5235385850981644</v>
      </c>
      <c r="L20" s="16">
        <v>302</v>
      </c>
      <c r="M20" s="19">
        <f t="shared" si="6"/>
        <v>0.80132450331125826</v>
      </c>
      <c r="N20" s="16">
        <v>758</v>
      </c>
      <c r="O20" s="20">
        <f t="shared" ref="O20:P20" si="28">D20/7</f>
        <v>34.571428571428569</v>
      </c>
      <c r="P20" s="20">
        <f t="shared" si="28"/>
        <v>0.14285714285714285</v>
      </c>
      <c r="Q20" s="16">
        <f t="shared" si="8"/>
        <v>21</v>
      </c>
      <c r="R20" s="16"/>
      <c r="S20" s="21">
        <v>3.5621890547263599</v>
      </c>
      <c r="T20" s="14">
        <v>100</v>
      </c>
      <c r="U20" s="22">
        <v>100</v>
      </c>
      <c r="V20" s="23" t="s">
        <v>1342</v>
      </c>
      <c r="W20" s="14">
        <v>30</v>
      </c>
      <c r="X20" s="24">
        <f t="shared" si="9"/>
        <v>0.12396694214876033</v>
      </c>
      <c r="Y20" s="25">
        <f t="shared" si="10"/>
        <v>1.3856756756756758</v>
      </c>
      <c r="Z20" s="14">
        <v>7</v>
      </c>
      <c r="AA20" s="14" t="s">
        <v>35</v>
      </c>
      <c r="AB20" s="27">
        <f t="shared" si="11"/>
        <v>-0.69</v>
      </c>
      <c r="AC20" s="28">
        <v>4.5588281250000001E-2</v>
      </c>
      <c r="AD20" s="25">
        <f t="shared" si="12"/>
        <v>-15.224662406249999</v>
      </c>
      <c r="AE20" s="25">
        <v>-4.9000000000000004</v>
      </c>
      <c r="AF20" s="25">
        <v>-6.4515000000000002</v>
      </c>
      <c r="AG20" s="25">
        <v>0</v>
      </c>
    </row>
    <row r="21" spans="1:33" ht="15.75" customHeight="1">
      <c r="A21" s="14" t="s">
        <v>47</v>
      </c>
      <c r="B21" s="14" t="s">
        <v>1343</v>
      </c>
      <c r="C21" s="15">
        <f t="shared" si="4"/>
        <v>17.861832460732941</v>
      </c>
      <c r="D21" s="16">
        <v>191</v>
      </c>
      <c r="E21" s="16">
        <v>1</v>
      </c>
      <c r="F21" s="17">
        <v>3411.6099999999919</v>
      </c>
      <c r="G21" s="29">
        <v>-49.889999999999986</v>
      </c>
      <c r="H21" s="18">
        <f t="shared" si="1"/>
        <v>1.4623594138837705E-2</v>
      </c>
      <c r="I21" s="18">
        <f t="shared" si="2"/>
        <v>0.19633716656596736</v>
      </c>
      <c r="J21" s="17">
        <f t="shared" si="5"/>
        <v>669.82584082811832</v>
      </c>
      <c r="K21" s="17">
        <f t="shared" si="3"/>
        <v>3.5069415750163264</v>
      </c>
      <c r="L21" s="16">
        <v>140</v>
      </c>
      <c r="M21" s="19">
        <f t="shared" si="6"/>
        <v>1.3642857142857143</v>
      </c>
      <c r="N21" s="16">
        <v>555</v>
      </c>
      <c r="O21" s="20">
        <f t="shared" ref="O21:P21" si="29">D21/7</f>
        <v>27.285714285714285</v>
      </c>
      <c r="P21" s="20">
        <f t="shared" si="29"/>
        <v>0.14285714285714285</v>
      </c>
      <c r="Q21" s="16">
        <f t="shared" si="8"/>
        <v>20</v>
      </c>
      <c r="R21" s="16"/>
      <c r="S21" s="21">
        <v>3.0200488997554999</v>
      </c>
      <c r="T21" s="14">
        <v>200</v>
      </c>
      <c r="U21" s="22">
        <v>100</v>
      </c>
      <c r="V21" s="23" t="s">
        <v>1344</v>
      </c>
      <c r="W21" s="14">
        <v>14</v>
      </c>
      <c r="X21" s="24">
        <f t="shared" si="9"/>
        <v>7.3298429319371722E-2</v>
      </c>
      <c r="Y21" s="25">
        <f t="shared" si="10"/>
        <v>1.8477777777777773</v>
      </c>
      <c r="Z21" s="14">
        <v>13</v>
      </c>
      <c r="AA21" s="14" t="s">
        <v>35</v>
      </c>
      <c r="AB21" s="27">
        <f t="shared" si="11"/>
        <v>-0.69</v>
      </c>
      <c r="AC21" s="28">
        <v>4.5588281250000001E-2</v>
      </c>
      <c r="AD21" s="25">
        <f t="shared" si="12"/>
        <v>-12.016159171875</v>
      </c>
      <c r="AE21" s="25">
        <v>-4.9000000000000004</v>
      </c>
      <c r="AF21" s="25">
        <v>-6.4515000000000002</v>
      </c>
      <c r="AG21" s="25">
        <v>0</v>
      </c>
    </row>
    <row r="22" spans="1:33" ht="15.75" customHeight="1">
      <c r="A22" s="14" t="s">
        <v>48</v>
      </c>
      <c r="B22" s="14" t="s">
        <v>68</v>
      </c>
      <c r="C22" s="15">
        <f t="shared" si="4"/>
        <v>18.279722222222194</v>
      </c>
      <c r="D22" s="16">
        <v>216</v>
      </c>
      <c r="E22" s="16">
        <v>1</v>
      </c>
      <c r="F22" s="29">
        <v>3948.4199999999942</v>
      </c>
      <c r="G22" s="29">
        <v>-50.829999999999991</v>
      </c>
      <c r="H22" s="18">
        <f t="shared" si="1"/>
        <v>1.2873503831912528E-2</v>
      </c>
      <c r="I22" s="18">
        <f t="shared" si="2"/>
        <v>0.2126962291562185</v>
      </c>
      <c r="J22" s="17">
        <f t="shared" si="5"/>
        <v>839.814045124995</v>
      </c>
      <c r="K22" s="17">
        <f t="shared" si="3"/>
        <v>3.8880279866897918</v>
      </c>
      <c r="L22" s="16">
        <v>248</v>
      </c>
      <c r="M22" s="19">
        <f t="shared" si="6"/>
        <v>0.87096774193548387</v>
      </c>
      <c r="N22" s="16">
        <v>337</v>
      </c>
      <c r="O22" s="20">
        <f t="shared" ref="O22:P22" si="30">D22/7</f>
        <v>30.857142857142858</v>
      </c>
      <c r="P22" s="20">
        <f t="shared" si="30"/>
        <v>0.14285714285714285</v>
      </c>
      <c r="Q22" s="16">
        <f t="shared" si="8"/>
        <v>10</v>
      </c>
      <c r="R22" s="16"/>
      <c r="S22" s="21">
        <v>2.9016697588126101</v>
      </c>
      <c r="T22" s="14">
        <v>250</v>
      </c>
      <c r="U22" s="22">
        <v>100</v>
      </c>
      <c r="V22" s="23" t="s">
        <v>1345</v>
      </c>
      <c r="W22" s="14">
        <v>13</v>
      </c>
      <c r="X22" s="24">
        <f t="shared" si="9"/>
        <v>6.0185185185185182E-2</v>
      </c>
      <c r="Y22" s="25">
        <f t="shared" si="10"/>
        <v>2.9899999999999993</v>
      </c>
      <c r="Z22" s="14">
        <v>4</v>
      </c>
      <c r="AA22" s="14" t="s">
        <v>35</v>
      </c>
      <c r="AB22" s="27">
        <f t="shared" si="11"/>
        <v>-0.69</v>
      </c>
      <c r="AC22" s="28">
        <v>4.5588281250000001E-2</v>
      </c>
      <c r="AD22" s="25">
        <f t="shared" si="12"/>
        <v>-13.588954875000001</v>
      </c>
      <c r="AE22" s="25">
        <v>-4.9000000000000004</v>
      </c>
      <c r="AF22" s="25">
        <v>-6.4515000000000002</v>
      </c>
      <c r="AG22" s="25">
        <v>0</v>
      </c>
    </row>
    <row r="23" spans="1:33" ht="15.75" customHeight="1">
      <c r="A23" s="14" t="s">
        <v>49</v>
      </c>
      <c r="B23" s="14" t="s">
        <v>68</v>
      </c>
      <c r="C23" s="15">
        <f t="shared" si="4"/>
        <v>17.307126436781576</v>
      </c>
      <c r="D23" s="16">
        <v>174</v>
      </c>
      <c r="E23" s="16">
        <v>6</v>
      </c>
      <c r="F23" s="17">
        <v>3011.4399999999941</v>
      </c>
      <c r="G23" s="29">
        <v>-57.260000000000005</v>
      </c>
      <c r="H23" s="18">
        <f t="shared" si="1"/>
        <v>1.9014159339053781E-2</v>
      </c>
      <c r="I23" s="18">
        <f t="shared" si="2"/>
        <v>0.14034913038280544</v>
      </c>
      <c r="J23" s="17">
        <f t="shared" si="5"/>
        <v>422.65298519999476</v>
      </c>
      <c r="K23" s="17">
        <f t="shared" si="3"/>
        <v>2.4290401448275563</v>
      </c>
      <c r="L23" s="16">
        <v>255</v>
      </c>
      <c r="M23" s="19">
        <f t="shared" si="6"/>
        <v>0.68235294117647061</v>
      </c>
      <c r="N23" s="16">
        <v>187</v>
      </c>
      <c r="O23" s="20">
        <f t="shared" ref="O23:P23" si="31">D23/7</f>
        <v>24.857142857142858</v>
      </c>
      <c r="P23" s="20">
        <f t="shared" si="31"/>
        <v>0.8571428571428571</v>
      </c>
      <c r="Q23" s="16">
        <f t="shared" si="8"/>
        <v>7</v>
      </c>
      <c r="R23" s="16"/>
      <c r="S23" s="21">
        <v>3.3870072182121</v>
      </c>
      <c r="T23" s="14">
        <v>1700</v>
      </c>
      <c r="U23" s="22">
        <v>100</v>
      </c>
      <c r="V23" s="23" t="s">
        <v>1345</v>
      </c>
      <c r="W23" s="14">
        <v>23</v>
      </c>
      <c r="X23" s="24">
        <f t="shared" si="9"/>
        <v>0.13218390804597702</v>
      </c>
      <c r="Y23" s="25">
        <f t="shared" si="10"/>
        <v>2.2904</v>
      </c>
      <c r="Z23" s="14">
        <v>2</v>
      </c>
      <c r="AA23" s="14" t="s">
        <v>35</v>
      </c>
      <c r="AB23" s="27">
        <f t="shared" si="11"/>
        <v>-0.69</v>
      </c>
      <c r="AC23" s="28">
        <v>5.9012222222222216E-2</v>
      </c>
      <c r="AD23" s="25">
        <f t="shared" si="12"/>
        <v>-14.170014799999997</v>
      </c>
      <c r="AE23" s="25">
        <v>-5.42</v>
      </c>
      <c r="AF23" s="25">
        <v>-6.4515000000000002</v>
      </c>
      <c r="AG23" s="25">
        <v>0</v>
      </c>
    </row>
    <row r="24" spans="1:33" ht="15.75" customHeight="1">
      <c r="A24" s="14" t="s">
        <v>50</v>
      </c>
      <c r="B24" s="14" t="s">
        <v>45</v>
      </c>
      <c r="C24" s="15">
        <f t="shared" si="4"/>
        <v>17.149261744966431</v>
      </c>
      <c r="D24" s="16">
        <v>149</v>
      </c>
      <c r="E24" s="16">
        <v>3</v>
      </c>
      <c r="F24" s="17">
        <v>2555.239999999998</v>
      </c>
      <c r="G24" s="17">
        <v>-30.57</v>
      </c>
      <c r="H24" s="18">
        <f t="shared" si="1"/>
        <v>1.1963651163882854E-2</v>
      </c>
      <c r="I24" s="18">
        <f t="shared" si="2"/>
        <v>0.14104209658062064</v>
      </c>
      <c r="J24" s="17">
        <f t="shared" si="5"/>
        <v>360.39640686666479</v>
      </c>
      <c r="K24" s="17">
        <f t="shared" si="3"/>
        <v>2.4187678313198981</v>
      </c>
      <c r="L24" s="16">
        <v>243</v>
      </c>
      <c r="M24" s="19">
        <f t="shared" si="6"/>
        <v>0.61316872427983538</v>
      </c>
      <c r="N24" s="16">
        <v>20</v>
      </c>
      <c r="O24" s="20">
        <f t="shared" ref="O24:P24" si="32">D24/7</f>
        <v>21.285714285714285</v>
      </c>
      <c r="P24" s="20">
        <f t="shared" si="32"/>
        <v>0.42857142857142855</v>
      </c>
      <c r="Q24" s="16">
        <f t="shared" si="8"/>
        <v>0</v>
      </c>
      <c r="R24" s="16"/>
      <c r="S24" s="21">
        <v>4.5248738284066299</v>
      </c>
      <c r="T24" s="14">
        <v>1700</v>
      </c>
      <c r="U24" s="22">
        <v>100</v>
      </c>
      <c r="V24" s="23" t="s">
        <v>1346</v>
      </c>
      <c r="W24" s="14">
        <v>5</v>
      </c>
      <c r="X24" s="24">
        <f t="shared" si="9"/>
        <v>3.3557046979865772E-2</v>
      </c>
      <c r="Y24" s="25">
        <f t="shared" si="10"/>
        <v>3.0569999999999999</v>
      </c>
      <c r="Z24" s="14">
        <v>5</v>
      </c>
      <c r="AA24" s="14" t="s">
        <v>35</v>
      </c>
      <c r="AB24" s="27">
        <f t="shared" si="11"/>
        <v>-0.69</v>
      </c>
      <c r="AC24" s="28">
        <v>5.9012222222222216E-2</v>
      </c>
      <c r="AD24" s="25">
        <f t="shared" si="12"/>
        <v>-12.13409313333333</v>
      </c>
      <c r="AE24" s="25">
        <v>-5.42</v>
      </c>
      <c r="AF24" s="25">
        <v>-6.4515000000000002</v>
      </c>
      <c r="AG24" s="25">
        <v>0</v>
      </c>
    </row>
    <row r="25" spans="1:33" ht="15.75" customHeight="1">
      <c r="A25" s="14" t="s">
        <v>51</v>
      </c>
      <c r="B25" s="14" t="s">
        <v>1112</v>
      </c>
      <c r="C25" s="15">
        <f t="shared" si="4"/>
        <v>16.989999999999998</v>
      </c>
      <c r="D25" s="16">
        <v>116</v>
      </c>
      <c r="E25" s="16">
        <v>8</v>
      </c>
      <c r="F25" s="17">
        <v>1970.84</v>
      </c>
      <c r="G25" s="17">
        <v>-50.599999999999987</v>
      </c>
      <c r="H25" s="18">
        <f t="shared" si="1"/>
        <v>2.5674331757017308E-2</v>
      </c>
      <c r="I25" s="18">
        <f t="shared" si="2"/>
        <v>0.12088618227084219</v>
      </c>
      <c r="J25" s="17">
        <f t="shared" si="5"/>
        <v>238.24732346666661</v>
      </c>
      <c r="K25" s="17">
        <f t="shared" si="3"/>
        <v>2.0538562367816087</v>
      </c>
      <c r="L25" s="16">
        <v>236</v>
      </c>
      <c r="M25" s="19">
        <f t="shared" si="6"/>
        <v>0.49152542372881358</v>
      </c>
      <c r="N25" s="16">
        <v>504</v>
      </c>
      <c r="O25" s="20">
        <f t="shared" ref="O25:P25" si="33">D25/7</f>
        <v>16.571428571428573</v>
      </c>
      <c r="P25" s="20">
        <f t="shared" si="33"/>
        <v>1.1428571428571428</v>
      </c>
      <c r="Q25" s="16">
        <f t="shared" si="8"/>
        <v>28</v>
      </c>
      <c r="R25" s="16"/>
      <c r="S25" s="21">
        <v>4.15625</v>
      </c>
      <c r="T25" s="14">
        <v>2100</v>
      </c>
      <c r="U25" s="22">
        <v>100</v>
      </c>
      <c r="V25" s="23" t="s">
        <v>1347</v>
      </c>
      <c r="W25" s="30">
        <v>18</v>
      </c>
      <c r="X25" s="24">
        <f t="shared" si="9"/>
        <v>0.15517241379310345</v>
      </c>
      <c r="Y25" s="25">
        <f t="shared" si="10"/>
        <v>1.8740740740740736</v>
      </c>
      <c r="Z25" s="30">
        <v>9</v>
      </c>
      <c r="AA25" s="14" t="s">
        <v>35</v>
      </c>
      <c r="AB25" s="27">
        <f t="shared" si="11"/>
        <v>-0.69</v>
      </c>
      <c r="AC25" s="28">
        <v>5.9012222222222216E-2</v>
      </c>
      <c r="AD25" s="25">
        <f t="shared" si="12"/>
        <v>-9.4466765333333313</v>
      </c>
      <c r="AE25" s="25">
        <v>-5.42</v>
      </c>
      <c r="AF25" s="25">
        <v>-6.45</v>
      </c>
      <c r="AG25" s="25">
        <v>0</v>
      </c>
    </row>
    <row r="26" spans="1:33" ht="15.75" customHeight="1">
      <c r="A26" s="14" t="s">
        <v>52</v>
      </c>
      <c r="B26" s="14" t="s">
        <v>1348</v>
      </c>
      <c r="C26" s="15">
        <f t="shared" si="4"/>
        <v>17.544949494949496</v>
      </c>
      <c r="D26" s="16">
        <v>198</v>
      </c>
      <c r="E26" s="16">
        <v>6</v>
      </c>
      <c r="F26" s="17">
        <v>3473.9</v>
      </c>
      <c r="G26" s="17">
        <v>-45.710000000000008</v>
      </c>
      <c r="H26" s="18">
        <f t="shared" si="1"/>
        <v>1.3158121995451799E-2</v>
      </c>
      <c r="I26" s="18">
        <f t="shared" si="2"/>
        <v>0.14074771881746748</v>
      </c>
      <c r="J26" s="17">
        <f t="shared" si="5"/>
        <v>488.94350040000023</v>
      </c>
      <c r="K26" s="17">
        <f t="shared" si="3"/>
        <v>2.4694116181818195</v>
      </c>
      <c r="L26" s="16">
        <v>284</v>
      </c>
      <c r="M26" s="19">
        <f t="shared" si="6"/>
        <v>0.69718309859154926</v>
      </c>
      <c r="N26" s="16">
        <v>336</v>
      </c>
      <c r="O26" s="20">
        <f t="shared" ref="O26:P26" si="34">D26/7</f>
        <v>28.285714285714285</v>
      </c>
      <c r="P26" s="20">
        <f t="shared" si="34"/>
        <v>0.8571428571428571</v>
      </c>
      <c r="Q26" s="16">
        <f t="shared" si="8"/>
        <v>11</v>
      </c>
      <c r="R26" s="16"/>
      <c r="S26" s="21">
        <v>3.1306101865859808</v>
      </c>
      <c r="T26" s="14">
        <v>2100</v>
      </c>
      <c r="U26" s="22">
        <v>100</v>
      </c>
      <c r="V26" s="23" t="s">
        <v>1349</v>
      </c>
      <c r="W26" s="30">
        <v>16</v>
      </c>
      <c r="X26" s="24">
        <f t="shared" si="9"/>
        <v>8.0808080808080815E-2</v>
      </c>
      <c r="Y26" s="25">
        <f t="shared" si="10"/>
        <v>1.9873913043478264</v>
      </c>
      <c r="Z26" s="30">
        <v>7</v>
      </c>
      <c r="AA26" s="14" t="s">
        <v>35</v>
      </c>
      <c r="AB26" s="27">
        <f t="shared" si="11"/>
        <v>-0.69</v>
      </c>
      <c r="AC26" s="28">
        <v>5.9012222222222216E-2</v>
      </c>
      <c r="AD26" s="25">
        <f t="shared" si="12"/>
        <v>-16.124499599999996</v>
      </c>
      <c r="AE26" s="25">
        <v>-5.68</v>
      </c>
      <c r="AF26" s="25">
        <v>-6.4515000000000002</v>
      </c>
      <c r="AG26" s="25">
        <v>0</v>
      </c>
    </row>
    <row r="27" spans="1:33" ht="15.75" customHeight="1">
      <c r="A27" s="14" t="s">
        <v>53</v>
      </c>
      <c r="B27" s="14" t="s">
        <v>1350</v>
      </c>
      <c r="C27" s="15">
        <f t="shared" si="4"/>
        <v>19.654529147982064</v>
      </c>
      <c r="D27" s="16">
        <v>223</v>
      </c>
      <c r="E27" s="16">
        <v>3</v>
      </c>
      <c r="F27" s="17">
        <v>4382.96</v>
      </c>
      <c r="G27" s="17">
        <v>-55.22999999999999</v>
      </c>
      <c r="H27" s="18">
        <f t="shared" si="1"/>
        <v>1.2601073247303189E-2</v>
      </c>
      <c r="I27" s="18">
        <f t="shared" si="2"/>
        <v>0.20951632657686439</v>
      </c>
      <c r="J27" s="17">
        <f t="shared" si="5"/>
        <v>918.30167873333357</v>
      </c>
      <c r="K27" s="17">
        <f t="shared" si="3"/>
        <v>4.1179447476831106</v>
      </c>
      <c r="L27" s="16">
        <v>278</v>
      </c>
      <c r="M27" s="19">
        <f t="shared" si="6"/>
        <v>0.80215827338129497</v>
      </c>
      <c r="N27" s="16">
        <v>99</v>
      </c>
      <c r="O27" s="20">
        <f t="shared" ref="O27:P27" si="35">D27/7</f>
        <v>31.857142857142858</v>
      </c>
      <c r="P27" s="20">
        <f t="shared" si="35"/>
        <v>0.42857142857142855</v>
      </c>
      <c r="Q27" s="16">
        <f t="shared" si="8"/>
        <v>3</v>
      </c>
      <c r="R27" s="16"/>
      <c r="S27" s="21">
        <v>5.0070521861777149</v>
      </c>
      <c r="T27" s="14">
        <v>2100</v>
      </c>
      <c r="U27" s="22">
        <v>100</v>
      </c>
      <c r="V27" s="23" t="s">
        <v>1351</v>
      </c>
      <c r="W27" s="30">
        <v>19</v>
      </c>
      <c r="X27" s="24">
        <f t="shared" si="9"/>
        <v>8.520179372197309E-2</v>
      </c>
      <c r="Y27" s="25">
        <f t="shared" si="10"/>
        <v>2.1242307692307687</v>
      </c>
      <c r="Z27" s="30">
        <v>7</v>
      </c>
      <c r="AA27" s="14" t="s">
        <v>35</v>
      </c>
      <c r="AB27" s="27">
        <f t="shared" si="11"/>
        <v>-0.69</v>
      </c>
      <c r="AC27" s="28">
        <v>5.9012222222222216E-2</v>
      </c>
      <c r="AD27" s="25">
        <f t="shared" si="12"/>
        <v>-18.160421266666663</v>
      </c>
      <c r="AE27" s="25">
        <v>-5.68</v>
      </c>
      <c r="AF27" s="25">
        <v>-6.5792999999999999</v>
      </c>
      <c r="AG27" s="25">
        <v>0</v>
      </c>
    </row>
    <row r="28" spans="1:33" ht="15.75" customHeight="1">
      <c r="A28" s="14" t="s">
        <v>54</v>
      </c>
      <c r="B28" s="14" t="s">
        <v>45</v>
      </c>
      <c r="C28" s="15">
        <f t="shared" si="4"/>
        <v>20.753225806451614</v>
      </c>
      <c r="D28" s="16">
        <v>62</v>
      </c>
      <c r="E28" s="16">
        <v>0</v>
      </c>
      <c r="F28" s="17">
        <v>1286.7</v>
      </c>
      <c r="G28" s="17">
        <v>-9.02</v>
      </c>
      <c r="H28" s="18">
        <f t="shared" si="1"/>
        <v>7.0101810833916216E-3</v>
      </c>
      <c r="I28" s="18">
        <f t="shared" si="2"/>
        <v>0.24834795544156882</v>
      </c>
      <c r="J28" s="17">
        <f t="shared" si="5"/>
        <v>319.54931426666661</v>
      </c>
      <c r="K28" s="17">
        <f t="shared" si="3"/>
        <v>5.1540211978494614</v>
      </c>
      <c r="L28" s="16">
        <v>165</v>
      </c>
      <c r="M28" s="19">
        <f t="shared" si="6"/>
        <v>0.37575757575757573</v>
      </c>
      <c r="N28" s="16">
        <v>12</v>
      </c>
      <c r="O28" s="20">
        <f t="shared" ref="O28:P28" si="36">D28/7</f>
        <v>8.8571428571428577</v>
      </c>
      <c r="P28" s="20">
        <f t="shared" si="36"/>
        <v>0</v>
      </c>
      <c r="Q28" s="16">
        <f t="shared" si="8"/>
        <v>1</v>
      </c>
      <c r="R28" s="16"/>
      <c r="S28" s="21">
        <v>6.1842323651452276</v>
      </c>
      <c r="T28" s="14">
        <v>3600</v>
      </c>
      <c r="U28" s="22">
        <v>44384</v>
      </c>
      <c r="V28" s="23" t="s">
        <v>1352</v>
      </c>
      <c r="W28" s="30">
        <v>6</v>
      </c>
      <c r="X28" s="24">
        <f t="shared" si="9"/>
        <v>9.6774193548387094E-2</v>
      </c>
      <c r="Y28" s="25">
        <f t="shared" si="10"/>
        <v>1.5033333333333332</v>
      </c>
      <c r="Z28" s="30">
        <v>0</v>
      </c>
      <c r="AA28" s="14" t="s">
        <v>35</v>
      </c>
      <c r="AB28" s="27">
        <f t="shared" si="11"/>
        <v>-0.69</v>
      </c>
      <c r="AC28" s="28">
        <v>5.9012222222222216E-2</v>
      </c>
      <c r="AD28" s="25">
        <f t="shared" si="12"/>
        <v>-5.0490857333333325</v>
      </c>
      <c r="AE28" s="25">
        <v>-5.68</v>
      </c>
      <c r="AF28" s="25">
        <v>-6.5792999999999999</v>
      </c>
      <c r="AG28" s="25">
        <v>0</v>
      </c>
    </row>
    <row r="29" spans="1:33" ht="15.75" customHeight="1">
      <c r="A29" s="14" t="s">
        <v>55</v>
      </c>
      <c r="B29" s="14" t="s">
        <v>45</v>
      </c>
      <c r="C29" s="15">
        <f t="shared" si="4"/>
        <v>22.31</v>
      </c>
      <c r="D29" s="16">
        <v>4</v>
      </c>
      <c r="E29" s="16">
        <v>0</v>
      </c>
      <c r="F29" s="17">
        <v>89.24</v>
      </c>
      <c r="G29" s="17">
        <v>0</v>
      </c>
      <c r="H29" s="18">
        <f t="shared" si="1"/>
        <v>0</v>
      </c>
      <c r="I29" s="18">
        <f t="shared" si="2"/>
        <v>0.29685177648289263</v>
      </c>
      <c r="J29" s="17">
        <f t="shared" si="5"/>
        <v>26.491052533333335</v>
      </c>
      <c r="K29" s="17">
        <f t="shared" si="3"/>
        <v>6.6227631333333337</v>
      </c>
      <c r="L29" s="16">
        <v>6</v>
      </c>
      <c r="M29" s="19">
        <f t="shared" si="6"/>
        <v>0.66666666666666663</v>
      </c>
      <c r="N29" s="16">
        <v>11</v>
      </c>
      <c r="O29" s="20">
        <f t="shared" ref="O29:P29" si="37">D29/7</f>
        <v>0.5714285714285714</v>
      </c>
      <c r="P29" s="20">
        <f t="shared" si="37"/>
        <v>0</v>
      </c>
      <c r="Q29" s="16">
        <f t="shared" si="8"/>
        <v>19</v>
      </c>
      <c r="R29" s="16"/>
      <c r="S29" s="21">
        <v>5.390532544378698</v>
      </c>
      <c r="T29" s="14">
        <v>4500</v>
      </c>
      <c r="U29" s="22">
        <v>44386</v>
      </c>
      <c r="V29" s="23" t="s">
        <v>1353</v>
      </c>
      <c r="W29" s="30">
        <v>0</v>
      </c>
      <c r="X29" s="24">
        <f t="shared" si="9"/>
        <v>0</v>
      </c>
      <c r="Y29" s="25">
        <f t="shared" si="10"/>
        <v>0</v>
      </c>
      <c r="Z29" s="30">
        <v>0</v>
      </c>
      <c r="AA29" s="14" t="s">
        <v>35</v>
      </c>
      <c r="AB29" s="27">
        <f t="shared" si="11"/>
        <v>-0.69</v>
      </c>
      <c r="AC29" s="28">
        <v>5.9012222222222216E-2</v>
      </c>
      <c r="AD29" s="25">
        <f t="shared" si="12"/>
        <v>-0.3257474666666666</v>
      </c>
      <c r="AE29" s="25">
        <v>-5.68</v>
      </c>
      <c r="AF29" s="25">
        <v>-6.5792999999999999</v>
      </c>
      <c r="AG29" s="25">
        <v>0</v>
      </c>
    </row>
    <row r="30" spans="1:33" ht="15.75" customHeight="1">
      <c r="A30" s="14" t="s">
        <v>57</v>
      </c>
      <c r="B30" s="14" t="s">
        <v>45</v>
      </c>
      <c r="C30" s="15">
        <f t="shared" si="4"/>
        <v>22.31</v>
      </c>
      <c r="D30" s="16">
        <v>3</v>
      </c>
      <c r="E30" s="16">
        <v>0</v>
      </c>
      <c r="F30" s="17">
        <v>66.929999999999993</v>
      </c>
      <c r="G30" s="17">
        <v>0</v>
      </c>
      <c r="H30" s="18">
        <f t="shared" si="1"/>
        <v>0</v>
      </c>
      <c r="I30" s="18">
        <f t="shared" si="2"/>
        <v>0.30683090607500368</v>
      </c>
      <c r="J30" s="17">
        <f t="shared" si="5"/>
        <v>20.536192543599995</v>
      </c>
      <c r="K30" s="17">
        <f t="shared" si="3"/>
        <v>6.8453975145333317</v>
      </c>
      <c r="L30" s="16">
        <v>26</v>
      </c>
      <c r="M30" s="19">
        <f t="shared" si="6"/>
        <v>0.11538461538461539</v>
      </c>
      <c r="N30" s="16">
        <v>14</v>
      </c>
      <c r="O30" s="20">
        <f t="shared" ref="O30:P30" si="38">D30/7</f>
        <v>0.42857142857142855</v>
      </c>
      <c r="P30" s="20">
        <f t="shared" si="38"/>
        <v>0</v>
      </c>
      <c r="Q30" s="16">
        <f t="shared" si="8"/>
        <v>32</v>
      </c>
      <c r="R30" s="16"/>
      <c r="S30" s="21">
        <v>4.784158415841584</v>
      </c>
      <c r="T30" s="14">
        <v>2000</v>
      </c>
      <c r="U30" s="22">
        <v>100</v>
      </c>
      <c r="V30" s="23" t="s">
        <v>1354</v>
      </c>
      <c r="W30" s="30">
        <v>0</v>
      </c>
      <c r="X30" s="24">
        <f t="shared" si="9"/>
        <v>0</v>
      </c>
      <c r="Y30" s="25">
        <f t="shared" si="10"/>
        <v>0</v>
      </c>
      <c r="Z30" s="30">
        <v>0</v>
      </c>
      <c r="AA30" s="14" t="s">
        <v>35</v>
      </c>
      <c r="AB30" s="27">
        <f t="shared" si="11"/>
        <v>-0.69</v>
      </c>
      <c r="AC30" s="28">
        <v>5.9012222222222216E-2</v>
      </c>
      <c r="AD30" s="25">
        <f t="shared" si="12"/>
        <v>-0.24431059999999993</v>
      </c>
      <c r="AE30" s="25">
        <v>-5.68</v>
      </c>
      <c r="AF30" s="25">
        <v>-6.3566656188000001</v>
      </c>
      <c r="AG30" s="25">
        <v>0</v>
      </c>
    </row>
    <row r="31" spans="1:33" ht="15.75" customHeight="1">
      <c r="A31" s="14" t="s">
        <v>58</v>
      </c>
      <c r="B31" s="14" t="s">
        <v>45</v>
      </c>
      <c r="C31" s="15" t="str">
        <f t="shared" si="4"/>
        <v xml:space="preserve"> - </v>
      </c>
      <c r="D31" s="16">
        <v>0</v>
      </c>
      <c r="E31" s="16">
        <v>0</v>
      </c>
      <c r="F31" s="17">
        <v>0</v>
      </c>
      <c r="G31" s="17">
        <v>0</v>
      </c>
      <c r="H31" s="18" t="e">
        <f t="shared" si="1"/>
        <v>#DIV/0!</v>
      </c>
      <c r="I31" s="18" t="e">
        <f t="shared" si="2"/>
        <v>#DIV/0!</v>
      </c>
      <c r="J31" s="17">
        <f t="shared" si="5"/>
        <v>0</v>
      </c>
      <c r="K31" s="17" t="e">
        <f t="shared" si="3"/>
        <v>#DIV/0!</v>
      </c>
      <c r="L31" s="16">
        <v>0</v>
      </c>
      <c r="M31" s="19" t="str">
        <f t="shared" si="6"/>
        <v>-</v>
      </c>
      <c r="N31" s="16">
        <v>12</v>
      </c>
      <c r="O31" s="20">
        <f t="shared" ref="O31:P31" si="39">D31/7</f>
        <v>0</v>
      </c>
      <c r="P31" s="20">
        <f t="shared" si="39"/>
        <v>0</v>
      </c>
      <c r="Q31" s="16" t="e">
        <f t="shared" si="8"/>
        <v>#DIV/0!</v>
      </c>
      <c r="R31" s="16"/>
      <c r="S31" s="21">
        <v>4.3548387096774102</v>
      </c>
      <c r="T31" s="14">
        <v>550</v>
      </c>
      <c r="U31" s="22" t="s">
        <v>34</v>
      </c>
      <c r="V31" s="23" t="s">
        <v>1355</v>
      </c>
      <c r="W31" s="30">
        <v>0</v>
      </c>
      <c r="X31" s="24">
        <f t="shared" si="9"/>
        <v>0</v>
      </c>
      <c r="Y31" s="25">
        <f t="shared" si="10"/>
        <v>0</v>
      </c>
      <c r="Z31" s="30">
        <v>0</v>
      </c>
      <c r="AA31" s="14" t="s">
        <v>35</v>
      </c>
      <c r="AB31" s="27">
        <f t="shared" si="11"/>
        <v>-0.69</v>
      </c>
      <c r="AC31" s="28">
        <v>5.9012222222222216E-2</v>
      </c>
      <c r="AD31" s="25">
        <f t="shared" si="12"/>
        <v>0</v>
      </c>
      <c r="AE31" s="25">
        <v>-5.68</v>
      </c>
      <c r="AF31" s="25">
        <v>-6.3566656188000001</v>
      </c>
      <c r="AG31" s="25">
        <v>0</v>
      </c>
    </row>
    <row r="32" spans="1:33" ht="15.75" customHeight="1">
      <c r="A32" s="14" t="s">
        <v>60</v>
      </c>
      <c r="B32" s="14"/>
      <c r="C32" s="15">
        <f t="shared" si="4"/>
        <v>22.310000000000002</v>
      </c>
      <c r="D32" s="16">
        <v>33</v>
      </c>
      <c r="E32" s="16">
        <v>1</v>
      </c>
      <c r="F32" s="17">
        <v>736.23</v>
      </c>
      <c r="G32" s="17">
        <v>0</v>
      </c>
      <c r="H32" s="18">
        <f t="shared" si="1"/>
        <v>0</v>
      </c>
      <c r="I32" s="18">
        <f t="shared" si="2"/>
        <v>0.30683090607500363</v>
      </c>
      <c r="J32" s="17">
        <f t="shared" si="5"/>
        <v>225.89811797959993</v>
      </c>
      <c r="K32" s="17">
        <f t="shared" si="3"/>
        <v>6.8453975145333317</v>
      </c>
      <c r="L32" s="16">
        <v>78</v>
      </c>
      <c r="M32" s="19">
        <f t="shared" si="6"/>
        <v>0.42307692307692307</v>
      </c>
      <c r="N32" s="16">
        <v>414</v>
      </c>
      <c r="O32" s="20">
        <f t="shared" ref="O32:P32" si="40">D32/7</f>
        <v>4.7142857142857144</v>
      </c>
      <c r="P32" s="20">
        <f t="shared" si="40"/>
        <v>0.14285714285714285</v>
      </c>
      <c r="Q32" s="16">
        <f t="shared" si="8"/>
        <v>85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3.9333729922665079</v>
      </c>
      <c r="T32" s="14">
        <f ca="1">IFERROR(__xludf.DUMMYFUNCTION("IFERROR(VLOOKUP($B$2,IMPORTRANGE(""https://docs.google.com/spreadsheets/d/1KiWZV1ko8G7lnRucBRBd29jj3Be6ltMfljMDqzOkQmI/edit#gid=1381463014"",""Lookup!A:D""),4,FALSE),"""")"),550)</f>
        <v>550</v>
      </c>
      <c r="U32" s="22">
        <f ca="1">IFERROR(__xludf.DUMMYFUNCTION("IFERROR(VLOOKUP($B$2,IMPORTRANGE(""https://docs.google.com/spreadsheets/d/1KiWZV1ko8G7lnRucBRBd29jj3Be6ltMfljMDqzOkQmI/edit#gid=1381463014"",""Lookup!A:D""),3,FALSE),"""")"),1150)</f>
        <v>1150</v>
      </c>
      <c r="V32" s="23" t="str">
        <f ca="1">IFERROR(__xludf.DUMMYFUNCTION("IFERROR(VLOOKUP($B$2,IMPORTRANGE(""https://docs.google.com/spreadsheets/d/1KiWZV1ko8G7lnRucBRBd29jj3Be6ltMfljMDqzOkQmI/edit#gid=1381463014"",""Lookup!A:D""),2,FALSE),"""")"),"| 408  - 100 units 07/19| 410  - 100 units 07/20| 413  - 50 units 07/26| 418  - 900 units 09/03")</f>
        <v>| 408  - 100 units 07/19| 410  - 100 units 07/20| 413  - 50 units 07/26| 418  - 900 units 09/03</v>
      </c>
      <c r="W32" s="30">
        <v>0</v>
      </c>
      <c r="X32" s="24">
        <f t="shared" si="9"/>
        <v>0</v>
      </c>
      <c r="Y32" s="25">
        <f t="shared" si="10"/>
        <v>0</v>
      </c>
      <c r="Z32" s="30">
        <v>0</v>
      </c>
      <c r="AA32" s="14" t="s">
        <v>35</v>
      </c>
      <c r="AB32" s="27">
        <f t="shared" si="11"/>
        <v>-0.69</v>
      </c>
      <c r="AC32" s="28">
        <v>5.9012222222222216E-2</v>
      </c>
      <c r="AD32" s="25">
        <f t="shared" si="12"/>
        <v>-2.6874165999999993</v>
      </c>
      <c r="AE32" s="25">
        <v>-5.68</v>
      </c>
      <c r="AF32" s="25">
        <v>-6.3566656188000001</v>
      </c>
      <c r="AG32" s="25">
        <v>0</v>
      </c>
    </row>
    <row r="33" spans="1:33" ht="15.75" customHeight="1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16"/>
      <c r="S33" s="21"/>
      <c r="T33" s="31"/>
      <c r="U33" s="36"/>
      <c r="V33" s="1"/>
      <c r="W33" s="31"/>
      <c r="X33" s="31"/>
      <c r="Y33" s="31"/>
      <c r="Z33" s="31"/>
      <c r="AA33" s="2"/>
      <c r="AB33" s="31"/>
      <c r="AC33" s="31"/>
      <c r="AD33" s="31"/>
      <c r="AE33" s="37"/>
      <c r="AF33" s="37"/>
      <c r="AG33" s="37"/>
    </row>
    <row r="34" spans="1:33" ht="15.75" customHeight="1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6"/>
      <c r="V34" s="1"/>
      <c r="W34" s="31"/>
      <c r="X34" s="31"/>
      <c r="Y34" s="31"/>
      <c r="Z34" s="31"/>
      <c r="AA34" s="2"/>
      <c r="AB34" s="31"/>
      <c r="AC34" s="31"/>
      <c r="AD34" s="31"/>
      <c r="AE34" s="37"/>
      <c r="AF34" s="37"/>
      <c r="AG34" s="37"/>
    </row>
    <row r="35" spans="1:33" ht="15.75" customHeight="1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6"/>
      <c r="V35" s="1"/>
      <c r="W35" s="31"/>
      <c r="X35" s="31"/>
      <c r="Y35" s="31"/>
      <c r="Z35" s="31"/>
      <c r="AA35" s="2"/>
      <c r="AB35" s="31"/>
      <c r="AC35" s="31"/>
      <c r="AD35" s="31"/>
      <c r="AE35" s="37"/>
      <c r="AF35" s="37"/>
      <c r="AG35" s="37"/>
    </row>
    <row r="36" spans="1:33" ht="15.75" customHeight="1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6"/>
      <c r="V36" s="1"/>
      <c r="W36" s="31"/>
      <c r="X36" s="31"/>
      <c r="Y36" s="31"/>
      <c r="Z36" s="31"/>
      <c r="AA36" s="2"/>
      <c r="AB36" s="31"/>
      <c r="AC36" s="31"/>
      <c r="AD36" s="31"/>
      <c r="AE36" s="37"/>
      <c r="AF36" s="37"/>
      <c r="AG36" s="37"/>
    </row>
    <row r="37" spans="1:33" ht="15.75" customHeight="1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6"/>
      <c r="V37" s="1"/>
      <c r="W37" s="31"/>
      <c r="X37" s="31"/>
      <c r="Y37" s="31"/>
      <c r="Z37" s="31"/>
      <c r="AA37" s="2"/>
      <c r="AB37" s="31"/>
      <c r="AC37" s="31"/>
      <c r="AD37" s="31"/>
      <c r="AE37" s="37"/>
      <c r="AF37" s="37"/>
      <c r="AG37" s="37"/>
    </row>
    <row r="38" spans="1:33" ht="15.75" customHeight="1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6"/>
      <c r="V38" s="1"/>
      <c r="W38" s="31"/>
      <c r="X38" s="31"/>
      <c r="Y38" s="31"/>
      <c r="Z38" s="31"/>
      <c r="AA38" s="2"/>
      <c r="AB38" s="31"/>
      <c r="AC38" s="31"/>
      <c r="AD38" s="31"/>
      <c r="AE38" s="37"/>
      <c r="AF38" s="37"/>
      <c r="AG38" s="37"/>
    </row>
    <row r="39" spans="1:33" ht="15.75" customHeight="1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6"/>
      <c r="V39" s="1"/>
      <c r="W39" s="31"/>
      <c r="X39" s="31"/>
      <c r="Y39" s="31"/>
      <c r="Z39" s="31"/>
      <c r="AA39" s="2"/>
      <c r="AB39" s="31"/>
      <c r="AC39" s="31"/>
      <c r="AD39" s="31"/>
      <c r="AE39" s="37"/>
      <c r="AF39" s="37"/>
      <c r="AG39" s="37"/>
    </row>
    <row r="40" spans="1:33" ht="15.75" customHeight="1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6"/>
      <c r="V40" s="1"/>
      <c r="W40" s="31"/>
      <c r="X40" s="31"/>
      <c r="Y40" s="31"/>
      <c r="Z40" s="31"/>
      <c r="AA40" s="2"/>
      <c r="AB40" s="31"/>
      <c r="AC40" s="31"/>
      <c r="AD40" s="31"/>
      <c r="AE40" s="37"/>
      <c r="AF40" s="37"/>
      <c r="AG40" s="37"/>
    </row>
    <row r="41" spans="1:33" ht="15.75" customHeight="1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6"/>
      <c r="V41" s="1"/>
      <c r="W41" s="31"/>
      <c r="X41" s="31"/>
      <c r="Y41" s="31"/>
      <c r="Z41" s="31"/>
      <c r="AA41" s="2"/>
      <c r="AB41" s="31"/>
      <c r="AC41" s="31"/>
      <c r="AD41" s="31"/>
      <c r="AE41" s="37"/>
      <c r="AF41" s="37"/>
      <c r="AG41" s="37"/>
    </row>
    <row r="42" spans="1:33" ht="15.75" customHeight="1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6"/>
      <c r="V42" s="1"/>
      <c r="W42" s="31"/>
      <c r="X42" s="31"/>
      <c r="Y42" s="31"/>
      <c r="Z42" s="31"/>
      <c r="AA42" s="2"/>
      <c r="AB42" s="31"/>
      <c r="AC42" s="31"/>
      <c r="AD42" s="31"/>
      <c r="AE42" s="37"/>
      <c r="AF42" s="37"/>
      <c r="AG42" s="37"/>
    </row>
    <row r="43" spans="1:33" ht="15.75" customHeight="1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6"/>
      <c r="V43" s="1"/>
      <c r="W43" s="31"/>
      <c r="X43" s="31"/>
      <c r="Y43" s="31"/>
      <c r="Z43" s="31"/>
      <c r="AA43" s="2"/>
      <c r="AB43" s="31"/>
      <c r="AC43" s="31"/>
      <c r="AD43" s="31"/>
      <c r="AE43" s="37"/>
      <c r="AF43" s="37"/>
      <c r="AG43" s="37"/>
    </row>
    <row r="44" spans="1:33" ht="15.75" customHeight="1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6"/>
      <c r="V44" s="1"/>
      <c r="W44" s="31"/>
      <c r="X44" s="31"/>
      <c r="Y44" s="31"/>
      <c r="Z44" s="31"/>
      <c r="AA44" s="2"/>
      <c r="AB44" s="31"/>
      <c r="AC44" s="31"/>
      <c r="AD44" s="31"/>
      <c r="AE44" s="37"/>
      <c r="AF44" s="37"/>
      <c r="AG44" s="37"/>
    </row>
    <row r="45" spans="1:33" ht="15.75" customHeight="1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6"/>
      <c r="V45" s="1"/>
      <c r="W45" s="31"/>
      <c r="X45" s="31"/>
      <c r="Y45" s="31"/>
      <c r="Z45" s="31"/>
      <c r="AA45" s="2"/>
      <c r="AB45" s="31"/>
      <c r="AC45" s="31"/>
      <c r="AD45" s="31"/>
      <c r="AE45" s="37"/>
      <c r="AF45" s="37"/>
      <c r="AG45" s="37"/>
    </row>
    <row r="46" spans="1:33" ht="15.75" customHeight="1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6"/>
      <c r="V46" s="1"/>
      <c r="W46" s="31"/>
      <c r="X46" s="31"/>
      <c r="Y46" s="31"/>
      <c r="Z46" s="31"/>
      <c r="AA46" s="2"/>
      <c r="AB46" s="31"/>
      <c r="AC46" s="31"/>
      <c r="AD46" s="31"/>
      <c r="AE46" s="37"/>
      <c r="AF46" s="37"/>
      <c r="AG46" s="37"/>
    </row>
    <row r="47" spans="1:33" ht="15.75" customHeight="1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6"/>
      <c r="V47" s="1"/>
      <c r="W47" s="31"/>
      <c r="X47" s="31"/>
      <c r="Y47" s="31"/>
      <c r="Z47" s="31"/>
      <c r="AA47" s="2"/>
      <c r="AB47" s="31"/>
      <c r="AC47" s="31"/>
      <c r="AD47" s="31"/>
      <c r="AE47" s="37"/>
      <c r="AF47" s="37"/>
      <c r="AG47" s="37"/>
    </row>
    <row r="48" spans="1:33" ht="15.75" customHeight="1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6"/>
      <c r="V48" s="1"/>
      <c r="W48" s="31"/>
      <c r="X48" s="31"/>
      <c r="Y48" s="31"/>
      <c r="Z48" s="31"/>
      <c r="AA48" s="2"/>
      <c r="AB48" s="31"/>
      <c r="AC48" s="31"/>
      <c r="AD48" s="31"/>
      <c r="AE48" s="37"/>
      <c r="AF48" s="37"/>
      <c r="AG48" s="37"/>
    </row>
    <row r="49" spans="1:33" ht="15.75" customHeight="1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6"/>
      <c r="V49" s="1"/>
      <c r="W49" s="31"/>
      <c r="X49" s="31"/>
      <c r="Y49" s="31"/>
      <c r="Z49" s="31"/>
      <c r="AA49" s="2"/>
      <c r="AB49" s="31"/>
      <c r="AC49" s="31"/>
      <c r="AD49" s="31"/>
      <c r="AE49" s="37"/>
      <c r="AF49" s="37"/>
      <c r="AG49" s="37"/>
    </row>
    <row r="50" spans="1:33" ht="15.75" customHeight="1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6"/>
      <c r="V50" s="1"/>
      <c r="W50" s="31"/>
      <c r="X50" s="31"/>
      <c r="Y50" s="31"/>
      <c r="Z50" s="31"/>
      <c r="AA50" s="2"/>
      <c r="AB50" s="31"/>
      <c r="AC50" s="31"/>
      <c r="AD50" s="31"/>
      <c r="AE50" s="37"/>
      <c r="AF50" s="37"/>
      <c r="AG50" s="37"/>
    </row>
    <row r="51" spans="1:33" ht="15.75" customHeight="1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6"/>
      <c r="V51" s="1"/>
      <c r="W51" s="31"/>
      <c r="X51" s="31"/>
      <c r="Y51" s="31"/>
      <c r="Z51" s="31"/>
      <c r="AA51" s="2"/>
      <c r="AB51" s="31"/>
      <c r="AC51" s="31"/>
      <c r="AD51" s="31"/>
      <c r="AE51" s="37"/>
      <c r="AF51" s="37"/>
      <c r="AG51" s="37"/>
    </row>
    <row r="52" spans="1:33" ht="15.75" customHeight="1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6"/>
      <c r="V52" s="1"/>
      <c r="W52" s="31"/>
      <c r="X52" s="31"/>
      <c r="Y52" s="31"/>
      <c r="Z52" s="31"/>
      <c r="AA52" s="2"/>
      <c r="AB52" s="31"/>
      <c r="AC52" s="31"/>
      <c r="AD52" s="31"/>
      <c r="AE52" s="37"/>
      <c r="AF52" s="37"/>
      <c r="AG52" s="37"/>
    </row>
    <row r="53" spans="1:33" ht="15.75" customHeight="1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6"/>
      <c r="V53" s="1"/>
      <c r="W53" s="31"/>
      <c r="X53" s="31"/>
      <c r="Y53" s="31"/>
      <c r="Z53" s="31"/>
      <c r="AA53" s="2"/>
      <c r="AB53" s="31"/>
      <c r="AC53" s="31"/>
      <c r="AD53" s="31"/>
      <c r="AE53" s="37"/>
      <c r="AF53" s="37"/>
      <c r="AG53" s="37"/>
    </row>
    <row r="54" spans="1:33" ht="15.75" customHeight="1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6"/>
      <c r="V54" s="1"/>
      <c r="W54" s="31"/>
      <c r="X54" s="31"/>
      <c r="Y54" s="31"/>
      <c r="Z54" s="31"/>
      <c r="AA54" s="2"/>
      <c r="AB54" s="31"/>
      <c r="AC54" s="31"/>
      <c r="AD54" s="31"/>
      <c r="AE54" s="37"/>
      <c r="AF54" s="37"/>
      <c r="AG54" s="37"/>
    </row>
    <row r="55" spans="1:33" ht="15.75" customHeight="1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6"/>
      <c r="V55" s="1"/>
      <c r="W55" s="31"/>
      <c r="X55" s="31"/>
      <c r="Y55" s="31"/>
      <c r="Z55" s="31"/>
      <c r="AA55" s="2"/>
      <c r="AB55" s="31"/>
      <c r="AC55" s="31"/>
      <c r="AD55" s="31"/>
      <c r="AE55" s="37"/>
      <c r="AF55" s="37"/>
      <c r="AG55" s="37"/>
    </row>
    <row r="56" spans="1:33" ht="15.75" customHeight="1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6"/>
      <c r="V56" s="1"/>
      <c r="W56" s="31"/>
      <c r="X56" s="31"/>
      <c r="Y56" s="31"/>
      <c r="Z56" s="31"/>
      <c r="AA56" s="2"/>
      <c r="AB56" s="31"/>
      <c r="AC56" s="31"/>
      <c r="AD56" s="31"/>
      <c r="AE56" s="37"/>
      <c r="AF56" s="37"/>
      <c r="AG56" s="37"/>
    </row>
    <row r="57" spans="1:33" ht="15.75" customHeight="1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6"/>
      <c r="V57" s="1"/>
      <c r="W57" s="31"/>
      <c r="X57" s="31"/>
      <c r="Y57" s="31"/>
      <c r="Z57" s="31"/>
      <c r="AA57" s="2"/>
      <c r="AB57" s="31"/>
      <c r="AC57" s="31"/>
      <c r="AD57" s="31"/>
      <c r="AE57" s="37"/>
      <c r="AF57" s="37"/>
      <c r="AG57" s="37"/>
    </row>
    <row r="58" spans="1:33" ht="15.75" customHeight="1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6"/>
      <c r="V58" s="1"/>
      <c r="W58" s="31"/>
      <c r="X58" s="31"/>
      <c r="Y58" s="31"/>
      <c r="Z58" s="31"/>
      <c r="AA58" s="2"/>
      <c r="AB58" s="31"/>
      <c r="AC58" s="31"/>
      <c r="AD58" s="31"/>
      <c r="AE58" s="37"/>
      <c r="AF58" s="37"/>
      <c r="AG58" s="37"/>
    </row>
    <row r="59" spans="1:33" ht="15.75" customHeight="1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6"/>
      <c r="V59" s="1"/>
      <c r="W59" s="31"/>
      <c r="X59" s="31"/>
      <c r="Y59" s="31"/>
      <c r="Z59" s="31"/>
      <c r="AA59" s="2"/>
      <c r="AB59" s="31"/>
      <c r="AC59" s="31"/>
      <c r="AD59" s="31"/>
      <c r="AE59" s="37"/>
      <c r="AF59" s="37"/>
      <c r="AG59" s="37"/>
    </row>
    <row r="60" spans="1:33" ht="15.75" customHeight="1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6"/>
      <c r="V60" s="1"/>
      <c r="W60" s="31"/>
      <c r="X60" s="31"/>
      <c r="Y60" s="31"/>
      <c r="Z60" s="31"/>
      <c r="AA60" s="2"/>
      <c r="AB60" s="31"/>
      <c r="AC60" s="31"/>
      <c r="AD60" s="31"/>
      <c r="AE60" s="37"/>
      <c r="AF60" s="37"/>
      <c r="AG60" s="37"/>
    </row>
    <row r="61" spans="1:33" ht="15.75" customHeight="1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6"/>
      <c r="V61" s="1"/>
      <c r="W61" s="31"/>
      <c r="X61" s="31"/>
      <c r="Y61" s="31"/>
      <c r="Z61" s="31"/>
      <c r="AA61" s="2"/>
      <c r="AB61" s="31"/>
      <c r="AC61" s="31"/>
      <c r="AD61" s="31"/>
      <c r="AE61" s="37"/>
      <c r="AF61" s="37"/>
      <c r="AG61" s="37"/>
    </row>
    <row r="62" spans="1:33" ht="15.75" customHeight="1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6"/>
      <c r="V62" s="1"/>
      <c r="W62" s="31"/>
      <c r="X62" s="31"/>
      <c r="Y62" s="31"/>
      <c r="Z62" s="31"/>
      <c r="AA62" s="2"/>
      <c r="AB62" s="31"/>
      <c r="AC62" s="31"/>
      <c r="AD62" s="31"/>
      <c r="AE62" s="37"/>
      <c r="AF62" s="37"/>
      <c r="AG62" s="37"/>
    </row>
    <row r="63" spans="1:33" ht="15.75" customHeight="1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6"/>
      <c r="V63" s="1"/>
      <c r="W63" s="31"/>
      <c r="X63" s="31"/>
      <c r="Y63" s="31"/>
      <c r="Z63" s="31"/>
      <c r="AA63" s="2"/>
      <c r="AB63" s="31"/>
      <c r="AC63" s="31"/>
      <c r="AD63" s="31"/>
      <c r="AE63" s="37"/>
      <c r="AF63" s="37"/>
      <c r="AG63" s="37"/>
    </row>
    <row r="64" spans="1:33" ht="15.75" customHeight="1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6"/>
      <c r="V64" s="1"/>
      <c r="W64" s="31"/>
      <c r="X64" s="31"/>
      <c r="Y64" s="31"/>
      <c r="Z64" s="31"/>
      <c r="AA64" s="2"/>
      <c r="AB64" s="31"/>
      <c r="AC64" s="31"/>
      <c r="AD64" s="31"/>
      <c r="AE64" s="37"/>
      <c r="AF64" s="37"/>
      <c r="AG64" s="37"/>
    </row>
    <row r="65" spans="1:33" ht="15.75" customHeight="1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6"/>
      <c r="V65" s="1"/>
      <c r="W65" s="31"/>
      <c r="X65" s="31"/>
      <c r="Y65" s="31"/>
      <c r="Z65" s="31"/>
      <c r="AA65" s="2"/>
      <c r="AB65" s="31"/>
      <c r="AC65" s="31"/>
      <c r="AD65" s="31"/>
      <c r="AE65" s="37"/>
      <c r="AF65" s="37"/>
      <c r="AG65" s="37"/>
    </row>
    <row r="66" spans="1:33" ht="15.75" customHeight="1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6"/>
      <c r="V66" s="1"/>
      <c r="W66" s="31"/>
      <c r="X66" s="31"/>
      <c r="Y66" s="31"/>
      <c r="Z66" s="31"/>
      <c r="AA66" s="2"/>
      <c r="AB66" s="31"/>
      <c r="AC66" s="31"/>
      <c r="AD66" s="31"/>
      <c r="AE66" s="37"/>
      <c r="AF66" s="37"/>
      <c r="AG66" s="37"/>
    </row>
    <row r="67" spans="1:33" ht="15.75" customHeight="1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6"/>
      <c r="V67" s="1"/>
      <c r="W67" s="31"/>
      <c r="X67" s="31"/>
      <c r="Y67" s="31"/>
      <c r="Z67" s="31"/>
      <c r="AA67" s="2"/>
      <c r="AB67" s="31"/>
      <c r="AC67" s="31"/>
      <c r="AD67" s="31"/>
      <c r="AE67" s="37"/>
      <c r="AF67" s="37"/>
      <c r="AG67" s="37"/>
    </row>
    <row r="68" spans="1:33" ht="15.75" customHeight="1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6"/>
      <c r="V68" s="1"/>
      <c r="W68" s="31"/>
      <c r="X68" s="31"/>
      <c r="Y68" s="31"/>
      <c r="Z68" s="31"/>
      <c r="AA68" s="2"/>
      <c r="AB68" s="31"/>
      <c r="AC68" s="31"/>
      <c r="AD68" s="31"/>
      <c r="AE68" s="37"/>
      <c r="AF68" s="37"/>
      <c r="AG68" s="37"/>
    </row>
    <row r="69" spans="1:33" ht="15.75" customHeight="1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6"/>
      <c r="V69" s="1"/>
      <c r="W69" s="31"/>
      <c r="X69" s="31"/>
      <c r="Y69" s="31"/>
      <c r="Z69" s="31"/>
      <c r="AA69" s="2"/>
      <c r="AB69" s="31"/>
      <c r="AC69" s="31"/>
      <c r="AD69" s="31"/>
      <c r="AE69" s="37"/>
      <c r="AF69" s="37"/>
      <c r="AG69" s="37"/>
    </row>
    <row r="70" spans="1:33" ht="15.75" customHeight="1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6"/>
      <c r="V70" s="1"/>
      <c r="W70" s="31"/>
      <c r="X70" s="31"/>
      <c r="Y70" s="31"/>
      <c r="Z70" s="31"/>
      <c r="AA70" s="2"/>
      <c r="AB70" s="31"/>
      <c r="AC70" s="31"/>
      <c r="AD70" s="31"/>
      <c r="AE70" s="37"/>
      <c r="AF70" s="37"/>
      <c r="AG70" s="37"/>
    </row>
    <row r="71" spans="1:33" ht="15.75" customHeight="1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6"/>
      <c r="V71" s="1"/>
      <c r="W71" s="31"/>
      <c r="X71" s="31"/>
      <c r="Y71" s="31"/>
      <c r="Z71" s="31"/>
      <c r="AA71" s="2"/>
      <c r="AB71" s="31"/>
      <c r="AC71" s="31"/>
      <c r="AD71" s="31"/>
      <c r="AE71" s="37"/>
      <c r="AF71" s="37"/>
      <c r="AG71" s="37"/>
    </row>
    <row r="72" spans="1:33" ht="15.75" customHeight="1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6"/>
      <c r="V72" s="1"/>
      <c r="W72" s="31"/>
      <c r="X72" s="31"/>
      <c r="Y72" s="31"/>
      <c r="Z72" s="31"/>
      <c r="AA72" s="2"/>
      <c r="AB72" s="31"/>
      <c r="AC72" s="31"/>
      <c r="AD72" s="31"/>
      <c r="AE72" s="37"/>
      <c r="AF72" s="37"/>
      <c r="AG72" s="37"/>
    </row>
    <row r="73" spans="1:33" ht="15.75" customHeight="1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6"/>
      <c r="V73" s="1"/>
      <c r="W73" s="31"/>
      <c r="X73" s="31"/>
      <c r="Y73" s="31"/>
      <c r="Z73" s="31"/>
      <c r="AA73" s="2"/>
      <c r="AB73" s="31"/>
      <c r="AC73" s="31"/>
      <c r="AD73" s="31"/>
      <c r="AE73" s="37"/>
      <c r="AF73" s="37"/>
      <c r="AG73" s="37"/>
    </row>
    <row r="74" spans="1:33" ht="15.75" customHeight="1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6"/>
      <c r="V74" s="1"/>
      <c r="W74" s="31"/>
      <c r="X74" s="31"/>
      <c r="Y74" s="31"/>
      <c r="Z74" s="31"/>
      <c r="AA74" s="2"/>
      <c r="AB74" s="31"/>
      <c r="AC74" s="31"/>
      <c r="AD74" s="31"/>
      <c r="AE74" s="37"/>
      <c r="AF74" s="37"/>
      <c r="AG74" s="37"/>
    </row>
    <row r="75" spans="1:33" ht="15.75" customHeight="1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6"/>
      <c r="V75" s="1"/>
      <c r="W75" s="31"/>
      <c r="X75" s="31"/>
      <c r="Y75" s="31"/>
      <c r="Z75" s="31"/>
      <c r="AA75" s="2"/>
      <c r="AB75" s="31"/>
      <c r="AC75" s="31"/>
      <c r="AD75" s="31"/>
      <c r="AE75" s="37"/>
      <c r="AF75" s="37"/>
      <c r="AG75" s="37"/>
    </row>
    <row r="76" spans="1:33" ht="15.75" customHeight="1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6"/>
      <c r="V76" s="1"/>
      <c r="W76" s="31"/>
      <c r="X76" s="31"/>
      <c r="Y76" s="31"/>
      <c r="Z76" s="31"/>
      <c r="AA76" s="2"/>
      <c r="AB76" s="31"/>
      <c r="AC76" s="31"/>
      <c r="AD76" s="31"/>
      <c r="AE76" s="37"/>
      <c r="AF76" s="37"/>
      <c r="AG76" s="37"/>
    </row>
    <row r="77" spans="1:33" ht="15.75" customHeight="1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6"/>
      <c r="V77" s="1"/>
      <c r="W77" s="31"/>
      <c r="X77" s="31"/>
      <c r="Y77" s="31"/>
      <c r="Z77" s="31"/>
      <c r="AA77" s="2"/>
      <c r="AB77" s="31"/>
      <c r="AC77" s="31"/>
      <c r="AD77" s="31"/>
      <c r="AE77" s="37"/>
      <c r="AF77" s="37"/>
      <c r="AG77" s="37"/>
    </row>
    <row r="78" spans="1:33" ht="15.75" customHeight="1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6"/>
      <c r="V78" s="1"/>
      <c r="W78" s="31"/>
      <c r="X78" s="31"/>
      <c r="Y78" s="31"/>
      <c r="Z78" s="31"/>
      <c r="AA78" s="2"/>
      <c r="AB78" s="31"/>
      <c r="AC78" s="31"/>
      <c r="AD78" s="31"/>
      <c r="AE78" s="37"/>
      <c r="AF78" s="37"/>
      <c r="AG78" s="37"/>
    </row>
    <row r="79" spans="1:33" ht="15.75" customHeight="1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6"/>
      <c r="V79" s="1"/>
      <c r="W79" s="31"/>
      <c r="X79" s="31"/>
      <c r="Y79" s="31"/>
      <c r="Z79" s="31"/>
      <c r="AA79" s="2"/>
      <c r="AB79" s="31"/>
      <c r="AC79" s="31"/>
      <c r="AD79" s="31"/>
      <c r="AE79" s="37"/>
      <c r="AF79" s="37"/>
      <c r="AG79" s="37"/>
    </row>
    <row r="80" spans="1:33" ht="15.75" customHeight="1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6"/>
      <c r="V80" s="1"/>
      <c r="W80" s="31"/>
      <c r="X80" s="31"/>
      <c r="Y80" s="31"/>
      <c r="Z80" s="31"/>
      <c r="AA80" s="2"/>
      <c r="AB80" s="31"/>
      <c r="AC80" s="31"/>
      <c r="AD80" s="31"/>
      <c r="AE80" s="37"/>
      <c r="AF80" s="37"/>
      <c r="AG80" s="37"/>
    </row>
    <row r="81" spans="1:33" ht="15.75" customHeight="1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6"/>
      <c r="V81" s="1"/>
      <c r="W81" s="31"/>
      <c r="X81" s="31"/>
      <c r="Y81" s="31"/>
      <c r="Z81" s="31"/>
      <c r="AA81" s="2"/>
      <c r="AB81" s="31"/>
      <c r="AC81" s="31"/>
      <c r="AD81" s="31"/>
      <c r="AE81" s="37"/>
      <c r="AF81" s="37"/>
      <c r="AG81" s="37"/>
    </row>
    <row r="82" spans="1:33" ht="15.75" customHeight="1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6"/>
      <c r="V82" s="1"/>
      <c r="W82" s="31"/>
      <c r="X82" s="31"/>
      <c r="Y82" s="31"/>
      <c r="Z82" s="31"/>
      <c r="AA82" s="2"/>
      <c r="AB82" s="31"/>
      <c r="AC82" s="31"/>
      <c r="AD82" s="31"/>
      <c r="AE82" s="37"/>
      <c r="AF82" s="37"/>
      <c r="AG82" s="37"/>
    </row>
    <row r="83" spans="1:33" ht="15.75" customHeight="1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6"/>
      <c r="V83" s="1"/>
      <c r="W83" s="31"/>
      <c r="X83" s="31"/>
      <c r="Y83" s="31"/>
      <c r="Z83" s="31"/>
      <c r="AA83" s="2"/>
      <c r="AB83" s="31"/>
      <c r="AC83" s="31"/>
      <c r="AD83" s="31"/>
      <c r="AE83" s="37"/>
      <c r="AF83" s="37"/>
      <c r="AG83" s="37"/>
    </row>
    <row r="84" spans="1:33" ht="15.75" customHeight="1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6"/>
      <c r="V84" s="1"/>
      <c r="W84" s="31"/>
      <c r="X84" s="31"/>
      <c r="Y84" s="31"/>
      <c r="Z84" s="31"/>
      <c r="AA84" s="2"/>
      <c r="AB84" s="31"/>
      <c r="AC84" s="31"/>
      <c r="AD84" s="31"/>
      <c r="AE84" s="37"/>
      <c r="AF84" s="37"/>
      <c r="AG84" s="37"/>
    </row>
    <row r="85" spans="1:33" ht="15.75" customHeight="1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6"/>
      <c r="V85" s="1"/>
      <c r="W85" s="31"/>
      <c r="X85" s="31"/>
      <c r="Y85" s="31"/>
      <c r="Z85" s="31"/>
      <c r="AA85" s="2"/>
      <c r="AB85" s="31"/>
      <c r="AC85" s="31"/>
      <c r="AD85" s="31"/>
      <c r="AE85" s="37"/>
      <c r="AF85" s="37"/>
      <c r="AG85" s="37"/>
    </row>
    <row r="86" spans="1:33" ht="15.75" customHeight="1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6"/>
      <c r="V86" s="1"/>
      <c r="W86" s="31"/>
      <c r="X86" s="31"/>
      <c r="Y86" s="31"/>
      <c r="Z86" s="31"/>
      <c r="AA86" s="2"/>
      <c r="AB86" s="31"/>
      <c r="AC86" s="31"/>
      <c r="AD86" s="31"/>
      <c r="AE86" s="37"/>
      <c r="AF86" s="37"/>
      <c r="AG86" s="37"/>
    </row>
    <row r="87" spans="1:33" ht="15.75" customHeight="1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6"/>
      <c r="V87" s="1"/>
      <c r="W87" s="31"/>
      <c r="X87" s="31"/>
      <c r="Y87" s="31"/>
      <c r="Z87" s="31"/>
      <c r="AA87" s="2"/>
      <c r="AB87" s="31"/>
      <c r="AC87" s="31"/>
      <c r="AD87" s="31"/>
      <c r="AE87" s="37"/>
      <c r="AF87" s="37"/>
      <c r="AG87" s="37"/>
    </row>
    <row r="88" spans="1:33" ht="15.75" customHeight="1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6"/>
      <c r="V88" s="1"/>
      <c r="W88" s="31"/>
      <c r="X88" s="31"/>
      <c r="Y88" s="31"/>
      <c r="Z88" s="31"/>
      <c r="AA88" s="2"/>
      <c r="AB88" s="31"/>
      <c r="AC88" s="31"/>
      <c r="AD88" s="31"/>
      <c r="AE88" s="37"/>
      <c r="AF88" s="37"/>
      <c r="AG88" s="37"/>
    </row>
    <row r="89" spans="1:33" ht="15.75" customHeight="1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6"/>
      <c r="V89" s="1"/>
      <c r="W89" s="31"/>
      <c r="X89" s="31"/>
      <c r="Y89" s="31"/>
      <c r="Z89" s="31"/>
      <c r="AA89" s="2"/>
      <c r="AB89" s="31"/>
      <c r="AC89" s="31"/>
      <c r="AD89" s="31"/>
      <c r="AE89" s="37"/>
      <c r="AF89" s="37"/>
      <c r="AG89" s="37"/>
    </row>
    <row r="90" spans="1:33" ht="15.75" customHeight="1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6"/>
      <c r="V90" s="1"/>
      <c r="W90" s="31"/>
      <c r="X90" s="31"/>
      <c r="Y90" s="31"/>
      <c r="Z90" s="31"/>
      <c r="AA90" s="2"/>
      <c r="AB90" s="31"/>
      <c r="AC90" s="31"/>
      <c r="AD90" s="31"/>
      <c r="AE90" s="37"/>
      <c r="AF90" s="37"/>
      <c r="AG90" s="37"/>
    </row>
    <row r="91" spans="1:33" ht="15.75" customHeight="1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6"/>
      <c r="V91" s="1"/>
      <c r="W91" s="31"/>
      <c r="X91" s="31"/>
      <c r="Y91" s="31"/>
      <c r="Z91" s="31"/>
      <c r="AA91" s="2"/>
      <c r="AB91" s="31"/>
      <c r="AC91" s="31"/>
      <c r="AD91" s="31"/>
      <c r="AE91" s="37"/>
      <c r="AF91" s="37"/>
      <c r="AG91" s="37"/>
    </row>
    <row r="92" spans="1:33" ht="15.75" customHeight="1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6"/>
      <c r="V92" s="1"/>
      <c r="W92" s="31"/>
      <c r="X92" s="31"/>
      <c r="Y92" s="31"/>
      <c r="Z92" s="31"/>
      <c r="AA92" s="2"/>
      <c r="AB92" s="31"/>
      <c r="AC92" s="31"/>
      <c r="AD92" s="31"/>
      <c r="AE92" s="37"/>
      <c r="AF92" s="37"/>
      <c r="AG92" s="37"/>
    </row>
    <row r="93" spans="1:33" ht="15.75" customHeight="1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6"/>
      <c r="V93" s="1"/>
      <c r="W93" s="31"/>
      <c r="X93" s="31"/>
      <c r="Y93" s="31"/>
      <c r="Z93" s="31"/>
      <c r="AA93" s="2"/>
      <c r="AB93" s="31"/>
      <c r="AC93" s="31"/>
      <c r="AD93" s="31"/>
      <c r="AE93" s="37"/>
      <c r="AF93" s="37"/>
      <c r="AG93" s="37"/>
    </row>
    <row r="94" spans="1:33" ht="15.75" customHeight="1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6"/>
      <c r="V94" s="1"/>
      <c r="W94" s="31"/>
      <c r="X94" s="31"/>
      <c r="Y94" s="31"/>
      <c r="Z94" s="31"/>
      <c r="AA94" s="2"/>
      <c r="AB94" s="31"/>
      <c r="AC94" s="31"/>
      <c r="AD94" s="31"/>
      <c r="AE94" s="37"/>
      <c r="AF94" s="37"/>
      <c r="AG94" s="37"/>
    </row>
    <row r="95" spans="1:33" ht="15.75" customHeight="1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6"/>
      <c r="V95" s="1"/>
      <c r="W95" s="31"/>
      <c r="X95" s="31"/>
      <c r="Y95" s="31"/>
      <c r="Z95" s="31"/>
      <c r="AA95" s="2"/>
      <c r="AB95" s="31"/>
      <c r="AC95" s="31"/>
      <c r="AD95" s="31"/>
      <c r="AE95" s="37"/>
      <c r="AF95" s="37"/>
      <c r="AG95" s="37"/>
    </row>
    <row r="96" spans="1:33" ht="15.75" customHeight="1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6"/>
      <c r="V96" s="1"/>
      <c r="W96" s="31"/>
      <c r="X96" s="31"/>
      <c r="Y96" s="31"/>
      <c r="Z96" s="31"/>
      <c r="AA96" s="2"/>
      <c r="AB96" s="31"/>
      <c r="AC96" s="31"/>
      <c r="AD96" s="31"/>
      <c r="AE96" s="37"/>
      <c r="AF96" s="37"/>
      <c r="AG96" s="37"/>
    </row>
    <row r="97" spans="1:33" ht="15.75" customHeight="1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8"/>
      <c r="R97" s="38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8"/>
      <c r="R98" s="38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8"/>
      <c r="R99" s="38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8"/>
      <c r="R100" s="38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8"/>
      <c r="R101" s="38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8"/>
      <c r="R102" s="38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8"/>
      <c r="R103" s="38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8"/>
      <c r="R104" s="38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8"/>
      <c r="R105" s="38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8"/>
      <c r="R106" s="38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8"/>
      <c r="R107" s="38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8"/>
      <c r="R108" s="38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8"/>
      <c r="R109" s="38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8"/>
      <c r="R110" s="38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8"/>
      <c r="R111" s="38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8"/>
      <c r="R112" s="38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8"/>
      <c r="R113" s="38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8"/>
      <c r="R114" s="38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>
      <c r="A115" s="31"/>
      <c r="B115" s="31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>
      <c r="A116" s="31"/>
      <c r="B116" s="31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>
      <c r="A117" s="31"/>
      <c r="B117" s="31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>
      <c r="A118" s="31"/>
      <c r="B118" s="31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>
      <c r="A119" s="31"/>
      <c r="B119" s="31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>
      <c r="A120" s="31"/>
      <c r="B120" s="31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>
      <c r="A121" s="31"/>
      <c r="B121" s="31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>
      <c r="A122" s="31"/>
      <c r="B122" s="31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>
      <c r="A123" s="31"/>
      <c r="B123" s="31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>
      <c r="A124" s="31"/>
      <c r="B124" s="31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>
      <c r="A125" s="31"/>
      <c r="B125" s="31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>
      <c r="A126" s="31"/>
      <c r="B126" s="31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>
      <c r="A127" s="31"/>
      <c r="B127" s="31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>
      <c r="A128" s="31"/>
      <c r="B128" s="31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>
      <c r="A129" s="31"/>
      <c r="B129" s="31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>
      <c r="A130" s="31"/>
      <c r="B130" s="31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>
      <c r="A131" s="31"/>
      <c r="B131" s="31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>
      <c r="A132" s="31"/>
      <c r="B132" s="31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>
      <c r="A133" s="31"/>
      <c r="B133" s="31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>
      <c r="A134" s="31"/>
      <c r="B134" s="31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>
      <c r="A135" s="31"/>
      <c r="B135" s="31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>
      <c r="A136" s="31"/>
      <c r="B136" s="31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>
      <c r="A137" s="31"/>
      <c r="B137" s="31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>
      <c r="A138" s="31"/>
      <c r="B138" s="31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>
      <c r="A139" s="31"/>
      <c r="B139" s="31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>
      <c r="A140" s="31"/>
      <c r="B140" s="31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>
      <c r="A141" s="31"/>
      <c r="B141" s="31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2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>
      <c r="A142" s="31"/>
      <c r="B142" s="31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2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>
      <c r="A143" s="31"/>
      <c r="B143" s="31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2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>
      <c r="A144" s="31"/>
      <c r="B144" s="31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2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>
      <c r="A145" s="31"/>
      <c r="B145" s="31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2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>
      <c r="A146" s="31"/>
      <c r="B146" s="31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2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>
      <c r="A147" s="31"/>
      <c r="B147" s="31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2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>
      <c r="A148" s="31"/>
      <c r="B148" s="31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2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</row>
    <row r="149" spans="1:33" ht="15.75" customHeight="1">
      <c r="A149" s="14"/>
      <c r="B149" s="14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>
      <c r="A150" s="14"/>
      <c r="B150" s="14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>
      <c r="A151" s="14"/>
      <c r="B151" s="14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>
      <c r="A152" s="14"/>
      <c r="B152" s="14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>
      <c r="A153" s="14"/>
      <c r="B153" s="14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>
      <c r="A154" s="14"/>
      <c r="B154" s="14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>
      <c r="A155" s="14"/>
      <c r="B155" s="14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>
      <c r="A156" s="14"/>
      <c r="B156" s="14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>
      <c r="A157" s="14"/>
      <c r="B157" s="14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>
      <c r="A158" s="14"/>
      <c r="B158" s="14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>
      <c r="A159" s="14"/>
      <c r="B159" s="14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>
      <c r="A160" s="14"/>
      <c r="B160" s="14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>
      <c r="A161" s="14"/>
      <c r="B161" s="14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>
      <c r="A162" s="14"/>
      <c r="B162" s="14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>
      <c r="A163" s="14"/>
      <c r="B163" s="14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>
      <c r="A164" s="14"/>
      <c r="B164" s="14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>
      <c r="A165" s="14"/>
      <c r="B165" s="14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>
      <c r="A166" s="14"/>
      <c r="B166" s="14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>
      <c r="A167" s="14"/>
      <c r="B167" s="14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>
      <c r="A168" s="14"/>
      <c r="B168" s="14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>
      <c r="A169" s="14"/>
      <c r="B169" s="14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>
      <c r="A170" s="14"/>
      <c r="B170" s="14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>
      <c r="A171" s="14"/>
      <c r="B171" s="14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>
      <c r="A172" s="14"/>
      <c r="B172" s="14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>
      <c r="A173" s="14"/>
      <c r="B173" s="14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>
      <c r="A174" s="14"/>
      <c r="B174" s="14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>
      <c r="A175" s="14"/>
      <c r="B175" s="14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>
      <c r="A176" s="14"/>
      <c r="B176" s="14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>
      <c r="A177" s="14"/>
      <c r="B177" s="14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>
      <c r="A178" s="14"/>
      <c r="B178" s="14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>
      <c r="A179" s="14"/>
      <c r="B179" s="14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>
      <c r="A180" s="14"/>
      <c r="B180" s="14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>
      <c r="A181" s="14"/>
      <c r="B181" s="14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>
      <c r="A182" s="14"/>
      <c r="B182" s="14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>
      <c r="A183" s="14"/>
      <c r="B183" s="14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>
      <c r="A184" s="14"/>
      <c r="B184" s="14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>
      <c r="A185" s="14"/>
      <c r="B185" s="14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>
      <c r="A186" s="14"/>
      <c r="B186" s="14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>
      <c r="A187" s="14"/>
      <c r="B187" s="14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>
      <c r="A188" s="14"/>
      <c r="B188" s="14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>
      <c r="A189" s="14"/>
      <c r="B189" s="14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>
      <c r="A190" s="14"/>
      <c r="B190" s="14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>
      <c r="A191" s="14"/>
      <c r="B191" s="14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>
      <c r="A192" s="14"/>
      <c r="B192" s="14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>
      <c r="A193" s="14"/>
      <c r="B193" s="14"/>
      <c r="C193" s="39"/>
      <c r="D193" s="39"/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>
      <c r="A194" s="14"/>
      <c r="B194" s="14"/>
      <c r="C194" s="39"/>
      <c r="D194" s="39"/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>
      <c r="A195" s="14"/>
      <c r="B195" s="14"/>
      <c r="C195" s="39"/>
      <c r="D195" s="39"/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>
      <c r="A196" s="14"/>
      <c r="B196" s="14"/>
      <c r="C196" s="39"/>
      <c r="D196" s="39"/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>
      <c r="A197" s="14"/>
      <c r="B197" s="14"/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>
      <c r="A198" s="14"/>
      <c r="B198" s="14"/>
      <c r="C198" s="39"/>
      <c r="D198" s="39"/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>
      <c r="A199" s="14"/>
      <c r="B199" s="14"/>
      <c r="C199" s="39"/>
      <c r="D199" s="39"/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>
      <c r="A200" s="14"/>
      <c r="B200" s="14"/>
      <c r="C200" s="39"/>
      <c r="D200" s="39"/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>
      <c r="A201" s="14"/>
      <c r="B201" s="14"/>
      <c r="C201" s="39"/>
      <c r="D201" s="39"/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>
      <c r="A202" s="14"/>
      <c r="B202" s="14"/>
      <c r="C202" s="39"/>
      <c r="D202" s="39"/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>
      <c r="A203" s="14"/>
      <c r="B203" s="14"/>
      <c r="C203" s="39"/>
      <c r="D203" s="39"/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>
      <c r="A204" s="14"/>
      <c r="B204" s="14"/>
      <c r="C204" s="39"/>
      <c r="D204" s="39"/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>
      <c r="A205" s="14"/>
      <c r="B205" s="14"/>
      <c r="C205" s="39"/>
      <c r="D205" s="39"/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>
      <c r="A206" s="14"/>
      <c r="B206" s="14"/>
      <c r="C206" s="39"/>
      <c r="D206" s="39"/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>
      <c r="A207" s="14"/>
      <c r="B207" s="14"/>
      <c r="C207" s="39"/>
      <c r="D207" s="39"/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>
      <c r="A208" s="14"/>
      <c r="B208" s="14"/>
      <c r="C208" s="39"/>
      <c r="D208" s="39"/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>
      <c r="A209" s="14"/>
      <c r="B209" s="14"/>
      <c r="C209" s="39"/>
      <c r="D209" s="39"/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>
      <c r="A210" s="14"/>
      <c r="B210" s="14"/>
      <c r="C210" s="39"/>
      <c r="D210" s="39"/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>
      <c r="A211" s="14"/>
      <c r="B211" s="14"/>
      <c r="C211" s="39"/>
      <c r="D211" s="39"/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>
      <c r="A212" s="14"/>
      <c r="B212" s="14"/>
      <c r="C212" s="39"/>
      <c r="D212" s="39"/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>
      <c r="A213" s="14"/>
      <c r="B213" s="14"/>
      <c r="C213" s="39"/>
      <c r="D213" s="39"/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>
      <c r="A214" s="14"/>
      <c r="B214" s="14"/>
      <c r="C214" s="39"/>
      <c r="D214" s="39"/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>
      <c r="A215" s="14"/>
      <c r="B215" s="14"/>
      <c r="C215" s="39"/>
      <c r="D215" s="39"/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>
      <c r="A216" s="14"/>
      <c r="B216" s="14"/>
      <c r="C216" s="39"/>
      <c r="D216" s="39"/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>
      <c r="A217" s="14"/>
      <c r="B217" s="14"/>
      <c r="C217" s="39"/>
      <c r="D217" s="39"/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>
      <c r="A218" s="14"/>
      <c r="B218" s="14"/>
      <c r="C218" s="39"/>
      <c r="D218" s="39"/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>
      <c r="A219" s="14"/>
      <c r="B219" s="14"/>
      <c r="C219" s="39"/>
      <c r="D219" s="39"/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>
      <c r="A220" s="14"/>
      <c r="B220" s="14"/>
      <c r="C220" s="39"/>
      <c r="D220" s="39"/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>
      <c r="R221" s="30"/>
      <c r="S221" s="40"/>
    </row>
    <row r="222" spans="1:33" ht="15.75" customHeight="1">
      <c r="R222" s="30"/>
      <c r="S222" s="40"/>
    </row>
    <row r="223" spans="1:33" ht="15.75" customHeight="1">
      <c r="R223" s="30"/>
      <c r="S223" s="40"/>
    </row>
    <row r="224" spans="1:33" ht="15.75" customHeight="1">
      <c r="R224" s="30"/>
      <c r="S224" s="40"/>
    </row>
    <row r="225" spans="18:18" ht="15.75" customHeight="1">
      <c r="R225" s="30"/>
    </row>
    <row r="226" spans="18:18" ht="15.75" customHeight="1">
      <c r="R226" s="30"/>
    </row>
    <row r="227" spans="18:18" ht="15.75" customHeight="1">
      <c r="R227" s="30"/>
    </row>
    <row r="228" spans="18:18" ht="15.75" customHeight="1">
      <c r="R228" s="30"/>
    </row>
    <row r="229" spans="18:18" ht="15.75" customHeight="1">
      <c r="R229" s="30"/>
    </row>
    <row r="230" spans="18:18" ht="15.75" customHeight="1">
      <c r="R230" s="30"/>
    </row>
    <row r="231" spans="18:18" ht="15.75" customHeight="1">
      <c r="R231" s="30"/>
    </row>
    <row r="232" spans="18:18" ht="15.75" customHeight="1">
      <c r="R232" s="30"/>
    </row>
    <row r="233" spans="18:18" ht="15.75" customHeight="1">
      <c r="R233" s="30"/>
    </row>
    <row r="234" spans="18:18" ht="15.75" customHeight="1">
      <c r="R234" s="30"/>
    </row>
    <row r="235" spans="18:18" ht="15.75" customHeight="1">
      <c r="R235" s="30"/>
    </row>
    <row r="236" spans="18:18" ht="15.75" customHeight="1">
      <c r="R236" s="30"/>
    </row>
    <row r="237" spans="18:18" ht="15.75" customHeight="1">
      <c r="R237" s="30"/>
    </row>
    <row r="238" spans="18:18" ht="15.75" customHeight="1">
      <c r="R238" s="30"/>
    </row>
    <row r="239" spans="18:18" ht="15.75" customHeight="1">
      <c r="R239" s="30"/>
    </row>
    <row r="240" spans="18:18" ht="15.75" customHeight="1">
      <c r="R240" s="30"/>
    </row>
    <row r="241" spans="18:18" ht="15.75" customHeight="1">
      <c r="R241" s="30"/>
    </row>
    <row r="242" spans="18:18" ht="15.75" customHeight="1">
      <c r="R242" s="30"/>
    </row>
    <row r="243" spans="18:18" ht="15.75" customHeight="1">
      <c r="R243" s="30"/>
    </row>
    <row r="244" spans="18:18" ht="15.75" customHeight="1">
      <c r="R244" s="30"/>
    </row>
    <row r="245" spans="18:18" ht="15.75" customHeight="1">
      <c r="R245" s="30"/>
    </row>
    <row r="246" spans="18:18" ht="15.75" customHeight="1">
      <c r="R246" s="30"/>
    </row>
    <row r="247" spans="18:18" ht="15.75" customHeight="1">
      <c r="R247" s="30"/>
    </row>
    <row r="248" spans="18:18" ht="15.75" customHeight="1">
      <c r="R248" s="30"/>
    </row>
    <row r="249" spans="18:18" ht="15.75" customHeight="1">
      <c r="R249" s="30"/>
    </row>
    <row r="250" spans="18:18" ht="15.75" customHeight="1">
      <c r="R250" s="30"/>
    </row>
    <row r="251" spans="18:18" ht="15.75" customHeight="1">
      <c r="R251" s="30"/>
    </row>
    <row r="252" spans="18:18" ht="15.75" customHeight="1">
      <c r="R252" s="30"/>
    </row>
    <row r="253" spans="18:18" ht="15.75" customHeight="1">
      <c r="R253" s="30"/>
    </row>
    <row r="254" spans="18:18" ht="15.75" customHeight="1">
      <c r="R254" s="30"/>
    </row>
    <row r="255" spans="18:18" ht="15.75" customHeight="1">
      <c r="R255" s="30"/>
    </row>
    <row r="256" spans="18:18" ht="15.75" customHeight="1">
      <c r="R256" s="30"/>
    </row>
    <row r="257" spans="18:18" ht="15.75" customHeight="1">
      <c r="R257" s="30"/>
    </row>
    <row r="258" spans="18:18" ht="15.75" customHeight="1">
      <c r="R258" s="30"/>
    </row>
    <row r="259" spans="18:18" ht="15.75" customHeight="1">
      <c r="R259" s="30"/>
    </row>
    <row r="260" spans="18:18" ht="15.75" customHeight="1">
      <c r="R260" s="30"/>
    </row>
    <row r="261" spans="18:18" ht="15.75" customHeight="1">
      <c r="R261" s="30"/>
    </row>
    <row r="262" spans="18:18" ht="15.75" customHeight="1">
      <c r="R262" s="30"/>
    </row>
    <row r="263" spans="18:18" ht="15.75" customHeight="1">
      <c r="R263" s="30"/>
    </row>
    <row r="264" spans="18:18" ht="15.75" customHeight="1">
      <c r="R264" s="30"/>
    </row>
    <row r="265" spans="18:18" ht="15.75" customHeight="1">
      <c r="R265" s="30"/>
    </row>
    <row r="266" spans="18:18" ht="15.75" customHeight="1">
      <c r="R266" s="30"/>
    </row>
    <row r="267" spans="18:18" ht="15.75" customHeight="1">
      <c r="R267" s="30"/>
    </row>
    <row r="268" spans="18:18" ht="15.75" customHeight="1">
      <c r="R268" s="30"/>
    </row>
    <row r="269" spans="18:18" ht="15.75" customHeight="1">
      <c r="R269" s="30"/>
    </row>
    <row r="270" spans="18:18" ht="15.75" customHeight="1">
      <c r="R270" s="30"/>
    </row>
    <row r="271" spans="18:18" ht="15.75" customHeight="1">
      <c r="R271" s="30"/>
    </row>
    <row r="272" spans="18:18" ht="15.75" customHeight="1">
      <c r="R272" s="30"/>
    </row>
    <row r="273" spans="18:18" ht="15.75" customHeight="1">
      <c r="R273" s="30"/>
    </row>
    <row r="274" spans="18:18" ht="15.75" customHeight="1">
      <c r="R274" s="30"/>
    </row>
    <row r="275" spans="18:18" ht="15.75" customHeight="1">
      <c r="R275" s="30"/>
    </row>
    <row r="276" spans="18:18" ht="15.75" customHeight="1">
      <c r="R276" s="30"/>
    </row>
    <row r="277" spans="18:18" ht="15.75" customHeight="1">
      <c r="R277" s="30"/>
    </row>
    <row r="278" spans="18:18" ht="15.75" customHeight="1">
      <c r="R278" s="30"/>
    </row>
    <row r="279" spans="18:18" ht="15.75" customHeight="1">
      <c r="R279" s="30"/>
    </row>
    <row r="280" spans="18:18" ht="15.75" customHeight="1">
      <c r="R280" s="30"/>
    </row>
    <row r="281" spans="18:18" ht="15.75" customHeight="1">
      <c r="R281" s="30"/>
    </row>
    <row r="282" spans="18:18" ht="15.75" customHeight="1">
      <c r="R282" s="30"/>
    </row>
    <row r="283" spans="18:18" ht="15.75" customHeight="1">
      <c r="R283" s="30"/>
    </row>
    <row r="284" spans="18:18" ht="15.75" customHeight="1">
      <c r="R284" s="30"/>
    </row>
    <row r="285" spans="18:18" ht="15.75" customHeight="1">
      <c r="R285" s="30"/>
    </row>
    <row r="286" spans="18:18" ht="15.75" customHeight="1">
      <c r="R286" s="30"/>
    </row>
    <row r="287" spans="18:18" ht="15.75" customHeight="1">
      <c r="R287" s="30"/>
    </row>
    <row r="288" spans="18:18" ht="15.75" customHeight="1">
      <c r="R288" s="30"/>
    </row>
    <row r="289" spans="18:18" ht="15.75" customHeight="1">
      <c r="R289" s="30"/>
    </row>
    <row r="290" spans="18:18" ht="15.75" customHeight="1">
      <c r="R290" s="30"/>
    </row>
    <row r="291" spans="18:18" ht="15.75" customHeight="1">
      <c r="R291" s="30"/>
    </row>
    <row r="292" spans="18:18" ht="15.75" customHeight="1">
      <c r="R292" s="30"/>
    </row>
    <row r="293" spans="18:18" ht="15.75" customHeight="1">
      <c r="R293" s="30"/>
    </row>
    <row r="294" spans="18:18" ht="15.75" customHeight="1">
      <c r="R294" s="30"/>
    </row>
    <row r="295" spans="18:18" ht="15.75" customHeight="1">
      <c r="R295" s="30"/>
    </row>
    <row r="296" spans="18:18" ht="15.75" customHeight="1">
      <c r="R296" s="30"/>
    </row>
    <row r="297" spans="18:18" ht="15.75" customHeight="1">
      <c r="R297" s="30"/>
    </row>
    <row r="298" spans="18:18" ht="15.75" customHeight="1">
      <c r="R298" s="30"/>
    </row>
    <row r="299" spans="18:18" ht="15.75" customHeight="1">
      <c r="R299" s="30"/>
    </row>
    <row r="300" spans="18:18" ht="15.75" customHeight="1">
      <c r="R300" s="30"/>
    </row>
    <row r="301" spans="18:18" ht="15.75" customHeight="1">
      <c r="R301" s="30"/>
    </row>
    <row r="302" spans="18:18" ht="15.75" customHeight="1">
      <c r="R302" s="30"/>
    </row>
    <row r="303" spans="18:18" ht="15.75" customHeight="1">
      <c r="R303" s="30"/>
    </row>
    <row r="304" spans="18:18" ht="15.75" customHeight="1">
      <c r="R304" s="30"/>
    </row>
    <row r="305" spans="18:18" ht="15.75" customHeight="1">
      <c r="R305" s="30"/>
    </row>
    <row r="306" spans="18:18" ht="15.75" customHeight="1">
      <c r="R306" s="30"/>
    </row>
    <row r="307" spans="18:18" ht="15.75" customHeight="1">
      <c r="R307" s="30"/>
    </row>
    <row r="308" spans="18:18" ht="15.75" customHeight="1">
      <c r="R308" s="30"/>
    </row>
    <row r="309" spans="18:18" ht="15.75" customHeight="1">
      <c r="R309" s="30"/>
    </row>
    <row r="310" spans="18:18" ht="15.75" customHeight="1">
      <c r="R310" s="30"/>
    </row>
    <row r="311" spans="18:18" ht="15.75" customHeight="1">
      <c r="R311" s="30"/>
    </row>
    <row r="312" spans="18:18" ht="15.75" customHeight="1">
      <c r="R312" s="30"/>
    </row>
    <row r="313" spans="18:18" ht="15.75" customHeight="1">
      <c r="R313" s="30"/>
    </row>
    <row r="314" spans="18:18" ht="15.75" customHeight="1">
      <c r="R314" s="30"/>
    </row>
    <row r="315" spans="18:18" ht="15.75" customHeight="1">
      <c r="R315" s="30"/>
    </row>
    <row r="316" spans="18:18" ht="15.75" customHeight="1">
      <c r="R316" s="30"/>
    </row>
    <row r="317" spans="18:18" ht="15.75" customHeight="1">
      <c r="R317" s="30"/>
    </row>
    <row r="318" spans="18:18" ht="15.75" customHeight="1">
      <c r="R318" s="30"/>
    </row>
    <row r="319" spans="18:18" ht="15.75" customHeight="1">
      <c r="R319" s="30"/>
    </row>
    <row r="320" spans="18:18" ht="15.75" customHeight="1">
      <c r="R320" s="30"/>
    </row>
    <row r="321" spans="18:18" ht="15.75" customHeight="1">
      <c r="R321" s="30"/>
    </row>
    <row r="322" spans="18:18" ht="15.75" customHeight="1">
      <c r="R322" s="30"/>
    </row>
    <row r="323" spans="18:18" ht="15.75" customHeight="1">
      <c r="R323" s="30"/>
    </row>
    <row r="324" spans="18:18" ht="15.75" customHeight="1">
      <c r="R324" s="30"/>
    </row>
    <row r="325" spans="18:18" ht="15.75" customHeight="1">
      <c r="R325" s="30"/>
    </row>
    <row r="326" spans="18:18" ht="15.75" customHeight="1">
      <c r="R326" s="30"/>
    </row>
    <row r="327" spans="18:18" ht="15.75" customHeight="1">
      <c r="R327" s="30"/>
    </row>
    <row r="328" spans="18:18" ht="15.75" customHeight="1">
      <c r="R328" s="30"/>
    </row>
    <row r="329" spans="18:18" ht="15.75" customHeight="1">
      <c r="R329" s="30"/>
    </row>
    <row r="330" spans="18:18" ht="15.75" customHeight="1">
      <c r="R330" s="30"/>
    </row>
    <row r="331" spans="18:18" ht="15.75" customHeight="1">
      <c r="R331" s="30"/>
    </row>
    <row r="332" spans="18:18" ht="15.75" customHeight="1">
      <c r="R332" s="30"/>
    </row>
    <row r="333" spans="18:18" ht="15.75" customHeight="1">
      <c r="R333" s="30"/>
    </row>
    <row r="334" spans="18:18" ht="15.75" customHeight="1">
      <c r="R334" s="30"/>
    </row>
    <row r="335" spans="18:18" ht="15.75" customHeight="1">
      <c r="R335" s="30"/>
    </row>
    <row r="336" spans="18:18" ht="15.75" customHeight="1">
      <c r="R336" s="30"/>
    </row>
    <row r="337" spans="18:18" ht="15.75" customHeight="1">
      <c r="R337" s="30"/>
    </row>
    <row r="338" spans="18:18" ht="15.75" customHeight="1">
      <c r="R338" s="30"/>
    </row>
    <row r="339" spans="18:18" ht="15.75" customHeight="1">
      <c r="R339" s="30"/>
    </row>
    <row r="340" spans="18:18" ht="15.75" customHeight="1">
      <c r="R340" s="30"/>
    </row>
    <row r="341" spans="18:18" ht="15.75" customHeight="1">
      <c r="R341" s="30"/>
    </row>
    <row r="342" spans="18:18" ht="15.75" customHeight="1">
      <c r="R342" s="30"/>
    </row>
    <row r="343" spans="18:18" ht="15.75" customHeight="1">
      <c r="R343" s="30"/>
    </row>
    <row r="344" spans="18:18" ht="15.75" customHeight="1">
      <c r="R344" s="30"/>
    </row>
    <row r="345" spans="18:18" ht="15.75" customHeight="1">
      <c r="R345" s="30"/>
    </row>
    <row r="346" spans="18:18" ht="15.75" customHeight="1">
      <c r="R346" s="30"/>
    </row>
    <row r="347" spans="18:18" ht="15.75" customHeight="1">
      <c r="R347" s="30"/>
    </row>
    <row r="348" spans="18:18" ht="15.75" customHeight="1">
      <c r="R348" s="30"/>
    </row>
    <row r="349" spans="18:18" ht="15.75" customHeight="1">
      <c r="R349" s="30"/>
    </row>
    <row r="350" spans="18:18" ht="15.75" customHeight="1">
      <c r="R350" s="30"/>
    </row>
    <row r="351" spans="18:18" ht="15.75" customHeight="1">
      <c r="R351" s="30"/>
    </row>
    <row r="352" spans="18:18" ht="15.75" customHeight="1">
      <c r="R352" s="30"/>
    </row>
    <row r="353" spans="18:18" ht="15.75" customHeight="1">
      <c r="R353" s="30"/>
    </row>
    <row r="354" spans="18:18" ht="15.75" customHeight="1">
      <c r="R354" s="30"/>
    </row>
    <row r="355" spans="18:18" ht="15.75" customHeight="1">
      <c r="R355" s="30"/>
    </row>
    <row r="356" spans="18:18" ht="15.75" customHeight="1">
      <c r="R356" s="30"/>
    </row>
    <row r="357" spans="18:18" ht="15.75" customHeight="1">
      <c r="R357" s="30"/>
    </row>
    <row r="358" spans="18:18" ht="15.75" customHeight="1">
      <c r="R358" s="30"/>
    </row>
    <row r="359" spans="18:18" ht="15.75" customHeight="1">
      <c r="R359" s="30"/>
    </row>
    <row r="360" spans="18:18" ht="15.75" customHeight="1">
      <c r="R360" s="30"/>
    </row>
    <row r="361" spans="18:18" ht="15.75" customHeight="1">
      <c r="R361" s="30"/>
    </row>
    <row r="362" spans="18:18" ht="15.75" customHeight="1">
      <c r="R362" s="30"/>
    </row>
    <row r="363" spans="18:18" ht="15.75" customHeight="1">
      <c r="R363" s="30"/>
    </row>
    <row r="364" spans="18:18" ht="15.75" customHeight="1">
      <c r="R364" s="30"/>
    </row>
    <row r="365" spans="18:18" ht="15.75" customHeight="1">
      <c r="R365" s="30"/>
    </row>
    <row r="366" spans="18:18" ht="15.75" customHeight="1">
      <c r="R366" s="30"/>
    </row>
    <row r="367" spans="18:18" ht="15.75" customHeight="1">
      <c r="R367" s="30"/>
    </row>
    <row r="368" spans="18:18" ht="15.75" customHeight="1">
      <c r="R368" s="30"/>
    </row>
    <row r="369" spans="18:18" ht="15.75" customHeight="1">
      <c r="R369" s="30"/>
    </row>
    <row r="370" spans="18:18" ht="15.75" customHeight="1">
      <c r="R370" s="30"/>
    </row>
    <row r="371" spans="18:18" ht="15.75" customHeight="1">
      <c r="R371" s="30"/>
    </row>
    <row r="372" spans="18:18" ht="15.75" customHeight="1">
      <c r="R372" s="30"/>
    </row>
    <row r="373" spans="18:18" ht="15.75" customHeight="1">
      <c r="R373" s="30"/>
    </row>
    <row r="374" spans="18:18" ht="15.75" customHeight="1">
      <c r="R374" s="30"/>
    </row>
    <row r="375" spans="18:18" ht="15.75" customHeight="1">
      <c r="R375" s="30"/>
    </row>
    <row r="376" spans="18:18" ht="15.75" customHeight="1">
      <c r="R376" s="30"/>
    </row>
    <row r="377" spans="18:18" ht="15.75" customHeight="1">
      <c r="R377" s="30"/>
    </row>
    <row r="378" spans="18:18" ht="15.75" customHeight="1">
      <c r="R378" s="30"/>
    </row>
    <row r="379" spans="18:18" ht="15.75" customHeight="1">
      <c r="R379" s="30"/>
    </row>
    <row r="380" spans="18:18" ht="15.75" customHeight="1">
      <c r="R380" s="30"/>
    </row>
    <row r="381" spans="18:18" ht="15.75" customHeight="1">
      <c r="R381" s="30"/>
    </row>
    <row r="382" spans="18:18" ht="15.75" customHeight="1">
      <c r="R382" s="30"/>
    </row>
    <row r="383" spans="18:18" ht="15.75" customHeight="1">
      <c r="R383" s="30"/>
    </row>
    <row r="384" spans="18:18" ht="15.75" customHeight="1">
      <c r="R384" s="30"/>
    </row>
    <row r="385" spans="18:18" ht="15.75" customHeight="1">
      <c r="R385" s="30"/>
    </row>
    <row r="386" spans="18:18" ht="15.75" customHeight="1">
      <c r="R386" s="30"/>
    </row>
    <row r="387" spans="18:18" ht="15.75" customHeight="1">
      <c r="R387" s="30"/>
    </row>
    <row r="388" spans="18:18" ht="15.75" customHeight="1">
      <c r="R388" s="30"/>
    </row>
    <row r="389" spans="18:18" ht="15.75" customHeight="1">
      <c r="R389" s="30"/>
    </row>
    <row r="390" spans="18:18" ht="15.75" customHeight="1">
      <c r="R390" s="30"/>
    </row>
    <row r="391" spans="18:18" ht="15.75" customHeight="1">
      <c r="R391" s="30"/>
    </row>
    <row r="392" spans="18:18" ht="15.75" customHeight="1">
      <c r="R392" s="30"/>
    </row>
    <row r="393" spans="18:18" ht="15.75" customHeight="1">
      <c r="R393" s="30"/>
    </row>
    <row r="394" spans="18:18" ht="15.75" customHeight="1">
      <c r="R394" s="30"/>
    </row>
    <row r="395" spans="18:18" ht="15.75" customHeight="1">
      <c r="R395" s="30"/>
    </row>
    <row r="396" spans="18:18" ht="15.75" customHeight="1">
      <c r="R396" s="30"/>
    </row>
    <row r="397" spans="18:18" ht="15.75" customHeight="1">
      <c r="R397" s="30"/>
    </row>
    <row r="398" spans="18:18" ht="15.75" customHeight="1">
      <c r="R398" s="30"/>
    </row>
    <row r="399" spans="18:18" ht="15.75" customHeight="1">
      <c r="R399" s="30"/>
    </row>
    <row r="400" spans="18:18" ht="15.75" customHeight="1">
      <c r="R400" s="30"/>
    </row>
    <row r="401" spans="18:18" ht="15.75" customHeight="1">
      <c r="R401" s="30"/>
    </row>
    <row r="402" spans="18:18" ht="15.75" customHeight="1">
      <c r="R402" s="30"/>
    </row>
    <row r="403" spans="18:18" ht="15.75" customHeight="1">
      <c r="R403" s="30"/>
    </row>
    <row r="404" spans="18:18" ht="15.75" customHeight="1">
      <c r="R404" s="30"/>
    </row>
    <row r="405" spans="18:18" ht="15.75" customHeight="1">
      <c r="R405" s="30"/>
    </row>
    <row r="406" spans="18:18" ht="15.75" customHeight="1">
      <c r="R406" s="30"/>
    </row>
    <row r="407" spans="18:18" ht="15.75" customHeight="1">
      <c r="R407" s="30"/>
    </row>
    <row r="408" spans="18:18" ht="15.75" customHeight="1">
      <c r="R408" s="30"/>
    </row>
    <row r="409" spans="18:18" ht="15.75" customHeight="1">
      <c r="R409" s="30"/>
    </row>
    <row r="410" spans="18:18" ht="15.75" customHeight="1">
      <c r="R410" s="30"/>
    </row>
    <row r="411" spans="18:18" ht="15.75" customHeight="1">
      <c r="R411" s="30"/>
    </row>
    <row r="412" spans="18:18" ht="15.75" customHeight="1">
      <c r="R412" s="30"/>
    </row>
    <row r="413" spans="18:18" ht="15.75" customHeight="1">
      <c r="R413" s="30"/>
    </row>
    <row r="414" spans="18:18" ht="15.75" customHeight="1">
      <c r="R414" s="30"/>
    </row>
    <row r="415" spans="18:18" ht="15.75" customHeight="1">
      <c r="R415" s="30"/>
    </row>
    <row r="416" spans="18:18" ht="15.75" customHeight="1">
      <c r="R416" s="30"/>
    </row>
    <row r="417" spans="18:18" ht="15.75" customHeight="1">
      <c r="R417" s="30"/>
    </row>
    <row r="418" spans="18:18" ht="15.75" customHeight="1">
      <c r="R418" s="30"/>
    </row>
    <row r="419" spans="18:18" ht="15.75" customHeight="1">
      <c r="R419" s="30"/>
    </row>
    <row r="420" spans="18:18" ht="15.75" customHeight="1">
      <c r="R420" s="30"/>
    </row>
    <row r="421" spans="18:18" ht="15.75" customHeight="1">
      <c r="R421" s="30"/>
    </row>
    <row r="422" spans="18:18" ht="15.75" customHeight="1">
      <c r="R422" s="30"/>
    </row>
    <row r="423" spans="18:18" ht="15.75" customHeight="1">
      <c r="R423" s="30"/>
    </row>
    <row r="424" spans="18:18" ht="15.75" customHeight="1">
      <c r="R424" s="30"/>
    </row>
    <row r="425" spans="18:18" ht="15.75" customHeight="1">
      <c r="R425" s="30"/>
    </row>
    <row r="426" spans="18:18" ht="15.75" customHeight="1">
      <c r="R426" s="30"/>
    </row>
    <row r="427" spans="18:18" ht="15.75" customHeight="1">
      <c r="R427" s="30"/>
    </row>
    <row r="428" spans="18:18" ht="15.75" customHeight="1">
      <c r="R428" s="30"/>
    </row>
    <row r="429" spans="18:18" ht="15.75" customHeight="1">
      <c r="R429" s="30"/>
    </row>
    <row r="430" spans="18:18" ht="15.75" customHeight="1">
      <c r="R430" s="30"/>
    </row>
    <row r="431" spans="18:18" ht="15.75" customHeight="1">
      <c r="R431" s="30"/>
    </row>
    <row r="432" spans="18:18" ht="15.75" customHeight="1">
      <c r="R432" s="30"/>
    </row>
    <row r="433" spans="18:18" ht="15.75" customHeight="1">
      <c r="R433" s="30"/>
    </row>
    <row r="434" spans="18:18" ht="15.75" customHeight="1">
      <c r="R434" s="30"/>
    </row>
    <row r="435" spans="18:18" ht="15.75" customHeight="1">
      <c r="R435" s="30"/>
    </row>
    <row r="436" spans="18:18" ht="15.75" customHeight="1">
      <c r="R436" s="30"/>
    </row>
    <row r="437" spans="18:18" ht="15.75" customHeight="1">
      <c r="R437" s="30"/>
    </row>
    <row r="438" spans="18:18" ht="15.75" customHeight="1">
      <c r="R438" s="30"/>
    </row>
    <row r="439" spans="18:18" ht="15.75" customHeight="1">
      <c r="R439" s="30"/>
    </row>
    <row r="440" spans="18:18" ht="15.75" customHeight="1">
      <c r="R440" s="30"/>
    </row>
    <row r="441" spans="18:18" ht="15.75" customHeight="1">
      <c r="R441" s="30"/>
    </row>
    <row r="442" spans="18:18" ht="15.75" customHeight="1">
      <c r="R442" s="30"/>
    </row>
    <row r="443" spans="18:18" ht="15.75" customHeight="1">
      <c r="R443" s="30"/>
    </row>
    <row r="444" spans="18:18" ht="15.75" customHeight="1">
      <c r="R444" s="30"/>
    </row>
    <row r="445" spans="18:18" ht="15.75" customHeight="1">
      <c r="R445" s="30"/>
    </row>
    <row r="446" spans="18:18" ht="15.75" customHeight="1">
      <c r="R446" s="30"/>
    </row>
    <row r="447" spans="18:18" ht="15.75" customHeight="1">
      <c r="R447" s="30"/>
    </row>
    <row r="448" spans="18:18" ht="15.75" customHeight="1">
      <c r="R448" s="30"/>
    </row>
    <row r="449" spans="18:18" ht="15.75" customHeight="1">
      <c r="R449" s="30"/>
    </row>
    <row r="450" spans="18:18" ht="15.75" customHeight="1">
      <c r="R450" s="30"/>
    </row>
    <row r="451" spans="18:18" ht="15.75" customHeight="1">
      <c r="R451" s="30"/>
    </row>
    <row r="452" spans="18:18" ht="15.75" customHeight="1">
      <c r="R452" s="30"/>
    </row>
    <row r="453" spans="18:18" ht="15.75" customHeight="1">
      <c r="R453" s="30"/>
    </row>
    <row r="454" spans="18:18" ht="15.75" customHeight="1">
      <c r="R454" s="30"/>
    </row>
    <row r="455" spans="18:18" ht="15.75" customHeight="1">
      <c r="R455" s="30"/>
    </row>
    <row r="456" spans="18:18" ht="15.75" customHeight="1">
      <c r="R456" s="30"/>
    </row>
    <row r="457" spans="18:18" ht="15.75" customHeight="1">
      <c r="R457" s="30"/>
    </row>
    <row r="458" spans="18:18" ht="15.75" customHeight="1">
      <c r="R458" s="30"/>
    </row>
    <row r="459" spans="18:18" ht="15.75" customHeight="1">
      <c r="R459" s="30"/>
    </row>
    <row r="460" spans="18:18" ht="15.75" customHeight="1">
      <c r="R460" s="30"/>
    </row>
    <row r="461" spans="18:18" ht="15.75" customHeight="1">
      <c r="R461" s="30"/>
    </row>
    <row r="462" spans="18:18" ht="15.75" customHeight="1">
      <c r="R462" s="30"/>
    </row>
    <row r="463" spans="18:18" ht="15.75" customHeight="1">
      <c r="R463" s="30"/>
    </row>
    <row r="464" spans="18:18" ht="15.75" customHeight="1">
      <c r="R464" s="30"/>
    </row>
    <row r="465" spans="18:18" ht="15.75" customHeight="1">
      <c r="R465" s="30"/>
    </row>
    <row r="466" spans="18:18" ht="15.75" customHeight="1">
      <c r="R466" s="30"/>
    </row>
    <row r="467" spans="18:18" ht="15.75" customHeight="1">
      <c r="R467" s="30"/>
    </row>
    <row r="468" spans="18:18" ht="15.75" customHeight="1">
      <c r="R468" s="30"/>
    </row>
    <row r="469" spans="18:18" ht="15.75" customHeight="1">
      <c r="R469" s="30"/>
    </row>
    <row r="470" spans="18:18" ht="15.75" customHeight="1">
      <c r="R470" s="30"/>
    </row>
    <row r="471" spans="18:18" ht="15.75" customHeight="1">
      <c r="R471" s="30"/>
    </row>
    <row r="472" spans="18:18" ht="15.75" customHeight="1">
      <c r="R472" s="30"/>
    </row>
    <row r="473" spans="18:18" ht="15.75" customHeight="1">
      <c r="R473" s="30"/>
    </row>
    <row r="474" spans="18:18" ht="15.75" customHeight="1">
      <c r="R474" s="30"/>
    </row>
    <row r="475" spans="18:18" ht="15.75" customHeight="1">
      <c r="R475" s="30"/>
    </row>
    <row r="476" spans="18:18" ht="15.75" customHeight="1">
      <c r="R476" s="30"/>
    </row>
    <row r="477" spans="18:18" ht="15.75" customHeight="1">
      <c r="R477" s="30"/>
    </row>
    <row r="478" spans="18:18" ht="15.75" customHeight="1">
      <c r="R478" s="30"/>
    </row>
    <row r="479" spans="18:18" ht="15.75" customHeight="1">
      <c r="R479" s="30"/>
    </row>
    <row r="480" spans="18:18" ht="15.75" customHeight="1">
      <c r="R480" s="30"/>
    </row>
    <row r="481" spans="18:18" ht="15.75" customHeight="1">
      <c r="R481" s="30"/>
    </row>
    <row r="482" spans="18:18" ht="15.75" customHeight="1">
      <c r="R482" s="30"/>
    </row>
    <row r="483" spans="18:18" ht="15.75" customHeight="1">
      <c r="R483" s="30"/>
    </row>
    <row r="484" spans="18:18" ht="15.75" customHeight="1">
      <c r="R484" s="30"/>
    </row>
    <row r="485" spans="18:18" ht="15.75" customHeight="1">
      <c r="R485" s="30"/>
    </row>
    <row r="486" spans="18:18" ht="15.75" customHeight="1">
      <c r="R486" s="30"/>
    </row>
    <row r="487" spans="18:18" ht="15.75" customHeight="1">
      <c r="R487" s="30"/>
    </row>
    <row r="488" spans="18:18" ht="15.75" customHeight="1">
      <c r="R488" s="30"/>
    </row>
    <row r="489" spans="18:18" ht="15.75" customHeight="1">
      <c r="R489" s="30"/>
    </row>
    <row r="490" spans="18:18" ht="15.75" customHeight="1">
      <c r="R490" s="30"/>
    </row>
    <row r="491" spans="18:18" ht="15.75" customHeight="1">
      <c r="R491" s="30"/>
    </row>
    <row r="492" spans="18:18" ht="15.75" customHeight="1">
      <c r="R492" s="30"/>
    </row>
    <row r="493" spans="18:18" ht="15.75" customHeight="1">
      <c r="R493" s="30"/>
    </row>
    <row r="494" spans="18:18" ht="15.75" customHeight="1">
      <c r="R494" s="30"/>
    </row>
    <row r="495" spans="18:18" ht="15.75" customHeight="1">
      <c r="R495" s="30"/>
    </row>
    <row r="496" spans="18:18" ht="15.75" customHeight="1">
      <c r="R496" s="30"/>
    </row>
    <row r="497" spans="18:18" ht="15.75" customHeight="1">
      <c r="R497" s="30"/>
    </row>
    <row r="498" spans="18:18" ht="15.75" customHeight="1">
      <c r="R498" s="30"/>
    </row>
    <row r="499" spans="18:18" ht="15.75" customHeight="1">
      <c r="R499" s="30"/>
    </row>
    <row r="500" spans="18:18" ht="15.75" customHeight="1">
      <c r="R500" s="30"/>
    </row>
    <row r="501" spans="18:18" ht="15.75" customHeight="1">
      <c r="R501" s="30"/>
    </row>
    <row r="502" spans="18:18" ht="15.75" customHeight="1">
      <c r="R502" s="30"/>
    </row>
    <row r="503" spans="18:18" ht="15.75" customHeight="1">
      <c r="R503" s="30"/>
    </row>
    <row r="504" spans="18:18" ht="15.75" customHeight="1">
      <c r="R504" s="30"/>
    </row>
    <row r="505" spans="18:18" ht="15.75" customHeight="1">
      <c r="R505" s="30"/>
    </row>
    <row r="506" spans="18:18" ht="15.75" customHeight="1">
      <c r="R506" s="30"/>
    </row>
    <row r="507" spans="18:18" ht="15.75" customHeight="1">
      <c r="R507" s="30"/>
    </row>
    <row r="508" spans="18:18" ht="15.75" customHeight="1">
      <c r="R508" s="30"/>
    </row>
    <row r="509" spans="18:18" ht="15.75" customHeight="1">
      <c r="R509" s="30"/>
    </row>
    <row r="510" spans="18:18" ht="15.75" customHeight="1">
      <c r="R510" s="30"/>
    </row>
    <row r="511" spans="18:18" ht="15.75" customHeight="1">
      <c r="R511" s="30"/>
    </row>
    <row r="512" spans="18:18" ht="15.75" customHeight="1">
      <c r="R512" s="30"/>
    </row>
    <row r="513" spans="18:18" ht="15.75" customHeight="1">
      <c r="R513" s="30"/>
    </row>
    <row r="514" spans="18:18" ht="15.75" customHeight="1">
      <c r="R514" s="30"/>
    </row>
    <row r="515" spans="18:18" ht="15.75" customHeight="1">
      <c r="R515" s="30"/>
    </row>
    <row r="516" spans="18:18" ht="15.75" customHeight="1">
      <c r="R516" s="30"/>
    </row>
    <row r="517" spans="18:18" ht="15.75" customHeight="1">
      <c r="R517" s="30"/>
    </row>
    <row r="518" spans="18:18" ht="15.75" customHeight="1">
      <c r="R518" s="30"/>
    </row>
    <row r="519" spans="18:18" ht="15.75" customHeight="1">
      <c r="R519" s="30"/>
    </row>
    <row r="520" spans="18:18" ht="15.75" customHeight="1">
      <c r="R520" s="30"/>
    </row>
    <row r="521" spans="18:18" ht="15.75" customHeight="1">
      <c r="R521" s="30"/>
    </row>
    <row r="522" spans="18:18" ht="15.75" customHeight="1">
      <c r="R522" s="30"/>
    </row>
    <row r="523" spans="18:18" ht="15.75" customHeight="1">
      <c r="R523" s="30"/>
    </row>
    <row r="524" spans="18:18" ht="15.75" customHeight="1">
      <c r="R524" s="30"/>
    </row>
    <row r="525" spans="18:18" ht="15.75" customHeight="1">
      <c r="R525" s="30"/>
    </row>
    <row r="526" spans="18:18" ht="15.75" customHeight="1">
      <c r="R526" s="30"/>
    </row>
    <row r="527" spans="18:18" ht="15.75" customHeight="1">
      <c r="R527" s="30"/>
    </row>
    <row r="528" spans="18:18" ht="15.75" customHeight="1">
      <c r="R528" s="30"/>
    </row>
    <row r="529" spans="18:18" ht="15.75" customHeight="1">
      <c r="R529" s="30"/>
    </row>
    <row r="530" spans="18:18" ht="15.75" customHeight="1">
      <c r="R530" s="30"/>
    </row>
    <row r="531" spans="18:18" ht="15.75" customHeight="1">
      <c r="R531" s="30"/>
    </row>
    <row r="532" spans="18:18" ht="15.75" customHeight="1">
      <c r="R532" s="30"/>
    </row>
    <row r="533" spans="18:18" ht="15.75" customHeight="1">
      <c r="R533" s="30"/>
    </row>
    <row r="534" spans="18:18" ht="15.75" customHeight="1">
      <c r="R534" s="30"/>
    </row>
    <row r="535" spans="18:18" ht="15.75" customHeight="1">
      <c r="R535" s="30"/>
    </row>
    <row r="536" spans="18:18" ht="15.75" customHeight="1">
      <c r="R536" s="30"/>
    </row>
    <row r="537" spans="18:18" ht="15.75" customHeight="1">
      <c r="R537" s="30"/>
    </row>
    <row r="538" spans="18:18" ht="15.75" customHeight="1">
      <c r="R538" s="30"/>
    </row>
    <row r="539" spans="18:18" ht="15.75" customHeight="1">
      <c r="R539" s="30"/>
    </row>
    <row r="540" spans="18:18" ht="15.75" customHeight="1">
      <c r="R540" s="30"/>
    </row>
    <row r="541" spans="18:18" ht="15.75" customHeight="1">
      <c r="R541" s="30"/>
    </row>
    <row r="542" spans="18:18" ht="15.75" customHeight="1">
      <c r="R542" s="30"/>
    </row>
    <row r="543" spans="18:18" ht="15.75" customHeight="1">
      <c r="R543" s="30"/>
    </row>
    <row r="544" spans="18:18" ht="15.75" customHeight="1">
      <c r="R544" s="30"/>
    </row>
    <row r="545" spans="18:18" ht="15.75" customHeight="1">
      <c r="R545" s="30"/>
    </row>
    <row r="546" spans="18:18" ht="15.75" customHeight="1">
      <c r="R546" s="30"/>
    </row>
    <row r="547" spans="18:18" ht="15.75" customHeight="1">
      <c r="R547" s="30"/>
    </row>
    <row r="548" spans="18:18" ht="15.75" customHeight="1">
      <c r="R548" s="30"/>
    </row>
    <row r="549" spans="18:18" ht="15.75" customHeight="1">
      <c r="R549" s="30"/>
    </row>
    <row r="550" spans="18:18" ht="15.75" customHeight="1">
      <c r="R550" s="30"/>
    </row>
    <row r="551" spans="18:18" ht="15.75" customHeight="1">
      <c r="R551" s="30"/>
    </row>
    <row r="552" spans="18:18" ht="15.75" customHeight="1">
      <c r="R552" s="30"/>
    </row>
    <row r="553" spans="18:18" ht="15.75" customHeight="1">
      <c r="R553" s="30"/>
    </row>
    <row r="554" spans="18:18" ht="15.75" customHeight="1">
      <c r="R554" s="30"/>
    </row>
    <row r="555" spans="18:18" ht="15.75" customHeight="1">
      <c r="R555" s="30"/>
    </row>
    <row r="556" spans="18:18" ht="15.75" customHeight="1">
      <c r="R556" s="30"/>
    </row>
    <row r="557" spans="18:18" ht="15.75" customHeight="1">
      <c r="R557" s="30"/>
    </row>
    <row r="558" spans="18:18" ht="15.75" customHeight="1">
      <c r="R558" s="30"/>
    </row>
    <row r="559" spans="18:18" ht="15.75" customHeight="1">
      <c r="R559" s="30"/>
    </row>
    <row r="560" spans="18:18" ht="15.75" customHeight="1">
      <c r="R560" s="30"/>
    </row>
    <row r="561" spans="18:18" ht="15.75" customHeight="1">
      <c r="R561" s="30"/>
    </row>
    <row r="562" spans="18:18" ht="15.75" customHeight="1">
      <c r="R562" s="30"/>
    </row>
    <row r="563" spans="18:18" ht="15.75" customHeight="1">
      <c r="R563" s="30"/>
    </row>
    <row r="564" spans="18:18" ht="15.75" customHeight="1">
      <c r="R564" s="30"/>
    </row>
    <row r="565" spans="18:18" ht="15.75" customHeight="1">
      <c r="R565" s="30"/>
    </row>
    <row r="566" spans="18:18" ht="15.75" customHeight="1">
      <c r="R566" s="30"/>
    </row>
    <row r="567" spans="18:18" ht="15.75" customHeight="1">
      <c r="R567" s="30"/>
    </row>
    <row r="568" spans="18:18" ht="15.75" customHeight="1">
      <c r="R568" s="30"/>
    </row>
    <row r="569" spans="18:18" ht="15.75" customHeight="1">
      <c r="R569" s="30"/>
    </row>
    <row r="570" spans="18:18" ht="15.75" customHeight="1">
      <c r="R570" s="30"/>
    </row>
    <row r="571" spans="18:18" ht="15.75" customHeight="1">
      <c r="R571" s="30"/>
    </row>
    <row r="572" spans="18:18" ht="15.75" customHeight="1">
      <c r="R572" s="30"/>
    </row>
    <row r="573" spans="18:18" ht="15.75" customHeight="1">
      <c r="R573" s="30"/>
    </row>
    <row r="574" spans="18:18" ht="15.75" customHeight="1">
      <c r="R574" s="30"/>
    </row>
    <row r="575" spans="18:18" ht="15.75" customHeight="1">
      <c r="R575" s="30"/>
    </row>
    <row r="576" spans="18:18" ht="15.75" customHeight="1">
      <c r="R576" s="30"/>
    </row>
    <row r="577" spans="18:18" ht="15.75" customHeight="1">
      <c r="R577" s="30"/>
    </row>
    <row r="578" spans="18:18" ht="15.75" customHeight="1">
      <c r="R578" s="30"/>
    </row>
    <row r="579" spans="18:18" ht="15.75" customHeight="1">
      <c r="R579" s="30"/>
    </row>
    <row r="580" spans="18:18" ht="15.75" customHeight="1">
      <c r="R580" s="30"/>
    </row>
    <row r="581" spans="18:18" ht="15.75" customHeight="1">
      <c r="R581" s="30"/>
    </row>
    <row r="582" spans="18:18" ht="15.75" customHeight="1">
      <c r="R582" s="30"/>
    </row>
    <row r="583" spans="18:18" ht="15.75" customHeight="1">
      <c r="R583" s="30"/>
    </row>
    <row r="584" spans="18:18" ht="15.75" customHeight="1">
      <c r="R584" s="30"/>
    </row>
    <row r="585" spans="18:18" ht="15.75" customHeight="1">
      <c r="R585" s="30"/>
    </row>
    <row r="586" spans="18:18" ht="15.75" customHeight="1">
      <c r="R586" s="30"/>
    </row>
    <row r="587" spans="18:18" ht="15.75" customHeight="1">
      <c r="R587" s="30"/>
    </row>
    <row r="588" spans="18:18" ht="15.75" customHeight="1">
      <c r="R588" s="30"/>
    </row>
    <row r="589" spans="18:18" ht="15.75" customHeight="1">
      <c r="R589" s="30"/>
    </row>
    <row r="590" spans="18:18" ht="15.75" customHeight="1">
      <c r="R590" s="30"/>
    </row>
    <row r="591" spans="18:18" ht="15.75" customHeight="1">
      <c r="R591" s="30"/>
    </row>
    <row r="592" spans="18:18" ht="15.75" customHeight="1">
      <c r="R592" s="30"/>
    </row>
    <row r="593" spans="18:18" ht="15.75" customHeight="1">
      <c r="R593" s="30"/>
    </row>
    <row r="594" spans="18:18" ht="15.75" customHeight="1">
      <c r="R594" s="30"/>
    </row>
    <row r="595" spans="18:18" ht="15.75" customHeight="1">
      <c r="R595" s="30"/>
    </row>
    <row r="596" spans="18:18" ht="15.75" customHeight="1">
      <c r="R596" s="30"/>
    </row>
    <row r="597" spans="18:18" ht="15.75" customHeight="1">
      <c r="R597" s="30"/>
    </row>
    <row r="598" spans="18:18" ht="15.75" customHeight="1">
      <c r="R598" s="30"/>
    </row>
    <row r="599" spans="18:18" ht="15.75" customHeight="1">
      <c r="R599" s="30"/>
    </row>
    <row r="600" spans="18:18" ht="15.75" customHeight="1">
      <c r="R600" s="30"/>
    </row>
    <row r="601" spans="18:18" ht="15.75" customHeight="1">
      <c r="R601" s="30"/>
    </row>
    <row r="602" spans="18:18" ht="15.75" customHeight="1">
      <c r="R602" s="30"/>
    </row>
    <row r="603" spans="18:18" ht="15.75" customHeight="1">
      <c r="R603" s="30"/>
    </row>
    <row r="604" spans="18:18" ht="15.75" customHeight="1">
      <c r="R604" s="30"/>
    </row>
    <row r="605" spans="18:18" ht="15.75" customHeight="1">
      <c r="R605" s="30"/>
    </row>
    <row r="606" spans="18:18" ht="15.75" customHeight="1">
      <c r="R606" s="30"/>
    </row>
    <row r="607" spans="18:18" ht="15.75" customHeight="1">
      <c r="R607" s="30"/>
    </row>
    <row r="608" spans="18:18" ht="15.75" customHeight="1">
      <c r="R608" s="30"/>
    </row>
    <row r="609" spans="18:18" ht="15.75" customHeight="1">
      <c r="R609" s="30"/>
    </row>
    <row r="610" spans="18:18" ht="15.75" customHeight="1">
      <c r="R610" s="30"/>
    </row>
    <row r="611" spans="18:18" ht="15.75" customHeight="1">
      <c r="R611" s="30"/>
    </row>
    <row r="612" spans="18:18" ht="15.75" customHeight="1">
      <c r="R612" s="30"/>
    </row>
    <row r="613" spans="18:18" ht="15.75" customHeight="1">
      <c r="R613" s="30"/>
    </row>
    <row r="614" spans="18:18" ht="15.75" customHeight="1">
      <c r="R614" s="30"/>
    </row>
    <row r="615" spans="18:18" ht="15.75" customHeight="1">
      <c r="R615" s="30"/>
    </row>
    <row r="616" spans="18:18" ht="15.75" customHeight="1">
      <c r="R616" s="30"/>
    </row>
    <row r="617" spans="18:18" ht="15.75" customHeight="1">
      <c r="R617" s="30"/>
    </row>
    <row r="618" spans="18:18" ht="15.75" customHeight="1">
      <c r="R618" s="30"/>
    </row>
    <row r="619" spans="18:18" ht="15.75" customHeight="1">
      <c r="R619" s="30"/>
    </row>
    <row r="620" spans="18:18" ht="15.75" customHeight="1">
      <c r="R620" s="30"/>
    </row>
    <row r="621" spans="18:18" ht="15.75" customHeight="1">
      <c r="R621" s="30"/>
    </row>
    <row r="622" spans="18:18" ht="15.75" customHeight="1">
      <c r="R622" s="30"/>
    </row>
    <row r="623" spans="18:18" ht="15.75" customHeight="1">
      <c r="R623" s="30"/>
    </row>
    <row r="624" spans="18:18" ht="15.75" customHeight="1">
      <c r="R624" s="30"/>
    </row>
    <row r="625" spans="18:18" ht="15.75" customHeight="1">
      <c r="R625" s="30"/>
    </row>
    <row r="626" spans="18:18" ht="15.75" customHeight="1">
      <c r="R626" s="30"/>
    </row>
    <row r="627" spans="18:18" ht="15.75" customHeight="1">
      <c r="R627" s="30"/>
    </row>
    <row r="628" spans="18:18" ht="15.75" customHeight="1">
      <c r="R628" s="30"/>
    </row>
    <row r="629" spans="18:18" ht="15.75" customHeight="1">
      <c r="R629" s="30"/>
    </row>
    <row r="630" spans="18:18" ht="15.75" customHeight="1">
      <c r="R630" s="30"/>
    </row>
    <row r="631" spans="18:18" ht="15.75" customHeight="1">
      <c r="R631" s="30"/>
    </row>
    <row r="632" spans="18:18" ht="15.75" customHeight="1">
      <c r="R632" s="30"/>
    </row>
    <row r="633" spans="18:18" ht="15.75" customHeight="1">
      <c r="R633" s="30"/>
    </row>
    <row r="634" spans="18:18" ht="15.75" customHeight="1">
      <c r="R634" s="30"/>
    </row>
    <row r="635" spans="18:18" ht="15.75" customHeight="1">
      <c r="R635" s="30"/>
    </row>
    <row r="636" spans="18:18" ht="15.75" customHeight="1">
      <c r="R636" s="30"/>
    </row>
    <row r="637" spans="18:18" ht="15.75" customHeight="1">
      <c r="R637" s="30"/>
    </row>
    <row r="638" spans="18:18" ht="15.75" customHeight="1">
      <c r="R638" s="30"/>
    </row>
    <row r="639" spans="18:18" ht="15.75" customHeight="1">
      <c r="R639" s="30"/>
    </row>
    <row r="640" spans="18:18" ht="15.75" customHeight="1">
      <c r="R640" s="30"/>
    </row>
    <row r="641" spans="18:18" ht="15.75" customHeight="1">
      <c r="R641" s="30"/>
    </row>
    <row r="642" spans="18:18" ht="15.75" customHeight="1">
      <c r="R642" s="30"/>
    </row>
    <row r="643" spans="18:18" ht="15.75" customHeight="1">
      <c r="R643" s="30"/>
    </row>
    <row r="644" spans="18:18" ht="15.75" customHeight="1">
      <c r="R644" s="30"/>
    </row>
    <row r="645" spans="18:18" ht="15.75" customHeight="1">
      <c r="R645" s="30"/>
    </row>
    <row r="646" spans="18:18" ht="15.75" customHeight="1">
      <c r="R646" s="30"/>
    </row>
    <row r="647" spans="18:18" ht="15.75" customHeight="1">
      <c r="R647" s="30"/>
    </row>
    <row r="648" spans="18:18" ht="15.75" customHeight="1">
      <c r="R648" s="30"/>
    </row>
    <row r="649" spans="18:18" ht="15.75" customHeight="1">
      <c r="R649" s="30"/>
    </row>
    <row r="650" spans="18:18" ht="15.75" customHeight="1">
      <c r="R650" s="30"/>
    </row>
    <row r="651" spans="18:18" ht="15.75" customHeight="1">
      <c r="R651" s="30"/>
    </row>
    <row r="652" spans="18:18" ht="15.75" customHeight="1">
      <c r="R652" s="30"/>
    </row>
    <row r="653" spans="18:18" ht="15.75" customHeight="1">
      <c r="R653" s="30"/>
    </row>
    <row r="654" spans="18:18" ht="15.75" customHeight="1">
      <c r="R654" s="30"/>
    </row>
    <row r="655" spans="18:18" ht="15.75" customHeight="1">
      <c r="R655" s="30"/>
    </row>
    <row r="656" spans="18:18" ht="15.75" customHeight="1">
      <c r="R656" s="30"/>
    </row>
    <row r="657" spans="18:18" ht="15.75" customHeight="1">
      <c r="R657" s="30"/>
    </row>
    <row r="658" spans="18:18" ht="15.75" customHeight="1">
      <c r="R658" s="30"/>
    </row>
    <row r="659" spans="18:18" ht="15.75" customHeight="1">
      <c r="R659" s="30"/>
    </row>
    <row r="660" spans="18:18" ht="15.75" customHeight="1">
      <c r="R660" s="30"/>
    </row>
    <row r="661" spans="18:18" ht="15.75" customHeight="1">
      <c r="R661" s="30"/>
    </row>
    <row r="662" spans="18:18" ht="15.75" customHeight="1">
      <c r="R662" s="30"/>
    </row>
    <row r="663" spans="18:18" ht="15.75" customHeight="1">
      <c r="R663" s="30"/>
    </row>
    <row r="664" spans="18:18" ht="15.75" customHeight="1">
      <c r="R664" s="30"/>
    </row>
    <row r="665" spans="18:18" ht="15.75" customHeight="1">
      <c r="R665" s="30"/>
    </row>
    <row r="666" spans="18:18" ht="15.75" customHeight="1">
      <c r="R666" s="30"/>
    </row>
    <row r="667" spans="18:18" ht="15.75" customHeight="1">
      <c r="R667" s="30"/>
    </row>
    <row r="668" spans="18:18" ht="15.75" customHeight="1">
      <c r="R668" s="30"/>
    </row>
    <row r="669" spans="18:18" ht="15.75" customHeight="1">
      <c r="R669" s="30"/>
    </row>
    <row r="670" spans="18:18" ht="15.75" customHeight="1">
      <c r="R670" s="30"/>
    </row>
    <row r="671" spans="18:18" ht="15.75" customHeight="1">
      <c r="R671" s="30"/>
    </row>
    <row r="672" spans="18:18" ht="15.75" customHeight="1">
      <c r="R672" s="30"/>
    </row>
    <row r="673" spans="18:18" ht="15.75" customHeight="1">
      <c r="R673" s="30"/>
    </row>
    <row r="674" spans="18:18" ht="15.75" customHeight="1">
      <c r="R674" s="30"/>
    </row>
    <row r="675" spans="18:18" ht="15.75" customHeight="1">
      <c r="R675" s="30"/>
    </row>
    <row r="676" spans="18:18" ht="15.75" customHeight="1">
      <c r="R676" s="30"/>
    </row>
    <row r="677" spans="18:18" ht="15.75" customHeight="1">
      <c r="R677" s="30"/>
    </row>
    <row r="678" spans="18:18" ht="15.75" customHeight="1">
      <c r="R678" s="30"/>
    </row>
    <row r="679" spans="18:18" ht="15.75" customHeight="1">
      <c r="R679" s="30"/>
    </row>
    <row r="680" spans="18:18" ht="15.75" customHeight="1">
      <c r="R680" s="30"/>
    </row>
    <row r="681" spans="18:18" ht="15.75" customHeight="1">
      <c r="R681" s="30"/>
    </row>
    <row r="682" spans="18:18" ht="15.75" customHeight="1">
      <c r="R682" s="30"/>
    </row>
    <row r="683" spans="18:18" ht="15.75" customHeight="1">
      <c r="R683" s="30"/>
    </row>
    <row r="684" spans="18:18" ht="15.75" customHeight="1">
      <c r="R684" s="30"/>
    </row>
    <row r="685" spans="18:18" ht="15.75" customHeight="1">
      <c r="R685" s="30"/>
    </row>
    <row r="686" spans="18:18" ht="15.75" customHeight="1">
      <c r="R686" s="30"/>
    </row>
    <row r="687" spans="18:18" ht="15.75" customHeight="1">
      <c r="R687" s="30"/>
    </row>
    <row r="688" spans="18:18" ht="15.75" customHeight="1">
      <c r="R688" s="30"/>
    </row>
    <row r="689" spans="18:18" ht="15.75" customHeight="1">
      <c r="R689" s="30"/>
    </row>
    <row r="690" spans="18:18" ht="15.75" customHeight="1">
      <c r="R690" s="30"/>
    </row>
    <row r="691" spans="18:18" ht="15.75" customHeight="1">
      <c r="R691" s="30"/>
    </row>
    <row r="692" spans="18:18" ht="15.75" customHeight="1">
      <c r="R692" s="30"/>
    </row>
    <row r="693" spans="18:18" ht="15.75" customHeight="1">
      <c r="R693" s="30"/>
    </row>
    <row r="694" spans="18:18" ht="15.75" customHeight="1">
      <c r="R694" s="30"/>
    </row>
    <row r="695" spans="18:18" ht="15.75" customHeight="1">
      <c r="R695" s="30"/>
    </row>
    <row r="696" spans="18:18" ht="15.75" customHeight="1">
      <c r="R696" s="30"/>
    </row>
    <row r="697" spans="18:18" ht="15.75" customHeight="1">
      <c r="R697" s="30"/>
    </row>
    <row r="698" spans="18:18" ht="15.75" customHeight="1">
      <c r="R698" s="30"/>
    </row>
    <row r="699" spans="18:18" ht="15.75" customHeight="1">
      <c r="R699" s="30"/>
    </row>
    <row r="700" spans="18:18" ht="15.75" customHeight="1">
      <c r="R700" s="30"/>
    </row>
    <row r="701" spans="18:18" ht="15.75" customHeight="1">
      <c r="R701" s="30"/>
    </row>
    <row r="702" spans="18:18" ht="15.75" customHeight="1">
      <c r="R702" s="30"/>
    </row>
    <row r="703" spans="18:18" ht="15.75" customHeight="1">
      <c r="R703" s="30"/>
    </row>
    <row r="704" spans="18:18" ht="15.75" customHeight="1">
      <c r="R704" s="30"/>
    </row>
    <row r="705" spans="18:18" ht="15.75" customHeight="1">
      <c r="R705" s="30"/>
    </row>
    <row r="706" spans="18:18" ht="15.75" customHeight="1">
      <c r="R706" s="30"/>
    </row>
    <row r="707" spans="18:18" ht="15.75" customHeight="1">
      <c r="R707" s="30"/>
    </row>
    <row r="708" spans="18:18" ht="15.75" customHeight="1">
      <c r="R708" s="30"/>
    </row>
    <row r="709" spans="18:18" ht="15.75" customHeight="1">
      <c r="R709" s="30"/>
    </row>
    <row r="710" spans="18:18" ht="15.75" customHeight="1">
      <c r="R710" s="30"/>
    </row>
    <row r="711" spans="18:18" ht="15.75" customHeight="1">
      <c r="R711" s="30"/>
    </row>
    <row r="712" spans="18:18" ht="15.75" customHeight="1">
      <c r="R712" s="30"/>
    </row>
    <row r="713" spans="18:18" ht="15.75" customHeight="1">
      <c r="R713" s="30"/>
    </row>
    <row r="714" spans="18:18" ht="15.75" customHeight="1">
      <c r="R714" s="30"/>
    </row>
    <row r="715" spans="18:18" ht="15.75" customHeight="1">
      <c r="R715" s="30"/>
    </row>
    <row r="716" spans="18:18" ht="15.75" customHeight="1">
      <c r="R716" s="30"/>
    </row>
    <row r="717" spans="18:18" ht="15.75" customHeight="1">
      <c r="R717" s="30"/>
    </row>
    <row r="718" spans="18:18" ht="15.75" customHeight="1">
      <c r="R718" s="30"/>
    </row>
    <row r="719" spans="18:18" ht="15.75" customHeight="1">
      <c r="R719" s="30"/>
    </row>
    <row r="720" spans="18:18" ht="15.75" customHeight="1">
      <c r="R720" s="30"/>
    </row>
    <row r="721" spans="18:18" ht="15.75" customHeight="1">
      <c r="R721" s="30"/>
    </row>
    <row r="722" spans="18:18" ht="15.75" customHeight="1">
      <c r="R722" s="30"/>
    </row>
    <row r="723" spans="18:18" ht="15.75" customHeight="1">
      <c r="R723" s="30"/>
    </row>
    <row r="724" spans="18:18" ht="15.75" customHeight="1">
      <c r="R724" s="30"/>
    </row>
    <row r="725" spans="18:18" ht="15.75" customHeight="1">
      <c r="R725" s="30"/>
    </row>
    <row r="726" spans="18:18" ht="15.75" customHeight="1">
      <c r="R726" s="30"/>
    </row>
    <row r="727" spans="18:18" ht="15.75" customHeight="1">
      <c r="R727" s="30"/>
    </row>
    <row r="728" spans="18:18" ht="15.75" customHeight="1">
      <c r="R728" s="30"/>
    </row>
    <row r="729" spans="18:18" ht="15.75" customHeight="1">
      <c r="R729" s="30"/>
    </row>
    <row r="730" spans="18:18" ht="15.75" customHeight="1">
      <c r="R730" s="30"/>
    </row>
    <row r="731" spans="18:18" ht="15.75" customHeight="1">
      <c r="R731" s="30"/>
    </row>
    <row r="732" spans="18:18" ht="15.75" customHeight="1">
      <c r="R732" s="30"/>
    </row>
    <row r="733" spans="18:18" ht="15.75" customHeight="1">
      <c r="R733" s="30"/>
    </row>
    <row r="734" spans="18:18" ht="15.75" customHeight="1">
      <c r="R734" s="30"/>
    </row>
    <row r="735" spans="18:18" ht="15.75" customHeight="1">
      <c r="R735" s="30"/>
    </row>
    <row r="736" spans="18:18" ht="15.75" customHeight="1">
      <c r="R736" s="30"/>
    </row>
    <row r="737" spans="18:18" ht="15.75" customHeight="1">
      <c r="R737" s="30"/>
    </row>
    <row r="738" spans="18:18" ht="15.75" customHeight="1">
      <c r="R738" s="30"/>
    </row>
    <row r="739" spans="18:18" ht="15.75" customHeight="1">
      <c r="R739" s="30"/>
    </row>
    <row r="740" spans="18:18" ht="15.75" customHeight="1">
      <c r="R740" s="30"/>
    </row>
    <row r="741" spans="18:18" ht="15.75" customHeight="1">
      <c r="R741" s="30"/>
    </row>
    <row r="742" spans="18:18" ht="15.75" customHeight="1">
      <c r="R742" s="30"/>
    </row>
    <row r="743" spans="18:18" ht="15.75" customHeight="1">
      <c r="R743" s="30"/>
    </row>
    <row r="744" spans="18:18" ht="15.75" customHeight="1">
      <c r="R744" s="30"/>
    </row>
    <row r="745" spans="18:18" ht="15.75" customHeight="1">
      <c r="R745" s="30"/>
    </row>
    <row r="746" spans="18:18" ht="15.75" customHeight="1">
      <c r="R746" s="30"/>
    </row>
    <row r="747" spans="18:18" ht="15.75" customHeight="1">
      <c r="R747" s="30"/>
    </row>
    <row r="748" spans="18:18" ht="15.75" customHeight="1">
      <c r="R748" s="30"/>
    </row>
    <row r="749" spans="18:18" ht="15.75" customHeight="1">
      <c r="R749" s="30"/>
    </row>
    <row r="750" spans="18:18" ht="15.75" customHeight="1">
      <c r="R750" s="30"/>
    </row>
    <row r="751" spans="18:18" ht="15.75" customHeight="1">
      <c r="R751" s="30"/>
    </row>
    <row r="752" spans="18:18" ht="15.75" customHeight="1">
      <c r="R752" s="30"/>
    </row>
    <row r="753" spans="18:18" ht="15.75" customHeight="1">
      <c r="R753" s="30"/>
    </row>
    <row r="754" spans="18:18" ht="15.75" customHeight="1">
      <c r="R754" s="30"/>
    </row>
    <row r="755" spans="18:18" ht="15.75" customHeight="1">
      <c r="R755" s="30"/>
    </row>
    <row r="756" spans="18:18" ht="15.75" customHeight="1">
      <c r="R756" s="30"/>
    </row>
    <row r="757" spans="18:18" ht="15.75" customHeight="1">
      <c r="R757" s="30"/>
    </row>
    <row r="758" spans="18:18" ht="15.75" customHeight="1">
      <c r="R758" s="30"/>
    </row>
    <row r="759" spans="18:18" ht="15.75" customHeight="1">
      <c r="R759" s="30"/>
    </row>
    <row r="760" spans="18:18" ht="15.75" customHeight="1">
      <c r="R760" s="30"/>
    </row>
    <row r="761" spans="18:18" ht="15.75" customHeight="1">
      <c r="R761" s="30"/>
    </row>
    <row r="762" spans="18:18" ht="15.75" customHeight="1">
      <c r="R762" s="30"/>
    </row>
    <row r="763" spans="18:18" ht="15.75" customHeight="1">
      <c r="R763" s="30"/>
    </row>
    <row r="764" spans="18:18" ht="15.75" customHeight="1">
      <c r="R764" s="30"/>
    </row>
    <row r="765" spans="18:18" ht="15.75" customHeight="1">
      <c r="R765" s="30"/>
    </row>
    <row r="766" spans="18:18" ht="15.75" customHeight="1">
      <c r="R766" s="30"/>
    </row>
    <row r="767" spans="18:18" ht="15.75" customHeight="1">
      <c r="R767" s="30"/>
    </row>
    <row r="768" spans="18:18" ht="15.75" customHeight="1">
      <c r="R768" s="30"/>
    </row>
    <row r="769" spans="18:18" ht="15.75" customHeight="1">
      <c r="R769" s="30"/>
    </row>
    <row r="770" spans="18:18" ht="15.75" customHeight="1">
      <c r="R770" s="30"/>
    </row>
    <row r="771" spans="18:18" ht="15.75" customHeight="1">
      <c r="R771" s="30"/>
    </row>
    <row r="772" spans="18:18" ht="15.75" customHeight="1">
      <c r="R772" s="30"/>
    </row>
    <row r="773" spans="18:18" ht="15.75" customHeight="1">
      <c r="R773" s="30"/>
    </row>
    <row r="774" spans="18:18" ht="15.75" customHeight="1">
      <c r="R774" s="30"/>
    </row>
    <row r="775" spans="18:18" ht="15.75" customHeight="1">
      <c r="R775" s="30"/>
    </row>
    <row r="776" spans="18:18" ht="15.75" customHeight="1">
      <c r="R776" s="30"/>
    </row>
    <row r="777" spans="18:18" ht="15.75" customHeight="1">
      <c r="R777" s="30"/>
    </row>
    <row r="778" spans="18:18" ht="15.75" customHeight="1">
      <c r="R778" s="30"/>
    </row>
    <row r="779" spans="18:18" ht="15.75" customHeight="1">
      <c r="R779" s="30"/>
    </row>
    <row r="780" spans="18:18" ht="15.75" customHeight="1">
      <c r="R780" s="30"/>
    </row>
    <row r="781" spans="18:18" ht="15.75" customHeight="1">
      <c r="R781" s="30"/>
    </row>
    <row r="782" spans="18:18" ht="15.75" customHeight="1">
      <c r="R782" s="30"/>
    </row>
    <row r="783" spans="18:18" ht="15.75" customHeight="1">
      <c r="R783" s="30"/>
    </row>
    <row r="784" spans="18:18" ht="15.75" customHeight="1">
      <c r="R784" s="30"/>
    </row>
    <row r="785" spans="18:18" ht="15.75" customHeight="1">
      <c r="R785" s="30"/>
    </row>
    <row r="786" spans="18:18" ht="15.75" customHeight="1">
      <c r="R786" s="30"/>
    </row>
    <row r="787" spans="18:18" ht="15.75" customHeight="1">
      <c r="R787" s="30"/>
    </row>
    <row r="788" spans="18:18" ht="15.75" customHeight="1">
      <c r="R788" s="30"/>
    </row>
    <row r="789" spans="18:18" ht="15.75" customHeight="1">
      <c r="R789" s="30"/>
    </row>
    <row r="790" spans="18:18" ht="15.75" customHeight="1">
      <c r="R790" s="30"/>
    </row>
    <row r="791" spans="18:18" ht="15.75" customHeight="1">
      <c r="R791" s="30"/>
    </row>
    <row r="792" spans="18:18" ht="15.75" customHeight="1">
      <c r="R792" s="30"/>
    </row>
    <row r="793" spans="18:18" ht="15.75" customHeight="1">
      <c r="R793" s="30"/>
    </row>
    <row r="794" spans="18:18" ht="15.75" customHeight="1">
      <c r="R794" s="30"/>
    </row>
    <row r="795" spans="18:18" ht="15.75" customHeight="1">
      <c r="R795" s="30"/>
    </row>
    <row r="796" spans="18:18" ht="15.75" customHeight="1">
      <c r="R796" s="30"/>
    </row>
    <row r="797" spans="18:18" ht="15.75" customHeight="1">
      <c r="R797" s="30"/>
    </row>
    <row r="798" spans="18:18" ht="15.75" customHeight="1">
      <c r="R798" s="30"/>
    </row>
    <row r="799" spans="18:18" ht="15.75" customHeight="1">
      <c r="R799" s="30"/>
    </row>
    <row r="800" spans="18:18" ht="15.75" customHeight="1">
      <c r="R800" s="30"/>
    </row>
    <row r="801" spans="18:18" ht="15.75" customHeight="1">
      <c r="R801" s="30"/>
    </row>
    <row r="802" spans="18:18" ht="15.75" customHeight="1">
      <c r="R802" s="30"/>
    </row>
    <row r="803" spans="18:18" ht="15.75" customHeight="1">
      <c r="R803" s="30"/>
    </row>
    <row r="804" spans="18:18" ht="15.75" customHeight="1">
      <c r="R804" s="30"/>
    </row>
    <row r="805" spans="18:18" ht="15.75" customHeight="1">
      <c r="R805" s="30"/>
    </row>
    <row r="806" spans="18:18" ht="15.75" customHeight="1">
      <c r="R806" s="30"/>
    </row>
    <row r="807" spans="18:18" ht="15.75" customHeight="1">
      <c r="R807" s="30"/>
    </row>
    <row r="808" spans="18:18" ht="15.75" customHeight="1">
      <c r="R808" s="30"/>
    </row>
    <row r="809" spans="18:18" ht="15.75" customHeight="1">
      <c r="R809" s="30"/>
    </row>
    <row r="810" spans="18:18" ht="15.75" customHeight="1">
      <c r="R810" s="30"/>
    </row>
    <row r="811" spans="18:18" ht="15.75" customHeight="1">
      <c r="R811" s="30"/>
    </row>
    <row r="812" spans="18:18" ht="15.75" customHeight="1">
      <c r="R812" s="30"/>
    </row>
    <row r="813" spans="18:18" ht="15.75" customHeight="1">
      <c r="R813" s="30"/>
    </row>
    <row r="814" spans="18:18" ht="15.75" customHeight="1">
      <c r="R814" s="30"/>
    </row>
    <row r="815" spans="18:18" ht="15.75" customHeight="1">
      <c r="R815" s="30"/>
    </row>
    <row r="816" spans="18:18" ht="15.75" customHeight="1">
      <c r="R816" s="30"/>
    </row>
    <row r="817" spans="18:18" ht="15.75" customHeight="1">
      <c r="R817" s="30"/>
    </row>
    <row r="818" spans="18:18" ht="15.75" customHeight="1">
      <c r="R818" s="30"/>
    </row>
    <row r="819" spans="18:18" ht="15.75" customHeight="1">
      <c r="R819" s="30"/>
    </row>
    <row r="820" spans="18:18" ht="15.75" customHeight="1">
      <c r="R820" s="30"/>
    </row>
    <row r="821" spans="18:18" ht="15.75" customHeight="1">
      <c r="R821" s="30"/>
    </row>
    <row r="822" spans="18:18" ht="15.75" customHeight="1">
      <c r="R822" s="30"/>
    </row>
    <row r="823" spans="18:18" ht="15.75" customHeight="1">
      <c r="R823" s="30"/>
    </row>
    <row r="824" spans="18:18" ht="15.75" customHeight="1">
      <c r="R824" s="30"/>
    </row>
    <row r="825" spans="18:18" ht="15.75" customHeight="1">
      <c r="R825" s="30"/>
    </row>
    <row r="826" spans="18:18" ht="15.75" customHeight="1">
      <c r="R826" s="30"/>
    </row>
    <row r="827" spans="18:18" ht="15.75" customHeight="1">
      <c r="R827" s="30"/>
    </row>
    <row r="828" spans="18:18" ht="15.75" customHeight="1">
      <c r="R828" s="30"/>
    </row>
    <row r="829" spans="18:18" ht="15.75" customHeight="1">
      <c r="R829" s="30"/>
    </row>
    <row r="830" spans="18:18" ht="15.75" customHeight="1">
      <c r="R830" s="30"/>
    </row>
    <row r="831" spans="18:18" ht="15.75" customHeight="1">
      <c r="R831" s="30"/>
    </row>
    <row r="832" spans="18:18" ht="15.75" customHeight="1">
      <c r="R832" s="30"/>
    </row>
    <row r="833" spans="18:18" ht="15.75" customHeight="1">
      <c r="R833" s="30"/>
    </row>
    <row r="834" spans="18:18" ht="15.75" customHeight="1">
      <c r="R834" s="30"/>
    </row>
    <row r="835" spans="18:18" ht="15.75" customHeight="1">
      <c r="R835" s="30"/>
    </row>
    <row r="836" spans="18:18" ht="15.75" customHeight="1">
      <c r="R836" s="30"/>
    </row>
    <row r="837" spans="18:18" ht="15.75" customHeight="1">
      <c r="R837" s="30"/>
    </row>
    <row r="838" spans="18:18" ht="15.75" customHeight="1">
      <c r="R838" s="30"/>
    </row>
    <row r="839" spans="18:18" ht="15.75" customHeight="1">
      <c r="R839" s="30"/>
    </row>
    <row r="840" spans="18:18" ht="15.75" customHeight="1">
      <c r="R840" s="30"/>
    </row>
    <row r="841" spans="18:18" ht="15.75" customHeight="1">
      <c r="R841" s="30"/>
    </row>
    <row r="842" spans="18:18" ht="15.75" customHeight="1">
      <c r="R842" s="30"/>
    </row>
    <row r="843" spans="18:18" ht="15.75" customHeight="1">
      <c r="R843" s="30"/>
    </row>
    <row r="844" spans="18:18" ht="15.75" customHeight="1">
      <c r="R844" s="30"/>
    </row>
    <row r="845" spans="18:18" ht="15.75" customHeight="1">
      <c r="R845" s="30"/>
    </row>
    <row r="846" spans="18:18" ht="15.75" customHeight="1">
      <c r="R846" s="30"/>
    </row>
    <row r="847" spans="18:18" ht="15.75" customHeight="1">
      <c r="R847" s="30"/>
    </row>
    <row r="848" spans="18:18" ht="15.75" customHeight="1">
      <c r="R848" s="30"/>
    </row>
    <row r="849" spans="18:18" ht="15.75" customHeight="1">
      <c r="R849" s="30"/>
    </row>
    <row r="850" spans="18:18" ht="15.75" customHeight="1">
      <c r="R850" s="30"/>
    </row>
    <row r="851" spans="18:18" ht="15.75" customHeight="1">
      <c r="R851" s="30"/>
    </row>
    <row r="852" spans="18:18" ht="15.75" customHeight="1">
      <c r="R852" s="30"/>
    </row>
    <row r="853" spans="18:18" ht="15.75" customHeight="1">
      <c r="R853" s="30"/>
    </row>
    <row r="854" spans="18:18" ht="15.75" customHeight="1">
      <c r="R854" s="30"/>
    </row>
    <row r="855" spans="18:18" ht="15.75" customHeight="1">
      <c r="R855" s="30"/>
    </row>
    <row r="856" spans="18:18" ht="15.75" customHeight="1">
      <c r="R856" s="30"/>
    </row>
    <row r="857" spans="18:18" ht="15.75" customHeight="1">
      <c r="R857" s="30"/>
    </row>
    <row r="858" spans="18:18" ht="15.75" customHeight="1">
      <c r="R858" s="30"/>
    </row>
    <row r="859" spans="18:18" ht="15.75" customHeight="1">
      <c r="R859" s="30"/>
    </row>
    <row r="860" spans="18:18" ht="15.75" customHeight="1">
      <c r="R860" s="30"/>
    </row>
    <row r="861" spans="18:18" ht="15.75" customHeight="1">
      <c r="R861" s="30"/>
    </row>
    <row r="862" spans="18:18" ht="15.75" customHeight="1">
      <c r="R862" s="30"/>
    </row>
    <row r="863" spans="18:18" ht="15.75" customHeight="1">
      <c r="R863" s="30"/>
    </row>
    <row r="864" spans="18:18" ht="15.75" customHeight="1">
      <c r="R864" s="30"/>
    </row>
    <row r="865" spans="18:18" ht="15.75" customHeight="1">
      <c r="R865" s="30"/>
    </row>
    <row r="866" spans="18:18" ht="15.75" customHeight="1">
      <c r="R866" s="30"/>
    </row>
    <row r="867" spans="18:18" ht="15.75" customHeight="1">
      <c r="R867" s="30"/>
    </row>
    <row r="868" spans="18:18" ht="15.75" customHeight="1">
      <c r="R868" s="30"/>
    </row>
    <row r="869" spans="18:18" ht="15.75" customHeight="1">
      <c r="R869" s="30"/>
    </row>
    <row r="870" spans="18:18" ht="15.75" customHeight="1">
      <c r="R870" s="30"/>
    </row>
    <row r="871" spans="18:18" ht="15.75" customHeight="1">
      <c r="R871" s="30"/>
    </row>
    <row r="872" spans="18:18" ht="15.75" customHeight="1">
      <c r="R872" s="30"/>
    </row>
    <row r="873" spans="18:18" ht="15.75" customHeight="1">
      <c r="R873" s="30"/>
    </row>
    <row r="874" spans="18:18" ht="15.75" customHeight="1">
      <c r="R874" s="30"/>
    </row>
    <row r="875" spans="18:18" ht="15.75" customHeight="1">
      <c r="R875" s="30"/>
    </row>
    <row r="876" spans="18:18" ht="15.75" customHeight="1">
      <c r="R876" s="30"/>
    </row>
    <row r="877" spans="18:18" ht="15.75" customHeight="1">
      <c r="R877" s="30"/>
    </row>
    <row r="878" spans="18:18" ht="15.75" customHeight="1">
      <c r="R878" s="30"/>
    </row>
    <row r="879" spans="18:18" ht="15.75" customHeight="1">
      <c r="R879" s="30"/>
    </row>
    <row r="880" spans="18:18" ht="15.75" customHeight="1">
      <c r="R880" s="30"/>
    </row>
    <row r="881" spans="18:18" ht="15.75" customHeight="1">
      <c r="R881" s="30"/>
    </row>
    <row r="882" spans="18:18" ht="15.75" customHeight="1">
      <c r="R882" s="30"/>
    </row>
    <row r="883" spans="18:18" ht="15.75" customHeight="1">
      <c r="R883" s="30"/>
    </row>
    <row r="884" spans="18:18" ht="15.75" customHeight="1">
      <c r="R884" s="30"/>
    </row>
    <row r="885" spans="18:18" ht="15.75" customHeight="1">
      <c r="R885" s="30"/>
    </row>
    <row r="886" spans="18:18" ht="15.75" customHeight="1">
      <c r="R886" s="30"/>
    </row>
    <row r="887" spans="18:18" ht="15.75" customHeight="1">
      <c r="R887" s="30"/>
    </row>
    <row r="888" spans="18:18" ht="15.75" customHeight="1">
      <c r="R888" s="30"/>
    </row>
    <row r="889" spans="18:18" ht="15.75" customHeight="1">
      <c r="R889" s="30"/>
    </row>
    <row r="890" spans="18:18" ht="15.75" customHeight="1">
      <c r="R890" s="30"/>
    </row>
    <row r="891" spans="18:18" ht="15.75" customHeight="1">
      <c r="R891" s="30"/>
    </row>
    <row r="892" spans="18:18" ht="15.75" customHeight="1">
      <c r="R892" s="30"/>
    </row>
    <row r="893" spans="18:18" ht="15.75" customHeight="1">
      <c r="R893" s="30"/>
    </row>
    <row r="894" spans="18:18" ht="15.75" customHeight="1">
      <c r="R894" s="30"/>
    </row>
    <row r="895" spans="18:18" ht="15.75" customHeight="1">
      <c r="R895" s="30"/>
    </row>
    <row r="896" spans="18:18" ht="15.75" customHeight="1">
      <c r="R896" s="30"/>
    </row>
    <row r="897" spans="18:18" ht="15.75" customHeight="1">
      <c r="R897" s="30"/>
    </row>
    <row r="898" spans="18:18" ht="15.75" customHeight="1">
      <c r="R898" s="30"/>
    </row>
    <row r="899" spans="18:18" ht="15.75" customHeight="1">
      <c r="R899" s="30"/>
    </row>
    <row r="900" spans="18:18" ht="15.75" customHeight="1">
      <c r="R900" s="30"/>
    </row>
    <row r="901" spans="18:18" ht="15.75" customHeight="1">
      <c r="R901" s="30"/>
    </row>
    <row r="902" spans="18:18" ht="15.75" customHeight="1">
      <c r="R902" s="30"/>
    </row>
    <row r="903" spans="18:18" ht="15.75" customHeight="1">
      <c r="R903" s="30"/>
    </row>
    <row r="904" spans="18:18" ht="15.75" customHeight="1">
      <c r="R904" s="30"/>
    </row>
    <row r="905" spans="18:18" ht="15.75" customHeight="1">
      <c r="R905" s="30"/>
    </row>
    <row r="906" spans="18:18" ht="15.75" customHeight="1">
      <c r="R906" s="30"/>
    </row>
    <row r="907" spans="18:18" ht="15.75" customHeight="1">
      <c r="R907" s="30"/>
    </row>
    <row r="908" spans="18:18" ht="15.75" customHeight="1">
      <c r="R908" s="30"/>
    </row>
    <row r="909" spans="18:18" ht="15.75" customHeight="1">
      <c r="R909" s="30"/>
    </row>
    <row r="910" spans="18:18" ht="15.75" customHeight="1">
      <c r="R910" s="30"/>
    </row>
    <row r="911" spans="18:18" ht="15.75" customHeight="1">
      <c r="R911" s="30"/>
    </row>
    <row r="912" spans="18:18" ht="15.75" customHeight="1">
      <c r="R912" s="30"/>
    </row>
    <row r="913" spans="18:18" ht="15.75" customHeight="1">
      <c r="R913" s="30"/>
    </row>
    <row r="914" spans="18:18" ht="15.75" customHeight="1">
      <c r="R914" s="30"/>
    </row>
    <row r="915" spans="18:18" ht="15.75" customHeight="1">
      <c r="R915" s="30"/>
    </row>
    <row r="916" spans="18:18" ht="15.75" customHeight="1">
      <c r="R916" s="30"/>
    </row>
    <row r="917" spans="18:18" ht="15.75" customHeight="1">
      <c r="R917" s="30"/>
    </row>
    <row r="918" spans="18:18" ht="15.75" customHeight="1">
      <c r="R918" s="30"/>
    </row>
    <row r="919" spans="18:18" ht="15.75" customHeight="1">
      <c r="R919" s="30"/>
    </row>
    <row r="920" spans="18:18" ht="15.75" customHeight="1">
      <c r="R920" s="30"/>
    </row>
    <row r="921" spans="18:18" ht="15.75" customHeight="1">
      <c r="R921" s="30"/>
    </row>
    <row r="922" spans="18:18" ht="15.75" customHeight="1">
      <c r="R922" s="30"/>
    </row>
    <row r="923" spans="18:18" ht="15.75" customHeight="1">
      <c r="R923" s="30"/>
    </row>
    <row r="924" spans="18:18" ht="15.75" customHeight="1">
      <c r="R924" s="30"/>
    </row>
    <row r="925" spans="18:18" ht="15.75" customHeight="1">
      <c r="R925" s="30"/>
    </row>
    <row r="926" spans="18:18" ht="15.75" customHeight="1">
      <c r="R926" s="30"/>
    </row>
    <row r="927" spans="18:18" ht="15.75" customHeight="1">
      <c r="R927" s="30"/>
    </row>
    <row r="928" spans="18:18" ht="15.75" customHeight="1">
      <c r="R928" s="30"/>
    </row>
    <row r="929" spans="18:18" ht="15.75" customHeight="1">
      <c r="R929" s="30"/>
    </row>
    <row r="930" spans="18:18" ht="15.75" customHeight="1">
      <c r="R930" s="30"/>
    </row>
    <row r="931" spans="18:18" ht="15.75" customHeight="1">
      <c r="R931" s="30"/>
    </row>
    <row r="932" spans="18:18" ht="15.75" customHeight="1">
      <c r="R932" s="30"/>
    </row>
    <row r="933" spans="18:18" ht="15.75" customHeight="1">
      <c r="R933" s="30"/>
    </row>
    <row r="934" spans="18:18" ht="15.75" customHeight="1">
      <c r="R934" s="30"/>
    </row>
    <row r="935" spans="18:18" ht="15.75" customHeight="1">
      <c r="R935" s="30"/>
    </row>
    <row r="936" spans="18:18" ht="15.75" customHeight="1">
      <c r="R936" s="30"/>
    </row>
    <row r="937" spans="18:18" ht="15.75" customHeight="1">
      <c r="R937" s="30"/>
    </row>
    <row r="938" spans="18:18" ht="15.75" customHeight="1">
      <c r="R938" s="30"/>
    </row>
    <row r="939" spans="18:18" ht="15.75" customHeight="1">
      <c r="R939" s="30"/>
    </row>
    <row r="940" spans="18:18" ht="15.75" customHeight="1">
      <c r="R940" s="30"/>
    </row>
    <row r="941" spans="18:18" ht="15.75" customHeight="1">
      <c r="R941" s="30"/>
    </row>
    <row r="942" spans="18:18" ht="15.75" customHeight="1">
      <c r="R942" s="30"/>
    </row>
    <row r="943" spans="18:18" ht="15.75" customHeight="1">
      <c r="R943" s="30"/>
    </row>
    <row r="944" spans="18:18" ht="15.75" customHeight="1">
      <c r="R944" s="30"/>
    </row>
    <row r="945" spans="18:18" ht="15.75" customHeight="1">
      <c r="R945" s="30"/>
    </row>
    <row r="946" spans="18:18" ht="15.75" customHeight="1">
      <c r="R946" s="30"/>
    </row>
    <row r="947" spans="18:18" ht="15.75" customHeight="1">
      <c r="R947" s="30"/>
    </row>
    <row r="948" spans="18:18" ht="15.75" customHeight="1">
      <c r="R948" s="30"/>
    </row>
    <row r="949" spans="18:18" ht="15.75" customHeight="1">
      <c r="R949" s="30"/>
    </row>
    <row r="950" spans="18:18" ht="15.75" customHeight="1">
      <c r="R950" s="30"/>
    </row>
    <row r="951" spans="18:18" ht="15.75" customHeight="1">
      <c r="R951" s="30"/>
    </row>
    <row r="952" spans="18:18" ht="15.75" customHeight="1">
      <c r="R952" s="30"/>
    </row>
    <row r="953" spans="18:18" ht="15.75" customHeight="1">
      <c r="R953" s="30"/>
    </row>
    <row r="954" spans="18:18" ht="15.75" customHeight="1">
      <c r="R954" s="30"/>
    </row>
    <row r="955" spans="18:18" ht="15.75" customHeight="1">
      <c r="R955" s="30"/>
    </row>
    <row r="956" spans="18:18" ht="15.75" customHeight="1">
      <c r="R956" s="30"/>
    </row>
    <row r="957" spans="18:18" ht="15.75" customHeight="1">
      <c r="R957" s="30"/>
    </row>
    <row r="958" spans="18:18" ht="15.75" customHeight="1">
      <c r="R958" s="30"/>
    </row>
    <row r="959" spans="18:18" ht="15.75" customHeight="1">
      <c r="R959" s="30"/>
    </row>
    <row r="960" spans="18:18" ht="15.75" customHeight="1">
      <c r="R960" s="30"/>
    </row>
    <row r="961" spans="18:18" ht="15.75" customHeight="1">
      <c r="R961" s="30"/>
    </row>
    <row r="962" spans="18:18" ht="15.75" customHeight="1">
      <c r="R962" s="30"/>
    </row>
    <row r="963" spans="18:18" ht="15.75" customHeight="1">
      <c r="R963" s="30"/>
    </row>
    <row r="964" spans="18:18" ht="15.75" customHeight="1">
      <c r="R964" s="30"/>
    </row>
    <row r="965" spans="18:18" ht="15.75" customHeight="1">
      <c r="R965" s="30"/>
    </row>
    <row r="966" spans="18:18" ht="15.75" customHeight="1">
      <c r="R966" s="30"/>
    </row>
    <row r="967" spans="18:18" ht="15.75" customHeight="1">
      <c r="R967" s="30"/>
    </row>
    <row r="968" spans="18:18" ht="15.75" customHeight="1">
      <c r="R968" s="30"/>
    </row>
    <row r="969" spans="18:18" ht="15.75" customHeight="1">
      <c r="R969" s="30"/>
    </row>
    <row r="970" spans="18:18" ht="15.75" customHeight="1">
      <c r="R970" s="30"/>
    </row>
    <row r="971" spans="18:18" ht="15.75" customHeight="1">
      <c r="R971" s="30"/>
    </row>
    <row r="972" spans="18:18" ht="15.75" customHeight="1">
      <c r="R972" s="30"/>
    </row>
    <row r="973" spans="18:18" ht="15.75" customHeight="1">
      <c r="R973" s="30"/>
    </row>
    <row r="974" spans="18:18" ht="15.75" customHeight="1">
      <c r="R974" s="30"/>
    </row>
    <row r="975" spans="18:18" ht="15.75" customHeight="1">
      <c r="R975" s="30"/>
    </row>
    <row r="976" spans="18:18" ht="15.75" customHeight="1">
      <c r="R976" s="30"/>
    </row>
    <row r="977" spans="18:18" ht="15.75" customHeight="1">
      <c r="R977" s="30"/>
    </row>
    <row r="978" spans="18:18" ht="15.75" customHeight="1">
      <c r="R978" s="30"/>
    </row>
    <row r="979" spans="18:18" ht="15.75" customHeight="1">
      <c r="R979" s="30"/>
    </row>
    <row r="980" spans="18:18" ht="15.75" customHeight="1">
      <c r="R980" s="30"/>
    </row>
    <row r="981" spans="18:18" ht="15.75" customHeight="1">
      <c r="R981" s="30"/>
    </row>
    <row r="982" spans="18:18" ht="15.75" customHeight="1">
      <c r="R982" s="30"/>
    </row>
    <row r="983" spans="18:18" ht="15.75" customHeight="1">
      <c r="R983" s="30"/>
    </row>
    <row r="984" spans="18:18" ht="15.75" customHeight="1">
      <c r="R984" s="30"/>
    </row>
    <row r="985" spans="18:18" ht="15.75" customHeight="1">
      <c r="R985" s="30"/>
    </row>
    <row r="986" spans="18:18" ht="15.75" customHeight="1">
      <c r="R986" s="30"/>
    </row>
    <row r="987" spans="18:18" ht="15.75" customHeight="1">
      <c r="R987" s="30"/>
    </row>
    <row r="988" spans="18:18" ht="15.75" customHeight="1">
      <c r="R988" s="30"/>
    </row>
    <row r="989" spans="18:18" ht="15.75" customHeight="1">
      <c r="R989" s="30"/>
    </row>
    <row r="990" spans="18:18" ht="15.75" customHeight="1">
      <c r="R990" s="30"/>
    </row>
    <row r="991" spans="18:18" ht="15.75" customHeight="1">
      <c r="R991" s="30"/>
    </row>
    <row r="992" spans="18:18" ht="15.75" customHeight="1">
      <c r="R992" s="30"/>
    </row>
    <row r="993" spans="18:18" ht="15.75" customHeight="1">
      <c r="R993" s="30"/>
    </row>
    <row r="994" spans="18:18" ht="15.75" customHeight="1">
      <c r="R994" s="30"/>
    </row>
    <row r="995" spans="18:18" ht="15.75" customHeight="1">
      <c r="R995" s="30"/>
    </row>
    <row r="996" spans="18:18" ht="15.75" customHeight="1">
      <c r="R996" s="30"/>
    </row>
    <row r="997" spans="18:18" ht="15.75" customHeight="1">
      <c r="R997" s="30"/>
    </row>
    <row r="998" spans="18:18" ht="15.75" customHeight="1">
      <c r="R998" s="30"/>
    </row>
    <row r="999" spans="18:18" ht="15.75" customHeight="1">
      <c r="R999" s="30"/>
    </row>
    <row r="1000" spans="18:18" ht="15.75" customHeight="1">
      <c r="R1000" s="3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2.6640625" defaultRowHeight="15" customHeight="1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8.6640625" customWidth="1"/>
    <col min="6" max="6" width="9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17.6640625" customWidth="1"/>
    <col min="16" max="16" width="10" customWidth="1"/>
    <col min="17" max="18" width="7.33203125" customWidth="1"/>
    <col min="19" max="19" width="7.1640625" customWidth="1"/>
    <col min="20" max="20" width="11.1640625" customWidth="1"/>
    <col min="21" max="21" width="13.5" customWidth="1"/>
    <col min="22" max="22" width="68.8320312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6640625" customWidth="1"/>
    <col min="32" max="32" width="10.1640625" customWidth="1"/>
    <col min="33" max="33" width="8.83203125" customWidth="1"/>
  </cols>
  <sheetData>
    <row r="1" spans="1:33" ht="18.75" customHeight="1">
      <c r="A1" s="46" t="str">
        <f ca="1">IFERROR(__xludf.DUMMYFUNCTION("IFERROR(VLOOKUP(B2,IMPORTRANGE(""https://docs.google.com/spreadsheets/d/1x0DhHglkXKoEBOD2MBsuK_EyIr1ouxD2ftIpqOYFa-k/edit?usp=sharing"",""Ubiquitty-SKU-Specific Info!B1:BJ5000""),3,FALSE),"""")"),"Yellow Extension Cord - 12/3 Gauge, 15ft w/Power Block")</f>
        <v>Yellow Extension Cord - 12/3 Gauge, 15ft w/Power Block</v>
      </c>
      <c r="B1" s="47"/>
      <c r="C1" s="48" t="s">
        <v>0</v>
      </c>
      <c r="D1" s="50" t="s">
        <v>1</v>
      </c>
      <c r="E1" s="50" t="s">
        <v>2</v>
      </c>
      <c r="F1" s="52" t="s">
        <v>3</v>
      </c>
      <c r="G1" s="52" t="s">
        <v>4</v>
      </c>
      <c r="H1" s="53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58" t="s">
        <v>10</v>
      </c>
      <c r="N1" s="59" t="s">
        <v>11</v>
      </c>
      <c r="O1" s="50" t="s">
        <v>12</v>
      </c>
      <c r="P1" s="50" t="s">
        <v>13</v>
      </c>
      <c r="Q1" s="57" t="s">
        <v>14</v>
      </c>
      <c r="R1" s="57" t="s">
        <v>15</v>
      </c>
      <c r="S1" s="60" t="s">
        <v>16</v>
      </c>
      <c r="T1" s="62" t="s">
        <v>2006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Info!B1:BJ5000""),2,FALSE),"""")"),"B073ZN7PN9")</f>
        <v>B073ZN7PN9</v>
      </c>
      <c r="B2" s="3" t="s">
        <v>1356</v>
      </c>
      <c r="C2" s="49"/>
      <c r="D2" s="49"/>
      <c r="E2" s="51"/>
      <c r="F2" s="49"/>
      <c r="G2" s="49"/>
      <c r="H2" s="54"/>
      <c r="I2" s="49"/>
      <c r="J2" s="49"/>
      <c r="K2" s="54"/>
      <c r="L2" s="54"/>
      <c r="M2" s="54"/>
      <c r="N2" s="49"/>
      <c r="O2" s="49"/>
      <c r="P2" s="51"/>
      <c r="Q2" s="49"/>
      <c r="R2" s="49"/>
      <c r="S2" s="61"/>
      <c r="T2" s="47"/>
      <c r="U2" s="63"/>
      <c r="V2" s="63"/>
      <c r="W2" s="47"/>
      <c r="X2" s="47"/>
      <c r="Y2" s="47"/>
      <c r="Z2" s="47"/>
      <c r="AA2" s="63"/>
      <c r="AB2" s="63"/>
      <c r="AC2" s="63"/>
      <c r="AD2" s="63"/>
      <c r="AE2" s="47"/>
      <c r="AF2" s="47"/>
      <c r="AG2" s="47"/>
    </row>
    <row r="3" spans="1:33" ht="158.25" customHeight="1">
      <c r="A3" s="55" t="s">
        <v>31</v>
      </c>
      <c r="B3" s="56"/>
      <c r="C3" s="4">
        <f>((AE32+AF32)/0.85)*-1</f>
        <v>16.205066009411766</v>
      </c>
      <c r="D3" s="5">
        <f>SUM(D4:D99765)</f>
        <v>1126</v>
      </c>
      <c r="E3" s="5"/>
      <c r="F3" s="6">
        <f t="shared" ref="F3:G3" si="0">SUM(F4:F99765)</f>
        <v>23856.429999999997</v>
      </c>
      <c r="G3" s="6">
        <f t="shared" si="0"/>
        <v>-0.4</v>
      </c>
      <c r="H3" s="7">
        <f t="shared" ref="H3:H32" si="1">G3/F3*-1</f>
        <v>1.6766968066890144E-5</v>
      </c>
      <c r="I3" s="8">
        <f t="shared" ref="I3:I32" si="2">J3/F3</f>
        <v>0.22828538358775594</v>
      </c>
      <c r="J3" s="6">
        <f>SUM(J4:J99765)</f>
        <v>5446.0742735844478</v>
      </c>
      <c r="K3" s="6">
        <f t="shared" ref="K3:K32" si="3">J3/D3</f>
        <v>4.8366556603769517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Sheet!a1:g5000""),2,FALSE),"""")"),"6.5 - March
6 - April
6 - May
7 - June
7.5 - July
7.5 - Aug
7.5 - Sept
7.5 - Oct
7.5 - Nov
9.5 - Dec
10 - Jan
6.5 - Feb")</f>
        <v>6.5 - March
6 - April
6 - May
7 - June
7.5 - July
7.5 - Aug
7.5 - Sept
7.5 - Oct
7.5 - Nov
9.5 - Dec
10 - Jan
6.5 -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QTY-7")</f>
        <v>Del QTY-7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QTY-0")</f>
        <v>US QTY-0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1</v>
      </c>
      <c r="X3" s="7">
        <f>W3/D3</f>
        <v>8.8809946714031975E-4</v>
      </c>
      <c r="Y3" s="6"/>
      <c r="Z3" s="5"/>
      <c r="AA3" s="5"/>
      <c r="AB3" s="5"/>
      <c r="AC3" s="5"/>
      <c r="AD3" s="6">
        <f>SUM(AD4:AD99765)</f>
        <v>-146.88207167083331</v>
      </c>
      <c r="AE3" s="6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Info!B2:BZ3000""),37,FALSE)),"""")*-1"),-8.094306108)</f>
        <v>-8.0943061079999996</v>
      </c>
      <c r="AG3" s="6">
        <f>SUM(AG4:AG99765)</f>
        <v>0</v>
      </c>
    </row>
    <row r="4" spans="1:33" ht="15.75" customHeight="1">
      <c r="A4" s="14" t="s">
        <v>181</v>
      </c>
      <c r="B4" s="14" t="s">
        <v>45</v>
      </c>
      <c r="C4" s="15">
        <f t="shared" ref="C4:C32" si="4">IFERROR(F4/D4," - ")</f>
        <v>22.708767123287657</v>
      </c>
      <c r="D4" s="16">
        <v>73</v>
      </c>
      <c r="E4" s="16">
        <v>0</v>
      </c>
      <c r="F4" s="17">
        <v>1657.7399999999991</v>
      </c>
      <c r="G4" s="17">
        <v>-0.2</v>
      </c>
      <c r="H4" s="18">
        <f t="shared" si="1"/>
        <v>1.2064618094514225E-4</v>
      </c>
      <c r="I4" s="18">
        <f t="shared" si="2"/>
        <v>0.32826441320774946</v>
      </c>
      <c r="J4" s="17">
        <f t="shared" ref="J4:J32" si="5">F4*0.85+G4+AF4*D4+D4*AE4+AG4+AD4</f>
        <v>544.17704835101426</v>
      </c>
      <c r="K4" s="17">
        <f t="shared" si="3"/>
        <v>7.4544801143974553</v>
      </c>
      <c r="L4" s="16">
        <v>106</v>
      </c>
      <c r="M4" s="19">
        <f t="shared" ref="M4:M32" si="6">IFERROR(D4/L4,"-")</f>
        <v>0.68867924528301883</v>
      </c>
      <c r="N4" s="16">
        <v>30</v>
      </c>
      <c r="O4" s="20">
        <f t="shared" ref="O4:P4" si="7">D4/7</f>
        <v>10.428571428571429</v>
      </c>
      <c r="P4" s="20">
        <f t="shared" si="7"/>
        <v>0</v>
      </c>
      <c r="Q4" s="16">
        <f t="shared" ref="Q4:Q32" si="8">ROUNDDOWN(N4/(O4+P4),0)</f>
        <v>2</v>
      </c>
      <c r="R4" s="16"/>
      <c r="S4" s="21">
        <v>4.3338898163605997</v>
      </c>
      <c r="T4" s="14">
        <v>900</v>
      </c>
      <c r="U4" s="22" t="s">
        <v>34</v>
      </c>
      <c r="V4" s="23" t="s">
        <v>34</v>
      </c>
      <c r="W4" s="14">
        <v>1</v>
      </c>
      <c r="X4" s="24">
        <f t="shared" ref="X4:X32" si="9">IFERROR(W4/D4,0)</f>
        <v>1.3698630136986301E-2</v>
      </c>
      <c r="Y4" s="25">
        <f t="shared" ref="Y4:Y32" si="10">IFERROR(G4/(W4+Z4)*-1,0)</f>
        <v>0.2</v>
      </c>
      <c r="Z4" s="14">
        <v>0</v>
      </c>
      <c r="AA4" s="26" t="s">
        <v>35</v>
      </c>
      <c r="AB4" s="27">
        <f t="shared" ref="AB4:AB32" si="11">IF(OR(AA4="UsLargeStandardSize",AA4="UsSmallStandardSize"),-0.69,-0.48)</f>
        <v>-0.69</v>
      </c>
      <c r="AC4" s="28">
        <v>9.4526006944444435E-2</v>
      </c>
      <c r="AD4" s="25">
        <f t="shared" ref="AD4:AD32" si="12">IFERROR(AB4*AC4*D4*2,0)</f>
        <v>-9.5225499395833317</v>
      </c>
      <c r="AE4" s="25">
        <v>-5.42</v>
      </c>
      <c r="AF4" s="25">
        <v>-6.2947863247863243</v>
      </c>
      <c r="AG4" s="25">
        <v>0</v>
      </c>
    </row>
    <row r="5" spans="1:33" ht="15.75" customHeight="1">
      <c r="A5" s="14" t="s">
        <v>183</v>
      </c>
      <c r="B5" s="14" t="s">
        <v>343</v>
      </c>
      <c r="C5" s="15">
        <f t="shared" si="4"/>
        <v>22.922857142857147</v>
      </c>
      <c r="D5" s="16">
        <v>7</v>
      </c>
      <c r="E5" s="16">
        <v>0</v>
      </c>
      <c r="F5" s="29">
        <v>160.46000000000004</v>
      </c>
      <c r="G5" s="29">
        <v>0</v>
      </c>
      <c r="H5" s="18">
        <f t="shared" si="1"/>
        <v>0</v>
      </c>
      <c r="I5" s="18">
        <f t="shared" si="2"/>
        <v>0.33325672752967977</v>
      </c>
      <c r="J5" s="17">
        <f t="shared" si="5"/>
        <v>53.474374499412427</v>
      </c>
      <c r="K5" s="17">
        <f t="shared" si="3"/>
        <v>7.6391963570589185</v>
      </c>
      <c r="L5" s="16">
        <v>31</v>
      </c>
      <c r="M5" s="19">
        <f t="shared" si="6"/>
        <v>0.22580645161290322</v>
      </c>
      <c r="N5" s="16">
        <v>0</v>
      </c>
      <c r="O5" s="20">
        <f t="shared" ref="O5:P5" si="13">D5/7</f>
        <v>1</v>
      </c>
      <c r="P5" s="20">
        <f t="shared" si="13"/>
        <v>0</v>
      </c>
      <c r="Q5" s="16">
        <f t="shared" si="8"/>
        <v>0</v>
      </c>
      <c r="R5" s="16"/>
      <c r="S5" s="21">
        <v>19.097744360902201</v>
      </c>
      <c r="T5" s="14">
        <v>900</v>
      </c>
      <c r="U5" s="22" t="s">
        <v>34</v>
      </c>
      <c r="V5" s="23" t="s">
        <v>34</v>
      </c>
      <c r="W5" s="14">
        <v>0</v>
      </c>
      <c r="X5" s="24">
        <f t="shared" si="9"/>
        <v>0</v>
      </c>
      <c r="Y5" s="25">
        <f t="shared" si="10"/>
        <v>0</v>
      </c>
      <c r="Z5" s="14">
        <v>0</v>
      </c>
      <c r="AA5" s="26" t="s">
        <v>35</v>
      </c>
      <c r="AB5" s="27">
        <f t="shared" si="11"/>
        <v>-0.69</v>
      </c>
      <c r="AC5" s="28">
        <v>9.4526006944444435E-2</v>
      </c>
      <c r="AD5" s="25">
        <f t="shared" si="12"/>
        <v>-0.9131212270833331</v>
      </c>
      <c r="AE5" s="25">
        <v>-5.42</v>
      </c>
      <c r="AF5" s="25">
        <v>-6.2947863247863243</v>
      </c>
      <c r="AG5" s="25">
        <v>0</v>
      </c>
    </row>
    <row r="6" spans="1:33" ht="15.75" customHeight="1">
      <c r="A6" s="14" t="s">
        <v>185</v>
      </c>
      <c r="B6" s="14"/>
      <c r="C6" s="15" t="str">
        <f t="shared" si="4"/>
        <v xml:space="preserve"> - </v>
      </c>
      <c r="D6" s="16">
        <v>0</v>
      </c>
      <c r="E6" s="16">
        <v>0</v>
      </c>
      <c r="F6" s="29">
        <v>0</v>
      </c>
      <c r="G6" s="29">
        <v>0</v>
      </c>
      <c r="H6" s="18" t="e">
        <f t="shared" si="1"/>
        <v>#DIV/0!</v>
      </c>
      <c r="I6" s="18" t="e">
        <f t="shared" si="2"/>
        <v>#DIV/0!</v>
      </c>
      <c r="J6" s="17">
        <f t="shared" si="5"/>
        <v>0</v>
      </c>
      <c r="K6" s="17" t="e">
        <f t="shared" si="3"/>
        <v>#DIV/0!</v>
      </c>
      <c r="L6" s="16">
        <v>0</v>
      </c>
      <c r="M6" s="19" t="str">
        <f t="shared" si="6"/>
        <v>-</v>
      </c>
      <c r="N6" s="16">
        <v>1</v>
      </c>
      <c r="O6" s="20">
        <f t="shared" ref="O6:P6" si="14">D6/7</f>
        <v>0</v>
      </c>
      <c r="P6" s="20">
        <f t="shared" si="14"/>
        <v>0</v>
      </c>
      <c r="Q6" s="16" t="e">
        <f t="shared" si="8"/>
        <v>#DIV/0!</v>
      </c>
      <c r="R6" s="16"/>
      <c r="S6" s="21">
        <v>34.246575342465697</v>
      </c>
      <c r="T6" s="14">
        <v>1146</v>
      </c>
      <c r="U6" s="22">
        <v>246</v>
      </c>
      <c r="V6" s="23" t="s">
        <v>1357</v>
      </c>
      <c r="W6" s="14">
        <v>0</v>
      </c>
      <c r="X6" s="24">
        <f t="shared" si="9"/>
        <v>0</v>
      </c>
      <c r="Y6" s="25">
        <f t="shared" si="10"/>
        <v>0</v>
      </c>
      <c r="Z6" s="14">
        <v>0</v>
      </c>
      <c r="AA6" s="14" t="e">
        <v>#N/A</v>
      </c>
      <c r="AB6" s="27" t="e">
        <f t="shared" si="11"/>
        <v>#N/A</v>
      </c>
      <c r="AC6" s="28" t="e">
        <v>#N/A</v>
      </c>
      <c r="AD6" s="25">
        <f t="shared" si="12"/>
        <v>0</v>
      </c>
      <c r="AE6" s="25">
        <v>0</v>
      </c>
      <c r="AF6" s="25">
        <v>-6.2947863247863243</v>
      </c>
      <c r="AG6" s="25">
        <v>0</v>
      </c>
    </row>
    <row r="7" spans="1:33" ht="15.75" customHeight="1">
      <c r="A7" s="14" t="s">
        <v>187</v>
      </c>
      <c r="B7" s="14" t="s">
        <v>343</v>
      </c>
      <c r="C7" s="15">
        <f t="shared" si="4"/>
        <v>22.66</v>
      </c>
      <c r="D7" s="16">
        <v>4</v>
      </c>
      <c r="E7" s="16">
        <v>0</v>
      </c>
      <c r="F7" s="29">
        <v>90.64</v>
      </c>
      <c r="G7" s="29">
        <v>0</v>
      </c>
      <c r="H7" s="18">
        <f t="shared" si="1"/>
        <v>0</v>
      </c>
      <c r="I7" s="18">
        <f t="shared" si="2"/>
        <v>0.32726247950707599</v>
      </c>
      <c r="J7" s="17">
        <f t="shared" si="5"/>
        <v>29.663071142521368</v>
      </c>
      <c r="K7" s="17">
        <f t="shared" si="3"/>
        <v>7.4157677856303419</v>
      </c>
      <c r="L7" s="16">
        <v>13</v>
      </c>
      <c r="M7" s="19">
        <f t="shared" si="6"/>
        <v>0.30769230769230771</v>
      </c>
      <c r="N7" s="16">
        <v>1</v>
      </c>
      <c r="O7" s="20">
        <f t="shared" ref="O7:P7" si="15">D7/7</f>
        <v>0.5714285714285714</v>
      </c>
      <c r="P7" s="20">
        <f t="shared" si="15"/>
        <v>0</v>
      </c>
      <c r="Q7" s="16">
        <f t="shared" si="8"/>
        <v>1</v>
      </c>
      <c r="R7" s="16"/>
      <c r="S7" s="21">
        <v>6.5826771653543297</v>
      </c>
      <c r="T7" s="14">
        <v>1344</v>
      </c>
      <c r="U7" s="22">
        <v>246</v>
      </c>
      <c r="V7" s="23" t="s">
        <v>1358</v>
      </c>
      <c r="W7" s="14">
        <v>0</v>
      </c>
      <c r="X7" s="24">
        <f t="shared" si="9"/>
        <v>0</v>
      </c>
      <c r="Y7" s="25">
        <f t="shared" si="10"/>
        <v>0</v>
      </c>
      <c r="Z7" s="14">
        <v>0</v>
      </c>
      <c r="AA7" s="14" t="s">
        <v>35</v>
      </c>
      <c r="AB7" s="27">
        <f t="shared" si="11"/>
        <v>-0.69</v>
      </c>
      <c r="AC7" s="28">
        <v>9.4526006944444435E-2</v>
      </c>
      <c r="AD7" s="25">
        <f t="shared" si="12"/>
        <v>-0.52178355833333323</v>
      </c>
      <c r="AE7" s="25">
        <v>-5.42</v>
      </c>
      <c r="AF7" s="25">
        <v>-6.2947863247863243</v>
      </c>
      <c r="AG7" s="25">
        <v>0</v>
      </c>
    </row>
    <row r="8" spans="1:33" ht="15.75" customHeight="1">
      <c r="A8" s="14" t="s">
        <v>189</v>
      </c>
      <c r="B8" s="14" t="s">
        <v>343</v>
      </c>
      <c r="C8" s="15">
        <f t="shared" si="4"/>
        <v>22.66</v>
      </c>
      <c r="D8" s="16">
        <v>2</v>
      </c>
      <c r="E8" s="16">
        <v>0</v>
      </c>
      <c r="F8" s="29">
        <v>45.32</v>
      </c>
      <c r="G8" s="29">
        <v>0</v>
      </c>
      <c r="H8" s="18">
        <f t="shared" si="1"/>
        <v>0</v>
      </c>
      <c r="I8" s="18">
        <f t="shared" si="2"/>
        <v>0.32747370301927037</v>
      </c>
      <c r="J8" s="17">
        <f t="shared" si="5"/>
        <v>14.841108220833334</v>
      </c>
      <c r="K8" s="17">
        <f t="shared" si="3"/>
        <v>7.420554110416667</v>
      </c>
      <c r="L8" s="16">
        <v>1</v>
      </c>
      <c r="M8" s="19">
        <f t="shared" si="6"/>
        <v>2</v>
      </c>
      <c r="N8" s="16">
        <v>1</v>
      </c>
      <c r="O8" s="20">
        <f t="shared" ref="O8:P8" si="16">D8/7</f>
        <v>0.2857142857142857</v>
      </c>
      <c r="P8" s="20">
        <f t="shared" si="16"/>
        <v>0</v>
      </c>
      <c r="Q8" s="16">
        <f t="shared" si="8"/>
        <v>3</v>
      </c>
      <c r="R8" s="16"/>
      <c r="S8" s="21" t="e">
        <v>#N/A</v>
      </c>
      <c r="T8" s="14">
        <v>1602</v>
      </c>
      <c r="U8" s="22">
        <v>246</v>
      </c>
      <c r="V8" s="23" t="s">
        <v>1359</v>
      </c>
      <c r="W8" s="14">
        <v>0</v>
      </c>
      <c r="X8" s="24">
        <f t="shared" si="9"/>
        <v>0</v>
      </c>
      <c r="Y8" s="25">
        <f t="shared" si="10"/>
        <v>0</v>
      </c>
      <c r="Z8" s="14">
        <v>0</v>
      </c>
      <c r="AA8" s="14" t="s">
        <v>35</v>
      </c>
      <c r="AB8" s="27">
        <f t="shared" si="11"/>
        <v>-0.69</v>
      </c>
      <c r="AC8" s="28">
        <v>9.4526006944444435E-2</v>
      </c>
      <c r="AD8" s="25">
        <f t="shared" si="12"/>
        <v>-0.26089177916666662</v>
      </c>
      <c r="AE8" s="25">
        <v>-5.42</v>
      </c>
      <c r="AF8" s="25">
        <v>-6.29</v>
      </c>
      <c r="AG8" s="25">
        <v>0</v>
      </c>
    </row>
    <row r="9" spans="1:33" ht="15.75" customHeight="1">
      <c r="A9" s="14" t="s">
        <v>191</v>
      </c>
      <c r="B9" s="14"/>
      <c r="C9" s="15" t="str">
        <f t="shared" si="4"/>
        <v xml:space="preserve"> - </v>
      </c>
      <c r="D9" s="16">
        <v>0</v>
      </c>
      <c r="E9" s="16">
        <v>1</v>
      </c>
      <c r="F9" s="29">
        <v>0</v>
      </c>
      <c r="G9" s="29">
        <v>0</v>
      </c>
      <c r="H9" s="18" t="e">
        <f t="shared" si="1"/>
        <v>#DIV/0!</v>
      </c>
      <c r="I9" s="18" t="e">
        <f t="shared" si="2"/>
        <v>#DIV/0!</v>
      </c>
      <c r="J9" s="17">
        <f t="shared" si="5"/>
        <v>0</v>
      </c>
      <c r="K9" s="17" t="e">
        <f t="shared" si="3"/>
        <v>#DIV/0!</v>
      </c>
      <c r="L9" s="16">
        <v>0</v>
      </c>
      <c r="M9" s="19" t="str">
        <f t="shared" si="6"/>
        <v>-</v>
      </c>
      <c r="N9" s="16">
        <v>0</v>
      </c>
      <c r="O9" s="20">
        <f t="shared" ref="O9:P9" si="17">D9/7</f>
        <v>0</v>
      </c>
      <c r="P9" s="20">
        <f t="shared" si="17"/>
        <v>0.14285714285714285</v>
      </c>
      <c r="Q9" s="16">
        <f t="shared" si="8"/>
        <v>0</v>
      </c>
      <c r="R9" s="16"/>
      <c r="S9" s="21" t="e">
        <v>#N/A</v>
      </c>
      <c r="T9" s="14">
        <v>1602</v>
      </c>
      <c r="U9" s="22">
        <v>246</v>
      </c>
      <c r="V9" s="23" t="s">
        <v>1360</v>
      </c>
      <c r="W9" s="14">
        <v>0</v>
      </c>
      <c r="X9" s="24">
        <f t="shared" si="9"/>
        <v>0</v>
      </c>
      <c r="Y9" s="25">
        <f t="shared" si="10"/>
        <v>0</v>
      </c>
      <c r="Z9" s="14">
        <v>0</v>
      </c>
      <c r="AA9" s="14" t="e">
        <v>#N/A</v>
      </c>
      <c r="AB9" s="27" t="e">
        <f t="shared" si="11"/>
        <v>#N/A</v>
      </c>
      <c r="AC9" s="28" t="e">
        <v>#N/A</v>
      </c>
      <c r="AD9" s="25">
        <f t="shared" si="12"/>
        <v>0</v>
      </c>
      <c r="AE9" s="25">
        <v>0</v>
      </c>
      <c r="AF9" s="25">
        <v>-6.4052136752136697</v>
      </c>
      <c r="AG9" s="25">
        <v>0</v>
      </c>
    </row>
    <row r="10" spans="1:33" ht="15.75" customHeight="1">
      <c r="A10" s="14" t="s">
        <v>192</v>
      </c>
      <c r="B10" s="14"/>
      <c r="C10" s="15" t="str">
        <f t="shared" si="4"/>
        <v xml:space="preserve"> - </v>
      </c>
      <c r="D10" s="16">
        <v>0</v>
      </c>
      <c r="E10" s="16">
        <v>0</v>
      </c>
      <c r="F10" s="29">
        <v>0</v>
      </c>
      <c r="G10" s="29">
        <v>0</v>
      </c>
      <c r="H10" s="18" t="e">
        <f t="shared" si="1"/>
        <v>#DIV/0!</v>
      </c>
      <c r="I10" s="18" t="e">
        <f t="shared" si="2"/>
        <v>#DIV/0!</v>
      </c>
      <c r="J10" s="17">
        <f t="shared" si="5"/>
        <v>0</v>
      </c>
      <c r="K10" s="17" t="e">
        <f t="shared" si="3"/>
        <v>#DIV/0!</v>
      </c>
      <c r="L10" s="16">
        <v>0</v>
      </c>
      <c r="M10" s="19" t="str">
        <f t="shared" si="6"/>
        <v>-</v>
      </c>
      <c r="N10" s="16">
        <v>0</v>
      </c>
      <c r="O10" s="20">
        <f t="shared" ref="O10:P10" si="18">D10/7</f>
        <v>0</v>
      </c>
      <c r="P10" s="20">
        <f t="shared" si="18"/>
        <v>0</v>
      </c>
      <c r="Q10" s="16" t="e">
        <f t="shared" si="8"/>
        <v>#DIV/0!</v>
      </c>
      <c r="R10" s="16"/>
      <c r="S10" s="21">
        <v>27.6216216216216</v>
      </c>
      <c r="T10" s="14">
        <v>900</v>
      </c>
      <c r="U10" s="22">
        <v>198</v>
      </c>
      <c r="V10" s="23" t="s">
        <v>1361</v>
      </c>
      <c r="W10" s="14">
        <v>0</v>
      </c>
      <c r="X10" s="24">
        <f t="shared" si="9"/>
        <v>0</v>
      </c>
      <c r="Y10" s="25">
        <f t="shared" si="10"/>
        <v>0</v>
      </c>
      <c r="Z10" s="14">
        <v>0</v>
      </c>
      <c r="AA10" s="14" t="e">
        <v>#N/A</v>
      </c>
      <c r="AB10" s="27" t="e">
        <f t="shared" si="11"/>
        <v>#N/A</v>
      </c>
      <c r="AC10" s="28" t="e">
        <v>#N/A</v>
      </c>
      <c r="AD10" s="25">
        <f t="shared" si="12"/>
        <v>0</v>
      </c>
      <c r="AE10" s="25">
        <v>0</v>
      </c>
      <c r="AF10" s="25">
        <v>-6.4052136752136697</v>
      </c>
      <c r="AG10" s="25">
        <v>0</v>
      </c>
    </row>
    <row r="11" spans="1:33" ht="15.75" customHeight="1">
      <c r="A11" s="14" t="s">
        <v>193</v>
      </c>
      <c r="B11" s="14"/>
      <c r="C11" s="15" t="str">
        <f t="shared" si="4"/>
        <v xml:space="preserve"> - </v>
      </c>
      <c r="D11" s="16">
        <v>0</v>
      </c>
      <c r="E11" s="16">
        <v>0</v>
      </c>
      <c r="F11" s="29">
        <v>0</v>
      </c>
      <c r="G11" s="29">
        <v>0</v>
      </c>
      <c r="H11" s="18" t="e">
        <f t="shared" si="1"/>
        <v>#DIV/0!</v>
      </c>
      <c r="I11" s="18" t="e">
        <f t="shared" si="2"/>
        <v>#DIV/0!</v>
      </c>
      <c r="J11" s="17">
        <f t="shared" si="5"/>
        <v>0</v>
      </c>
      <c r="K11" s="17" t="e">
        <f t="shared" si="3"/>
        <v>#DIV/0!</v>
      </c>
      <c r="L11" s="16">
        <v>0</v>
      </c>
      <c r="M11" s="19" t="str">
        <f t="shared" si="6"/>
        <v>-</v>
      </c>
      <c r="N11" s="16">
        <v>0</v>
      </c>
      <c r="O11" s="20">
        <f t="shared" ref="O11:P11" si="19">D11/7</f>
        <v>0</v>
      </c>
      <c r="P11" s="20">
        <f t="shared" si="19"/>
        <v>0</v>
      </c>
      <c r="Q11" s="16" t="e">
        <f t="shared" si="8"/>
        <v>#DIV/0!</v>
      </c>
      <c r="R11" s="16"/>
      <c r="S11" s="21" t="e">
        <v>#N/A</v>
      </c>
      <c r="T11" s="14">
        <v>1404</v>
      </c>
      <c r="U11" s="22">
        <v>198</v>
      </c>
      <c r="V11" s="23" t="s">
        <v>1362</v>
      </c>
      <c r="W11" s="14">
        <v>0</v>
      </c>
      <c r="X11" s="24">
        <f t="shared" si="9"/>
        <v>0</v>
      </c>
      <c r="Y11" s="25">
        <f t="shared" si="10"/>
        <v>0</v>
      </c>
      <c r="Z11" s="14">
        <v>0</v>
      </c>
      <c r="AA11" s="14" t="e">
        <v>#N/A</v>
      </c>
      <c r="AB11" s="27" t="e">
        <f t="shared" si="11"/>
        <v>#N/A</v>
      </c>
      <c r="AC11" s="28" t="e">
        <v>#N/A</v>
      </c>
      <c r="AD11" s="25">
        <f t="shared" si="12"/>
        <v>0</v>
      </c>
      <c r="AE11" s="25">
        <v>0</v>
      </c>
      <c r="AF11" s="25">
        <v>-6.4052136752136697</v>
      </c>
      <c r="AG11" s="25">
        <v>0</v>
      </c>
    </row>
    <row r="12" spans="1:33" ht="15.75" customHeight="1">
      <c r="A12" s="14" t="s">
        <v>195</v>
      </c>
      <c r="B12" s="14"/>
      <c r="C12" s="15" t="str">
        <f t="shared" si="4"/>
        <v xml:space="preserve"> - </v>
      </c>
      <c r="D12" s="16">
        <v>0</v>
      </c>
      <c r="E12" s="16">
        <v>0</v>
      </c>
      <c r="F12" s="29">
        <v>0</v>
      </c>
      <c r="G12" s="29">
        <v>0</v>
      </c>
      <c r="H12" s="18" t="e">
        <f t="shared" si="1"/>
        <v>#DIV/0!</v>
      </c>
      <c r="I12" s="18" t="e">
        <f t="shared" si="2"/>
        <v>#DIV/0!</v>
      </c>
      <c r="J12" s="17">
        <f t="shared" si="5"/>
        <v>0</v>
      </c>
      <c r="K12" s="17" t="e">
        <f t="shared" si="3"/>
        <v>#DIV/0!</v>
      </c>
      <c r="L12" s="16">
        <v>0</v>
      </c>
      <c r="M12" s="19" t="str">
        <f t="shared" si="6"/>
        <v>-</v>
      </c>
      <c r="N12" s="16">
        <v>1</v>
      </c>
      <c r="O12" s="20">
        <f t="shared" ref="O12:P12" si="20">D12/7</f>
        <v>0</v>
      </c>
      <c r="P12" s="20">
        <f t="shared" si="20"/>
        <v>0</v>
      </c>
      <c r="Q12" s="16" t="e">
        <f t="shared" si="8"/>
        <v>#DIV/0!</v>
      </c>
      <c r="R12" s="16"/>
      <c r="S12" s="21">
        <v>4.2186788154897403</v>
      </c>
      <c r="T12" s="14">
        <v>1206</v>
      </c>
      <c r="U12" s="22">
        <v>384</v>
      </c>
      <c r="V12" s="23" t="s">
        <v>1363</v>
      </c>
      <c r="W12" s="14">
        <v>0</v>
      </c>
      <c r="X12" s="24">
        <f t="shared" si="9"/>
        <v>0</v>
      </c>
      <c r="Y12" s="25">
        <f t="shared" si="10"/>
        <v>0</v>
      </c>
      <c r="Z12" s="14">
        <v>0</v>
      </c>
      <c r="AA12" s="14" t="e">
        <v>#N/A</v>
      </c>
      <c r="AB12" s="27" t="e">
        <f t="shared" si="11"/>
        <v>#N/A</v>
      </c>
      <c r="AC12" s="28" t="e">
        <v>#N/A</v>
      </c>
      <c r="AD12" s="25">
        <f t="shared" si="12"/>
        <v>0</v>
      </c>
      <c r="AE12" s="25">
        <v>0</v>
      </c>
      <c r="AF12" s="25">
        <v>-6.4052136752136697</v>
      </c>
      <c r="AG12" s="25">
        <v>0</v>
      </c>
    </row>
    <row r="13" spans="1:33" ht="15.75" customHeight="1">
      <c r="A13" s="14" t="s">
        <v>197</v>
      </c>
      <c r="B13" s="14" t="s">
        <v>1364</v>
      </c>
      <c r="C13" s="15">
        <f t="shared" si="4"/>
        <v>22.660000000000004</v>
      </c>
      <c r="D13" s="16">
        <v>14</v>
      </c>
      <c r="E13" s="16">
        <v>0</v>
      </c>
      <c r="F13" s="17">
        <v>317.24000000000007</v>
      </c>
      <c r="G13" s="29">
        <v>0</v>
      </c>
      <c r="H13" s="18">
        <f t="shared" si="1"/>
        <v>0</v>
      </c>
      <c r="I13" s="18">
        <f t="shared" si="2"/>
        <v>0.31982439439908822</v>
      </c>
      <c r="J13" s="17">
        <f t="shared" si="5"/>
        <v>101.46109087916678</v>
      </c>
      <c r="K13" s="17">
        <f t="shared" si="3"/>
        <v>7.2472207770833412</v>
      </c>
      <c r="L13" s="16">
        <v>8</v>
      </c>
      <c r="M13" s="19">
        <f t="shared" si="6"/>
        <v>1.75</v>
      </c>
      <c r="N13" s="16">
        <v>187</v>
      </c>
      <c r="O13" s="20">
        <f t="shared" ref="O13:P13" si="21">D13/7</f>
        <v>2</v>
      </c>
      <c r="P13" s="20">
        <f t="shared" si="21"/>
        <v>0</v>
      </c>
      <c r="Q13" s="16">
        <f t="shared" si="8"/>
        <v>93</v>
      </c>
      <c r="R13" s="16"/>
      <c r="S13" s="21">
        <v>2.8845470692717501</v>
      </c>
      <c r="T13" s="14">
        <v>1206</v>
      </c>
      <c r="U13" s="22">
        <v>384</v>
      </c>
      <c r="V13" s="23" t="s">
        <v>1363</v>
      </c>
      <c r="W13" s="14">
        <v>0</v>
      </c>
      <c r="X13" s="24">
        <f t="shared" si="9"/>
        <v>0</v>
      </c>
      <c r="Y13" s="25">
        <f t="shared" si="10"/>
        <v>0</v>
      </c>
      <c r="Z13" s="14">
        <v>0</v>
      </c>
      <c r="AA13" s="14" t="s">
        <v>35</v>
      </c>
      <c r="AB13" s="27">
        <f t="shared" si="11"/>
        <v>-0.69</v>
      </c>
      <c r="AC13" s="28">
        <v>9.4526006944444435E-2</v>
      </c>
      <c r="AD13" s="25">
        <f t="shared" si="12"/>
        <v>-1.8262424541666662</v>
      </c>
      <c r="AE13" s="25">
        <v>-5.42</v>
      </c>
      <c r="AF13" s="25">
        <v>-6.4633333333333303</v>
      </c>
      <c r="AG13" s="25">
        <v>0</v>
      </c>
    </row>
    <row r="14" spans="1:33" ht="15.75" customHeight="1">
      <c r="A14" s="14" t="s">
        <v>32</v>
      </c>
      <c r="B14" s="14" t="s">
        <v>1365</v>
      </c>
      <c r="C14" s="15">
        <f t="shared" si="4"/>
        <v>18.061600000000006</v>
      </c>
      <c r="D14" s="16">
        <v>50</v>
      </c>
      <c r="E14" s="16">
        <v>2</v>
      </c>
      <c r="F14" s="17">
        <v>903.08000000000027</v>
      </c>
      <c r="G14" s="29">
        <v>0</v>
      </c>
      <c r="H14" s="18">
        <f t="shared" si="1"/>
        <v>0</v>
      </c>
      <c r="I14" s="18">
        <f t="shared" si="2"/>
        <v>0.18484413214130191</v>
      </c>
      <c r="J14" s="17">
        <f t="shared" si="5"/>
        <v>166.92903885416698</v>
      </c>
      <c r="K14" s="17">
        <f t="shared" si="3"/>
        <v>3.3385807770833393</v>
      </c>
      <c r="L14" s="16">
        <v>73</v>
      </c>
      <c r="M14" s="19">
        <f t="shared" si="6"/>
        <v>0.68493150684931503</v>
      </c>
      <c r="N14" s="16">
        <v>148</v>
      </c>
      <c r="O14" s="20">
        <f t="shared" ref="O14:P14" si="22">D14/7</f>
        <v>7.1428571428571432</v>
      </c>
      <c r="P14" s="20">
        <f t="shared" si="22"/>
        <v>0.2857142857142857</v>
      </c>
      <c r="Q14" s="16">
        <f t="shared" si="8"/>
        <v>19</v>
      </c>
      <c r="R14" s="16"/>
      <c r="S14" s="21">
        <v>4</v>
      </c>
      <c r="T14" s="14">
        <v>1206</v>
      </c>
      <c r="U14" s="22">
        <v>384</v>
      </c>
      <c r="V14" s="23" t="s">
        <v>1363</v>
      </c>
      <c r="W14" s="14">
        <v>0</v>
      </c>
      <c r="X14" s="24">
        <f t="shared" si="9"/>
        <v>0</v>
      </c>
      <c r="Y14" s="25">
        <f t="shared" si="10"/>
        <v>0</v>
      </c>
      <c r="Z14" s="14">
        <v>0</v>
      </c>
      <c r="AA14" s="14" t="s">
        <v>35</v>
      </c>
      <c r="AB14" s="27">
        <f t="shared" si="11"/>
        <v>-0.69</v>
      </c>
      <c r="AC14" s="28">
        <v>9.4526006944444435E-2</v>
      </c>
      <c r="AD14" s="25">
        <f t="shared" si="12"/>
        <v>-6.522294479166665</v>
      </c>
      <c r="AE14" s="25">
        <v>-5.42</v>
      </c>
      <c r="AF14" s="25">
        <v>-6.4633333333333303</v>
      </c>
      <c r="AG14" s="25">
        <v>0</v>
      </c>
    </row>
    <row r="15" spans="1:33" ht="15.75" customHeight="1">
      <c r="A15" s="14" t="s">
        <v>36</v>
      </c>
      <c r="B15" s="14" t="s">
        <v>1366</v>
      </c>
      <c r="C15" s="15">
        <f t="shared" si="4"/>
        <v>18.526170212765955</v>
      </c>
      <c r="D15" s="16">
        <v>94</v>
      </c>
      <c r="E15" s="16">
        <v>2</v>
      </c>
      <c r="F15" s="17">
        <v>1741.4599999999996</v>
      </c>
      <c r="G15" s="29">
        <v>0</v>
      </c>
      <c r="H15" s="18">
        <f t="shared" si="1"/>
        <v>0</v>
      </c>
      <c r="I15" s="18">
        <f t="shared" si="2"/>
        <v>0.15942126321927189</v>
      </c>
      <c r="J15" s="17">
        <f t="shared" si="5"/>
        <v>277.62575304583316</v>
      </c>
      <c r="K15" s="17">
        <f t="shared" si="3"/>
        <v>2.9534654579343953</v>
      </c>
      <c r="L15" s="16">
        <v>144</v>
      </c>
      <c r="M15" s="19">
        <f t="shared" si="6"/>
        <v>0.65277777777777779</v>
      </c>
      <c r="N15" s="16">
        <v>43</v>
      </c>
      <c r="O15" s="20">
        <f t="shared" ref="O15:P15" si="23">D15/7</f>
        <v>13.428571428571429</v>
      </c>
      <c r="P15" s="20">
        <f t="shared" si="23"/>
        <v>0.2857142857142857</v>
      </c>
      <c r="Q15" s="16">
        <f t="shared" si="8"/>
        <v>3</v>
      </c>
      <c r="R15" s="16"/>
      <c r="S15" s="21">
        <v>5.1277533039647496</v>
      </c>
      <c r="T15" s="14">
        <v>1206</v>
      </c>
      <c r="U15" s="22">
        <v>384</v>
      </c>
      <c r="V15" s="23" t="s">
        <v>1367</v>
      </c>
      <c r="W15" s="14">
        <v>0</v>
      </c>
      <c r="X15" s="24">
        <f t="shared" si="9"/>
        <v>0</v>
      </c>
      <c r="Y15" s="25">
        <f t="shared" si="10"/>
        <v>0</v>
      </c>
      <c r="Z15" s="14">
        <v>0</v>
      </c>
      <c r="AA15" s="14" t="s">
        <v>35</v>
      </c>
      <c r="AB15" s="27">
        <f t="shared" si="11"/>
        <v>-0.69</v>
      </c>
      <c r="AC15" s="28">
        <v>9.4526006944444435E-2</v>
      </c>
      <c r="AD15" s="25">
        <f t="shared" si="12"/>
        <v>-12.261913620833331</v>
      </c>
      <c r="AE15" s="25">
        <v>-5.42</v>
      </c>
      <c r="AF15" s="25">
        <v>-7.2433333333333296</v>
      </c>
      <c r="AG15" s="25">
        <v>0</v>
      </c>
    </row>
    <row r="16" spans="1:33" ht="15.75" customHeight="1">
      <c r="A16" s="14" t="s">
        <v>38</v>
      </c>
      <c r="B16" s="14" t="s">
        <v>45</v>
      </c>
      <c r="C16" s="15">
        <f t="shared" si="4"/>
        <v>21.91200000000001</v>
      </c>
      <c r="D16" s="16">
        <v>35</v>
      </c>
      <c r="E16" s="16">
        <v>1</v>
      </c>
      <c r="F16" s="17">
        <v>766.9200000000003</v>
      </c>
      <c r="G16" s="29">
        <v>0</v>
      </c>
      <c r="H16" s="18">
        <f t="shared" si="1"/>
        <v>0</v>
      </c>
      <c r="I16" s="18">
        <f t="shared" si="2"/>
        <v>0.2661290971651763</v>
      </c>
      <c r="J16" s="17">
        <f t="shared" si="5"/>
        <v>204.0997271979171</v>
      </c>
      <c r="K16" s="17">
        <f t="shared" si="3"/>
        <v>5.8314207770833457</v>
      </c>
      <c r="L16" s="16">
        <v>90</v>
      </c>
      <c r="M16" s="19">
        <f t="shared" si="6"/>
        <v>0.3888888888888889</v>
      </c>
      <c r="N16" s="16">
        <v>0</v>
      </c>
      <c r="O16" s="20">
        <f t="shared" ref="O16:P16" si="24">D16/7</f>
        <v>5</v>
      </c>
      <c r="P16" s="20">
        <f t="shared" si="24"/>
        <v>0.14285714285714285</v>
      </c>
      <c r="Q16" s="16">
        <f t="shared" si="8"/>
        <v>0</v>
      </c>
      <c r="R16" s="16"/>
      <c r="S16" s="21">
        <v>9.5118110236220392</v>
      </c>
      <c r="T16" s="14">
        <v>1206</v>
      </c>
      <c r="U16" s="22">
        <v>384</v>
      </c>
      <c r="V16" s="23" t="s">
        <v>1368</v>
      </c>
      <c r="W16" s="14">
        <v>0</v>
      </c>
      <c r="X16" s="24">
        <f t="shared" si="9"/>
        <v>0</v>
      </c>
      <c r="Y16" s="25">
        <f t="shared" si="10"/>
        <v>0</v>
      </c>
      <c r="Z16" s="14">
        <v>0</v>
      </c>
      <c r="AA16" s="14" t="s">
        <v>35</v>
      </c>
      <c r="AB16" s="27">
        <f t="shared" si="11"/>
        <v>-0.69</v>
      </c>
      <c r="AC16" s="28">
        <v>9.4526006944444435E-2</v>
      </c>
      <c r="AD16" s="25">
        <f t="shared" si="12"/>
        <v>-4.5656061354166662</v>
      </c>
      <c r="AE16" s="25">
        <v>-5.42</v>
      </c>
      <c r="AF16" s="25">
        <v>-7.2433333333333296</v>
      </c>
      <c r="AG16" s="25">
        <v>0</v>
      </c>
    </row>
    <row r="17" spans="1:33" ht="15.75" customHeight="1">
      <c r="A17" s="14" t="s">
        <v>40</v>
      </c>
      <c r="B17" s="14" t="s">
        <v>843</v>
      </c>
      <c r="C17" s="15">
        <f t="shared" si="4"/>
        <v>21.85</v>
      </c>
      <c r="D17" s="16">
        <v>4</v>
      </c>
      <c r="E17" s="16">
        <v>0</v>
      </c>
      <c r="F17" s="17">
        <v>87.4</v>
      </c>
      <c r="G17" s="29">
        <v>0</v>
      </c>
      <c r="H17" s="18">
        <f t="shared" si="1"/>
        <v>0</v>
      </c>
      <c r="I17" s="18">
        <f t="shared" si="2"/>
        <v>0.26447234677726955</v>
      </c>
      <c r="J17" s="17">
        <f t="shared" si="5"/>
        <v>23.114883108333359</v>
      </c>
      <c r="K17" s="17">
        <f t="shared" si="3"/>
        <v>5.7787207770833398</v>
      </c>
      <c r="L17" s="16">
        <v>29</v>
      </c>
      <c r="M17" s="19">
        <f t="shared" si="6"/>
        <v>0.13793103448275862</v>
      </c>
      <c r="N17" s="16">
        <v>3</v>
      </c>
      <c r="O17" s="20">
        <f t="shared" ref="O17:P17" si="25">D17/7</f>
        <v>0.5714285714285714</v>
      </c>
      <c r="P17" s="20">
        <f t="shared" si="25"/>
        <v>0</v>
      </c>
      <c r="Q17" s="16">
        <f t="shared" si="8"/>
        <v>5</v>
      </c>
      <c r="R17" s="16"/>
      <c r="S17" s="21">
        <v>3.6415770609318998</v>
      </c>
      <c r="T17" s="14">
        <v>960</v>
      </c>
      <c r="U17" s="22">
        <v>384</v>
      </c>
      <c r="V17" s="23" t="s">
        <v>1369</v>
      </c>
      <c r="W17" s="14">
        <v>0</v>
      </c>
      <c r="X17" s="24">
        <f t="shared" si="9"/>
        <v>0</v>
      </c>
      <c r="Y17" s="25">
        <f t="shared" si="10"/>
        <v>0</v>
      </c>
      <c r="Z17" s="14">
        <v>0</v>
      </c>
      <c r="AA17" s="14" t="s">
        <v>35</v>
      </c>
      <c r="AB17" s="27">
        <f t="shared" si="11"/>
        <v>-0.69</v>
      </c>
      <c r="AC17" s="28">
        <v>9.4526006944444435E-2</v>
      </c>
      <c r="AD17" s="25">
        <f t="shared" si="12"/>
        <v>-0.52178355833333323</v>
      </c>
      <c r="AE17" s="25">
        <v>-5.42</v>
      </c>
      <c r="AF17" s="25">
        <v>-7.2433333333333296</v>
      </c>
      <c r="AG17" s="25">
        <v>0</v>
      </c>
    </row>
    <row r="18" spans="1:33" ht="15.75" customHeight="1">
      <c r="A18" s="14" t="s">
        <v>42</v>
      </c>
      <c r="B18" s="14" t="s">
        <v>68</v>
      </c>
      <c r="C18" s="15">
        <f t="shared" si="4"/>
        <v>21.873448275862074</v>
      </c>
      <c r="D18" s="16">
        <v>29</v>
      </c>
      <c r="E18" s="16">
        <v>0</v>
      </c>
      <c r="F18" s="17">
        <v>634.33000000000015</v>
      </c>
      <c r="G18" s="29">
        <v>0</v>
      </c>
      <c r="H18" s="18">
        <f t="shared" si="1"/>
        <v>0</v>
      </c>
      <c r="I18" s="18">
        <f t="shared" si="2"/>
        <v>0.26510003079693045</v>
      </c>
      <c r="J18" s="17">
        <f t="shared" si="5"/>
        <v>168.16090253541694</v>
      </c>
      <c r="K18" s="17">
        <f t="shared" si="3"/>
        <v>5.798651811566101</v>
      </c>
      <c r="L18" s="16">
        <v>93</v>
      </c>
      <c r="M18" s="19">
        <f t="shared" si="6"/>
        <v>0.31182795698924731</v>
      </c>
      <c r="N18" s="16">
        <v>231</v>
      </c>
      <c r="O18" s="20">
        <f t="shared" ref="O18:P18" si="26">D18/7</f>
        <v>4.1428571428571432</v>
      </c>
      <c r="P18" s="20">
        <f t="shared" si="26"/>
        <v>0</v>
      </c>
      <c r="Q18" s="16">
        <f t="shared" si="8"/>
        <v>55</v>
      </c>
      <c r="R18" s="16"/>
      <c r="S18" s="21">
        <v>2.1911421911421902</v>
      </c>
      <c r="T18" s="14">
        <v>576</v>
      </c>
      <c r="U18" s="22">
        <v>0</v>
      </c>
      <c r="V18" s="23" t="s">
        <v>1370</v>
      </c>
      <c r="W18" s="14">
        <v>0</v>
      </c>
      <c r="X18" s="24">
        <f t="shared" si="9"/>
        <v>0</v>
      </c>
      <c r="Y18" s="25">
        <f t="shared" si="10"/>
        <v>0</v>
      </c>
      <c r="Z18" s="14">
        <v>0</v>
      </c>
      <c r="AA18" s="14" t="s">
        <v>35</v>
      </c>
      <c r="AB18" s="27">
        <f t="shared" si="11"/>
        <v>-0.69</v>
      </c>
      <c r="AC18" s="28">
        <v>9.4526006944444435E-2</v>
      </c>
      <c r="AD18" s="25">
        <f t="shared" si="12"/>
        <v>-3.782930797916666</v>
      </c>
      <c r="AE18" s="25">
        <v>-5.42</v>
      </c>
      <c r="AF18" s="25">
        <v>-7.2433333333333296</v>
      </c>
      <c r="AG18" s="25">
        <v>0</v>
      </c>
    </row>
    <row r="19" spans="1:33" ht="15.75" customHeight="1">
      <c r="A19" s="14" t="s">
        <v>44</v>
      </c>
      <c r="B19" s="14" t="s">
        <v>1371</v>
      </c>
      <c r="C19" s="15">
        <f t="shared" si="4"/>
        <v>20.507659574468068</v>
      </c>
      <c r="D19" s="16">
        <v>94</v>
      </c>
      <c r="E19" s="16">
        <v>0</v>
      </c>
      <c r="F19" s="17">
        <v>1927.7199999999984</v>
      </c>
      <c r="G19" s="29">
        <v>0</v>
      </c>
      <c r="H19" s="18">
        <f t="shared" si="1"/>
        <v>0</v>
      </c>
      <c r="I19" s="18">
        <f t="shared" si="2"/>
        <v>0.20959151383283472</v>
      </c>
      <c r="J19" s="17">
        <f t="shared" si="5"/>
        <v>404.03375304583182</v>
      </c>
      <c r="K19" s="17">
        <f t="shared" si="3"/>
        <v>4.2982314153811894</v>
      </c>
      <c r="L19" s="16">
        <v>136</v>
      </c>
      <c r="M19" s="19">
        <f t="shared" si="6"/>
        <v>0.69117647058823528</v>
      </c>
      <c r="N19" s="16">
        <v>209</v>
      </c>
      <c r="O19" s="20">
        <f t="shared" ref="O19:P19" si="27">D19/7</f>
        <v>13.428571428571429</v>
      </c>
      <c r="P19" s="20">
        <f t="shared" si="27"/>
        <v>0</v>
      </c>
      <c r="Q19" s="16">
        <f t="shared" si="8"/>
        <v>15</v>
      </c>
      <c r="R19" s="16"/>
      <c r="S19" s="21">
        <v>2.5859564164648901</v>
      </c>
      <c r="T19" s="14">
        <v>504</v>
      </c>
      <c r="U19" s="22" t="s">
        <v>34</v>
      </c>
      <c r="V19" s="23" t="s">
        <v>34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14" t="s">
        <v>35</v>
      </c>
      <c r="AB19" s="27">
        <f t="shared" si="11"/>
        <v>-0.69</v>
      </c>
      <c r="AC19" s="28">
        <v>9.4526006944444435E-2</v>
      </c>
      <c r="AD19" s="25">
        <f t="shared" si="12"/>
        <v>-12.261913620833331</v>
      </c>
      <c r="AE19" s="25">
        <v>-5.42</v>
      </c>
      <c r="AF19" s="25">
        <v>-7.5828333333333333</v>
      </c>
      <c r="AG19" s="25">
        <v>0</v>
      </c>
    </row>
    <row r="20" spans="1:33" ht="15.75" customHeight="1">
      <c r="A20" s="14" t="s">
        <v>46</v>
      </c>
      <c r="B20" s="14" t="s">
        <v>1372</v>
      </c>
      <c r="C20" s="15">
        <f t="shared" si="4"/>
        <v>20.632051282051279</v>
      </c>
      <c r="D20" s="16">
        <v>78</v>
      </c>
      <c r="E20" s="16">
        <v>0</v>
      </c>
      <c r="F20" s="17">
        <v>1609.2999999999997</v>
      </c>
      <c r="G20" s="29">
        <v>0</v>
      </c>
      <c r="H20" s="18">
        <f t="shared" si="1"/>
        <v>0</v>
      </c>
      <c r="I20" s="18">
        <f t="shared" si="2"/>
        <v>0.21345256982072938</v>
      </c>
      <c r="J20" s="17">
        <f t="shared" si="5"/>
        <v>343.50922061249975</v>
      </c>
      <c r="K20" s="17">
        <f t="shared" si="3"/>
        <v>4.4039643668269202</v>
      </c>
      <c r="L20" s="16">
        <v>140</v>
      </c>
      <c r="M20" s="19">
        <f t="shared" si="6"/>
        <v>0.55714285714285716</v>
      </c>
      <c r="N20" s="16">
        <v>91</v>
      </c>
      <c r="O20" s="20">
        <f t="shared" ref="O20:P20" si="28">D20/7</f>
        <v>11.142857142857142</v>
      </c>
      <c r="P20" s="20">
        <f t="shared" si="28"/>
        <v>0</v>
      </c>
      <c r="Q20" s="16">
        <f t="shared" si="8"/>
        <v>8</v>
      </c>
      <c r="R20" s="16"/>
      <c r="S20" s="21">
        <v>9.6470588235294095</v>
      </c>
      <c r="T20" s="14">
        <v>204</v>
      </c>
      <c r="U20" s="22">
        <v>204</v>
      </c>
      <c r="V20" s="23" t="s">
        <v>1373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14" t="s">
        <v>35</v>
      </c>
      <c r="AB20" s="27">
        <f t="shared" si="11"/>
        <v>-0.69</v>
      </c>
      <c r="AC20" s="28">
        <v>9.4526006944444435E-2</v>
      </c>
      <c r="AD20" s="25">
        <f t="shared" si="12"/>
        <v>-10.174779387499997</v>
      </c>
      <c r="AE20" s="25">
        <v>-5.42</v>
      </c>
      <c r="AF20" s="25">
        <v>-7.5828333333333333</v>
      </c>
      <c r="AG20" s="25">
        <v>0</v>
      </c>
    </row>
    <row r="21" spans="1:33" ht="15.75" customHeight="1">
      <c r="A21" s="14" t="s">
        <v>47</v>
      </c>
      <c r="B21" s="14" t="s">
        <v>1374</v>
      </c>
      <c r="C21" s="15">
        <f t="shared" si="4"/>
        <v>21.723188405797099</v>
      </c>
      <c r="D21" s="16">
        <v>69</v>
      </c>
      <c r="E21" s="16">
        <v>2</v>
      </c>
      <c r="F21" s="17">
        <v>1498.8999999999999</v>
      </c>
      <c r="G21" s="29">
        <v>-0.12</v>
      </c>
      <c r="H21" s="18">
        <f t="shared" si="1"/>
        <v>8.0058709720461679E-5</v>
      </c>
      <c r="I21" s="18">
        <f t="shared" si="2"/>
        <v>0.24534574262375738</v>
      </c>
      <c r="J21" s="17">
        <f t="shared" si="5"/>
        <v>367.7487336187499</v>
      </c>
      <c r="K21" s="17">
        <f t="shared" si="3"/>
        <v>5.3296917915760851</v>
      </c>
      <c r="L21" s="16">
        <v>55</v>
      </c>
      <c r="M21" s="19">
        <f t="shared" si="6"/>
        <v>1.2545454545454546</v>
      </c>
      <c r="N21" s="16">
        <v>306</v>
      </c>
      <c r="O21" s="20">
        <f t="shared" ref="O21:P21" si="29">D21/7</f>
        <v>9.8571428571428577</v>
      </c>
      <c r="P21" s="20">
        <f t="shared" si="29"/>
        <v>0.2857142857142857</v>
      </c>
      <c r="Q21" s="16">
        <f t="shared" si="8"/>
        <v>30</v>
      </c>
      <c r="R21" s="16"/>
      <c r="S21" s="21">
        <v>3.4838709677419302</v>
      </c>
      <c r="T21" s="14">
        <v>504</v>
      </c>
      <c r="U21" s="22">
        <v>204</v>
      </c>
      <c r="V21" s="23" t="s">
        <v>1375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14" t="s">
        <v>35</v>
      </c>
      <c r="AB21" s="27">
        <f t="shared" si="11"/>
        <v>-0.69</v>
      </c>
      <c r="AC21" s="28">
        <v>9.4526006944444435E-2</v>
      </c>
      <c r="AD21" s="25">
        <f t="shared" si="12"/>
        <v>-9.0007663812499974</v>
      </c>
      <c r="AE21" s="25">
        <v>-5.42</v>
      </c>
      <c r="AF21" s="25">
        <v>-7.5828333333333333</v>
      </c>
      <c r="AG21" s="25">
        <v>0</v>
      </c>
    </row>
    <row r="22" spans="1:33" ht="15.75" customHeight="1">
      <c r="A22" s="14" t="s">
        <v>48</v>
      </c>
      <c r="B22" s="14" t="s">
        <v>68</v>
      </c>
      <c r="C22" s="15">
        <f t="shared" si="4"/>
        <v>22.930714285714281</v>
      </c>
      <c r="D22" s="16">
        <v>56</v>
      </c>
      <c r="E22" s="16">
        <v>2</v>
      </c>
      <c r="F22" s="29">
        <v>1284.1199999999997</v>
      </c>
      <c r="G22" s="29">
        <v>0</v>
      </c>
      <c r="H22" s="18">
        <f t="shared" si="1"/>
        <v>0</v>
      </c>
      <c r="I22" s="18">
        <f t="shared" si="2"/>
        <v>0.27726253272020251</v>
      </c>
      <c r="J22" s="17">
        <f t="shared" si="5"/>
        <v>356.03836351666638</v>
      </c>
      <c r="K22" s="17">
        <f t="shared" si="3"/>
        <v>6.3578279199404708</v>
      </c>
      <c r="L22" s="16">
        <v>84</v>
      </c>
      <c r="M22" s="19">
        <f t="shared" si="6"/>
        <v>0.66666666666666663</v>
      </c>
      <c r="N22" s="16">
        <v>281</v>
      </c>
      <c r="O22" s="20">
        <f t="shared" ref="O22:P22" si="30">D22/7</f>
        <v>8</v>
      </c>
      <c r="P22" s="20">
        <f t="shared" si="30"/>
        <v>0.2857142857142857</v>
      </c>
      <c r="Q22" s="16">
        <f t="shared" si="8"/>
        <v>33</v>
      </c>
      <c r="R22" s="16"/>
      <c r="S22" s="21">
        <v>2.6864864864864799</v>
      </c>
      <c r="T22" s="14">
        <v>384</v>
      </c>
      <c r="U22" s="22">
        <v>204</v>
      </c>
      <c r="V22" s="23" t="s">
        <v>1376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35</v>
      </c>
      <c r="AB22" s="27">
        <f t="shared" si="11"/>
        <v>-0.69</v>
      </c>
      <c r="AC22" s="28">
        <v>9.4526006944444435E-2</v>
      </c>
      <c r="AD22" s="25">
        <f t="shared" si="12"/>
        <v>-7.3049698166666648</v>
      </c>
      <c r="AE22" s="25">
        <v>-5.42</v>
      </c>
      <c r="AF22" s="25">
        <v>-7.5828333333333333</v>
      </c>
      <c r="AG22" s="25">
        <v>0</v>
      </c>
    </row>
    <row r="23" spans="1:33" ht="15.75" customHeight="1">
      <c r="A23" s="14" t="s">
        <v>49</v>
      </c>
      <c r="B23" s="14" t="s">
        <v>714</v>
      </c>
      <c r="C23" s="15">
        <f t="shared" si="4"/>
        <v>23.396428571428569</v>
      </c>
      <c r="D23" s="16">
        <v>28</v>
      </c>
      <c r="E23" s="16">
        <v>0</v>
      </c>
      <c r="F23" s="17">
        <v>655.09999999999991</v>
      </c>
      <c r="G23" s="29">
        <v>0</v>
      </c>
      <c r="H23" s="18">
        <f t="shared" si="1"/>
        <v>0</v>
      </c>
      <c r="I23" s="18">
        <f t="shared" si="2"/>
        <v>0.28866307702386396</v>
      </c>
      <c r="J23" s="17">
        <f t="shared" si="5"/>
        <v>189.10318175833325</v>
      </c>
      <c r="K23" s="17">
        <f t="shared" si="3"/>
        <v>6.7536850627976159</v>
      </c>
      <c r="L23" s="16">
        <v>83</v>
      </c>
      <c r="M23" s="19">
        <f t="shared" si="6"/>
        <v>0.33734939759036142</v>
      </c>
      <c r="N23" s="16">
        <v>247</v>
      </c>
      <c r="O23" s="20">
        <f t="shared" ref="O23:P23" si="31">D23/7</f>
        <v>4</v>
      </c>
      <c r="P23" s="20">
        <f t="shared" si="31"/>
        <v>0</v>
      </c>
      <c r="Q23" s="16">
        <f t="shared" si="8"/>
        <v>61</v>
      </c>
      <c r="R23" s="16"/>
      <c r="S23" s="21">
        <v>3.3996840442337999</v>
      </c>
      <c r="T23" s="14">
        <v>504</v>
      </c>
      <c r="U23" s="22">
        <v>204</v>
      </c>
      <c r="V23" s="23" t="s">
        <v>1376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35</v>
      </c>
      <c r="AB23" s="27">
        <f t="shared" si="11"/>
        <v>-0.69</v>
      </c>
      <c r="AC23" s="28">
        <v>9.4526006944444435E-2</v>
      </c>
      <c r="AD23" s="25">
        <f t="shared" si="12"/>
        <v>-3.6524849083333324</v>
      </c>
      <c r="AE23" s="25">
        <v>-5.42</v>
      </c>
      <c r="AF23" s="25">
        <v>-7.5828333333333333</v>
      </c>
      <c r="AG23" s="25">
        <v>0</v>
      </c>
    </row>
    <row r="24" spans="1:33" ht="15.75" customHeight="1">
      <c r="A24" s="14" t="s">
        <v>50</v>
      </c>
      <c r="B24" s="14" t="s">
        <v>1377</v>
      </c>
      <c r="C24" s="15">
        <f t="shared" si="4"/>
        <v>21.054915254237279</v>
      </c>
      <c r="D24" s="16">
        <v>59</v>
      </c>
      <c r="E24" s="16">
        <v>0</v>
      </c>
      <c r="F24" s="17">
        <v>1242.2399999999996</v>
      </c>
      <c r="G24" s="17">
        <v>0</v>
      </c>
      <c r="H24" s="18">
        <f t="shared" si="1"/>
        <v>0</v>
      </c>
      <c r="I24" s="18">
        <f t="shared" si="2"/>
        <v>0.22623689934949479</v>
      </c>
      <c r="J24" s="17">
        <f t="shared" si="5"/>
        <v>281.04052584791629</v>
      </c>
      <c r="K24" s="17">
        <f t="shared" si="3"/>
        <v>4.7633987431850215</v>
      </c>
      <c r="L24" s="16">
        <v>118</v>
      </c>
      <c r="M24" s="19">
        <f t="shared" si="6"/>
        <v>0.5</v>
      </c>
      <c r="N24" s="16">
        <v>204</v>
      </c>
      <c r="O24" s="20">
        <f t="shared" ref="O24:P24" si="32">D24/7</f>
        <v>8.4285714285714288</v>
      </c>
      <c r="P24" s="20">
        <f t="shared" si="32"/>
        <v>0</v>
      </c>
      <c r="Q24" s="16">
        <f t="shared" si="8"/>
        <v>24</v>
      </c>
      <c r="R24" s="16"/>
      <c r="S24" s="21">
        <v>4.6845360824742199</v>
      </c>
      <c r="T24" s="14">
        <v>504</v>
      </c>
      <c r="U24" s="22">
        <v>204</v>
      </c>
      <c r="V24" s="23" t="s">
        <v>1378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14" t="s">
        <v>35</v>
      </c>
      <c r="AB24" s="27">
        <f t="shared" si="11"/>
        <v>-0.69</v>
      </c>
      <c r="AC24" s="28">
        <v>9.4526006944444435E-2</v>
      </c>
      <c r="AD24" s="25">
        <f t="shared" si="12"/>
        <v>-7.6963074854166651</v>
      </c>
      <c r="AE24" s="25">
        <v>-5.42</v>
      </c>
      <c r="AF24" s="25">
        <v>-7.5828333333333333</v>
      </c>
      <c r="AG24" s="25">
        <v>0</v>
      </c>
    </row>
    <row r="25" spans="1:33" ht="15.75" customHeight="1">
      <c r="A25" s="14" t="s">
        <v>51</v>
      </c>
      <c r="B25" s="14" t="s">
        <v>68</v>
      </c>
      <c r="C25" s="15">
        <f t="shared" si="4"/>
        <v>22.900545454545455</v>
      </c>
      <c r="D25" s="16">
        <v>55</v>
      </c>
      <c r="E25" s="16">
        <v>1</v>
      </c>
      <c r="F25" s="17">
        <v>1259.53</v>
      </c>
      <c r="G25" s="17">
        <v>0</v>
      </c>
      <c r="H25" s="18">
        <f t="shared" si="1"/>
        <v>0</v>
      </c>
      <c r="I25" s="18">
        <f t="shared" si="2"/>
        <v>0.27663174046899769</v>
      </c>
      <c r="J25" s="17">
        <f t="shared" si="5"/>
        <v>348.42597607291668</v>
      </c>
      <c r="K25" s="17">
        <f t="shared" si="3"/>
        <v>6.335017746780303</v>
      </c>
      <c r="L25" s="16">
        <v>118</v>
      </c>
      <c r="M25" s="19">
        <f t="shared" si="6"/>
        <v>0.46610169491525422</v>
      </c>
      <c r="N25" s="16">
        <v>133</v>
      </c>
      <c r="O25" s="20">
        <f t="shared" ref="O25:P25" si="33">D25/7</f>
        <v>7.8571428571428568</v>
      </c>
      <c r="P25" s="20">
        <f t="shared" si="33"/>
        <v>0.14285714285714285</v>
      </c>
      <c r="Q25" s="16">
        <f t="shared" si="8"/>
        <v>16</v>
      </c>
      <c r="R25" s="16"/>
      <c r="S25" s="21">
        <v>5.1944990176817294</v>
      </c>
      <c r="T25" s="14">
        <v>1008</v>
      </c>
      <c r="U25" s="22">
        <v>204</v>
      </c>
      <c r="V25" s="23" t="s">
        <v>1379</v>
      </c>
      <c r="W25" s="30">
        <v>0</v>
      </c>
      <c r="X25" s="24">
        <f t="shared" si="9"/>
        <v>0</v>
      </c>
      <c r="Y25" s="25">
        <f t="shared" si="10"/>
        <v>0</v>
      </c>
      <c r="Z25" s="30">
        <v>0</v>
      </c>
      <c r="AA25" s="14" t="s">
        <v>35</v>
      </c>
      <c r="AB25" s="27">
        <f t="shared" si="11"/>
        <v>-0.69</v>
      </c>
      <c r="AC25" s="28">
        <v>9.4526006944444435E-2</v>
      </c>
      <c r="AD25" s="25">
        <f t="shared" si="12"/>
        <v>-7.1745239270833316</v>
      </c>
      <c r="AE25" s="25">
        <v>-5.42</v>
      </c>
      <c r="AF25" s="25">
        <v>-7.58</v>
      </c>
      <c r="AG25" s="25">
        <v>0</v>
      </c>
    </row>
    <row r="26" spans="1:33" ht="15.75" customHeight="1">
      <c r="A26" s="14" t="s">
        <v>52</v>
      </c>
      <c r="B26" s="14" t="s">
        <v>1380</v>
      </c>
      <c r="C26" s="15">
        <f t="shared" si="4"/>
        <v>23.908163265306122</v>
      </c>
      <c r="D26" s="16">
        <v>49</v>
      </c>
      <c r="E26" s="16">
        <v>0</v>
      </c>
      <c r="F26" s="17">
        <v>1171.5</v>
      </c>
      <c r="G26" s="17">
        <v>0</v>
      </c>
      <c r="H26" s="18">
        <f t="shared" si="1"/>
        <v>0</v>
      </c>
      <c r="I26" s="18">
        <f t="shared" si="2"/>
        <v>0.28980308841407043</v>
      </c>
      <c r="J26" s="17">
        <f t="shared" si="5"/>
        <v>339.5043180770835</v>
      </c>
      <c r="K26" s="17">
        <f t="shared" si="3"/>
        <v>6.9286595525935404</v>
      </c>
      <c r="L26" s="16">
        <v>86</v>
      </c>
      <c r="M26" s="19">
        <f t="shared" si="6"/>
        <v>0.56976744186046513</v>
      </c>
      <c r="N26" s="16">
        <v>99</v>
      </c>
      <c r="O26" s="20">
        <f t="shared" ref="O26:P26" si="34">D26/7</f>
        <v>7</v>
      </c>
      <c r="P26" s="20">
        <f t="shared" si="34"/>
        <v>0</v>
      </c>
      <c r="Q26" s="16">
        <f t="shared" si="8"/>
        <v>14</v>
      </c>
      <c r="R26" s="16"/>
      <c r="S26" s="21">
        <v>3.186363636363637</v>
      </c>
      <c r="T26" s="14">
        <v>1008</v>
      </c>
      <c r="U26" s="22">
        <v>204</v>
      </c>
      <c r="V26" s="23" t="s">
        <v>1381</v>
      </c>
      <c r="W26" s="30">
        <v>0</v>
      </c>
      <c r="X26" s="24">
        <f t="shared" si="9"/>
        <v>0</v>
      </c>
      <c r="Y26" s="25">
        <f t="shared" si="10"/>
        <v>0</v>
      </c>
      <c r="Z26" s="30">
        <v>0</v>
      </c>
      <c r="AA26" s="14" t="s">
        <v>35</v>
      </c>
      <c r="AB26" s="27">
        <f t="shared" si="11"/>
        <v>-0.69</v>
      </c>
      <c r="AC26" s="28">
        <v>9.4526006944444435E-2</v>
      </c>
      <c r="AD26" s="25">
        <f t="shared" si="12"/>
        <v>-6.3918485895833319</v>
      </c>
      <c r="AE26" s="25">
        <v>-5.68</v>
      </c>
      <c r="AF26" s="25">
        <v>-7.5828333333333298</v>
      </c>
      <c r="AG26" s="25">
        <v>0</v>
      </c>
    </row>
    <row r="27" spans="1:33" ht="15.75" customHeight="1">
      <c r="A27" s="14" t="s">
        <v>53</v>
      </c>
      <c r="B27" s="14" t="s">
        <v>1382</v>
      </c>
      <c r="C27" s="15">
        <f t="shared" si="4"/>
        <v>23.66</v>
      </c>
      <c r="D27" s="16">
        <v>24</v>
      </c>
      <c r="E27" s="16">
        <v>0</v>
      </c>
      <c r="F27" s="17">
        <v>567.84</v>
      </c>
      <c r="G27" s="17">
        <v>0</v>
      </c>
      <c r="H27" s="18">
        <f t="shared" si="1"/>
        <v>0</v>
      </c>
      <c r="I27" s="18">
        <f t="shared" si="2"/>
        <v>0.25856103594322338</v>
      </c>
      <c r="J27" s="17">
        <f t="shared" si="5"/>
        <v>146.82129864999999</v>
      </c>
      <c r="K27" s="17">
        <f t="shared" si="3"/>
        <v>6.1175541104166662</v>
      </c>
      <c r="L27" s="16">
        <v>97</v>
      </c>
      <c r="M27" s="19">
        <f t="shared" si="6"/>
        <v>0.24742268041237114</v>
      </c>
      <c r="N27" s="16">
        <v>287</v>
      </c>
      <c r="O27" s="20">
        <f t="shared" ref="O27:P27" si="35">D27/7</f>
        <v>3.4285714285714284</v>
      </c>
      <c r="P27" s="20">
        <f t="shared" si="35"/>
        <v>0</v>
      </c>
      <c r="Q27" s="16">
        <f t="shared" si="8"/>
        <v>83</v>
      </c>
      <c r="R27" s="16"/>
      <c r="S27" s="21">
        <v>2.9934640522875822</v>
      </c>
      <c r="T27" s="14">
        <v>804</v>
      </c>
      <c r="U27" s="22">
        <v>180</v>
      </c>
      <c r="V27" s="23" t="s">
        <v>1383</v>
      </c>
      <c r="W27" s="30">
        <v>0</v>
      </c>
      <c r="X27" s="24">
        <f t="shared" si="9"/>
        <v>0</v>
      </c>
      <c r="Y27" s="25">
        <f t="shared" si="10"/>
        <v>0</v>
      </c>
      <c r="Z27" s="30">
        <v>0</v>
      </c>
      <c r="AA27" s="14" t="s">
        <v>35</v>
      </c>
      <c r="AB27" s="27">
        <f t="shared" si="11"/>
        <v>-0.69</v>
      </c>
      <c r="AC27" s="28">
        <v>9.4526006944444435E-2</v>
      </c>
      <c r="AD27" s="25">
        <f t="shared" si="12"/>
        <v>-3.1307013499999994</v>
      </c>
      <c r="AE27" s="25">
        <v>-5.68</v>
      </c>
      <c r="AF27" s="25">
        <v>-8.1829999999999998</v>
      </c>
      <c r="AG27" s="25">
        <v>0</v>
      </c>
    </row>
    <row r="28" spans="1:33" ht="15.75" customHeight="1">
      <c r="A28" s="14" t="s">
        <v>54</v>
      </c>
      <c r="B28" s="14" t="s">
        <v>1384</v>
      </c>
      <c r="C28" s="15">
        <f t="shared" si="4"/>
        <v>20.100754716981129</v>
      </c>
      <c r="D28" s="16">
        <v>53</v>
      </c>
      <c r="E28" s="16">
        <v>0</v>
      </c>
      <c r="F28" s="17">
        <v>1065.3399999999999</v>
      </c>
      <c r="G28" s="17">
        <v>-0.08</v>
      </c>
      <c r="H28" s="18">
        <f t="shared" si="1"/>
        <v>7.5093397413032462E-5</v>
      </c>
      <c r="I28" s="18">
        <f t="shared" si="2"/>
        <v>0.15375970849877335</v>
      </c>
      <c r="J28" s="17">
        <f t="shared" si="5"/>
        <v>163.80636785208318</v>
      </c>
      <c r="K28" s="17">
        <f t="shared" si="3"/>
        <v>3.0906861858883619</v>
      </c>
      <c r="L28" s="16">
        <v>116</v>
      </c>
      <c r="M28" s="19">
        <f t="shared" si="6"/>
        <v>0.45689655172413796</v>
      </c>
      <c r="N28" s="16">
        <v>235</v>
      </c>
      <c r="O28" s="20">
        <f t="shared" ref="O28:P28" si="36">D28/7</f>
        <v>7.5714285714285712</v>
      </c>
      <c r="P28" s="20">
        <f t="shared" si="36"/>
        <v>0</v>
      </c>
      <c r="Q28" s="16">
        <f t="shared" si="8"/>
        <v>31</v>
      </c>
      <c r="R28" s="16"/>
      <c r="S28" s="21">
        <v>3.3002610966057442</v>
      </c>
      <c r="T28" s="14">
        <v>1008</v>
      </c>
      <c r="U28" s="22">
        <v>44384</v>
      </c>
      <c r="V28" s="23" t="s">
        <v>1383</v>
      </c>
      <c r="W28" s="30">
        <v>0</v>
      </c>
      <c r="X28" s="24">
        <f t="shared" si="9"/>
        <v>0</v>
      </c>
      <c r="Y28" s="25">
        <f t="shared" si="10"/>
        <v>0</v>
      </c>
      <c r="Z28" s="30">
        <v>0</v>
      </c>
      <c r="AA28" s="14" t="s">
        <v>35</v>
      </c>
      <c r="AB28" s="27">
        <f t="shared" si="11"/>
        <v>-0.69</v>
      </c>
      <c r="AC28" s="28">
        <v>9.4526006944444435E-2</v>
      </c>
      <c r="AD28" s="25">
        <f t="shared" si="12"/>
        <v>-6.9136321479166654</v>
      </c>
      <c r="AE28" s="25">
        <v>-5.68</v>
      </c>
      <c r="AF28" s="25">
        <v>-8.1829999999999998</v>
      </c>
      <c r="AG28" s="25">
        <v>0</v>
      </c>
    </row>
    <row r="29" spans="1:33" ht="15.75" customHeight="1">
      <c r="A29" s="14" t="s">
        <v>55</v>
      </c>
      <c r="B29" s="14" t="s">
        <v>1156</v>
      </c>
      <c r="C29" s="15">
        <f t="shared" si="4"/>
        <v>19.628125000000001</v>
      </c>
      <c r="D29" s="16">
        <v>112</v>
      </c>
      <c r="E29" s="16">
        <v>0</v>
      </c>
      <c r="F29" s="17">
        <v>2198.35</v>
      </c>
      <c r="G29" s="17">
        <v>0</v>
      </c>
      <c r="H29" s="18">
        <f t="shared" si="1"/>
        <v>0</v>
      </c>
      <c r="I29" s="18">
        <f t="shared" si="2"/>
        <v>0.13707169484689272</v>
      </c>
      <c r="J29" s="17">
        <f t="shared" si="5"/>
        <v>301.33156036666657</v>
      </c>
      <c r="K29" s="17">
        <f t="shared" si="3"/>
        <v>2.6904603604166657</v>
      </c>
      <c r="L29" s="16">
        <v>192</v>
      </c>
      <c r="M29" s="19">
        <f t="shared" si="6"/>
        <v>0.58333333333333337</v>
      </c>
      <c r="N29" s="16">
        <v>114</v>
      </c>
      <c r="O29" s="20">
        <f t="shared" ref="O29:P29" si="37">D29/7</f>
        <v>16</v>
      </c>
      <c r="P29" s="20">
        <f t="shared" si="37"/>
        <v>0</v>
      </c>
      <c r="Q29" s="16">
        <f t="shared" si="8"/>
        <v>7</v>
      </c>
      <c r="R29" s="16"/>
      <c r="S29" s="21">
        <v>7.376344086021505</v>
      </c>
      <c r="T29" s="14">
        <v>1008</v>
      </c>
      <c r="U29" s="22">
        <v>44386</v>
      </c>
      <c r="V29" s="23" t="s">
        <v>1385</v>
      </c>
      <c r="W29" s="30">
        <v>0</v>
      </c>
      <c r="X29" s="24">
        <f t="shared" si="9"/>
        <v>0</v>
      </c>
      <c r="Y29" s="25">
        <f t="shared" si="10"/>
        <v>0</v>
      </c>
      <c r="Z29" s="30">
        <v>0</v>
      </c>
      <c r="AA29" s="14" t="s">
        <v>35</v>
      </c>
      <c r="AB29" s="27">
        <f t="shared" si="11"/>
        <v>-0.69</v>
      </c>
      <c r="AC29" s="28">
        <v>9.4526006944444435E-2</v>
      </c>
      <c r="AD29" s="25">
        <f t="shared" si="12"/>
        <v>-14.60993963333333</v>
      </c>
      <c r="AE29" s="25">
        <v>-5.68</v>
      </c>
      <c r="AF29" s="25">
        <v>-8.1829999999999998</v>
      </c>
      <c r="AG29" s="25">
        <v>0</v>
      </c>
    </row>
    <row r="30" spans="1:33" ht="15.75" customHeight="1">
      <c r="A30" s="14" t="s">
        <v>57</v>
      </c>
      <c r="B30" s="14" t="s">
        <v>1386</v>
      </c>
      <c r="C30" s="15">
        <f t="shared" si="4"/>
        <v>21.162222222222216</v>
      </c>
      <c r="D30" s="16">
        <v>81</v>
      </c>
      <c r="E30" s="16">
        <v>0</v>
      </c>
      <c r="F30" s="17">
        <v>1714.1399999999994</v>
      </c>
      <c r="G30" s="17">
        <v>0</v>
      </c>
      <c r="H30" s="18">
        <f t="shared" si="1"/>
        <v>0</v>
      </c>
      <c r="I30" s="18">
        <f t="shared" si="2"/>
        <v>0.19294461840675189</v>
      </c>
      <c r="J30" s="17">
        <f t="shared" si="5"/>
        <v>330.73408819574956</v>
      </c>
      <c r="K30" s="17">
        <f t="shared" si="3"/>
        <v>4.0831368913055499</v>
      </c>
      <c r="L30" s="16">
        <v>120</v>
      </c>
      <c r="M30" s="19">
        <f t="shared" si="6"/>
        <v>0.67500000000000004</v>
      </c>
      <c r="N30" s="16">
        <v>48</v>
      </c>
      <c r="O30" s="20">
        <f t="shared" ref="O30:P30" si="38">D30/7</f>
        <v>11.571428571428571</v>
      </c>
      <c r="P30" s="20">
        <f t="shared" si="38"/>
        <v>0</v>
      </c>
      <c r="Q30" s="16">
        <f t="shared" si="8"/>
        <v>4</v>
      </c>
      <c r="R30" s="16"/>
      <c r="S30" s="21">
        <v>5.1722912966252217</v>
      </c>
      <c r="T30" s="14">
        <v>624</v>
      </c>
      <c r="U30" s="22" t="s">
        <v>34</v>
      </c>
      <c r="V30" s="23" t="s">
        <v>34</v>
      </c>
      <c r="W30" s="30">
        <v>0</v>
      </c>
      <c r="X30" s="24">
        <f t="shared" si="9"/>
        <v>0</v>
      </c>
      <c r="Y30" s="25">
        <f t="shared" si="10"/>
        <v>0</v>
      </c>
      <c r="Z30" s="30">
        <v>0</v>
      </c>
      <c r="AA30" s="14" t="s">
        <v>35</v>
      </c>
      <c r="AB30" s="27">
        <f t="shared" si="11"/>
        <v>-0.69</v>
      </c>
      <c r="AC30" s="28">
        <v>9.4526006944444435E-2</v>
      </c>
      <c r="AD30" s="25">
        <f t="shared" si="12"/>
        <v>-10.566117056249999</v>
      </c>
      <c r="AE30" s="25">
        <v>-5.68</v>
      </c>
      <c r="AF30" s="25">
        <v>-8.0943061079999996</v>
      </c>
      <c r="AG30" s="25">
        <v>0</v>
      </c>
    </row>
    <row r="31" spans="1:33" ht="15.75" customHeight="1">
      <c r="A31" s="14" t="s">
        <v>58</v>
      </c>
      <c r="B31" s="14" t="s">
        <v>45</v>
      </c>
      <c r="C31" s="15">
        <f t="shared" si="4"/>
        <v>22.028648648648652</v>
      </c>
      <c r="D31" s="16">
        <v>37</v>
      </c>
      <c r="E31" s="16">
        <v>0</v>
      </c>
      <c r="F31" s="17">
        <v>815.06000000000017</v>
      </c>
      <c r="G31" s="17">
        <v>0</v>
      </c>
      <c r="H31" s="18">
        <f t="shared" si="1"/>
        <v>0</v>
      </c>
      <c r="I31" s="18">
        <f t="shared" si="2"/>
        <v>0.21878778996566731</v>
      </c>
      <c r="J31" s="17">
        <f t="shared" si="5"/>
        <v>178.32517608941683</v>
      </c>
      <c r="K31" s="17">
        <f t="shared" si="3"/>
        <v>4.8195993537680222</v>
      </c>
      <c r="L31" s="16">
        <v>92</v>
      </c>
      <c r="M31" s="19">
        <f t="shared" si="6"/>
        <v>0.40217391304347827</v>
      </c>
      <c r="N31" s="16">
        <v>6</v>
      </c>
      <c r="O31" s="20">
        <f t="shared" ref="O31:P31" si="39">D31/7</f>
        <v>5.2857142857142856</v>
      </c>
      <c r="P31" s="20">
        <f t="shared" si="39"/>
        <v>0</v>
      </c>
      <c r="Q31" s="16">
        <f t="shared" si="8"/>
        <v>1</v>
      </c>
      <c r="R31" s="16"/>
      <c r="S31" s="21">
        <v>4.8488549618320604</v>
      </c>
      <c r="T31" s="14">
        <v>120</v>
      </c>
      <c r="U31" s="22" t="s">
        <v>34</v>
      </c>
      <c r="V31" s="23" t="s">
        <v>360</v>
      </c>
      <c r="W31" s="30">
        <v>0</v>
      </c>
      <c r="X31" s="24">
        <f t="shared" si="9"/>
        <v>0</v>
      </c>
      <c r="Y31" s="25">
        <f t="shared" si="10"/>
        <v>0</v>
      </c>
      <c r="Z31" s="30">
        <v>0</v>
      </c>
      <c r="AA31" s="14" t="s">
        <v>35</v>
      </c>
      <c r="AB31" s="27">
        <f t="shared" si="11"/>
        <v>-0.69</v>
      </c>
      <c r="AC31" s="28">
        <v>9.4526006944444435E-2</v>
      </c>
      <c r="AD31" s="25">
        <f t="shared" si="12"/>
        <v>-4.8264979145833324</v>
      </c>
      <c r="AE31" s="25">
        <v>-5.68</v>
      </c>
      <c r="AF31" s="25">
        <v>-8.0943061079999996</v>
      </c>
      <c r="AG31" s="25">
        <v>0</v>
      </c>
    </row>
    <row r="32" spans="1:33" ht="15.75" customHeight="1">
      <c r="A32" s="14" t="s">
        <v>60</v>
      </c>
      <c r="B32" s="14"/>
      <c r="C32" s="15">
        <f t="shared" si="4"/>
        <v>23.3</v>
      </c>
      <c r="D32" s="16">
        <v>19</v>
      </c>
      <c r="E32" s="16">
        <v>0</v>
      </c>
      <c r="F32" s="17">
        <v>442.7</v>
      </c>
      <c r="G32" s="17">
        <v>0</v>
      </c>
      <c r="H32" s="18">
        <f t="shared" si="1"/>
        <v>0</v>
      </c>
      <c r="I32" s="18">
        <f t="shared" si="2"/>
        <v>0.25322952800071524</v>
      </c>
      <c r="J32" s="17">
        <f t="shared" si="5"/>
        <v>112.10471204591664</v>
      </c>
      <c r="K32" s="17">
        <f t="shared" si="3"/>
        <v>5.9002480024166655</v>
      </c>
      <c r="L32" s="16">
        <v>87</v>
      </c>
      <c r="M32" s="19">
        <f t="shared" si="6"/>
        <v>0.21839080459770116</v>
      </c>
      <c r="N32" s="16">
        <v>67</v>
      </c>
      <c r="O32" s="20">
        <f t="shared" ref="O32:P32" si="40">D32/7</f>
        <v>2.7142857142857144</v>
      </c>
      <c r="P32" s="20">
        <f t="shared" si="40"/>
        <v>0</v>
      </c>
      <c r="Q32" s="16">
        <f t="shared" si="8"/>
        <v>24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3.6537013801756588</v>
      </c>
      <c r="T32" s="14">
        <f ca="1">IFERROR(__xludf.DUMMYFUNCTION("IFERROR(VLOOKUP($B$2,IMPORTRANGE(""https://docs.google.com/spreadsheets/d/1KiWZV1ko8G7lnRucBRBd29jj3Be6ltMfljMDqzOkQmI/edit#gid=1381463014"",""Lookup!A:D""),4,FALSE),"""")"),120)</f>
        <v>120</v>
      </c>
      <c r="U32" s="22">
        <f ca="1">IFERROR(__xludf.DUMMYFUNCTION("IFERROR(VLOOKUP($B$2,IMPORTRANGE(""https://docs.google.com/spreadsheets/d/1KiWZV1ko8G7lnRucBRBd29jj3Be6ltMfljMDqzOkQmI/edit#gid=1381463014"",""Lookup!A:D""),3,FALSE),"""")"),300)</f>
        <v>300</v>
      </c>
      <c r="V32" s="23" t="str">
        <f ca="1">IFERROR(__xludf.DUMMYFUNCTION("IFERROR(VLOOKUP($B$2,IMPORTRANGE(""https://docs.google.com/spreadsheets/d/1KiWZV1ko8G7lnRucBRBd29jj3Be6ltMfljMDqzOkQmI/edit#gid=1381463014"",""Lookup!A:D""),2,FALSE),"""")"),"| 410  - 300 units 07/20")</f>
        <v>| 410  - 300 units 07/20</v>
      </c>
      <c r="W32" s="30">
        <v>0</v>
      </c>
      <c r="X32" s="24">
        <f t="shared" si="9"/>
        <v>0</v>
      </c>
      <c r="Y32" s="25">
        <f t="shared" si="10"/>
        <v>0</v>
      </c>
      <c r="Z32" s="30">
        <v>0</v>
      </c>
      <c r="AA32" s="14" t="s">
        <v>35</v>
      </c>
      <c r="AB32" s="27">
        <f t="shared" si="11"/>
        <v>-0.69</v>
      </c>
      <c r="AC32" s="28">
        <v>9.4526006944444435E-2</v>
      </c>
      <c r="AD32" s="25">
        <f t="shared" si="12"/>
        <v>-2.4784719020833328</v>
      </c>
      <c r="AE32" s="25">
        <v>-5.68</v>
      </c>
      <c r="AF32" s="25">
        <v>-8.0943061079999996</v>
      </c>
      <c r="AG32" s="25">
        <v>0</v>
      </c>
    </row>
    <row r="33" spans="1:33" ht="15.75" customHeight="1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16"/>
      <c r="S33" s="21"/>
      <c r="T33" s="31"/>
      <c r="U33" s="36"/>
      <c r="V33" s="1"/>
      <c r="W33" s="31"/>
      <c r="X33" s="31"/>
      <c r="Y33" s="31"/>
      <c r="Z33" s="31"/>
      <c r="AA33" s="2"/>
      <c r="AB33" s="31"/>
      <c r="AC33" s="31"/>
      <c r="AD33" s="31"/>
      <c r="AE33" s="37"/>
      <c r="AF33" s="37"/>
      <c r="AG33" s="37"/>
    </row>
    <row r="34" spans="1:33" ht="15.75" customHeight="1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6"/>
      <c r="V34" s="1"/>
      <c r="W34" s="31"/>
      <c r="X34" s="31"/>
      <c r="Y34" s="31"/>
      <c r="Z34" s="31"/>
      <c r="AA34" s="2"/>
      <c r="AB34" s="31"/>
      <c r="AC34" s="31"/>
      <c r="AD34" s="31"/>
      <c r="AE34" s="37"/>
      <c r="AF34" s="37"/>
      <c r="AG34" s="37"/>
    </row>
    <row r="35" spans="1:33" ht="15.75" customHeight="1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6"/>
      <c r="V35" s="1"/>
      <c r="W35" s="31"/>
      <c r="X35" s="31"/>
      <c r="Y35" s="31"/>
      <c r="Z35" s="31"/>
      <c r="AA35" s="2"/>
      <c r="AB35" s="31"/>
      <c r="AC35" s="31"/>
      <c r="AD35" s="31"/>
      <c r="AE35" s="37"/>
      <c r="AF35" s="37"/>
      <c r="AG35" s="37"/>
    </row>
    <row r="36" spans="1:33" ht="15.75" customHeight="1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6"/>
      <c r="V36" s="1"/>
      <c r="W36" s="31"/>
      <c r="X36" s="31"/>
      <c r="Y36" s="31"/>
      <c r="Z36" s="31"/>
      <c r="AA36" s="2"/>
      <c r="AB36" s="31"/>
      <c r="AC36" s="31"/>
      <c r="AD36" s="31"/>
      <c r="AE36" s="37"/>
      <c r="AF36" s="37"/>
      <c r="AG36" s="37"/>
    </row>
    <row r="37" spans="1:33" ht="15.75" customHeight="1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6"/>
      <c r="V37" s="1"/>
      <c r="W37" s="31"/>
      <c r="X37" s="31"/>
      <c r="Y37" s="31"/>
      <c r="Z37" s="31"/>
      <c r="AA37" s="2"/>
      <c r="AB37" s="31"/>
      <c r="AC37" s="31"/>
      <c r="AD37" s="31"/>
      <c r="AE37" s="37"/>
      <c r="AF37" s="37"/>
      <c r="AG37" s="37"/>
    </row>
    <row r="38" spans="1:33" ht="15.75" customHeight="1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6"/>
      <c r="V38" s="1"/>
      <c r="W38" s="31"/>
      <c r="X38" s="31"/>
      <c r="Y38" s="31"/>
      <c r="Z38" s="31"/>
      <c r="AA38" s="2"/>
      <c r="AB38" s="31"/>
      <c r="AC38" s="31"/>
      <c r="AD38" s="31"/>
      <c r="AE38" s="37"/>
      <c r="AF38" s="37"/>
      <c r="AG38" s="37"/>
    </row>
    <row r="39" spans="1:33" ht="15.75" customHeight="1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6"/>
      <c r="V39" s="1"/>
      <c r="W39" s="31"/>
      <c r="X39" s="31"/>
      <c r="Y39" s="31"/>
      <c r="Z39" s="31"/>
      <c r="AA39" s="2"/>
      <c r="AB39" s="31"/>
      <c r="AC39" s="31"/>
      <c r="AD39" s="31"/>
      <c r="AE39" s="37"/>
      <c r="AF39" s="37"/>
      <c r="AG39" s="37"/>
    </row>
    <row r="40" spans="1:33" ht="15.75" customHeight="1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6"/>
      <c r="V40" s="1"/>
      <c r="W40" s="31"/>
      <c r="X40" s="31"/>
      <c r="Y40" s="31"/>
      <c r="Z40" s="31"/>
      <c r="AA40" s="2"/>
      <c r="AB40" s="31"/>
      <c r="AC40" s="31"/>
      <c r="AD40" s="31"/>
      <c r="AE40" s="37"/>
      <c r="AF40" s="37"/>
      <c r="AG40" s="37"/>
    </row>
    <row r="41" spans="1:33" ht="15.75" customHeight="1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6"/>
      <c r="V41" s="1"/>
      <c r="W41" s="31"/>
      <c r="X41" s="31"/>
      <c r="Y41" s="31"/>
      <c r="Z41" s="31"/>
      <c r="AA41" s="2"/>
      <c r="AB41" s="31"/>
      <c r="AC41" s="31"/>
      <c r="AD41" s="31"/>
      <c r="AE41" s="37"/>
      <c r="AF41" s="37"/>
      <c r="AG41" s="37"/>
    </row>
    <row r="42" spans="1:33" ht="15.75" customHeight="1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6"/>
      <c r="V42" s="1"/>
      <c r="W42" s="31"/>
      <c r="X42" s="31"/>
      <c r="Y42" s="31"/>
      <c r="Z42" s="31"/>
      <c r="AA42" s="2"/>
      <c r="AB42" s="31"/>
      <c r="AC42" s="31"/>
      <c r="AD42" s="31"/>
      <c r="AE42" s="37"/>
      <c r="AF42" s="37"/>
      <c r="AG42" s="37"/>
    </row>
    <row r="43" spans="1:33" ht="15.75" customHeight="1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6"/>
      <c r="V43" s="1"/>
      <c r="W43" s="31"/>
      <c r="X43" s="31"/>
      <c r="Y43" s="31"/>
      <c r="Z43" s="31"/>
      <c r="AA43" s="2"/>
      <c r="AB43" s="31"/>
      <c r="AC43" s="31"/>
      <c r="AD43" s="31"/>
      <c r="AE43" s="37"/>
      <c r="AF43" s="37"/>
      <c r="AG43" s="37"/>
    </row>
    <row r="44" spans="1:33" ht="15.75" customHeight="1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6"/>
      <c r="V44" s="1"/>
      <c r="W44" s="31"/>
      <c r="X44" s="31"/>
      <c r="Y44" s="31"/>
      <c r="Z44" s="31"/>
      <c r="AA44" s="2"/>
      <c r="AB44" s="31"/>
      <c r="AC44" s="31"/>
      <c r="AD44" s="31"/>
      <c r="AE44" s="37"/>
      <c r="AF44" s="37"/>
      <c r="AG44" s="37"/>
    </row>
    <row r="45" spans="1:33" ht="15.75" customHeight="1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6"/>
      <c r="V45" s="1"/>
      <c r="W45" s="31"/>
      <c r="X45" s="31"/>
      <c r="Y45" s="31"/>
      <c r="Z45" s="31"/>
      <c r="AA45" s="2"/>
      <c r="AB45" s="31"/>
      <c r="AC45" s="31"/>
      <c r="AD45" s="31"/>
      <c r="AE45" s="37"/>
      <c r="AF45" s="37"/>
      <c r="AG45" s="37"/>
    </row>
    <row r="46" spans="1:33" ht="15.75" customHeight="1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6"/>
      <c r="V46" s="1"/>
      <c r="W46" s="31"/>
      <c r="X46" s="31"/>
      <c r="Y46" s="31"/>
      <c r="Z46" s="31"/>
      <c r="AA46" s="2"/>
      <c r="AB46" s="31"/>
      <c r="AC46" s="31"/>
      <c r="AD46" s="31"/>
      <c r="AE46" s="37"/>
      <c r="AF46" s="37"/>
      <c r="AG46" s="37"/>
    </row>
    <row r="47" spans="1:33" ht="15.75" customHeight="1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6"/>
      <c r="V47" s="1"/>
      <c r="W47" s="31"/>
      <c r="X47" s="31"/>
      <c r="Y47" s="31"/>
      <c r="Z47" s="31"/>
      <c r="AA47" s="2"/>
      <c r="AB47" s="31"/>
      <c r="AC47" s="31"/>
      <c r="AD47" s="31"/>
      <c r="AE47" s="37"/>
      <c r="AF47" s="37"/>
      <c r="AG47" s="37"/>
    </row>
    <row r="48" spans="1:33" ht="15.75" customHeight="1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6"/>
      <c r="V48" s="1"/>
      <c r="W48" s="31"/>
      <c r="X48" s="31"/>
      <c r="Y48" s="31"/>
      <c r="Z48" s="31"/>
      <c r="AA48" s="2"/>
      <c r="AB48" s="31"/>
      <c r="AC48" s="31"/>
      <c r="AD48" s="31"/>
      <c r="AE48" s="37"/>
      <c r="AF48" s="37"/>
      <c r="AG48" s="37"/>
    </row>
    <row r="49" spans="1:33" ht="15.75" customHeight="1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6"/>
      <c r="V49" s="1"/>
      <c r="W49" s="31"/>
      <c r="X49" s="31"/>
      <c r="Y49" s="31"/>
      <c r="Z49" s="31"/>
      <c r="AA49" s="2"/>
      <c r="AB49" s="31"/>
      <c r="AC49" s="31"/>
      <c r="AD49" s="31"/>
      <c r="AE49" s="37"/>
      <c r="AF49" s="37"/>
      <c r="AG49" s="37"/>
    </row>
    <row r="50" spans="1:33" ht="15.75" customHeight="1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6"/>
      <c r="V50" s="1"/>
      <c r="W50" s="31"/>
      <c r="X50" s="31"/>
      <c r="Y50" s="31"/>
      <c r="Z50" s="31"/>
      <c r="AA50" s="2"/>
      <c r="AB50" s="31"/>
      <c r="AC50" s="31"/>
      <c r="AD50" s="31"/>
      <c r="AE50" s="37"/>
      <c r="AF50" s="37"/>
      <c r="AG50" s="37"/>
    </row>
    <row r="51" spans="1:33" ht="15.75" customHeight="1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6"/>
      <c r="V51" s="1"/>
      <c r="W51" s="31"/>
      <c r="X51" s="31"/>
      <c r="Y51" s="31"/>
      <c r="Z51" s="31"/>
      <c r="AA51" s="2"/>
      <c r="AB51" s="31"/>
      <c r="AC51" s="31"/>
      <c r="AD51" s="31"/>
      <c r="AE51" s="37"/>
      <c r="AF51" s="37"/>
      <c r="AG51" s="37"/>
    </row>
    <row r="52" spans="1:33" ht="15.75" customHeight="1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6"/>
      <c r="V52" s="1"/>
      <c r="W52" s="31"/>
      <c r="X52" s="31"/>
      <c r="Y52" s="31"/>
      <c r="Z52" s="31"/>
      <c r="AA52" s="2"/>
      <c r="AB52" s="31"/>
      <c r="AC52" s="31"/>
      <c r="AD52" s="31"/>
      <c r="AE52" s="37"/>
      <c r="AF52" s="37"/>
      <c r="AG52" s="37"/>
    </row>
    <row r="53" spans="1:33" ht="15.75" customHeight="1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6"/>
      <c r="V53" s="1"/>
      <c r="W53" s="31"/>
      <c r="X53" s="31"/>
      <c r="Y53" s="31"/>
      <c r="Z53" s="31"/>
      <c r="AA53" s="2"/>
      <c r="AB53" s="31"/>
      <c r="AC53" s="31"/>
      <c r="AD53" s="31"/>
      <c r="AE53" s="37"/>
      <c r="AF53" s="37"/>
      <c r="AG53" s="37"/>
    </row>
    <row r="54" spans="1:33" ht="15.75" customHeight="1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6"/>
      <c r="V54" s="1"/>
      <c r="W54" s="31"/>
      <c r="X54" s="31"/>
      <c r="Y54" s="31"/>
      <c r="Z54" s="31"/>
      <c r="AA54" s="2"/>
      <c r="AB54" s="31"/>
      <c r="AC54" s="31"/>
      <c r="AD54" s="31"/>
      <c r="AE54" s="37"/>
      <c r="AF54" s="37"/>
      <c r="AG54" s="37"/>
    </row>
    <row r="55" spans="1:33" ht="15.75" customHeight="1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6"/>
      <c r="V55" s="1"/>
      <c r="W55" s="31"/>
      <c r="X55" s="31"/>
      <c r="Y55" s="31"/>
      <c r="Z55" s="31"/>
      <c r="AA55" s="2"/>
      <c r="AB55" s="31"/>
      <c r="AC55" s="31"/>
      <c r="AD55" s="31"/>
      <c r="AE55" s="37"/>
      <c r="AF55" s="37"/>
      <c r="AG55" s="37"/>
    </row>
    <row r="56" spans="1:33" ht="15.75" customHeight="1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6"/>
      <c r="V56" s="1"/>
      <c r="W56" s="31"/>
      <c r="X56" s="31"/>
      <c r="Y56" s="31"/>
      <c r="Z56" s="31"/>
      <c r="AA56" s="2"/>
      <c r="AB56" s="31"/>
      <c r="AC56" s="31"/>
      <c r="AD56" s="31"/>
      <c r="AE56" s="37"/>
      <c r="AF56" s="37"/>
      <c r="AG56" s="37"/>
    </row>
    <row r="57" spans="1:33" ht="15.75" customHeight="1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6"/>
      <c r="V57" s="1"/>
      <c r="W57" s="31"/>
      <c r="X57" s="31"/>
      <c r="Y57" s="31"/>
      <c r="Z57" s="31"/>
      <c r="AA57" s="2"/>
      <c r="AB57" s="31"/>
      <c r="AC57" s="31"/>
      <c r="AD57" s="31"/>
      <c r="AE57" s="37"/>
      <c r="AF57" s="37"/>
      <c r="AG57" s="37"/>
    </row>
    <row r="58" spans="1:33" ht="15.75" customHeight="1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6"/>
      <c r="V58" s="1"/>
      <c r="W58" s="31"/>
      <c r="X58" s="31"/>
      <c r="Y58" s="31"/>
      <c r="Z58" s="31"/>
      <c r="AA58" s="2"/>
      <c r="AB58" s="31"/>
      <c r="AC58" s="31"/>
      <c r="AD58" s="31"/>
      <c r="AE58" s="37"/>
      <c r="AF58" s="37"/>
      <c r="AG58" s="37"/>
    </row>
    <row r="59" spans="1:33" ht="15.75" customHeight="1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6"/>
      <c r="V59" s="1"/>
      <c r="W59" s="31"/>
      <c r="X59" s="31"/>
      <c r="Y59" s="31"/>
      <c r="Z59" s="31"/>
      <c r="AA59" s="2"/>
      <c r="AB59" s="31"/>
      <c r="AC59" s="31"/>
      <c r="AD59" s="31"/>
      <c r="AE59" s="37"/>
      <c r="AF59" s="37"/>
      <c r="AG59" s="37"/>
    </row>
    <row r="60" spans="1:33" ht="15.75" customHeight="1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6"/>
      <c r="V60" s="1"/>
      <c r="W60" s="31"/>
      <c r="X60" s="31"/>
      <c r="Y60" s="31"/>
      <c r="Z60" s="31"/>
      <c r="AA60" s="2"/>
      <c r="AB60" s="31"/>
      <c r="AC60" s="31"/>
      <c r="AD60" s="31"/>
      <c r="AE60" s="37"/>
      <c r="AF60" s="37"/>
      <c r="AG60" s="37"/>
    </row>
    <row r="61" spans="1:33" ht="15.75" customHeight="1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6"/>
      <c r="V61" s="1"/>
      <c r="W61" s="31"/>
      <c r="X61" s="31"/>
      <c r="Y61" s="31"/>
      <c r="Z61" s="31"/>
      <c r="AA61" s="2"/>
      <c r="AB61" s="31"/>
      <c r="AC61" s="31"/>
      <c r="AD61" s="31"/>
      <c r="AE61" s="37"/>
      <c r="AF61" s="37"/>
      <c r="AG61" s="37"/>
    </row>
    <row r="62" spans="1:33" ht="15.75" customHeight="1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6"/>
      <c r="V62" s="1"/>
      <c r="W62" s="31"/>
      <c r="X62" s="31"/>
      <c r="Y62" s="31"/>
      <c r="Z62" s="31"/>
      <c r="AA62" s="2"/>
      <c r="AB62" s="31"/>
      <c r="AC62" s="31"/>
      <c r="AD62" s="31"/>
      <c r="AE62" s="37"/>
      <c r="AF62" s="37"/>
      <c r="AG62" s="37"/>
    </row>
    <row r="63" spans="1:33" ht="15.75" customHeight="1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6"/>
      <c r="V63" s="1"/>
      <c r="W63" s="31"/>
      <c r="X63" s="31"/>
      <c r="Y63" s="31"/>
      <c r="Z63" s="31"/>
      <c r="AA63" s="2"/>
      <c r="AB63" s="31"/>
      <c r="AC63" s="31"/>
      <c r="AD63" s="31"/>
      <c r="AE63" s="37"/>
      <c r="AF63" s="37"/>
      <c r="AG63" s="37"/>
    </row>
    <row r="64" spans="1:33" ht="15.75" customHeight="1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6"/>
      <c r="V64" s="1"/>
      <c r="W64" s="31"/>
      <c r="X64" s="31"/>
      <c r="Y64" s="31"/>
      <c r="Z64" s="31"/>
      <c r="AA64" s="2"/>
      <c r="AB64" s="31"/>
      <c r="AC64" s="31"/>
      <c r="AD64" s="31"/>
      <c r="AE64" s="37"/>
      <c r="AF64" s="37"/>
      <c r="AG64" s="37"/>
    </row>
    <row r="65" spans="1:33" ht="15.75" customHeight="1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6"/>
      <c r="V65" s="1"/>
      <c r="W65" s="31"/>
      <c r="X65" s="31"/>
      <c r="Y65" s="31"/>
      <c r="Z65" s="31"/>
      <c r="AA65" s="2"/>
      <c r="AB65" s="31"/>
      <c r="AC65" s="31"/>
      <c r="AD65" s="31"/>
      <c r="AE65" s="37"/>
      <c r="AF65" s="37"/>
      <c r="AG65" s="37"/>
    </row>
    <row r="66" spans="1:33" ht="15.75" customHeight="1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6"/>
      <c r="V66" s="1"/>
      <c r="W66" s="31"/>
      <c r="X66" s="31"/>
      <c r="Y66" s="31"/>
      <c r="Z66" s="31"/>
      <c r="AA66" s="2"/>
      <c r="AB66" s="31"/>
      <c r="AC66" s="31"/>
      <c r="AD66" s="31"/>
      <c r="AE66" s="37"/>
      <c r="AF66" s="37"/>
      <c r="AG66" s="37"/>
    </row>
    <row r="67" spans="1:33" ht="15.75" customHeight="1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6"/>
      <c r="V67" s="1"/>
      <c r="W67" s="31"/>
      <c r="X67" s="31"/>
      <c r="Y67" s="31"/>
      <c r="Z67" s="31"/>
      <c r="AA67" s="2"/>
      <c r="AB67" s="31"/>
      <c r="AC67" s="31"/>
      <c r="AD67" s="31"/>
      <c r="AE67" s="37"/>
      <c r="AF67" s="37"/>
      <c r="AG67" s="37"/>
    </row>
    <row r="68" spans="1:33" ht="15.75" customHeight="1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6"/>
      <c r="V68" s="1"/>
      <c r="W68" s="31"/>
      <c r="X68" s="31"/>
      <c r="Y68" s="31"/>
      <c r="Z68" s="31"/>
      <c r="AA68" s="2"/>
      <c r="AB68" s="31"/>
      <c r="AC68" s="31"/>
      <c r="AD68" s="31"/>
      <c r="AE68" s="37"/>
      <c r="AF68" s="37"/>
      <c r="AG68" s="37"/>
    </row>
    <row r="69" spans="1:33" ht="15.75" customHeight="1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6"/>
      <c r="V69" s="1"/>
      <c r="W69" s="31"/>
      <c r="X69" s="31"/>
      <c r="Y69" s="31"/>
      <c r="Z69" s="31"/>
      <c r="AA69" s="2"/>
      <c r="AB69" s="31"/>
      <c r="AC69" s="31"/>
      <c r="AD69" s="31"/>
      <c r="AE69" s="37"/>
      <c r="AF69" s="37"/>
      <c r="AG69" s="37"/>
    </row>
    <row r="70" spans="1:33" ht="15.75" customHeight="1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6"/>
      <c r="V70" s="1"/>
      <c r="W70" s="31"/>
      <c r="X70" s="31"/>
      <c r="Y70" s="31"/>
      <c r="Z70" s="31"/>
      <c r="AA70" s="2"/>
      <c r="AB70" s="31"/>
      <c r="AC70" s="31"/>
      <c r="AD70" s="31"/>
      <c r="AE70" s="37"/>
      <c r="AF70" s="37"/>
      <c r="AG70" s="37"/>
    </row>
    <row r="71" spans="1:33" ht="15.75" customHeight="1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6"/>
      <c r="V71" s="1"/>
      <c r="W71" s="31"/>
      <c r="X71" s="31"/>
      <c r="Y71" s="31"/>
      <c r="Z71" s="31"/>
      <c r="AA71" s="2"/>
      <c r="AB71" s="31"/>
      <c r="AC71" s="31"/>
      <c r="AD71" s="31"/>
      <c r="AE71" s="37"/>
      <c r="AF71" s="37"/>
      <c r="AG71" s="37"/>
    </row>
    <row r="72" spans="1:33" ht="15.75" customHeight="1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6"/>
      <c r="V72" s="1"/>
      <c r="W72" s="31"/>
      <c r="X72" s="31"/>
      <c r="Y72" s="31"/>
      <c r="Z72" s="31"/>
      <c r="AA72" s="2"/>
      <c r="AB72" s="31"/>
      <c r="AC72" s="31"/>
      <c r="AD72" s="31"/>
      <c r="AE72" s="37"/>
      <c r="AF72" s="37"/>
      <c r="AG72" s="37"/>
    </row>
    <row r="73" spans="1:33" ht="15.75" customHeight="1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6"/>
      <c r="V73" s="1"/>
      <c r="W73" s="31"/>
      <c r="X73" s="31"/>
      <c r="Y73" s="31"/>
      <c r="Z73" s="31"/>
      <c r="AA73" s="2"/>
      <c r="AB73" s="31"/>
      <c r="AC73" s="31"/>
      <c r="AD73" s="31"/>
      <c r="AE73" s="37"/>
      <c r="AF73" s="37"/>
      <c r="AG73" s="37"/>
    </row>
    <row r="74" spans="1:33" ht="15.75" customHeight="1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6"/>
      <c r="V74" s="1"/>
      <c r="W74" s="31"/>
      <c r="X74" s="31"/>
      <c r="Y74" s="31"/>
      <c r="Z74" s="31"/>
      <c r="AA74" s="2"/>
      <c r="AB74" s="31"/>
      <c r="AC74" s="31"/>
      <c r="AD74" s="31"/>
      <c r="AE74" s="37"/>
      <c r="AF74" s="37"/>
      <c r="AG74" s="37"/>
    </row>
    <row r="75" spans="1:33" ht="15.75" customHeight="1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6"/>
      <c r="V75" s="1"/>
      <c r="W75" s="31"/>
      <c r="X75" s="31"/>
      <c r="Y75" s="31"/>
      <c r="Z75" s="31"/>
      <c r="AA75" s="2"/>
      <c r="AB75" s="31"/>
      <c r="AC75" s="31"/>
      <c r="AD75" s="31"/>
      <c r="AE75" s="37"/>
      <c r="AF75" s="37"/>
      <c r="AG75" s="37"/>
    </row>
    <row r="76" spans="1:33" ht="15.75" customHeight="1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6"/>
      <c r="V76" s="1"/>
      <c r="W76" s="31"/>
      <c r="X76" s="31"/>
      <c r="Y76" s="31"/>
      <c r="Z76" s="31"/>
      <c r="AA76" s="2"/>
      <c r="AB76" s="31"/>
      <c r="AC76" s="31"/>
      <c r="AD76" s="31"/>
      <c r="AE76" s="37"/>
      <c r="AF76" s="37"/>
      <c r="AG76" s="37"/>
    </row>
    <row r="77" spans="1:33" ht="15.75" customHeight="1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6"/>
      <c r="V77" s="1"/>
      <c r="W77" s="31"/>
      <c r="X77" s="31"/>
      <c r="Y77" s="31"/>
      <c r="Z77" s="31"/>
      <c r="AA77" s="2"/>
      <c r="AB77" s="31"/>
      <c r="AC77" s="31"/>
      <c r="AD77" s="31"/>
      <c r="AE77" s="37"/>
      <c r="AF77" s="37"/>
      <c r="AG77" s="37"/>
    </row>
    <row r="78" spans="1:33" ht="15.75" customHeight="1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6"/>
      <c r="V78" s="1"/>
      <c r="W78" s="31"/>
      <c r="X78" s="31"/>
      <c r="Y78" s="31"/>
      <c r="Z78" s="31"/>
      <c r="AA78" s="2"/>
      <c r="AB78" s="31"/>
      <c r="AC78" s="31"/>
      <c r="AD78" s="31"/>
      <c r="AE78" s="37"/>
      <c r="AF78" s="37"/>
      <c r="AG78" s="37"/>
    </row>
    <row r="79" spans="1:33" ht="15.75" customHeight="1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6"/>
      <c r="V79" s="1"/>
      <c r="W79" s="31"/>
      <c r="X79" s="31"/>
      <c r="Y79" s="31"/>
      <c r="Z79" s="31"/>
      <c r="AA79" s="2"/>
      <c r="AB79" s="31"/>
      <c r="AC79" s="31"/>
      <c r="AD79" s="31"/>
      <c r="AE79" s="37"/>
      <c r="AF79" s="37"/>
      <c r="AG79" s="37"/>
    </row>
    <row r="80" spans="1:33" ht="15.75" customHeight="1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6"/>
      <c r="V80" s="1"/>
      <c r="W80" s="31"/>
      <c r="X80" s="31"/>
      <c r="Y80" s="31"/>
      <c r="Z80" s="31"/>
      <c r="AA80" s="2"/>
      <c r="AB80" s="31"/>
      <c r="AC80" s="31"/>
      <c r="AD80" s="31"/>
      <c r="AE80" s="37"/>
      <c r="AF80" s="37"/>
      <c r="AG80" s="37"/>
    </row>
    <row r="81" spans="1:33" ht="15.75" customHeight="1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6"/>
      <c r="V81" s="1"/>
      <c r="W81" s="31"/>
      <c r="X81" s="31"/>
      <c r="Y81" s="31"/>
      <c r="Z81" s="31"/>
      <c r="AA81" s="2"/>
      <c r="AB81" s="31"/>
      <c r="AC81" s="31"/>
      <c r="AD81" s="31"/>
      <c r="AE81" s="37"/>
      <c r="AF81" s="37"/>
      <c r="AG81" s="37"/>
    </row>
    <row r="82" spans="1:33" ht="15.75" customHeight="1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6"/>
      <c r="V82" s="1"/>
      <c r="W82" s="31"/>
      <c r="X82" s="31"/>
      <c r="Y82" s="31"/>
      <c r="Z82" s="31"/>
      <c r="AA82" s="2"/>
      <c r="AB82" s="31"/>
      <c r="AC82" s="31"/>
      <c r="AD82" s="31"/>
      <c r="AE82" s="37"/>
      <c r="AF82" s="37"/>
      <c r="AG82" s="37"/>
    </row>
    <row r="83" spans="1:33" ht="15.75" customHeight="1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6"/>
      <c r="V83" s="1"/>
      <c r="W83" s="31"/>
      <c r="X83" s="31"/>
      <c r="Y83" s="31"/>
      <c r="Z83" s="31"/>
      <c r="AA83" s="2"/>
      <c r="AB83" s="31"/>
      <c r="AC83" s="31"/>
      <c r="AD83" s="31"/>
      <c r="AE83" s="37"/>
      <c r="AF83" s="37"/>
      <c r="AG83" s="37"/>
    </row>
    <row r="84" spans="1:33" ht="15.75" customHeight="1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6"/>
      <c r="V84" s="1"/>
      <c r="W84" s="31"/>
      <c r="X84" s="31"/>
      <c r="Y84" s="31"/>
      <c r="Z84" s="31"/>
      <c r="AA84" s="2"/>
      <c r="AB84" s="31"/>
      <c r="AC84" s="31"/>
      <c r="AD84" s="31"/>
      <c r="AE84" s="37"/>
      <c r="AF84" s="37"/>
      <c r="AG84" s="37"/>
    </row>
    <row r="85" spans="1:33" ht="15.75" customHeight="1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6"/>
      <c r="V85" s="1"/>
      <c r="W85" s="31"/>
      <c r="X85" s="31"/>
      <c r="Y85" s="31"/>
      <c r="Z85" s="31"/>
      <c r="AA85" s="2"/>
      <c r="AB85" s="31"/>
      <c r="AC85" s="31"/>
      <c r="AD85" s="31"/>
      <c r="AE85" s="37"/>
      <c r="AF85" s="37"/>
      <c r="AG85" s="37"/>
    </row>
    <row r="86" spans="1:33" ht="15.75" customHeight="1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6"/>
      <c r="V86" s="1"/>
      <c r="W86" s="31"/>
      <c r="X86" s="31"/>
      <c r="Y86" s="31"/>
      <c r="Z86" s="31"/>
      <c r="AA86" s="2"/>
      <c r="AB86" s="31"/>
      <c r="AC86" s="31"/>
      <c r="AD86" s="31"/>
      <c r="AE86" s="37"/>
      <c r="AF86" s="37"/>
      <c r="AG86" s="37"/>
    </row>
    <row r="87" spans="1:33" ht="15.75" customHeight="1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6"/>
      <c r="V87" s="1"/>
      <c r="W87" s="31"/>
      <c r="X87" s="31"/>
      <c r="Y87" s="31"/>
      <c r="Z87" s="31"/>
      <c r="AA87" s="2"/>
      <c r="AB87" s="31"/>
      <c r="AC87" s="31"/>
      <c r="AD87" s="31"/>
      <c r="AE87" s="37"/>
      <c r="AF87" s="37"/>
      <c r="AG87" s="37"/>
    </row>
    <row r="88" spans="1:33" ht="15.75" customHeight="1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6"/>
      <c r="V88" s="1"/>
      <c r="W88" s="31"/>
      <c r="X88" s="31"/>
      <c r="Y88" s="31"/>
      <c r="Z88" s="31"/>
      <c r="AA88" s="2"/>
      <c r="AB88" s="31"/>
      <c r="AC88" s="31"/>
      <c r="AD88" s="31"/>
      <c r="AE88" s="37"/>
      <c r="AF88" s="37"/>
      <c r="AG88" s="37"/>
    </row>
    <row r="89" spans="1:33" ht="15.75" customHeight="1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6"/>
      <c r="V89" s="1"/>
      <c r="W89" s="31"/>
      <c r="X89" s="31"/>
      <c r="Y89" s="31"/>
      <c r="Z89" s="31"/>
      <c r="AA89" s="2"/>
      <c r="AB89" s="31"/>
      <c r="AC89" s="31"/>
      <c r="AD89" s="31"/>
      <c r="AE89" s="37"/>
      <c r="AF89" s="37"/>
      <c r="AG89" s="37"/>
    </row>
    <row r="90" spans="1:33" ht="15.75" customHeight="1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6"/>
      <c r="V90" s="1"/>
      <c r="W90" s="31"/>
      <c r="X90" s="31"/>
      <c r="Y90" s="31"/>
      <c r="Z90" s="31"/>
      <c r="AA90" s="2"/>
      <c r="AB90" s="31"/>
      <c r="AC90" s="31"/>
      <c r="AD90" s="31"/>
      <c r="AE90" s="37"/>
      <c r="AF90" s="37"/>
      <c r="AG90" s="37"/>
    </row>
    <row r="91" spans="1:33" ht="15.75" customHeight="1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6"/>
      <c r="V91" s="1"/>
      <c r="W91" s="31"/>
      <c r="X91" s="31"/>
      <c r="Y91" s="31"/>
      <c r="Z91" s="31"/>
      <c r="AA91" s="2"/>
      <c r="AB91" s="31"/>
      <c r="AC91" s="31"/>
      <c r="AD91" s="31"/>
      <c r="AE91" s="37"/>
      <c r="AF91" s="37"/>
      <c r="AG91" s="37"/>
    </row>
    <row r="92" spans="1:33" ht="15.75" customHeight="1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6"/>
      <c r="V92" s="1"/>
      <c r="W92" s="31"/>
      <c r="X92" s="31"/>
      <c r="Y92" s="31"/>
      <c r="Z92" s="31"/>
      <c r="AA92" s="2"/>
      <c r="AB92" s="31"/>
      <c r="AC92" s="31"/>
      <c r="AD92" s="31"/>
      <c r="AE92" s="37"/>
      <c r="AF92" s="37"/>
      <c r="AG92" s="37"/>
    </row>
    <row r="93" spans="1:33" ht="15.75" customHeight="1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6"/>
      <c r="V93" s="1"/>
      <c r="W93" s="31"/>
      <c r="X93" s="31"/>
      <c r="Y93" s="31"/>
      <c r="Z93" s="31"/>
      <c r="AA93" s="2"/>
      <c r="AB93" s="31"/>
      <c r="AC93" s="31"/>
      <c r="AD93" s="31"/>
      <c r="AE93" s="37"/>
      <c r="AF93" s="37"/>
      <c r="AG93" s="37"/>
    </row>
    <row r="94" spans="1:33" ht="15.75" customHeight="1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6"/>
      <c r="V94" s="1"/>
      <c r="W94" s="31"/>
      <c r="X94" s="31"/>
      <c r="Y94" s="31"/>
      <c r="Z94" s="31"/>
      <c r="AA94" s="2"/>
      <c r="AB94" s="31"/>
      <c r="AC94" s="31"/>
      <c r="AD94" s="31"/>
      <c r="AE94" s="37"/>
      <c r="AF94" s="37"/>
      <c r="AG94" s="37"/>
    </row>
    <row r="95" spans="1:33" ht="15.75" customHeight="1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6"/>
      <c r="V95" s="1"/>
      <c r="W95" s="31"/>
      <c r="X95" s="31"/>
      <c r="Y95" s="31"/>
      <c r="Z95" s="31"/>
      <c r="AA95" s="2"/>
      <c r="AB95" s="31"/>
      <c r="AC95" s="31"/>
      <c r="AD95" s="31"/>
      <c r="AE95" s="37"/>
      <c r="AF95" s="37"/>
      <c r="AG95" s="37"/>
    </row>
    <row r="96" spans="1:33" ht="15.75" customHeight="1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6"/>
      <c r="V96" s="1"/>
      <c r="W96" s="31"/>
      <c r="X96" s="31"/>
      <c r="Y96" s="31"/>
      <c r="Z96" s="31"/>
      <c r="AA96" s="2"/>
      <c r="AB96" s="31"/>
      <c r="AC96" s="31"/>
      <c r="AD96" s="31"/>
      <c r="AE96" s="37"/>
      <c r="AF96" s="37"/>
      <c r="AG96" s="37"/>
    </row>
    <row r="97" spans="1:33" ht="15.75" customHeight="1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8"/>
      <c r="R97" s="38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8"/>
      <c r="R98" s="38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8"/>
      <c r="R99" s="38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8"/>
      <c r="R100" s="38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8"/>
      <c r="R101" s="38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8"/>
      <c r="R102" s="38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8"/>
      <c r="R103" s="38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8"/>
      <c r="R104" s="38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8"/>
      <c r="R105" s="38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8"/>
      <c r="R106" s="38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8"/>
      <c r="R107" s="38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8"/>
      <c r="R108" s="38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8"/>
      <c r="R109" s="38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8"/>
      <c r="R110" s="38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8"/>
      <c r="R111" s="38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8"/>
      <c r="R112" s="38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8"/>
      <c r="R113" s="38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8"/>
      <c r="R114" s="38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>
      <c r="A115" s="31"/>
      <c r="B115" s="31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>
      <c r="A116" s="31"/>
      <c r="B116" s="31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>
      <c r="A117" s="31"/>
      <c r="B117" s="31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>
      <c r="A118" s="31"/>
      <c r="B118" s="31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>
      <c r="A119" s="31"/>
      <c r="B119" s="31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>
      <c r="A120" s="31"/>
      <c r="B120" s="31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>
      <c r="A121" s="31"/>
      <c r="B121" s="31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>
      <c r="A122" s="31"/>
      <c r="B122" s="31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>
      <c r="A123" s="31"/>
      <c r="B123" s="31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>
      <c r="A124" s="31"/>
      <c r="B124" s="31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>
      <c r="A125" s="31"/>
      <c r="B125" s="31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>
      <c r="A126" s="31"/>
      <c r="B126" s="31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>
      <c r="A127" s="31"/>
      <c r="B127" s="31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>
      <c r="A128" s="31"/>
      <c r="B128" s="31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>
      <c r="A129" s="31"/>
      <c r="B129" s="31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>
      <c r="A130" s="31"/>
      <c r="B130" s="31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>
      <c r="A131" s="31"/>
      <c r="B131" s="31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>
      <c r="A132" s="31"/>
      <c r="B132" s="31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>
      <c r="A133" s="31"/>
      <c r="B133" s="31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>
      <c r="A134" s="31"/>
      <c r="B134" s="31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>
      <c r="A135" s="31"/>
      <c r="B135" s="31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>
      <c r="A136" s="31"/>
      <c r="B136" s="31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>
      <c r="A137" s="31"/>
      <c r="B137" s="31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>
      <c r="A138" s="31"/>
      <c r="B138" s="31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>
      <c r="A139" s="31"/>
      <c r="B139" s="31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>
      <c r="A140" s="31"/>
      <c r="B140" s="31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>
      <c r="A141" s="31"/>
      <c r="B141" s="31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2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>
      <c r="A142" s="31"/>
      <c r="B142" s="31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2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>
      <c r="A143" s="31"/>
      <c r="B143" s="31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2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>
      <c r="A144" s="31"/>
      <c r="B144" s="31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2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>
      <c r="A145" s="31"/>
      <c r="B145" s="31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2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>
      <c r="A146" s="31"/>
      <c r="B146" s="31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2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>
      <c r="A147" s="31"/>
      <c r="B147" s="31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2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>
      <c r="A148" s="31"/>
      <c r="B148" s="31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2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</row>
    <row r="149" spans="1:33" ht="15.75" customHeight="1">
      <c r="A149" s="14"/>
      <c r="B149" s="14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>
      <c r="A150" s="14"/>
      <c r="B150" s="14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>
      <c r="A151" s="14"/>
      <c r="B151" s="14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>
      <c r="A152" s="14"/>
      <c r="B152" s="14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>
      <c r="A153" s="14"/>
      <c r="B153" s="14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>
      <c r="A154" s="14"/>
      <c r="B154" s="14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>
      <c r="A155" s="14"/>
      <c r="B155" s="14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>
      <c r="A156" s="14"/>
      <c r="B156" s="14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>
      <c r="A157" s="14"/>
      <c r="B157" s="14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>
      <c r="A158" s="14"/>
      <c r="B158" s="14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>
      <c r="A159" s="14"/>
      <c r="B159" s="14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>
      <c r="A160" s="14"/>
      <c r="B160" s="14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>
      <c r="A161" s="14"/>
      <c r="B161" s="14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>
      <c r="A162" s="14"/>
      <c r="B162" s="14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>
      <c r="A163" s="14"/>
      <c r="B163" s="14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>
      <c r="A164" s="14"/>
      <c r="B164" s="14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>
      <c r="A165" s="14"/>
      <c r="B165" s="14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>
      <c r="A166" s="14"/>
      <c r="B166" s="14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>
      <c r="A167" s="14"/>
      <c r="B167" s="14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>
      <c r="A168" s="14"/>
      <c r="B168" s="14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>
      <c r="A169" s="14"/>
      <c r="B169" s="14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>
      <c r="A170" s="14"/>
      <c r="B170" s="14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>
      <c r="A171" s="14"/>
      <c r="B171" s="14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>
      <c r="A172" s="14"/>
      <c r="B172" s="14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>
      <c r="A173" s="14"/>
      <c r="B173" s="14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>
      <c r="A174" s="14"/>
      <c r="B174" s="14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>
      <c r="A175" s="14"/>
      <c r="B175" s="14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>
      <c r="A176" s="14"/>
      <c r="B176" s="14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>
      <c r="A177" s="14"/>
      <c r="B177" s="14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>
      <c r="A178" s="14"/>
      <c r="B178" s="14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>
      <c r="A179" s="14"/>
      <c r="B179" s="14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>
      <c r="A180" s="14"/>
      <c r="B180" s="14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>
      <c r="A181" s="14"/>
      <c r="B181" s="14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>
      <c r="A182" s="14"/>
      <c r="B182" s="14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>
      <c r="A183" s="14"/>
      <c r="B183" s="14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>
      <c r="A184" s="14"/>
      <c r="B184" s="14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>
      <c r="A185" s="14"/>
      <c r="B185" s="14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>
      <c r="A186" s="14"/>
      <c r="B186" s="14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>
      <c r="A187" s="14"/>
      <c r="B187" s="14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>
      <c r="A188" s="14"/>
      <c r="B188" s="14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>
      <c r="A189" s="14"/>
      <c r="B189" s="14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>
      <c r="A190" s="14"/>
      <c r="B190" s="14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>
      <c r="A191" s="14"/>
      <c r="B191" s="14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>
      <c r="A192" s="14"/>
      <c r="B192" s="14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>
      <c r="A193" s="14"/>
      <c r="B193" s="14"/>
      <c r="C193" s="39"/>
      <c r="D193" s="39"/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>
      <c r="A194" s="14"/>
      <c r="B194" s="14"/>
      <c r="C194" s="39"/>
      <c r="D194" s="39"/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>
      <c r="A195" s="14"/>
      <c r="B195" s="14"/>
      <c r="C195" s="39"/>
      <c r="D195" s="39"/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>
      <c r="A196" s="14"/>
      <c r="B196" s="14"/>
      <c r="C196" s="39"/>
      <c r="D196" s="39"/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>
      <c r="A197" s="14"/>
      <c r="B197" s="14"/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>
      <c r="A198" s="14"/>
      <c r="B198" s="14"/>
      <c r="C198" s="39"/>
      <c r="D198" s="39"/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>
      <c r="A199" s="14"/>
      <c r="B199" s="14"/>
      <c r="C199" s="39"/>
      <c r="D199" s="39"/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>
      <c r="A200" s="14"/>
      <c r="B200" s="14"/>
      <c r="C200" s="39"/>
      <c r="D200" s="39"/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>
      <c r="A201" s="14"/>
      <c r="B201" s="14"/>
      <c r="C201" s="39"/>
      <c r="D201" s="39"/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>
      <c r="A202" s="14"/>
      <c r="B202" s="14"/>
      <c r="C202" s="39"/>
      <c r="D202" s="39"/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>
      <c r="A203" s="14"/>
      <c r="B203" s="14"/>
      <c r="C203" s="39"/>
      <c r="D203" s="39"/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>
      <c r="A204" s="14"/>
      <c r="B204" s="14"/>
      <c r="C204" s="39"/>
      <c r="D204" s="39"/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>
      <c r="A205" s="14"/>
      <c r="B205" s="14"/>
      <c r="C205" s="39"/>
      <c r="D205" s="39"/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>
      <c r="A206" s="14"/>
      <c r="B206" s="14"/>
      <c r="C206" s="39"/>
      <c r="D206" s="39"/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>
      <c r="A207" s="14"/>
      <c r="B207" s="14"/>
      <c r="C207" s="39"/>
      <c r="D207" s="39"/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>
      <c r="A208" s="14"/>
      <c r="B208" s="14"/>
      <c r="C208" s="39"/>
      <c r="D208" s="39"/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>
      <c r="A209" s="14"/>
      <c r="B209" s="14"/>
      <c r="C209" s="39"/>
      <c r="D209" s="39"/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>
      <c r="A210" s="14"/>
      <c r="B210" s="14"/>
      <c r="C210" s="39"/>
      <c r="D210" s="39"/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>
      <c r="A211" s="14"/>
      <c r="B211" s="14"/>
      <c r="C211" s="39"/>
      <c r="D211" s="39"/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>
      <c r="A212" s="14"/>
      <c r="B212" s="14"/>
      <c r="C212" s="39"/>
      <c r="D212" s="39"/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>
      <c r="A213" s="14"/>
      <c r="B213" s="14"/>
      <c r="C213" s="39"/>
      <c r="D213" s="39"/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>
      <c r="A214" s="14"/>
      <c r="B214" s="14"/>
      <c r="C214" s="39"/>
      <c r="D214" s="39"/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>
      <c r="A215" s="14"/>
      <c r="B215" s="14"/>
      <c r="C215" s="39"/>
      <c r="D215" s="39"/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>
      <c r="A216" s="14"/>
      <c r="B216" s="14"/>
      <c r="C216" s="39"/>
      <c r="D216" s="39"/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>
      <c r="A217" s="14"/>
      <c r="B217" s="14"/>
      <c r="C217" s="39"/>
      <c r="D217" s="39"/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>
      <c r="A218" s="14"/>
      <c r="B218" s="14"/>
      <c r="C218" s="39"/>
      <c r="D218" s="39"/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>
      <c r="A219" s="14"/>
      <c r="B219" s="14"/>
      <c r="C219" s="39"/>
      <c r="D219" s="39"/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>
      <c r="A220" s="14"/>
      <c r="B220" s="14"/>
      <c r="C220" s="39"/>
      <c r="D220" s="39"/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>
      <c r="R221" s="30"/>
      <c r="S221" s="40"/>
    </row>
    <row r="222" spans="1:33" ht="15.75" customHeight="1">
      <c r="R222" s="30"/>
      <c r="S222" s="40"/>
    </row>
    <row r="223" spans="1:33" ht="15.75" customHeight="1">
      <c r="R223" s="30"/>
      <c r="S223" s="40"/>
    </row>
    <row r="224" spans="1:33" ht="15.75" customHeight="1">
      <c r="R224" s="30"/>
      <c r="S224" s="40"/>
    </row>
    <row r="225" spans="18:18" ht="15.75" customHeight="1">
      <c r="R225" s="30"/>
    </row>
    <row r="226" spans="18:18" ht="15.75" customHeight="1">
      <c r="R226" s="30"/>
    </row>
    <row r="227" spans="18:18" ht="15.75" customHeight="1">
      <c r="R227" s="30"/>
    </row>
    <row r="228" spans="18:18" ht="15.75" customHeight="1">
      <c r="R228" s="30"/>
    </row>
    <row r="229" spans="18:18" ht="15.75" customHeight="1">
      <c r="R229" s="30"/>
    </row>
    <row r="230" spans="18:18" ht="15.75" customHeight="1">
      <c r="R230" s="30"/>
    </row>
    <row r="231" spans="18:18" ht="15.75" customHeight="1">
      <c r="R231" s="30"/>
    </row>
    <row r="232" spans="18:18" ht="15.75" customHeight="1">
      <c r="R232" s="30"/>
    </row>
    <row r="233" spans="18:18" ht="15.75" customHeight="1">
      <c r="R233" s="30"/>
    </row>
    <row r="234" spans="18:18" ht="15.75" customHeight="1">
      <c r="R234" s="30"/>
    </row>
    <row r="235" spans="18:18" ht="15.75" customHeight="1">
      <c r="R235" s="30"/>
    </row>
    <row r="236" spans="18:18" ht="15.75" customHeight="1">
      <c r="R236" s="30"/>
    </row>
    <row r="237" spans="18:18" ht="15.75" customHeight="1">
      <c r="R237" s="30"/>
    </row>
    <row r="238" spans="18:18" ht="15.75" customHeight="1">
      <c r="R238" s="30"/>
    </row>
    <row r="239" spans="18:18" ht="15.75" customHeight="1">
      <c r="R239" s="30"/>
    </row>
    <row r="240" spans="18:18" ht="15.75" customHeight="1">
      <c r="R240" s="30"/>
    </row>
    <row r="241" spans="18:18" ht="15.75" customHeight="1">
      <c r="R241" s="30"/>
    </row>
    <row r="242" spans="18:18" ht="15.75" customHeight="1">
      <c r="R242" s="30"/>
    </row>
    <row r="243" spans="18:18" ht="15.75" customHeight="1">
      <c r="R243" s="30"/>
    </row>
    <row r="244" spans="18:18" ht="15.75" customHeight="1">
      <c r="R244" s="30"/>
    </row>
    <row r="245" spans="18:18" ht="15.75" customHeight="1">
      <c r="R245" s="30"/>
    </row>
    <row r="246" spans="18:18" ht="15.75" customHeight="1">
      <c r="R246" s="30"/>
    </row>
    <row r="247" spans="18:18" ht="15.75" customHeight="1">
      <c r="R247" s="30"/>
    </row>
    <row r="248" spans="18:18" ht="15.75" customHeight="1">
      <c r="R248" s="30"/>
    </row>
    <row r="249" spans="18:18" ht="15.75" customHeight="1">
      <c r="R249" s="30"/>
    </row>
    <row r="250" spans="18:18" ht="15.75" customHeight="1">
      <c r="R250" s="30"/>
    </row>
    <row r="251" spans="18:18" ht="15.75" customHeight="1">
      <c r="R251" s="30"/>
    </row>
    <row r="252" spans="18:18" ht="15.75" customHeight="1">
      <c r="R252" s="30"/>
    </row>
    <row r="253" spans="18:18" ht="15.75" customHeight="1">
      <c r="R253" s="30"/>
    </row>
    <row r="254" spans="18:18" ht="15.75" customHeight="1">
      <c r="R254" s="30"/>
    </row>
    <row r="255" spans="18:18" ht="15.75" customHeight="1">
      <c r="R255" s="30"/>
    </row>
    <row r="256" spans="18:18" ht="15.75" customHeight="1">
      <c r="R256" s="30"/>
    </row>
    <row r="257" spans="18:18" ht="15.75" customHeight="1">
      <c r="R257" s="30"/>
    </row>
    <row r="258" spans="18:18" ht="15.75" customHeight="1">
      <c r="R258" s="30"/>
    </row>
    <row r="259" spans="18:18" ht="15.75" customHeight="1">
      <c r="R259" s="30"/>
    </row>
    <row r="260" spans="18:18" ht="15.75" customHeight="1">
      <c r="R260" s="30"/>
    </row>
    <row r="261" spans="18:18" ht="15.75" customHeight="1">
      <c r="R261" s="30"/>
    </row>
    <row r="262" spans="18:18" ht="15.75" customHeight="1">
      <c r="R262" s="30"/>
    </row>
    <row r="263" spans="18:18" ht="15.75" customHeight="1">
      <c r="R263" s="30"/>
    </row>
    <row r="264" spans="18:18" ht="15.75" customHeight="1">
      <c r="R264" s="30"/>
    </row>
    <row r="265" spans="18:18" ht="15.75" customHeight="1">
      <c r="R265" s="30"/>
    </row>
    <row r="266" spans="18:18" ht="15.75" customHeight="1">
      <c r="R266" s="30"/>
    </row>
    <row r="267" spans="18:18" ht="15.75" customHeight="1">
      <c r="R267" s="30"/>
    </row>
    <row r="268" spans="18:18" ht="15.75" customHeight="1">
      <c r="R268" s="30"/>
    </row>
    <row r="269" spans="18:18" ht="15.75" customHeight="1">
      <c r="R269" s="30"/>
    </row>
    <row r="270" spans="18:18" ht="15.75" customHeight="1">
      <c r="R270" s="30"/>
    </row>
    <row r="271" spans="18:18" ht="15.75" customHeight="1">
      <c r="R271" s="30"/>
    </row>
    <row r="272" spans="18:18" ht="15.75" customHeight="1">
      <c r="R272" s="30"/>
    </row>
    <row r="273" spans="18:18" ht="15.75" customHeight="1">
      <c r="R273" s="30"/>
    </row>
    <row r="274" spans="18:18" ht="15.75" customHeight="1">
      <c r="R274" s="30"/>
    </row>
    <row r="275" spans="18:18" ht="15.75" customHeight="1">
      <c r="R275" s="30"/>
    </row>
    <row r="276" spans="18:18" ht="15.75" customHeight="1">
      <c r="R276" s="30"/>
    </row>
    <row r="277" spans="18:18" ht="15.75" customHeight="1">
      <c r="R277" s="30"/>
    </row>
    <row r="278" spans="18:18" ht="15.75" customHeight="1">
      <c r="R278" s="30"/>
    </row>
    <row r="279" spans="18:18" ht="15.75" customHeight="1">
      <c r="R279" s="30"/>
    </row>
    <row r="280" spans="18:18" ht="15.75" customHeight="1">
      <c r="R280" s="30"/>
    </row>
    <row r="281" spans="18:18" ht="15.75" customHeight="1">
      <c r="R281" s="30"/>
    </row>
    <row r="282" spans="18:18" ht="15.75" customHeight="1">
      <c r="R282" s="30"/>
    </row>
    <row r="283" spans="18:18" ht="15.75" customHeight="1">
      <c r="R283" s="30"/>
    </row>
    <row r="284" spans="18:18" ht="15.75" customHeight="1">
      <c r="R284" s="30"/>
    </row>
    <row r="285" spans="18:18" ht="15.75" customHeight="1">
      <c r="R285" s="30"/>
    </row>
    <row r="286" spans="18:18" ht="15.75" customHeight="1">
      <c r="R286" s="30"/>
    </row>
    <row r="287" spans="18:18" ht="15.75" customHeight="1">
      <c r="R287" s="30"/>
    </row>
    <row r="288" spans="18:18" ht="15.75" customHeight="1">
      <c r="R288" s="30"/>
    </row>
    <row r="289" spans="18:18" ht="15.75" customHeight="1">
      <c r="R289" s="30"/>
    </row>
    <row r="290" spans="18:18" ht="15.75" customHeight="1">
      <c r="R290" s="30"/>
    </row>
    <row r="291" spans="18:18" ht="15.75" customHeight="1">
      <c r="R291" s="30"/>
    </row>
    <row r="292" spans="18:18" ht="15.75" customHeight="1">
      <c r="R292" s="30"/>
    </row>
    <row r="293" spans="18:18" ht="15.75" customHeight="1">
      <c r="R293" s="30"/>
    </row>
    <row r="294" spans="18:18" ht="15.75" customHeight="1">
      <c r="R294" s="30"/>
    </row>
    <row r="295" spans="18:18" ht="15.75" customHeight="1">
      <c r="R295" s="30"/>
    </row>
    <row r="296" spans="18:18" ht="15.75" customHeight="1">
      <c r="R296" s="30"/>
    </row>
    <row r="297" spans="18:18" ht="15.75" customHeight="1">
      <c r="R297" s="30"/>
    </row>
    <row r="298" spans="18:18" ht="15.75" customHeight="1">
      <c r="R298" s="30"/>
    </row>
    <row r="299" spans="18:18" ht="15.75" customHeight="1">
      <c r="R299" s="30"/>
    </row>
    <row r="300" spans="18:18" ht="15.75" customHeight="1">
      <c r="R300" s="30"/>
    </row>
    <row r="301" spans="18:18" ht="15.75" customHeight="1">
      <c r="R301" s="30"/>
    </row>
    <row r="302" spans="18:18" ht="15.75" customHeight="1">
      <c r="R302" s="30"/>
    </row>
    <row r="303" spans="18:18" ht="15.75" customHeight="1">
      <c r="R303" s="30"/>
    </row>
    <row r="304" spans="18:18" ht="15.75" customHeight="1">
      <c r="R304" s="30"/>
    </row>
    <row r="305" spans="18:18" ht="15.75" customHeight="1">
      <c r="R305" s="30"/>
    </row>
    <row r="306" spans="18:18" ht="15.75" customHeight="1">
      <c r="R306" s="30"/>
    </row>
    <row r="307" spans="18:18" ht="15.75" customHeight="1">
      <c r="R307" s="30"/>
    </row>
    <row r="308" spans="18:18" ht="15.75" customHeight="1">
      <c r="R308" s="30"/>
    </row>
    <row r="309" spans="18:18" ht="15.75" customHeight="1">
      <c r="R309" s="30"/>
    </row>
    <row r="310" spans="18:18" ht="15.75" customHeight="1">
      <c r="R310" s="30"/>
    </row>
    <row r="311" spans="18:18" ht="15.75" customHeight="1">
      <c r="R311" s="30"/>
    </row>
    <row r="312" spans="18:18" ht="15.75" customHeight="1">
      <c r="R312" s="30"/>
    </row>
    <row r="313" spans="18:18" ht="15.75" customHeight="1">
      <c r="R313" s="30"/>
    </row>
    <row r="314" spans="18:18" ht="15.75" customHeight="1">
      <c r="R314" s="30"/>
    </row>
    <row r="315" spans="18:18" ht="15.75" customHeight="1">
      <c r="R315" s="30"/>
    </row>
    <row r="316" spans="18:18" ht="15.75" customHeight="1">
      <c r="R316" s="30"/>
    </row>
    <row r="317" spans="18:18" ht="15.75" customHeight="1">
      <c r="R317" s="30"/>
    </row>
    <row r="318" spans="18:18" ht="15.75" customHeight="1">
      <c r="R318" s="30"/>
    </row>
    <row r="319" spans="18:18" ht="15.75" customHeight="1">
      <c r="R319" s="30"/>
    </row>
    <row r="320" spans="18:18" ht="15.75" customHeight="1">
      <c r="R320" s="30"/>
    </row>
    <row r="321" spans="18:18" ht="15.75" customHeight="1">
      <c r="R321" s="30"/>
    </row>
    <row r="322" spans="18:18" ht="15.75" customHeight="1">
      <c r="R322" s="30"/>
    </row>
    <row r="323" spans="18:18" ht="15.75" customHeight="1">
      <c r="R323" s="30"/>
    </row>
    <row r="324" spans="18:18" ht="15.75" customHeight="1">
      <c r="R324" s="30"/>
    </row>
    <row r="325" spans="18:18" ht="15.75" customHeight="1">
      <c r="R325" s="30"/>
    </row>
    <row r="326" spans="18:18" ht="15.75" customHeight="1">
      <c r="R326" s="30"/>
    </row>
    <row r="327" spans="18:18" ht="15.75" customHeight="1">
      <c r="R327" s="30"/>
    </row>
    <row r="328" spans="18:18" ht="15.75" customHeight="1">
      <c r="R328" s="30"/>
    </row>
    <row r="329" spans="18:18" ht="15.75" customHeight="1">
      <c r="R329" s="30"/>
    </row>
    <row r="330" spans="18:18" ht="15.75" customHeight="1">
      <c r="R330" s="30"/>
    </row>
    <row r="331" spans="18:18" ht="15.75" customHeight="1">
      <c r="R331" s="30"/>
    </row>
    <row r="332" spans="18:18" ht="15.75" customHeight="1">
      <c r="R332" s="30"/>
    </row>
    <row r="333" spans="18:18" ht="15.75" customHeight="1">
      <c r="R333" s="30"/>
    </row>
    <row r="334" spans="18:18" ht="15.75" customHeight="1">
      <c r="R334" s="30"/>
    </row>
    <row r="335" spans="18:18" ht="15.75" customHeight="1">
      <c r="R335" s="30"/>
    </row>
    <row r="336" spans="18:18" ht="15.75" customHeight="1">
      <c r="R336" s="30"/>
    </row>
    <row r="337" spans="18:18" ht="15.75" customHeight="1">
      <c r="R337" s="30"/>
    </row>
    <row r="338" spans="18:18" ht="15.75" customHeight="1">
      <c r="R338" s="30"/>
    </row>
    <row r="339" spans="18:18" ht="15.75" customHeight="1">
      <c r="R339" s="30"/>
    </row>
    <row r="340" spans="18:18" ht="15.75" customHeight="1">
      <c r="R340" s="30"/>
    </row>
    <row r="341" spans="18:18" ht="15.75" customHeight="1">
      <c r="R341" s="30"/>
    </row>
    <row r="342" spans="18:18" ht="15.75" customHeight="1">
      <c r="R342" s="30"/>
    </row>
    <row r="343" spans="18:18" ht="15.75" customHeight="1">
      <c r="R343" s="30"/>
    </row>
    <row r="344" spans="18:18" ht="15.75" customHeight="1">
      <c r="R344" s="30"/>
    </row>
    <row r="345" spans="18:18" ht="15.75" customHeight="1">
      <c r="R345" s="30"/>
    </row>
    <row r="346" spans="18:18" ht="15.75" customHeight="1">
      <c r="R346" s="30"/>
    </row>
    <row r="347" spans="18:18" ht="15.75" customHeight="1">
      <c r="R347" s="30"/>
    </row>
    <row r="348" spans="18:18" ht="15.75" customHeight="1">
      <c r="R348" s="30"/>
    </row>
    <row r="349" spans="18:18" ht="15.75" customHeight="1">
      <c r="R349" s="30"/>
    </row>
    <row r="350" spans="18:18" ht="15.75" customHeight="1">
      <c r="R350" s="30"/>
    </row>
    <row r="351" spans="18:18" ht="15.75" customHeight="1">
      <c r="R351" s="30"/>
    </row>
    <row r="352" spans="18:18" ht="15.75" customHeight="1">
      <c r="R352" s="30"/>
    </row>
    <row r="353" spans="18:18" ht="15.75" customHeight="1">
      <c r="R353" s="30"/>
    </row>
    <row r="354" spans="18:18" ht="15.75" customHeight="1">
      <c r="R354" s="30"/>
    </row>
    <row r="355" spans="18:18" ht="15.75" customHeight="1">
      <c r="R355" s="30"/>
    </row>
    <row r="356" spans="18:18" ht="15.75" customHeight="1">
      <c r="R356" s="30"/>
    </row>
    <row r="357" spans="18:18" ht="15.75" customHeight="1">
      <c r="R357" s="30"/>
    </row>
    <row r="358" spans="18:18" ht="15.75" customHeight="1">
      <c r="R358" s="30"/>
    </row>
    <row r="359" spans="18:18" ht="15.75" customHeight="1">
      <c r="R359" s="30"/>
    </row>
    <row r="360" spans="18:18" ht="15.75" customHeight="1">
      <c r="R360" s="30"/>
    </row>
    <row r="361" spans="18:18" ht="15.75" customHeight="1">
      <c r="R361" s="30"/>
    </row>
    <row r="362" spans="18:18" ht="15.75" customHeight="1">
      <c r="R362" s="30"/>
    </row>
    <row r="363" spans="18:18" ht="15.75" customHeight="1">
      <c r="R363" s="30"/>
    </row>
    <row r="364" spans="18:18" ht="15.75" customHeight="1">
      <c r="R364" s="30"/>
    </row>
    <row r="365" spans="18:18" ht="15.75" customHeight="1">
      <c r="R365" s="30"/>
    </row>
    <row r="366" spans="18:18" ht="15.75" customHeight="1">
      <c r="R366" s="30"/>
    </row>
    <row r="367" spans="18:18" ht="15.75" customHeight="1">
      <c r="R367" s="30"/>
    </row>
    <row r="368" spans="18:18" ht="15.75" customHeight="1">
      <c r="R368" s="30"/>
    </row>
    <row r="369" spans="18:18" ht="15.75" customHeight="1">
      <c r="R369" s="30"/>
    </row>
    <row r="370" spans="18:18" ht="15.75" customHeight="1">
      <c r="R370" s="30"/>
    </row>
    <row r="371" spans="18:18" ht="15.75" customHeight="1">
      <c r="R371" s="30"/>
    </row>
    <row r="372" spans="18:18" ht="15.75" customHeight="1">
      <c r="R372" s="30"/>
    </row>
    <row r="373" spans="18:18" ht="15.75" customHeight="1">
      <c r="R373" s="30"/>
    </row>
    <row r="374" spans="18:18" ht="15.75" customHeight="1">
      <c r="R374" s="30"/>
    </row>
    <row r="375" spans="18:18" ht="15.75" customHeight="1">
      <c r="R375" s="30"/>
    </row>
    <row r="376" spans="18:18" ht="15.75" customHeight="1">
      <c r="R376" s="30"/>
    </row>
    <row r="377" spans="18:18" ht="15.75" customHeight="1">
      <c r="R377" s="30"/>
    </row>
    <row r="378" spans="18:18" ht="15.75" customHeight="1">
      <c r="R378" s="30"/>
    </row>
    <row r="379" spans="18:18" ht="15.75" customHeight="1">
      <c r="R379" s="30"/>
    </row>
    <row r="380" spans="18:18" ht="15.75" customHeight="1">
      <c r="R380" s="30"/>
    </row>
    <row r="381" spans="18:18" ht="15.75" customHeight="1">
      <c r="R381" s="30"/>
    </row>
    <row r="382" spans="18:18" ht="15.75" customHeight="1">
      <c r="R382" s="30"/>
    </row>
    <row r="383" spans="18:18" ht="15.75" customHeight="1">
      <c r="R383" s="30"/>
    </row>
    <row r="384" spans="18:18" ht="15.75" customHeight="1">
      <c r="R384" s="30"/>
    </row>
    <row r="385" spans="18:18" ht="15.75" customHeight="1">
      <c r="R385" s="30"/>
    </row>
    <row r="386" spans="18:18" ht="15.75" customHeight="1">
      <c r="R386" s="30"/>
    </row>
    <row r="387" spans="18:18" ht="15.75" customHeight="1">
      <c r="R387" s="30"/>
    </row>
    <row r="388" spans="18:18" ht="15.75" customHeight="1">
      <c r="R388" s="30"/>
    </row>
    <row r="389" spans="18:18" ht="15.75" customHeight="1">
      <c r="R389" s="30"/>
    </row>
    <row r="390" spans="18:18" ht="15.75" customHeight="1">
      <c r="R390" s="30"/>
    </row>
    <row r="391" spans="18:18" ht="15.75" customHeight="1">
      <c r="R391" s="30"/>
    </row>
    <row r="392" spans="18:18" ht="15.75" customHeight="1">
      <c r="R392" s="30"/>
    </row>
    <row r="393" spans="18:18" ht="15.75" customHeight="1">
      <c r="R393" s="30"/>
    </row>
    <row r="394" spans="18:18" ht="15.75" customHeight="1">
      <c r="R394" s="30"/>
    </row>
    <row r="395" spans="18:18" ht="15.75" customHeight="1">
      <c r="R395" s="30"/>
    </row>
    <row r="396" spans="18:18" ht="15.75" customHeight="1">
      <c r="R396" s="30"/>
    </row>
    <row r="397" spans="18:18" ht="15.75" customHeight="1">
      <c r="R397" s="30"/>
    </row>
    <row r="398" spans="18:18" ht="15.75" customHeight="1">
      <c r="R398" s="30"/>
    </row>
    <row r="399" spans="18:18" ht="15.75" customHeight="1">
      <c r="R399" s="30"/>
    </row>
    <row r="400" spans="18:18" ht="15.75" customHeight="1">
      <c r="R400" s="30"/>
    </row>
    <row r="401" spans="18:18" ht="15.75" customHeight="1">
      <c r="R401" s="30"/>
    </row>
    <row r="402" spans="18:18" ht="15.75" customHeight="1">
      <c r="R402" s="30"/>
    </row>
    <row r="403" spans="18:18" ht="15.75" customHeight="1">
      <c r="R403" s="30"/>
    </row>
    <row r="404" spans="18:18" ht="15.75" customHeight="1">
      <c r="R404" s="30"/>
    </row>
    <row r="405" spans="18:18" ht="15.75" customHeight="1">
      <c r="R405" s="30"/>
    </row>
    <row r="406" spans="18:18" ht="15.75" customHeight="1">
      <c r="R406" s="30"/>
    </row>
    <row r="407" spans="18:18" ht="15.75" customHeight="1">
      <c r="R407" s="30"/>
    </row>
    <row r="408" spans="18:18" ht="15.75" customHeight="1">
      <c r="R408" s="30"/>
    </row>
    <row r="409" spans="18:18" ht="15.75" customHeight="1">
      <c r="R409" s="30"/>
    </row>
    <row r="410" spans="18:18" ht="15.75" customHeight="1">
      <c r="R410" s="30"/>
    </row>
    <row r="411" spans="18:18" ht="15.75" customHeight="1">
      <c r="R411" s="30"/>
    </row>
    <row r="412" spans="18:18" ht="15.75" customHeight="1">
      <c r="R412" s="30"/>
    </row>
    <row r="413" spans="18:18" ht="15.75" customHeight="1">
      <c r="R413" s="30"/>
    </row>
    <row r="414" spans="18:18" ht="15.75" customHeight="1">
      <c r="R414" s="30"/>
    </row>
    <row r="415" spans="18:18" ht="15.75" customHeight="1">
      <c r="R415" s="30"/>
    </row>
    <row r="416" spans="18:18" ht="15.75" customHeight="1">
      <c r="R416" s="30"/>
    </row>
    <row r="417" spans="18:18" ht="15.75" customHeight="1">
      <c r="R417" s="30"/>
    </row>
    <row r="418" spans="18:18" ht="15.75" customHeight="1">
      <c r="R418" s="30"/>
    </row>
    <row r="419" spans="18:18" ht="15.75" customHeight="1">
      <c r="R419" s="30"/>
    </row>
    <row r="420" spans="18:18" ht="15.75" customHeight="1">
      <c r="R420" s="30"/>
    </row>
    <row r="421" spans="18:18" ht="15.75" customHeight="1">
      <c r="R421" s="30"/>
    </row>
    <row r="422" spans="18:18" ht="15.75" customHeight="1">
      <c r="R422" s="30"/>
    </row>
    <row r="423" spans="18:18" ht="15.75" customHeight="1">
      <c r="R423" s="30"/>
    </row>
    <row r="424" spans="18:18" ht="15.75" customHeight="1">
      <c r="R424" s="30"/>
    </row>
    <row r="425" spans="18:18" ht="15.75" customHeight="1">
      <c r="R425" s="30"/>
    </row>
    <row r="426" spans="18:18" ht="15.75" customHeight="1">
      <c r="R426" s="30"/>
    </row>
    <row r="427" spans="18:18" ht="15.75" customHeight="1">
      <c r="R427" s="30"/>
    </row>
    <row r="428" spans="18:18" ht="15.75" customHeight="1">
      <c r="R428" s="30"/>
    </row>
    <row r="429" spans="18:18" ht="15.75" customHeight="1">
      <c r="R429" s="30"/>
    </row>
    <row r="430" spans="18:18" ht="15.75" customHeight="1">
      <c r="R430" s="30"/>
    </row>
    <row r="431" spans="18:18" ht="15.75" customHeight="1">
      <c r="R431" s="30"/>
    </row>
    <row r="432" spans="18:18" ht="15.75" customHeight="1">
      <c r="R432" s="30"/>
    </row>
    <row r="433" spans="18:18" ht="15.75" customHeight="1">
      <c r="R433" s="30"/>
    </row>
    <row r="434" spans="18:18" ht="15.75" customHeight="1">
      <c r="R434" s="30"/>
    </row>
    <row r="435" spans="18:18" ht="15.75" customHeight="1">
      <c r="R435" s="30"/>
    </row>
    <row r="436" spans="18:18" ht="15.75" customHeight="1">
      <c r="R436" s="30"/>
    </row>
    <row r="437" spans="18:18" ht="15.75" customHeight="1">
      <c r="R437" s="30"/>
    </row>
    <row r="438" spans="18:18" ht="15.75" customHeight="1">
      <c r="R438" s="30"/>
    </row>
    <row r="439" spans="18:18" ht="15.75" customHeight="1">
      <c r="R439" s="30"/>
    </row>
    <row r="440" spans="18:18" ht="15.75" customHeight="1">
      <c r="R440" s="30"/>
    </row>
    <row r="441" spans="18:18" ht="15.75" customHeight="1">
      <c r="R441" s="30"/>
    </row>
    <row r="442" spans="18:18" ht="15.75" customHeight="1">
      <c r="R442" s="30"/>
    </row>
    <row r="443" spans="18:18" ht="15.75" customHeight="1">
      <c r="R443" s="30"/>
    </row>
    <row r="444" spans="18:18" ht="15.75" customHeight="1">
      <c r="R444" s="30"/>
    </row>
    <row r="445" spans="18:18" ht="15.75" customHeight="1">
      <c r="R445" s="30"/>
    </row>
    <row r="446" spans="18:18" ht="15.75" customHeight="1">
      <c r="R446" s="30"/>
    </row>
    <row r="447" spans="18:18" ht="15.75" customHeight="1">
      <c r="R447" s="30"/>
    </row>
    <row r="448" spans="18:18" ht="15.75" customHeight="1">
      <c r="R448" s="30"/>
    </row>
    <row r="449" spans="18:18" ht="15.75" customHeight="1">
      <c r="R449" s="30"/>
    </row>
    <row r="450" spans="18:18" ht="15.75" customHeight="1">
      <c r="R450" s="30"/>
    </row>
    <row r="451" spans="18:18" ht="15.75" customHeight="1">
      <c r="R451" s="30"/>
    </row>
    <row r="452" spans="18:18" ht="15.75" customHeight="1">
      <c r="R452" s="30"/>
    </row>
    <row r="453" spans="18:18" ht="15.75" customHeight="1">
      <c r="R453" s="30"/>
    </row>
    <row r="454" spans="18:18" ht="15.75" customHeight="1">
      <c r="R454" s="30"/>
    </row>
    <row r="455" spans="18:18" ht="15.75" customHeight="1">
      <c r="R455" s="30"/>
    </row>
    <row r="456" spans="18:18" ht="15.75" customHeight="1">
      <c r="R456" s="30"/>
    </row>
    <row r="457" spans="18:18" ht="15.75" customHeight="1">
      <c r="R457" s="30"/>
    </row>
    <row r="458" spans="18:18" ht="15.75" customHeight="1">
      <c r="R458" s="30"/>
    </row>
    <row r="459" spans="18:18" ht="15.75" customHeight="1">
      <c r="R459" s="30"/>
    </row>
    <row r="460" spans="18:18" ht="15.75" customHeight="1">
      <c r="R460" s="30"/>
    </row>
    <row r="461" spans="18:18" ht="15.75" customHeight="1">
      <c r="R461" s="30"/>
    </row>
    <row r="462" spans="18:18" ht="15.75" customHeight="1">
      <c r="R462" s="30"/>
    </row>
    <row r="463" spans="18:18" ht="15.75" customHeight="1">
      <c r="R463" s="30"/>
    </row>
    <row r="464" spans="18:18" ht="15.75" customHeight="1">
      <c r="R464" s="30"/>
    </row>
    <row r="465" spans="18:18" ht="15.75" customHeight="1">
      <c r="R465" s="30"/>
    </row>
    <row r="466" spans="18:18" ht="15.75" customHeight="1">
      <c r="R466" s="30"/>
    </row>
    <row r="467" spans="18:18" ht="15.75" customHeight="1">
      <c r="R467" s="30"/>
    </row>
    <row r="468" spans="18:18" ht="15.75" customHeight="1">
      <c r="R468" s="30"/>
    </row>
    <row r="469" spans="18:18" ht="15.75" customHeight="1">
      <c r="R469" s="30"/>
    </row>
    <row r="470" spans="18:18" ht="15.75" customHeight="1">
      <c r="R470" s="30"/>
    </row>
    <row r="471" spans="18:18" ht="15.75" customHeight="1">
      <c r="R471" s="30"/>
    </row>
    <row r="472" spans="18:18" ht="15.75" customHeight="1">
      <c r="R472" s="30"/>
    </row>
    <row r="473" spans="18:18" ht="15.75" customHeight="1">
      <c r="R473" s="30"/>
    </row>
    <row r="474" spans="18:18" ht="15.75" customHeight="1">
      <c r="R474" s="30"/>
    </row>
    <row r="475" spans="18:18" ht="15.75" customHeight="1">
      <c r="R475" s="30"/>
    </row>
    <row r="476" spans="18:18" ht="15.75" customHeight="1">
      <c r="R476" s="30"/>
    </row>
    <row r="477" spans="18:18" ht="15.75" customHeight="1">
      <c r="R477" s="30"/>
    </row>
    <row r="478" spans="18:18" ht="15.75" customHeight="1">
      <c r="R478" s="30"/>
    </row>
    <row r="479" spans="18:18" ht="15.75" customHeight="1">
      <c r="R479" s="30"/>
    </row>
    <row r="480" spans="18:18" ht="15.75" customHeight="1">
      <c r="R480" s="30"/>
    </row>
    <row r="481" spans="18:18" ht="15.75" customHeight="1">
      <c r="R481" s="30"/>
    </row>
    <row r="482" spans="18:18" ht="15.75" customHeight="1">
      <c r="R482" s="30"/>
    </row>
    <row r="483" spans="18:18" ht="15.75" customHeight="1">
      <c r="R483" s="30"/>
    </row>
    <row r="484" spans="18:18" ht="15.75" customHeight="1">
      <c r="R484" s="30"/>
    </row>
    <row r="485" spans="18:18" ht="15.75" customHeight="1">
      <c r="R485" s="30"/>
    </row>
    <row r="486" spans="18:18" ht="15.75" customHeight="1">
      <c r="R486" s="30"/>
    </row>
    <row r="487" spans="18:18" ht="15.75" customHeight="1">
      <c r="R487" s="30"/>
    </row>
    <row r="488" spans="18:18" ht="15.75" customHeight="1">
      <c r="R488" s="30"/>
    </row>
    <row r="489" spans="18:18" ht="15.75" customHeight="1">
      <c r="R489" s="30"/>
    </row>
    <row r="490" spans="18:18" ht="15.75" customHeight="1">
      <c r="R490" s="30"/>
    </row>
    <row r="491" spans="18:18" ht="15.75" customHeight="1">
      <c r="R491" s="30"/>
    </row>
    <row r="492" spans="18:18" ht="15.75" customHeight="1">
      <c r="R492" s="30"/>
    </row>
    <row r="493" spans="18:18" ht="15.75" customHeight="1">
      <c r="R493" s="30"/>
    </row>
    <row r="494" spans="18:18" ht="15.75" customHeight="1">
      <c r="R494" s="30"/>
    </row>
    <row r="495" spans="18:18" ht="15.75" customHeight="1">
      <c r="R495" s="30"/>
    </row>
    <row r="496" spans="18:18" ht="15.75" customHeight="1">
      <c r="R496" s="30"/>
    </row>
    <row r="497" spans="18:18" ht="15.75" customHeight="1">
      <c r="R497" s="30"/>
    </row>
    <row r="498" spans="18:18" ht="15.75" customHeight="1">
      <c r="R498" s="30"/>
    </row>
    <row r="499" spans="18:18" ht="15.75" customHeight="1">
      <c r="R499" s="30"/>
    </row>
    <row r="500" spans="18:18" ht="15.75" customHeight="1">
      <c r="R500" s="30"/>
    </row>
    <row r="501" spans="18:18" ht="15.75" customHeight="1">
      <c r="R501" s="30"/>
    </row>
    <row r="502" spans="18:18" ht="15.75" customHeight="1">
      <c r="R502" s="30"/>
    </row>
    <row r="503" spans="18:18" ht="15.75" customHeight="1">
      <c r="R503" s="30"/>
    </row>
    <row r="504" spans="18:18" ht="15.75" customHeight="1">
      <c r="R504" s="30"/>
    </row>
    <row r="505" spans="18:18" ht="15.75" customHeight="1">
      <c r="R505" s="30"/>
    </row>
    <row r="506" spans="18:18" ht="15.75" customHeight="1">
      <c r="R506" s="30"/>
    </row>
    <row r="507" spans="18:18" ht="15.75" customHeight="1">
      <c r="R507" s="30"/>
    </row>
    <row r="508" spans="18:18" ht="15.75" customHeight="1">
      <c r="R508" s="30"/>
    </row>
    <row r="509" spans="18:18" ht="15.75" customHeight="1">
      <c r="R509" s="30"/>
    </row>
    <row r="510" spans="18:18" ht="15.75" customHeight="1">
      <c r="R510" s="30"/>
    </row>
    <row r="511" spans="18:18" ht="15.75" customHeight="1">
      <c r="R511" s="30"/>
    </row>
    <row r="512" spans="18:18" ht="15.75" customHeight="1">
      <c r="R512" s="30"/>
    </row>
    <row r="513" spans="18:18" ht="15.75" customHeight="1">
      <c r="R513" s="30"/>
    </row>
    <row r="514" spans="18:18" ht="15.75" customHeight="1">
      <c r="R514" s="30"/>
    </row>
    <row r="515" spans="18:18" ht="15.75" customHeight="1">
      <c r="R515" s="30"/>
    </row>
    <row r="516" spans="18:18" ht="15.75" customHeight="1">
      <c r="R516" s="30"/>
    </row>
    <row r="517" spans="18:18" ht="15.75" customHeight="1">
      <c r="R517" s="30"/>
    </row>
    <row r="518" spans="18:18" ht="15.75" customHeight="1">
      <c r="R518" s="30"/>
    </row>
    <row r="519" spans="18:18" ht="15.75" customHeight="1">
      <c r="R519" s="30"/>
    </row>
    <row r="520" spans="18:18" ht="15.75" customHeight="1">
      <c r="R520" s="30"/>
    </row>
    <row r="521" spans="18:18" ht="15.75" customHeight="1">
      <c r="R521" s="30"/>
    </row>
    <row r="522" spans="18:18" ht="15.75" customHeight="1">
      <c r="R522" s="30"/>
    </row>
    <row r="523" spans="18:18" ht="15.75" customHeight="1">
      <c r="R523" s="30"/>
    </row>
    <row r="524" spans="18:18" ht="15.75" customHeight="1">
      <c r="R524" s="30"/>
    </row>
    <row r="525" spans="18:18" ht="15.75" customHeight="1">
      <c r="R525" s="30"/>
    </row>
    <row r="526" spans="18:18" ht="15.75" customHeight="1">
      <c r="R526" s="30"/>
    </row>
    <row r="527" spans="18:18" ht="15.75" customHeight="1">
      <c r="R527" s="30"/>
    </row>
    <row r="528" spans="18:18" ht="15.75" customHeight="1">
      <c r="R528" s="30"/>
    </row>
    <row r="529" spans="18:18" ht="15.75" customHeight="1">
      <c r="R529" s="30"/>
    </row>
    <row r="530" spans="18:18" ht="15.75" customHeight="1">
      <c r="R530" s="30"/>
    </row>
    <row r="531" spans="18:18" ht="15.75" customHeight="1">
      <c r="R531" s="30"/>
    </row>
    <row r="532" spans="18:18" ht="15.75" customHeight="1">
      <c r="R532" s="30"/>
    </row>
    <row r="533" spans="18:18" ht="15.75" customHeight="1">
      <c r="R533" s="30"/>
    </row>
    <row r="534" spans="18:18" ht="15.75" customHeight="1">
      <c r="R534" s="30"/>
    </row>
    <row r="535" spans="18:18" ht="15.75" customHeight="1">
      <c r="R535" s="30"/>
    </row>
    <row r="536" spans="18:18" ht="15.75" customHeight="1">
      <c r="R536" s="30"/>
    </row>
    <row r="537" spans="18:18" ht="15.75" customHeight="1">
      <c r="R537" s="30"/>
    </row>
    <row r="538" spans="18:18" ht="15.75" customHeight="1">
      <c r="R538" s="30"/>
    </row>
    <row r="539" spans="18:18" ht="15.75" customHeight="1">
      <c r="R539" s="30"/>
    </row>
    <row r="540" spans="18:18" ht="15.75" customHeight="1">
      <c r="R540" s="30"/>
    </row>
    <row r="541" spans="18:18" ht="15.75" customHeight="1">
      <c r="R541" s="30"/>
    </row>
    <row r="542" spans="18:18" ht="15.75" customHeight="1">
      <c r="R542" s="30"/>
    </row>
    <row r="543" spans="18:18" ht="15.75" customHeight="1">
      <c r="R543" s="30"/>
    </row>
    <row r="544" spans="18:18" ht="15.75" customHeight="1">
      <c r="R544" s="30"/>
    </row>
    <row r="545" spans="18:18" ht="15.75" customHeight="1">
      <c r="R545" s="30"/>
    </row>
    <row r="546" spans="18:18" ht="15.75" customHeight="1">
      <c r="R546" s="30"/>
    </row>
    <row r="547" spans="18:18" ht="15.75" customHeight="1">
      <c r="R547" s="30"/>
    </row>
    <row r="548" spans="18:18" ht="15.75" customHeight="1">
      <c r="R548" s="30"/>
    </row>
    <row r="549" spans="18:18" ht="15.75" customHeight="1">
      <c r="R549" s="30"/>
    </row>
    <row r="550" spans="18:18" ht="15.75" customHeight="1">
      <c r="R550" s="30"/>
    </row>
    <row r="551" spans="18:18" ht="15.75" customHeight="1">
      <c r="R551" s="30"/>
    </row>
    <row r="552" spans="18:18" ht="15.75" customHeight="1">
      <c r="R552" s="30"/>
    </row>
    <row r="553" spans="18:18" ht="15.75" customHeight="1">
      <c r="R553" s="30"/>
    </row>
    <row r="554" spans="18:18" ht="15.75" customHeight="1">
      <c r="R554" s="30"/>
    </row>
    <row r="555" spans="18:18" ht="15.75" customHeight="1">
      <c r="R555" s="30"/>
    </row>
    <row r="556" spans="18:18" ht="15.75" customHeight="1">
      <c r="R556" s="30"/>
    </row>
    <row r="557" spans="18:18" ht="15.75" customHeight="1">
      <c r="R557" s="30"/>
    </row>
    <row r="558" spans="18:18" ht="15.75" customHeight="1">
      <c r="R558" s="30"/>
    </row>
    <row r="559" spans="18:18" ht="15.75" customHeight="1">
      <c r="R559" s="30"/>
    </row>
    <row r="560" spans="18:18" ht="15.75" customHeight="1">
      <c r="R560" s="30"/>
    </row>
    <row r="561" spans="18:18" ht="15.75" customHeight="1">
      <c r="R561" s="30"/>
    </row>
    <row r="562" spans="18:18" ht="15.75" customHeight="1">
      <c r="R562" s="30"/>
    </row>
    <row r="563" spans="18:18" ht="15.75" customHeight="1">
      <c r="R563" s="30"/>
    </row>
    <row r="564" spans="18:18" ht="15.75" customHeight="1">
      <c r="R564" s="30"/>
    </row>
    <row r="565" spans="18:18" ht="15.75" customHeight="1">
      <c r="R565" s="30"/>
    </row>
    <row r="566" spans="18:18" ht="15.75" customHeight="1">
      <c r="R566" s="30"/>
    </row>
    <row r="567" spans="18:18" ht="15.75" customHeight="1">
      <c r="R567" s="30"/>
    </row>
    <row r="568" spans="18:18" ht="15.75" customHeight="1">
      <c r="R568" s="30"/>
    </row>
    <row r="569" spans="18:18" ht="15.75" customHeight="1">
      <c r="R569" s="30"/>
    </row>
    <row r="570" spans="18:18" ht="15.75" customHeight="1">
      <c r="R570" s="30"/>
    </row>
    <row r="571" spans="18:18" ht="15.75" customHeight="1">
      <c r="R571" s="30"/>
    </row>
    <row r="572" spans="18:18" ht="15.75" customHeight="1">
      <c r="R572" s="30"/>
    </row>
    <row r="573" spans="18:18" ht="15.75" customHeight="1">
      <c r="R573" s="30"/>
    </row>
    <row r="574" spans="18:18" ht="15.75" customHeight="1">
      <c r="R574" s="30"/>
    </row>
    <row r="575" spans="18:18" ht="15.75" customHeight="1">
      <c r="R575" s="30"/>
    </row>
    <row r="576" spans="18:18" ht="15.75" customHeight="1">
      <c r="R576" s="30"/>
    </row>
    <row r="577" spans="18:18" ht="15.75" customHeight="1">
      <c r="R577" s="30"/>
    </row>
    <row r="578" spans="18:18" ht="15.75" customHeight="1">
      <c r="R578" s="30"/>
    </row>
    <row r="579" spans="18:18" ht="15.75" customHeight="1">
      <c r="R579" s="30"/>
    </row>
    <row r="580" spans="18:18" ht="15.75" customHeight="1">
      <c r="R580" s="30"/>
    </row>
    <row r="581" spans="18:18" ht="15.75" customHeight="1">
      <c r="R581" s="30"/>
    </row>
    <row r="582" spans="18:18" ht="15.75" customHeight="1">
      <c r="R582" s="30"/>
    </row>
    <row r="583" spans="18:18" ht="15.75" customHeight="1">
      <c r="R583" s="30"/>
    </row>
    <row r="584" spans="18:18" ht="15.75" customHeight="1">
      <c r="R584" s="30"/>
    </row>
    <row r="585" spans="18:18" ht="15.75" customHeight="1">
      <c r="R585" s="30"/>
    </row>
    <row r="586" spans="18:18" ht="15.75" customHeight="1">
      <c r="R586" s="30"/>
    </row>
    <row r="587" spans="18:18" ht="15.75" customHeight="1">
      <c r="R587" s="30"/>
    </row>
    <row r="588" spans="18:18" ht="15.75" customHeight="1">
      <c r="R588" s="30"/>
    </row>
    <row r="589" spans="18:18" ht="15.75" customHeight="1">
      <c r="R589" s="30"/>
    </row>
    <row r="590" spans="18:18" ht="15.75" customHeight="1">
      <c r="R590" s="30"/>
    </row>
    <row r="591" spans="18:18" ht="15.75" customHeight="1">
      <c r="R591" s="30"/>
    </row>
    <row r="592" spans="18:18" ht="15.75" customHeight="1">
      <c r="R592" s="30"/>
    </row>
    <row r="593" spans="18:18" ht="15.75" customHeight="1">
      <c r="R593" s="30"/>
    </row>
    <row r="594" spans="18:18" ht="15.75" customHeight="1">
      <c r="R594" s="30"/>
    </row>
    <row r="595" spans="18:18" ht="15.75" customHeight="1">
      <c r="R595" s="30"/>
    </row>
    <row r="596" spans="18:18" ht="15.75" customHeight="1">
      <c r="R596" s="30"/>
    </row>
    <row r="597" spans="18:18" ht="15.75" customHeight="1">
      <c r="R597" s="30"/>
    </row>
    <row r="598" spans="18:18" ht="15.75" customHeight="1">
      <c r="R598" s="30"/>
    </row>
    <row r="599" spans="18:18" ht="15.75" customHeight="1">
      <c r="R599" s="30"/>
    </row>
    <row r="600" spans="18:18" ht="15.75" customHeight="1">
      <c r="R600" s="30"/>
    </row>
    <row r="601" spans="18:18" ht="15.75" customHeight="1">
      <c r="R601" s="30"/>
    </row>
    <row r="602" spans="18:18" ht="15.75" customHeight="1">
      <c r="R602" s="30"/>
    </row>
    <row r="603" spans="18:18" ht="15.75" customHeight="1">
      <c r="R603" s="30"/>
    </row>
    <row r="604" spans="18:18" ht="15.75" customHeight="1">
      <c r="R604" s="30"/>
    </row>
    <row r="605" spans="18:18" ht="15.75" customHeight="1">
      <c r="R605" s="30"/>
    </row>
    <row r="606" spans="18:18" ht="15.75" customHeight="1">
      <c r="R606" s="30"/>
    </row>
    <row r="607" spans="18:18" ht="15.75" customHeight="1">
      <c r="R607" s="30"/>
    </row>
    <row r="608" spans="18:18" ht="15.75" customHeight="1">
      <c r="R608" s="30"/>
    </row>
    <row r="609" spans="18:18" ht="15.75" customHeight="1">
      <c r="R609" s="30"/>
    </row>
    <row r="610" spans="18:18" ht="15.75" customHeight="1">
      <c r="R610" s="30"/>
    </row>
    <row r="611" spans="18:18" ht="15.75" customHeight="1">
      <c r="R611" s="30"/>
    </row>
    <row r="612" spans="18:18" ht="15.75" customHeight="1">
      <c r="R612" s="30"/>
    </row>
    <row r="613" spans="18:18" ht="15.75" customHeight="1">
      <c r="R613" s="30"/>
    </row>
    <row r="614" spans="18:18" ht="15.75" customHeight="1">
      <c r="R614" s="30"/>
    </row>
    <row r="615" spans="18:18" ht="15.75" customHeight="1">
      <c r="R615" s="30"/>
    </row>
    <row r="616" spans="18:18" ht="15.75" customHeight="1">
      <c r="R616" s="30"/>
    </row>
    <row r="617" spans="18:18" ht="15.75" customHeight="1">
      <c r="R617" s="30"/>
    </row>
    <row r="618" spans="18:18" ht="15.75" customHeight="1">
      <c r="R618" s="30"/>
    </row>
    <row r="619" spans="18:18" ht="15.75" customHeight="1">
      <c r="R619" s="30"/>
    </row>
    <row r="620" spans="18:18" ht="15.75" customHeight="1">
      <c r="R620" s="30"/>
    </row>
    <row r="621" spans="18:18" ht="15.75" customHeight="1">
      <c r="R621" s="30"/>
    </row>
    <row r="622" spans="18:18" ht="15.75" customHeight="1">
      <c r="R622" s="30"/>
    </row>
    <row r="623" spans="18:18" ht="15.75" customHeight="1">
      <c r="R623" s="30"/>
    </row>
    <row r="624" spans="18:18" ht="15.75" customHeight="1">
      <c r="R624" s="30"/>
    </row>
    <row r="625" spans="18:18" ht="15.75" customHeight="1">
      <c r="R625" s="30"/>
    </row>
    <row r="626" spans="18:18" ht="15.75" customHeight="1">
      <c r="R626" s="30"/>
    </row>
    <row r="627" spans="18:18" ht="15.75" customHeight="1">
      <c r="R627" s="30"/>
    </row>
    <row r="628" spans="18:18" ht="15.75" customHeight="1">
      <c r="R628" s="30"/>
    </row>
    <row r="629" spans="18:18" ht="15.75" customHeight="1">
      <c r="R629" s="30"/>
    </row>
    <row r="630" spans="18:18" ht="15.75" customHeight="1">
      <c r="R630" s="30"/>
    </row>
    <row r="631" spans="18:18" ht="15.75" customHeight="1">
      <c r="R631" s="30"/>
    </row>
    <row r="632" spans="18:18" ht="15.75" customHeight="1">
      <c r="R632" s="30"/>
    </row>
    <row r="633" spans="18:18" ht="15.75" customHeight="1">
      <c r="R633" s="30"/>
    </row>
    <row r="634" spans="18:18" ht="15.75" customHeight="1">
      <c r="R634" s="30"/>
    </row>
    <row r="635" spans="18:18" ht="15.75" customHeight="1">
      <c r="R635" s="30"/>
    </row>
    <row r="636" spans="18:18" ht="15.75" customHeight="1">
      <c r="R636" s="30"/>
    </row>
    <row r="637" spans="18:18" ht="15.75" customHeight="1">
      <c r="R637" s="30"/>
    </row>
    <row r="638" spans="18:18" ht="15.75" customHeight="1">
      <c r="R638" s="30"/>
    </row>
    <row r="639" spans="18:18" ht="15.75" customHeight="1">
      <c r="R639" s="30"/>
    </row>
    <row r="640" spans="18:18" ht="15.75" customHeight="1">
      <c r="R640" s="30"/>
    </row>
    <row r="641" spans="18:18" ht="15.75" customHeight="1">
      <c r="R641" s="30"/>
    </row>
    <row r="642" spans="18:18" ht="15.75" customHeight="1">
      <c r="R642" s="30"/>
    </row>
    <row r="643" spans="18:18" ht="15.75" customHeight="1">
      <c r="R643" s="30"/>
    </row>
    <row r="644" spans="18:18" ht="15.75" customHeight="1">
      <c r="R644" s="30"/>
    </row>
    <row r="645" spans="18:18" ht="15.75" customHeight="1">
      <c r="R645" s="30"/>
    </row>
    <row r="646" spans="18:18" ht="15.75" customHeight="1">
      <c r="R646" s="30"/>
    </row>
    <row r="647" spans="18:18" ht="15.75" customHeight="1">
      <c r="R647" s="30"/>
    </row>
    <row r="648" spans="18:18" ht="15.75" customHeight="1">
      <c r="R648" s="30"/>
    </row>
    <row r="649" spans="18:18" ht="15.75" customHeight="1">
      <c r="R649" s="30"/>
    </row>
    <row r="650" spans="18:18" ht="15.75" customHeight="1">
      <c r="R650" s="30"/>
    </row>
    <row r="651" spans="18:18" ht="15.75" customHeight="1">
      <c r="R651" s="30"/>
    </row>
    <row r="652" spans="18:18" ht="15.75" customHeight="1">
      <c r="R652" s="30"/>
    </row>
    <row r="653" spans="18:18" ht="15.75" customHeight="1">
      <c r="R653" s="30"/>
    </row>
    <row r="654" spans="18:18" ht="15.75" customHeight="1">
      <c r="R654" s="30"/>
    </row>
    <row r="655" spans="18:18" ht="15.75" customHeight="1">
      <c r="R655" s="30"/>
    </row>
    <row r="656" spans="18:18" ht="15.75" customHeight="1">
      <c r="R656" s="30"/>
    </row>
    <row r="657" spans="18:18" ht="15.75" customHeight="1">
      <c r="R657" s="30"/>
    </row>
    <row r="658" spans="18:18" ht="15.75" customHeight="1">
      <c r="R658" s="30"/>
    </row>
    <row r="659" spans="18:18" ht="15.75" customHeight="1">
      <c r="R659" s="30"/>
    </row>
    <row r="660" spans="18:18" ht="15.75" customHeight="1">
      <c r="R660" s="30"/>
    </row>
    <row r="661" spans="18:18" ht="15.75" customHeight="1">
      <c r="R661" s="30"/>
    </row>
    <row r="662" spans="18:18" ht="15.75" customHeight="1">
      <c r="R662" s="30"/>
    </row>
    <row r="663" spans="18:18" ht="15.75" customHeight="1">
      <c r="R663" s="30"/>
    </row>
    <row r="664" spans="18:18" ht="15.75" customHeight="1">
      <c r="R664" s="30"/>
    </row>
    <row r="665" spans="18:18" ht="15.75" customHeight="1">
      <c r="R665" s="30"/>
    </row>
    <row r="666" spans="18:18" ht="15.75" customHeight="1">
      <c r="R666" s="30"/>
    </row>
    <row r="667" spans="18:18" ht="15.75" customHeight="1">
      <c r="R667" s="30"/>
    </row>
    <row r="668" spans="18:18" ht="15.75" customHeight="1">
      <c r="R668" s="30"/>
    </row>
    <row r="669" spans="18:18" ht="15.75" customHeight="1">
      <c r="R669" s="30"/>
    </row>
    <row r="670" spans="18:18" ht="15.75" customHeight="1">
      <c r="R670" s="30"/>
    </row>
    <row r="671" spans="18:18" ht="15.75" customHeight="1">
      <c r="R671" s="30"/>
    </row>
    <row r="672" spans="18:18" ht="15.75" customHeight="1">
      <c r="R672" s="30"/>
    </row>
    <row r="673" spans="18:18" ht="15.75" customHeight="1">
      <c r="R673" s="30"/>
    </row>
    <row r="674" spans="18:18" ht="15.75" customHeight="1">
      <c r="R674" s="30"/>
    </row>
    <row r="675" spans="18:18" ht="15.75" customHeight="1">
      <c r="R675" s="30"/>
    </row>
    <row r="676" spans="18:18" ht="15.75" customHeight="1">
      <c r="R676" s="30"/>
    </row>
    <row r="677" spans="18:18" ht="15.75" customHeight="1">
      <c r="R677" s="30"/>
    </row>
    <row r="678" spans="18:18" ht="15.75" customHeight="1">
      <c r="R678" s="30"/>
    </row>
    <row r="679" spans="18:18" ht="15.75" customHeight="1">
      <c r="R679" s="30"/>
    </row>
    <row r="680" spans="18:18" ht="15.75" customHeight="1">
      <c r="R680" s="30"/>
    </row>
    <row r="681" spans="18:18" ht="15.75" customHeight="1">
      <c r="R681" s="30"/>
    </row>
    <row r="682" spans="18:18" ht="15.75" customHeight="1">
      <c r="R682" s="30"/>
    </row>
    <row r="683" spans="18:18" ht="15.75" customHeight="1">
      <c r="R683" s="30"/>
    </row>
    <row r="684" spans="18:18" ht="15.75" customHeight="1">
      <c r="R684" s="30"/>
    </row>
    <row r="685" spans="18:18" ht="15.75" customHeight="1">
      <c r="R685" s="30"/>
    </row>
    <row r="686" spans="18:18" ht="15.75" customHeight="1">
      <c r="R686" s="30"/>
    </row>
    <row r="687" spans="18:18" ht="15.75" customHeight="1">
      <c r="R687" s="30"/>
    </row>
    <row r="688" spans="18:18" ht="15.75" customHeight="1">
      <c r="R688" s="30"/>
    </row>
    <row r="689" spans="18:18" ht="15.75" customHeight="1">
      <c r="R689" s="30"/>
    </row>
    <row r="690" spans="18:18" ht="15.75" customHeight="1">
      <c r="R690" s="30"/>
    </row>
    <row r="691" spans="18:18" ht="15.75" customHeight="1">
      <c r="R691" s="30"/>
    </row>
    <row r="692" spans="18:18" ht="15.75" customHeight="1">
      <c r="R692" s="30"/>
    </row>
    <row r="693" spans="18:18" ht="15.75" customHeight="1">
      <c r="R693" s="30"/>
    </row>
    <row r="694" spans="18:18" ht="15.75" customHeight="1">
      <c r="R694" s="30"/>
    </row>
    <row r="695" spans="18:18" ht="15.75" customHeight="1">
      <c r="R695" s="30"/>
    </row>
    <row r="696" spans="18:18" ht="15.75" customHeight="1">
      <c r="R696" s="30"/>
    </row>
    <row r="697" spans="18:18" ht="15.75" customHeight="1">
      <c r="R697" s="30"/>
    </row>
    <row r="698" spans="18:18" ht="15.75" customHeight="1">
      <c r="R698" s="30"/>
    </row>
    <row r="699" spans="18:18" ht="15.75" customHeight="1">
      <c r="R699" s="30"/>
    </row>
    <row r="700" spans="18:18" ht="15.75" customHeight="1">
      <c r="R700" s="30"/>
    </row>
    <row r="701" spans="18:18" ht="15.75" customHeight="1">
      <c r="R701" s="30"/>
    </row>
    <row r="702" spans="18:18" ht="15.75" customHeight="1">
      <c r="R702" s="30"/>
    </row>
    <row r="703" spans="18:18" ht="15.75" customHeight="1">
      <c r="R703" s="30"/>
    </row>
    <row r="704" spans="18:18" ht="15.75" customHeight="1">
      <c r="R704" s="30"/>
    </row>
    <row r="705" spans="18:18" ht="15.75" customHeight="1">
      <c r="R705" s="30"/>
    </row>
    <row r="706" spans="18:18" ht="15.75" customHeight="1">
      <c r="R706" s="30"/>
    </row>
    <row r="707" spans="18:18" ht="15.75" customHeight="1">
      <c r="R707" s="30"/>
    </row>
    <row r="708" spans="18:18" ht="15.75" customHeight="1">
      <c r="R708" s="30"/>
    </row>
    <row r="709" spans="18:18" ht="15.75" customHeight="1">
      <c r="R709" s="30"/>
    </row>
    <row r="710" spans="18:18" ht="15.75" customHeight="1">
      <c r="R710" s="30"/>
    </row>
    <row r="711" spans="18:18" ht="15.75" customHeight="1">
      <c r="R711" s="30"/>
    </row>
    <row r="712" spans="18:18" ht="15.75" customHeight="1">
      <c r="R712" s="30"/>
    </row>
    <row r="713" spans="18:18" ht="15.75" customHeight="1">
      <c r="R713" s="30"/>
    </row>
    <row r="714" spans="18:18" ht="15.75" customHeight="1">
      <c r="R714" s="30"/>
    </row>
    <row r="715" spans="18:18" ht="15.75" customHeight="1">
      <c r="R715" s="30"/>
    </row>
    <row r="716" spans="18:18" ht="15.75" customHeight="1">
      <c r="R716" s="30"/>
    </row>
    <row r="717" spans="18:18" ht="15.75" customHeight="1">
      <c r="R717" s="30"/>
    </row>
    <row r="718" spans="18:18" ht="15.75" customHeight="1">
      <c r="R718" s="30"/>
    </row>
    <row r="719" spans="18:18" ht="15.75" customHeight="1">
      <c r="R719" s="30"/>
    </row>
    <row r="720" spans="18:18" ht="15.75" customHeight="1">
      <c r="R720" s="30"/>
    </row>
    <row r="721" spans="18:18" ht="15.75" customHeight="1">
      <c r="R721" s="30"/>
    </row>
    <row r="722" spans="18:18" ht="15.75" customHeight="1">
      <c r="R722" s="30"/>
    </row>
    <row r="723" spans="18:18" ht="15.75" customHeight="1">
      <c r="R723" s="30"/>
    </row>
    <row r="724" spans="18:18" ht="15.75" customHeight="1">
      <c r="R724" s="30"/>
    </row>
    <row r="725" spans="18:18" ht="15.75" customHeight="1">
      <c r="R725" s="30"/>
    </row>
    <row r="726" spans="18:18" ht="15.75" customHeight="1">
      <c r="R726" s="30"/>
    </row>
    <row r="727" spans="18:18" ht="15.75" customHeight="1">
      <c r="R727" s="30"/>
    </row>
    <row r="728" spans="18:18" ht="15.75" customHeight="1">
      <c r="R728" s="30"/>
    </row>
    <row r="729" spans="18:18" ht="15.75" customHeight="1">
      <c r="R729" s="30"/>
    </row>
    <row r="730" spans="18:18" ht="15.75" customHeight="1">
      <c r="R730" s="30"/>
    </row>
    <row r="731" spans="18:18" ht="15.75" customHeight="1">
      <c r="R731" s="30"/>
    </row>
    <row r="732" spans="18:18" ht="15.75" customHeight="1">
      <c r="R732" s="30"/>
    </row>
    <row r="733" spans="18:18" ht="15.75" customHeight="1">
      <c r="R733" s="30"/>
    </row>
    <row r="734" spans="18:18" ht="15.75" customHeight="1">
      <c r="R734" s="30"/>
    </row>
    <row r="735" spans="18:18" ht="15.75" customHeight="1">
      <c r="R735" s="30"/>
    </row>
    <row r="736" spans="18:18" ht="15.75" customHeight="1">
      <c r="R736" s="30"/>
    </row>
    <row r="737" spans="18:18" ht="15.75" customHeight="1">
      <c r="R737" s="30"/>
    </row>
    <row r="738" spans="18:18" ht="15.75" customHeight="1">
      <c r="R738" s="30"/>
    </row>
    <row r="739" spans="18:18" ht="15.75" customHeight="1">
      <c r="R739" s="30"/>
    </row>
    <row r="740" spans="18:18" ht="15.75" customHeight="1">
      <c r="R740" s="30"/>
    </row>
    <row r="741" spans="18:18" ht="15.75" customHeight="1">
      <c r="R741" s="30"/>
    </row>
    <row r="742" spans="18:18" ht="15.75" customHeight="1">
      <c r="R742" s="30"/>
    </row>
    <row r="743" spans="18:18" ht="15.75" customHeight="1">
      <c r="R743" s="30"/>
    </row>
    <row r="744" spans="18:18" ht="15.75" customHeight="1">
      <c r="R744" s="30"/>
    </row>
    <row r="745" spans="18:18" ht="15.75" customHeight="1">
      <c r="R745" s="30"/>
    </row>
    <row r="746" spans="18:18" ht="15.75" customHeight="1">
      <c r="R746" s="30"/>
    </row>
    <row r="747" spans="18:18" ht="15.75" customHeight="1">
      <c r="R747" s="30"/>
    </row>
    <row r="748" spans="18:18" ht="15.75" customHeight="1">
      <c r="R748" s="30"/>
    </row>
    <row r="749" spans="18:18" ht="15.75" customHeight="1">
      <c r="R749" s="30"/>
    </row>
    <row r="750" spans="18:18" ht="15.75" customHeight="1">
      <c r="R750" s="30"/>
    </row>
    <row r="751" spans="18:18" ht="15.75" customHeight="1">
      <c r="R751" s="30"/>
    </row>
    <row r="752" spans="18:18" ht="15.75" customHeight="1">
      <c r="R752" s="30"/>
    </row>
    <row r="753" spans="18:18" ht="15.75" customHeight="1">
      <c r="R753" s="30"/>
    </row>
    <row r="754" spans="18:18" ht="15.75" customHeight="1">
      <c r="R754" s="30"/>
    </row>
    <row r="755" spans="18:18" ht="15.75" customHeight="1">
      <c r="R755" s="30"/>
    </row>
    <row r="756" spans="18:18" ht="15.75" customHeight="1">
      <c r="R756" s="30"/>
    </row>
    <row r="757" spans="18:18" ht="15.75" customHeight="1">
      <c r="R757" s="30"/>
    </row>
    <row r="758" spans="18:18" ht="15.75" customHeight="1">
      <c r="R758" s="30"/>
    </row>
    <row r="759" spans="18:18" ht="15.75" customHeight="1">
      <c r="R759" s="30"/>
    </row>
    <row r="760" spans="18:18" ht="15.75" customHeight="1">
      <c r="R760" s="30"/>
    </row>
    <row r="761" spans="18:18" ht="15.75" customHeight="1">
      <c r="R761" s="30"/>
    </row>
    <row r="762" spans="18:18" ht="15.75" customHeight="1">
      <c r="R762" s="30"/>
    </row>
    <row r="763" spans="18:18" ht="15.75" customHeight="1">
      <c r="R763" s="30"/>
    </row>
    <row r="764" spans="18:18" ht="15.75" customHeight="1">
      <c r="R764" s="30"/>
    </row>
    <row r="765" spans="18:18" ht="15.75" customHeight="1">
      <c r="R765" s="30"/>
    </row>
    <row r="766" spans="18:18" ht="15.75" customHeight="1">
      <c r="R766" s="30"/>
    </row>
    <row r="767" spans="18:18" ht="15.75" customHeight="1">
      <c r="R767" s="30"/>
    </row>
    <row r="768" spans="18:18" ht="15.75" customHeight="1">
      <c r="R768" s="30"/>
    </row>
    <row r="769" spans="18:18" ht="15.75" customHeight="1">
      <c r="R769" s="30"/>
    </row>
    <row r="770" spans="18:18" ht="15.75" customHeight="1">
      <c r="R770" s="30"/>
    </row>
    <row r="771" spans="18:18" ht="15.75" customHeight="1">
      <c r="R771" s="30"/>
    </row>
    <row r="772" spans="18:18" ht="15.75" customHeight="1">
      <c r="R772" s="30"/>
    </row>
    <row r="773" spans="18:18" ht="15.75" customHeight="1">
      <c r="R773" s="30"/>
    </row>
    <row r="774" spans="18:18" ht="15.75" customHeight="1">
      <c r="R774" s="30"/>
    </row>
    <row r="775" spans="18:18" ht="15.75" customHeight="1">
      <c r="R775" s="30"/>
    </row>
    <row r="776" spans="18:18" ht="15.75" customHeight="1">
      <c r="R776" s="30"/>
    </row>
    <row r="777" spans="18:18" ht="15.75" customHeight="1">
      <c r="R777" s="30"/>
    </row>
    <row r="778" spans="18:18" ht="15.75" customHeight="1">
      <c r="R778" s="30"/>
    </row>
    <row r="779" spans="18:18" ht="15.75" customHeight="1">
      <c r="R779" s="30"/>
    </row>
    <row r="780" spans="18:18" ht="15.75" customHeight="1">
      <c r="R780" s="30"/>
    </row>
    <row r="781" spans="18:18" ht="15.75" customHeight="1">
      <c r="R781" s="30"/>
    </row>
    <row r="782" spans="18:18" ht="15.75" customHeight="1">
      <c r="R782" s="30"/>
    </row>
    <row r="783" spans="18:18" ht="15.75" customHeight="1">
      <c r="R783" s="30"/>
    </row>
    <row r="784" spans="18:18" ht="15.75" customHeight="1">
      <c r="R784" s="30"/>
    </row>
    <row r="785" spans="18:18" ht="15.75" customHeight="1">
      <c r="R785" s="30"/>
    </row>
    <row r="786" spans="18:18" ht="15.75" customHeight="1">
      <c r="R786" s="30"/>
    </row>
    <row r="787" spans="18:18" ht="15.75" customHeight="1">
      <c r="R787" s="30"/>
    </row>
    <row r="788" spans="18:18" ht="15.75" customHeight="1">
      <c r="R788" s="30"/>
    </row>
    <row r="789" spans="18:18" ht="15.75" customHeight="1">
      <c r="R789" s="30"/>
    </row>
    <row r="790" spans="18:18" ht="15.75" customHeight="1">
      <c r="R790" s="30"/>
    </row>
    <row r="791" spans="18:18" ht="15.75" customHeight="1">
      <c r="R791" s="30"/>
    </row>
    <row r="792" spans="18:18" ht="15.75" customHeight="1">
      <c r="R792" s="30"/>
    </row>
    <row r="793" spans="18:18" ht="15.75" customHeight="1">
      <c r="R793" s="30"/>
    </row>
    <row r="794" spans="18:18" ht="15.75" customHeight="1">
      <c r="R794" s="30"/>
    </row>
    <row r="795" spans="18:18" ht="15.75" customHeight="1">
      <c r="R795" s="30"/>
    </row>
    <row r="796" spans="18:18" ht="15.75" customHeight="1">
      <c r="R796" s="30"/>
    </row>
    <row r="797" spans="18:18" ht="15.75" customHeight="1">
      <c r="R797" s="30"/>
    </row>
    <row r="798" spans="18:18" ht="15.75" customHeight="1">
      <c r="R798" s="30"/>
    </row>
    <row r="799" spans="18:18" ht="15.75" customHeight="1">
      <c r="R799" s="30"/>
    </row>
    <row r="800" spans="18:18" ht="15.75" customHeight="1">
      <c r="R800" s="30"/>
    </row>
    <row r="801" spans="18:18" ht="15.75" customHeight="1">
      <c r="R801" s="30"/>
    </row>
    <row r="802" spans="18:18" ht="15.75" customHeight="1">
      <c r="R802" s="30"/>
    </row>
    <row r="803" spans="18:18" ht="15.75" customHeight="1">
      <c r="R803" s="30"/>
    </row>
    <row r="804" spans="18:18" ht="15.75" customHeight="1">
      <c r="R804" s="30"/>
    </row>
    <row r="805" spans="18:18" ht="15.75" customHeight="1">
      <c r="R805" s="30"/>
    </row>
    <row r="806" spans="18:18" ht="15.75" customHeight="1">
      <c r="R806" s="30"/>
    </row>
    <row r="807" spans="18:18" ht="15.75" customHeight="1">
      <c r="R807" s="30"/>
    </row>
    <row r="808" spans="18:18" ht="15.75" customHeight="1">
      <c r="R808" s="30"/>
    </row>
    <row r="809" spans="18:18" ht="15.75" customHeight="1">
      <c r="R809" s="30"/>
    </row>
    <row r="810" spans="18:18" ht="15.75" customHeight="1">
      <c r="R810" s="30"/>
    </row>
    <row r="811" spans="18:18" ht="15.75" customHeight="1">
      <c r="R811" s="30"/>
    </row>
    <row r="812" spans="18:18" ht="15.75" customHeight="1">
      <c r="R812" s="30"/>
    </row>
    <row r="813" spans="18:18" ht="15.75" customHeight="1">
      <c r="R813" s="30"/>
    </row>
    <row r="814" spans="18:18" ht="15.75" customHeight="1">
      <c r="R814" s="30"/>
    </row>
    <row r="815" spans="18:18" ht="15.75" customHeight="1">
      <c r="R815" s="30"/>
    </row>
    <row r="816" spans="18:18" ht="15.75" customHeight="1">
      <c r="R816" s="30"/>
    </row>
    <row r="817" spans="18:18" ht="15.75" customHeight="1">
      <c r="R817" s="30"/>
    </row>
    <row r="818" spans="18:18" ht="15.75" customHeight="1">
      <c r="R818" s="30"/>
    </row>
    <row r="819" spans="18:18" ht="15.75" customHeight="1">
      <c r="R819" s="30"/>
    </row>
    <row r="820" spans="18:18" ht="15.75" customHeight="1">
      <c r="R820" s="30"/>
    </row>
    <row r="821" spans="18:18" ht="15.75" customHeight="1">
      <c r="R821" s="30"/>
    </row>
    <row r="822" spans="18:18" ht="15.75" customHeight="1">
      <c r="R822" s="30"/>
    </row>
    <row r="823" spans="18:18" ht="15.75" customHeight="1">
      <c r="R823" s="30"/>
    </row>
    <row r="824" spans="18:18" ht="15.75" customHeight="1">
      <c r="R824" s="30"/>
    </row>
    <row r="825" spans="18:18" ht="15.75" customHeight="1">
      <c r="R825" s="30"/>
    </row>
    <row r="826" spans="18:18" ht="15.75" customHeight="1">
      <c r="R826" s="30"/>
    </row>
    <row r="827" spans="18:18" ht="15.75" customHeight="1">
      <c r="R827" s="30"/>
    </row>
    <row r="828" spans="18:18" ht="15.75" customHeight="1">
      <c r="R828" s="30"/>
    </row>
    <row r="829" spans="18:18" ht="15.75" customHeight="1">
      <c r="R829" s="30"/>
    </row>
    <row r="830" spans="18:18" ht="15.75" customHeight="1">
      <c r="R830" s="30"/>
    </row>
    <row r="831" spans="18:18" ht="15.75" customHeight="1">
      <c r="R831" s="30"/>
    </row>
    <row r="832" spans="18:18" ht="15.75" customHeight="1">
      <c r="R832" s="30"/>
    </row>
    <row r="833" spans="18:18" ht="15.75" customHeight="1">
      <c r="R833" s="30"/>
    </row>
    <row r="834" spans="18:18" ht="15.75" customHeight="1">
      <c r="R834" s="30"/>
    </row>
    <row r="835" spans="18:18" ht="15.75" customHeight="1">
      <c r="R835" s="30"/>
    </row>
    <row r="836" spans="18:18" ht="15.75" customHeight="1">
      <c r="R836" s="30"/>
    </row>
    <row r="837" spans="18:18" ht="15.75" customHeight="1">
      <c r="R837" s="30"/>
    </row>
    <row r="838" spans="18:18" ht="15.75" customHeight="1">
      <c r="R838" s="30"/>
    </row>
    <row r="839" spans="18:18" ht="15.75" customHeight="1">
      <c r="R839" s="30"/>
    </row>
    <row r="840" spans="18:18" ht="15.75" customHeight="1">
      <c r="R840" s="30"/>
    </row>
    <row r="841" spans="18:18" ht="15.75" customHeight="1">
      <c r="R841" s="30"/>
    </row>
    <row r="842" spans="18:18" ht="15.75" customHeight="1">
      <c r="R842" s="30"/>
    </row>
    <row r="843" spans="18:18" ht="15.75" customHeight="1">
      <c r="R843" s="30"/>
    </row>
    <row r="844" spans="18:18" ht="15.75" customHeight="1">
      <c r="R844" s="30"/>
    </row>
    <row r="845" spans="18:18" ht="15.75" customHeight="1">
      <c r="R845" s="30"/>
    </row>
    <row r="846" spans="18:18" ht="15.75" customHeight="1">
      <c r="R846" s="30"/>
    </row>
    <row r="847" spans="18:18" ht="15.75" customHeight="1">
      <c r="R847" s="30"/>
    </row>
    <row r="848" spans="18:18" ht="15.75" customHeight="1">
      <c r="R848" s="30"/>
    </row>
    <row r="849" spans="18:18" ht="15.75" customHeight="1">
      <c r="R849" s="30"/>
    </row>
    <row r="850" spans="18:18" ht="15.75" customHeight="1">
      <c r="R850" s="30"/>
    </row>
    <row r="851" spans="18:18" ht="15.75" customHeight="1">
      <c r="R851" s="30"/>
    </row>
    <row r="852" spans="18:18" ht="15.75" customHeight="1">
      <c r="R852" s="30"/>
    </row>
    <row r="853" spans="18:18" ht="15.75" customHeight="1">
      <c r="R853" s="30"/>
    </row>
    <row r="854" spans="18:18" ht="15.75" customHeight="1">
      <c r="R854" s="30"/>
    </row>
    <row r="855" spans="18:18" ht="15.75" customHeight="1">
      <c r="R855" s="30"/>
    </row>
    <row r="856" spans="18:18" ht="15.75" customHeight="1">
      <c r="R856" s="30"/>
    </row>
    <row r="857" spans="18:18" ht="15.75" customHeight="1">
      <c r="R857" s="30"/>
    </row>
    <row r="858" spans="18:18" ht="15.75" customHeight="1">
      <c r="R858" s="30"/>
    </row>
    <row r="859" spans="18:18" ht="15.75" customHeight="1">
      <c r="R859" s="30"/>
    </row>
    <row r="860" spans="18:18" ht="15.75" customHeight="1">
      <c r="R860" s="30"/>
    </row>
    <row r="861" spans="18:18" ht="15.75" customHeight="1">
      <c r="R861" s="30"/>
    </row>
    <row r="862" spans="18:18" ht="15.75" customHeight="1">
      <c r="R862" s="30"/>
    </row>
    <row r="863" spans="18:18" ht="15.75" customHeight="1">
      <c r="R863" s="30"/>
    </row>
    <row r="864" spans="18:18" ht="15.75" customHeight="1">
      <c r="R864" s="30"/>
    </row>
    <row r="865" spans="18:18" ht="15.75" customHeight="1">
      <c r="R865" s="30"/>
    </row>
    <row r="866" spans="18:18" ht="15.75" customHeight="1">
      <c r="R866" s="30"/>
    </row>
    <row r="867" spans="18:18" ht="15.75" customHeight="1">
      <c r="R867" s="30"/>
    </row>
    <row r="868" spans="18:18" ht="15.75" customHeight="1">
      <c r="R868" s="30"/>
    </row>
    <row r="869" spans="18:18" ht="15.75" customHeight="1">
      <c r="R869" s="30"/>
    </row>
    <row r="870" spans="18:18" ht="15.75" customHeight="1">
      <c r="R870" s="30"/>
    </row>
    <row r="871" spans="18:18" ht="15.75" customHeight="1">
      <c r="R871" s="30"/>
    </row>
    <row r="872" spans="18:18" ht="15.75" customHeight="1">
      <c r="R872" s="30"/>
    </row>
    <row r="873" spans="18:18" ht="15.75" customHeight="1">
      <c r="R873" s="30"/>
    </row>
    <row r="874" spans="18:18" ht="15.75" customHeight="1">
      <c r="R874" s="30"/>
    </row>
    <row r="875" spans="18:18" ht="15.75" customHeight="1">
      <c r="R875" s="30"/>
    </row>
    <row r="876" spans="18:18" ht="15.75" customHeight="1">
      <c r="R876" s="30"/>
    </row>
    <row r="877" spans="18:18" ht="15.75" customHeight="1">
      <c r="R877" s="30"/>
    </row>
    <row r="878" spans="18:18" ht="15.75" customHeight="1">
      <c r="R878" s="30"/>
    </row>
    <row r="879" spans="18:18" ht="15.75" customHeight="1">
      <c r="R879" s="30"/>
    </row>
    <row r="880" spans="18:18" ht="15.75" customHeight="1">
      <c r="R880" s="30"/>
    </row>
    <row r="881" spans="18:18" ht="15.75" customHeight="1">
      <c r="R881" s="30"/>
    </row>
    <row r="882" spans="18:18" ht="15.75" customHeight="1">
      <c r="R882" s="30"/>
    </row>
    <row r="883" spans="18:18" ht="15.75" customHeight="1">
      <c r="R883" s="30"/>
    </row>
    <row r="884" spans="18:18" ht="15.75" customHeight="1">
      <c r="R884" s="30"/>
    </row>
    <row r="885" spans="18:18" ht="15.75" customHeight="1">
      <c r="R885" s="30"/>
    </row>
    <row r="886" spans="18:18" ht="15.75" customHeight="1">
      <c r="R886" s="30"/>
    </row>
    <row r="887" spans="18:18" ht="15.75" customHeight="1">
      <c r="R887" s="30"/>
    </row>
    <row r="888" spans="18:18" ht="15.75" customHeight="1">
      <c r="R888" s="30"/>
    </row>
    <row r="889" spans="18:18" ht="15.75" customHeight="1">
      <c r="R889" s="30"/>
    </row>
    <row r="890" spans="18:18" ht="15.75" customHeight="1">
      <c r="R890" s="30"/>
    </row>
    <row r="891" spans="18:18" ht="15.75" customHeight="1">
      <c r="R891" s="30"/>
    </row>
    <row r="892" spans="18:18" ht="15.75" customHeight="1">
      <c r="R892" s="30"/>
    </row>
    <row r="893" spans="18:18" ht="15.75" customHeight="1">
      <c r="R893" s="30"/>
    </row>
    <row r="894" spans="18:18" ht="15.75" customHeight="1">
      <c r="R894" s="30"/>
    </row>
    <row r="895" spans="18:18" ht="15.75" customHeight="1">
      <c r="R895" s="30"/>
    </row>
    <row r="896" spans="18:18" ht="15.75" customHeight="1">
      <c r="R896" s="30"/>
    </row>
    <row r="897" spans="18:18" ht="15.75" customHeight="1">
      <c r="R897" s="30"/>
    </row>
    <row r="898" spans="18:18" ht="15.75" customHeight="1">
      <c r="R898" s="30"/>
    </row>
    <row r="899" spans="18:18" ht="15.75" customHeight="1">
      <c r="R899" s="30"/>
    </row>
    <row r="900" spans="18:18" ht="15.75" customHeight="1">
      <c r="R900" s="30"/>
    </row>
    <row r="901" spans="18:18" ht="15.75" customHeight="1">
      <c r="R901" s="30"/>
    </row>
    <row r="902" spans="18:18" ht="15.75" customHeight="1">
      <c r="R902" s="30"/>
    </row>
    <row r="903" spans="18:18" ht="15.75" customHeight="1">
      <c r="R903" s="30"/>
    </row>
    <row r="904" spans="18:18" ht="15.75" customHeight="1">
      <c r="R904" s="30"/>
    </row>
    <row r="905" spans="18:18" ht="15.75" customHeight="1">
      <c r="R905" s="30"/>
    </row>
    <row r="906" spans="18:18" ht="15.75" customHeight="1">
      <c r="R906" s="30"/>
    </row>
    <row r="907" spans="18:18" ht="15.75" customHeight="1">
      <c r="R907" s="30"/>
    </row>
    <row r="908" spans="18:18" ht="15.75" customHeight="1">
      <c r="R908" s="30"/>
    </row>
    <row r="909" spans="18:18" ht="15.75" customHeight="1">
      <c r="R909" s="30"/>
    </row>
    <row r="910" spans="18:18" ht="15.75" customHeight="1">
      <c r="R910" s="30"/>
    </row>
    <row r="911" spans="18:18" ht="15.75" customHeight="1">
      <c r="R911" s="30"/>
    </row>
    <row r="912" spans="18:18" ht="15.75" customHeight="1">
      <c r="R912" s="30"/>
    </row>
    <row r="913" spans="18:18" ht="15.75" customHeight="1">
      <c r="R913" s="30"/>
    </row>
    <row r="914" spans="18:18" ht="15.75" customHeight="1">
      <c r="R914" s="30"/>
    </row>
    <row r="915" spans="18:18" ht="15.75" customHeight="1">
      <c r="R915" s="30"/>
    </row>
    <row r="916" spans="18:18" ht="15.75" customHeight="1">
      <c r="R916" s="30"/>
    </row>
    <row r="917" spans="18:18" ht="15.75" customHeight="1">
      <c r="R917" s="30"/>
    </row>
    <row r="918" spans="18:18" ht="15.75" customHeight="1">
      <c r="R918" s="30"/>
    </row>
    <row r="919" spans="18:18" ht="15.75" customHeight="1">
      <c r="R919" s="30"/>
    </row>
    <row r="920" spans="18:18" ht="15.75" customHeight="1">
      <c r="R920" s="30"/>
    </row>
    <row r="921" spans="18:18" ht="15.75" customHeight="1">
      <c r="R921" s="30"/>
    </row>
    <row r="922" spans="18:18" ht="15.75" customHeight="1">
      <c r="R922" s="30"/>
    </row>
    <row r="923" spans="18:18" ht="15.75" customHeight="1">
      <c r="R923" s="30"/>
    </row>
    <row r="924" spans="18:18" ht="15.75" customHeight="1">
      <c r="R924" s="30"/>
    </row>
    <row r="925" spans="18:18" ht="15.75" customHeight="1">
      <c r="R925" s="30"/>
    </row>
    <row r="926" spans="18:18" ht="15.75" customHeight="1">
      <c r="R926" s="30"/>
    </row>
    <row r="927" spans="18:18" ht="15.75" customHeight="1">
      <c r="R927" s="30"/>
    </row>
    <row r="928" spans="18:18" ht="15.75" customHeight="1">
      <c r="R928" s="30"/>
    </row>
    <row r="929" spans="18:18" ht="15.75" customHeight="1">
      <c r="R929" s="30"/>
    </row>
    <row r="930" spans="18:18" ht="15.75" customHeight="1">
      <c r="R930" s="30"/>
    </row>
    <row r="931" spans="18:18" ht="15.75" customHeight="1">
      <c r="R931" s="30"/>
    </row>
    <row r="932" spans="18:18" ht="15.75" customHeight="1">
      <c r="R932" s="30"/>
    </row>
    <row r="933" spans="18:18" ht="15.75" customHeight="1">
      <c r="R933" s="30"/>
    </row>
    <row r="934" spans="18:18" ht="15.75" customHeight="1">
      <c r="R934" s="30"/>
    </row>
    <row r="935" spans="18:18" ht="15.75" customHeight="1">
      <c r="R935" s="30"/>
    </row>
    <row r="936" spans="18:18" ht="15.75" customHeight="1">
      <c r="R936" s="30"/>
    </row>
    <row r="937" spans="18:18" ht="15.75" customHeight="1">
      <c r="R937" s="30"/>
    </row>
    <row r="938" spans="18:18" ht="15.75" customHeight="1">
      <c r="R938" s="30"/>
    </row>
    <row r="939" spans="18:18" ht="15.75" customHeight="1">
      <c r="R939" s="30"/>
    </row>
    <row r="940" spans="18:18" ht="15.75" customHeight="1">
      <c r="R940" s="30"/>
    </row>
    <row r="941" spans="18:18" ht="15.75" customHeight="1">
      <c r="R941" s="30"/>
    </row>
    <row r="942" spans="18:18" ht="15.75" customHeight="1">
      <c r="R942" s="30"/>
    </row>
    <row r="943" spans="18:18" ht="15.75" customHeight="1">
      <c r="R943" s="30"/>
    </row>
    <row r="944" spans="18:18" ht="15.75" customHeight="1">
      <c r="R944" s="30"/>
    </row>
    <row r="945" spans="18:18" ht="15.75" customHeight="1">
      <c r="R945" s="30"/>
    </row>
    <row r="946" spans="18:18" ht="15.75" customHeight="1">
      <c r="R946" s="30"/>
    </row>
    <row r="947" spans="18:18" ht="15.75" customHeight="1">
      <c r="R947" s="30"/>
    </row>
    <row r="948" spans="18:18" ht="15.75" customHeight="1">
      <c r="R948" s="30"/>
    </row>
    <row r="949" spans="18:18" ht="15.75" customHeight="1">
      <c r="R949" s="30"/>
    </row>
    <row r="950" spans="18:18" ht="15.75" customHeight="1">
      <c r="R950" s="30"/>
    </row>
    <row r="951" spans="18:18" ht="15.75" customHeight="1">
      <c r="R951" s="30"/>
    </row>
    <row r="952" spans="18:18" ht="15.75" customHeight="1">
      <c r="R952" s="30"/>
    </row>
    <row r="953" spans="18:18" ht="15.75" customHeight="1">
      <c r="R953" s="30"/>
    </row>
    <row r="954" spans="18:18" ht="15.75" customHeight="1">
      <c r="R954" s="30"/>
    </row>
    <row r="955" spans="18:18" ht="15.75" customHeight="1">
      <c r="R955" s="30"/>
    </row>
    <row r="956" spans="18:18" ht="15.75" customHeight="1">
      <c r="R956" s="30"/>
    </row>
    <row r="957" spans="18:18" ht="15.75" customHeight="1">
      <c r="R957" s="30"/>
    </row>
    <row r="958" spans="18:18" ht="15.75" customHeight="1">
      <c r="R958" s="30"/>
    </row>
    <row r="959" spans="18:18" ht="15.75" customHeight="1">
      <c r="R959" s="30"/>
    </row>
    <row r="960" spans="18:18" ht="15.75" customHeight="1">
      <c r="R960" s="30"/>
    </row>
    <row r="961" spans="18:18" ht="15.75" customHeight="1">
      <c r="R961" s="30"/>
    </row>
    <row r="962" spans="18:18" ht="15.75" customHeight="1">
      <c r="R962" s="30"/>
    </row>
    <row r="963" spans="18:18" ht="15.75" customHeight="1">
      <c r="R963" s="30"/>
    </row>
    <row r="964" spans="18:18" ht="15.75" customHeight="1">
      <c r="R964" s="30"/>
    </row>
    <row r="965" spans="18:18" ht="15.75" customHeight="1">
      <c r="R965" s="30"/>
    </row>
    <row r="966" spans="18:18" ht="15.75" customHeight="1">
      <c r="R966" s="30"/>
    </row>
    <row r="967" spans="18:18" ht="15.75" customHeight="1">
      <c r="R967" s="30"/>
    </row>
    <row r="968" spans="18:18" ht="15.75" customHeight="1">
      <c r="R968" s="30"/>
    </row>
    <row r="969" spans="18:18" ht="15.75" customHeight="1">
      <c r="R969" s="30"/>
    </row>
    <row r="970" spans="18:18" ht="15.75" customHeight="1">
      <c r="R970" s="30"/>
    </row>
    <row r="971" spans="18:18" ht="15.75" customHeight="1">
      <c r="R971" s="30"/>
    </row>
    <row r="972" spans="18:18" ht="15.75" customHeight="1">
      <c r="R972" s="30"/>
    </row>
    <row r="973" spans="18:18" ht="15.75" customHeight="1">
      <c r="R973" s="30"/>
    </row>
    <row r="974" spans="18:18" ht="15.75" customHeight="1">
      <c r="R974" s="30"/>
    </row>
    <row r="975" spans="18:18" ht="15.75" customHeight="1">
      <c r="R975" s="30"/>
    </row>
    <row r="976" spans="18:18" ht="15.75" customHeight="1">
      <c r="R976" s="30"/>
    </row>
    <row r="977" spans="18:18" ht="15.75" customHeight="1">
      <c r="R977" s="30"/>
    </row>
    <row r="978" spans="18:18" ht="15.75" customHeight="1">
      <c r="R978" s="30"/>
    </row>
    <row r="979" spans="18:18" ht="15.75" customHeight="1">
      <c r="R979" s="30"/>
    </row>
    <row r="980" spans="18:18" ht="15.75" customHeight="1">
      <c r="R980" s="30"/>
    </row>
    <row r="981" spans="18:18" ht="15.75" customHeight="1">
      <c r="R981" s="30"/>
    </row>
    <row r="982" spans="18:18" ht="15.75" customHeight="1">
      <c r="R982" s="30"/>
    </row>
    <row r="983" spans="18:18" ht="15.75" customHeight="1">
      <c r="R983" s="30"/>
    </row>
    <row r="984" spans="18:18" ht="15.75" customHeight="1">
      <c r="R984" s="30"/>
    </row>
    <row r="985" spans="18:18" ht="15.75" customHeight="1">
      <c r="R985" s="30"/>
    </row>
    <row r="986" spans="18:18" ht="15.75" customHeight="1">
      <c r="R986" s="30"/>
    </row>
    <row r="987" spans="18:18" ht="15.75" customHeight="1">
      <c r="R987" s="30"/>
    </row>
    <row r="988" spans="18:18" ht="15.75" customHeight="1">
      <c r="R988" s="30"/>
    </row>
    <row r="989" spans="18:18" ht="15.75" customHeight="1">
      <c r="R989" s="30"/>
    </row>
    <row r="990" spans="18:18" ht="15.75" customHeight="1">
      <c r="R990" s="30"/>
    </row>
    <row r="991" spans="18:18" ht="15.75" customHeight="1">
      <c r="R991" s="30"/>
    </row>
    <row r="992" spans="18:18" ht="15.75" customHeight="1">
      <c r="R992" s="30"/>
    </row>
    <row r="993" spans="18:18" ht="15.75" customHeight="1">
      <c r="R993" s="30"/>
    </row>
    <row r="994" spans="18:18" ht="15.75" customHeight="1">
      <c r="R994" s="30"/>
    </row>
    <row r="995" spans="18:18" ht="15.75" customHeight="1">
      <c r="R995" s="30"/>
    </row>
    <row r="996" spans="18:18" ht="15.75" customHeight="1">
      <c r="R996" s="30"/>
    </row>
    <row r="997" spans="18:18" ht="15.75" customHeight="1">
      <c r="R997" s="30"/>
    </row>
    <row r="998" spans="18:18" ht="15.75" customHeight="1">
      <c r="R998" s="30"/>
    </row>
    <row r="999" spans="18:18" ht="15.75" customHeight="1">
      <c r="R999" s="30"/>
    </row>
    <row r="1000" spans="18:18" ht="15.75" customHeight="1">
      <c r="R1000" s="3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2.6640625" defaultRowHeight="15" customHeight="1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8.6640625" customWidth="1"/>
    <col min="6" max="6" width="9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17.6640625" customWidth="1"/>
    <col min="16" max="16" width="10" customWidth="1"/>
    <col min="17" max="18" width="7.33203125" customWidth="1"/>
    <col min="19" max="19" width="7.1640625" customWidth="1"/>
    <col min="20" max="20" width="11.1640625" customWidth="1"/>
    <col min="21" max="21" width="19.1640625" customWidth="1"/>
    <col min="22" max="22" width="45.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8.6640625" customWidth="1"/>
    <col min="32" max="32" width="10.1640625" customWidth="1"/>
    <col min="33" max="33" width="8.83203125" customWidth="1"/>
  </cols>
  <sheetData>
    <row r="1" spans="1:33" ht="18.75" customHeight="1">
      <c r="A1" s="46" t="str">
        <f ca="1">IFERROR(__xludf.DUMMYFUNCTION("IFERROR(VLOOKUP(B2,IMPORTRANGE(""https://docs.google.com/spreadsheets/d/1x0DhHglkXKoEBOD2MBsuK_EyIr1ouxD2ftIpqOYFa-k/edit?usp=sharing"",""Ubiquitty-SKU-Specific Info!B1:BJ5000""),3,FALSE),"""")"),"200 Foot Lighted Outdoor Extension Cord - 12/3 SJTW Heavy Duty Yellow Extension Cable with 3 Prong Grounded Plug for Safety - Great for Garden and Major Appliances")</f>
        <v>200 Foot Lighted Outdoor Extension Cord - 12/3 SJTW Heavy Duty Yellow Extension Cable with 3 Prong Grounded Plug for Safety - Great for Garden and Major Appliances</v>
      </c>
      <c r="B1" s="47"/>
      <c r="C1" s="48" t="s">
        <v>0</v>
      </c>
      <c r="D1" s="50" t="s">
        <v>1</v>
      </c>
      <c r="E1" s="50" t="s">
        <v>2</v>
      </c>
      <c r="F1" s="52" t="s">
        <v>3</v>
      </c>
      <c r="G1" s="52" t="s">
        <v>4</v>
      </c>
      <c r="H1" s="53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58" t="s">
        <v>10</v>
      </c>
      <c r="N1" s="59" t="s">
        <v>11</v>
      </c>
      <c r="O1" s="50" t="s">
        <v>12</v>
      </c>
      <c r="P1" s="50" t="s">
        <v>13</v>
      </c>
      <c r="Q1" s="57" t="s">
        <v>14</v>
      </c>
      <c r="R1" s="57" t="s">
        <v>15</v>
      </c>
      <c r="S1" s="60" t="s">
        <v>16</v>
      </c>
      <c r="T1" s="62" t="s">
        <v>2006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Info!B1:BJ5000""),2,FALSE),"""")"),"B081HD5W2L")</f>
        <v>B081HD5W2L</v>
      </c>
      <c r="B2" s="3" t="s">
        <v>1387</v>
      </c>
      <c r="C2" s="49"/>
      <c r="D2" s="49"/>
      <c r="E2" s="51"/>
      <c r="F2" s="49"/>
      <c r="G2" s="49"/>
      <c r="H2" s="54"/>
      <c r="I2" s="49"/>
      <c r="J2" s="49"/>
      <c r="K2" s="54"/>
      <c r="L2" s="54"/>
      <c r="M2" s="54"/>
      <c r="N2" s="49"/>
      <c r="O2" s="49"/>
      <c r="P2" s="51"/>
      <c r="Q2" s="49"/>
      <c r="R2" s="49"/>
      <c r="S2" s="61"/>
      <c r="T2" s="47"/>
      <c r="U2" s="63"/>
      <c r="V2" s="63"/>
      <c r="W2" s="47"/>
      <c r="X2" s="47"/>
      <c r="Y2" s="47"/>
      <c r="Z2" s="47"/>
      <c r="AA2" s="63"/>
      <c r="AB2" s="63"/>
      <c r="AC2" s="63"/>
      <c r="AD2" s="63"/>
      <c r="AE2" s="47"/>
      <c r="AF2" s="47"/>
      <c r="AG2" s="47"/>
    </row>
    <row r="3" spans="1:33" ht="142.5" customHeight="1">
      <c r="A3" s="55" t="s">
        <v>31</v>
      </c>
      <c r="B3" s="56"/>
      <c r="C3" s="4">
        <f>((AE32+AF32)/0.85)*-1</f>
        <v>129.9095916705881</v>
      </c>
      <c r="D3" s="5">
        <f>SUM(D4:D99765)</f>
        <v>257</v>
      </c>
      <c r="E3" s="5"/>
      <c r="F3" s="6">
        <f t="shared" ref="F3:G3" si="0">SUM(F4:F99765)</f>
        <v>51954.109999999993</v>
      </c>
      <c r="G3" s="6">
        <f t="shared" si="0"/>
        <v>-0.21000000000000002</v>
      </c>
      <c r="H3" s="7">
        <f t="shared" ref="H3:H32" si="1">G3/F3*-1</f>
        <v>4.0420286287263906E-6</v>
      </c>
      <c r="I3" s="8">
        <f t="shared" ref="I3:I32" si="2">J3/F3</f>
        <v>0.36125297291656727</v>
      </c>
      <c r="J3" s="6">
        <f>SUM(J4:J99765)</f>
        <v>18768.576692734354</v>
      </c>
      <c r="K3" s="6">
        <f t="shared" ref="K3:K32" si="3">J3/D3</f>
        <v>73.029481294686207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Sheet!a1:g5000""),2,FALSE),"""")"),"2.5 - March
2.5 - April
2.5 - May
3.5 - June
3.5 - July
3.5 - Aug
3 - Sept
3 - Oct
3 - Nov
3 - Dec
2 - Jan
2.5 - Feb")</f>
        <v>2.5 - March
2.5 - April
2.5 - May
3.5 - June
3.5 - July
3.5 - Aug
3 - Sept
3 - Oct
3 - Nov
3 - Dec
2 - Jan
2.5 -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QTY-1")</f>
        <v>Del QTY-1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QTY-0")</f>
        <v>US QTY-0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0</v>
      </c>
      <c r="X3" s="7">
        <f>W3/D3</f>
        <v>0</v>
      </c>
      <c r="Y3" s="6"/>
      <c r="Z3" s="5"/>
      <c r="AA3" s="5"/>
      <c r="AB3" s="5"/>
      <c r="AC3" s="5"/>
      <c r="AD3" s="6">
        <f>SUM(AD4:AD99765)</f>
        <v>-254.26520857473929</v>
      </c>
      <c r="AE3" s="6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Info!B2:BZ3000""),37,FALSE)),"""")*-1"),-90.7431529199999)</f>
        <v>-90.743152919999901</v>
      </c>
      <c r="AG3" s="6">
        <f>SUM(AG4:AG99765)</f>
        <v>0</v>
      </c>
    </row>
    <row r="4" spans="1:33" ht="15.75" customHeight="1">
      <c r="A4" s="14" t="s">
        <v>181</v>
      </c>
      <c r="B4" s="14" t="s">
        <v>1388</v>
      </c>
      <c r="C4" s="15" t="str">
        <f t="shared" ref="C4:C32" si="4">IFERROR(F4/D4," - ")</f>
        <v xml:space="preserve"> - </v>
      </c>
      <c r="D4" s="16">
        <v>0</v>
      </c>
      <c r="E4" s="16">
        <v>0</v>
      </c>
      <c r="F4" s="17">
        <v>0</v>
      </c>
      <c r="G4" s="17">
        <v>0</v>
      </c>
      <c r="H4" s="18" t="e">
        <f t="shared" si="1"/>
        <v>#DIV/0!</v>
      </c>
      <c r="I4" s="18" t="e">
        <f t="shared" si="2"/>
        <v>#DIV/0!</v>
      </c>
      <c r="J4" s="17">
        <f t="shared" ref="J4:J32" si="5">F4*0.85+G4+AF4*D4+D4*AE4+AG4+AD4</f>
        <v>0</v>
      </c>
      <c r="K4" s="17" t="e">
        <f t="shared" si="3"/>
        <v>#DIV/0!</v>
      </c>
      <c r="L4" s="16">
        <v>0</v>
      </c>
      <c r="M4" s="19" t="str">
        <f t="shared" ref="M4:M32" si="6">IFERROR(D4/L4,"-")</f>
        <v>-</v>
      </c>
      <c r="N4" s="16">
        <v>188</v>
      </c>
      <c r="O4" s="20">
        <f t="shared" ref="O4:P4" si="7">D4/7</f>
        <v>0</v>
      </c>
      <c r="P4" s="20">
        <f t="shared" si="7"/>
        <v>0</v>
      </c>
      <c r="Q4" s="16" t="e">
        <f t="shared" ref="Q4:Q32" si="8">ROUNDDOWN(N4/(O4+P4),0)</f>
        <v>#DIV/0!</v>
      </c>
      <c r="R4" s="16"/>
      <c r="S4" s="21">
        <v>0.28301886792452802</v>
      </c>
      <c r="T4" s="14">
        <v>113</v>
      </c>
      <c r="U4" s="22" t="s">
        <v>34</v>
      </c>
      <c r="V4" s="23" t="s">
        <v>34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26" t="e">
        <v>#N/A</v>
      </c>
      <c r="AB4" s="27" t="e">
        <f t="shared" ref="AB4:AB32" si="11">IF(OR(AA4="UsLargeStandardSize",AA4="UsSmallStandardSize"),-0.69,-0.48)</f>
        <v>#N/A</v>
      </c>
      <c r="AC4" s="28" t="e">
        <v>#N/A</v>
      </c>
      <c r="AD4" s="25">
        <f t="shared" ref="AD4:AD32" si="12">IFERROR(AB4*AC4*D4*2,0)</f>
        <v>0</v>
      </c>
      <c r="AE4" s="25">
        <v>0</v>
      </c>
      <c r="AF4" s="25">
        <v>-75.800844999999995</v>
      </c>
      <c r="AG4" s="25">
        <v>0</v>
      </c>
    </row>
    <row r="5" spans="1:33" ht="15.75" customHeight="1">
      <c r="A5" s="14" t="s">
        <v>183</v>
      </c>
      <c r="B5" s="14" t="s">
        <v>83</v>
      </c>
      <c r="C5" s="15">
        <f t="shared" si="4"/>
        <v>149.99</v>
      </c>
      <c r="D5" s="16">
        <v>14</v>
      </c>
      <c r="E5" s="16">
        <v>0</v>
      </c>
      <c r="F5" s="29">
        <v>2099.86</v>
      </c>
      <c r="G5" s="29">
        <v>0</v>
      </c>
      <c r="H5" s="18">
        <f t="shared" si="1"/>
        <v>0</v>
      </c>
      <c r="I5" s="18">
        <f t="shared" si="2"/>
        <v>0.21489478414049548</v>
      </c>
      <c r="J5" s="17">
        <f t="shared" si="5"/>
        <v>451.24896142526086</v>
      </c>
      <c r="K5" s="17">
        <f t="shared" si="3"/>
        <v>32.232068673232916</v>
      </c>
      <c r="L5" s="16">
        <v>113</v>
      </c>
      <c r="M5" s="19">
        <f t="shared" si="6"/>
        <v>0.12389380530973451</v>
      </c>
      <c r="N5" s="16">
        <v>178</v>
      </c>
      <c r="O5" s="20">
        <f t="shared" ref="O5:P5" si="13">D5/7</f>
        <v>2</v>
      </c>
      <c r="P5" s="20">
        <f t="shared" si="13"/>
        <v>0</v>
      </c>
      <c r="Q5" s="16">
        <f t="shared" si="8"/>
        <v>89</v>
      </c>
      <c r="R5" s="16"/>
      <c r="S5" s="21">
        <v>0.35121951219512099</v>
      </c>
      <c r="T5" s="14">
        <v>113</v>
      </c>
      <c r="U5" s="22" t="s">
        <v>34</v>
      </c>
      <c r="V5" s="23" t="s">
        <v>34</v>
      </c>
      <c r="W5" s="14">
        <v>0</v>
      </c>
      <c r="X5" s="24">
        <f t="shared" si="9"/>
        <v>0</v>
      </c>
      <c r="Y5" s="25">
        <f t="shared" si="10"/>
        <v>0</v>
      </c>
      <c r="Z5" s="14">
        <v>0</v>
      </c>
      <c r="AA5" s="14" t="s">
        <v>63</v>
      </c>
      <c r="AB5" s="27">
        <f t="shared" si="11"/>
        <v>-0.48</v>
      </c>
      <c r="AC5" s="28">
        <v>0.97769409038238697</v>
      </c>
      <c r="AD5" s="25">
        <f t="shared" si="12"/>
        <v>-13.14020857473928</v>
      </c>
      <c r="AE5" s="25">
        <v>-18.52</v>
      </c>
      <c r="AF5" s="25">
        <v>-75.800844999999995</v>
      </c>
      <c r="AG5" s="25">
        <v>0</v>
      </c>
    </row>
    <row r="6" spans="1:33" ht="15.75" customHeight="1">
      <c r="A6" s="14" t="s">
        <v>185</v>
      </c>
      <c r="B6" s="14" t="s">
        <v>1389</v>
      </c>
      <c r="C6" s="15">
        <f t="shared" si="4"/>
        <v>149.98999999999992</v>
      </c>
      <c r="D6" s="16">
        <v>30</v>
      </c>
      <c r="E6" s="16">
        <v>0</v>
      </c>
      <c r="F6" s="29">
        <v>4499.699999999998</v>
      </c>
      <c r="G6" s="29">
        <v>0</v>
      </c>
      <c r="H6" s="18">
        <f t="shared" si="1"/>
        <v>0</v>
      </c>
      <c r="I6" s="18">
        <f t="shared" si="2"/>
        <v>0.21490202680178647</v>
      </c>
      <c r="J6" s="17">
        <f t="shared" si="5"/>
        <v>966.99464999999816</v>
      </c>
      <c r="K6" s="17">
        <f t="shared" si="3"/>
        <v>32.23315499999994</v>
      </c>
      <c r="L6" s="16">
        <v>159</v>
      </c>
      <c r="M6" s="19">
        <f t="shared" si="6"/>
        <v>0.18867924528301888</v>
      </c>
      <c r="N6" s="16">
        <v>144</v>
      </c>
      <c r="O6" s="20">
        <f t="shared" ref="O6:P6" si="14">D6/7</f>
        <v>4.2857142857142856</v>
      </c>
      <c r="P6" s="20">
        <f t="shared" si="14"/>
        <v>0</v>
      </c>
      <c r="Q6" s="16">
        <f t="shared" si="8"/>
        <v>33</v>
      </c>
      <c r="R6" s="16"/>
      <c r="S6" s="21">
        <v>0.95906432748537995</v>
      </c>
      <c r="T6" s="14">
        <v>113</v>
      </c>
      <c r="U6" s="22" t="s">
        <v>34</v>
      </c>
      <c r="V6" s="23" t="s">
        <v>186</v>
      </c>
      <c r="W6" s="14">
        <v>0</v>
      </c>
      <c r="X6" s="24">
        <f t="shared" si="9"/>
        <v>0</v>
      </c>
      <c r="Y6" s="25">
        <f t="shared" si="10"/>
        <v>0</v>
      </c>
      <c r="Z6" s="14">
        <v>0</v>
      </c>
      <c r="AA6" s="14" t="s">
        <v>63</v>
      </c>
      <c r="AB6" s="27">
        <f t="shared" si="11"/>
        <v>-0.48</v>
      </c>
      <c r="AC6" s="28">
        <v>0.9765625</v>
      </c>
      <c r="AD6" s="25">
        <f t="shared" si="12"/>
        <v>-28.125</v>
      </c>
      <c r="AE6" s="25">
        <v>-18.52</v>
      </c>
      <c r="AF6" s="25">
        <v>-75.800844999999995</v>
      </c>
      <c r="AG6" s="25">
        <v>0</v>
      </c>
    </row>
    <row r="7" spans="1:33" ht="15.75" customHeight="1">
      <c r="A7" s="14" t="s">
        <v>187</v>
      </c>
      <c r="B7" s="14" t="s">
        <v>68</v>
      </c>
      <c r="C7" s="15">
        <f t="shared" si="4"/>
        <v>164.41299999999998</v>
      </c>
      <c r="D7" s="16">
        <v>10</v>
      </c>
      <c r="E7" s="16">
        <v>0</v>
      </c>
      <c r="F7" s="29">
        <v>1644.1299999999999</v>
      </c>
      <c r="G7" s="29">
        <v>0</v>
      </c>
      <c r="H7" s="18">
        <f t="shared" si="1"/>
        <v>0</v>
      </c>
      <c r="I7" s="18">
        <f t="shared" si="2"/>
        <v>0.26561284691599812</v>
      </c>
      <c r="J7" s="17">
        <f t="shared" si="5"/>
        <v>436.70204999999993</v>
      </c>
      <c r="K7" s="17">
        <f t="shared" si="3"/>
        <v>43.670204999999996</v>
      </c>
      <c r="L7" s="16">
        <v>141</v>
      </c>
      <c r="M7" s="19">
        <f t="shared" si="6"/>
        <v>7.0921985815602842E-2</v>
      </c>
      <c r="N7" s="16">
        <v>134</v>
      </c>
      <c r="O7" s="20">
        <f t="shared" ref="O7:P7" si="15">D7/7</f>
        <v>1.4285714285714286</v>
      </c>
      <c r="P7" s="20">
        <f t="shared" si="15"/>
        <v>0</v>
      </c>
      <c r="Q7" s="16">
        <f t="shared" si="8"/>
        <v>93</v>
      </c>
      <c r="R7" s="16"/>
      <c r="S7" s="21">
        <v>1.3972602739726001</v>
      </c>
      <c r="T7" s="14">
        <v>113</v>
      </c>
      <c r="U7" s="22" t="s">
        <v>34</v>
      </c>
      <c r="V7" s="23" t="s">
        <v>186</v>
      </c>
      <c r="W7" s="14">
        <v>0</v>
      </c>
      <c r="X7" s="24">
        <f t="shared" si="9"/>
        <v>0</v>
      </c>
      <c r="Y7" s="25">
        <f t="shared" si="10"/>
        <v>0</v>
      </c>
      <c r="Z7" s="14">
        <v>0</v>
      </c>
      <c r="AA7" s="14" t="s">
        <v>63</v>
      </c>
      <c r="AB7" s="27">
        <f t="shared" si="11"/>
        <v>-0.48</v>
      </c>
      <c r="AC7" s="28">
        <v>1.0416666666666667</v>
      </c>
      <c r="AD7" s="25">
        <f t="shared" si="12"/>
        <v>-10</v>
      </c>
      <c r="AE7" s="25">
        <v>-19.28</v>
      </c>
      <c r="AF7" s="25">
        <v>-75.800844999999995</v>
      </c>
      <c r="AG7" s="25">
        <v>0</v>
      </c>
    </row>
    <row r="8" spans="1:33" ht="15.75" customHeight="1">
      <c r="A8" s="14" t="s">
        <v>189</v>
      </c>
      <c r="B8" s="14" t="s">
        <v>1390</v>
      </c>
      <c r="C8" s="15">
        <f t="shared" si="4"/>
        <v>170.48190476190479</v>
      </c>
      <c r="D8" s="16">
        <v>21</v>
      </c>
      <c r="E8" s="16">
        <v>0</v>
      </c>
      <c r="F8" s="29">
        <v>3580.1200000000008</v>
      </c>
      <c r="G8" s="29">
        <v>0</v>
      </c>
      <c r="H8" s="18">
        <f t="shared" si="1"/>
        <v>0</v>
      </c>
      <c r="I8" s="18">
        <f t="shared" si="2"/>
        <v>0.28642112554886451</v>
      </c>
      <c r="J8" s="17">
        <f t="shared" si="5"/>
        <v>1025.4220000000009</v>
      </c>
      <c r="K8" s="17">
        <f t="shared" si="3"/>
        <v>48.82961904761909</v>
      </c>
      <c r="L8" s="16">
        <v>119</v>
      </c>
      <c r="M8" s="19">
        <f t="shared" si="6"/>
        <v>0.17647058823529413</v>
      </c>
      <c r="N8" s="16">
        <v>116</v>
      </c>
      <c r="O8" s="20">
        <f t="shared" ref="O8:P8" si="16">D8/7</f>
        <v>3</v>
      </c>
      <c r="P8" s="20">
        <f t="shared" si="16"/>
        <v>0</v>
      </c>
      <c r="Q8" s="16">
        <f t="shared" si="8"/>
        <v>38</v>
      </c>
      <c r="R8" s="16"/>
      <c r="S8" s="21">
        <v>0.81761006289308102</v>
      </c>
      <c r="T8" s="14">
        <v>113</v>
      </c>
      <c r="U8" s="22">
        <v>113</v>
      </c>
      <c r="V8" s="23" t="s">
        <v>1391</v>
      </c>
      <c r="W8" s="14">
        <v>0</v>
      </c>
      <c r="X8" s="24">
        <f t="shared" si="9"/>
        <v>0</v>
      </c>
      <c r="Y8" s="25">
        <f t="shared" si="10"/>
        <v>0</v>
      </c>
      <c r="Z8" s="14">
        <v>0</v>
      </c>
      <c r="AA8" s="14" t="s">
        <v>63</v>
      </c>
      <c r="AB8" s="27">
        <f t="shared" si="11"/>
        <v>-0.48</v>
      </c>
      <c r="AC8" s="28">
        <v>1.0416666666666667</v>
      </c>
      <c r="AD8" s="25">
        <f t="shared" si="12"/>
        <v>-21</v>
      </c>
      <c r="AE8" s="25">
        <v>-19.28</v>
      </c>
      <c r="AF8" s="25">
        <v>-75.8</v>
      </c>
      <c r="AG8" s="25">
        <v>0</v>
      </c>
    </row>
    <row r="9" spans="1:33" ht="15.75" customHeight="1">
      <c r="A9" s="14" t="s">
        <v>191</v>
      </c>
      <c r="B9" s="14" t="s">
        <v>1392</v>
      </c>
      <c r="C9" s="15">
        <f t="shared" si="4"/>
        <v>140.69363636363639</v>
      </c>
      <c r="D9" s="16">
        <v>11</v>
      </c>
      <c r="E9" s="16">
        <v>0</v>
      </c>
      <c r="F9" s="29">
        <v>1547.63</v>
      </c>
      <c r="G9" s="29">
        <v>0</v>
      </c>
      <c r="H9" s="18">
        <f t="shared" si="1"/>
        <v>0</v>
      </c>
      <c r="I9" s="18">
        <f t="shared" si="2"/>
        <v>0.15310132589830927</v>
      </c>
      <c r="J9" s="17">
        <f t="shared" si="5"/>
        <v>236.94420500000038</v>
      </c>
      <c r="K9" s="17">
        <f t="shared" si="3"/>
        <v>21.540382272727307</v>
      </c>
      <c r="L9" s="16">
        <v>174</v>
      </c>
      <c r="M9" s="19">
        <f t="shared" si="6"/>
        <v>6.3218390804597707E-2</v>
      </c>
      <c r="N9" s="16">
        <v>103</v>
      </c>
      <c r="O9" s="20">
        <f t="shared" ref="O9:P9" si="17">D9/7</f>
        <v>1.5714285714285714</v>
      </c>
      <c r="P9" s="20">
        <f t="shared" si="17"/>
        <v>0</v>
      </c>
      <c r="Q9" s="16">
        <f t="shared" si="8"/>
        <v>65</v>
      </c>
      <c r="R9" s="16"/>
      <c r="S9" s="21">
        <v>1.1216216216216199</v>
      </c>
      <c r="T9" s="14">
        <v>113</v>
      </c>
      <c r="U9" s="22">
        <v>113</v>
      </c>
      <c r="V9" s="23" t="s">
        <v>1393</v>
      </c>
      <c r="W9" s="14">
        <v>0</v>
      </c>
      <c r="X9" s="24">
        <f t="shared" si="9"/>
        <v>0</v>
      </c>
      <c r="Y9" s="25">
        <f t="shared" si="10"/>
        <v>0</v>
      </c>
      <c r="Z9" s="14">
        <v>0</v>
      </c>
      <c r="AA9" s="14" t="s">
        <v>63</v>
      </c>
      <c r="AB9" s="27">
        <f t="shared" si="11"/>
        <v>-0.48</v>
      </c>
      <c r="AC9" s="28">
        <v>1.0416666666666667</v>
      </c>
      <c r="AD9" s="25">
        <f t="shared" si="12"/>
        <v>-11</v>
      </c>
      <c r="AE9" s="25">
        <v>-19.28</v>
      </c>
      <c r="AF9" s="25">
        <v>-77.769208636363601</v>
      </c>
      <c r="AG9" s="25">
        <v>0</v>
      </c>
    </row>
    <row r="10" spans="1:33" ht="15.75" customHeight="1">
      <c r="A10" s="14" t="s">
        <v>192</v>
      </c>
      <c r="B10" s="14" t="s">
        <v>1394</v>
      </c>
      <c r="C10" s="15">
        <f t="shared" si="4"/>
        <v>173.30399999999995</v>
      </c>
      <c r="D10" s="16">
        <v>25</v>
      </c>
      <c r="E10" s="16">
        <v>0</v>
      </c>
      <c r="F10" s="29">
        <v>4332.5999999999985</v>
      </c>
      <c r="G10" s="29">
        <v>-0.05</v>
      </c>
      <c r="H10" s="18">
        <f t="shared" si="1"/>
        <v>1.1540414531689983E-5</v>
      </c>
      <c r="I10" s="18">
        <f t="shared" si="2"/>
        <v>0.28422420350157157</v>
      </c>
      <c r="J10" s="17">
        <f t="shared" si="5"/>
        <v>1231.4297840909085</v>
      </c>
      <c r="K10" s="17">
        <f t="shared" si="3"/>
        <v>49.257191363636338</v>
      </c>
      <c r="L10" s="16">
        <v>189</v>
      </c>
      <c r="M10" s="19">
        <f t="shared" si="6"/>
        <v>0.13227513227513227</v>
      </c>
      <c r="N10" s="16">
        <v>79</v>
      </c>
      <c r="O10" s="20">
        <f t="shared" ref="O10:P10" si="18">D10/7</f>
        <v>3.5714285714285716</v>
      </c>
      <c r="P10" s="20">
        <f t="shared" si="18"/>
        <v>0</v>
      </c>
      <c r="Q10" s="16">
        <f t="shared" si="8"/>
        <v>22</v>
      </c>
      <c r="R10" s="16"/>
      <c r="S10" s="21">
        <v>1.7398373983739801</v>
      </c>
      <c r="T10" s="14">
        <v>113</v>
      </c>
      <c r="U10" s="22">
        <v>113</v>
      </c>
      <c r="V10" s="23" t="s">
        <v>1395</v>
      </c>
      <c r="W10" s="14">
        <v>0</v>
      </c>
      <c r="X10" s="24">
        <f t="shared" si="9"/>
        <v>0</v>
      </c>
      <c r="Y10" s="25">
        <f t="shared" si="10"/>
        <v>0</v>
      </c>
      <c r="Z10" s="14">
        <v>0</v>
      </c>
      <c r="AA10" s="14" t="s">
        <v>63</v>
      </c>
      <c r="AB10" s="27">
        <f t="shared" si="11"/>
        <v>-0.48</v>
      </c>
      <c r="AC10" s="28">
        <v>1.0416666666666667</v>
      </c>
      <c r="AD10" s="25">
        <f t="shared" si="12"/>
        <v>-25</v>
      </c>
      <c r="AE10" s="25">
        <v>-19.28</v>
      </c>
      <c r="AF10" s="25">
        <v>-77.769208636363601</v>
      </c>
      <c r="AG10" s="25">
        <v>0</v>
      </c>
    </row>
    <row r="11" spans="1:33" ht="15.75" customHeight="1">
      <c r="A11" s="14" t="s">
        <v>193</v>
      </c>
      <c r="B11" s="14" t="s">
        <v>1396</v>
      </c>
      <c r="C11" s="15">
        <f t="shared" si="4"/>
        <v>173.62666666666667</v>
      </c>
      <c r="D11" s="16">
        <v>18</v>
      </c>
      <c r="E11" s="16">
        <v>2</v>
      </c>
      <c r="F11" s="29">
        <v>3125.2799999999997</v>
      </c>
      <c r="G11" s="29">
        <v>-0.08</v>
      </c>
      <c r="H11" s="18">
        <f t="shared" si="1"/>
        <v>2.5597706445502485E-5</v>
      </c>
      <c r="I11" s="18">
        <f t="shared" si="2"/>
        <v>0.28526155881887549</v>
      </c>
      <c r="J11" s="17">
        <f t="shared" si="5"/>
        <v>891.52224454545512</v>
      </c>
      <c r="K11" s="17">
        <f t="shared" si="3"/>
        <v>49.529013585858621</v>
      </c>
      <c r="L11" s="16">
        <v>158</v>
      </c>
      <c r="M11" s="19">
        <f t="shared" si="6"/>
        <v>0.11392405063291139</v>
      </c>
      <c r="N11" s="16">
        <v>60</v>
      </c>
      <c r="O11" s="20">
        <f t="shared" ref="O11:P11" si="19">D11/7</f>
        <v>2.5714285714285716</v>
      </c>
      <c r="P11" s="20">
        <f t="shared" si="19"/>
        <v>0.2857142857142857</v>
      </c>
      <c r="Q11" s="16">
        <f t="shared" si="8"/>
        <v>21</v>
      </c>
      <c r="R11" s="16"/>
      <c r="S11" s="21">
        <v>2.4154589371980602</v>
      </c>
      <c r="T11" s="14">
        <v>113</v>
      </c>
      <c r="U11" s="22">
        <v>113</v>
      </c>
      <c r="V11" s="23" t="s">
        <v>1397</v>
      </c>
      <c r="W11" s="14">
        <v>0</v>
      </c>
      <c r="X11" s="24">
        <f t="shared" si="9"/>
        <v>0</v>
      </c>
      <c r="Y11" s="25">
        <f t="shared" si="10"/>
        <v>0</v>
      </c>
      <c r="Z11" s="14">
        <v>0</v>
      </c>
      <c r="AA11" s="14" t="s">
        <v>63</v>
      </c>
      <c r="AB11" s="27">
        <f t="shared" si="11"/>
        <v>-0.48</v>
      </c>
      <c r="AC11" s="28">
        <v>1.0416666666666667</v>
      </c>
      <c r="AD11" s="25">
        <f t="shared" si="12"/>
        <v>-18</v>
      </c>
      <c r="AE11" s="25">
        <v>-19.28</v>
      </c>
      <c r="AF11" s="25">
        <v>-77.769208636363601</v>
      </c>
      <c r="AG11" s="25">
        <v>0</v>
      </c>
    </row>
    <row r="12" spans="1:33" ht="15.75" customHeight="1">
      <c r="A12" s="14" t="s">
        <v>195</v>
      </c>
      <c r="B12" s="14" t="s">
        <v>1398</v>
      </c>
      <c r="C12" s="15">
        <f t="shared" si="4"/>
        <v>195.24461538461537</v>
      </c>
      <c r="D12" s="16">
        <v>13</v>
      </c>
      <c r="E12" s="16">
        <v>1</v>
      </c>
      <c r="F12" s="29">
        <v>2538.1799999999998</v>
      </c>
      <c r="G12" s="29">
        <v>-0.08</v>
      </c>
      <c r="H12" s="18">
        <f t="shared" si="1"/>
        <v>3.1518647219661334E-5</v>
      </c>
      <c r="I12" s="18">
        <f t="shared" si="2"/>
        <v>0.34778198856159664</v>
      </c>
      <c r="J12" s="17">
        <f t="shared" si="5"/>
        <v>882.73328772727325</v>
      </c>
      <c r="K12" s="17">
        <f t="shared" si="3"/>
        <v>67.902560594405628</v>
      </c>
      <c r="L12" s="16">
        <v>142</v>
      </c>
      <c r="M12" s="19">
        <f t="shared" si="6"/>
        <v>9.154929577464789E-2</v>
      </c>
      <c r="N12" s="16">
        <v>43</v>
      </c>
      <c r="O12" s="20">
        <f t="shared" ref="O12:P12" si="20">D12/7</f>
        <v>1.8571428571428572</v>
      </c>
      <c r="P12" s="20">
        <f t="shared" si="20"/>
        <v>0.14285714285714285</v>
      </c>
      <c r="Q12" s="16">
        <f t="shared" si="8"/>
        <v>21</v>
      </c>
      <c r="R12" s="16"/>
      <c r="S12" s="21">
        <v>3.0329670329670302</v>
      </c>
      <c r="T12" s="14">
        <v>113</v>
      </c>
      <c r="U12" s="22">
        <v>113</v>
      </c>
      <c r="V12" s="23" t="s">
        <v>1397</v>
      </c>
      <c r="W12" s="14">
        <v>0</v>
      </c>
      <c r="X12" s="24">
        <f t="shared" si="9"/>
        <v>0</v>
      </c>
      <c r="Y12" s="25">
        <f t="shared" si="10"/>
        <v>0</v>
      </c>
      <c r="Z12" s="14">
        <v>0</v>
      </c>
      <c r="AA12" s="14" t="s">
        <v>63</v>
      </c>
      <c r="AB12" s="27">
        <f t="shared" si="11"/>
        <v>-0.48</v>
      </c>
      <c r="AC12" s="28">
        <v>1.0416666666666667</v>
      </c>
      <c r="AD12" s="25">
        <f t="shared" si="12"/>
        <v>-13</v>
      </c>
      <c r="AE12" s="25">
        <v>-19.28</v>
      </c>
      <c r="AF12" s="25">
        <v>-77.769208636363601</v>
      </c>
      <c r="AG12" s="25">
        <v>0</v>
      </c>
    </row>
    <row r="13" spans="1:33" ht="15.75" customHeight="1">
      <c r="A13" s="14" t="s">
        <v>197</v>
      </c>
      <c r="B13" s="14" t="s">
        <v>1399</v>
      </c>
      <c r="C13" s="15">
        <f t="shared" si="4"/>
        <v>201.52769230769229</v>
      </c>
      <c r="D13" s="16">
        <v>13</v>
      </c>
      <c r="E13" s="16">
        <v>2</v>
      </c>
      <c r="F13" s="17">
        <v>2619.8599999999997</v>
      </c>
      <c r="G13" s="29">
        <v>0</v>
      </c>
      <c r="H13" s="18">
        <f t="shared" si="1"/>
        <v>0</v>
      </c>
      <c r="I13" s="18">
        <f t="shared" si="2"/>
        <v>0.35889614382586726</v>
      </c>
      <c r="J13" s="17">
        <f t="shared" si="5"/>
        <v>940.25765136363646</v>
      </c>
      <c r="K13" s="17">
        <f t="shared" si="3"/>
        <v>72.327511643356644</v>
      </c>
      <c r="L13" s="16">
        <v>95</v>
      </c>
      <c r="M13" s="19">
        <f t="shared" si="6"/>
        <v>0.1368421052631579</v>
      </c>
      <c r="N13" s="16">
        <v>29</v>
      </c>
      <c r="O13" s="20">
        <f t="shared" ref="O13:P13" si="21">D13/7</f>
        <v>1.8571428571428572</v>
      </c>
      <c r="P13" s="20">
        <f t="shared" si="21"/>
        <v>0.2857142857142857</v>
      </c>
      <c r="Q13" s="16">
        <f t="shared" si="8"/>
        <v>13</v>
      </c>
      <c r="R13" s="16"/>
      <c r="S13" s="21">
        <v>1.6590909090909001</v>
      </c>
      <c r="T13" s="14">
        <v>113</v>
      </c>
      <c r="U13" s="22">
        <v>113</v>
      </c>
      <c r="V13" s="23" t="s">
        <v>1397</v>
      </c>
      <c r="W13" s="14">
        <v>0</v>
      </c>
      <c r="X13" s="24">
        <f t="shared" si="9"/>
        <v>0</v>
      </c>
      <c r="Y13" s="25">
        <f t="shared" si="10"/>
        <v>0</v>
      </c>
      <c r="Z13" s="14">
        <v>0</v>
      </c>
      <c r="AA13" s="14" t="s">
        <v>63</v>
      </c>
      <c r="AB13" s="27">
        <f t="shared" si="11"/>
        <v>-0.48</v>
      </c>
      <c r="AC13" s="28">
        <v>1.0416666666666667</v>
      </c>
      <c r="AD13" s="25">
        <f t="shared" si="12"/>
        <v>-13</v>
      </c>
      <c r="AE13" s="25">
        <v>-19.28</v>
      </c>
      <c r="AF13" s="25">
        <v>-78.691026818181797</v>
      </c>
      <c r="AG13" s="25">
        <v>0</v>
      </c>
    </row>
    <row r="14" spans="1:33" ht="15.75" customHeight="1">
      <c r="A14" s="14" t="s">
        <v>32</v>
      </c>
      <c r="B14" s="14" t="s">
        <v>1400</v>
      </c>
      <c r="C14" s="15">
        <f t="shared" si="4"/>
        <v>243.43090909090907</v>
      </c>
      <c r="D14" s="16">
        <v>11</v>
      </c>
      <c r="E14" s="16">
        <v>1</v>
      </c>
      <c r="F14" s="17">
        <v>2677.74</v>
      </c>
      <c r="G14" s="29">
        <v>0</v>
      </c>
      <c r="H14" s="18">
        <f t="shared" si="1"/>
        <v>0</v>
      </c>
      <c r="I14" s="18">
        <f t="shared" si="2"/>
        <v>0.44343278473638226</v>
      </c>
      <c r="J14" s="17">
        <f t="shared" si="5"/>
        <v>1187.3977050000001</v>
      </c>
      <c r="K14" s="17">
        <f t="shared" si="3"/>
        <v>107.94524590909091</v>
      </c>
      <c r="L14" s="16">
        <v>119</v>
      </c>
      <c r="M14" s="19">
        <f t="shared" si="6"/>
        <v>9.2436974789915971E-2</v>
      </c>
      <c r="N14" s="16">
        <v>19</v>
      </c>
      <c r="O14" s="20">
        <f t="shared" ref="O14:P14" si="22">D14/7</f>
        <v>1.5714285714285714</v>
      </c>
      <c r="P14" s="20">
        <f t="shared" si="22"/>
        <v>0.14285714285714285</v>
      </c>
      <c r="Q14" s="16">
        <f t="shared" si="8"/>
        <v>11</v>
      </c>
      <c r="R14" s="16"/>
      <c r="S14" s="21">
        <v>2.3857142857142799</v>
      </c>
      <c r="T14" s="14">
        <v>113</v>
      </c>
      <c r="U14" s="22">
        <v>113</v>
      </c>
      <c r="V14" s="23" t="s">
        <v>1397</v>
      </c>
      <c r="W14" s="14">
        <v>0</v>
      </c>
      <c r="X14" s="24">
        <f t="shared" si="9"/>
        <v>0</v>
      </c>
      <c r="Y14" s="25">
        <f t="shared" si="10"/>
        <v>0</v>
      </c>
      <c r="Z14" s="14">
        <v>0</v>
      </c>
      <c r="AA14" s="14" t="s">
        <v>63</v>
      </c>
      <c r="AB14" s="27">
        <f t="shared" si="11"/>
        <v>-0.48</v>
      </c>
      <c r="AC14" s="28">
        <v>1.0416666666666667</v>
      </c>
      <c r="AD14" s="25">
        <f t="shared" si="12"/>
        <v>-11</v>
      </c>
      <c r="AE14" s="25">
        <v>-19.28</v>
      </c>
      <c r="AF14" s="25">
        <v>-78.691026818181797</v>
      </c>
      <c r="AG14" s="25">
        <v>0</v>
      </c>
    </row>
    <row r="15" spans="1:33" ht="15.75" customHeight="1">
      <c r="A15" s="14" t="s">
        <v>36</v>
      </c>
      <c r="B15" s="14" t="s">
        <v>351</v>
      </c>
      <c r="C15" s="15">
        <f t="shared" si="4"/>
        <v>254.083</v>
      </c>
      <c r="D15" s="16">
        <v>10</v>
      </c>
      <c r="E15" s="16">
        <v>0</v>
      </c>
      <c r="F15" s="17">
        <v>2540.83</v>
      </c>
      <c r="G15" s="29">
        <v>0</v>
      </c>
      <c r="H15" s="18">
        <f t="shared" si="1"/>
        <v>0</v>
      </c>
      <c r="I15" s="18">
        <f t="shared" si="2"/>
        <v>0.46402304830239816</v>
      </c>
      <c r="J15" s="17">
        <f t="shared" si="5"/>
        <v>1179.0036818181823</v>
      </c>
      <c r="K15" s="17">
        <f t="shared" si="3"/>
        <v>117.90036818181822</v>
      </c>
      <c r="L15" s="16">
        <v>122</v>
      </c>
      <c r="M15" s="19">
        <f t="shared" si="6"/>
        <v>8.1967213114754092E-2</v>
      </c>
      <c r="N15" s="16">
        <v>8</v>
      </c>
      <c r="O15" s="20">
        <f t="shared" ref="O15:P15" si="23">D15/7</f>
        <v>1.4285714285714286</v>
      </c>
      <c r="P15" s="20">
        <f t="shared" si="23"/>
        <v>0</v>
      </c>
      <c r="Q15" s="16">
        <f t="shared" si="8"/>
        <v>5</v>
      </c>
      <c r="R15" s="16"/>
      <c r="S15" s="21">
        <v>3.06607929515418</v>
      </c>
      <c r="T15" s="14">
        <v>113</v>
      </c>
      <c r="U15" s="22">
        <v>113</v>
      </c>
      <c r="V15" s="23" t="s">
        <v>1397</v>
      </c>
      <c r="W15" s="14">
        <v>0</v>
      </c>
      <c r="X15" s="24">
        <f t="shared" si="9"/>
        <v>0</v>
      </c>
      <c r="Y15" s="25">
        <f t="shared" si="10"/>
        <v>0</v>
      </c>
      <c r="Z15" s="14">
        <v>0</v>
      </c>
      <c r="AA15" s="14" t="s">
        <v>63</v>
      </c>
      <c r="AB15" s="27">
        <f t="shared" si="11"/>
        <v>-0.48</v>
      </c>
      <c r="AC15" s="28">
        <v>1.0416666666666667</v>
      </c>
      <c r="AD15" s="25">
        <f t="shared" si="12"/>
        <v>-10</v>
      </c>
      <c r="AE15" s="25">
        <v>-19.28</v>
      </c>
      <c r="AF15" s="25">
        <v>-77.790181818181793</v>
      </c>
      <c r="AG15" s="25">
        <v>0</v>
      </c>
    </row>
    <row r="16" spans="1:33" ht="15.75" customHeight="1">
      <c r="A16" s="14" t="s">
        <v>38</v>
      </c>
      <c r="B16" s="14" t="s">
        <v>45</v>
      </c>
      <c r="C16" s="15">
        <f t="shared" si="4"/>
        <v>257.99</v>
      </c>
      <c r="D16" s="16">
        <v>6</v>
      </c>
      <c r="E16" s="16">
        <v>0</v>
      </c>
      <c r="F16" s="17">
        <v>1547.94</v>
      </c>
      <c r="G16" s="29">
        <v>0</v>
      </c>
      <c r="H16" s="18">
        <f t="shared" si="1"/>
        <v>0</v>
      </c>
      <c r="I16" s="18">
        <f t="shared" si="2"/>
        <v>0.46986828242109469</v>
      </c>
      <c r="J16" s="17">
        <f t="shared" si="5"/>
        <v>727.32790909090932</v>
      </c>
      <c r="K16" s="17">
        <f t="shared" si="3"/>
        <v>121.22131818181822</v>
      </c>
      <c r="L16" s="16">
        <v>39</v>
      </c>
      <c r="M16" s="19">
        <f t="shared" si="6"/>
        <v>0.15384615384615385</v>
      </c>
      <c r="N16" s="16">
        <v>1</v>
      </c>
      <c r="O16" s="20">
        <f t="shared" ref="O16:P16" si="24">D16/7</f>
        <v>0.8571428571428571</v>
      </c>
      <c r="P16" s="20">
        <f t="shared" si="24"/>
        <v>0</v>
      </c>
      <c r="Q16" s="16">
        <f t="shared" si="8"/>
        <v>1</v>
      </c>
      <c r="R16" s="16"/>
      <c r="S16" s="21" t="e">
        <v>#N/A</v>
      </c>
      <c r="T16" s="14">
        <v>113</v>
      </c>
      <c r="U16" s="22">
        <v>113</v>
      </c>
      <c r="V16" s="23" t="s">
        <v>1397</v>
      </c>
      <c r="W16" s="14">
        <v>0</v>
      </c>
      <c r="X16" s="24">
        <f t="shared" si="9"/>
        <v>0</v>
      </c>
      <c r="Y16" s="25">
        <f t="shared" si="10"/>
        <v>0</v>
      </c>
      <c r="Z16" s="14">
        <v>0</v>
      </c>
      <c r="AA16" s="14" t="s">
        <v>63</v>
      </c>
      <c r="AB16" s="27">
        <f t="shared" si="11"/>
        <v>-0.48</v>
      </c>
      <c r="AC16" s="28">
        <v>1.0416666666666667</v>
      </c>
      <c r="AD16" s="25">
        <f t="shared" si="12"/>
        <v>-6</v>
      </c>
      <c r="AE16" s="25">
        <v>-19.28</v>
      </c>
      <c r="AF16" s="25">
        <v>-77.790181818181793</v>
      </c>
      <c r="AG16" s="25">
        <v>0</v>
      </c>
    </row>
    <row r="17" spans="1:33" ht="15.75" customHeight="1">
      <c r="A17" s="14" t="s">
        <v>40</v>
      </c>
      <c r="B17" s="14" t="s">
        <v>1401</v>
      </c>
      <c r="C17" s="15" t="str">
        <f t="shared" si="4"/>
        <v xml:space="preserve"> - </v>
      </c>
      <c r="D17" s="16">
        <v>0</v>
      </c>
      <c r="E17" s="16">
        <v>0</v>
      </c>
      <c r="F17" s="17">
        <v>0</v>
      </c>
      <c r="G17" s="29">
        <v>0</v>
      </c>
      <c r="H17" s="18" t="e">
        <f t="shared" si="1"/>
        <v>#DIV/0!</v>
      </c>
      <c r="I17" s="18" t="e">
        <f t="shared" si="2"/>
        <v>#DIV/0!</v>
      </c>
      <c r="J17" s="17">
        <f t="shared" si="5"/>
        <v>0</v>
      </c>
      <c r="K17" s="17" t="e">
        <f t="shared" si="3"/>
        <v>#DIV/0!</v>
      </c>
      <c r="L17" s="16">
        <v>0</v>
      </c>
      <c r="M17" s="19" t="str">
        <f t="shared" si="6"/>
        <v>-</v>
      </c>
      <c r="N17" s="16">
        <v>1</v>
      </c>
      <c r="O17" s="20">
        <f t="shared" ref="O17:P17" si="25">D17/7</f>
        <v>0</v>
      </c>
      <c r="P17" s="20">
        <f t="shared" si="25"/>
        <v>0</v>
      </c>
      <c r="Q17" s="16" t="e">
        <f t="shared" si="8"/>
        <v>#DIV/0!</v>
      </c>
      <c r="R17" s="16"/>
      <c r="S17" s="21" t="e">
        <v>#N/A</v>
      </c>
      <c r="T17" s="14">
        <v>113</v>
      </c>
      <c r="U17" s="22">
        <v>113</v>
      </c>
      <c r="V17" s="23" t="s">
        <v>1397</v>
      </c>
      <c r="W17" s="14">
        <v>0</v>
      </c>
      <c r="X17" s="24">
        <f t="shared" si="9"/>
        <v>0</v>
      </c>
      <c r="Y17" s="25">
        <f t="shared" si="10"/>
        <v>0</v>
      </c>
      <c r="Z17" s="14">
        <v>0</v>
      </c>
      <c r="AA17" s="14" t="s">
        <v>63</v>
      </c>
      <c r="AB17" s="27">
        <f t="shared" si="11"/>
        <v>-0.48</v>
      </c>
      <c r="AC17" s="28">
        <v>1.0416666666666667</v>
      </c>
      <c r="AD17" s="25">
        <f t="shared" si="12"/>
        <v>0</v>
      </c>
      <c r="AE17" s="25">
        <v>-19.28</v>
      </c>
      <c r="AF17" s="25">
        <v>-77.790181818181793</v>
      </c>
      <c r="AG17" s="25">
        <v>0</v>
      </c>
    </row>
    <row r="18" spans="1:33" ht="15.75" customHeight="1">
      <c r="A18" s="14" t="s">
        <v>42</v>
      </c>
      <c r="B18" s="14" t="s">
        <v>45</v>
      </c>
      <c r="C18" s="15">
        <f t="shared" si="4"/>
        <v>259.99</v>
      </c>
      <c r="D18" s="16">
        <v>1</v>
      </c>
      <c r="E18" s="16">
        <v>0</v>
      </c>
      <c r="F18" s="17">
        <v>259.99</v>
      </c>
      <c r="G18" s="29">
        <v>0</v>
      </c>
      <c r="H18" s="18">
        <f t="shared" si="1"/>
        <v>0</v>
      </c>
      <c r="I18" s="18">
        <f t="shared" si="2"/>
        <v>0.47279248502564791</v>
      </c>
      <c r="J18" s="17">
        <f t="shared" si="5"/>
        <v>122.92131818181821</v>
      </c>
      <c r="K18" s="17">
        <f t="shared" si="3"/>
        <v>122.92131818181821</v>
      </c>
      <c r="L18" s="16">
        <v>43</v>
      </c>
      <c r="M18" s="19">
        <f t="shared" si="6"/>
        <v>2.3255813953488372E-2</v>
      </c>
      <c r="N18" s="16">
        <v>1</v>
      </c>
      <c r="O18" s="20">
        <f t="shared" ref="O18:P18" si="26">D18/7</f>
        <v>0.14285714285714285</v>
      </c>
      <c r="P18" s="20">
        <f t="shared" si="26"/>
        <v>0</v>
      </c>
      <c r="Q18" s="16">
        <f t="shared" si="8"/>
        <v>7</v>
      </c>
      <c r="R18" s="16"/>
      <c r="S18" s="21" t="e">
        <v>#N/A</v>
      </c>
      <c r="T18" s="14">
        <v>0</v>
      </c>
      <c r="U18" s="22">
        <v>0</v>
      </c>
      <c r="V18" s="23" t="s">
        <v>34</v>
      </c>
      <c r="W18" s="14">
        <v>0</v>
      </c>
      <c r="X18" s="24">
        <f t="shared" si="9"/>
        <v>0</v>
      </c>
      <c r="Y18" s="25">
        <f t="shared" si="10"/>
        <v>0</v>
      </c>
      <c r="Z18" s="14">
        <v>0</v>
      </c>
      <c r="AA18" s="14" t="s">
        <v>63</v>
      </c>
      <c r="AB18" s="27">
        <f t="shared" si="11"/>
        <v>-0.48</v>
      </c>
      <c r="AC18" s="28">
        <v>1.0416666666666667</v>
      </c>
      <c r="AD18" s="25">
        <f t="shared" si="12"/>
        <v>-1</v>
      </c>
      <c r="AE18" s="25">
        <v>-19.28</v>
      </c>
      <c r="AF18" s="25">
        <v>-77.790181818181793</v>
      </c>
      <c r="AG18" s="25">
        <v>0</v>
      </c>
    </row>
    <row r="19" spans="1:33" ht="15.75" customHeight="1">
      <c r="A19" s="14" t="s">
        <v>44</v>
      </c>
      <c r="B19" s="14" t="s">
        <v>45</v>
      </c>
      <c r="C19" s="15" t="str">
        <f t="shared" si="4"/>
        <v xml:space="preserve"> - </v>
      </c>
      <c r="D19" s="16">
        <v>0</v>
      </c>
      <c r="E19" s="16">
        <v>0</v>
      </c>
      <c r="F19" s="17">
        <v>0</v>
      </c>
      <c r="G19" s="29">
        <v>0</v>
      </c>
      <c r="H19" s="18" t="e">
        <f t="shared" si="1"/>
        <v>#DIV/0!</v>
      </c>
      <c r="I19" s="18" t="e">
        <f t="shared" si="2"/>
        <v>#DIV/0!</v>
      </c>
      <c r="J19" s="17">
        <f t="shared" si="5"/>
        <v>0</v>
      </c>
      <c r="K19" s="17" t="e">
        <f t="shared" si="3"/>
        <v>#DIV/0!</v>
      </c>
      <c r="L19" s="16">
        <v>0</v>
      </c>
      <c r="M19" s="19" t="str">
        <f t="shared" si="6"/>
        <v>-</v>
      </c>
      <c r="N19" s="16">
        <v>2</v>
      </c>
      <c r="O19" s="20">
        <f t="shared" ref="O19:P19" si="27">D19/7</f>
        <v>0</v>
      </c>
      <c r="P19" s="20">
        <f t="shared" si="27"/>
        <v>0</v>
      </c>
      <c r="Q19" s="16" t="e">
        <f t="shared" si="8"/>
        <v>#DIV/0!</v>
      </c>
      <c r="R19" s="16"/>
      <c r="S19" s="21">
        <v>2.4124513618677002</v>
      </c>
      <c r="T19" s="14">
        <v>0</v>
      </c>
      <c r="U19" s="22" t="s">
        <v>34</v>
      </c>
      <c r="V19" s="23" t="s">
        <v>34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14" t="s">
        <v>63</v>
      </c>
      <c r="AB19" s="27">
        <f t="shared" si="11"/>
        <v>-0.48</v>
      </c>
      <c r="AC19" s="28">
        <v>1.0416666666666667</v>
      </c>
      <c r="AD19" s="25">
        <f t="shared" si="12"/>
        <v>0</v>
      </c>
      <c r="AE19" s="25">
        <v>-19.28</v>
      </c>
      <c r="AF19" s="25">
        <v>-81.320181818181808</v>
      </c>
      <c r="AG19" s="25">
        <v>0</v>
      </c>
    </row>
    <row r="20" spans="1:33" ht="15.75" customHeight="1">
      <c r="A20" s="14" t="s">
        <v>46</v>
      </c>
      <c r="B20" s="14" t="s">
        <v>45</v>
      </c>
      <c r="C20" s="15">
        <f t="shared" si="4"/>
        <v>257.95</v>
      </c>
      <c r="D20" s="16">
        <v>1</v>
      </c>
      <c r="E20" s="16">
        <v>0</v>
      </c>
      <c r="F20" s="17">
        <v>257.95</v>
      </c>
      <c r="G20" s="29">
        <v>0</v>
      </c>
      <c r="H20" s="18">
        <f t="shared" si="1"/>
        <v>0</v>
      </c>
      <c r="I20" s="18">
        <f t="shared" si="2"/>
        <v>0.45612451320728115</v>
      </c>
      <c r="J20" s="17">
        <f t="shared" si="5"/>
        <v>117.65731818181817</v>
      </c>
      <c r="K20" s="17">
        <f t="shared" si="3"/>
        <v>117.65731818181817</v>
      </c>
      <c r="L20" s="16">
        <v>23</v>
      </c>
      <c r="M20" s="19">
        <f t="shared" si="6"/>
        <v>4.3478260869565216E-2</v>
      </c>
      <c r="N20" s="16">
        <v>1</v>
      </c>
      <c r="O20" s="20">
        <f t="shared" ref="O20:P20" si="28">D20/7</f>
        <v>0.14285714285714285</v>
      </c>
      <c r="P20" s="20">
        <f t="shared" si="28"/>
        <v>0</v>
      </c>
      <c r="Q20" s="16">
        <f t="shared" si="8"/>
        <v>7</v>
      </c>
      <c r="R20" s="16"/>
      <c r="S20" s="21">
        <v>2.5576923076922999</v>
      </c>
      <c r="T20" s="14">
        <v>0</v>
      </c>
      <c r="U20" s="22" t="s">
        <v>34</v>
      </c>
      <c r="V20" s="23" t="s">
        <v>34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14" t="s">
        <v>63</v>
      </c>
      <c r="AB20" s="27">
        <f t="shared" si="11"/>
        <v>-0.48</v>
      </c>
      <c r="AC20" s="28">
        <v>1.0416666666666667</v>
      </c>
      <c r="AD20" s="25">
        <f t="shared" si="12"/>
        <v>-1</v>
      </c>
      <c r="AE20" s="25">
        <v>-19.28</v>
      </c>
      <c r="AF20" s="25">
        <v>-81.320181818181808</v>
      </c>
      <c r="AG20" s="25">
        <v>0</v>
      </c>
    </row>
    <row r="21" spans="1:33" ht="15.75" customHeight="1">
      <c r="A21" s="14" t="s">
        <v>47</v>
      </c>
      <c r="B21" s="14"/>
      <c r="C21" s="15" t="str">
        <f t="shared" si="4"/>
        <v xml:space="preserve"> - </v>
      </c>
      <c r="D21" s="16">
        <v>0</v>
      </c>
      <c r="E21" s="16">
        <v>0</v>
      </c>
      <c r="F21" s="17">
        <v>0</v>
      </c>
      <c r="G21" s="29">
        <v>0</v>
      </c>
      <c r="H21" s="18" t="e">
        <f t="shared" si="1"/>
        <v>#DIV/0!</v>
      </c>
      <c r="I21" s="18" t="e">
        <f t="shared" si="2"/>
        <v>#DIV/0!</v>
      </c>
      <c r="J21" s="17">
        <f t="shared" si="5"/>
        <v>0</v>
      </c>
      <c r="K21" s="17" t="e">
        <f t="shared" si="3"/>
        <v>#DIV/0!</v>
      </c>
      <c r="L21" s="16">
        <v>0</v>
      </c>
      <c r="M21" s="19" t="str">
        <f t="shared" si="6"/>
        <v>-</v>
      </c>
      <c r="N21" s="16">
        <v>1</v>
      </c>
      <c r="O21" s="20">
        <f t="shared" ref="O21:P21" si="29">D21/7</f>
        <v>0</v>
      </c>
      <c r="P21" s="20">
        <f t="shared" si="29"/>
        <v>0</v>
      </c>
      <c r="Q21" s="16" t="e">
        <f t="shared" si="8"/>
        <v>#DIV/0!</v>
      </c>
      <c r="R21" s="16"/>
      <c r="S21" s="21" t="e">
        <v>#N/A</v>
      </c>
      <c r="T21" s="14">
        <v>0</v>
      </c>
      <c r="U21" s="22" t="s">
        <v>34</v>
      </c>
      <c r="V21" s="23" t="s">
        <v>34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14" t="s">
        <v>63</v>
      </c>
      <c r="AB21" s="27">
        <f t="shared" si="11"/>
        <v>-0.48</v>
      </c>
      <c r="AC21" s="28">
        <v>1.0416666666666667</v>
      </c>
      <c r="AD21" s="25">
        <f t="shared" si="12"/>
        <v>0</v>
      </c>
      <c r="AE21" s="25">
        <v>-19.28</v>
      </c>
      <c r="AF21" s="25">
        <v>-81.320181818181808</v>
      </c>
      <c r="AG21" s="25">
        <v>0</v>
      </c>
    </row>
    <row r="22" spans="1:33" ht="15.75" customHeight="1">
      <c r="A22" s="14" t="s">
        <v>48</v>
      </c>
      <c r="B22" s="14" t="s">
        <v>45</v>
      </c>
      <c r="C22" s="15">
        <f t="shared" si="4"/>
        <v>257.95</v>
      </c>
      <c r="D22" s="16">
        <v>1</v>
      </c>
      <c r="E22" s="16">
        <v>0</v>
      </c>
      <c r="F22" s="29">
        <v>257.95</v>
      </c>
      <c r="G22" s="29">
        <v>0</v>
      </c>
      <c r="H22" s="18">
        <f t="shared" si="1"/>
        <v>0</v>
      </c>
      <c r="I22" s="18">
        <f t="shared" si="2"/>
        <v>0.45612451320728115</v>
      </c>
      <c r="J22" s="17">
        <f t="shared" si="5"/>
        <v>117.65731818181817</v>
      </c>
      <c r="K22" s="17">
        <f t="shared" si="3"/>
        <v>117.65731818181817</v>
      </c>
      <c r="L22" s="16">
        <v>0</v>
      </c>
      <c r="M22" s="19" t="str">
        <f t="shared" si="6"/>
        <v>-</v>
      </c>
      <c r="N22" s="16">
        <v>1</v>
      </c>
      <c r="O22" s="20">
        <f t="shared" ref="O22:P22" si="30">D22/7</f>
        <v>0.14285714285714285</v>
      </c>
      <c r="P22" s="20">
        <f t="shared" si="30"/>
        <v>0</v>
      </c>
      <c r="Q22" s="16">
        <f t="shared" si="8"/>
        <v>7</v>
      </c>
      <c r="R22" s="16"/>
      <c r="S22" s="21" t="e">
        <v>#N/A</v>
      </c>
      <c r="T22" s="14">
        <v>0</v>
      </c>
      <c r="U22" s="22" t="s">
        <v>34</v>
      </c>
      <c r="V22" s="23" t="s">
        <v>34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63</v>
      </c>
      <c r="AB22" s="27">
        <f t="shared" si="11"/>
        <v>-0.48</v>
      </c>
      <c r="AC22" s="28">
        <v>1.0416666666666667</v>
      </c>
      <c r="AD22" s="25">
        <f t="shared" si="12"/>
        <v>-1</v>
      </c>
      <c r="AE22" s="25">
        <v>-19.28</v>
      </c>
      <c r="AF22" s="25">
        <v>-81.320181818181808</v>
      </c>
      <c r="AG22" s="25">
        <v>0</v>
      </c>
    </row>
    <row r="23" spans="1:33" ht="15.75" customHeight="1">
      <c r="A23" s="14" t="s">
        <v>49</v>
      </c>
      <c r="B23" s="14" t="s">
        <v>45</v>
      </c>
      <c r="C23" s="15">
        <f t="shared" si="4"/>
        <v>257.95</v>
      </c>
      <c r="D23" s="16">
        <v>4</v>
      </c>
      <c r="E23" s="16">
        <v>0</v>
      </c>
      <c r="F23" s="17">
        <v>1031.8</v>
      </c>
      <c r="G23" s="29">
        <v>0</v>
      </c>
      <c r="H23" s="18">
        <f t="shared" si="1"/>
        <v>0</v>
      </c>
      <c r="I23" s="18">
        <f t="shared" si="2"/>
        <v>0.45612451320728115</v>
      </c>
      <c r="J23" s="17">
        <f t="shared" si="5"/>
        <v>470.62927272727268</v>
      </c>
      <c r="K23" s="17">
        <f t="shared" si="3"/>
        <v>117.65731818181817</v>
      </c>
      <c r="L23" s="16">
        <v>116</v>
      </c>
      <c r="M23" s="19">
        <f t="shared" si="6"/>
        <v>3.4482758620689655E-2</v>
      </c>
      <c r="N23" s="16">
        <v>1</v>
      </c>
      <c r="O23" s="20">
        <f t="shared" ref="O23:P23" si="31">D23/7</f>
        <v>0.5714285714285714</v>
      </c>
      <c r="P23" s="20">
        <f t="shared" si="31"/>
        <v>0</v>
      </c>
      <c r="Q23" s="16">
        <f t="shared" si="8"/>
        <v>1</v>
      </c>
      <c r="R23" s="16"/>
      <c r="S23" s="21" t="e">
        <v>#N/A</v>
      </c>
      <c r="T23" s="14">
        <v>300</v>
      </c>
      <c r="U23" s="22" t="s">
        <v>34</v>
      </c>
      <c r="V23" s="23" t="s">
        <v>34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63</v>
      </c>
      <c r="AB23" s="27">
        <f t="shared" si="11"/>
        <v>-0.48</v>
      </c>
      <c r="AC23" s="28">
        <v>1.0416666666666667</v>
      </c>
      <c r="AD23" s="25">
        <f t="shared" si="12"/>
        <v>-4</v>
      </c>
      <c r="AE23" s="25">
        <v>-19.28</v>
      </c>
      <c r="AF23" s="25">
        <v>-81.320181818181808</v>
      </c>
      <c r="AG23" s="25">
        <v>0</v>
      </c>
    </row>
    <row r="24" spans="1:33" ht="15.75" customHeight="1">
      <c r="A24" s="14" t="s">
        <v>50</v>
      </c>
      <c r="B24" s="14" t="s">
        <v>45</v>
      </c>
      <c r="C24" s="15">
        <f t="shared" si="4"/>
        <v>257.95</v>
      </c>
      <c r="D24" s="16">
        <v>1</v>
      </c>
      <c r="E24" s="16">
        <v>0</v>
      </c>
      <c r="F24" s="17">
        <v>257.95</v>
      </c>
      <c r="G24" s="17">
        <v>0</v>
      </c>
      <c r="H24" s="18">
        <f t="shared" si="1"/>
        <v>0</v>
      </c>
      <c r="I24" s="18">
        <f t="shared" si="2"/>
        <v>0.45612451320728115</v>
      </c>
      <c r="J24" s="17">
        <f t="shared" si="5"/>
        <v>117.65731818181817</v>
      </c>
      <c r="K24" s="17">
        <f t="shared" si="3"/>
        <v>117.65731818181817</v>
      </c>
      <c r="L24" s="16">
        <v>164</v>
      </c>
      <c r="M24" s="19">
        <f t="shared" si="6"/>
        <v>6.0975609756097563E-3</v>
      </c>
      <c r="N24" s="16">
        <v>1</v>
      </c>
      <c r="O24" s="20">
        <f t="shared" ref="O24:P24" si="32">D24/7</f>
        <v>0.14285714285714285</v>
      </c>
      <c r="P24" s="20">
        <f t="shared" si="32"/>
        <v>0</v>
      </c>
      <c r="Q24" s="16">
        <f t="shared" si="8"/>
        <v>7</v>
      </c>
      <c r="R24" s="16"/>
      <c r="S24" s="21" t="e">
        <v>#N/A</v>
      </c>
      <c r="T24" s="14">
        <v>300</v>
      </c>
      <c r="U24" s="22" t="s">
        <v>34</v>
      </c>
      <c r="V24" s="23" t="s">
        <v>34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14" t="s">
        <v>63</v>
      </c>
      <c r="AB24" s="27">
        <f t="shared" si="11"/>
        <v>-0.48</v>
      </c>
      <c r="AC24" s="28">
        <v>1.0416666666666667</v>
      </c>
      <c r="AD24" s="25">
        <f t="shared" si="12"/>
        <v>-1</v>
      </c>
      <c r="AE24" s="25">
        <v>-19.28</v>
      </c>
      <c r="AF24" s="25">
        <v>-81.320181818181808</v>
      </c>
      <c r="AG24" s="25">
        <v>0</v>
      </c>
    </row>
    <row r="25" spans="1:33" ht="15.75" customHeight="1">
      <c r="A25" s="14" t="s">
        <v>51</v>
      </c>
      <c r="B25" s="14" t="s">
        <v>1402</v>
      </c>
      <c r="C25" s="15">
        <f t="shared" si="4"/>
        <v>259.84333333333331</v>
      </c>
      <c r="D25" s="16">
        <v>3</v>
      </c>
      <c r="E25" s="16">
        <v>0</v>
      </c>
      <c r="F25" s="17">
        <v>779.53</v>
      </c>
      <c r="G25" s="17">
        <v>0</v>
      </c>
      <c r="H25" s="18">
        <f t="shared" si="1"/>
        <v>0</v>
      </c>
      <c r="I25" s="18">
        <f t="shared" si="2"/>
        <v>0.45899516375251792</v>
      </c>
      <c r="J25" s="17">
        <f t="shared" si="5"/>
        <v>357.80050000000028</v>
      </c>
      <c r="K25" s="17">
        <f t="shared" si="3"/>
        <v>119.26683333333342</v>
      </c>
      <c r="L25" s="16">
        <v>134</v>
      </c>
      <c r="M25" s="19">
        <f t="shared" si="6"/>
        <v>2.2388059701492536E-2</v>
      </c>
      <c r="N25" s="16">
        <v>66</v>
      </c>
      <c r="O25" s="20">
        <f t="shared" ref="O25:P25" si="33">D25/7</f>
        <v>0.42857142857142855</v>
      </c>
      <c r="P25" s="20">
        <f t="shared" si="33"/>
        <v>0</v>
      </c>
      <c r="Q25" s="16">
        <f t="shared" si="8"/>
        <v>154</v>
      </c>
      <c r="R25" s="16"/>
      <c r="S25" s="21">
        <v>1.417322834645669</v>
      </c>
      <c r="T25" s="14">
        <v>300</v>
      </c>
      <c r="U25" s="22" t="s">
        <v>34</v>
      </c>
      <c r="V25" s="23" t="s">
        <v>34</v>
      </c>
      <c r="W25" s="30">
        <v>0</v>
      </c>
      <c r="X25" s="24">
        <f t="shared" si="9"/>
        <v>0</v>
      </c>
      <c r="Y25" s="25">
        <f t="shared" si="10"/>
        <v>0</v>
      </c>
      <c r="Z25" s="30">
        <v>0</v>
      </c>
      <c r="AA25" s="14" t="s">
        <v>63</v>
      </c>
      <c r="AB25" s="27">
        <f t="shared" si="11"/>
        <v>-0.48</v>
      </c>
      <c r="AC25" s="28">
        <v>1.0416666666666667</v>
      </c>
      <c r="AD25" s="25">
        <f t="shared" si="12"/>
        <v>-3</v>
      </c>
      <c r="AE25" s="25">
        <v>-19.28</v>
      </c>
      <c r="AF25" s="25">
        <v>-81.319999999999894</v>
      </c>
      <c r="AG25" s="25">
        <v>0</v>
      </c>
    </row>
    <row r="26" spans="1:33" ht="15.75" customHeight="1">
      <c r="A26" s="14" t="s">
        <v>52</v>
      </c>
      <c r="B26" s="14" t="s">
        <v>1403</v>
      </c>
      <c r="C26" s="15">
        <f t="shared" si="4"/>
        <v>251.55</v>
      </c>
      <c r="D26" s="16">
        <v>5</v>
      </c>
      <c r="E26" s="16">
        <v>0</v>
      </c>
      <c r="F26" s="17">
        <v>1257.75</v>
      </c>
      <c r="G26" s="17">
        <v>0</v>
      </c>
      <c r="H26" s="18">
        <f t="shared" si="1"/>
        <v>0</v>
      </c>
      <c r="I26" s="18">
        <f t="shared" si="2"/>
        <v>0.44451329032724379</v>
      </c>
      <c r="J26" s="17">
        <f t="shared" si="5"/>
        <v>559.08659090909089</v>
      </c>
      <c r="K26" s="17">
        <f t="shared" si="3"/>
        <v>111.81731818181818</v>
      </c>
      <c r="L26" s="16">
        <v>162</v>
      </c>
      <c r="M26" s="19">
        <f t="shared" si="6"/>
        <v>3.0864197530864196E-2</v>
      </c>
      <c r="N26" s="16">
        <v>63</v>
      </c>
      <c r="O26" s="20">
        <f t="shared" ref="O26:P26" si="34">D26/7</f>
        <v>0.7142857142857143</v>
      </c>
      <c r="P26" s="20">
        <f t="shared" si="34"/>
        <v>0</v>
      </c>
      <c r="Q26" s="16">
        <f t="shared" si="8"/>
        <v>88</v>
      </c>
      <c r="R26" s="16"/>
      <c r="S26" s="21">
        <v>1.1764705882352939</v>
      </c>
      <c r="T26" s="14">
        <v>300</v>
      </c>
      <c r="U26" s="22" t="s">
        <v>34</v>
      </c>
      <c r="V26" s="23" t="s">
        <v>34</v>
      </c>
      <c r="W26" s="30">
        <v>0</v>
      </c>
      <c r="X26" s="24">
        <f t="shared" si="9"/>
        <v>0</v>
      </c>
      <c r="Y26" s="25">
        <f t="shared" si="10"/>
        <v>0</v>
      </c>
      <c r="Z26" s="30">
        <v>0</v>
      </c>
      <c r="AA26" s="14" t="s">
        <v>63</v>
      </c>
      <c r="AB26" s="27">
        <f t="shared" si="11"/>
        <v>-0.48</v>
      </c>
      <c r="AC26" s="28">
        <v>1.0416666666666667</v>
      </c>
      <c r="AD26" s="25">
        <f t="shared" si="12"/>
        <v>-5</v>
      </c>
      <c r="AE26" s="25">
        <v>-19.68</v>
      </c>
      <c r="AF26" s="25">
        <v>-81.320181818181794</v>
      </c>
      <c r="AG26" s="25">
        <v>0</v>
      </c>
    </row>
    <row r="27" spans="1:33" ht="15.75" customHeight="1">
      <c r="A27" s="14" t="s">
        <v>53</v>
      </c>
      <c r="B27" s="14" t="s">
        <v>1404</v>
      </c>
      <c r="C27" s="15">
        <f t="shared" si="4"/>
        <v>250.34923076923076</v>
      </c>
      <c r="D27" s="16">
        <v>13</v>
      </c>
      <c r="E27" s="16">
        <v>0</v>
      </c>
      <c r="F27" s="17">
        <v>3254.54</v>
      </c>
      <c r="G27" s="17">
        <v>0</v>
      </c>
      <c r="H27" s="18">
        <f t="shared" si="1"/>
        <v>0</v>
      </c>
      <c r="I27" s="18">
        <f t="shared" si="2"/>
        <v>0.44113239295931789</v>
      </c>
      <c r="J27" s="17">
        <f t="shared" si="5"/>
        <v>1435.6830181818184</v>
      </c>
      <c r="K27" s="17">
        <f t="shared" si="3"/>
        <v>110.43715524475526</v>
      </c>
      <c r="L27" s="16">
        <v>176</v>
      </c>
      <c r="M27" s="19">
        <f t="shared" si="6"/>
        <v>7.3863636363636367E-2</v>
      </c>
      <c r="N27" s="16">
        <v>49</v>
      </c>
      <c r="O27" s="20">
        <f t="shared" ref="O27:P27" si="35">D27/7</f>
        <v>1.8571428571428572</v>
      </c>
      <c r="P27" s="20">
        <f t="shared" si="35"/>
        <v>0</v>
      </c>
      <c r="Q27" s="16">
        <f t="shared" si="8"/>
        <v>26</v>
      </c>
      <c r="R27" s="16"/>
      <c r="S27" s="21">
        <v>0.81553398058252424</v>
      </c>
      <c r="T27" s="14">
        <v>300</v>
      </c>
      <c r="U27" s="22" t="s">
        <v>34</v>
      </c>
      <c r="V27" s="23" t="s">
        <v>34</v>
      </c>
      <c r="W27" s="30">
        <v>0</v>
      </c>
      <c r="X27" s="24">
        <f t="shared" si="9"/>
        <v>0</v>
      </c>
      <c r="Y27" s="25">
        <f t="shared" si="10"/>
        <v>0</v>
      </c>
      <c r="Z27" s="30">
        <v>0</v>
      </c>
      <c r="AA27" s="14" t="s">
        <v>63</v>
      </c>
      <c r="AB27" s="27">
        <f t="shared" si="11"/>
        <v>-0.48</v>
      </c>
      <c r="AC27" s="28">
        <v>1.0416666666666667</v>
      </c>
      <c r="AD27" s="25">
        <f t="shared" si="12"/>
        <v>-13</v>
      </c>
      <c r="AE27" s="25">
        <v>-19.68</v>
      </c>
      <c r="AF27" s="25">
        <v>-81.679690909090894</v>
      </c>
      <c r="AG27" s="25">
        <v>0</v>
      </c>
    </row>
    <row r="28" spans="1:33" ht="15.75" customHeight="1">
      <c r="A28" s="14" t="s">
        <v>54</v>
      </c>
      <c r="B28" s="14" t="s">
        <v>1405</v>
      </c>
      <c r="C28" s="15">
        <f t="shared" si="4"/>
        <v>250.51588235294119</v>
      </c>
      <c r="D28" s="16">
        <v>17</v>
      </c>
      <c r="E28" s="16">
        <v>0</v>
      </c>
      <c r="F28" s="17">
        <v>4258.7700000000004</v>
      </c>
      <c r="G28" s="17">
        <v>0</v>
      </c>
      <c r="H28" s="18">
        <f t="shared" si="1"/>
        <v>0</v>
      </c>
      <c r="I28" s="18">
        <f t="shared" si="2"/>
        <v>0.44140438543181593</v>
      </c>
      <c r="J28" s="17">
        <f t="shared" si="5"/>
        <v>1879.839754545455</v>
      </c>
      <c r="K28" s="17">
        <f t="shared" si="3"/>
        <v>110.57880909090912</v>
      </c>
      <c r="L28" s="16">
        <v>190</v>
      </c>
      <c r="M28" s="19">
        <f t="shared" si="6"/>
        <v>8.9473684210526316E-2</v>
      </c>
      <c r="N28" s="16">
        <v>35</v>
      </c>
      <c r="O28" s="20">
        <f t="shared" ref="O28:P28" si="36">D28/7</f>
        <v>2.4285714285714284</v>
      </c>
      <c r="P28" s="20">
        <f t="shared" si="36"/>
        <v>0</v>
      </c>
      <c r="Q28" s="16">
        <f t="shared" si="8"/>
        <v>14</v>
      </c>
      <c r="R28" s="16"/>
      <c r="S28" s="21">
        <v>2.75</v>
      </c>
      <c r="T28" s="14">
        <v>300</v>
      </c>
      <c r="U28" s="22" t="s">
        <v>34</v>
      </c>
      <c r="V28" s="23" t="s">
        <v>34</v>
      </c>
      <c r="W28" s="30">
        <v>0</v>
      </c>
      <c r="X28" s="24">
        <f t="shared" si="9"/>
        <v>0</v>
      </c>
      <c r="Y28" s="25">
        <f t="shared" si="10"/>
        <v>0</v>
      </c>
      <c r="Z28" s="30">
        <v>0</v>
      </c>
      <c r="AA28" s="14" t="s">
        <v>63</v>
      </c>
      <c r="AB28" s="27">
        <f t="shared" si="11"/>
        <v>-0.48</v>
      </c>
      <c r="AC28" s="28">
        <v>1.0416666666666667</v>
      </c>
      <c r="AD28" s="25">
        <f t="shared" si="12"/>
        <v>-17</v>
      </c>
      <c r="AE28" s="25">
        <v>-19.68</v>
      </c>
      <c r="AF28" s="25">
        <v>-81.679690909090894</v>
      </c>
      <c r="AG28" s="25">
        <v>0</v>
      </c>
    </row>
    <row r="29" spans="1:33" ht="15.75" customHeight="1">
      <c r="A29" s="14" t="s">
        <v>55</v>
      </c>
      <c r="B29" s="14" t="s">
        <v>45</v>
      </c>
      <c r="C29" s="15">
        <f t="shared" si="4"/>
        <v>261.35874999999999</v>
      </c>
      <c r="D29" s="16">
        <v>24</v>
      </c>
      <c r="E29" s="16">
        <v>1</v>
      </c>
      <c r="F29" s="17">
        <v>6272.61</v>
      </c>
      <c r="G29" s="17">
        <v>0</v>
      </c>
      <c r="H29" s="18">
        <f t="shared" si="1"/>
        <v>0</v>
      </c>
      <c r="I29" s="18">
        <f t="shared" si="2"/>
        <v>0.45835559969164646</v>
      </c>
      <c r="J29" s="17">
        <f t="shared" si="5"/>
        <v>2875.0859181818182</v>
      </c>
      <c r="K29" s="17">
        <f t="shared" si="3"/>
        <v>119.79524659090909</v>
      </c>
      <c r="L29" s="16">
        <v>178</v>
      </c>
      <c r="M29" s="19">
        <f t="shared" si="6"/>
        <v>0.1348314606741573</v>
      </c>
      <c r="N29" s="16">
        <v>10</v>
      </c>
      <c r="O29" s="20">
        <f t="shared" ref="O29:P29" si="37">D29/7</f>
        <v>3.4285714285714284</v>
      </c>
      <c r="P29" s="20">
        <f t="shared" si="37"/>
        <v>0.14285714285714285</v>
      </c>
      <c r="Q29" s="16">
        <f t="shared" si="8"/>
        <v>2</v>
      </c>
      <c r="R29" s="16"/>
      <c r="S29" s="21">
        <v>8.2857142857142865</v>
      </c>
      <c r="T29" s="14">
        <v>300</v>
      </c>
      <c r="U29" s="22" t="s">
        <v>34</v>
      </c>
      <c r="V29" s="23" t="s">
        <v>34</v>
      </c>
      <c r="W29" s="30">
        <v>0</v>
      </c>
      <c r="X29" s="24">
        <f t="shared" si="9"/>
        <v>0</v>
      </c>
      <c r="Y29" s="25">
        <f t="shared" si="10"/>
        <v>0</v>
      </c>
      <c r="Z29" s="30">
        <v>0</v>
      </c>
      <c r="AA29" s="14" t="s">
        <v>63</v>
      </c>
      <c r="AB29" s="27">
        <f t="shared" si="11"/>
        <v>-0.48</v>
      </c>
      <c r="AC29" s="28">
        <v>1.0416666666666667</v>
      </c>
      <c r="AD29" s="25">
        <f t="shared" si="12"/>
        <v>-24</v>
      </c>
      <c r="AE29" s="25">
        <v>-19.68</v>
      </c>
      <c r="AF29" s="25">
        <v>-81.679690909090894</v>
      </c>
      <c r="AG29" s="25">
        <v>0</v>
      </c>
    </row>
    <row r="30" spans="1:33" ht="15.75" customHeight="1">
      <c r="A30" s="14" t="s">
        <v>57</v>
      </c>
      <c r="B30" s="14" t="s">
        <v>45</v>
      </c>
      <c r="C30" s="15">
        <f t="shared" si="4"/>
        <v>262.28000000000003</v>
      </c>
      <c r="D30" s="16">
        <v>5</v>
      </c>
      <c r="E30" s="16">
        <v>0</v>
      </c>
      <c r="F30" s="17">
        <v>1311.4</v>
      </c>
      <c r="G30" s="17">
        <v>0</v>
      </c>
      <c r="H30" s="18">
        <f t="shared" si="1"/>
        <v>0</v>
      </c>
      <c r="I30" s="18">
        <f t="shared" si="2"/>
        <v>0.42517480204361791</v>
      </c>
      <c r="J30" s="17">
        <f t="shared" si="5"/>
        <v>557.57423540000059</v>
      </c>
      <c r="K30" s="17">
        <f t="shared" si="3"/>
        <v>111.51484708000012</v>
      </c>
      <c r="L30" s="16">
        <v>123</v>
      </c>
      <c r="M30" s="19">
        <f t="shared" si="6"/>
        <v>4.065040650406504E-2</v>
      </c>
      <c r="N30" s="16">
        <v>4</v>
      </c>
      <c r="O30" s="20">
        <f t="shared" ref="O30:P30" si="38">D30/7</f>
        <v>0.7142857142857143</v>
      </c>
      <c r="P30" s="20">
        <f t="shared" si="38"/>
        <v>0</v>
      </c>
      <c r="Q30" s="16">
        <f t="shared" si="8"/>
        <v>5</v>
      </c>
      <c r="R30" s="16"/>
      <c r="S30" s="21">
        <v>3.2359550561797752</v>
      </c>
      <c r="T30" s="14">
        <v>300</v>
      </c>
      <c r="U30" s="22" t="s">
        <v>34</v>
      </c>
      <c r="V30" s="23" t="s">
        <v>34</v>
      </c>
      <c r="W30" s="30">
        <v>0</v>
      </c>
      <c r="X30" s="24">
        <f t="shared" si="9"/>
        <v>0</v>
      </c>
      <c r="Y30" s="25">
        <f t="shared" si="10"/>
        <v>0</v>
      </c>
      <c r="Z30" s="30">
        <v>0</v>
      </c>
      <c r="AA30" s="14" t="s">
        <v>63</v>
      </c>
      <c r="AB30" s="27">
        <f t="shared" si="11"/>
        <v>-0.48</v>
      </c>
      <c r="AC30" s="28">
        <v>1.0416666666666667</v>
      </c>
      <c r="AD30" s="25">
        <f t="shared" si="12"/>
        <v>-5</v>
      </c>
      <c r="AE30" s="25">
        <v>-19.68</v>
      </c>
      <c r="AF30" s="25">
        <v>-90.743152919999901</v>
      </c>
      <c r="AG30" s="25">
        <v>0</v>
      </c>
    </row>
    <row r="31" spans="1:33" ht="15.75" customHeight="1">
      <c r="A31" s="14" t="s">
        <v>58</v>
      </c>
      <c r="B31" s="14" t="s">
        <v>45</v>
      </c>
      <c r="C31" s="15" t="str">
        <f t="shared" si="4"/>
        <v xml:space="preserve"> - </v>
      </c>
      <c r="D31" s="16">
        <v>0</v>
      </c>
      <c r="E31" s="16">
        <v>0</v>
      </c>
      <c r="F31" s="17">
        <v>0</v>
      </c>
      <c r="G31" s="17">
        <v>0</v>
      </c>
      <c r="H31" s="18" t="e">
        <f t="shared" si="1"/>
        <v>#DIV/0!</v>
      </c>
      <c r="I31" s="18" t="e">
        <f t="shared" si="2"/>
        <v>#DIV/0!</v>
      </c>
      <c r="J31" s="17">
        <f t="shared" si="5"/>
        <v>0</v>
      </c>
      <c r="K31" s="17" t="e">
        <f t="shared" si="3"/>
        <v>#DIV/0!</v>
      </c>
      <c r="L31" s="16">
        <v>0</v>
      </c>
      <c r="M31" s="19" t="str">
        <f t="shared" si="6"/>
        <v>-</v>
      </c>
      <c r="N31" s="16">
        <v>2</v>
      </c>
      <c r="O31" s="20">
        <f t="shared" ref="O31:P31" si="39">D31/7</f>
        <v>0</v>
      </c>
      <c r="P31" s="20">
        <f t="shared" si="39"/>
        <v>0</v>
      </c>
      <c r="Q31" s="16" t="e">
        <f t="shared" si="8"/>
        <v>#DIV/0!</v>
      </c>
      <c r="R31" s="16"/>
      <c r="S31" s="21">
        <v>3.3953488372092999</v>
      </c>
      <c r="T31" s="14">
        <v>300</v>
      </c>
      <c r="U31" s="22" t="s">
        <v>34</v>
      </c>
      <c r="V31" s="23" t="s">
        <v>431</v>
      </c>
      <c r="W31" s="30">
        <v>0</v>
      </c>
      <c r="X31" s="24">
        <f t="shared" si="9"/>
        <v>0</v>
      </c>
      <c r="Y31" s="25">
        <f t="shared" si="10"/>
        <v>0</v>
      </c>
      <c r="Z31" s="30">
        <v>0</v>
      </c>
      <c r="AA31" s="14" t="s">
        <v>63</v>
      </c>
      <c r="AB31" s="27">
        <f t="shared" si="11"/>
        <v>-0.48</v>
      </c>
      <c r="AC31" s="28">
        <v>1.0416666666666667</v>
      </c>
      <c r="AD31" s="25">
        <f t="shared" si="12"/>
        <v>0</v>
      </c>
      <c r="AE31" s="25">
        <v>-19.68</v>
      </c>
      <c r="AF31" s="25">
        <v>-90.743152919999986</v>
      </c>
      <c r="AG31" s="25">
        <v>0</v>
      </c>
    </row>
    <row r="32" spans="1:33" ht="15.75" customHeight="1">
      <c r="A32" s="14" t="s">
        <v>60</v>
      </c>
      <c r="B32" s="14"/>
      <c r="C32" s="15" t="str">
        <f t="shared" si="4"/>
        <v xml:space="preserve"> - </v>
      </c>
      <c r="D32" s="16">
        <v>0</v>
      </c>
      <c r="E32" s="16">
        <v>0</v>
      </c>
      <c r="F32" s="17">
        <v>0</v>
      </c>
      <c r="G32" s="17">
        <v>0</v>
      </c>
      <c r="H32" s="18" t="e">
        <f t="shared" si="1"/>
        <v>#DIV/0!</v>
      </c>
      <c r="I32" s="18" t="e">
        <f t="shared" si="2"/>
        <v>#DIV/0!</v>
      </c>
      <c r="J32" s="17">
        <f t="shared" si="5"/>
        <v>0</v>
      </c>
      <c r="K32" s="17" t="e">
        <f t="shared" si="3"/>
        <v>#DIV/0!</v>
      </c>
      <c r="L32" s="16">
        <v>0</v>
      </c>
      <c r="M32" s="19" t="str">
        <f t="shared" si="6"/>
        <v>-</v>
      </c>
      <c r="N32" s="16">
        <v>2</v>
      </c>
      <c r="O32" s="20">
        <f t="shared" ref="O32:P32" si="40">D32/7</f>
        <v>0</v>
      </c>
      <c r="P32" s="20">
        <f t="shared" si="40"/>
        <v>0</v>
      </c>
      <c r="Q32" s="16" t="e">
        <f t="shared" si="8"/>
        <v>#DIV/0!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0</v>
      </c>
      <c r="T32" s="14">
        <f ca="1">IFERROR(__xludf.DUMMYFUNCTION("IFERROR(VLOOKUP($B$2,IMPORTRANGE(""https://docs.google.com/spreadsheets/d/1KiWZV1ko8G7lnRucBRBd29jj3Be6ltMfljMDqzOkQmI/edit#gid=1381463014"",""Lookup!A:D""),4,FALSE),"""")"),300)</f>
        <v>300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23" t="str">
        <f ca="1">IFERROR(__xludf.DUMMYFUNCTION("IFERROR(VLOOKUP($B$2,IMPORTRANGE(""https://docs.google.com/spreadsheets/d/1KiWZV1ko8G7lnRucBRBd29jj3Be6ltMfljMDqzOkQmI/edit#gid=1381463014"",""Lookup!A:D""),2,FALSE),"""")"),"No Transit, But 300 At Factory 50-75 days from Earliest Arrival")</f>
        <v>No Transit, But 300 At Factory 50-75 days from Earliest Arrival</v>
      </c>
      <c r="W32" s="30">
        <v>0</v>
      </c>
      <c r="X32" s="24">
        <f t="shared" si="9"/>
        <v>0</v>
      </c>
      <c r="Y32" s="25">
        <f t="shared" si="10"/>
        <v>0</v>
      </c>
      <c r="Z32" s="30">
        <v>0</v>
      </c>
      <c r="AA32" s="14" t="s">
        <v>63</v>
      </c>
      <c r="AB32" s="27">
        <f t="shared" si="11"/>
        <v>-0.48</v>
      </c>
      <c r="AC32" s="28">
        <v>1.0416666666666667</v>
      </c>
      <c r="AD32" s="25">
        <f t="shared" si="12"/>
        <v>0</v>
      </c>
      <c r="AE32" s="25">
        <v>-19.68</v>
      </c>
      <c r="AF32" s="25">
        <v>-90.743152919999901</v>
      </c>
      <c r="AG32" s="25">
        <v>0</v>
      </c>
    </row>
    <row r="33" spans="1:33" ht="15.75" customHeight="1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16"/>
      <c r="S33" s="21"/>
      <c r="T33" s="31"/>
      <c r="U33" s="36"/>
      <c r="V33" s="1"/>
      <c r="W33" s="31"/>
      <c r="X33" s="31"/>
      <c r="Y33" s="31"/>
      <c r="Z33" s="31"/>
      <c r="AA33" s="2"/>
      <c r="AB33" s="31"/>
      <c r="AC33" s="31"/>
      <c r="AD33" s="31"/>
      <c r="AE33" s="37"/>
      <c r="AF33" s="37"/>
      <c r="AG33" s="37"/>
    </row>
    <row r="34" spans="1:33" ht="15.75" customHeight="1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6"/>
      <c r="V34" s="1"/>
      <c r="W34" s="31"/>
      <c r="X34" s="31"/>
      <c r="Y34" s="31"/>
      <c r="Z34" s="31"/>
      <c r="AA34" s="2"/>
      <c r="AB34" s="31"/>
      <c r="AC34" s="31"/>
      <c r="AD34" s="31"/>
      <c r="AE34" s="37"/>
      <c r="AF34" s="37"/>
      <c r="AG34" s="37"/>
    </row>
    <row r="35" spans="1:33" ht="15.75" customHeight="1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6"/>
      <c r="V35" s="1"/>
      <c r="W35" s="31"/>
      <c r="X35" s="31"/>
      <c r="Y35" s="31"/>
      <c r="Z35" s="31"/>
      <c r="AA35" s="2"/>
      <c r="AB35" s="31"/>
      <c r="AC35" s="31"/>
      <c r="AD35" s="31"/>
      <c r="AE35" s="37"/>
      <c r="AF35" s="37"/>
      <c r="AG35" s="37"/>
    </row>
    <row r="36" spans="1:33" ht="15.75" customHeight="1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6"/>
      <c r="V36" s="1"/>
      <c r="W36" s="31"/>
      <c r="X36" s="31"/>
      <c r="Y36" s="31"/>
      <c r="Z36" s="31"/>
      <c r="AA36" s="2"/>
      <c r="AB36" s="31"/>
      <c r="AC36" s="31"/>
      <c r="AD36" s="31"/>
      <c r="AE36" s="37"/>
      <c r="AF36" s="37"/>
      <c r="AG36" s="37"/>
    </row>
    <row r="37" spans="1:33" ht="15.75" customHeight="1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6"/>
      <c r="V37" s="1"/>
      <c r="W37" s="31"/>
      <c r="X37" s="31"/>
      <c r="Y37" s="31"/>
      <c r="Z37" s="31"/>
      <c r="AA37" s="2"/>
      <c r="AB37" s="31"/>
      <c r="AC37" s="31"/>
      <c r="AD37" s="31"/>
      <c r="AE37" s="37"/>
      <c r="AF37" s="37"/>
      <c r="AG37" s="37"/>
    </row>
    <row r="38" spans="1:33" ht="15.75" customHeight="1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6"/>
      <c r="V38" s="1"/>
      <c r="W38" s="31"/>
      <c r="X38" s="31"/>
      <c r="Y38" s="31"/>
      <c r="Z38" s="31"/>
      <c r="AA38" s="2"/>
      <c r="AB38" s="31"/>
      <c r="AC38" s="31"/>
      <c r="AD38" s="31"/>
      <c r="AE38" s="37"/>
      <c r="AF38" s="37"/>
      <c r="AG38" s="37"/>
    </row>
    <row r="39" spans="1:33" ht="15.75" customHeight="1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6"/>
      <c r="V39" s="1"/>
      <c r="W39" s="31"/>
      <c r="X39" s="31"/>
      <c r="Y39" s="31"/>
      <c r="Z39" s="31"/>
      <c r="AA39" s="2"/>
      <c r="AB39" s="31"/>
      <c r="AC39" s="31"/>
      <c r="AD39" s="31"/>
      <c r="AE39" s="37"/>
      <c r="AF39" s="37"/>
      <c r="AG39" s="37"/>
    </row>
    <row r="40" spans="1:33" ht="15.75" customHeight="1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6"/>
      <c r="V40" s="1"/>
      <c r="W40" s="31"/>
      <c r="X40" s="31"/>
      <c r="Y40" s="31"/>
      <c r="Z40" s="31"/>
      <c r="AA40" s="2"/>
      <c r="AB40" s="31"/>
      <c r="AC40" s="31"/>
      <c r="AD40" s="31"/>
      <c r="AE40" s="37"/>
      <c r="AF40" s="37"/>
      <c r="AG40" s="37"/>
    </row>
    <row r="41" spans="1:33" ht="15.75" customHeight="1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6"/>
      <c r="V41" s="1"/>
      <c r="W41" s="31"/>
      <c r="X41" s="31"/>
      <c r="Y41" s="31"/>
      <c r="Z41" s="31"/>
      <c r="AA41" s="2"/>
      <c r="AB41" s="31"/>
      <c r="AC41" s="31"/>
      <c r="AD41" s="31"/>
      <c r="AE41" s="37"/>
      <c r="AF41" s="37"/>
      <c r="AG41" s="37"/>
    </row>
    <row r="42" spans="1:33" ht="15.75" customHeight="1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6"/>
      <c r="V42" s="1"/>
      <c r="W42" s="31"/>
      <c r="X42" s="31"/>
      <c r="Y42" s="31"/>
      <c r="Z42" s="31"/>
      <c r="AA42" s="2"/>
      <c r="AB42" s="31"/>
      <c r="AC42" s="31"/>
      <c r="AD42" s="31"/>
      <c r="AE42" s="37"/>
      <c r="AF42" s="37"/>
      <c r="AG42" s="37"/>
    </row>
    <row r="43" spans="1:33" ht="15.75" customHeight="1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6"/>
      <c r="V43" s="1"/>
      <c r="W43" s="31"/>
      <c r="X43" s="31"/>
      <c r="Y43" s="31"/>
      <c r="Z43" s="31"/>
      <c r="AA43" s="2"/>
      <c r="AB43" s="31"/>
      <c r="AC43" s="31"/>
      <c r="AD43" s="31"/>
      <c r="AE43" s="37"/>
      <c r="AF43" s="37"/>
      <c r="AG43" s="37"/>
    </row>
    <row r="44" spans="1:33" ht="15.75" customHeight="1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6"/>
      <c r="V44" s="1"/>
      <c r="W44" s="31"/>
      <c r="X44" s="31"/>
      <c r="Y44" s="31"/>
      <c r="Z44" s="31"/>
      <c r="AA44" s="2"/>
      <c r="AB44" s="31"/>
      <c r="AC44" s="31"/>
      <c r="AD44" s="31"/>
      <c r="AE44" s="37"/>
      <c r="AF44" s="37"/>
      <c r="AG44" s="37"/>
    </row>
    <row r="45" spans="1:33" ht="15.75" customHeight="1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6"/>
      <c r="V45" s="1"/>
      <c r="W45" s="31"/>
      <c r="X45" s="31"/>
      <c r="Y45" s="31"/>
      <c r="Z45" s="31"/>
      <c r="AA45" s="2"/>
      <c r="AB45" s="31"/>
      <c r="AC45" s="31"/>
      <c r="AD45" s="31"/>
      <c r="AE45" s="37"/>
      <c r="AF45" s="37"/>
      <c r="AG45" s="37"/>
    </row>
    <row r="46" spans="1:33" ht="15.75" customHeight="1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6"/>
      <c r="V46" s="1"/>
      <c r="W46" s="31"/>
      <c r="X46" s="31"/>
      <c r="Y46" s="31"/>
      <c r="Z46" s="31"/>
      <c r="AA46" s="2"/>
      <c r="AB46" s="31"/>
      <c r="AC46" s="31"/>
      <c r="AD46" s="31"/>
      <c r="AE46" s="37"/>
      <c r="AF46" s="37"/>
      <c r="AG46" s="37"/>
    </row>
    <row r="47" spans="1:33" ht="15.75" customHeight="1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6"/>
      <c r="V47" s="1"/>
      <c r="W47" s="31"/>
      <c r="X47" s="31"/>
      <c r="Y47" s="31"/>
      <c r="Z47" s="31"/>
      <c r="AA47" s="2"/>
      <c r="AB47" s="31"/>
      <c r="AC47" s="31"/>
      <c r="AD47" s="31"/>
      <c r="AE47" s="37"/>
      <c r="AF47" s="37"/>
      <c r="AG47" s="37"/>
    </row>
    <row r="48" spans="1:33" ht="15.75" customHeight="1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6"/>
      <c r="V48" s="1"/>
      <c r="W48" s="31"/>
      <c r="X48" s="31"/>
      <c r="Y48" s="31"/>
      <c r="Z48" s="31"/>
      <c r="AA48" s="2"/>
      <c r="AB48" s="31"/>
      <c r="AC48" s="31"/>
      <c r="AD48" s="31"/>
      <c r="AE48" s="37"/>
      <c r="AF48" s="37"/>
      <c r="AG48" s="37"/>
    </row>
    <row r="49" spans="1:33" ht="15.75" customHeight="1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6"/>
      <c r="V49" s="1"/>
      <c r="W49" s="31"/>
      <c r="X49" s="31"/>
      <c r="Y49" s="31"/>
      <c r="Z49" s="31"/>
      <c r="AA49" s="2"/>
      <c r="AB49" s="31"/>
      <c r="AC49" s="31"/>
      <c r="AD49" s="31"/>
      <c r="AE49" s="37"/>
      <c r="AF49" s="37"/>
      <c r="AG49" s="37"/>
    </row>
    <row r="50" spans="1:33" ht="15.75" customHeight="1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6"/>
      <c r="V50" s="1"/>
      <c r="W50" s="31"/>
      <c r="X50" s="31"/>
      <c r="Y50" s="31"/>
      <c r="Z50" s="31"/>
      <c r="AA50" s="2"/>
      <c r="AB50" s="31"/>
      <c r="AC50" s="31"/>
      <c r="AD50" s="31"/>
      <c r="AE50" s="37"/>
      <c r="AF50" s="37"/>
      <c r="AG50" s="37"/>
    </row>
    <row r="51" spans="1:33" ht="15.75" customHeight="1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6"/>
      <c r="V51" s="1"/>
      <c r="W51" s="31"/>
      <c r="X51" s="31"/>
      <c r="Y51" s="31"/>
      <c r="Z51" s="31"/>
      <c r="AA51" s="2"/>
      <c r="AB51" s="31"/>
      <c r="AC51" s="31"/>
      <c r="AD51" s="31"/>
      <c r="AE51" s="37"/>
      <c r="AF51" s="37"/>
      <c r="AG51" s="37"/>
    </row>
    <row r="52" spans="1:33" ht="15.75" customHeight="1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6"/>
      <c r="V52" s="1"/>
      <c r="W52" s="31"/>
      <c r="X52" s="31"/>
      <c r="Y52" s="31"/>
      <c r="Z52" s="31"/>
      <c r="AA52" s="2"/>
      <c r="AB52" s="31"/>
      <c r="AC52" s="31"/>
      <c r="AD52" s="31"/>
      <c r="AE52" s="37"/>
      <c r="AF52" s="37"/>
      <c r="AG52" s="37"/>
    </row>
    <row r="53" spans="1:33" ht="15.75" customHeight="1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6"/>
      <c r="V53" s="1"/>
      <c r="W53" s="31"/>
      <c r="X53" s="31"/>
      <c r="Y53" s="31"/>
      <c r="Z53" s="31"/>
      <c r="AA53" s="2"/>
      <c r="AB53" s="31"/>
      <c r="AC53" s="31"/>
      <c r="AD53" s="31"/>
      <c r="AE53" s="37"/>
      <c r="AF53" s="37"/>
      <c r="AG53" s="37"/>
    </row>
    <row r="54" spans="1:33" ht="15.75" customHeight="1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6"/>
      <c r="V54" s="1"/>
      <c r="W54" s="31"/>
      <c r="X54" s="31"/>
      <c r="Y54" s="31"/>
      <c r="Z54" s="31"/>
      <c r="AA54" s="2"/>
      <c r="AB54" s="31"/>
      <c r="AC54" s="31"/>
      <c r="AD54" s="31"/>
      <c r="AE54" s="37"/>
      <c r="AF54" s="37"/>
      <c r="AG54" s="37"/>
    </row>
    <row r="55" spans="1:33" ht="15.75" customHeight="1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6"/>
      <c r="V55" s="1"/>
      <c r="W55" s="31"/>
      <c r="X55" s="31"/>
      <c r="Y55" s="31"/>
      <c r="Z55" s="31"/>
      <c r="AA55" s="2"/>
      <c r="AB55" s="31"/>
      <c r="AC55" s="31"/>
      <c r="AD55" s="31"/>
      <c r="AE55" s="37"/>
      <c r="AF55" s="37"/>
      <c r="AG55" s="37"/>
    </row>
    <row r="56" spans="1:33" ht="15.75" customHeight="1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6"/>
      <c r="V56" s="1"/>
      <c r="W56" s="31"/>
      <c r="X56" s="31"/>
      <c r="Y56" s="31"/>
      <c r="Z56" s="31"/>
      <c r="AA56" s="2"/>
      <c r="AB56" s="31"/>
      <c r="AC56" s="31"/>
      <c r="AD56" s="31"/>
      <c r="AE56" s="37"/>
      <c r="AF56" s="37"/>
      <c r="AG56" s="37"/>
    </row>
    <row r="57" spans="1:33" ht="15.75" customHeight="1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6"/>
      <c r="V57" s="1"/>
      <c r="W57" s="31"/>
      <c r="X57" s="31"/>
      <c r="Y57" s="31"/>
      <c r="Z57" s="31"/>
      <c r="AA57" s="2"/>
      <c r="AB57" s="31"/>
      <c r="AC57" s="31"/>
      <c r="AD57" s="31"/>
      <c r="AE57" s="37"/>
      <c r="AF57" s="37"/>
      <c r="AG57" s="37"/>
    </row>
    <row r="58" spans="1:33" ht="15.75" customHeight="1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6"/>
      <c r="V58" s="1"/>
      <c r="W58" s="31"/>
      <c r="X58" s="31"/>
      <c r="Y58" s="31"/>
      <c r="Z58" s="31"/>
      <c r="AA58" s="2"/>
      <c r="AB58" s="31"/>
      <c r="AC58" s="31"/>
      <c r="AD58" s="31"/>
      <c r="AE58" s="37"/>
      <c r="AF58" s="37"/>
      <c r="AG58" s="37"/>
    </row>
    <row r="59" spans="1:33" ht="15.75" customHeight="1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6"/>
      <c r="V59" s="1"/>
      <c r="W59" s="31"/>
      <c r="X59" s="31"/>
      <c r="Y59" s="31"/>
      <c r="Z59" s="31"/>
      <c r="AA59" s="2"/>
      <c r="AB59" s="31"/>
      <c r="AC59" s="31"/>
      <c r="AD59" s="31"/>
      <c r="AE59" s="37"/>
      <c r="AF59" s="37"/>
      <c r="AG59" s="37"/>
    </row>
    <row r="60" spans="1:33" ht="15.75" customHeight="1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6"/>
      <c r="V60" s="1"/>
      <c r="W60" s="31"/>
      <c r="X60" s="31"/>
      <c r="Y60" s="31"/>
      <c r="Z60" s="31"/>
      <c r="AA60" s="2"/>
      <c r="AB60" s="31"/>
      <c r="AC60" s="31"/>
      <c r="AD60" s="31"/>
      <c r="AE60" s="37"/>
      <c r="AF60" s="37"/>
      <c r="AG60" s="37"/>
    </row>
    <row r="61" spans="1:33" ht="15.75" customHeight="1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6"/>
      <c r="V61" s="1"/>
      <c r="W61" s="31"/>
      <c r="X61" s="31"/>
      <c r="Y61" s="31"/>
      <c r="Z61" s="31"/>
      <c r="AA61" s="2"/>
      <c r="AB61" s="31"/>
      <c r="AC61" s="31"/>
      <c r="AD61" s="31"/>
      <c r="AE61" s="37"/>
      <c r="AF61" s="37"/>
      <c r="AG61" s="37"/>
    </row>
    <row r="62" spans="1:33" ht="15.75" customHeight="1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6"/>
      <c r="V62" s="1"/>
      <c r="W62" s="31"/>
      <c r="X62" s="31"/>
      <c r="Y62" s="31"/>
      <c r="Z62" s="31"/>
      <c r="AA62" s="2"/>
      <c r="AB62" s="31"/>
      <c r="AC62" s="31"/>
      <c r="AD62" s="31"/>
      <c r="AE62" s="37"/>
      <c r="AF62" s="37"/>
      <c r="AG62" s="37"/>
    </row>
    <row r="63" spans="1:33" ht="15.75" customHeight="1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6"/>
      <c r="V63" s="1"/>
      <c r="W63" s="31"/>
      <c r="X63" s="31"/>
      <c r="Y63" s="31"/>
      <c r="Z63" s="31"/>
      <c r="AA63" s="2"/>
      <c r="AB63" s="31"/>
      <c r="AC63" s="31"/>
      <c r="AD63" s="31"/>
      <c r="AE63" s="37"/>
      <c r="AF63" s="37"/>
      <c r="AG63" s="37"/>
    </row>
    <row r="64" spans="1:33" ht="15.75" customHeight="1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6"/>
      <c r="V64" s="1"/>
      <c r="W64" s="31"/>
      <c r="X64" s="31"/>
      <c r="Y64" s="31"/>
      <c r="Z64" s="31"/>
      <c r="AA64" s="2"/>
      <c r="AB64" s="31"/>
      <c r="AC64" s="31"/>
      <c r="AD64" s="31"/>
      <c r="AE64" s="37"/>
      <c r="AF64" s="37"/>
      <c r="AG64" s="37"/>
    </row>
    <row r="65" spans="1:33" ht="15.75" customHeight="1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6"/>
      <c r="V65" s="1"/>
      <c r="W65" s="31"/>
      <c r="X65" s="31"/>
      <c r="Y65" s="31"/>
      <c r="Z65" s="31"/>
      <c r="AA65" s="2"/>
      <c r="AB65" s="31"/>
      <c r="AC65" s="31"/>
      <c r="AD65" s="31"/>
      <c r="AE65" s="37"/>
      <c r="AF65" s="37"/>
      <c r="AG65" s="37"/>
    </row>
    <row r="66" spans="1:33" ht="15.75" customHeight="1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6"/>
      <c r="V66" s="1"/>
      <c r="W66" s="31"/>
      <c r="X66" s="31"/>
      <c r="Y66" s="31"/>
      <c r="Z66" s="31"/>
      <c r="AA66" s="2"/>
      <c r="AB66" s="31"/>
      <c r="AC66" s="31"/>
      <c r="AD66" s="31"/>
      <c r="AE66" s="37"/>
      <c r="AF66" s="37"/>
      <c r="AG66" s="37"/>
    </row>
    <row r="67" spans="1:33" ht="15.75" customHeight="1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6"/>
      <c r="V67" s="1"/>
      <c r="W67" s="31"/>
      <c r="X67" s="31"/>
      <c r="Y67" s="31"/>
      <c r="Z67" s="31"/>
      <c r="AA67" s="2"/>
      <c r="AB67" s="31"/>
      <c r="AC67" s="31"/>
      <c r="AD67" s="31"/>
      <c r="AE67" s="37"/>
      <c r="AF67" s="37"/>
      <c r="AG67" s="37"/>
    </row>
    <row r="68" spans="1:33" ht="15.75" customHeight="1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6"/>
      <c r="V68" s="1"/>
      <c r="W68" s="31"/>
      <c r="X68" s="31"/>
      <c r="Y68" s="31"/>
      <c r="Z68" s="31"/>
      <c r="AA68" s="2"/>
      <c r="AB68" s="31"/>
      <c r="AC68" s="31"/>
      <c r="AD68" s="31"/>
      <c r="AE68" s="37"/>
      <c r="AF68" s="37"/>
      <c r="AG68" s="37"/>
    </row>
    <row r="69" spans="1:33" ht="15.75" customHeight="1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6"/>
      <c r="V69" s="1"/>
      <c r="W69" s="31"/>
      <c r="X69" s="31"/>
      <c r="Y69" s="31"/>
      <c r="Z69" s="31"/>
      <c r="AA69" s="2"/>
      <c r="AB69" s="31"/>
      <c r="AC69" s="31"/>
      <c r="AD69" s="31"/>
      <c r="AE69" s="37"/>
      <c r="AF69" s="37"/>
      <c r="AG69" s="37"/>
    </row>
    <row r="70" spans="1:33" ht="15.75" customHeight="1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6"/>
      <c r="V70" s="1"/>
      <c r="W70" s="31"/>
      <c r="X70" s="31"/>
      <c r="Y70" s="31"/>
      <c r="Z70" s="31"/>
      <c r="AA70" s="2"/>
      <c r="AB70" s="31"/>
      <c r="AC70" s="31"/>
      <c r="AD70" s="31"/>
      <c r="AE70" s="37"/>
      <c r="AF70" s="37"/>
      <c r="AG70" s="37"/>
    </row>
    <row r="71" spans="1:33" ht="15.75" customHeight="1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6"/>
      <c r="V71" s="1"/>
      <c r="W71" s="31"/>
      <c r="X71" s="31"/>
      <c r="Y71" s="31"/>
      <c r="Z71" s="31"/>
      <c r="AA71" s="2"/>
      <c r="AB71" s="31"/>
      <c r="AC71" s="31"/>
      <c r="AD71" s="31"/>
      <c r="AE71" s="37"/>
      <c r="AF71" s="37"/>
      <c r="AG71" s="37"/>
    </row>
    <row r="72" spans="1:33" ht="15.75" customHeight="1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6"/>
      <c r="V72" s="1"/>
      <c r="W72" s="31"/>
      <c r="X72" s="31"/>
      <c r="Y72" s="31"/>
      <c r="Z72" s="31"/>
      <c r="AA72" s="2"/>
      <c r="AB72" s="31"/>
      <c r="AC72" s="31"/>
      <c r="AD72" s="31"/>
      <c r="AE72" s="37"/>
      <c r="AF72" s="37"/>
      <c r="AG72" s="37"/>
    </row>
    <row r="73" spans="1:33" ht="15.75" customHeight="1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6"/>
      <c r="V73" s="1"/>
      <c r="W73" s="31"/>
      <c r="X73" s="31"/>
      <c r="Y73" s="31"/>
      <c r="Z73" s="31"/>
      <c r="AA73" s="2"/>
      <c r="AB73" s="31"/>
      <c r="AC73" s="31"/>
      <c r="AD73" s="31"/>
      <c r="AE73" s="37"/>
      <c r="AF73" s="37"/>
      <c r="AG73" s="37"/>
    </row>
    <row r="74" spans="1:33" ht="15.75" customHeight="1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6"/>
      <c r="V74" s="1"/>
      <c r="W74" s="31"/>
      <c r="X74" s="31"/>
      <c r="Y74" s="31"/>
      <c r="Z74" s="31"/>
      <c r="AA74" s="2"/>
      <c r="AB74" s="31"/>
      <c r="AC74" s="31"/>
      <c r="AD74" s="31"/>
      <c r="AE74" s="37"/>
      <c r="AF74" s="37"/>
      <c r="AG74" s="37"/>
    </row>
    <row r="75" spans="1:33" ht="15.75" customHeight="1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6"/>
      <c r="V75" s="1"/>
      <c r="W75" s="31"/>
      <c r="X75" s="31"/>
      <c r="Y75" s="31"/>
      <c r="Z75" s="31"/>
      <c r="AA75" s="2"/>
      <c r="AB75" s="31"/>
      <c r="AC75" s="31"/>
      <c r="AD75" s="31"/>
      <c r="AE75" s="37"/>
      <c r="AF75" s="37"/>
      <c r="AG75" s="37"/>
    </row>
    <row r="76" spans="1:33" ht="15.75" customHeight="1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6"/>
      <c r="V76" s="1"/>
      <c r="W76" s="31"/>
      <c r="X76" s="31"/>
      <c r="Y76" s="31"/>
      <c r="Z76" s="31"/>
      <c r="AA76" s="2"/>
      <c r="AB76" s="31"/>
      <c r="AC76" s="31"/>
      <c r="AD76" s="31"/>
      <c r="AE76" s="37"/>
      <c r="AF76" s="37"/>
      <c r="AG76" s="37"/>
    </row>
    <row r="77" spans="1:33" ht="15.75" customHeight="1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6"/>
      <c r="V77" s="1"/>
      <c r="W77" s="31"/>
      <c r="X77" s="31"/>
      <c r="Y77" s="31"/>
      <c r="Z77" s="31"/>
      <c r="AA77" s="2"/>
      <c r="AB77" s="31"/>
      <c r="AC77" s="31"/>
      <c r="AD77" s="31"/>
      <c r="AE77" s="37"/>
      <c r="AF77" s="37"/>
      <c r="AG77" s="37"/>
    </row>
    <row r="78" spans="1:33" ht="15.75" customHeight="1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6"/>
      <c r="V78" s="1"/>
      <c r="W78" s="31"/>
      <c r="X78" s="31"/>
      <c r="Y78" s="31"/>
      <c r="Z78" s="31"/>
      <c r="AA78" s="2"/>
      <c r="AB78" s="31"/>
      <c r="AC78" s="31"/>
      <c r="AD78" s="31"/>
      <c r="AE78" s="37"/>
      <c r="AF78" s="37"/>
      <c r="AG78" s="37"/>
    </row>
    <row r="79" spans="1:33" ht="15.75" customHeight="1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6"/>
      <c r="V79" s="1"/>
      <c r="W79" s="31"/>
      <c r="X79" s="31"/>
      <c r="Y79" s="31"/>
      <c r="Z79" s="31"/>
      <c r="AA79" s="2"/>
      <c r="AB79" s="31"/>
      <c r="AC79" s="31"/>
      <c r="AD79" s="31"/>
      <c r="AE79" s="37"/>
      <c r="AF79" s="37"/>
      <c r="AG79" s="37"/>
    </row>
    <row r="80" spans="1:33" ht="15.75" customHeight="1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6"/>
      <c r="V80" s="1"/>
      <c r="W80" s="31"/>
      <c r="X80" s="31"/>
      <c r="Y80" s="31"/>
      <c r="Z80" s="31"/>
      <c r="AA80" s="2"/>
      <c r="AB80" s="31"/>
      <c r="AC80" s="31"/>
      <c r="AD80" s="31"/>
      <c r="AE80" s="37"/>
      <c r="AF80" s="37"/>
      <c r="AG80" s="37"/>
    </row>
    <row r="81" spans="1:33" ht="15.75" customHeight="1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6"/>
      <c r="V81" s="1"/>
      <c r="W81" s="31"/>
      <c r="X81" s="31"/>
      <c r="Y81" s="31"/>
      <c r="Z81" s="31"/>
      <c r="AA81" s="2"/>
      <c r="AB81" s="31"/>
      <c r="AC81" s="31"/>
      <c r="AD81" s="31"/>
      <c r="AE81" s="37"/>
      <c r="AF81" s="37"/>
      <c r="AG81" s="37"/>
    </row>
    <row r="82" spans="1:33" ht="15.75" customHeight="1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6"/>
      <c r="V82" s="1"/>
      <c r="W82" s="31"/>
      <c r="X82" s="31"/>
      <c r="Y82" s="31"/>
      <c r="Z82" s="31"/>
      <c r="AA82" s="2"/>
      <c r="AB82" s="31"/>
      <c r="AC82" s="31"/>
      <c r="AD82" s="31"/>
      <c r="AE82" s="37"/>
      <c r="AF82" s="37"/>
      <c r="AG82" s="37"/>
    </row>
    <row r="83" spans="1:33" ht="15.75" customHeight="1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6"/>
      <c r="V83" s="1"/>
      <c r="W83" s="31"/>
      <c r="X83" s="31"/>
      <c r="Y83" s="31"/>
      <c r="Z83" s="31"/>
      <c r="AA83" s="2"/>
      <c r="AB83" s="31"/>
      <c r="AC83" s="31"/>
      <c r="AD83" s="31"/>
      <c r="AE83" s="37"/>
      <c r="AF83" s="37"/>
      <c r="AG83" s="37"/>
    </row>
    <row r="84" spans="1:33" ht="15.75" customHeight="1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6"/>
      <c r="V84" s="1"/>
      <c r="W84" s="31"/>
      <c r="X84" s="31"/>
      <c r="Y84" s="31"/>
      <c r="Z84" s="31"/>
      <c r="AA84" s="2"/>
      <c r="AB84" s="31"/>
      <c r="AC84" s="31"/>
      <c r="AD84" s="31"/>
      <c r="AE84" s="37"/>
      <c r="AF84" s="37"/>
      <c r="AG84" s="37"/>
    </row>
    <row r="85" spans="1:33" ht="15.75" customHeight="1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6"/>
      <c r="V85" s="1"/>
      <c r="W85" s="31"/>
      <c r="X85" s="31"/>
      <c r="Y85" s="31"/>
      <c r="Z85" s="31"/>
      <c r="AA85" s="2"/>
      <c r="AB85" s="31"/>
      <c r="AC85" s="31"/>
      <c r="AD85" s="31"/>
      <c r="AE85" s="37"/>
      <c r="AF85" s="37"/>
      <c r="AG85" s="37"/>
    </row>
    <row r="86" spans="1:33" ht="15.75" customHeight="1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6"/>
      <c r="V86" s="1"/>
      <c r="W86" s="31"/>
      <c r="X86" s="31"/>
      <c r="Y86" s="31"/>
      <c r="Z86" s="31"/>
      <c r="AA86" s="2"/>
      <c r="AB86" s="31"/>
      <c r="AC86" s="31"/>
      <c r="AD86" s="31"/>
      <c r="AE86" s="37"/>
      <c r="AF86" s="37"/>
      <c r="AG86" s="37"/>
    </row>
    <row r="87" spans="1:33" ht="15.75" customHeight="1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6"/>
      <c r="V87" s="1"/>
      <c r="W87" s="31"/>
      <c r="X87" s="31"/>
      <c r="Y87" s="31"/>
      <c r="Z87" s="31"/>
      <c r="AA87" s="2"/>
      <c r="AB87" s="31"/>
      <c r="AC87" s="31"/>
      <c r="AD87" s="31"/>
      <c r="AE87" s="37"/>
      <c r="AF87" s="37"/>
      <c r="AG87" s="37"/>
    </row>
    <row r="88" spans="1:33" ht="15.75" customHeight="1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6"/>
      <c r="V88" s="1"/>
      <c r="W88" s="31"/>
      <c r="X88" s="31"/>
      <c r="Y88" s="31"/>
      <c r="Z88" s="31"/>
      <c r="AA88" s="2"/>
      <c r="AB88" s="31"/>
      <c r="AC88" s="31"/>
      <c r="AD88" s="31"/>
      <c r="AE88" s="37"/>
      <c r="AF88" s="37"/>
      <c r="AG88" s="37"/>
    </row>
    <row r="89" spans="1:33" ht="15.75" customHeight="1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6"/>
      <c r="V89" s="1"/>
      <c r="W89" s="31"/>
      <c r="X89" s="31"/>
      <c r="Y89" s="31"/>
      <c r="Z89" s="31"/>
      <c r="AA89" s="2"/>
      <c r="AB89" s="31"/>
      <c r="AC89" s="31"/>
      <c r="AD89" s="31"/>
      <c r="AE89" s="37"/>
      <c r="AF89" s="37"/>
      <c r="AG89" s="37"/>
    </row>
    <row r="90" spans="1:33" ht="15.75" customHeight="1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6"/>
      <c r="V90" s="1"/>
      <c r="W90" s="31"/>
      <c r="X90" s="31"/>
      <c r="Y90" s="31"/>
      <c r="Z90" s="31"/>
      <c r="AA90" s="2"/>
      <c r="AB90" s="31"/>
      <c r="AC90" s="31"/>
      <c r="AD90" s="31"/>
      <c r="AE90" s="37"/>
      <c r="AF90" s="37"/>
      <c r="AG90" s="37"/>
    </row>
    <row r="91" spans="1:33" ht="15.75" customHeight="1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6"/>
      <c r="V91" s="1"/>
      <c r="W91" s="31"/>
      <c r="X91" s="31"/>
      <c r="Y91" s="31"/>
      <c r="Z91" s="31"/>
      <c r="AA91" s="2"/>
      <c r="AB91" s="31"/>
      <c r="AC91" s="31"/>
      <c r="AD91" s="31"/>
      <c r="AE91" s="37"/>
      <c r="AF91" s="37"/>
      <c r="AG91" s="37"/>
    </row>
    <row r="92" spans="1:33" ht="15.75" customHeight="1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6"/>
      <c r="V92" s="1"/>
      <c r="W92" s="31"/>
      <c r="X92" s="31"/>
      <c r="Y92" s="31"/>
      <c r="Z92" s="31"/>
      <c r="AA92" s="2"/>
      <c r="AB92" s="31"/>
      <c r="AC92" s="31"/>
      <c r="AD92" s="31"/>
      <c r="AE92" s="37"/>
      <c r="AF92" s="37"/>
      <c r="AG92" s="37"/>
    </row>
    <row r="93" spans="1:33" ht="15.75" customHeight="1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6"/>
      <c r="V93" s="1"/>
      <c r="W93" s="31"/>
      <c r="X93" s="31"/>
      <c r="Y93" s="31"/>
      <c r="Z93" s="31"/>
      <c r="AA93" s="2"/>
      <c r="AB93" s="31"/>
      <c r="AC93" s="31"/>
      <c r="AD93" s="31"/>
      <c r="AE93" s="37"/>
      <c r="AF93" s="37"/>
      <c r="AG93" s="37"/>
    </row>
    <row r="94" spans="1:33" ht="15.75" customHeight="1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6"/>
      <c r="V94" s="1"/>
      <c r="W94" s="31"/>
      <c r="X94" s="31"/>
      <c r="Y94" s="31"/>
      <c r="Z94" s="31"/>
      <c r="AA94" s="2"/>
      <c r="AB94" s="31"/>
      <c r="AC94" s="31"/>
      <c r="AD94" s="31"/>
      <c r="AE94" s="37"/>
      <c r="AF94" s="37"/>
      <c r="AG94" s="37"/>
    </row>
    <row r="95" spans="1:33" ht="15.75" customHeight="1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6"/>
      <c r="V95" s="1"/>
      <c r="W95" s="31"/>
      <c r="X95" s="31"/>
      <c r="Y95" s="31"/>
      <c r="Z95" s="31"/>
      <c r="AA95" s="2"/>
      <c r="AB95" s="31"/>
      <c r="AC95" s="31"/>
      <c r="AD95" s="31"/>
      <c r="AE95" s="37"/>
      <c r="AF95" s="37"/>
      <c r="AG95" s="37"/>
    </row>
    <row r="96" spans="1:33" ht="15.75" customHeight="1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6"/>
      <c r="V96" s="1"/>
      <c r="W96" s="31"/>
      <c r="X96" s="31"/>
      <c r="Y96" s="31"/>
      <c r="Z96" s="31"/>
      <c r="AA96" s="2"/>
      <c r="AB96" s="31"/>
      <c r="AC96" s="31"/>
      <c r="AD96" s="31"/>
      <c r="AE96" s="37"/>
      <c r="AF96" s="37"/>
      <c r="AG96" s="37"/>
    </row>
    <row r="97" spans="1:33" ht="15.75" customHeight="1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8"/>
      <c r="R97" s="38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8"/>
      <c r="R98" s="38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8"/>
      <c r="R99" s="38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8"/>
      <c r="R100" s="38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8"/>
      <c r="R101" s="38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8"/>
      <c r="R102" s="38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8"/>
      <c r="R103" s="38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8"/>
      <c r="R104" s="38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8"/>
      <c r="R105" s="38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8"/>
      <c r="R106" s="38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8"/>
      <c r="R107" s="38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8"/>
      <c r="R108" s="38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8"/>
      <c r="R109" s="38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8"/>
      <c r="R110" s="38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8"/>
      <c r="R111" s="38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8"/>
      <c r="R112" s="38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8"/>
      <c r="R113" s="38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8"/>
      <c r="R114" s="38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>
      <c r="A115" s="31"/>
      <c r="B115" s="31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>
      <c r="A116" s="31"/>
      <c r="B116" s="31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>
      <c r="A117" s="31"/>
      <c r="B117" s="31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>
      <c r="A118" s="31"/>
      <c r="B118" s="31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>
      <c r="A119" s="31"/>
      <c r="B119" s="31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>
      <c r="A120" s="31"/>
      <c r="B120" s="31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>
      <c r="A121" s="31"/>
      <c r="B121" s="31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>
      <c r="A122" s="31"/>
      <c r="B122" s="31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>
      <c r="A123" s="31"/>
      <c r="B123" s="31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>
      <c r="A124" s="31"/>
      <c r="B124" s="31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>
      <c r="A125" s="31"/>
      <c r="B125" s="31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>
      <c r="A126" s="31"/>
      <c r="B126" s="31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>
      <c r="A127" s="31"/>
      <c r="B127" s="31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>
      <c r="A128" s="31"/>
      <c r="B128" s="31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>
      <c r="A129" s="31"/>
      <c r="B129" s="31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>
      <c r="A130" s="31"/>
      <c r="B130" s="31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>
      <c r="A131" s="31"/>
      <c r="B131" s="31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>
      <c r="A132" s="31"/>
      <c r="B132" s="31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>
      <c r="A133" s="31"/>
      <c r="B133" s="31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>
      <c r="A134" s="31"/>
      <c r="B134" s="31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>
      <c r="A135" s="31"/>
      <c r="B135" s="31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>
      <c r="A136" s="31"/>
      <c r="B136" s="31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>
      <c r="A137" s="31"/>
      <c r="B137" s="31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>
      <c r="A138" s="31"/>
      <c r="B138" s="31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>
      <c r="A139" s="31"/>
      <c r="B139" s="31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>
      <c r="A140" s="31"/>
      <c r="B140" s="31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>
      <c r="A141" s="31"/>
      <c r="B141" s="31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2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>
      <c r="A142" s="31"/>
      <c r="B142" s="31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2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>
      <c r="A143" s="31"/>
      <c r="B143" s="31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2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>
      <c r="A144" s="31"/>
      <c r="B144" s="31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2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>
      <c r="A145" s="31"/>
      <c r="B145" s="31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2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>
      <c r="A146" s="31"/>
      <c r="B146" s="31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2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>
      <c r="A147" s="31"/>
      <c r="B147" s="31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2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>
      <c r="A148" s="31"/>
      <c r="B148" s="31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2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</row>
    <row r="149" spans="1:33" ht="15.75" customHeight="1">
      <c r="A149" s="14"/>
      <c r="B149" s="14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>
      <c r="A150" s="14"/>
      <c r="B150" s="14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>
      <c r="A151" s="14"/>
      <c r="B151" s="14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>
      <c r="A152" s="14"/>
      <c r="B152" s="14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>
      <c r="A153" s="14"/>
      <c r="B153" s="14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>
      <c r="A154" s="14"/>
      <c r="B154" s="14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>
      <c r="A155" s="14"/>
      <c r="B155" s="14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>
      <c r="A156" s="14"/>
      <c r="B156" s="14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>
      <c r="A157" s="14"/>
      <c r="B157" s="14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>
      <c r="A158" s="14"/>
      <c r="B158" s="14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>
      <c r="A159" s="14"/>
      <c r="B159" s="14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>
      <c r="A160" s="14"/>
      <c r="B160" s="14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>
      <c r="A161" s="14"/>
      <c r="B161" s="14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>
      <c r="A162" s="14"/>
      <c r="B162" s="14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>
      <c r="A163" s="14"/>
      <c r="B163" s="14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>
      <c r="A164" s="14"/>
      <c r="B164" s="14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>
      <c r="A165" s="14"/>
      <c r="B165" s="14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>
      <c r="A166" s="14"/>
      <c r="B166" s="14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>
      <c r="A167" s="14"/>
      <c r="B167" s="14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>
      <c r="A168" s="14"/>
      <c r="B168" s="14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>
      <c r="A169" s="14"/>
      <c r="B169" s="14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>
      <c r="A170" s="14"/>
      <c r="B170" s="14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>
      <c r="A171" s="14"/>
      <c r="B171" s="14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>
      <c r="A172" s="14"/>
      <c r="B172" s="14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>
      <c r="A173" s="14"/>
      <c r="B173" s="14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>
      <c r="A174" s="14"/>
      <c r="B174" s="14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>
      <c r="A175" s="14"/>
      <c r="B175" s="14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>
      <c r="A176" s="14"/>
      <c r="B176" s="14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>
      <c r="A177" s="14"/>
      <c r="B177" s="14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>
      <c r="A178" s="14"/>
      <c r="B178" s="14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>
      <c r="A179" s="14"/>
      <c r="B179" s="14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>
      <c r="A180" s="14"/>
      <c r="B180" s="14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>
      <c r="A181" s="14"/>
      <c r="B181" s="14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>
      <c r="A182" s="14"/>
      <c r="B182" s="14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>
      <c r="A183" s="14"/>
      <c r="B183" s="14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>
      <c r="A184" s="14"/>
      <c r="B184" s="14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>
      <c r="A185" s="14"/>
      <c r="B185" s="14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>
      <c r="A186" s="14"/>
      <c r="B186" s="14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>
      <c r="A187" s="14"/>
      <c r="B187" s="14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>
      <c r="A188" s="14"/>
      <c r="B188" s="14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>
      <c r="A189" s="14"/>
      <c r="B189" s="14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>
      <c r="A190" s="14"/>
      <c r="B190" s="14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>
      <c r="A191" s="14"/>
      <c r="B191" s="14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>
      <c r="A192" s="14"/>
      <c r="B192" s="14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>
      <c r="A193" s="14"/>
      <c r="B193" s="14"/>
      <c r="C193" s="39"/>
      <c r="D193" s="39"/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>
      <c r="A194" s="14"/>
      <c r="B194" s="14"/>
      <c r="C194" s="39"/>
      <c r="D194" s="39"/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>
      <c r="A195" s="14"/>
      <c r="B195" s="14"/>
      <c r="C195" s="39"/>
      <c r="D195" s="39"/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>
      <c r="A196" s="14"/>
      <c r="B196" s="14"/>
      <c r="C196" s="39"/>
      <c r="D196" s="39"/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>
      <c r="A197" s="14"/>
      <c r="B197" s="14"/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>
      <c r="A198" s="14"/>
      <c r="B198" s="14"/>
      <c r="C198" s="39"/>
      <c r="D198" s="39"/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>
      <c r="A199" s="14"/>
      <c r="B199" s="14"/>
      <c r="C199" s="39"/>
      <c r="D199" s="39"/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>
      <c r="A200" s="14"/>
      <c r="B200" s="14"/>
      <c r="C200" s="39"/>
      <c r="D200" s="39"/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>
      <c r="A201" s="14"/>
      <c r="B201" s="14"/>
      <c r="C201" s="39"/>
      <c r="D201" s="39"/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>
      <c r="A202" s="14"/>
      <c r="B202" s="14"/>
      <c r="C202" s="39"/>
      <c r="D202" s="39"/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>
      <c r="A203" s="14"/>
      <c r="B203" s="14"/>
      <c r="C203" s="39"/>
      <c r="D203" s="39"/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>
      <c r="A204" s="14"/>
      <c r="B204" s="14"/>
      <c r="C204" s="39"/>
      <c r="D204" s="39"/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>
      <c r="A205" s="14"/>
      <c r="B205" s="14"/>
      <c r="C205" s="39"/>
      <c r="D205" s="39"/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>
      <c r="A206" s="14"/>
      <c r="B206" s="14"/>
      <c r="C206" s="39"/>
      <c r="D206" s="39"/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>
      <c r="A207" s="14"/>
      <c r="B207" s="14"/>
      <c r="C207" s="39"/>
      <c r="D207" s="39"/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>
      <c r="A208" s="14"/>
      <c r="B208" s="14"/>
      <c r="C208" s="39"/>
      <c r="D208" s="39"/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>
      <c r="A209" s="14"/>
      <c r="B209" s="14"/>
      <c r="C209" s="39"/>
      <c r="D209" s="39"/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>
      <c r="A210" s="14"/>
      <c r="B210" s="14"/>
      <c r="C210" s="39"/>
      <c r="D210" s="39"/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>
      <c r="A211" s="14"/>
      <c r="B211" s="14"/>
      <c r="C211" s="39"/>
      <c r="D211" s="39"/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>
      <c r="A212" s="14"/>
      <c r="B212" s="14"/>
      <c r="C212" s="39"/>
      <c r="D212" s="39"/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>
      <c r="A213" s="14"/>
      <c r="B213" s="14"/>
      <c r="C213" s="39"/>
      <c r="D213" s="39"/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>
      <c r="A214" s="14"/>
      <c r="B214" s="14"/>
      <c r="C214" s="39"/>
      <c r="D214" s="39"/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>
      <c r="A215" s="14"/>
      <c r="B215" s="14"/>
      <c r="C215" s="39"/>
      <c r="D215" s="39"/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>
      <c r="A216" s="14"/>
      <c r="B216" s="14"/>
      <c r="C216" s="39"/>
      <c r="D216" s="39"/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>
      <c r="A217" s="14"/>
      <c r="B217" s="14"/>
      <c r="C217" s="39"/>
      <c r="D217" s="39"/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>
      <c r="A218" s="14"/>
      <c r="B218" s="14"/>
      <c r="C218" s="39"/>
      <c r="D218" s="39"/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>
      <c r="A219" s="14"/>
      <c r="B219" s="14"/>
      <c r="C219" s="39"/>
      <c r="D219" s="39"/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>
      <c r="A220" s="14"/>
      <c r="B220" s="14"/>
      <c r="C220" s="39"/>
      <c r="D220" s="39"/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>
      <c r="R221" s="30"/>
      <c r="S221" s="40"/>
    </row>
    <row r="222" spans="1:33" ht="15.75" customHeight="1">
      <c r="R222" s="30"/>
      <c r="S222" s="40"/>
    </row>
    <row r="223" spans="1:33" ht="15.75" customHeight="1">
      <c r="R223" s="30"/>
      <c r="S223" s="40"/>
    </row>
    <row r="224" spans="1:33" ht="15.75" customHeight="1">
      <c r="R224" s="30"/>
      <c r="S224" s="40"/>
    </row>
    <row r="225" spans="18:18" ht="15.75" customHeight="1">
      <c r="R225" s="30"/>
    </row>
    <row r="226" spans="18:18" ht="15.75" customHeight="1">
      <c r="R226" s="30"/>
    </row>
    <row r="227" spans="18:18" ht="15.75" customHeight="1">
      <c r="R227" s="30"/>
    </row>
    <row r="228" spans="18:18" ht="15.75" customHeight="1">
      <c r="R228" s="30"/>
    </row>
    <row r="229" spans="18:18" ht="15.75" customHeight="1">
      <c r="R229" s="30"/>
    </row>
    <row r="230" spans="18:18" ht="15.75" customHeight="1">
      <c r="R230" s="30"/>
    </row>
    <row r="231" spans="18:18" ht="15.75" customHeight="1">
      <c r="R231" s="30"/>
    </row>
    <row r="232" spans="18:18" ht="15.75" customHeight="1">
      <c r="R232" s="30"/>
    </row>
    <row r="233" spans="18:18" ht="15.75" customHeight="1">
      <c r="R233" s="30"/>
    </row>
    <row r="234" spans="18:18" ht="15.75" customHeight="1">
      <c r="R234" s="30"/>
    </row>
    <row r="235" spans="18:18" ht="15.75" customHeight="1">
      <c r="R235" s="30"/>
    </row>
    <row r="236" spans="18:18" ht="15.75" customHeight="1">
      <c r="R236" s="30"/>
    </row>
    <row r="237" spans="18:18" ht="15.75" customHeight="1">
      <c r="R237" s="30"/>
    </row>
    <row r="238" spans="18:18" ht="15.75" customHeight="1">
      <c r="R238" s="30"/>
    </row>
    <row r="239" spans="18:18" ht="15.75" customHeight="1">
      <c r="R239" s="30"/>
    </row>
    <row r="240" spans="18:18" ht="15.75" customHeight="1">
      <c r="R240" s="30"/>
    </row>
    <row r="241" spans="18:18" ht="15.75" customHeight="1">
      <c r="R241" s="30"/>
    </row>
    <row r="242" spans="18:18" ht="15.75" customHeight="1">
      <c r="R242" s="30"/>
    </row>
    <row r="243" spans="18:18" ht="15.75" customHeight="1">
      <c r="R243" s="30"/>
    </row>
    <row r="244" spans="18:18" ht="15.75" customHeight="1">
      <c r="R244" s="30"/>
    </row>
    <row r="245" spans="18:18" ht="15.75" customHeight="1">
      <c r="R245" s="30"/>
    </row>
    <row r="246" spans="18:18" ht="15.75" customHeight="1">
      <c r="R246" s="30"/>
    </row>
    <row r="247" spans="18:18" ht="15.75" customHeight="1">
      <c r="R247" s="30"/>
    </row>
    <row r="248" spans="18:18" ht="15.75" customHeight="1">
      <c r="R248" s="30"/>
    </row>
    <row r="249" spans="18:18" ht="15.75" customHeight="1">
      <c r="R249" s="30"/>
    </row>
    <row r="250" spans="18:18" ht="15.75" customHeight="1">
      <c r="R250" s="30"/>
    </row>
    <row r="251" spans="18:18" ht="15.75" customHeight="1">
      <c r="R251" s="30"/>
    </row>
    <row r="252" spans="18:18" ht="15.75" customHeight="1">
      <c r="R252" s="30"/>
    </row>
    <row r="253" spans="18:18" ht="15.75" customHeight="1">
      <c r="R253" s="30"/>
    </row>
    <row r="254" spans="18:18" ht="15.75" customHeight="1">
      <c r="R254" s="30"/>
    </row>
    <row r="255" spans="18:18" ht="15.75" customHeight="1">
      <c r="R255" s="30"/>
    </row>
    <row r="256" spans="18:18" ht="15.75" customHeight="1">
      <c r="R256" s="30"/>
    </row>
    <row r="257" spans="18:18" ht="15.75" customHeight="1">
      <c r="R257" s="30"/>
    </row>
    <row r="258" spans="18:18" ht="15.75" customHeight="1">
      <c r="R258" s="30"/>
    </row>
    <row r="259" spans="18:18" ht="15.75" customHeight="1">
      <c r="R259" s="30"/>
    </row>
    <row r="260" spans="18:18" ht="15.75" customHeight="1">
      <c r="R260" s="30"/>
    </row>
    <row r="261" spans="18:18" ht="15.75" customHeight="1">
      <c r="R261" s="30"/>
    </row>
    <row r="262" spans="18:18" ht="15.75" customHeight="1">
      <c r="R262" s="30"/>
    </row>
    <row r="263" spans="18:18" ht="15.75" customHeight="1">
      <c r="R263" s="30"/>
    </row>
    <row r="264" spans="18:18" ht="15.75" customHeight="1">
      <c r="R264" s="30"/>
    </row>
    <row r="265" spans="18:18" ht="15.75" customHeight="1">
      <c r="R265" s="30"/>
    </row>
    <row r="266" spans="18:18" ht="15.75" customHeight="1">
      <c r="R266" s="30"/>
    </row>
    <row r="267" spans="18:18" ht="15.75" customHeight="1">
      <c r="R267" s="30"/>
    </row>
    <row r="268" spans="18:18" ht="15.75" customHeight="1">
      <c r="R268" s="30"/>
    </row>
    <row r="269" spans="18:18" ht="15.75" customHeight="1">
      <c r="R269" s="30"/>
    </row>
    <row r="270" spans="18:18" ht="15.75" customHeight="1">
      <c r="R270" s="30"/>
    </row>
    <row r="271" spans="18:18" ht="15.75" customHeight="1">
      <c r="R271" s="30"/>
    </row>
    <row r="272" spans="18:18" ht="15.75" customHeight="1">
      <c r="R272" s="30"/>
    </row>
    <row r="273" spans="18:18" ht="15.75" customHeight="1">
      <c r="R273" s="30"/>
    </row>
    <row r="274" spans="18:18" ht="15.75" customHeight="1">
      <c r="R274" s="30"/>
    </row>
    <row r="275" spans="18:18" ht="15.75" customHeight="1">
      <c r="R275" s="30"/>
    </row>
    <row r="276" spans="18:18" ht="15.75" customHeight="1">
      <c r="R276" s="30"/>
    </row>
    <row r="277" spans="18:18" ht="15.75" customHeight="1">
      <c r="R277" s="30"/>
    </row>
    <row r="278" spans="18:18" ht="15.75" customHeight="1">
      <c r="R278" s="30"/>
    </row>
    <row r="279" spans="18:18" ht="15.75" customHeight="1">
      <c r="R279" s="30"/>
    </row>
    <row r="280" spans="18:18" ht="15.75" customHeight="1">
      <c r="R280" s="30"/>
    </row>
    <row r="281" spans="18:18" ht="15.75" customHeight="1">
      <c r="R281" s="30"/>
    </row>
    <row r="282" spans="18:18" ht="15.75" customHeight="1">
      <c r="R282" s="30"/>
    </row>
    <row r="283" spans="18:18" ht="15.75" customHeight="1">
      <c r="R283" s="30"/>
    </row>
    <row r="284" spans="18:18" ht="15.75" customHeight="1">
      <c r="R284" s="30"/>
    </row>
    <row r="285" spans="18:18" ht="15.75" customHeight="1">
      <c r="R285" s="30"/>
    </row>
    <row r="286" spans="18:18" ht="15.75" customHeight="1">
      <c r="R286" s="30"/>
    </row>
    <row r="287" spans="18:18" ht="15.75" customHeight="1">
      <c r="R287" s="30"/>
    </row>
    <row r="288" spans="18:18" ht="15.75" customHeight="1">
      <c r="R288" s="30"/>
    </row>
    <row r="289" spans="18:18" ht="15.75" customHeight="1">
      <c r="R289" s="30"/>
    </row>
    <row r="290" spans="18:18" ht="15.75" customHeight="1">
      <c r="R290" s="30"/>
    </row>
    <row r="291" spans="18:18" ht="15.75" customHeight="1">
      <c r="R291" s="30"/>
    </row>
    <row r="292" spans="18:18" ht="15.75" customHeight="1">
      <c r="R292" s="30"/>
    </row>
    <row r="293" spans="18:18" ht="15.75" customHeight="1">
      <c r="R293" s="30"/>
    </row>
    <row r="294" spans="18:18" ht="15.75" customHeight="1">
      <c r="R294" s="30"/>
    </row>
    <row r="295" spans="18:18" ht="15.75" customHeight="1">
      <c r="R295" s="30"/>
    </row>
    <row r="296" spans="18:18" ht="15.75" customHeight="1">
      <c r="R296" s="30"/>
    </row>
    <row r="297" spans="18:18" ht="15.75" customHeight="1">
      <c r="R297" s="30"/>
    </row>
    <row r="298" spans="18:18" ht="15.75" customHeight="1">
      <c r="R298" s="30"/>
    </row>
    <row r="299" spans="18:18" ht="15.75" customHeight="1">
      <c r="R299" s="30"/>
    </row>
    <row r="300" spans="18:18" ht="15.75" customHeight="1">
      <c r="R300" s="30"/>
    </row>
    <row r="301" spans="18:18" ht="15.75" customHeight="1">
      <c r="R301" s="30"/>
    </row>
    <row r="302" spans="18:18" ht="15.75" customHeight="1">
      <c r="R302" s="30"/>
    </row>
    <row r="303" spans="18:18" ht="15.75" customHeight="1">
      <c r="R303" s="30"/>
    </row>
    <row r="304" spans="18:18" ht="15.75" customHeight="1">
      <c r="R304" s="30"/>
    </row>
    <row r="305" spans="18:18" ht="15.75" customHeight="1">
      <c r="R305" s="30"/>
    </row>
    <row r="306" spans="18:18" ht="15.75" customHeight="1">
      <c r="R306" s="30"/>
    </row>
    <row r="307" spans="18:18" ht="15.75" customHeight="1">
      <c r="R307" s="30"/>
    </row>
    <row r="308" spans="18:18" ht="15.75" customHeight="1">
      <c r="R308" s="30"/>
    </row>
    <row r="309" spans="18:18" ht="15.75" customHeight="1">
      <c r="R309" s="30"/>
    </row>
    <row r="310" spans="18:18" ht="15.75" customHeight="1">
      <c r="R310" s="30"/>
    </row>
    <row r="311" spans="18:18" ht="15.75" customHeight="1">
      <c r="R311" s="30"/>
    </row>
    <row r="312" spans="18:18" ht="15.75" customHeight="1">
      <c r="R312" s="30"/>
    </row>
    <row r="313" spans="18:18" ht="15.75" customHeight="1">
      <c r="R313" s="30"/>
    </row>
    <row r="314" spans="18:18" ht="15.75" customHeight="1">
      <c r="R314" s="30"/>
    </row>
    <row r="315" spans="18:18" ht="15.75" customHeight="1">
      <c r="R315" s="30"/>
    </row>
    <row r="316" spans="18:18" ht="15.75" customHeight="1">
      <c r="R316" s="30"/>
    </row>
    <row r="317" spans="18:18" ht="15.75" customHeight="1">
      <c r="R317" s="30"/>
    </row>
    <row r="318" spans="18:18" ht="15.75" customHeight="1">
      <c r="R318" s="30"/>
    </row>
    <row r="319" spans="18:18" ht="15.75" customHeight="1">
      <c r="R319" s="30"/>
    </row>
    <row r="320" spans="18:18" ht="15.75" customHeight="1">
      <c r="R320" s="30"/>
    </row>
    <row r="321" spans="18:18" ht="15.75" customHeight="1">
      <c r="R321" s="30"/>
    </row>
    <row r="322" spans="18:18" ht="15.75" customHeight="1">
      <c r="R322" s="30"/>
    </row>
    <row r="323" spans="18:18" ht="15.75" customHeight="1">
      <c r="R323" s="30"/>
    </row>
    <row r="324" spans="18:18" ht="15.75" customHeight="1">
      <c r="R324" s="30"/>
    </row>
    <row r="325" spans="18:18" ht="15.75" customHeight="1">
      <c r="R325" s="30"/>
    </row>
    <row r="326" spans="18:18" ht="15.75" customHeight="1">
      <c r="R326" s="30"/>
    </row>
    <row r="327" spans="18:18" ht="15.75" customHeight="1">
      <c r="R327" s="30"/>
    </row>
    <row r="328" spans="18:18" ht="15.75" customHeight="1">
      <c r="R328" s="30"/>
    </row>
    <row r="329" spans="18:18" ht="15.75" customHeight="1">
      <c r="R329" s="30"/>
    </row>
    <row r="330" spans="18:18" ht="15.75" customHeight="1">
      <c r="R330" s="30"/>
    </row>
    <row r="331" spans="18:18" ht="15.75" customHeight="1">
      <c r="R331" s="30"/>
    </row>
    <row r="332" spans="18:18" ht="15.75" customHeight="1">
      <c r="R332" s="30"/>
    </row>
    <row r="333" spans="18:18" ht="15.75" customHeight="1">
      <c r="R333" s="30"/>
    </row>
    <row r="334" spans="18:18" ht="15.75" customHeight="1">
      <c r="R334" s="30"/>
    </row>
    <row r="335" spans="18:18" ht="15.75" customHeight="1">
      <c r="R335" s="30"/>
    </row>
    <row r="336" spans="18:18" ht="15.75" customHeight="1">
      <c r="R336" s="30"/>
    </row>
    <row r="337" spans="18:18" ht="15.75" customHeight="1">
      <c r="R337" s="30"/>
    </row>
    <row r="338" spans="18:18" ht="15.75" customHeight="1">
      <c r="R338" s="30"/>
    </row>
    <row r="339" spans="18:18" ht="15.75" customHeight="1">
      <c r="R339" s="30"/>
    </row>
    <row r="340" spans="18:18" ht="15.75" customHeight="1">
      <c r="R340" s="30"/>
    </row>
    <row r="341" spans="18:18" ht="15.75" customHeight="1">
      <c r="R341" s="30"/>
    </row>
    <row r="342" spans="18:18" ht="15.75" customHeight="1">
      <c r="R342" s="30"/>
    </row>
    <row r="343" spans="18:18" ht="15.75" customHeight="1">
      <c r="R343" s="30"/>
    </row>
    <row r="344" spans="18:18" ht="15.75" customHeight="1">
      <c r="R344" s="30"/>
    </row>
    <row r="345" spans="18:18" ht="15.75" customHeight="1">
      <c r="R345" s="30"/>
    </row>
    <row r="346" spans="18:18" ht="15.75" customHeight="1">
      <c r="R346" s="30"/>
    </row>
    <row r="347" spans="18:18" ht="15.75" customHeight="1">
      <c r="R347" s="30"/>
    </row>
    <row r="348" spans="18:18" ht="15.75" customHeight="1">
      <c r="R348" s="30"/>
    </row>
    <row r="349" spans="18:18" ht="15.75" customHeight="1">
      <c r="R349" s="30"/>
    </row>
    <row r="350" spans="18:18" ht="15.75" customHeight="1">
      <c r="R350" s="30"/>
    </row>
    <row r="351" spans="18:18" ht="15.75" customHeight="1">
      <c r="R351" s="30"/>
    </row>
    <row r="352" spans="18:18" ht="15.75" customHeight="1">
      <c r="R352" s="30"/>
    </row>
    <row r="353" spans="18:18" ht="15.75" customHeight="1">
      <c r="R353" s="30"/>
    </row>
    <row r="354" spans="18:18" ht="15.75" customHeight="1">
      <c r="R354" s="30"/>
    </row>
    <row r="355" spans="18:18" ht="15.75" customHeight="1">
      <c r="R355" s="30"/>
    </row>
    <row r="356" spans="18:18" ht="15.75" customHeight="1">
      <c r="R356" s="30"/>
    </row>
    <row r="357" spans="18:18" ht="15.75" customHeight="1">
      <c r="R357" s="30"/>
    </row>
    <row r="358" spans="18:18" ht="15.75" customHeight="1">
      <c r="R358" s="30"/>
    </row>
    <row r="359" spans="18:18" ht="15.75" customHeight="1">
      <c r="R359" s="30"/>
    </row>
    <row r="360" spans="18:18" ht="15.75" customHeight="1">
      <c r="R360" s="30"/>
    </row>
    <row r="361" spans="18:18" ht="15.75" customHeight="1">
      <c r="R361" s="30"/>
    </row>
    <row r="362" spans="18:18" ht="15.75" customHeight="1">
      <c r="R362" s="30"/>
    </row>
    <row r="363" spans="18:18" ht="15.75" customHeight="1">
      <c r="R363" s="30"/>
    </row>
    <row r="364" spans="18:18" ht="15.75" customHeight="1">
      <c r="R364" s="30"/>
    </row>
    <row r="365" spans="18:18" ht="15.75" customHeight="1">
      <c r="R365" s="30"/>
    </row>
    <row r="366" spans="18:18" ht="15.75" customHeight="1">
      <c r="R366" s="30"/>
    </row>
    <row r="367" spans="18:18" ht="15.75" customHeight="1">
      <c r="R367" s="30"/>
    </row>
    <row r="368" spans="18:18" ht="15.75" customHeight="1">
      <c r="R368" s="30"/>
    </row>
    <row r="369" spans="18:18" ht="15.75" customHeight="1">
      <c r="R369" s="30"/>
    </row>
    <row r="370" spans="18:18" ht="15.75" customHeight="1">
      <c r="R370" s="30"/>
    </row>
    <row r="371" spans="18:18" ht="15.75" customHeight="1">
      <c r="R371" s="30"/>
    </row>
    <row r="372" spans="18:18" ht="15.75" customHeight="1">
      <c r="R372" s="30"/>
    </row>
    <row r="373" spans="18:18" ht="15.75" customHeight="1">
      <c r="R373" s="30"/>
    </row>
    <row r="374" spans="18:18" ht="15.75" customHeight="1">
      <c r="R374" s="30"/>
    </row>
    <row r="375" spans="18:18" ht="15.75" customHeight="1">
      <c r="R375" s="30"/>
    </row>
    <row r="376" spans="18:18" ht="15.75" customHeight="1">
      <c r="R376" s="30"/>
    </row>
    <row r="377" spans="18:18" ht="15.75" customHeight="1">
      <c r="R377" s="30"/>
    </row>
    <row r="378" spans="18:18" ht="15.75" customHeight="1">
      <c r="R378" s="30"/>
    </row>
    <row r="379" spans="18:18" ht="15.75" customHeight="1">
      <c r="R379" s="30"/>
    </row>
    <row r="380" spans="18:18" ht="15.75" customHeight="1">
      <c r="R380" s="30"/>
    </row>
    <row r="381" spans="18:18" ht="15.75" customHeight="1">
      <c r="R381" s="30"/>
    </row>
    <row r="382" spans="18:18" ht="15.75" customHeight="1">
      <c r="R382" s="30"/>
    </row>
    <row r="383" spans="18:18" ht="15.75" customHeight="1">
      <c r="R383" s="30"/>
    </row>
    <row r="384" spans="18:18" ht="15.75" customHeight="1">
      <c r="R384" s="30"/>
    </row>
    <row r="385" spans="18:18" ht="15.75" customHeight="1">
      <c r="R385" s="30"/>
    </row>
    <row r="386" spans="18:18" ht="15.75" customHeight="1">
      <c r="R386" s="30"/>
    </row>
    <row r="387" spans="18:18" ht="15.75" customHeight="1">
      <c r="R387" s="30"/>
    </row>
    <row r="388" spans="18:18" ht="15.75" customHeight="1">
      <c r="R388" s="30"/>
    </row>
    <row r="389" spans="18:18" ht="15.75" customHeight="1">
      <c r="R389" s="30"/>
    </row>
    <row r="390" spans="18:18" ht="15.75" customHeight="1">
      <c r="R390" s="30"/>
    </row>
    <row r="391" spans="18:18" ht="15.75" customHeight="1">
      <c r="R391" s="30"/>
    </row>
    <row r="392" spans="18:18" ht="15.75" customHeight="1">
      <c r="R392" s="30"/>
    </row>
    <row r="393" spans="18:18" ht="15.75" customHeight="1">
      <c r="R393" s="30"/>
    </row>
    <row r="394" spans="18:18" ht="15.75" customHeight="1">
      <c r="R394" s="30"/>
    </row>
    <row r="395" spans="18:18" ht="15.75" customHeight="1">
      <c r="R395" s="30"/>
    </row>
    <row r="396" spans="18:18" ht="15.75" customHeight="1">
      <c r="R396" s="30"/>
    </row>
    <row r="397" spans="18:18" ht="15.75" customHeight="1">
      <c r="R397" s="30"/>
    </row>
    <row r="398" spans="18:18" ht="15.75" customHeight="1">
      <c r="R398" s="30"/>
    </row>
    <row r="399" spans="18:18" ht="15.75" customHeight="1">
      <c r="R399" s="30"/>
    </row>
    <row r="400" spans="18:18" ht="15.75" customHeight="1">
      <c r="R400" s="30"/>
    </row>
    <row r="401" spans="18:18" ht="15.75" customHeight="1">
      <c r="R401" s="30"/>
    </row>
    <row r="402" spans="18:18" ht="15.75" customHeight="1">
      <c r="R402" s="30"/>
    </row>
    <row r="403" spans="18:18" ht="15.75" customHeight="1">
      <c r="R403" s="30"/>
    </row>
    <row r="404" spans="18:18" ht="15.75" customHeight="1">
      <c r="R404" s="30"/>
    </row>
    <row r="405" spans="18:18" ht="15.75" customHeight="1">
      <c r="R405" s="30"/>
    </row>
    <row r="406" spans="18:18" ht="15.75" customHeight="1">
      <c r="R406" s="30"/>
    </row>
    <row r="407" spans="18:18" ht="15.75" customHeight="1">
      <c r="R407" s="30"/>
    </row>
    <row r="408" spans="18:18" ht="15.75" customHeight="1">
      <c r="R408" s="30"/>
    </row>
    <row r="409" spans="18:18" ht="15.75" customHeight="1">
      <c r="R409" s="30"/>
    </row>
    <row r="410" spans="18:18" ht="15.75" customHeight="1">
      <c r="R410" s="30"/>
    </row>
    <row r="411" spans="18:18" ht="15.75" customHeight="1">
      <c r="R411" s="30"/>
    </row>
    <row r="412" spans="18:18" ht="15.75" customHeight="1">
      <c r="R412" s="30"/>
    </row>
    <row r="413" spans="18:18" ht="15.75" customHeight="1">
      <c r="R413" s="30"/>
    </row>
    <row r="414" spans="18:18" ht="15.75" customHeight="1">
      <c r="R414" s="30"/>
    </row>
    <row r="415" spans="18:18" ht="15.75" customHeight="1">
      <c r="R415" s="30"/>
    </row>
    <row r="416" spans="18:18" ht="15.75" customHeight="1">
      <c r="R416" s="30"/>
    </row>
    <row r="417" spans="18:18" ht="15.75" customHeight="1">
      <c r="R417" s="30"/>
    </row>
    <row r="418" spans="18:18" ht="15.75" customHeight="1">
      <c r="R418" s="30"/>
    </row>
    <row r="419" spans="18:18" ht="15.75" customHeight="1">
      <c r="R419" s="30"/>
    </row>
    <row r="420" spans="18:18" ht="15.75" customHeight="1">
      <c r="R420" s="30"/>
    </row>
    <row r="421" spans="18:18" ht="15.75" customHeight="1">
      <c r="R421" s="30"/>
    </row>
    <row r="422" spans="18:18" ht="15.75" customHeight="1">
      <c r="R422" s="30"/>
    </row>
    <row r="423" spans="18:18" ht="15.75" customHeight="1">
      <c r="R423" s="30"/>
    </row>
    <row r="424" spans="18:18" ht="15.75" customHeight="1">
      <c r="R424" s="30"/>
    </row>
    <row r="425" spans="18:18" ht="15.75" customHeight="1">
      <c r="R425" s="30"/>
    </row>
    <row r="426" spans="18:18" ht="15.75" customHeight="1">
      <c r="R426" s="30"/>
    </row>
    <row r="427" spans="18:18" ht="15.75" customHeight="1">
      <c r="R427" s="30"/>
    </row>
    <row r="428" spans="18:18" ht="15.75" customHeight="1">
      <c r="R428" s="30"/>
    </row>
    <row r="429" spans="18:18" ht="15.75" customHeight="1">
      <c r="R429" s="30"/>
    </row>
    <row r="430" spans="18:18" ht="15.75" customHeight="1">
      <c r="R430" s="30"/>
    </row>
    <row r="431" spans="18:18" ht="15.75" customHeight="1">
      <c r="R431" s="30"/>
    </row>
    <row r="432" spans="18:18" ht="15.75" customHeight="1">
      <c r="R432" s="30"/>
    </row>
    <row r="433" spans="18:18" ht="15.75" customHeight="1">
      <c r="R433" s="30"/>
    </row>
    <row r="434" spans="18:18" ht="15.75" customHeight="1">
      <c r="R434" s="30"/>
    </row>
    <row r="435" spans="18:18" ht="15.75" customHeight="1">
      <c r="R435" s="30"/>
    </row>
    <row r="436" spans="18:18" ht="15.75" customHeight="1">
      <c r="R436" s="30"/>
    </row>
    <row r="437" spans="18:18" ht="15.75" customHeight="1">
      <c r="R437" s="30"/>
    </row>
    <row r="438" spans="18:18" ht="15.75" customHeight="1">
      <c r="R438" s="30"/>
    </row>
    <row r="439" spans="18:18" ht="15.75" customHeight="1">
      <c r="R439" s="30"/>
    </row>
    <row r="440" spans="18:18" ht="15.75" customHeight="1">
      <c r="R440" s="30"/>
    </row>
    <row r="441" spans="18:18" ht="15.75" customHeight="1">
      <c r="R441" s="30"/>
    </row>
    <row r="442" spans="18:18" ht="15.75" customHeight="1">
      <c r="R442" s="30"/>
    </row>
    <row r="443" spans="18:18" ht="15.75" customHeight="1">
      <c r="R443" s="30"/>
    </row>
    <row r="444" spans="18:18" ht="15.75" customHeight="1">
      <c r="R444" s="30"/>
    </row>
    <row r="445" spans="18:18" ht="15.75" customHeight="1">
      <c r="R445" s="30"/>
    </row>
    <row r="446" spans="18:18" ht="15.75" customHeight="1">
      <c r="R446" s="30"/>
    </row>
    <row r="447" spans="18:18" ht="15.75" customHeight="1">
      <c r="R447" s="30"/>
    </row>
    <row r="448" spans="18:18" ht="15.75" customHeight="1">
      <c r="R448" s="30"/>
    </row>
    <row r="449" spans="18:18" ht="15.75" customHeight="1">
      <c r="R449" s="30"/>
    </row>
    <row r="450" spans="18:18" ht="15.75" customHeight="1">
      <c r="R450" s="30"/>
    </row>
    <row r="451" spans="18:18" ht="15.75" customHeight="1">
      <c r="R451" s="30"/>
    </row>
    <row r="452" spans="18:18" ht="15.75" customHeight="1">
      <c r="R452" s="30"/>
    </row>
    <row r="453" spans="18:18" ht="15.75" customHeight="1">
      <c r="R453" s="30"/>
    </row>
    <row r="454" spans="18:18" ht="15.75" customHeight="1">
      <c r="R454" s="30"/>
    </row>
    <row r="455" spans="18:18" ht="15.75" customHeight="1">
      <c r="R455" s="30"/>
    </row>
    <row r="456" spans="18:18" ht="15.75" customHeight="1">
      <c r="R456" s="30"/>
    </row>
    <row r="457" spans="18:18" ht="15.75" customHeight="1">
      <c r="R457" s="30"/>
    </row>
    <row r="458" spans="18:18" ht="15.75" customHeight="1">
      <c r="R458" s="30"/>
    </row>
    <row r="459" spans="18:18" ht="15.75" customHeight="1">
      <c r="R459" s="30"/>
    </row>
    <row r="460" spans="18:18" ht="15.75" customHeight="1">
      <c r="R460" s="30"/>
    </row>
    <row r="461" spans="18:18" ht="15.75" customHeight="1">
      <c r="R461" s="30"/>
    </row>
    <row r="462" spans="18:18" ht="15.75" customHeight="1">
      <c r="R462" s="30"/>
    </row>
    <row r="463" spans="18:18" ht="15.75" customHeight="1">
      <c r="R463" s="30"/>
    </row>
    <row r="464" spans="18:18" ht="15.75" customHeight="1">
      <c r="R464" s="30"/>
    </row>
    <row r="465" spans="18:18" ht="15.75" customHeight="1">
      <c r="R465" s="30"/>
    </row>
    <row r="466" spans="18:18" ht="15.75" customHeight="1">
      <c r="R466" s="30"/>
    </row>
    <row r="467" spans="18:18" ht="15.75" customHeight="1">
      <c r="R467" s="30"/>
    </row>
    <row r="468" spans="18:18" ht="15.75" customHeight="1">
      <c r="R468" s="30"/>
    </row>
    <row r="469" spans="18:18" ht="15.75" customHeight="1">
      <c r="R469" s="30"/>
    </row>
    <row r="470" spans="18:18" ht="15.75" customHeight="1">
      <c r="R470" s="30"/>
    </row>
    <row r="471" spans="18:18" ht="15.75" customHeight="1">
      <c r="R471" s="30"/>
    </row>
    <row r="472" spans="18:18" ht="15.75" customHeight="1">
      <c r="R472" s="30"/>
    </row>
    <row r="473" spans="18:18" ht="15.75" customHeight="1">
      <c r="R473" s="30"/>
    </row>
    <row r="474" spans="18:18" ht="15.75" customHeight="1">
      <c r="R474" s="30"/>
    </row>
    <row r="475" spans="18:18" ht="15.75" customHeight="1">
      <c r="R475" s="30"/>
    </row>
    <row r="476" spans="18:18" ht="15.75" customHeight="1">
      <c r="R476" s="30"/>
    </row>
    <row r="477" spans="18:18" ht="15.75" customHeight="1">
      <c r="R477" s="30"/>
    </row>
    <row r="478" spans="18:18" ht="15.75" customHeight="1">
      <c r="R478" s="30"/>
    </row>
    <row r="479" spans="18:18" ht="15.75" customHeight="1">
      <c r="R479" s="30"/>
    </row>
    <row r="480" spans="18:18" ht="15.75" customHeight="1">
      <c r="R480" s="30"/>
    </row>
    <row r="481" spans="18:18" ht="15.75" customHeight="1">
      <c r="R481" s="30"/>
    </row>
    <row r="482" spans="18:18" ht="15.75" customHeight="1">
      <c r="R482" s="30"/>
    </row>
    <row r="483" spans="18:18" ht="15.75" customHeight="1">
      <c r="R483" s="30"/>
    </row>
    <row r="484" spans="18:18" ht="15.75" customHeight="1">
      <c r="R484" s="30"/>
    </row>
    <row r="485" spans="18:18" ht="15.75" customHeight="1">
      <c r="R485" s="30"/>
    </row>
    <row r="486" spans="18:18" ht="15.75" customHeight="1">
      <c r="R486" s="30"/>
    </row>
    <row r="487" spans="18:18" ht="15.75" customHeight="1">
      <c r="R487" s="30"/>
    </row>
    <row r="488" spans="18:18" ht="15.75" customHeight="1">
      <c r="R488" s="30"/>
    </row>
    <row r="489" spans="18:18" ht="15.75" customHeight="1">
      <c r="R489" s="30"/>
    </row>
    <row r="490" spans="18:18" ht="15.75" customHeight="1">
      <c r="R490" s="30"/>
    </row>
    <row r="491" spans="18:18" ht="15.75" customHeight="1">
      <c r="R491" s="30"/>
    </row>
    <row r="492" spans="18:18" ht="15.75" customHeight="1">
      <c r="R492" s="30"/>
    </row>
    <row r="493" spans="18:18" ht="15.75" customHeight="1">
      <c r="R493" s="30"/>
    </row>
    <row r="494" spans="18:18" ht="15.75" customHeight="1">
      <c r="R494" s="30"/>
    </row>
    <row r="495" spans="18:18" ht="15.75" customHeight="1">
      <c r="R495" s="30"/>
    </row>
    <row r="496" spans="18:18" ht="15.75" customHeight="1">
      <c r="R496" s="30"/>
    </row>
    <row r="497" spans="18:18" ht="15.75" customHeight="1">
      <c r="R497" s="30"/>
    </row>
    <row r="498" spans="18:18" ht="15.75" customHeight="1">
      <c r="R498" s="30"/>
    </row>
    <row r="499" spans="18:18" ht="15.75" customHeight="1">
      <c r="R499" s="30"/>
    </row>
    <row r="500" spans="18:18" ht="15.75" customHeight="1">
      <c r="R500" s="30"/>
    </row>
    <row r="501" spans="18:18" ht="15.75" customHeight="1">
      <c r="R501" s="30"/>
    </row>
    <row r="502" spans="18:18" ht="15.75" customHeight="1">
      <c r="R502" s="30"/>
    </row>
    <row r="503" spans="18:18" ht="15.75" customHeight="1">
      <c r="R503" s="30"/>
    </row>
    <row r="504" spans="18:18" ht="15.75" customHeight="1">
      <c r="R504" s="30"/>
    </row>
    <row r="505" spans="18:18" ht="15.75" customHeight="1">
      <c r="R505" s="30"/>
    </row>
    <row r="506" spans="18:18" ht="15.75" customHeight="1">
      <c r="R506" s="30"/>
    </row>
    <row r="507" spans="18:18" ht="15.75" customHeight="1">
      <c r="R507" s="30"/>
    </row>
    <row r="508" spans="18:18" ht="15.75" customHeight="1">
      <c r="R508" s="30"/>
    </row>
    <row r="509" spans="18:18" ht="15.75" customHeight="1">
      <c r="R509" s="30"/>
    </row>
    <row r="510" spans="18:18" ht="15.75" customHeight="1">
      <c r="R510" s="30"/>
    </row>
    <row r="511" spans="18:18" ht="15.75" customHeight="1">
      <c r="R511" s="30"/>
    </row>
    <row r="512" spans="18:18" ht="15.75" customHeight="1">
      <c r="R512" s="30"/>
    </row>
    <row r="513" spans="18:18" ht="15.75" customHeight="1">
      <c r="R513" s="30"/>
    </row>
    <row r="514" spans="18:18" ht="15.75" customHeight="1">
      <c r="R514" s="30"/>
    </row>
    <row r="515" spans="18:18" ht="15.75" customHeight="1">
      <c r="R515" s="30"/>
    </row>
    <row r="516" spans="18:18" ht="15.75" customHeight="1">
      <c r="R516" s="30"/>
    </row>
    <row r="517" spans="18:18" ht="15.75" customHeight="1">
      <c r="R517" s="30"/>
    </row>
    <row r="518" spans="18:18" ht="15.75" customHeight="1">
      <c r="R518" s="30"/>
    </row>
    <row r="519" spans="18:18" ht="15.75" customHeight="1">
      <c r="R519" s="30"/>
    </row>
    <row r="520" spans="18:18" ht="15.75" customHeight="1">
      <c r="R520" s="30"/>
    </row>
    <row r="521" spans="18:18" ht="15.75" customHeight="1">
      <c r="R521" s="30"/>
    </row>
    <row r="522" spans="18:18" ht="15.75" customHeight="1">
      <c r="R522" s="30"/>
    </row>
    <row r="523" spans="18:18" ht="15.75" customHeight="1">
      <c r="R523" s="30"/>
    </row>
    <row r="524" spans="18:18" ht="15.75" customHeight="1">
      <c r="R524" s="30"/>
    </row>
    <row r="525" spans="18:18" ht="15.75" customHeight="1">
      <c r="R525" s="30"/>
    </row>
    <row r="526" spans="18:18" ht="15.75" customHeight="1">
      <c r="R526" s="30"/>
    </row>
    <row r="527" spans="18:18" ht="15.75" customHeight="1">
      <c r="R527" s="30"/>
    </row>
    <row r="528" spans="18:18" ht="15.75" customHeight="1">
      <c r="R528" s="30"/>
    </row>
    <row r="529" spans="18:18" ht="15.75" customHeight="1">
      <c r="R529" s="30"/>
    </row>
    <row r="530" spans="18:18" ht="15.75" customHeight="1">
      <c r="R530" s="30"/>
    </row>
    <row r="531" spans="18:18" ht="15.75" customHeight="1">
      <c r="R531" s="30"/>
    </row>
    <row r="532" spans="18:18" ht="15.75" customHeight="1">
      <c r="R532" s="30"/>
    </row>
    <row r="533" spans="18:18" ht="15.75" customHeight="1">
      <c r="R533" s="30"/>
    </row>
    <row r="534" spans="18:18" ht="15.75" customHeight="1">
      <c r="R534" s="30"/>
    </row>
    <row r="535" spans="18:18" ht="15.75" customHeight="1">
      <c r="R535" s="30"/>
    </row>
    <row r="536" spans="18:18" ht="15.75" customHeight="1">
      <c r="R536" s="30"/>
    </row>
    <row r="537" spans="18:18" ht="15.75" customHeight="1">
      <c r="R537" s="30"/>
    </row>
    <row r="538" spans="18:18" ht="15.75" customHeight="1">
      <c r="R538" s="30"/>
    </row>
    <row r="539" spans="18:18" ht="15.75" customHeight="1">
      <c r="R539" s="30"/>
    </row>
    <row r="540" spans="18:18" ht="15.75" customHeight="1">
      <c r="R540" s="30"/>
    </row>
    <row r="541" spans="18:18" ht="15.75" customHeight="1">
      <c r="R541" s="30"/>
    </row>
    <row r="542" spans="18:18" ht="15.75" customHeight="1">
      <c r="R542" s="30"/>
    </row>
    <row r="543" spans="18:18" ht="15.75" customHeight="1">
      <c r="R543" s="30"/>
    </row>
    <row r="544" spans="18:18" ht="15.75" customHeight="1">
      <c r="R544" s="30"/>
    </row>
    <row r="545" spans="18:18" ht="15.75" customHeight="1">
      <c r="R545" s="30"/>
    </row>
    <row r="546" spans="18:18" ht="15.75" customHeight="1">
      <c r="R546" s="30"/>
    </row>
    <row r="547" spans="18:18" ht="15.75" customHeight="1">
      <c r="R547" s="30"/>
    </row>
    <row r="548" spans="18:18" ht="15.75" customHeight="1">
      <c r="R548" s="30"/>
    </row>
    <row r="549" spans="18:18" ht="15.75" customHeight="1">
      <c r="R549" s="30"/>
    </row>
    <row r="550" spans="18:18" ht="15.75" customHeight="1">
      <c r="R550" s="30"/>
    </row>
    <row r="551" spans="18:18" ht="15.75" customHeight="1">
      <c r="R551" s="30"/>
    </row>
    <row r="552" spans="18:18" ht="15.75" customHeight="1">
      <c r="R552" s="30"/>
    </row>
    <row r="553" spans="18:18" ht="15.75" customHeight="1">
      <c r="R553" s="30"/>
    </row>
    <row r="554" spans="18:18" ht="15.75" customHeight="1">
      <c r="R554" s="30"/>
    </row>
    <row r="555" spans="18:18" ht="15.75" customHeight="1">
      <c r="R555" s="30"/>
    </row>
    <row r="556" spans="18:18" ht="15.75" customHeight="1">
      <c r="R556" s="30"/>
    </row>
    <row r="557" spans="18:18" ht="15.75" customHeight="1">
      <c r="R557" s="30"/>
    </row>
    <row r="558" spans="18:18" ht="15.75" customHeight="1">
      <c r="R558" s="30"/>
    </row>
    <row r="559" spans="18:18" ht="15.75" customHeight="1">
      <c r="R559" s="30"/>
    </row>
    <row r="560" spans="18:18" ht="15.75" customHeight="1">
      <c r="R560" s="30"/>
    </row>
    <row r="561" spans="18:18" ht="15.75" customHeight="1">
      <c r="R561" s="30"/>
    </row>
    <row r="562" spans="18:18" ht="15.75" customHeight="1">
      <c r="R562" s="30"/>
    </row>
    <row r="563" spans="18:18" ht="15.75" customHeight="1">
      <c r="R563" s="30"/>
    </row>
    <row r="564" spans="18:18" ht="15.75" customHeight="1">
      <c r="R564" s="30"/>
    </row>
    <row r="565" spans="18:18" ht="15.75" customHeight="1">
      <c r="R565" s="30"/>
    </row>
    <row r="566" spans="18:18" ht="15.75" customHeight="1">
      <c r="R566" s="30"/>
    </row>
    <row r="567" spans="18:18" ht="15.75" customHeight="1">
      <c r="R567" s="30"/>
    </row>
    <row r="568" spans="18:18" ht="15.75" customHeight="1">
      <c r="R568" s="30"/>
    </row>
    <row r="569" spans="18:18" ht="15.75" customHeight="1">
      <c r="R569" s="30"/>
    </row>
    <row r="570" spans="18:18" ht="15.75" customHeight="1">
      <c r="R570" s="30"/>
    </row>
    <row r="571" spans="18:18" ht="15.75" customHeight="1">
      <c r="R571" s="30"/>
    </row>
    <row r="572" spans="18:18" ht="15.75" customHeight="1">
      <c r="R572" s="30"/>
    </row>
    <row r="573" spans="18:18" ht="15.75" customHeight="1">
      <c r="R573" s="30"/>
    </row>
    <row r="574" spans="18:18" ht="15.75" customHeight="1">
      <c r="R574" s="30"/>
    </row>
    <row r="575" spans="18:18" ht="15.75" customHeight="1">
      <c r="R575" s="30"/>
    </row>
    <row r="576" spans="18:18" ht="15.75" customHeight="1">
      <c r="R576" s="30"/>
    </row>
    <row r="577" spans="18:18" ht="15.75" customHeight="1">
      <c r="R577" s="30"/>
    </row>
    <row r="578" spans="18:18" ht="15.75" customHeight="1">
      <c r="R578" s="30"/>
    </row>
    <row r="579" spans="18:18" ht="15.75" customHeight="1">
      <c r="R579" s="30"/>
    </row>
    <row r="580" spans="18:18" ht="15.75" customHeight="1">
      <c r="R580" s="30"/>
    </row>
    <row r="581" spans="18:18" ht="15.75" customHeight="1">
      <c r="R581" s="30"/>
    </row>
    <row r="582" spans="18:18" ht="15.75" customHeight="1">
      <c r="R582" s="30"/>
    </row>
    <row r="583" spans="18:18" ht="15.75" customHeight="1">
      <c r="R583" s="30"/>
    </row>
    <row r="584" spans="18:18" ht="15.75" customHeight="1">
      <c r="R584" s="30"/>
    </row>
    <row r="585" spans="18:18" ht="15.75" customHeight="1">
      <c r="R585" s="30"/>
    </row>
    <row r="586" spans="18:18" ht="15.75" customHeight="1">
      <c r="R586" s="30"/>
    </row>
    <row r="587" spans="18:18" ht="15.75" customHeight="1">
      <c r="R587" s="30"/>
    </row>
    <row r="588" spans="18:18" ht="15.75" customHeight="1">
      <c r="R588" s="30"/>
    </row>
    <row r="589" spans="18:18" ht="15.75" customHeight="1">
      <c r="R589" s="30"/>
    </row>
    <row r="590" spans="18:18" ht="15.75" customHeight="1">
      <c r="R590" s="30"/>
    </row>
    <row r="591" spans="18:18" ht="15.75" customHeight="1">
      <c r="R591" s="30"/>
    </row>
    <row r="592" spans="18:18" ht="15.75" customHeight="1">
      <c r="R592" s="30"/>
    </row>
    <row r="593" spans="18:18" ht="15.75" customHeight="1">
      <c r="R593" s="30"/>
    </row>
    <row r="594" spans="18:18" ht="15.75" customHeight="1">
      <c r="R594" s="30"/>
    </row>
    <row r="595" spans="18:18" ht="15.75" customHeight="1">
      <c r="R595" s="30"/>
    </row>
    <row r="596" spans="18:18" ht="15.75" customHeight="1">
      <c r="R596" s="30"/>
    </row>
    <row r="597" spans="18:18" ht="15.75" customHeight="1">
      <c r="R597" s="30"/>
    </row>
    <row r="598" spans="18:18" ht="15.75" customHeight="1">
      <c r="R598" s="30"/>
    </row>
    <row r="599" spans="18:18" ht="15.75" customHeight="1">
      <c r="R599" s="30"/>
    </row>
    <row r="600" spans="18:18" ht="15.75" customHeight="1">
      <c r="R600" s="30"/>
    </row>
    <row r="601" spans="18:18" ht="15.75" customHeight="1">
      <c r="R601" s="30"/>
    </row>
    <row r="602" spans="18:18" ht="15.75" customHeight="1">
      <c r="R602" s="30"/>
    </row>
    <row r="603" spans="18:18" ht="15.75" customHeight="1">
      <c r="R603" s="30"/>
    </row>
    <row r="604" spans="18:18" ht="15.75" customHeight="1">
      <c r="R604" s="30"/>
    </row>
    <row r="605" spans="18:18" ht="15.75" customHeight="1">
      <c r="R605" s="30"/>
    </row>
    <row r="606" spans="18:18" ht="15.75" customHeight="1">
      <c r="R606" s="30"/>
    </row>
    <row r="607" spans="18:18" ht="15.75" customHeight="1">
      <c r="R607" s="30"/>
    </row>
    <row r="608" spans="18:18" ht="15.75" customHeight="1">
      <c r="R608" s="30"/>
    </row>
    <row r="609" spans="18:18" ht="15.75" customHeight="1">
      <c r="R609" s="30"/>
    </row>
    <row r="610" spans="18:18" ht="15.75" customHeight="1">
      <c r="R610" s="30"/>
    </row>
    <row r="611" spans="18:18" ht="15.75" customHeight="1">
      <c r="R611" s="30"/>
    </row>
    <row r="612" spans="18:18" ht="15.75" customHeight="1">
      <c r="R612" s="30"/>
    </row>
    <row r="613" spans="18:18" ht="15.75" customHeight="1">
      <c r="R613" s="30"/>
    </row>
    <row r="614" spans="18:18" ht="15.75" customHeight="1">
      <c r="R614" s="30"/>
    </row>
    <row r="615" spans="18:18" ht="15.75" customHeight="1">
      <c r="R615" s="30"/>
    </row>
    <row r="616" spans="18:18" ht="15.75" customHeight="1">
      <c r="R616" s="30"/>
    </row>
    <row r="617" spans="18:18" ht="15.75" customHeight="1">
      <c r="R617" s="30"/>
    </row>
    <row r="618" spans="18:18" ht="15.75" customHeight="1">
      <c r="R618" s="30"/>
    </row>
    <row r="619" spans="18:18" ht="15.75" customHeight="1">
      <c r="R619" s="30"/>
    </row>
    <row r="620" spans="18:18" ht="15.75" customHeight="1">
      <c r="R620" s="30"/>
    </row>
    <row r="621" spans="18:18" ht="15.75" customHeight="1">
      <c r="R621" s="30"/>
    </row>
    <row r="622" spans="18:18" ht="15.75" customHeight="1">
      <c r="R622" s="30"/>
    </row>
    <row r="623" spans="18:18" ht="15.75" customHeight="1">
      <c r="R623" s="30"/>
    </row>
    <row r="624" spans="18:18" ht="15.75" customHeight="1">
      <c r="R624" s="30"/>
    </row>
    <row r="625" spans="18:18" ht="15.75" customHeight="1">
      <c r="R625" s="30"/>
    </row>
    <row r="626" spans="18:18" ht="15.75" customHeight="1">
      <c r="R626" s="30"/>
    </row>
    <row r="627" spans="18:18" ht="15.75" customHeight="1">
      <c r="R627" s="30"/>
    </row>
    <row r="628" spans="18:18" ht="15.75" customHeight="1">
      <c r="R628" s="30"/>
    </row>
    <row r="629" spans="18:18" ht="15.75" customHeight="1">
      <c r="R629" s="30"/>
    </row>
    <row r="630" spans="18:18" ht="15.75" customHeight="1">
      <c r="R630" s="30"/>
    </row>
    <row r="631" spans="18:18" ht="15.75" customHeight="1">
      <c r="R631" s="30"/>
    </row>
    <row r="632" spans="18:18" ht="15.75" customHeight="1">
      <c r="R632" s="30"/>
    </row>
    <row r="633" spans="18:18" ht="15.75" customHeight="1">
      <c r="R633" s="30"/>
    </row>
    <row r="634" spans="18:18" ht="15.75" customHeight="1">
      <c r="R634" s="30"/>
    </row>
    <row r="635" spans="18:18" ht="15.75" customHeight="1">
      <c r="R635" s="30"/>
    </row>
    <row r="636" spans="18:18" ht="15.75" customHeight="1">
      <c r="R636" s="30"/>
    </row>
    <row r="637" spans="18:18" ht="15.75" customHeight="1">
      <c r="R637" s="30"/>
    </row>
    <row r="638" spans="18:18" ht="15.75" customHeight="1">
      <c r="R638" s="30"/>
    </row>
    <row r="639" spans="18:18" ht="15.75" customHeight="1">
      <c r="R639" s="30"/>
    </row>
    <row r="640" spans="18:18" ht="15.75" customHeight="1">
      <c r="R640" s="30"/>
    </row>
    <row r="641" spans="18:18" ht="15.75" customHeight="1">
      <c r="R641" s="30"/>
    </row>
    <row r="642" spans="18:18" ht="15.75" customHeight="1">
      <c r="R642" s="30"/>
    </row>
    <row r="643" spans="18:18" ht="15.75" customHeight="1">
      <c r="R643" s="30"/>
    </row>
    <row r="644" spans="18:18" ht="15.75" customHeight="1">
      <c r="R644" s="30"/>
    </row>
    <row r="645" spans="18:18" ht="15.75" customHeight="1">
      <c r="R645" s="30"/>
    </row>
    <row r="646" spans="18:18" ht="15.75" customHeight="1">
      <c r="R646" s="30"/>
    </row>
    <row r="647" spans="18:18" ht="15.75" customHeight="1">
      <c r="R647" s="30"/>
    </row>
    <row r="648" spans="18:18" ht="15.75" customHeight="1">
      <c r="R648" s="30"/>
    </row>
    <row r="649" spans="18:18" ht="15.75" customHeight="1">
      <c r="R649" s="30"/>
    </row>
    <row r="650" spans="18:18" ht="15.75" customHeight="1">
      <c r="R650" s="30"/>
    </row>
    <row r="651" spans="18:18" ht="15.75" customHeight="1">
      <c r="R651" s="30"/>
    </row>
    <row r="652" spans="18:18" ht="15.75" customHeight="1">
      <c r="R652" s="30"/>
    </row>
    <row r="653" spans="18:18" ht="15.75" customHeight="1">
      <c r="R653" s="30"/>
    </row>
    <row r="654" spans="18:18" ht="15.75" customHeight="1">
      <c r="R654" s="30"/>
    </row>
    <row r="655" spans="18:18" ht="15.75" customHeight="1">
      <c r="R655" s="30"/>
    </row>
    <row r="656" spans="18:18" ht="15.75" customHeight="1">
      <c r="R656" s="30"/>
    </row>
    <row r="657" spans="18:18" ht="15.75" customHeight="1">
      <c r="R657" s="30"/>
    </row>
    <row r="658" spans="18:18" ht="15.75" customHeight="1">
      <c r="R658" s="30"/>
    </row>
    <row r="659" spans="18:18" ht="15.75" customHeight="1">
      <c r="R659" s="30"/>
    </row>
    <row r="660" spans="18:18" ht="15.75" customHeight="1">
      <c r="R660" s="30"/>
    </row>
    <row r="661" spans="18:18" ht="15.75" customHeight="1">
      <c r="R661" s="30"/>
    </row>
    <row r="662" spans="18:18" ht="15.75" customHeight="1">
      <c r="R662" s="30"/>
    </row>
    <row r="663" spans="18:18" ht="15.75" customHeight="1">
      <c r="R663" s="30"/>
    </row>
    <row r="664" spans="18:18" ht="15.75" customHeight="1">
      <c r="R664" s="30"/>
    </row>
    <row r="665" spans="18:18" ht="15.75" customHeight="1">
      <c r="R665" s="30"/>
    </row>
    <row r="666" spans="18:18" ht="15.75" customHeight="1">
      <c r="R666" s="30"/>
    </row>
    <row r="667" spans="18:18" ht="15.75" customHeight="1">
      <c r="R667" s="30"/>
    </row>
    <row r="668" spans="18:18" ht="15.75" customHeight="1">
      <c r="R668" s="30"/>
    </row>
    <row r="669" spans="18:18" ht="15.75" customHeight="1">
      <c r="R669" s="30"/>
    </row>
    <row r="670" spans="18:18" ht="15.75" customHeight="1">
      <c r="R670" s="30"/>
    </row>
    <row r="671" spans="18:18" ht="15.75" customHeight="1">
      <c r="R671" s="30"/>
    </row>
    <row r="672" spans="18:18" ht="15.75" customHeight="1">
      <c r="R672" s="30"/>
    </row>
    <row r="673" spans="18:18" ht="15.75" customHeight="1">
      <c r="R673" s="30"/>
    </row>
    <row r="674" spans="18:18" ht="15.75" customHeight="1">
      <c r="R674" s="30"/>
    </row>
    <row r="675" spans="18:18" ht="15.75" customHeight="1">
      <c r="R675" s="30"/>
    </row>
    <row r="676" spans="18:18" ht="15.75" customHeight="1">
      <c r="R676" s="30"/>
    </row>
    <row r="677" spans="18:18" ht="15.75" customHeight="1">
      <c r="R677" s="30"/>
    </row>
    <row r="678" spans="18:18" ht="15.75" customHeight="1">
      <c r="R678" s="30"/>
    </row>
    <row r="679" spans="18:18" ht="15.75" customHeight="1">
      <c r="R679" s="30"/>
    </row>
    <row r="680" spans="18:18" ht="15.75" customHeight="1">
      <c r="R680" s="30"/>
    </row>
    <row r="681" spans="18:18" ht="15.75" customHeight="1">
      <c r="R681" s="30"/>
    </row>
    <row r="682" spans="18:18" ht="15.75" customHeight="1">
      <c r="R682" s="30"/>
    </row>
    <row r="683" spans="18:18" ht="15.75" customHeight="1">
      <c r="R683" s="30"/>
    </row>
    <row r="684" spans="18:18" ht="15.75" customHeight="1">
      <c r="R684" s="30"/>
    </row>
    <row r="685" spans="18:18" ht="15.75" customHeight="1">
      <c r="R685" s="30"/>
    </row>
    <row r="686" spans="18:18" ht="15.75" customHeight="1">
      <c r="R686" s="30"/>
    </row>
    <row r="687" spans="18:18" ht="15.75" customHeight="1">
      <c r="R687" s="30"/>
    </row>
    <row r="688" spans="18:18" ht="15.75" customHeight="1">
      <c r="R688" s="30"/>
    </row>
    <row r="689" spans="18:18" ht="15.75" customHeight="1">
      <c r="R689" s="30"/>
    </row>
    <row r="690" spans="18:18" ht="15.75" customHeight="1">
      <c r="R690" s="30"/>
    </row>
    <row r="691" spans="18:18" ht="15.75" customHeight="1">
      <c r="R691" s="30"/>
    </row>
    <row r="692" spans="18:18" ht="15.75" customHeight="1">
      <c r="R692" s="30"/>
    </row>
    <row r="693" spans="18:18" ht="15.75" customHeight="1">
      <c r="R693" s="30"/>
    </row>
    <row r="694" spans="18:18" ht="15.75" customHeight="1">
      <c r="R694" s="30"/>
    </row>
    <row r="695" spans="18:18" ht="15.75" customHeight="1">
      <c r="R695" s="30"/>
    </row>
    <row r="696" spans="18:18" ht="15.75" customHeight="1">
      <c r="R696" s="30"/>
    </row>
    <row r="697" spans="18:18" ht="15.75" customHeight="1">
      <c r="R697" s="30"/>
    </row>
    <row r="698" spans="18:18" ht="15.75" customHeight="1">
      <c r="R698" s="30"/>
    </row>
    <row r="699" spans="18:18" ht="15.75" customHeight="1">
      <c r="R699" s="30"/>
    </row>
    <row r="700" spans="18:18" ht="15.75" customHeight="1">
      <c r="R700" s="30"/>
    </row>
    <row r="701" spans="18:18" ht="15.75" customHeight="1">
      <c r="R701" s="30"/>
    </row>
    <row r="702" spans="18:18" ht="15.75" customHeight="1">
      <c r="R702" s="30"/>
    </row>
    <row r="703" spans="18:18" ht="15.75" customHeight="1">
      <c r="R703" s="30"/>
    </row>
    <row r="704" spans="18:18" ht="15.75" customHeight="1">
      <c r="R704" s="30"/>
    </row>
    <row r="705" spans="18:18" ht="15.75" customHeight="1">
      <c r="R705" s="30"/>
    </row>
    <row r="706" spans="18:18" ht="15.75" customHeight="1">
      <c r="R706" s="30"/>
    </row>
    <row r="707" spans="18:18" ht="15.75" customHeight="1">
      <c r="R707" s="30"/>
    </row>
    <row r="708" spans="18:18" ht="15.75" customHeight="1">
      <c r="R708" s="30"/>
    </row>
    <row r="709" spans="18:18" ht="15.75" customHeight="1">
      <c r="R709" s="30"/>
    </row>
    <row r="710" spans="18:18" ht="15.75" customHeight="1">
      <c r="R710" s="30"/>
    </row>
    <row r="711" spans="18:18" ht="15.75" customHeight="1">
      <c r="R711" s="30"/>
    </row>
    <row r="712" spans="18:18" ht="15.75" customHeight="1">
      <c r="R712" s="30"/>
    </row>
    <row r="713" spans="18:18" ht="15.75" customHeight="1">
      <c r="R713" s="30"/>
    </row>
    <row r="714" spans="18:18" ht="15.75" customHeight="1">
      <c r="R714" s="30"/>
    </row>
    <row r="715" spans="18:18" ht="15.75" customHeight="1">
      <c r="R715" s="30"/>
    </row>
    <row r="716" spans="18:18" ht="15.75" customHeight="1">
      <c r="R716" s="30"/>
    </row>
    <row r="717" spans="18:18" ht="15.75" customHeight="1">
      <c r="R717" s="30"/>
    </row>
    <row r="718" spans="18:18" ht="15.75" customHeight="1">
      <c r="R718" s="30"/>
    </row>
    <row r="719" spans="18:18" ht="15.75" customHeight="1">
      <c r="R719" s="30"/>
    </row>
    <row r="720" spans="18:18" ht="15.75" customHeight="1">
      <c r="R720" s="30"/>
    </row>
    <row r="721" spans="18:18" ht="15.75" customHeight="1">
      <c r="R721" s="30"/>
    </row>
    <row r="722" spans="18:18" ht="15.75" customHeight="1">
      <c r="R722" s="30"/>
    </row>
    <row r="723" spans="18:18" ht="15.75" customHeight="1">
      <c r="R723" s="30"/>
    </row>
    <row r="724" spans="18:18" ht="15.75" customHeight="1">
      <c r="R724" s="30"/>
    </row>
    <row r="725" spans="18:18" ht="15.75" customHeight="1">
      <c r="R725" s="30"/>
    </row>
    <row r="726" spans="18:18" ht="15.75" customHeight="1">
      <c r="R726" s="30"/>
    </row>
    <row r="727" spans="18:18" ht="15.75" customHeight="1">
      <c r="R727" s="30"/>
    </row>
    <row r="728" spans="18:18" ht="15.75" customHeight="1">
      <c r="R728" s="30"/>
    </row>
    <row r="729" spans="18:18" ht="15.75" customHeight="1">
      <c r="R729" s="30"/>
    </row>
    <row r="730" spans="18:18" ht="15.75" customHeight="1">
      <c r="R730" s="30"/>
    </row>
    <row r="731" spans="18:18" ht="15.75" customHeight="1">
      <c r="R731" s="30"/>
    </row>
    <row r="732" spans="18:18" ht="15.75" customHeight="1">
      <c r="R732" s="30"/>
    </row>
    <row r="733" spans="18:18" ht="15.75" customHeight="1">
      <c r="R733" s="30"/>
    </row>
    <row r="734" spans="18:18" ht="15.75" customHeight="1">
      <c r="R734" s="30"/>
    </row>
    <row r="735" spans="18:18" ht="15.75" customHeight="1">
      <c r="R735" s="30"/>
    </row>
    <row r="736" spans="18:18" ht="15.75" customHeight="1">
      <c r="R736" s="30"/>
    </row>
    <row r="737" spans="18:18" ht="15.75" customHeight="1">
      <c r="R737" s="30"/>
    </row>
    <row r="738" spans="18:18" ht="15.75" customHeight="1">
      <c r="R738" s="30"/>
    </row>
    <row r="739" spans="18:18" ht="15.75" customHeight="1">
      <c r="R739" s="30"/>
    </row>
    <row r="740" spans="18:18" ht="15.75" customHeight="1">
      <c r="R740" s="30"/>
    </row>
    <row r="741" spans="18:18" ht="15.75" customHeight="1">
      <c r="R741" s="30"/>
    </row>
    <row r="742" spans="18:18" ht="15.75" customHeight="1">
      <c r="R742" s="30"/>
    </row>
    <row r="743" spans="18:18" ht="15.75" customHeight="1">
      <c r="R743" s="30"/>
    </row>
    <row r="744" spans="18:18" ht="15.75" customHeight="1">
      <c r="R744" s="30"/>
    </row>
    <row r="745" spans="18:18" ht="15.75" customHeight="1">
      <c r="R745" s="30"/>
    </row>
    <row r="746" spans="18:18" ht="15.75" customHeight="1">
      <c r="R746" s="30"/>
    </row>
    <row r="747" spans="18:18" ht="15.75" customHeight="1">
      <c r="R747" s="30"/>
    </row>
    <row r="748" spans="18:18" ht="15.75" customHeight="1">
      <c r="R748" s="30"/>
    </row>
    <row r="749" spans="18:18" ht="15.75" customHeight="1">
      <c r="R749" s="30"/>
    </row>
    <row r="750" spans="18:18" ht="15.75" customHeight="1">
      <c r="R750" s="30"/>
    </row>
    <row r="751" spans="18:18" ht="15.75" customHeight="1">
      <c r="R751" s="30"/>
    </row>
    <row r="752" spans="18:18" ht="15.75" customHeight="1">
      <c r="R752" s="30"/>
    </row>
    <row r="753" spans="18:18" ht="15.75" customHeight="1">
      <c r="R753" s="30"/>
    </row>
    <row r="754" spans="18:18" ht="15.75" customHeight="1">
      <c r="R754" s="30"/>
    </row>
    <row r="755" spans="18:18" ht="15.75" customHeight="1">
      <c r="R755" s="30"/>
    </row>
    <row r="756" spans="18:18" ht="15.75" customHeight="1">
      <c r="R756" s="30"/>
    </row>
    <row r="757" spans="18:18" ht="15.75" customHeight="1">
      <c r="R757" s="30"/>
    </row>
    <row r="758" spans="18:18" ht="15.75" customHeight="1">
      <c r="R758" s="30"/>
    </row>
    <row r="759" spans="18:18" ht="15.75" customHeight="1">
      <c r="R759" s="30"/>
    </row>
    <row r="760" spans="18:18" ht="15.75" customHeight="1">
      <c r="R760" s="30"/>
    </row>
    <row r="761" spans="18:18" ht="15.75" customHeight="1">
      <c r="R761" s="30"/>
    </row>
    <row r="762" spans="18:18" ht="15.75" customHeight="1">
      <c r="R762" s="30"/>
    </row>
    <row r="763" spans="18:18" ht="15.75" customHeight="1">
      <c r="R763" s="30"/>
    </row>
    <row r="764" spans="18:18" ht="15.75" customHeight="1">
      <c r="R764" s="30"/>
    </row>
    <row r="765" spans="18:18" ht="15.75" customHeight="1">
      <c r="R765" s="30"/>
    </row>
    <row r="766" spans="18:18" ht="15.75" customHeight="1">
      <c r="R766" s="30"/>
    </row>
    <row r="767" spans="18:18" ht="15.75" customHeight="1">
      <c r="R767" s="30"/>
    </row>
    <row r="768" spans="18:18" ht="15.75" customHeight="1">
      <c r="R768" s="30"/>
    </row>
    <row r="769" spans="18:18" ht="15.75" customHeight="1">
      <c r="R769" s="30"/>
    </row>
    <row r="770" spans="18:18" ht="15.75" customHeight="1">
      <c r="R770" s="30"/>
    </row>
    <row r="771" spans="18:18" ht="15.75" customHeight="1">
      <c r="R771" s="30"/>
    </row>
    <row r="772" spans="18:18" ht="15.75" customHeight="1">
      <c r="R772" s="30"/>
    </row>
    <row r="773" spans="18:18" ht="15.75" customHeight="1">
      <c r="R773" s="30"/>
    </row>
    <row r="774" spans="18:18" ht="15.75" customHeight="1">
      <c r="R774" s="30"/>
    </row>
    <row r="775" spans="18:18" ht="15.75" customHeight="1">
      <c r="R775" s="30"/>
    </row>
    <row r="776" spans="18:18" ht="15.75" customHeight="1">
      <c r="R776" s="30"/>
    </row>
    <row r="777" spans="18:18" ht="15.75" customHeight="1">
      <c r="R777" s="30"/>
    </row>
    <row r="778" spans="18:18" ht="15.75" customHeight="1">
      <c r="R778" s="30"/>
    </row>
    <row r="779" spans="18:18" ht="15.75" customHeight="1">
      <c r="R779" s="30"/>
    </row>
    <row r="780" spans="18:18" ht="15.75" customHeight="1">
      <c r="R780" s="30"/>
    </row>
    <row r="781" spans="18:18" ht="15.75" customHeight="1">
      <c r="R781" s="30"/>
    </row>
    <row r="782" spans="18:18" ht="15.75" customHeight="1">
      <c r="R782" s="30"/>
    </row>
    <row r="783" spans="18:18" ht="15.75" customHeight="1">
      <c r="R783" s="30"/>
    </row>
    <row r="784" spans="18:18" ht="15.75" customHeight="1">
      <c r="R784" s="30"/>
    </row>
    <row r="785" spans="18:18" ht="15.75" customHeight="1">
      <c r="R785" s="30"/>
    </row>
    <row r="786" spans="18:18" ht="15.75" customHeight="1">
      <c r="R786" s="30"/>
    </row>
    <row r="787" spans="18:18" ht="15.75" customHeight="1">
      <c r="R787" s="30"/>
    </row>
    <row r="788" spans="18:18" ht="15.75" customHeight="1">
      <c r="R788" s="30"/>
    </row>
    <row r="789" spans="18:18" ht="15.75" customHeight="1">
      <c r="R789" s="30"/>
    </row>
    <row r="790" spans="18:18" ht="15.75" customHeight="1">
      <c r="R790" s="30"/>
    </row>
    <row r="791" spans="18:18" ht="15.75" customHeight="1">
      <c r="R791" s="30"/>
    </row>
    <row r="792" spans="18:18" ht="15.75" customHeight="1">
      <c r="R792" s="30"/>
    </row>
    <row r="793" spans="18:18" ht="15.75" customHeight="1">
      <c r="R793" s="30"/>
    </row>
    <row r="794" spans="18:18" ht="15.75" customHeight="1">
      <c r="R794" s="30"/>
    </row>
    <row r="795" spans="18:18" ht="15.75" customHeight="1">
      <c r="R795" s="30"/>
    </row>
    <row r="796" spans="18:18" ht="15.75" customHeight="1">
      <c r="R796" s="30"/>
    </row>
    <row r="797" spans="18:18" ht="15.75" customHeight="1">
      <c r="R797" s="30"/>
    </row>
    <row r="798" spans="18:18" ht="15.75" customHeight="1">
      <c r="R798" s="30"/>
    </row>
    <row r="799" spans="18:18" ht="15.75" customHeight="1">
      <c r="R799" s="30"/>
    </row>
    <row r="800" spans="18:18" ht="15.75" customHeight="1">
      <c r="R800" s="30"/>
    </row>
    <row r="801" spans="18:18" ht="15.75" customHeight="1">
      <c r="R801" s="30"/>
    </row>
    <row r="802" spans="18:18" ht="15.75" customHeight="1">
      <c r="R802" s="30"/>
    </row>
    <row r="803" spans="18:18" ht="15.75" customHeight="1">
      <c r="R803" s="30"/>
    </row>
    <row r="804" spans="18:18" ht="15.75" customHeight="1">
      <c r="R804" s="30"/>
    </row>
    <row r="805" spans="18:18" ht="15.75" customHeight="1">
      <c r="R805" s="30"/>
    </row>
    <row r="806" spans="18:18" ht="15.75" customHeight="1">
      <c r="R806" s="30"/>
    </row>
    <row r="807" spans="18:18" ht="15.75" customHeight="1">
      <c r="R807" s="30"/>
    </row>
    <row r="808" spans="18:18" ht="15.75" customHeight="1">
      <c r="R808" s="30"/>
    </row>
    <row r="809" spans="18:18" ht="15.75" customHeight="1">
      <c r="R809" s="30"/>
    </row>
    <row r="810" spans="18:18" ht="15.75" customHeight="1">
      <c r="R810" s="30"/>
    </row>
    <row r="811" spans="18:18" ht="15.75" customHeight="1">
      <c r="R811" s="30"/>
    </row>
    <row r="812" spans="18:18" ht="15.75" customHeight="1">
      <c r="R812" s="30"/>
    </row>
    <row r="813" spans="18:18" ht="15.75" customHeight="1">
      <c r="R813" s="30"/>
    </row>
    <row r="814" spans="18:18" ht="15.75" customHeight="1">
      <c r="R814" s="30"/>
    </row>
    <row r="815" spans="18:18" ht="15.75" customHeight="1">
      <c r="R815" s="30"/>
    </row>
    <row r="816" spans="18:18" ht="15.75" customHeight="1">
      <c r="R816" s="30"/>
    </row>
    <row r="817" spans="18:18" ht="15.75" customHeight="1">
      <c r="R817" s="30"/>
    </row>
    <row r="818" spans="18:18" ht="15.75" customHeight="1">
      <c r="R818" s="30"/>
    </row>
    <row r="819" spans="18:18" ht="15.75" customHeight="1">
      <c r="R819" s="30"/>
    </row>
    <row r="820" spans="18:18" ht="15.75" customHeight="1">
      <c r="R820" s="30"/>
    </row>
    <row r="821" spans="18:18" ht="15.75" customHeight="1">
      <c r="R821" s="30"/>
    </row>
    <row r="822" spans="18:18" ht="15.75" customHeight="1">
      <c r="R822" s="30"/>
    </row>
    <row r="823" spans="18:18" ht="15.75" customHeight="1">
      <c r="R823" s="30"/>
    </row>
    <row r="824" spans="18:18" ht="15.75" customHeight="1">
      <c r="R824" s="30"/>
    </row>
    <row r="825" spans="18:18" ht="15.75" customHeight="1">
      <c r="R825" s="30"/>
    </row>
    <row r="826" spans="18:18" ht="15.75" customHeight="1">
      <c r="R826" s="30"/>
    </row>
    <row r="827" spans="18:18" ht="15.75" customHeight="1">
      <c r="R827" s="30"/>
    </row>
    <row r="828" spans="18:18" ht="15.75" customHeight="1">
      <c r="R828" s="30"/>
    </row>
    <row r="829" spans="18:18" ht="15.75" customHeight="1">
      <c r="R829" s="30"/>
    </row>
    <row r="830" spans="18:18" ht="15.75" customHeight="1">
      <c r="R830" s="30"/>
    </row>
    <row r="831" spans="18:18" ht="15.75" customHeight="1">
      <c r="R831" s="30"/>
    </row>
    <row r="832" spans="18:18" ht="15.75" customHeight="1">
      <c r="R832" s="30"/>
    </row>
    <row r="833" spans="18:18" ht="15.75" customHeight="1">
      <c r="R833" s="30"/>
    </row>
    <row r="834" spans="18:18" ht="15.75" customHeight="1">
      <c r="R834" s="30"/>
    </row>
    <row r="835" spans="18:18" ht="15.75" customHeight="1">
      <c r="R835" s="30"/>
    </row>
    <row r="836" spans="18:18" ht="15.75" customHeight="1">
      <c r="R836" s="30"/>
    </row>
    <row r="837" spans="18:18" ht="15.75" customHeight="1">
      <c r="R837" s="30"/>
    </row>
    <row r="838" spans="18:18" ht="15.75" customHeight="1">
      <c r="R838" s="30"/>
    </row>
    <row r="839" spans="18:18" ht="15.75" customHeight="1">
      <c r="R839" s="30"/>
    </row>
    <row r="840" spans="18:18" ht="15.75" customHeight="1">
      <c r="R840" s="30"/>
    </row>
    <row r="841" spans="18:18" ht="15.75" customHeight="1">
      <c r="R841" s="30"/>
    </row>
    <row r="842" spans="18:18" ht="15.75" customHeight="1">
      <c r="R842" s="30"/>
    </row>
    <row r="843" spans="18:18" ht="15.75" customHeight="1">
      <c r="R843" s="30"/>
    </row>
    <row r="844" spans="18:18" ht="15.75" customHeight="1">
      <c r="R844" s="30"/>
    </row>
    <row r="845" spans="18:18" ht="15.75" customHeight="1">
      <c r="R845" s="30"/>
    </row>
    <row r="846" spans="18:18" ht="15.75" customHeight="1">
      <c r="R846" s="30"/>
    </row>
    <row r="847" spans="18:18" ht="15.75" customHeight="1">
      <c r="R847" s="30"/>
    </row>
    <row r="848" spans="18:18" ht="15.75" customHeight="1">
      <c r="R848" s="30"/>
    </row>
    <row r="849" spans="18:18" ht="15.75" customHeight="1">
      <c r="R849" s="30"/>
    </row>
    <row r="850" spans="18:18" ht="15.75" customHeight="1">
      <c r="R850" s="30"/>
    </row>
    <row r="851" spans="18:18" ht="15.75" customHeight="1">
      <c r="R851" s="30"/>
    </row>
    <row r="852" spans="18:18" ht="15.75" customHeight="1">
      <c r="R852" s="30"/>
    </row>
    <row r="853" spans="18:18" ht="15.75" customHeight="1">
      <c r="R853" s="30"/>
    </row>
    <row r="854" spans="18:18" ht="15.75" customHeight="1">
      <c r="R854" s="30"/>
    </row>
    <row r="855" spans="18:18" ht="15.75" customHeight="1">
      <c r="R855" s="30"/>
    </row>
    <row r="856" spans="18:18" ht="15.75" customHeight="1">
      <c r="R856" s="30"/>
    </row>
    <row r="857" spans="18:18" ht="15.75" customHeight="1">
      <c r="R857" s="30"/>
    </row>
    <row r="858" spans="18:18" ht="15.75" customHeight="1">
      <c r="R858" s="30"/>
    </row>
    <row r="859" spans="18:18" ht="15.75" customHeight="1">
      <c r="R859" s="30"/>
    </row>
    <row r="860" spans="18:18" ht="15.75" customHeight="1">
      <c r="R860" s="30"/>
    </row>
    <row r="861" spans="18:18" ht="15.75" customHeight="1">
      <c r="R861" s="30"/>
    </row>
    <row r="862" spans="18:18" ht="15.75" customHeight="1">
      <c r="R862" s="30"/>
    </row>
    <row r="863" spans="18:18" ht="15.75" customHeight="1">
      <c r="R863" s="30"/>
    </row>
    <row r="864" spans="18:18" ht="15.75" customHeight="1">
      <c r="R864" s="30"/>
    </row>
    <row r="865" spans="18:18" ht="15.75" customHeight="1">
      <c r="R865" s="30"/>
    </row>
    <row r="866" spans="18:18" ht="15.75" customHeight="1">
      <c r="R866" s="30"/>
    </row>
    <row r="867" spans="18:18" ht="15.75" customHeight="1">
      <c r="R867" s="30"/>
    </row>
    <row r="868" spans="18:18" ht="15.75" customHeight="1">
      <c r="R868" s="30"/>
    </row>
    <row r="869" spans="18:18" ht="15.75" customHeight="1">
      <c r="R869" s="30"/>
    </row>
    <row r="870" spans="18:18" ht="15.75" customHeight="1">
      <c r="R870" s="30"/>
    </row>
    <row r="871" spans="18:18" ht="15.75" customHeight="1">
      <c r="R871" s="30"/>
    </row>
    <row r="872" spans="18:18" ht="15.75" customHeight="1">
      <c r="R872" s="30"/>
    </row>
    <row r="873" spans="18:18" ht="15.75" customHeight="1">
      <c r="R873" s="30"/>
    </row>
    <row r="874" spans="18:18" ht="15.75" customHeight="1">
      <c r="R874" s="30"/>
    </row>
    <row r="875" spans="18:18" ht="15.75" customHeight="1">
      <c r="R875" s="30"/>
    </row>
    <row r="876" spans="18:18" ht="15.75" customHeight="1">
      <c r="R876" s="30"/>
    </row>
    <row r="877" spans="18:18" ht="15.75" customHeight="1">
      <c r="R877" s="30"/>
    </row>
    <row r="878" spans="18:18" ht="15.75" customHeight="1">
      <c r="R878" s="30"/>
    </row>
    <row r="879" spans="18:18" ht="15.75" customHeight="1">
      <c r="R879" s="30"/>
    </row>
    <row r="880" spans="18:18" ht="15.75" customHeight="1">
      <c r="R880" s="30"/>
    </row>
    <row r="881" spans="18:18" ht="15.75" customHeight="1">
      <c r="R881" s="30"/>
    </row>
    <row r="882" spans="18:18" ht="15.75" customHeight="1">
      <c r="R882" s="30"/>
    </row>
    <row r="883" spans="18:18" ht="15.75" customHeight="1">
      <c r="R883" s="30"/>
    </row>
    <row r="884" spans="18:18" ht="15.75" customHeight="1">
      <c r="R884" s="30"/>
    </row>
    <row r="885" spans="18:18" ht="15.75" customHeight="1">
      <c r="R885" s="30"/>
    </row>
    <row r="886" spans="18:18" ht="15.75" customHeight="1">
      <c r="R886" s="30"/>
    </row>
    <row r="887" spans="18:18" ht="15.75" customHeight="1">
      <c r="R887" s="30"/>
    </row>
    <row r="888" spans="18:18" ht="15.75" customHeight="1">
      <c r="R888" s="30"/>
    </row>
    <row r="889" spans="18:18" ht="15.75" customHeight="1">
      <c r="R889" s="30"/>
    </row>
    <row r="890" spans="18:18" ht="15.75" customHeight="1">
      <c r="R890" s="30"/>
    </row>
    <row r="891" spans="18:18" ht="15.75" customHeight="1">
      <c r="R891" s="30"/>
    </row>
    <row r="892" spans="18:18" ht="15.75" customHeight="1">
      <c r="R892" s="30"/>
    </row>
    <row r="893" spans="18:18" ht="15.75" customHeight="1">
      <c r="R893" s="30"/>
    </row>
    <row r="894" spans="18:18" ht="15.75" customHeight="1">
      <c r="R894" s="30"/>
    </row>
    <row r="895" spans="18:18" ht="15.75" customHeight="1">
      <c r="R895" s="30"/>
    </row>
    <row r="896" spans="18:18" ht="15.75" customHeight="1">
      <c r="R896" s="30"/>
    </row>
    <row r="897" spans="18:18" ht="15.75" customHeight="1">
      <c r="R897" s="30"/>
    </row>
    <row r="898" spans="18:18" ht="15.75" customHeight="1">
      <c r="R898" s="30"/>
    </row>
    <row r="899" spans="18:18" ht="15.75" customHeight="1">
      <c r="R899" s="30"/>
    </row>
    <row r="900" spans="18:18" ht="15.75" customHeight="1">
      <c r="R900" s="30"/>
    </row>
    <row r="901" spans="18:18" ht="15.75" customHeight="1">
      <c r="R901" s="30"/>
    </row>
    <row r="902" spans="18:18" ht="15.75" customHeight="1">
      <c r="R902" s="30"/>
    </row>
    <row r="903" spans="18:18" ht="15.75" customHeight="1">
      <c r="R903" s="30"/>
    </row>
    <row r="904" spans="18:18" ht="15.75" customHeight="1">
      <c r="R904" s="30"/>
    </row>
    <row r="905" spans="18:18" ht="15.75" customHeight="1">
      <c r="R905" s="30"/>
    </row>
    <row r="906" spans="18:18" ht="15.75" customHeight="1">
      <c r="R906" s="30"/>
    </row>
    <row r="907" spans="18:18" ht="15.75" customHeight="1">
      <c r="R907" s="30"/>
    </row>
    <row r="908" spans="18:18" ht="15.75" customHeight="1">
      <c r="R908" s="30"/>
    </row>
    <row r="909" spans="18:18" ht="15.75" customHeight="1">
      <c r="R909" s="30"/>
    </row>
    <row r="910" spans="18:18" ht="15.75" customHeight="1">
      <c r="R910" s="30"/>
    </row>
    <row r="911" spans="18:18" ht="15.75" customHeight="1">
      <c r="R911" s="30"/>
    </row>
    <row r="912" spans="18:18" ht="15.75" customHeight="1">
      <c r="R912" s="30"/>
    </row>
    <row r="913" spans="18:18" ht="15.75" customHeight="1">
      <c r="R913" s="30"/>
    </row>
    <row r="914" spans="18:18" ht="15.75" customHeight="1">
      <c r="R914" s="30"/>
    </row>
    <row r="915" spans="18:18" ht="15.75" customHeight="1">
      <c r="R915" s="30"/>
    </row>
    <row r="916" spans="18:18" ht="15.75" customHeight="1">
      <c r="R916" s="30"/>
    </row>
    <row r="917" spans="18:18" ht="15.75" customHeight="1">
      <c r="R917" s="30"/>
    </row>
    <row r="918" spans="18:18" ht="15.75" customHeight="1">
      <c r="R918" s="30"/>
    </row>
    <row r="919" spans="18:18" ht="15.75" customHeight="1">
      <c r="R919" s="30"/>
    </row>
    <row r="920" spans="18:18" ht="15.75" customHeight="1">
      <c r="R920" s="30"/>
    </row>
    <row r="921" spans="18:18" ht="15.75" customHeight="1">
      <c r="R921" s="30"/>
    </row>
    <row r="922" spans="18:18" ht="15.75" customHeight="1">
      <c r="R922" s="30"/>
    </row>
    <row r="923" spans="18:18" ht="15.75" customHeight="1">
      <c r="R923" s="30"/>
    </row>
    <row r="924" spans="18:18" ht="15.75" customHeight="1">
      <c r="R924" s="30"/>
    </row>
    <row r="925" spans="18:18" ht="15.75" customHeight="1">
      <c r="R925" s="30"/>
    </row>
    <row r="926" spans="18:18" ht="15.75" customHeight="1">
      <c r="R926" s="30"/>
    </row>
    <row r="927" spans="18:18" ht="15.75" customHeight="1">
      <c r="R927" s="30"/>
    </row>
    <row r="928" spans="18:18" ht="15.75" customHeight="1">
      <c r="R928" s="30"/>
    </row>
    <row r="929" spans="18:18" ht="15.75" customHeight="1">
      <c r="R929" s="30"/>
    </row>
    <row r="930" spans="18:18" ht="15.75" customHeight="1">
      <c r="R930" s="30"/>
    </row>
    <row r="931" spans="18:18" ht="15.75" customHeight="1">
      <c r="R931" s="30"/>
    </row>
    <row r="932" spans="18:18" ht="15.75" customHeight="1">
      <c r="R932" s="30"/>
    </row>
    <row r="933" spans="18:18" ht="15.75" customHeight="1">
      <c r="R933" s="30"/>
    </row>
    <row r="934" spans="18:18" ht="15.75" customHeight="1">
      <c r="R934" s="30"/>
    </row>
    <row r="935" spans="18:18" ht="15.75" customHeight="1">
      <c r="R935" s="30"/>
    </row>
    <row r="936" spans="18:18" ht="15.75" customHeight="1">
      <c r="R936" s="30"/>
    </row>
    <row r="937" spans="18:18" ht="15.75" customHeight="1">
      <c r="R937" s="30"/>
    </row>
    <row r="938" spans="18:18" ht="15.75" customHeight="1">
      <c r="R938" s="30"/>
    </row>
    <row r="939" spans="18:18" ht="15.75" customHeight="1">
      <c r="R939" s="30"/>
    </row>
    <row r="940" spans="18:18" ht="15.75" customHeight="1">
      <c r="R940" s="30"/>
    </row>
    <row r="941" spans="18:18" ht="15.75" customHeight="1">
      <c r="R941" s="30"/>
    </row>
    <row r="942" spans="18:18" ht="15.75" customHeight="1">
      <c r="R942" s="30"/>
    </row>
    <row r="943" spans="18:18" ht="15.75" customHeight="1">
      <c r="R943" s="30"/>
    </row>
    <row r="944" spans="18:18" ht="15.75" customHeight="1">
      <c r="R944" s="30"/>
    </row>
    <row r="945" spans="18:18" ht="15.75" customHeight="1">
      <c r="R945" s="30"/>
    </row>
    <row r="946" spans="18:18" ht="15.75" customHeight="1">
      <c r="R946" s="30"/>
    </row>
    <row r="947" spans="18:18" ht="15.75" customHeight="1">
      <c r="R947" s="30"/>
    </row>
    <row r="948" spans="18:18" ht="15.75" customHeight="1">
      <c r="R948" s="30"/>
    </row>
    <row r="949" spans="18:18" ht="15.75" customHeight="1">
      <c r="R949" s="30"/>
    </row>
    <row r="950" spans="18:18" ht="15.75" customHeight="1">
      <c r="R950" s="30"/>
    </row>
    <row r="951" spans="18:18" ht="15.75" customHeight="1">
      <c r="R951" s="30"/>
    </row>
    <row r="952" spans="18:18" ht="15.75" customHeight="1">
      <c r="R952" s="30"/>
    </row>
    <row r="953" spans="18:18" ht="15.75" customHeight="1">
      <c r="R953" s="30"/>
    </row>
    <row r="954" spans="18:18" ht="15.75" customHeight="1">
      <c r="R954" s="30"/>
    </row>
    <row r="955" spans="18:18" ht="15.75" customHeight="1">
      <c r="R955" s="30"/>
    </row>
    <row r="956" spans="18:18" ht="15.75" customHeight="1">
      <c r="R956" s="30"/>
    </row>
    <row r="957" spans="18:18" ht="15.75" customHeight="1">
      <c r="R957" s="30"/>
    </row>
    <row r="958" spans="18:18" ht="15.75" customHeight="1">
      <c r="R958" s="30"/>
    </row>
    <row r="959" spans="18:18" ht="15.75" customHeight="1">
      <c r="R959" s="30"/>
    </row>
    <row r="960" spans="18:18" ht="15.75" customHeight="1">
      <c r="R960" s="30"/>
    </row>
    <row r="961" spans="18:18" ht="15.75" customHeight="1">
      <c r="R961" s="30"/>
    </row>
    <row r="962" spans="18:18" ht="15.75" customHeight="1">
      <c r="R962" s="30"/>
    </row>
    <row r="963" spans="18:18" ht="15.75" customHeight="1">
      <c r="R963" s="30"/>
    </row>
    <row r="964" spans="18:18" ht="15.75" customHeight="1">
      <c r="R964" s="30"/>
    </row>
    <row r="965" spans="18:18" ht="15.75" customHeight="1">
      <c r="R965" s="30"/>
    </row>
    <row r="966" spans="18:18" ht="15.75" customHeight="1">
      <c r="R966" s="30"/>
    </row>
    <row r="967" spans="18:18" ht="15.75" customHeight="1">
      <c r="R967" s="30"/>
    </row>
    <row r="968" spans="18:18" ht="15.75" customHeight="1">
      <c r="R968" s="30"/>
    </row>
    <row r="969" spans="18:18" ht="15.75" customHeight="1">
      <c r="R969" s="30"/>
    </row>
    <row r="970" spans="18:18" ht="15.75" customHeight="1">
      <c r="R970" s="30"/>
    </row>
    <row r="971" spans="18:18" ht="15.75" customHeight="1">
      <c r="R971" s="30"/>
    </row>
    <row r="972" spans="18:18" ht="15.75" customHeight="1">
      <c r="R972" s="30"/>
    </row>
    <row r="973" spans="18:18" ht="15.75" customHeight="1">
      <c r="R973" s="30"/>
    </row>
    <row r="974" spans="18:18" ht="15.75" customHeight="1">
      <c r="R974" s="30"/>
    </row>
    <row r="975" spans="18:18" ht="15.75" customHeight="1">
      <c r="R975" s="30"/>
    </row>
    <row r="976" spans="18:18" ht="15.75" customHeight="1">
      <c r="R976" s="30"/>
    </row>
    <row r="977" spans="18:18" ht="15.75" customHeight="1">
      <c r="R977" s="30"/>
    </row>
    <row r="978" spans="18:18" ht="15.75" customHeight="1">
      <c r="R978" s="30"/>
    </row>
    <row r="979" spans="18:18" ht="15.75" customHeight="1">
      <c r="R979" s="30"/>
    </row>
    <row r="980" spans="18:18" ht="15.75" customHeight="1">
      <c r="R980" s="30"/>
    </row>
    <row r="981" spans="18:18" ht="15.75" customHeight="1">
      <c r="R981" s="30"/>
    </row>
    <row r="982" spans="18:18" ht="15.75" customHeight="1">
      <c r="R982" s="30"/>
    </row>
    <row r="983" spans="18:18" ht="15.75" customHeight="1">
      <c r="R983" s="30"/>
    </row>
    <row r="984" spans="18:18" ht="15.75" customHeight="1">
      <c r="R984" s="30"/>
    </row>
    <row r="985" spans="18:18" ht="15.75" customHeight="1">
      <c r="R985" s="30"/>
    </row>
    <row r="986" spans="18:18" ht="15.75" customHeight="1">
      <c r="R986" s="30"/>
    </row>
    <row r="987" spans="18:18" ht="15.75" customHeight="1">
      <c r="R987" s="30"/>
    </row>
    <row r="988" spans="18:18" ht="15.75" customHeight="1">
      <c r="R988" s="30"/>
    </row>
    <row r="989" spans="18:18" ht="15.75" customHeight="1">
      <c r="R989" s="30"/>
    </row>
    <row r="990" spans="18:18" ht="15.75" customHeight="1">
      <c r="R990" s="30"/>
    </row>
    <row r="991" spans="18:18" ht="15.75" customHeight="1">
      <c r="R991" s="30"/>
    </row>
    <row r="992" spans="18:18" ht="15.75" customHeight="1">
      <c r="R992" s="30"/>
    </row>
    <row r="993" spans="18:18" ht="15.75" customHeight="1">
      <c r="R993" s="30"/>
    </row>
    <row r="994" spans="18:18" ht="15.75" customHeight="1">
      <c r="R994" s="30"/>
    </row>
    <row r="995" spans="18:18" ht="15.75" customHeight="1">
      <c r="R995" s="30"/>
    </row>
    <row r="996" spans="18:18" ht="15.75" customHeight="1">
      <c r="R996" s="30"/>
    </row>
    <row r="997" spans="18:18" ht="15.75" customHeight="1">
      <c r="R997" s="30"/>
    </row>
    <row r="998" spans="18:18" ht="15.75" customHeight="1">
      <c r="R998" s="30"/>
    </row>
    <row r="999" spans="18:18" ht="15.75" customHeight="1">
      <c r="R999" s="30"/>
    </row>
    <row r="1000" spans="18:18" ht="15.75" customHeight="1">
      <c r="R1000" s="3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2.6640625" defaultRowHeight="15" customHeight="1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8.6640625" customWidth="1"/>
    <col min="6" max="6" width="10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17.1640625" customWidth="1"/>
    <col min="16" max="16" width="10" customWidth="1"/>
    <col min="17" max="18" width="7.33203125" customWidth="1"/>
    <col min="19" max="19" width="7.1640625" customWidth="1"/>
    <col min="20" max="20" width="11.1640625" customWidth="1"/>
    <col min="21" max="21" width="20.1640625" customWidth="1"/>
    <col min="22" max="22" width="160.164062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6640625" customWidth="1"/>
    <col min="32" max="32" width="10.1640625" customWidth="1"/>
    <col min="33" max="33" width="8.83203125" customWidth="1"/>
  </cols>
  <sheetData>
    <row r="1" spans="1:33" ht="18.75" customHeight="1">
      <c r="A1" s="46" t="str">
        <f ca="1">IFERROR(__xludf.DUMMYFUNCTION("IFERROR(VLOOKUP(B2,IMPORTRANGE(""https://docs.google.com/spreadsheets/d/1x0DhHglkXKoEBOD2MBsuK_EyIr1ouxD2ftIpqOYFa-k/edit?usp=sharing"",""Ubiquitty-SKU-Specific Info!B1:BJ5000""),3,FALSE),"""")"),"25 foot Heavy Duty outdoor extension cord 12 gauge pass through electrical garden outdoor indoor")</f>
        <v>25 foot Heavy Duty outdoor extension cord 12 gauge pass through electrical garden outdoor indoor</v>
      </c>
      <c r="B1" s="47"/>
      <c r="C1" s="48" t="s">
        <v>0</v>
      </c>
      <c r="D1" s="50" t="s">
        <v>1</v>
      </c>
      <c r="E1" s="50" t="s">
        <v>2</v>
      </c>
      <c r="F1" s="52" t="s">
        <v>3</v>
      </c>
      <c r="G1" s="52" t="s">
        <v>4</v>
      </c>
      <c r="H1" s="53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58" t="s">
        <v>10</v>
      </c>
      <c r="N1" s="59" t="s">
        <v>11</v>
      </c>
      <c r="O1" s="50" t="s">
        <v>12</v>
      </c>
      <c r="P1" s="50" t="s">
        <v>13</v>
      </c>
      <c r="Q1" s="57" t="s">
        <v>14</v>
      </c>
      <c r="R1" s="57" t="s">
        <v>15</v>
      </c>
      <c r="S1" s="60" t="s">
        <v>16</v>
      </c>
      <c r="T1" s="62" t="s">
        <v>2006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Info!B1:BJ5000""),2,FALSE),"""")"),"B019P9ZGGO")</f>
        <v>B019P9ZGGO</v>
      </c>
      <c r="B2" s="3" t="s">
        <v>1406</v>
      </c>
      <c r="C2" s="49"/>
      <c r="D2" s="49"/>
      <c r="E2" s="51"/>
      <c r="F2" s="49"/>
      <c r="G2" s="49"/>
      <c r="H2" s="54"/>
      <c r="I2" s="49"/>
      <c r="J2" s="49"/>
      <c r="K2" s="54"/>
      <c r="L2" s="54"/>
      <c r="M2" s="54"/>
      <c r="N2" s="49"/>
      <c r="O2" s="49"/>
      <c r="P2" s="51"/>
      <c r="Q2" s="49"/>
      <c r="R2" s="49"/>
      <c r="S2" s="61"/>
      <c r="T2" s="47"/>
      <c r="U2" s="63"/>
      <c r="V2" s="63"/>
      <c r="W2" s="47"/>
      <c r="X2" s="47"/>
      <c r="Y2" s="47"/>
      <c r="Z2" s="47"/>
      <c r="AA2" s="63"/>
      <c r="AB2" s="63"/>
      <c r="AC2" s="63"/>
      <c r="AD2" s="63"/>
      <c r="AE2" s="47"/>
      <c r="AF2" s="47"/>
      <c r="AG2" s="47"/>
    </row>
    <row r="3" spans="1:33" ht="149.25" customHeight="1">
      <c r="A3" s="55" t="s">
        <v>31</v>
      </c>
      <c r="B3" s="56"/>
      <c r="C3" s="4">
        <f>((AE32+AF32)/0.85)*-1</f>
        <v>19.410076720588233</v>
      </c>
      <c r="D3" s="5">
        <f>SUM(D4:D99764)</f>
        <v>11454</v>
      </c>
      <c r="E3" s="5"/>
      <c r="F3" s="6">
        <f t="shared" ref="F3:G3" si="0">SUM(F4:F99764)</f>
        <v>306809.7900000001</v>
      </c>
      <c r="G3" s="6">
        <f t="shared" si="0"/>
        <v>-1124.7800000000002</v>
      </c>
      <c r="H3" s="7">
        <f t="shared" ref="H3:H32" si="1">G3/F3*-1</f>
        <v>3.6660499001677873E-3</v>
      </c>
      <c r="I3" s="8">
        <f t="shared" ref="I3:I32" si="2">J3/F3</f>
        <v>0.28773281523779509</v>
      </c>
      <c r="J3" s="6">
        <f>SUM(J4:J99764)</f>
        <v>88279.244619216741</v>
      </c>
      <c r="K3" s="6">
        <f t="shared" ref="K3:K32" si="3">J3/D3</f>
        <v>7.7072851946234273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Sheet!a1:g5000""),2,FALSE),"""")"),"77 - March
67 - April
68 - May
68 - June
69 - July
97.5 - Aug
90 - Sept
69.5 - Oct
60.5 - Nov
63 - Dec
56 - Jan
77 - Feb")</f>
        <v>77 - March
67 - April
68 - May
68 - June
69 - July
97.5 - Aug
90 - Sept
69.5 - Oct
60.5 - Nov
63 - Dec
56 - Jan
77 -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QTY-295")</f>
        <v>Del QTY-295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QTY-0")</f>
        <v>US QTY-0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SUM(W4:W99764)</f>
        <v>419</v>
      </c>
      <c r="X3" s="7">
        <f>W3/D3</f>
        <v>3.6581107036843023E-2</v>
      </c>
      <c r="Y3" s="6"/>
      <c r="Z3" s="5"/>
      <c r="AA3" s="5"/>
      <c r="AB3" s="5"/>
      <c r="AC3" s="5"/>
      <c r="AD3" s="6">
        <f>SUM(AD4:AD99764)</f>
        <v>-1540.816001811444</v>
      </c>
      <c r="AE3" s="6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Info!B2:BZ3000""),37,FALSE)),"""")*-1"),-10.4085652125)</f>
        <v>-10.408565212499999</v>
      </c>
      <c r="AG3" s="6">
        <f>SUM(AG4:AG99764)</f>
        <v>0</v>
      </c>
    </row>
    <row r="4" spans="1:33" ht="15.75" customHeight="1">
      <c r="A4" s="14" t="s">
        <v>181</v>
      </c>
      <c r="B4" s="14" t="s">
        <v>1407</v>
      </c>
      <c r="C4" s="15">
        <f t="shared" ref="C4:C32" si="4">IFERROR(F4/D4," - ")</f>
        <v>27.103452685422038</v>
      </c>
      <c r="D4" s="16">
        <v>391</v>
      </c>
      <c r="E4" s="16">
        <v>0</v>
      </c>
      <c r="F4" s="17">
        <v>10597.450000000017</v>
      </c>
      <c r="G4" s="17">
        <v>-0.29000000000000004</v>
      </c>
      <c r="H4" s="18">
        <f t="shared" si="1"/>
        <v>2.7365073673383651E-5</v>
      </c>
      <c r="I4" s="18">
        <f t="shared" si="2"/>
        <v>0.32022194708447321</v>
      </c>
      <c r="J4" s="17">
        <f t="shared" ref="J4:J32" si="5">F4*0.85+G4+AF4*D4+D4*AE4+AG4+AD4</f>
        <v>3393.5360731303563</v>
      </c>
      <c r="K4" s="17">
        <f t="shared" si="3"/>
        <v>8.6791203916377402</v>
      </c>
      <c r="L4" s="16">
        <v>518</v>
      </c>
      <c r="M4" s="19">
        <f t="shared" ref="M4:M32" si="6">IFERROR(D4/L4,"-")</f>
        <v>0.75482625482625487</v>
      </c>
      <c r="N4" s="16">
        <v>1904</v>
      </c>
      <c r="O4" s="20">
        <f t="shared" ref="O4:P4" si="7">D4/7</f>
        <v>55.857142857142854</v>
      </c>
      <c r="P4" s="20">
        <f t="shared" si="7"/>
        <v>0</v>
      </c>
      <c r="Q4" s="16">
        <f t="shared" ref="Q4:Q32" si="8">ROUNDDOWN(N4/(O4+P4),0)</f>
        <v>34</v>
      </c>
      <c r="R4" s="16"/>
      <c r="S4" s="21">
        <v>2.6644355772943702</v>
      </c>
      <c r="T4" s="14" t="s">
        <v>34</v>
      </c>
      <c r="U4" s="22" t="s">
        <v>34</v>
      </c>
      <c r="V4" s="23" t="s">
        <v>34</v>
      </c>
      <c r="W4" s="14">
        <v>1</v>
      </c>
      <c r="X4" s="24">
        <f t="shared" ref="X4:X32" si="9">IFERROR(W4/D4,0)</f>
        <v>2.5575447570332483E-3</v>
      </c>
      <c r="Y4" s="25">
        <f t="shared" ref="Y4:Y32" si="10">IFERROR(G4/(W4+Z4)*-1,0)</f>
        <v>0.29000000000000004</v>
      </c>
      <c r="Z4" s="14">
        <v>0</v>
      </c>
      <c r="AA4" s="26" t="s">
        <v>35</v>
      </c>
      <c r="AB4" s="27">
        <f t="shared" ref="AB4:AB32" si="11">IF(OR(AA4="UsLargeStandardSize",AA4="UsSmallStandardSize"),-0.69,-0.48)</f>
        <v>-0.69</v>
      </c>
      <c r="AC4" s="28">
        <v>7.6145833333333343E-2</v>
      </c>
      <c r="AD4" s="25">
        <f t="shared" ref="AD4:AD32" si="12">IFERROR(AB4*AC4*D4*2,0)</f>
        <v>-41.086768749999997</v>
      </c>
      <c r="AE4" s="25">
        <v>-5.91</v>
      </c>
      <c r="AF4" s="25">
        <v>-8.3429914529914537</v>
      </c>
      <c r="AG4" s="25">
        <v>0</v>
      </c>
    </row>
    <row r="5" spans="1:33" ht="15.75" customHeight="1">
      <c r="A5" s="14" t="s">
        <v>183</v>
      </c>
      <c r="B5" s="14" t="s">
        <v>1408</v>
      </c>
      <c r="C5" s="15">
        <f t="shared" si="4"/>
        <v>29.548933333333341</v>
      </c>
      <c r="D5" s="16">
        <v>225</v>
      </c>
      <c r="E5" s="16">
        <v>0</v>
      </c>
      <c r="F5" s="29">
        <v>6648.510000000002</v>
      </c>
      <c r="G5" s="29">
        <v>-0.22</v>
      </c>
      <c r="H5" s="18">
        <f t="shared" si="1"/>
        <v>3.3090120944392044E-5</v>
      </c>
      <c r="I5" s="18">
        <f t="shared" si="2"/>
        <v>0.36405446411436854</v>
      </c>
      <c r="J5" s="17">
        <f t="shared" si="5"/>
        <v>2420.4197452090211</v>
      </c>
      <c r="K5" s="17">
        <f t="shared" si="3"/>
        <v>10.757421089817871</v>
      </c>
      <c r="L5" s="16">
        <v>548</v>
      </c>
      <c r="M5" s="19">
        <f t="shared" si="6"/>
        <v>0.41058394160583944</v>
      </c>
      <c r="N5" s="16">
        <v>1609</v>
      </c>
      <c r="O5" s="20">
        <f t="shared" ref="O5:P5" si="13">D5/7</f>
        <v>32.142857142857146</v>
      </c>
      <c r="P5" s="20">
        <f t="shared" si="13"/>
        <v>0</v>
      </c>
      <c r="Q5" s="16">
        <f t="shared" si="8"/>
        <v>50</v>
      </c>
      <c r="R5" s="16"/>
      <c r="S5" s="21">
        <v>2.7671460176991101</v>
      </c>
      <c r="T5" s="14" t="s">
        <v>34</v>
      </c>
      <c r="U5" s="22" t="s">
        <v>34</v>
      </c>
      <c r="V5" s="23" t="s">
        <v>34</v>
      </c>
      <c r="W5" s="14">
        <v>0</v>
      </c>
      <c r="X5" s="24">
        <f t="shared" si="9"/>
        <v>0</v>
      </c>
      <c r="Y5" s="25">
        <f t="shared" si="10"/>
        <v>0</v>
      </c>
      <c r="Z5" s="14">
        <v>0</v>
      </c>
      <c r="AA5" s="14" t="s">
        <v>35</v>
      </c>
      <c r="AB5" s="27">
        <f t="shared" si="11"/>
        <v>-0.69</v>
      </c>
      <c r="AC5" s="28">
        <v>7.6234067207416004E-2</v>
      </c>
      <c r="AD5" s="25">
        <f t="shared" si="12"/>
        <v>-23.670677867902665</v>
      </c>
      <c r="AE5" s="25">
        <v>-5.91</v>
      </c>
      <c r="AF5" s="25">
        <v>-8.3429914529914537</v>
      </c>
      <c r="AG5" s="25">
        <v>0</v>
      </c>
    </row>
    <row r="6" spans="1:33" ht="15.75" customHeight="1">
      <c r="A6" s="14" t="s">
        <v>185</v>
      </c>
      <c r="B6" s="14" t="s">
        <v>855</v>
      </c>
      <c r="C6" s="15">
        <f t="shared" si="4"/>
        <v>29.970635593220265</v>
      </c>
      <c r="D6" s="16">
        <v>236</v>
      </c>
      <c r="E6" s="16">
        <v>0</v>
      </c>
      <c r="F6" s="29">
        <v>7073.0699999999824</v>
      </c>
      <c r="G6" s="29">
        <v>-0.18000000000000002</v>
      </c>
      <c r="H6" s="18">
        <f t="shared" si="1"/>
        <v>2.5448638285779792E-5</v>
      </c>
      <c r="I6" s="18">
        <f t="shared" si="2"/>
        <v>0.37090320640033358</v>
      </c>
      <c r="J6" s="17">
        <f t="shared" si="5"/>
        <v>2623.4243420940011</v>
      </c>
      <c r="K6" s="17">
        <f t="shared" si="3"/>
        <v>11.116204839381361</v>
      </c>
      <c r="L6" s="16">
        <v>520</v>
      </c>
      <c r="M6" s="19">
        <f t="shared" si="6"/>
        <v>0.45384615384615384</v>
      </c>
      <c r="N6" s="16">
        <v>1369</v>
      </c>
      <c r="O6" s="20">
        <f t="shared" ref="O6:P6" si="14">D6/7</f>
        <v>33.714285714285715</v>
      </c>
      <c r="P6" s="20">
        <f t="shared" si="14"/>
        <v>0</v>
      </c>
      <c r="Q6" s="16">
        <f t="shared" si="8"/>
        <v>40</v>
      </c>
      <c r="R6" s="16"/>
      <c r="S6" s="21">
        <v>2.36921554070774</v>
      </c>
      <c r="T6" s="14">
        <v>2250</v>
      </c>
      <c r="U6" s="22">
        <v>600</v>
      </c>
      <c r="V6" s="23" t="s">
        <v>1409</v>
      </c>
      <c r="W6" s="14">
        <v>3</v>
      </c>
      <c r="X6" s="24">
        <f t="shared" si="9"/>
        <v>1.2711864406779662E-2</v>
      </c>
      <c r="Y6" s="25">
        <f t="shared" si="10"/>
        <v>6.0000000000000005E-2</v>
      </c>
      <c r="Z6" s="14">
        <v>0</v>
      </c>
      <c r="AA6" s="14" t="s">
        <v>35</v>
      </c>
      <c r="AB6" s="27">
        <f t="shared" si="11"/>
        <v>-0.69</v>
      </c>
      <c r="AC6" s="28">
        <v>7.6145833333333343E-2</v>
      </c>
      <c r="AD6" s="25">
        <f t="shared" si="12"/>
        <v>-24.799175000000002</v>
      </c>
      <c r="AE6" s="25">
        <v>-5.91</v>
      </c>
      <c r="AF6" s="25">
        <v>-8.3429914529914537</v>
      </c>
      <c r="AG6" s="25">
        <v>0</v>
      </c>
    </row>
    <row r="7" spans="1:33" ht="15.75" customHeight="1">
      <c r="A7" s="14" t="s">
        <v>187</v>
      </c>
      <c r="B7" s="14" t="s">
        <v>1410</v>
      </c>
      <c r="C7" s="15">
        <f t="shared" si="4"/>
        <v>28.682873563218372</v>
      </c>
      <c r="D7" s="16">
        <v>261</v>
      </c>
      <c r="E7" s="16">
        <v>0</v>
      </c>
      <c r="F7" s="29">
        <v>7486.229999999995</v>
      </c>
      <c r="G7" s="29">
        <v>-9.0000000000000011E-2</v>
      </c>
      <c r="H7" s="18">
        <f t="shared" si="1"/>
        <v>1.2022072525156197E-5</v>
      </c>
      <c r="I7" s="18">
        <f t="shared" si="2"/>
        <v>0.34940798299267151</v>
      </c>
      <c r="J7" s="17">
        <f t="shared" si="5"/>
        <v>2615.7485245192256</v>
      </c>
      <c r="K7" s="17">
        <f t="shared" si="3"/>
        <v>10.022024998157953</v>
      </c>
      <c r="L7" s="16">
        <v>591</v>
      </c>
      <c r="M7" s="19">
        <f t="shared" si="6"/>
        <v>0.44162436548223349</v>
      </c>
      <c r="N7" s="16">
        <v>1134</v>
      </c>
      <c r="O7" s="20">
        <f t="shared" ref="O7:P7" si="15">D7/7</f>
        <v>37.285714285714285</v>
      </c>
      <c r="P7" s="20">
        <f t="shared" si="15"/>
        <v>0</v>
      </c>
      <c r="Q7" s="16">
        <f t="shared" si="8"/>
        <v>30</v>
      </c>
      <c r="R7" s="16"/>
      <c r="S7" s="21">
        <v>2.34875971862273</v>
      </c>
      <c r="T7" s="14">
        <v>3246</v>
      </c>
      <c r="U7" s="22">
        <v>600</v>
      </c>
      <c r="V7" s="23" t="s">
        <v>1411</v>
      </c>
      <c r="W7" s="14">
        <v>1</v>
      </c>
      <c r="X7" s="24">
        <f t="shared" si="9"/>
        <v>3.8314176245210726E-3</v>
      </c>
      <c r="Y7" s="25">
        <f t="shared" si="10"/>
        <v>9.0000000000000011E-2</v>
      </c>
      <c r="Z7" s="14">
        <v>0</v>
      </c>
      <c r="AA7" s="14" t="s">
        <v>35</v>
      </c>
      <c r="AB7" s="27">
        <f t="shared" si="11"/>
        <v>-0.69</v>
      </c>
      <c r="AC7" s="28">
        <v>7.6145833333333343E-2</v>
      </c>
      <c r="AD7" s="25">
        <f t="shared" si="12"/>
        <v>-27.42620625</v>
      </c>
      <c r="AE7" s="25">
        <v>-5.91</v>
      </c>
      <c r="AF7" s="25">
        <v>-8.3429914529914537</v>
      </c>
      <c r="AG7" s="25">
        <v>0</v>
      </c>
    </row>
    <row r="8" spans="1:33" ht="15.75" customHeight="1">
      <c r="A8" s="14" t="s">
        <v>189</v>
      </c>
      <c r="B8" s="14" t="s">
        <v>1412</v>
      </c>
      <c r="C8" s="15">
        <f t="shared" si="4"/>
        <v>26.144022988505736</v>
      </c>
      <c r="D8" s="16">
        <v>261</v>
      </c>
      <c r="E8" s="16">
        <v>0</v>
      </c>
      <c r="F8" s="29">
        <v>6823.5899999999974</v>
      </c>
      <c r="G8" s="29">
        <v>-71.37</v>
      </c>
      <c r="H8" s="18">
        <f t="shared" si="1"/>
        <v>1.0459303680320773E-2</v>
      </c>
      <c r="I8" s="18">
        <f t="shared" si="2"/>
        <v>0.2904637139321089</v>
      </c>
      <c r="J8" s="17">
        <f t="shared" si="5"/>
        <v>1982.0052937499981</v>
      </c>
      <c r="K8" s="17">
        <f t="shared" si="3"/>
        <v>7.5938900143678092</v>
      </c>
      <c r="L8" s="16">
        <v>498</v>
      </c>
      <c r="M8" s="19">
        <f t="shared" si="6"/>
        <v>0.52409638554216864</v>
      </c>
      <c r="N8" s="16">
        <v>1725</v>
      </c>
      <c r="O8" s="20">
        <f t="shared" ref="O8:P8" si="16">D8/7</f>
        <v>37.285714285714285</v>
      </c>
      <c r="P8" s="20">
        <f t="shared" si="16"/>
        <v>0</v>
      </c>
      <c r="Q8" s="16">
        <f t="shared" si="8"/>
        <v>46</v>
      </c>
      <c r="R8" s="16"/>
      <c r="S8" s="21">
        <v>2.0962318840579699</v>
      </c>
      <c r="T8" s="14">
        <v>2646</v>
      </c>
      <c r="U8" s="22">
        <v>204</v>
      </c>
      <c r="V8" s="23" t="s">
        <v>1413</v>
      </c>
      <c r="W8" s="14">
        <v>10</v>
      </c>
      <c r="X8" s="24">
        <f t="shared" si="9"/>
        <v>3.8314176245210725E-2</v>
      </c>
      <c r="Y8" s="25">
        <f t="shared" si="10"/>
        <v>3.5685000000000002</v>
      </c>
      <c r="Z8" s="14">
        <v>10</v>
      </c>
      <c r="AA8" s="14" t="s">
        <v>35</v>
      </c>
      <c r="AB8" s="27">
        <f t="shared" si="11"/>
        <v>-0.69</v>
      </c>
      <c r="AC8" s="28">
        <v>7.6145833333333343E-2</v>
      </c>
      <c r="AD8" s="25">
        <f t="shared" si="12"/>
        <v>-27.42620625</v>
      </c>
      <c r="AE8" s="25">
        <v>-5.91</v>
      </c>
      <c r="AF8" s="25">
        <v>-8.34</v>
      </c>
      <c r="AG8" s="25">
        <v>0</v>
      </c>
    </row>
    <row r="9" spans="1:33" ht="15.75" customHeight="1">
      <c r="A9" s="14" t="s">
        <v>191</v>
      </c>
      <c r="B9" s="14" t="s">
        <v>1414</v>
      </c>
      <c r="C9" s="15">
        <f t="shared" si="4"/>
        <v>23.556145510835908</v>
      </c>
      <c r="D9" s="16">
        <v>646</v>
      </c>
      <c r="E9" s="16">
        <v>7</v>
      </c>
      <c r="F9" s="29">
        <v>15217.269999999997</v>
      </c>
      <c r="G9" s="29">
        <v>-71.789999999999978</v>
      </c>
      <c r="H9" s="18">
        <f t="shared" si="1"/>
        <v>4.7176661779675328E-3</v>
      </c>
      <c r="I9" s="18">
        <f t="shared" si="2"/>
        <v>0.2287939618034299</v>
      </c>
      <c r="J9" s="17">
        <f t="shared" si="5"/>
        <v>3481.6194911324787</v>
      </c>
      <c r="K9" s="17">
        <f t="shared" si="3"/>
        <v>5.3895038562422268</v>
      </c>
      <c r="L9" s="16">
        <v>894</v>
      </c>
      <c r="M9" s="19">
        <f t="shared" si="6"/>
        <v>0.72259507829977632</v>
      </c>
      <c r="N9" s="16">
        <v>1123</v>
      </c>
      <c r="O9" s="20">
        <f t="shared" ref="O9:P9" si="17">D9/7</f>
        <v>92.285714285714292</v>
      </c>
      <c r="P9" s="20">
        <f t="shared" si="17"/>
        <v>1</v>
      </c>
      <c r="Q9" s="16">
        <f t="shared" si="8"/>
        <v>12</v>
      </c>
      <c r="R9" s="16"/>
      <c r="S9" s="21">
        <v>2.74326325140657</v>
      </c>
      <c r="T9" s="14">
        <v>2646</v>
      </c>
      <c r="U9" s="22">
        <v>204</v>
      </c>
      <c r="V9" s="23" t="s">
        <v>1415</v>
      </c>
      <c r="W9" s="14">
        <v>37</v>
      </c>
      <c r="X9" s="24">
        <f t="shared" si="9"/>
        <v>5.7275541795665637E-2</v>
      </c>
      <c r="Y9" s="25">
        <f t="shared" si="10"/>
        <v>0.87548780487804856</v>
      </c>
      <c r="Z9" s="14">
        <v>45</v>
      </c>
      <c r="AA9" s="14" t="s">
        <v>35</v>
      </c>
      <c r="AB9" s="27">
        <f t="shared" si="11"/>
        <v>-0.69</v>
      </c>
      <c r="AC9" s="28">
        <v>7.6145833333333343E-2</v>
      </c>
      <c r="AD9" s="25">
        <f t="shared" si="12"/>
        <v>-67.882487499999996</v>
      </c>
      <c r="AE9" s="25">
        <v>-5.91</v>
      </c>
      <c r="AF9" s="25">
        <v>-8.5070085470085406</v>
      </c>
      <c r="AG9" s="25">
        <v>0</v>
      </c>
    </row>
    <row r="10" spans="1:33" ht="15.75" customHeight="1">
      <c r="A10" s="14" t="s">
        <v>192</v>
      </c>
      <c r="B10" s="14" t="s">
        <v>1416</v>
      </c>
      <c r="C10" s="15">
        <f t="shared" si="4"/>
        <v>26.088872458410272</v>
      </c>
      <c r="D10" s="16">
        <v>541</v>
      </c>
      <c r="E10" s="16">
        <v>0</v>
      </c>
      <c r="F10" s="29">
        <v>14114.079999999956</v>
      </c>
      <c r="G10" s="29">
        <v>-73.05</v>
      </c>
      <c r="H10" s="18">
        <f t="shared" si="1"/>
        <v>5.1756827225012342E-3</v>
      </c>
      <c r="I10" s="18">
        <f t="shared" si="2"/>
        <v>0.28818509033662532</v>
      </c>
      <c r="J10" s="17">
        <f t="shared" si="5"/>
        <v>4067.4674198183438</v>
      </c>
      <c r="K10" s="17">
        <f t="shared" si="3"/>
        <v>7.5184240662076594</v>
      </c>
      <c r="L10" s="16">
        <v>901</v>
      </c>
      <c r="M10" s="19">
        <f t="shared" si="6"/>
        <v>0.60044395116537186</v>
      </c>
      <c r="N10" s="16">
        <v>2090</v>
      </c>
      <c r="O10" s="20">
        <f t="shared" ref="O10:P10" si="18">D10/7</f>
        <v>77.285714285714292</v>
      </c>
      <c r="P10" s="20">
        <f t="shared" si="18"/>
        <v>0</v>
      </c>
      <c r="Q10" s="16">
        <f t="shared" si="8"/>
        <v>27</v>
      </c>
      <c r="R10" s="16"/>
      <c r="S10" s="21">
        <v>2.22518652498304</v>
      </c>
      <c r="T10" s="14">
        <v>2850</v>
      </c>
      <c r="U10" s="22">
        <v>204</v>
      </c>
      <c r="V10" s="23" t="s">
        <v>1417</v>
      </c>
      <c r="W10" s="14">
        <v>39</v>
      </c>
      <c r="X10" s="24">
        <f t="shared" si="9"/>
        <v>7.2088724584103508E-2</v>
      </c>
      <c r="Y10" s="25">
        <f t="shared" si="10"/>
        <v>1.5218749999999999</v>
      </c>
      <c r="Z10" s="14">
        <v>9</v>
      </c>
      <c r="AA10" s="14" t="s">
        <v>35</v>
      </c>
      <c r="AB10" s="27">
        <f t="shared" si="11"/>
        <v>-0.69</v>
      </c>
      <c r="AC10" s="28">
        <v>7.6145833333333343E-2</v>
      </c>
      <c r="AD10" s="25">
        <f t="shared" si="12"/>
        <v>-56.848956250000001</v>
      </c>
      <c r="AE10" s="25">
        <v>-5.91</v>
      </c>
      <c r="AF10" s="25">
        <v>-8.5070085470085406</v>
      </c>
      <c r="AG10" s="25">
        <v>0</v>
      </c>
    </row>
    <row r="11" spans="1:33" ht="15.75" customHeight="1">
      <c r="A11" s="14" t="s">
        <v>193</v>
      </c>
      <c r="B11" s="14" t="s">
        <v>1418</v>
      </c>
      <c r="C11" s="15">
        <f t="shared" si="4"/>
        <v>28.05126016260164</v>
      </c>
      <c r="D11" s="16">
        <v>492</v>
      </c>
      <c r="E11" s="16">
        <v>3</v>
      </c>
      <c r="F11" s="29">
        <v>13801.220000000007</v>
      </c>
      <c r="G11" s="29">
        <v>-69.870000000000047</v>
      </c>
      <c r="H11" s="18">
        <f t="shared" si="1"/>
        <v>5.0625959154335645E-3</v>
      </c>
      <c r="I11" s="18">
        <f t="shared" si="2"/>
        <v>0.32625659426371728</v>
      </c>
      <c r="J11" s="17">
        <f t="shared" si="5"/>
        <v>4502.7390338843024</v>
      </c>
      <c r="K11" s="17">
        <f t="shared" si="3"/>
        <v>9.1519086054558993</v>
      </c>
      <c r="L11" s="16">
        <v>950</v>
      </c>
      <c r="M11" s="19">
        <f t="shared" si="6"/>
        <v>0.5178947368421053</v>
      </c>
      <c r="N11" s="16">
        <v>1639</v>
      </c>
      <c r="O11" s="20">
        <f t="shared" ref="O11:P11" si="19">D11/7</f>
        <v>70.285714285714292</v>
      </c>
      <c r="P11" s="20">
        <f t="shared" si="19"/>
        <v>0.42857142857142855</v>
      </c>
      <c r="Q11" s="16">
        <f t="shared" si="8"/>
        <v>23</v>
      </c>
      <c r="R11" s="16"/>
      <c r="S11" s="21">
        <v>2.42090055381651</v>
      </c>
      <c r="T11" s="14">
        <v>10189</v>
      </c>
      <c r="U11" s="22">
        <v>204</v>
      </c>
      <c r="V11" s="23" t="s">
        <v>1419</v>
      </c>
      <c r="W11" s="14">
        <v>35</v>
      </c>
      <c r="X11" s="24">
        <f t="shared" si="9"/>
        <v>7.113821138211382E-2</v>
      </c>
      <c r="Y11" s="25">
        <f t="shared" si="10"/>
        <v>1.3183018867924536</v>
      </c>
      <c r="Z11" s="14">
        <v>18</v>
      </c>
      <c r="AA11" s="14" t="s">
        <v>35</v>
      </c>
      <c r="AB11" s="27">
        <f t="shared" si="11"/>
        <v>-0.69</v>
      </c>
      <c r="AC11" s="28">
        <v>9.6117239583333305E-2</v>
      </c>
      <c r="AD11" s="25">
        <f t="shared" si="12"/>
        <v>-65.259760987499973</v>
      </c>
      <c r="AE11" s="25">
        <v>-5.91</v>
      </c>
      <c r="AF11" s="25">
        <v>-8.5070085470085406</v>
      </c>
      <c r="AG11" s="25">
        <v>0</v>
      </c>
    </row>
    <row r="12" spans="1:33" ht="15.75" customHeight="1">
      <c r="A12" s="14" t="s">
        <v>195</v>
      </c>
      <c r="B12" s="14" t="s">
        <v>68</v>
      </c>
      <c r="C12" s="15">
        <f t="shared" si="4"/>
        <v>28.717099056603768</v>
      </c>
      <c r="D12" s="16">
        <v>424</v>
      </c>
      <c r="E12" s="16">
        <v>3</v>
      </c>
      <c r="F12" s="29">
        <v>12176.049999999997</v>
      </c>
      <c r="G12" s="29">
        <v>-66.48</v>
      </c>
      <c r="H12" s="18">
        <f t="shared" si="1"/>
        <v>5.4598987356326576E-3</v>
      </c>
      <c r="I12" s="18">
        <f t="shared" si="2"/>
        <v>0.3378855011964782</v>
      </c>
      <c r="J12" s="17">
        <f t="shared" si="5"/>
        <v>4114.1107568433772</v>
      </c>
      <c r="K12" s="17">
        <f t="shared" si="3"/>
        <v>9.7030914076494739</v>
      </c>
      <c r="L12" s="16">
        <v>754</v>
      </c>
      <c r="M12" s="19">
        <f t="shared" si="6"/>
        <v>0.56233421750663126</v>
      </c>
      <c r="N12" s="16">
        <v>1127</v>
      </c>
      <c r="O12" s="20">
        <f t="shared" ref="O12:P12" si="20">D12/7</f>
        <v>60.571428571428569</v>
      </c>
      <c r="P12" s="20">
        <f t="shared" si="20"/>
        <v>0.42857142857142855</v>
      </c>
      <c r="Q12" s="16">
        <f t="shared" si="8"/>
        <v>18</v>
      </c>
      <c r="R12" s="16"/>
      <c r="S12" s="21">
        <v>2.4623603691112099</v>
      </c>
      <c r="T12" s="14">
        <v>3054</v>
      </c>
      <c r="U12" s="22">
        <v>204</v>
      </c>
      <c r="V12" s="23" t="s">
        <v>1420</v>
      </c>
      <c r="W12" s="14">
        <v>12</v>
      </c>
      <c r="X12" s="24">
        <f t="shared" si="9"/>
        <v>2.8301886792452831E-2</v>
      </c>
      <c r="Y12" s="25">
        <f t="shared" si="10"/>
        <v>3.6933333333333334</v>
      </c>
      <c r="Z12" s="14">
        <v>6</v>
      </c>
      <c r="AA12" s="14" t="s">
        <v>35</v>
      </c>
      <c r="AB12" s="27">
        <f t="shared" si="11"/>
        <v>-0.69</v>
      </c>
      <c r="AC12" s="28">
        <v>9.6117239583333305E-2</v>
      </c>
      <c r="AD12" s="25">
        <f t="shared" si="12"/>
        <v>-56.24011922499998</v>
      </c>
      <c r="AE12" s="25">
        <v>-5.91</v>
      </c>
      <c r="AF12" s="25">
        <v>-8.5070085470085406</v>
      </c>
      <c r="AG12" s="25">
        <v>0</v>
      </c>
    </row>
    <row r="13" spans="1:33" ht="15.75" customHeight="1">
      <c r="A13" s="14" t="s">
        <v>197</v>
      </c>
      <c r="B13" s="14" t="s">
        <v>1421</v>
      </c>
      <c r="C13" s="15">
        <f t="shared" si="4"/>
        <v>29.79096018735353</v>
      </c>
      <c r="D13" s="16">
        <v>427</v>
      </c>
      <c r="E13" s="16">
        <v>0</v>
      </c>
      <c r="F13" s="17">
        <v>12720.739999999958</v>
      </c>
      <c r="G13" s="29">
        <v>-72.52000000000001</v>
      </c>
      <c r="H13" s="18">
        <f t="shared" si="1"/>
        <v>5.7009262039787187E-3</v>
      </c>
      <c r="I13" s="18">
        <f t="shared" si="2"/>
        <v>0.35300993669155817</v>
      </c>
      <c r="J13" s="17">
        <f t="shared" si="5"/>
        <v>4490.5476220697565</v>
      </c>
      <c r="K13" s="17">
        <f t="shared" si="3"/>
        <v>10.516504969718399</v>
      </c>
      <c r="L13" s="16">
        <v>583</v>
      </c>
      <c r="M13" s="19">
        <f t="shared" si="6"/>
        <v>0.73241852487135506</v>
      </c>
      <c r="N13" s="16">
        <v>769</v>
      </c>
      <c r="O13" s="20">
        <f t="shared" ref="O13:P13" si="21">D13/7</f>
        <v>61</v>
      </c>
      <c r="P13" s="20">
        <f t="shared" si="21"/>
        <v>0</v>
      </c>
      <c r="Q13" s="16">
        <f t="shared" si="8"/>
        <v>12</v>
      </c>
      <c r="R13" s="16"/>
      <c r="S13" s="21">
        <v>2.3896353166986501</v>
      </c>
      <c r="T13" s="14">
        <v>3054</v>
      </c>
      <c r="U13" s="22">
        <v>204</v>
      </c>
      <c r="V13" s="23" t="s">
        <v>1422</v>
      </c>
      <c r="W13" s="14">
        <v>23</v>
      </c>
      <c r="X13" s="24">
        <f t="shared" si="9"/>
        <v>5.3864168618266976E-2</v>
      </c>
      <c r="Y13" s="25">
        <f t="shared" si="10"/>
        <v>1.9084210526315792</v>
      </c>
      <c r="Z13" s="14">
        <v>15</v>
      </c>
      <c r="AA13" s="14" t="s">
        <v>35</v>
      </c>
      <c r="AB13" s="27">
        <f t="shared" si="11"/>
        <v>-0.69</v>
      </c>
      <c r="AC13" s="28">
        <v>9.6117239583333305E-2</v>
      </c>
      <c r="AD13" s="25">
        <f t="shared" si="12"/>
        <v>-56.638044596874977</v>
      </c>
      <c r="AE13" s="25">
        <v>-5.91</v>
      </c>
      <c r="AF13" s="25">
        <v>-8.5933333333333302</v>
      </c>
      <c r="AG13" s="25">
        <v>0</v>
      </c>
    </row>
    <row r="14" spans="1:33" ht="15.75" customHeight="1">
      <c r="A14" s="14" t="s">
        <v>32</v>
      </c>
      <c r="B14" s="14" t="s">
        <v>1423</v>
      </c>
      <c r="C14" s="15">
        <f t="shared" si="4"/>
        <v>28.196794258373149</v>
      </c>
      <c r="D14" s="16">
        <v>418</v>
      </c>
      <c r="E14" s="16">
        <v>0</v>
      </c>
      <c r="F14" s="17">
        <v>11786.259999999977</v>
      </c>
      <c r="G14" s="29">
        <v>-71.160000000000011</v>
      </c>
      <c r="H14" s="18">
        <f t="shared" si="1"/>
        <v>6.0375386254842636E-3</v>
      </c>
      <c r="I14" s="18">
        <f t="shared" si="2"/>
        <v>0.32489724460392061</v>
      </c>
      <c r="J14" s="17">
        <f t="shared" si="5"/>
        <v>3829.3233981853978</v>
      </c>
      <c r="K14" s="17">
        <f t="shared" si="3"/>
        <v>9.161060761209086</v>
      </c>
      <c r="L14" s="16">
        <v>778</v>
      </c>
      <c r="M14" s="19">
        <f t="shared" si="6"/>
        <v>0.53727506426735216</v>
      </c>
      <c r="N14" s="16">
        <v>359</v>
      </c>
      <c r="O14" s="20">
        <f t="shared" ref="O14:P14" si="22">D14/7</f>
        <v>59.714285714285715</v>
      </c>
      <c r="P14" s="20">
        <f t="shared" si="22"/>
        <v>0</v>
      </c>
      <c r="Q14" s="16">
        <f t="shared" si="8"/>
        <v>6</v>
      </c>
      <c r="R14" s="16"/>
      <c r="S14" s="21">
        <v>3.36671270718232</v>
      </c>
      <c r="T14" s="14">
        <v>2850</v>
      </c>
      <c r="U14" s="22">
        <v>204</v>
      </c>
      <c r="V14" s="23" t="s">
        <v>1422</v>
      </c>
      <c r="W14" s="14">
        <v>26</v>
      </c>
      <c r="X14" s="24">
        <f t="shared" si="9"/>
        <v>6.2200956937799042E-2</v>
      </c>
      <c r="Y14" s="25">
        <f t="shared" si="10"/>
        <v>1.6548837209302327</v>
      </c>
      <c r="Z14" s="14">
        <v>17</v>
      </c>
      <c r="AA14" s="14" t="s">
        <v>35</v>
      </c>
      <c r="AB14" s="27">
        <f t="shared" si="11"/>
        <v>-0.69</v>
      </c>
      <c r="AC14" s="28">
        <v>9.6117239583333305E-2</v>
      </c>
      <c r="AD14" s="25">
        <f t="shared" si="12"/>
        <v>-55.444268481249978</v>
      </c>
      <c r="AE14" s="25">
        <v>-5.91</v>
      </c>
      <c r="AF14" s="25">
        <v>-8.5933333333333302</v>
      </c>
      <c r="AG14" s="25">
        <v>0</v>
      </c>
    </row>
    <row r="15" spans="1:33" ht="15.75" customHeight="1">
      <c r="A15" s="14" t="s">
        <v>36</v>
      </c>
      <c r="B15" s="14" t="s">
        <v>1424</v>
      </c>
      <c r="C15" s="15">
        <f t="shared" si="4"/>
        <v>25.662500000000033</v>
      </c>
      <c r="D15" s="16">
        <v>304</v>
      </c>
      <c r="E15" s="16">
        <v>2</v>
      </c>
      <c r="F15" s="17">
        <v>7801.4000000000096</v>
      </c>
      <c r="G15" s="29">
        <v>-50.54</v>
      </c>
      <c r="H15" s="18">
        <f t="shared" si="1"/>
        <v>6.4783244033122175E-3</v>
      </c>
      <c r="I15" s="18">
        <f t="shared" si="2"/>
        <v>0.27631368245656834</v>
      </c>
      <c r="J15" s="17">
        <f t="shared" si="5"/>
        <v>2155.6335623166751</v>
      </c>
      <c r="K15" s="17">
        <f t="shared" si="3"/>
        <v>7.0908998760416946</v>
      </c>
      <c r="L15" s="16">
        <v>697</v>
      </c>
      <c r="M15" s="19">
        <f t="shared" si="6"/>
        <v>0.43615494978479197</v>
      </c>
      <c r="N15" s="16">
        <v>23</v>
      </c>
      <c r="O15" s="20">
        <f t="shared" ref="O15:P15" si="23">D15/7</f>
        <v>43.428571428571431</v>
      </c>
      <c r="P15" s="20">
        <f t="shared" si="23"/>
        <v>0.2857142857142857</v>
      </c>
      <c r="Q15" s="16">
        <f t="shared" si="8"/>
        <v>0</v>
      </c>
      <c r="R15" s="16"/>
      <c r="S15" s="21">
        <v>3.2670745824375702</v>
      </c>
      <c r="T15" s="14">
        <v>2850</v>
      </c>
      <c r="U15" s="22">
        <v>246</v>
      </c>
      <c r="V15" s="23" t="s">
        <v>1425</v>
      </c>
      <c r="W15" s="14">
        <v>38</v>
      </c>
      <c r="X15" s="24">
        <f t="shared" si="9"/>
        <v>0.125</v>
      </c>
      <c r="Y15" s="25">
        <f t="shared" si="10"/>
        <v>1.2326829268292683</v>
      </c>
      <c r="Z15" s="14">
        <v>3</v>
      </c>
      <c r="AA15" s="14" t="s">
        <v>35</v>
      </c>
      <c r="AB15" s="27">
        <f t="shared" si="11"/>
        <v>-0.69</v>
      </c>
      <c r="AC15" s="28">
        <v>9.6117239583333305E-2</v>
      </c>
      <c r="AD15" s="25">
        <f t="shared" si="12"/>
        <v>-40.323104349999987</v>
      </c>
      <c r="AE15" s="25">
        <v>-5.91</v>
      </c>
      <c r="AF15" s="25">
        <v>-8.5133333333333301</v>
      </c>
      <c r="AG15" s="25">
        <v>0</v>
      </c>
    </row>
    <row r="16" spans="1:33" ht="15.75" customHeight="1">
      <c r="A16" s="14" t="s">
        <v>38</v>
      </c>
      <c r="B16" s="14" t="s">
        <v>1426</v>
      </c>
      <c r="C16" s="15">
        <f t="shared" si="4"/>
        <v>24.992756183745492</v>
      </c>
      <c r="D16" s="16">
        <v>283</v>
      </c>
      <c r="E16" s="16">
        <v>1</v>
      </c>
      <c r="F16" s="17">
        <v>7072.9499999999744</v>
      </c>
      <c r="G16" s="29">
        <v>-5.64</v>
      </c>
      <c r="H16" s="18">
        <f t="shared" si="1"/>
        <v>7.9740419485504923E-4</v>
      </c>
      <c r="I16" s="18">
        <f t="shared" si="2"/>
        <v>0.26679483665511233</v>
      </c>
      <c r="J16" s="17">
        <f t="shared" si="5"/>
        <v>1887.0265399197699</v>
      </c>
      <c r="K16" s="17">
        <f t="shared" si="3"/>
        <v>6.6679383036034272</v>
      </c>
      <c r="L16" s="16">
        <v>590</v>
      </c>
      <c r="M16" s="19">
        <f t="shared" si="6"/>
        <v>0.47966101694915253</v>
      </c>
      <c r="N16" s="16">
        <v>1146</v>
      </c>
      <c r="O16" s="20">
        <f t="shared" ref="O16:P16" si="24">D16/7</f>
        <v>40.428571428571431</v>
      </c>
      <c r="P16" s="20">
        <f t="shared" si="24"/>
        <v>0.14285714285714285</v>
      </c>
      <c r="Q16" s="16">
        <f t="shared" si="8"/>
        <v>28</v>
      </c>
      <c r="R16" s="16"/>
      <c r="S16" s="21">
        <v>3.07805267358339</v>
      </c>
      <c r="T16" s="14">
        <v>2850</v>
      </c>
      <c r="U16" s="22">
        <v>246</v>
      </c>
      <c r="V16" s="23" t="s">
        <v>1427</v>
      </c>
      <c r="W16" s="14">
        <v>1</v>
      </c>
      <c r="X16" s="24">
        <f t="shared" si="9"/>
        <v>3.5335689045936395E-3</v>
      </c>
      <c r="Y16" s="25">
        <f t="shared" si="10"/>
        <v>1.88</v>
      </c>
      <c r="Z16" s="14">
        <v>2</v>
      </c>
      <c r="AA16" s="14" t="s">
        <v>35</v>
      </c>
      <c r="AB16" s="27">
        <f t="shared" si="11"/>
        <v>-0.69</v>
      </c>
      <c r="AC16" s="28">
        <v>9.6117239583333305E-2</v>
      </c>
      <c r="AD16" s="25">
        <f t="shared" si="12"/>
        <v>-37.537626746874984</v>
      </c>
      <c r="AE16" s="25">
        <v>-5.91</v>
      </c>
      <c r="AF16" s="25">
        <v>-8.5133333333333301</v>
      </c>
      <c r="AG16" s="25">
        <v>0</v>
      </c>
    </row>
    <row r="17" spans="1:33" ht="15.75" customHeight="1">
      <c r="A17" s="14" t="s">
        <v>40</v>
      </c>
      <c r="B17" s="14" t="s">
        <v>1423</v>
      </c>
      <c r="C17" s="15">
        <f t="shared" si="4"/>
        <v>24.667244258872639</v>
      </c>
      <c r="D17" s="16">
        <v>479</v>
      </c>
      <c r="E17" s="16">
        <v>0</v>
      </c>
      <c r="F17" s="17">
        <v>11815.609999999993</v>
      </c>
      <c r="G17" s="29">
        <v>-75.570000000000007</v>
      </c>
      <c r="H17" s="18">
        <f t="shared" si="1"/>
        <v>6.3957764347333784E-3</v>
      </c>
      <c r="I17" s="18">
        <f t="shared" si="2"/>
        <v>0.25351094151076048</v>
      </c>
      <c r="J17" s="17">
        <f t="shared" si="5"/>
        <v>2995.3864156239547</v>
      </c>
      <c r="K17" s="17">
        <f t="shared" si="3"/>
        <v>6.2534163165427028</v>
      </c>
      <c r="L17" s="16">
        <v>808</v>
      </c>
      <c r="M17" s="19">
        <f t="shared" si="6"/>
        <v>0.59282178217821779</v>
      </c>
      <c r="N17" s="16">
        <v>2052</v>
      </c>
      <c r="O17" s="20">
        <f t="shared" ref="O17:P17" si="25">D17/7</f>
        <v>68.428571428571431</v>
      </c>
      <c r="P17" s="20">
        <f t="shared" si="25"/>
        <v>0</v>
      </c>
      <c r="Q17" s="16">
        <f t="shared" si="8"/>
        <v>29</v>
      </c>
      <c r="R17" s="16"/>
      <c r="S17" s="21">
        <v>2.78669275929549</v>
      </c>
      <c r="T17" s="14">
        <v>2400</v>
      </c>
      <c r="U17" s="22">
        <v>996</v>
      </c>
      <c r="V17" s="23" t="s">
        <v>1428</v>
      </c>
      <c r="W17" s="14">
        <v>28</v>
      </c>
      <c r="X17" s="24">
        <f t="shared" si="9"/>
        <v>5.845511482254697E-2</v>
      </c>
      <c r="Y17" s="25">
        <f t="shared" si="10"/>
        <v>2.1591428571428573</v>
      </c>
      <c r="Z17" s="14">
        <v>7</v>
      </c>
      <c r="AA17" s="14" t="s">
        <v>35</v>
      </c>
      <c r="AB17" s="27">
        <f t="shared" si="11"/>
        <v>-0.69</v>
      </c>
      <c r="AC17" s="28">
        <v>9.6117239583333305E-2</v>
      </c>
      <c r="AD17" s="25">
        <f t="shared" si="12"/>
        <v>-63.535417709374975</v>
      </c>
      <c r="AE17" s="25">
        <v>-5.91</v>
      </c>
      <c r="AF17" s="25">
        <v>-8.5133333333333301</v>
      </c>
      <c r="AG17" s="25">
        <v>0</v>
      </c>
    </row>
    <row r="18" spans="1:33" ht="15.75" customHeight="1">
      <c r="A18" s="14" t="s">
        <v>42</v>
      </c>
      <c r="B18" s="14" t="s">
        <v>710</v>
      </c>
      <c r="C18" s="15">
        <f t="shared" si="4"/>
        <v>23.056442432082857</v>
      </c>
      <c r="D18" s="16">
        <v>773</v>
      </c>
      <c r="E18" s="16">
        <v>0</v>
      </c>
      <c r="F18" s="17">
        <v>17822.630000000048</v>
      </c>
      <c r="G18" s="29">
        <v>-70.11999999999999</v>
      </c>
      <c r="H18" s="18">
        <f t="shared" si="1"/>
        <v>3.9343239465780191E-3</v>
      </c>
      <c r="I18" s="18">
        <f t="shared" si="2"/>
        <v>0.21418105018731984</v>
      </c>
      <c r="J18" s="17">
        <f t="shared" si="5"/>
        <v>3817.2696105000427</v>
      </c>
      <c r="K18" s="17">
        <f t="shared" si="3"/>
        <v>4.9382530536869895</v>
      </c>
      <c r="L18" s="16">
        <v>995</v>
      </c>
      <c r="M18" s="19">
        <f t="shared" si="6"/>
        <v>0.77688442211055275</v>
      </c>
      <c r="N18" s="16">
        <v>1731</v>
      </c>
      <c r="O18" s="20">
        <f t="shared" ref="O18:P18" si="26">D18/7</f>
        <v>110.42857142857143</v>
      </c>
      <c r="P18" s="20">
        <f t="shared" si="26"/>
        <v>0</v>
      </c>
      <c r="Q18" s="16">
        <f t="shared" si="8"/>
        <v>15</v>
      </c>
      <c r="R18" s="16"/>
      <c r="S18" s="21">
        <v>3.9807300352047399</v>
      </c>
      <c r="T18" s="14">
        <v>1404</v>
      </c>
      <c r="U18" s="22">
        <v>0</v>
      </c>
      <c r="V18" s="23" t="s">
        <v>1429</v>
      </c>
      <c r="W18" s="14">
        <v>34</v>
      </c>
      <c r="X18" s="24">
        <f t="shared" si="9"/>
        <v>4.3984476067270378E-2</v>
      </c>
      <c r="Y18" s="25">
        <f t="shared" si="10"/>
        <v>1.7529999999999997</v>
      </c>
      <c r="Z18" s="14">
        <v>6</v>
      </c>
      <c r="AA18" s="14" t="s">
        <v>35</v>
      </c>
      <c r="AB18" s="27">
        <f t="shared" si="11"/>
        <v>-0.69</v>
      </c>
      <c r="AC18" s="28">
        <v>0.10556388888888889</v>
      </c>
      <c r="AD18" s="25">
        <f t="shared" si="12"/>
        <v>-112.60922283333333</v>
      </c>
      <c r="AE18" s="25">
        <v>-5.91</v>
      </c>
      <c r="AF18" s="25">
        <v>-8.5133333333333301</v>
      </c>
      <c r="AG18" s="25">
        <v>0</v>
      </c>
    </row>
    <row r="19" spans="1:33" ht="15.75" customHeight="1">
      <c r="A19" s="14" t="s">
        <v>44</v>
      </c>
      <c r="B19" s="14" t="s">
        <v>1430</v>
      </c>
      <c r="C19" s="15">
        <f t="shared" si="4"/>
        <v>23.599388794566924</v>
      </c>
      <c r="D19" s="16">
        <v>589</v>
      </c>
      <c r="E19" s="16">
        <v>0</v>
      </c>
      <c r="F19" s="17">
        <v>13900.039999999919</v>
      </c>
      <c r="G19" s="29">
        <v>-70.319999999999993</v>
      </c>
      <c r="H19" s="18">
        <f t="shared" si="1"/>
        <v>5.0589782475446406E-3</v>
      </c>
      <c r="I19" s="18">
        <f t="shared" si="2"/>
        <v>0.21098343792535473</v>
      </c>
      <c r="J19" s="17">
        <f t="shared" si="5"/>
        <v>2932.6782264999306</v>
      </c>
      <c r="K19" s="17">
        <f t="shared" si="3"/>
        <v>4.9790801808148224</v>
      </c>
      <c r="L19" s="16">
        <v>1007</v>
      </c>
      <c r="M19" s="19">
        <f t="shared" si="6"/>
        <v>0.58490566037735847</v>
      </c>
      <c r="N19" s="16">
        <v>2175</v>
      </c>
      <c r="O19" s="20">
        <f t="shared" ref="O19:P19" si="27">D19/7</f>
        <v>84.142857142857139</v>
      </c>
      <c r="P19" s="20">
        <f t="shared" si="27"/>
        <v>0</v>
      </c>
      <c r="Q19" s="16">
        <f t="shared" si="8"/>
        <v>25</v>
      </c>
      <c r="R19" s="16"/>
      <c r="S19" s="21">
        <v>3.4738771769019201</v>
      </c>
      <c r="T19" s="14">
        <v>408</v>
      </c>
      <c r="U19" s="22">
        <v>204</v>
      </c>
      <c r="V19" s="23" t="s">
        <v>1431</v>
      </c>
      <c r="W19" s="14">
        <v>19</v>
      </c>
      <c r="X19" s="24">
        <f t="shared" si="9"/>
        <v>3.2258064516129031E-2</v>
      </c>
      <c r="Y19" s="25">
        <f t="shared" si="10"/>
        <v>2.4248275862068964</v>
      </c>
      <c r="Z19" s="14">
        <v>10</v>
      </c>
      <c r="AA19" s="14" t="s">
        <v>35</v>
      </c>
      <c r="AB19" s="27">
        <f t="shared" si="11"/>
        <v>-0.69</v>
      </c>
      <c r="AC19" s="28">
        <v>0.10556388888888889</v>
      </c>
      <c r="AD19" s="25">
        <f t="shared" si="12"/>
        <v>-85.804440166666666</v>
      </c>
      <c r="AE19" s="25">
        <v>-5.91</v>
      </c>
      <c r="AF19" s="25">
        <v>-8.9053333333333331</v>
      </c>
      <c r="AG19" s="25">
        <v>0</v>
      </c>
    </row>
    <row r="20" spans="1:33" ht="15.75" customHeight="1">
      <c r="A20" s="14" t="s">
        <v>46</v>
      </c>
      <c r="B20" s="14" t="s">
        <v>68</v>
      </c>
      <c r="C20" s="15">
        <f t="shared" si="4"/>
        <v>25.948087912087981</v>
      </c>
      <c r="D20" s="16">
        <v>455</v>
      </c>
      <c r="E20" s="16">
        <v>0</v>
      </c>
      <c r="F20" s="17">
        <v>11806.380000000032</v>
      </c>
      <c r="G20" s="29">
        <v>-69.849999999999994</v>
      </c>
      <c r="H20" s="18">
        <f t="shared" si="1"/>
        <v>5.916292716310995E-3</v>
      </c>
      <c r="I20" s="18">
        <f t="shared" si="2"/>
        <v>0.26750898814878205</v>
      </c>
      <c r="J20" s="17">
        <f t="shared" si="5"/>
        <v>3158.312767500026</v>
      </c>
      <c r="K20" s="17">
        <f t="shared" si="3"/>
        <v>6.9413467417582986</v>
      </c>
      <c r="L20" s="16">
        <v>940</v>
      </c>
      <c r="M20" s="19">
        <f t="shared" si="6"/>
        <v>0.48404255319148937</v>
      </c>
      <c r="N20" s="16">
        <v>2924</v>
      </c>
      <c r="O20" s="20">
        <f t="shared" ref="O20:P20" si="28">D20/7</f>
        <v>65</v>
      </c>
      <c r="P20" s="20">
        <f t="shared" si="28"/>
        <v>0</v>
      </c>
      <c r="Q20" s="16">
        <f t="shared" si="8"/>
        <v>44</v>
      </c>
      <c r="R20" s="16"/>
      <c r="S20" s="21">
        <v>3.18355437665782</v>
      </c>
      <c r="T20" s="14">
        <v>408</v>
      </c>
      <c r="U20" s="22">
        <v>204</v>
      </c>
      <c r="V20" s="23" t="s">
        <v>1432</v>
      </c>
      <c r="W20" s="14">
        <v>19</v>
      </c>
      <c r="X20" s="24">
        <f t="shared" si="9"/>
        <v>4.1758241758241756E-2</v>
      </c>
      <c r="Y20" s="25">
        <f t="shared" si="10"/>
        <v>2.0544117647058822</v>
      </c>
      <c r="Z20" s="14">
        <v>15</v>
      </c>
      <c r="AA20" s="14" t="s">
        <v>35</v>
      </c>
      <c r="AB20" s="27">
        <f t="shared" si="11"/>
        <v>-0.69</v>
      </c>
      <c r="AC20" s="28">
        <v>0.10556388888888889</v>
      </c>
      <c r="AD20" s="25">
        <f t="shared" si="12"/>
        <v>-66.283565833333327</v>
      </c>
      <c r="AE20" s="25">
        <v>-5.91</v>
      </c>
      <c r="AF20" s="25">
        <v>-8.9053333333333331</v>
      </c>
      <c r="AG20" s="25">
        <v>0</v>
      </c>
    </row>
    <row r="21" spans="1:33" ht="15.75" customHeight="1">
      <c r="A21" s="14" t="s">
        <v>47</v>
      </c>
      <c r="B21" s="14" t="s">
        <v>101</v>
      </c>
      <c r="C21" s="15">
        <f t="shared" si="4"/>
        <v>27.086619144602892</v>
      </c>
      <c r="D21" s="16">
        <v>491</v>
      </c>
      <c r="E21" s="16">
        <v>0</v>
      </c>
      <c r="F21" s="17">
        <v>13299.530000000021</v>
      </c>
      <c r="G21" s="29">
        <v>-71.089999999999975</v>
      </c>
      <c r="H21" s="18">
        <f t="shared" si="1"/>
        <v>5.3453016760742567E-3</v>
      </c>
      <c r="I21" s="18">
        <f t="shared" si="2"/>
        <v>0.2923151309482373</v>
      </c>
      <c r="J21" s="17">
        <f t="shared" si="5"/>
        <v>3887.6538535000168</v>
      </c>
      <c r="K21" s="17">
        <f t="shared" si="3"/>
        <v>7.917828622199627</v>
      </c>
      <c r="L21" s="16">
        <v>447</v>
      </c>
      <c r="M21" s="19">
        <f t="shared" si="6"/>
        <v>1.0984340044742729</v>
      </c>
      <c r="N21" s="16">
        <v>3668</v>
      </c>
      <c r="O21" s="20">
        <f t="shared" ref="O21:P21" si="29">D21/7</f>
        <v>70.142857142857139</v>
      </c>
      <c r="P21" s="20">
        <f t="shared" si="29"/>
        <v>0</v>
      </c>
      <c r="Q21" s="16">
        <f t="shared" si="8"/>
        <v>52</v>
      </c>
      <c r="R21" s="16"/>
      <c r="S21" s="21">
        <v>2.71041620788372</v>
      </c>
      <c r="T21" s="14">
        <v>4182</v>
      </c>
      <c r="U21" s="22">
        <v>204</v>
      </c>
      <c r="V21" s="23" t="s">
        <v>1433</v>
      </c>
      <c r="W21" s="14">
        <v>19</v>
      </c>
      <c r="X21" s="24">
        <f t="shared" si="9"/>
        <v>3.8696537678207736E-2</v>
      </c>
      <c r="Y21" s="25">
        <f t="shared" si="10"/>
        <v>2.9620833333333323</v>
      </c>
      <c r="Z21" s="14">
        <v>5</v>
      </c>
      <c r="AA21" s="14" t="s">
        <v>35</v>
      </c>
      <c r="AB21" s="27">
        <f t="shared" si="11"/>
        <v>-0.69</v>
      </c>
      <c r="AC21" s="28">
        <v>0.10556388888888889</v>
      </c>
      <c r="AD21" s="25">
        <f t="shared" si="12"/>
        <v>-71.527979833333333</v>
      </c>
      <c r="AE21" s="25">
        <v>-5.91</v>
      </c>
      <c r="AF21" s="25">
        <v>-8.9053333333333331</v>
      </c>
      <c r="AG21" s="25">
        <v>0</v>
      </c>
    </row>
    <row r="22" spans="1:33" ht="15.75" customHeight="1">
      <c r="A22" s="14" t="s">
        <v>48</v>
      </c>
      <c r="B22" s="14" t="s">
        <v>918</v>
      </c>
      <c r="C22" s="15">
        <f t="shared" si="4"/>
        <v>27.098359908883847</v>
      </c>
      <c r="D22" s="16">
        <v>439</v>
      </c>
      <c r="E22" s="16">
        <v>0</v>
      </c>
      <c r="F22" s="29">
        <v>11896.180000000009</v>
      </c>
      <c r="G22" s="29">
        <v>-68.930000000000021</v>
      </c>
      <c r="H22" s="18">
        <f t="shared" si="1"/>
        <v>5.7942969928161782E-3</v>
      </c>
      <c r="I22" s="18">
        <f t="shared" si="2"/>
        <v>0.29210544489911927</v>
      </c>
      <c r="J22" s="17">
        <f t="shared" si="5"/>
        <v>3474.9389515000075</v>
      </c>
      <c r="K22" s="17">
        <f t="shared" si="3"/>
        <v>7.9155784772209739</v>
      </c>
      <c r="L22" s="16">
        <v>724</v>
      </c>
      <c r="M22" s="19">
        <f t="shared" si="6"/>
        <v>0.60635359116022103</v>
      </c>
      <c r="N22" s="16">
        <v>3119</v>
      </c>
      <c r="O22" s="20">
        <f t="shared" ref="O22:P22" si="30">D22/7</f>
        <v>62.714285714285715</v>
      </c>
      <c r="P22" s="20">
        <f t="shared" si="30"/>
        <v>0</v>
      </c>
      <c r="Q22" s="16">
        <f t="shared" si="8"/>
        <v>49</v>
      </c>
      <c r="R22" s="16"/>
      <c r="S22" s="21">
        <v>3.25276482345103</v>
      </c>
      <c r="T22" s="14">
        <v>3210</v>
      </c>
      <c r="U22" s="22">
        <v>204</v>
      </c>
      <c r="V22" s="23" t="s">
        <v>1434</v>
      </c>
      <c r="W22" s="14">
        <v>18</v>
      </c>
      <c r="X22" s="24">
        <f t="shared" si="9"/>
        <v>4.1002277904328019E-2</v>
      </c>
      <c r="Y22" s="25">
        <f t="shared" si="10"/>
        <v>2.027352941176471</v>
      </c>
      <c r="Z22" s="14">
        <v>16</v>
      </c>
      <c r="AA22" s="14" t="s">
        <v>35</v>
      </c>
      <c r="AB22" s="27">
        <f t="shared" si="11"/>
        <v>-0.69</v>
      </c>
      <c r="AC22" s="28">
        <v>0.10556388888888889</v>
      </c>
      <c r="AD22" s="25">
        <f t="shared" si="12"/>
        <v>-63.952715166666664</v>
      </c>
      <c r="AE22" s="25">
        <v>-5.91</v>
      </c>
      <c r="AF22" s="25">
        <v>-8.9053333333333331</v>
      </c>
      <c r="AG22" s="25">
        <v>0</v>
      </c>
    </row>
    <row r="23" spans="1:33" ht="15.75" customHeight="1">
      <c r="A23" s="14" t="s">
        <v>49</v>
      </c>
      <c r="B23" s="14" t="s">
        <v>68</v>
      </c>
      <c r="C23" s="15">
        <f t="shared" si="4"/>
        <v>26.603888888888985</v>
      </c>
      <c r="D23" s="16">
        <v>450</v>
      </c>
      <c r="E23" s="16">
        <v>0</v>
      </c>
      <c r="F23" s="17">
        <v>11971.750000000044</v>
      </c>
      <c r="G23" s="29">
        <v>-66.27000000000001</v>
      </c>
      <c r="H23" s="18">
        <f t="shared" si="1"/>
        <v>5.5355315638899718E-3</v>
      </c>
      <c r="I23" s="18">
        <f t="shared" si="2"/>
        <v>0.28195526351619649</v>
      </c>
      <c r="J23" s="17">
        <f t="shared" si="5"/>
        <v>3375.4979260000373</v>
      </c>
      <c r="K23" s="17">
        <f t="shared" si="3"/>
        <v>7.5011065022223047</v>
      </c>
      <c r="L23" s="16">
        <v>724</v>
      </c>
      <c r="M23" s="19">
        <f t="shared" si="6"/>
        <v>0.62154696132596687</v>
      </c>
      <c r="N23" s="16">
        <v>2551</v>
      </c>
      <c r="O23" s="20">
        <f t="shared" ref="O23:P23" si="31">D23/7</f>
        <v>64.285714285714292</v>
      </c>
      <c r="P23" s="20">
        <f t="shared" si="31"/>
        <v>0</v>
      </c>
      <c r="Q23" s="16">
        <f t="shared" si="8"/>
        <v>39</v>
      </c>
      <c r="R23" s="16"/>
      <c r="S23" s="21">
        <v>4.1643550624133097</v>
      </c>
      <c r="T23" s="14">
        <v>5436</v>
      </c>
      <c r="U23" s="22">
        <v>204</v>
      </c>
      <c r="V23" s="23" t="s">
        <v>1434</v>
      </c>
      <c r="W23" s="14">
        <v>29</v>
      </c>
      <c r="X23" s="24">
        <f t="shared" si="9"/>
        <v>6.4444444444444443E-2</v>
      </c>
      <c r="Y23" s="25">
        <f t="shared" si="10"/>
        <v>1.7910810810810813</v>
      </c>
      <c r="Z23" s="14">
        <v>8</v>
      </c>
      <c r="AA23" s="14" t="s">
        <v>35</v>
      </c>
      <c r="AB23" s="27">
        <f t="shared" si="11"/>
        <v>-0.69</v>
      </c>
      <c r="AC23" s="28">
        <v>0.1084051111111111</v>
      </c>
      <c r="AD23" s="25">
        <f t="shared" si="12"/>
        <v>-67.319573999999989</v>
      </c>
      <c r="AE23" s="25">
        <v>-5.91</v>
      </c>
      <c r="AF23" s="25">
        <v>-8.9053333333333331</v>
      </c>
      <c r="AG23" s="25">
        <v>0</v>
      </c>
    </row>
    <row r="24" spans="1:33" ht="15.75" customHeight="1">
      <c r="A24" s="14" t="s">
        <v>50</v>
      </c>
      <c r="B24" s="14" t="s">
        <v>1435</v>
      </c>
      <c r="C24" s="15">
        <f t="shared" si="4"/>
        <v>26.010205479452143</v>
      </c>
      <c r="D24" s="16">
        <v>438</v>
      </c>
      <c r="E24" s="16">
        <v>1</v>
      </c>
      <c r="F24" s="17">
        <v>11392.470000000039</v>
      </c>
      <c r="G24" s="17">
        <v>-70.999999999999972</v>
      </c>
      <c r="H24" s="18">
        <f t="shared" si="1"/>
        <v>6.2321866987580157E-3</v>
      </c>
      <c r="I24" s="18">
        <f t="shared" si="2"/>
        <v>0.26841932562824589</v>
      </c>
      <c r="J24" s="17">
        <f t="shared" si="5"/>
        <v>3057.959114640033</v>
      </c>
      <c r="K24" s="17">
        <f t="shared" si="3"/>
        <v>6.9816418142466503</v>
      </c>
      <c r="L24" s="16">
        <v>809</v>
      </c>
      <c r="M24" s="19">
        <f t="shared" si="6"/>
        <v>0.54140914709517929</v>
      </c>
      <c r="N24" s="16">
        <v>2246</v>
      </c>
      <c r="O24" s="20">
        <f t="shared" ref="O24:P24" si="32">D24/7</f>
        <v>62.571428571428569</v>
      </c>
      <c r="P24" s="20">
        <f t="shared" si="32"/>
        <v>0.14285714285714285</v>
      </c>
      <c r="Q24" s="16">
        <f t="shared" si="8"/>
        <v>35</v>
      </c>
      <c r="R24" s="16"/>
      <c r="S24" s="21">
        <v>3.0469110484491102</v>
      </c>
      <c r="T24" s="14">
        <v>7410</v>
      </c>
      <c r="U24" s="22">
        <v>204</v>
      </c>
      <c r="V24" s="23" t="s">
        <v>1436</v>
      </c>
      <c r="W24" s="14">
        <v>23</v>
      </c>
      <c r="X24" s="24">
        <f t="shared" si="9"/>
        <v>5.2511415525114152E-2</v>
      </c>
      <c r="Y24" s="25">
        <f t="shared" si="10"/>
        <v>1.9189189189189182</v>
      </c>
      <c r="Z24" s="14">
        <v>14</v>
      </c>
      <c r="AA24" s="14" t="s">
        <v>35</v>
      </c>
      <c r="AB24" s="27">
        <f t="shared" si="11"/>
        <v>-0.69</v>
      </c>
      <c r="AC24" s="28">
        <v>0.1084051111111111</v>
      </c>
      <c r="AD24" s="25">
        <f t="shared" si="12"/>
        <v>-65.524385359999997</v>
      </c>
      <c r="AE24" s="25">
        <v>-5.91</v>
      </c>
      <c r="AF24" s="25">
        <v>-8.9053333333333331</v>
      </c>
      <c r="AG24" s="25">
        <v>0</v>
      </c>
    </row>
    <row r="25" spans="1:33" ht="15.75" customHeight="1">
      <c r="A25" s="14" t="s">
        <v>51</v>
      </c>
      <c r="B25" s="14" t="s">
        <v>918</v>
      </c>
      <c r="C25" s="15">
        <f t="shared" si="4"/>
        <v>26.370895883777241</v>
      </c>
      <c r="D25" s="16">
        <v>413</v>
      </c>
      <c r="E25" s="16">
        <v>0</v>
      </c>
      <c r="F25" s="17">
        <v>10891.18</v>
      </c>
      <c r="G25" s="17">
        <v>-7.22</v>
      </c>
      <c r="H25" s="18">
        <f t="shared" si="1"/>
        <v>6.6292174034402146E-4</v>
      </c>
      <c r="I25" s="18">
        <f t="shared" si="2"/>
        <v>0.28168101077875257</v>
      </c>
      <c r="J25" s="17">
        <f t="shared" si="5"/>
        <v>3067.8385909733347</v>
      </c>
      <c r="K25" s="17">
        <f t="shared" si="3"/>
        <v>7.4281806076836192</v>
      </c>
      <c r="L25" s="16">
        <v>958</v>
      </c>
      <c r="M25" s="19">
        <f t="shared" si="6"/>
        <v>0.43110647181628392</v>
      </c>
      <c r="N25" s="16">
        <v>1741</v>
      </c>
      <c r="O25" s="20">
        <f t="shared" ref="O25:P25" si="33">D25/7</f>
        <v>59</v>
      </c>
      <c r="P25" s="20">
        <f t="shared" si="33"/>
        <v>0</v>
      </c>
      <c r="Q25" s="16">
        <f t="shared" si="8"/>
        <v>29</v>
      </c>
      <c r="R25" s="16"/>
      <c r="S25" s="21">
        <v>2.86289735501092</v>
      </c>
      <c r="T25" s="14">
        <v>7914</v>
      </c>
      <c r="U25" s="22">
        <v>204</v>
      </c>
      <c r="V25" s="23" t="s">
        <v>1437</v>
      </c>
      <c r="W25" s="30">
        <v>1</v>
      </c>
      <c r="X25" s="24">
        <f t="shared" si="9"/>
        <v>2.4213075060532689E-3</v>
      </c>
      <c r="Y25" s="25">
        <f t="shared" si="10"/>
        <v>7.22</v>
      </c>
      <c r="Z25" s="30">
        <v>0</v>
      </c>
      <c r="AA25" s="14" t="s">
        <v>35</v>
      </c>
      <c r="AB25" s="27">
        <f t="shared" si="11"/>
        <v>-0.69</v>
      </c>
      <c r="AC25" s="28">
        <v>0.1084051111111111</v>
      </c>
      <c r="AD25" s="25">
        <f t="shared" si="12"/>
        <v>-61.784409026666658</v>
      </c>
      <c r="AE25" s="25">
        <v>-5.91</v>
      </c>
      <c r="AF25" s="25">
        <v>-8.91</v>
      </c>
      <c r="AG25" s="25">
        <v>0</v>
      </c>
    </row>
    <row r="26" spans="1:33" ht="15.75" customHeight="1">
      <c r="A26" s="14" t="s">
        <v>52</v>
      </c>
      <c r="B26" s="14" t="s">
        <v>1438</v>
      </c>
      <c r="C26" s="15">
        <f t="shared" si="4"/>
        <v>26.20510273972603</v>
      </c>
      <c r="D26" s="16">
        <v>584</v>
      </c>
      <c r="E26" s="16">
        <v>3</v>
      </c>
      <c r="F26" s="17">
        <v>15303.78</v>
      </c>
      <c r="G26" s="17">
        <v>-0.33</v>
      </c>
      <c r="H26" s="18">
        <f t="shared" si="1"/>
        <v>2.156330004743926E-5</v>
      </c>
      <c r="I26" s="18">
        <f t="shared" si="2"/>
        <v>0.27204014212087918</v>
      </c>
      <c r="J26" s="17">
        <f t="shared" si="5"/>
        <v>4163.2424861866684</v>
      </c>
      <c r="K26" s="17">
        <f t="shared" si="3"/>
        <v>7.1288398736073093</v>
      </c>
      <c r="L26" s="16">
        <v>929</v>
      </c>
      <c r="M26" s="19">
        <f t="shared" si="6"/>
        <v>0.62863293864370295</v>
      </c>
      <c r="N26" s="16">
        <v>1269</v>
      </c>
      <c r="O26" s="20">
        <f t="shared" ref="O26:P26" si="34">D26/7</f>
        <v>83.428571428571431</v>
      </c>
      <c r="P26" s="20">
        <f t="shared" si="34"/>
        <v>0.42857142857142855</v>
      </c>
      <c r="Q26" s="16">
        <f t="shared" si="8"/>
        <v>15</v>
      </c>
      <c r="R26" s="16"/>
      <c r="S26" s="21">
        <v>2.899608227228208</v>
      </c>
      <c r="T26" s="14">
        <v>7914</v>
      </c>
      <c r="U26" s="22">
        <v>204</v>
      </c>
      <c r="V26" s="23" t="s">
        <v>1439</v>
      </c>
      <c r="W26" s="30">
        <v>2</v>
      </c>
      <c r="X26" s="24">
        <f t="shared" si="9"/>
        <v>3.4246575342465752E-3</v>
      </c>
      <c r="Y26" s="25">
        <f t="shared" si="10"/>
        <v>0.16500000000000001</v>
      </c>
      <c r="Z26" s="30">
        <v>0</v>
      </c>
      <c r="AA26" s="14" t="s">
        <v>35</v>
      </c>
      <c r="AB26" s="27">
        <f t="shared" si="11"/>
        <v>-0.69</v>
      </c>
      <c r="AC26" s="28">
        <v>0.1084051111111111</v>
      </c>
      <c r="AD26" s="25">
        <f t="shared" si="12"/>
        <v>-87.365847146666653</v>
      </c>
      <c r="AE26" s="25">
        <v>-6.09</v>
      </c>
      <c r="AF26" s="25">
        <v>-8.9053333333333295</v>
      </c>
      <c r="AG26" s="25">
        <v>0</v>
      </c>
    </row>
    <row r="27" spans="1:33" ht="15.75" customHeight="1">
      <c r="A27" s="14" t="s">
        <v>53</v>
      </c>
      <c r="B27" s="14" t="s">
        <v>341</v>
      </c>
      <c r="C27" s="15">
        <f t="shared" si="4"/>
        <v>27.713251670378618</v>
      </c>
      <c r="D27" s="16">
        <v>449</v>
      </c>
      <c r="E27" s="16">
        <v>0</v>
      </c>
      <c r="F27" s="17">
        <v>12443.25</v>
      </c>
      <c r="G27" s="17">
        <v>-0.12</v>
      </c>
      <c r="H27" s="18">
        <f t="shared" si="1"/>
        <v>9.6437827737930202E-6</v>
      </c>
      <c r="I27" s="18">
        <f t="shared" si="2"/>
        <v>0.23977329275336684</v>
      </c>
      <c r="J27" s="17">
        <f t="shared" si="5"/>
        <v>2983.5590250533319</v>
      </c>
      <c r="K27" s="17">
        <f t="shared" si="3"/>
        <v>6.6448976059094251</v>
      </c>
      <c r="L27" s="16">
        <v>919</v>
      </c>
      <c r="M27" s="19">
        <f t="shared" si="6"/>
        <v>0.48857453754080521</v>
      </c>
      <c r="N27" s="16">
        <v>1028</v>
      </c>
      <c r="O27" s="20">
        <f t="shared" ref="O27:P27" si="35">D27/7</f>
        <v>64.142857142857139</v>
      </c>
      <c r="P27" s="20">
        <f t="shared" si="35"/>
        <v>0</v>
      </c>
      <c r="Q27" s="16">
        <f t="shared" si="8"/>
        <v>16</v>
      </c>
      <c r="R27" s="16"/>
      <c r="S27" s="21">
        <v>3.9314956777034742</v>
      </c>
      <c r="T27" s="14">
        <v>7710</v>
      </c>
      <c r="U27" s="22">
        <v>204</v>
      </c>
      <c r="V27" s="23" t="s">
        <v>1440</v>
      </c>
      <c r="W27" s="30">
        <v>0</v>
      </c>
      <c r="X27" s="24">
        <f t="shared" si="9"/>
        <v>0</v>
      </c>
      <c r="Y27" s="25">
        <f t="shared" si="10"/>
        <v>0</v>
      </c>
      <c r="Z27" s="30">
        <v>0</v>
      </c>
      <c r="AA27" s="14" t="s">
        <v>35</v>
      </c>
      <c r="AB27" s="27">
        <f t="shared" si="11"/>
        <v>-0.69</v>
      </c>
      <c r="AC27" s="28">
        <v>0.1084051111111111</v>
      </c>
      <c r="AD27" s="25">
        <f t="shared" si="12"/>
        <v>-67.169974946666656</v>
      </c>
      <c r="AE27" s="25">
        <v>-6.09</v>
      </c>
      <c r="AF27" s="25">
        <v>-10.6715</v>
      </c>
      <c r="AG27" s="25">
        <v>0</v>
      </c>
    </row>
    <row r="28" spans="1:33" ht="15.75" customHeight="1">
      <c r="A28" s="14" t="s">
        <v>54</v>
      </c>
      <c r="B28" s="14" t="s">
        <v>1441</v>
      </c>
      <c r="C28" s="15">
        <f t="shared" si="4"/>
        <v>30.173151750972764</v>
      </c>
      <c r="D28" s="16">
        <v>257</v>
      </c>
      <c r="E28" s="16">
        <v>1</v>
      </c>
      <c r="F28" s="17">
        <v>7754.5</v>
      </c>
      <c r="G28" s="17">
        <v>-0.24</v>
      </c>
      <c r="H28" s="18">
        <f t="shared" si="1"/>
        <v>3.0949771100651231E-5</v>
      </c>
      <c r="I28" s="18">
        <f t="shared" si="2"/>
        <v>0.28950061813054784</v>
      </c>
      <c r="J28" s="17">
        <f t="shared" si="5"/>
        <v>2244.9325432933333</v>
      </c>
      <c r="K28" s="17">
        <f t="shared" si="3"/>
        <v>8.7351460828534364</v>
      </c>
      <c r="L28" s="16">
        <v>793</v>
      </c>
      <c r="M28" s="19">
        <f t="shared" si="6"/>
        <v>0.32408575031525849</v>
      </c>
      <c r="N28" s="16">
        <v>731</v>
      </c>
      <c r="O28" s="20">
        <f t="shared" ref="O28:P28" si="36">D28/7</f>
        <v>36.714285714285715</v>
      </c>
      <c r="P28" s="20">
        <f t="shared" si="36"/>
        <v>0.14285714285714285</v>
      </c>
      <c r="Q28" s="16">
        <f t="shared" si="8"/>
        <v>19</v>
      </c>
      <c r="R28" s="16"/>
      <c r="S28" s="21">
        <v>3.7902973395931139</v>
      </c>
      <c r="T28" s="14">
        <v>15714</v>
      </c>
      <c r="U28" s="22">
        <v>44392</v>
      </c>
      <c r="V28" s="23" t="s">
        <v>1442</v>
      </c>
      <c r="W28" s="30">
        <v>0</v>
      </c>
      <c r="X28" s="24">
        <f t="shared" si="9"/>
        <v>0</v>
      </c>
      <c r="Y28" s="25">
        <f t="shared" si="10"/>
        <v>0</v>
      </c>
      <c r="Z28" s="30">
        <v>0</v>
      </c>
      <c r="AA28" s="14" t="s">
        <v>35</v>
      </c>
      <c r="AB28" s="27">
        <f t="shared" si="11"/>
        <v>-0.69</v>
      </c>
      <c r="AC28" s="28">
        <v>0.1084051111111111</v>
      </c>
      <c r="AD28" s="25">
        <f t="shared" si="12"/>
        <v>-38.446956706666661</v>
      </c>
      <c r="AE28" s="25">
        <v>-6.09</v>
      </c>
      <c r="AF28" s="25">
        <v>-10.6715</v>
      </c>
      <c r="AG28" s="25">
        <v>0</v>
      </c>
    </row>
    <row r="29" spans="1:33" ht="15.75" customHeight="1">
      <c r="A29" s="14" t="s">
        <v>55</v>
      </c>
      <c r="B29" s="14" t="s">
        <v>1443</v>
      </c>
      <c r="C29" s="15">
        <f t="shared" si="4"/>
        <v>37.249722222222225</v>
      </c>
      <c r="D29" s="16">
        <v>144</v>
      </c>
      <c r="E29" s="16">
        <v>0</v>
      </c>
      <c r="F29" s="17">
        <v>5363.96</v>
      </c>
      <c r="G29" s="17">
        <v>0</v>
      </c>
      <c r="H29" s="18">
        <f t="shared" si="1"/>
        <v>0</v>
      </c>
      <c r="I29" s="18">
        <f t="shared" si="2"/>
        <v>0.39600737819073972</v>
      </c>
      <c r="J29" s="17">
        <f t="shared" si="5"/>
        <v>2124.1677363200001</v>
      </c>
      <c r="K29" s="17">
        <f t="shared" si="3"/>
        <v>14.751164835555556</v>
      </c>
      <c r="L29" s="16">
        <v>571</v>
      </c>
      <c r="M29" s="19">
        <f t="shared" si="6"/>
        <v>0.2521891418563923</v>
      </c>
      <c r="N29" s="16">
        <v>600</v>
      </c>
      <c r="O29" s="20">
        <f t="shared" ref="O29:P29" si="37">D29/7</f>
        <v>20.571428571428573</v>
      </c>
      <c r="P29" s="20">
        <f t="shared" si="37"/>
        <v>0</v>
      </c>
      <c r="Q29" s="16">
        <f t="shared" si="8"/>
        <v>29</v>
      </c>
      <c r="R29" s="16"/>
      <c r="S29" s="21">
        <v>2.9494700517623862</v>
      </c>
      <c r="T29" s="14">
        <v>18804</v>
      </c>
      <c r="U29" s="22">
        <v>44392</v>
      </c>
      <c r="V29" s="23" t="s">
        <v>1444</v>
      </c>
      <c r="W29" s="30">
        <v>0</v>
      </c>
      <c r="X29" s="24">
        <f t="shared" si="9"/>
        <v>0</v>
      </c>
      <c r="Y29" s="25">
        <f t="shared" si="10"/>
        <v>0</v>
      </c>
      <c r="Z29" s="30">
        <v>0</v>
      </c>
      <c r="AA29" s="14" t="s">
        <v>35</v>
      </c>
      <c r="AB29" s="27">
        <f t="shared" si="11"/>
        <v>-0.69</v>
      </c>
      <c r="AC29" s="28">
        <v>0.1084051111111111</v>
      </c>
      <c r="AD29" s="25">
        <f t="shared" si="12"/>
        <v>-21.542263679999998</v>
      </c>
      <c r="AE29" s="25">
        <v>-6.09</v>
      </c>
      <c r="AF29" s="25">
        <v>-10.6715</v>
      </c>
      <c r="AG29" s="25">
        <v>0</v>
      </c>
    </row>
    <row r="30" spans="1:33" ht="15.75" customHeight="1">
      <c r="A30" s="14" t="s">
        <v>57</v>
      </c>
      <c r="B30" s="14" t="s">
        <v>1445</v>
      </c>
      <c r="C30" s="15">
        <f t="shared" si="4"/>
        <v>31.361367924528224</v>
      </c>
      <c r="D30" s="16">
        <v>212</v>
      </c>
      <c r="E30" s="16">
        <v>1</v>
      </c>
      <c r="F30" s="17">
        <v>6648.6099999999833</v>
      </c>
      <c r="G30" s="17">
        <v>-0.14000000000000001</v>
      </c>
      <c r="H30" s="18">
        <f t="shared" si="1"/>
        <v>2.1057032973809618E-5</v>
      </c>
      <c r="I30" s="18">
        <f t="shared" si="2"/>
        <v>0.3191295136341768</v>
      </c>
      <c r="J30" s="17">
        <f t="shared" si="5"/>
        <v>2121.7676756433189</v>
      </c>
      <c r="K30" s="17">
        <f t="shared" si="3"/>
        <v>10.008338092657164</v>
      </c>
      <c r="L30" s="16">
        <v>452</v>
      </c>
      <c r="M30" s="19">
        <f t="shared" si="6"/>
        <v>0.46902654867256638</v>
      </c>
      <c r="N30" s="16">
        <v>412</v>
      </c>
      <c r="O30" s="20">
        <f t="shared" ref="O30:P30" si="38">D30/7</f>
        <v>30.285714285714285</v>
      </c>
      <c r="P30" s="20">
        <f t="shared" si="38"/>
        <v>0.14285714285714285</v>
      </c>
      <c r="Q30" s="16">
        <f t="shared" si="8"/>
        <v>13</v>
      </c>
      <c r="R30" s="16"/>
      <c r="S30" s="21">
        <v>2.6750144927536228</v>
      </c>
      <c r="T30" s="14">
        <v>7710</v>
      </c>
      <c r="U30" s="22">
        <v>204</v>
      </c>
      <c r="V30" s="23" t="s">
        <v>1446</v>
      </c>
      <c r="W30" s="30">
        <v>1</v>
      </c>
      <c r="X30" s="24">
        <f t="shared" si="9"/>
        <v>4.7169811320754715E-3</v>
      </c>
      <c r="Y30" s="25">
        <f t="shared" si="10"/>
        <v>0.14000000000000001</v>
      </c>
      <c r="Z30" s="30">
        <v>0</v>
      </c>
      <c r="AA30" s="14" t="s">
        <v>35</v>
      </c>
      <c r="AB30" s="27">
        <f t="shared" si="11"/>
        <v>-0.69</v>
      </c>
      <c r="AC30" s="28">
        <v>0.1084051111111111</v>
      </c>
      <c r="AD30" s="25">
        <f t="shared" si="12"/>
        <v>-31.714999306666662</v>
      </c>
      <c r="AE30" s="25">
        <v>-6.09</v>
      </c>
      <c r="AF30" s="25">
        <v>-10.408565212499999</v>
      </c>
      <c r="AG30" s="25">
        <v>0</v>
      </c>
    </row>
    <row r="31" spans="1:33" ht="15.75" customHeight="1">
      <c r="A31" s="14" t="s">
        <v>58</v>
      </c>
      <c r="B31" s="14" t="s">
        <v>214</v>
      </c>
      <c r="C31" s="15">
        <f t="shared" si="4"/>
        <v>29.789753694581208</v>
      </c>
      <c r="D31" s="16">
        <v>203</v>
      </c>
      <c r="E31" s="16">
        <v>1</v>
      </c>
      <c r="F31" s="17">
        <v>6047.3199999999852</v>
      </c>
      <c r="G31" s="17">
        <v>-0.1</v>
      </c>
      <c r="H31" s="18">
        <f t="shared" si="1"/>
        <v>1.6536250768935703E-5</v>
      </c>
      <c r="I31" s="18">
        <f t="shared" si="2"/>
        <v>0.29112807889045461</v>
      </c>
      <c r="J31" s="17">
        <f t="shared" si="5"/>
        <v>1760.5446540358196</v>
      </c>
      <c r="K31" s="17">
        <f t="shared" si="3"/>
        <v>8.6726337637232493</v>
      </c>
      <c r="L31" s="16">
        <v>489</v>
      </c>
      <c r="M31" s="19">
        <f t="shared" si="6"/>
        <v>0.41513292433537835</v>
      </c>
      <c r="N31" s="16">
        <v>212</v>
      </c>
      <c r="O31" s="20">
        <f t="shared" ref="O31:P31" si="39">D31/7</f>
        <v>29</v>
      </c>
      <c r="P31" s="20">
        <f t="shared" si="39"/>
        <v>0.14285714285714285</v>
      </c>
      <c r="Q31" s="16">
        <f t="shared" si="8"/>
        <v>7</v>
      </c>
      <c r="R31" s="16"/>
      <c r="S31" s="21">
        <v>3.0250359712230201</v>
      </c>
      <c r="T31" s="14">
        <v>1452</v>
      </c>
      <c r="U31" s="22">
        <v>2664</v>
      </c>
      <c r="V31" s="23" t="s">
        <v>1447</v>
      </c>
      <c r="W31" s="30">
        <v>0</v>
      </c>
      <c r="X31" s="24">
        <f t="shared" si="9"/>
        <v>0</v>
      </c>
      <c r="Y31" s="25">
        <f t="shared" si="10"/>
        <v>0</v>
      </c>
      <c r="Z31" s="30">
        <v>0</v>
      </c>
      <c r="AA31" s="14" t="s">
        <v>35</v>
      </c>
      <c r="AB31" s="27">
        <f t="shared" si="11"/>
        <v>-0.69</v>
      </c>
      <c r="AC31" s="28">
        <v>0.1084051111111111</v>
      </c>
      <c r="AD31" s="25">
        <f t="shared" si="12"/>
        <v>-30.368607826666661</v>
      </c>
      <c r="AE31" s="25">
        <v>-6.09</v>
      </c>
      <c r="AF31" s="25">
        <v>-10.408565212500001</v>
      </c>
      <c r="AG31" s="25">
        <v>0</v>
      </c>
    </row>
    <row r="32" spans="1:33" ht="15.75" customHeight="1">
      <c r="A32" s="14" t="s">
        <v>60</v>
      </c>
      <c r="B32" s="14"/>
      <c r="C32" s="15">
        <f t="shared" si="4"/>
        <v>30.37739644970414</v>
      </c>
      <c r="D32" s="16">
        <v>169</v>
      </c>
      <c r="E32" s="16">
        <v>0</v>
      </c>
      <c r="F32" s="17">
        <v>5133.78</v>
      </c>
      <c r="G32" s="17">
        <v>-0.28000000000000003</v>
      </c>
      <c r="H32" s="18">
        <f t="shared" si="1"/>
        <v>5.4540708795468454E-5</v>
      </c>
      <c r="I32" s="18">
        <f t="shared" si="2"/>
        <v>0.30190098505860535</v>
      </c>
      <c r="J32" s="17">
        <f t="shared" si="5"/>
        <v>1549.8932390741668</v>
      </c>
      <c r="K32" s="17">
        <f t="shared" si="3"/>
        <v>9.1709659116814599</v>
      </c>
      <c r="L32" s="16">
        <v>436</v>
      </c>
      <c r="M32" s="19">
        <f t="shared" si="6"/>
        <v>0.38761467889908258</v>
      </c>
      <c r="N32" s="16">
        <v>53</v>
      </c>
      <c r="O32" s="20">
        <f t="shared" ref="O32:P32" si="40">D32/7</f>
        <v>24.142857142857142</v>
      </c>
      <c r="P32" s="20">
        <f t="shared" si="40"/>
        <v>0</v>
      </c>
      <c r="Q32" s="16">
        <f t="shared" si="8"/>
        <v>2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3.2319236016371078</v>
      </c>
      <c r="T32" s="14">
        <f ca="1">IFERROR(__xludf.DUMMYFUNCTION("IFERROR(VLOOKUP($B$2,IMPORTRANGE(""https://docs.google.com/spreadsheets/d/1KiWZV1ko8G7lnRucBRBd29jj3Be6ltMfljMDqzOkQmI/edit#gid=1381463014"",""Lookup!A:D""),4,FALSE),"""")"),1452)</f>
        <v>1452</v>
      </c>
      <c r="U32" s="22">
        <f ca="1">IFERROR(__xludf.DUMMYFUNCTION("IFERROR(VLOOKUP($B$2,IMPORTRANGE(""https://docs.google.com/spreadsheets/d/1KiWZV1ko8G7lnRucBRBd29jj3Be6ltMfljMDqzOkQmI/edit#gid=1381463014"",""Lookup!A:D""),3,FALSE),"""")"),5754)</f>
        <v>5754</v>
      </c>
      <c r="V32" s="23" t="str">
        <f ca="1">IFERROR(__xludf.DUMMYFUNCTION("IFERROR(VLOOKUP($B$2,IMPORTRANGE(""https://docs.google.com/spreadsheets/d/1KiWZV1ko8G7lnRucBRBd29jj3Be6ltMfljMDqzOkQmI/edit#gid=1381463014"",""Lookup!A:D""),2,FALSE),"""")"),"| 408  - 204 units 07/19| 413  - 1800 units 07/26| 414  - 660 units 08/02| 417  - 2400 units 08/14| 415  - 690 units 08/21")</f>
        <v>| 408  - 204 units 07/19| 413  - 1800 units 07/26| 414  - 660 units 08/02| 417  - 2400 units 08/14| 415  - 690 units 08/21</v>
      </c>
      <c r="W32" s="30">
        <v>0</v>
      </c>
      <c r="X32" s="24">
        <f t="shared" si="9"/>
        <v>0</v>
      </c>
      <c r="Y32" s="25">
        <f t="shared" si="10"/>
        <v>0</v>
      </c>
      <c r="Z32" s="30">
        <v>0</v>
      </c>
      <c r="AA32" s="14" t="s">
        <v>35</v>
      </c>
      <c r="AB32" s="27">
        <f t="shared" si="11"/>
        <v>-0.69</v>
      </c>
      <c r="AC32" s="28">
        <v>0.1084051111111111</v>
      </c>
      <c r="AD32" s="25">
        <f t="shared" si="12"/>
        <v>-25.282240013333329</v>
      </c>
      <c r="AE32" s="25">
        <v>-6.09</v>
      </c>
      <c r="AF32" s="25">
        <v>-10.408565212499999</v>
      </c>
      <c r="AG32" s="25">
        <v>0</v>
      </c>
    </row>
    <row r="33" spans="1:33" ht="15.75" customHeight="1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16"/>
      <c r="S33" s="21"/>
      <c r="T33" s="31"/>
      <c r="U33" s="36"/>
      <c r="V33" s="1"/>
      <c r="W33" s="31"/>
      <c r="X33" s="31"/>
      <c r="Y33" s="31"/>
      <c r="Z33" s="31"/>
      <c r="AA33" s="2"/>
      <c r="AB33" s="31"/>
      <c r="AC33" s="31"/>
      <c r="AD33" s="31"/>
      <c r="AE33" s="37"/>
      <c r="AF33" s="37"/>
      <c r="AG33" s="37"/>
    </row>
    <row r="34" spans="1:33" ht="15.75" customHeight="1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6"/>
      <c r="V34" s="1"/>
      <c r="W34" s="31"/>
      <c r="X34" s="31"/>
      <c r="Y34" s="31"/>
      <c r="Z34" s="31"/>
      <c r="AA34" s="2"/>
      <c r="AB34" s="31"/>
      <c r="AC34" s="31"/>
      <c r="AD34" s="31"/>
      <c r="AE34" s="37"/>
      <c r="AF34" s="37"/>
      <c r="AG34" s="37"/>
    </row>
    <row r="35" spans="1:33" ht="15.75" customHeight="1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6"/>
      <c r="V35" s="1"/>
      <c r="W35" s="31"/>
      <c r="X35" s="31"/>
      <c r="Y35" s="31"/>
      <c r="Z35" s="31"/>
      <c r="AA35" s="2"/>
      <c r="AB35" s="31"/>
      <c r="AC35" s="31"/>
      <c r="AD35" s="31"/>
      <c r="AE35" s="37"/>
      <c r="AF35" s="37"/>
      <c r="AG35" s="37"/>
    </row>
    <row r="36" spans="1:33" ht="15.75" customHeight="1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6"/>
      <c r="V36" s="1"/>
      <c r="W36" s="31"/>
      <c r="X36" s="31"/>
      <c r="Y36" s="31"/>
      <c r="Z36" s="31"/>
      <c r="AA36" s="2"/>
      <c r="AB36" s="31"/>
      <c r="AC36" s="31"/>
      <c r="AD36" s="31"/>
      <c r="AE36" s="37"/>
      <c r="AF36" s="37"/>
      <c r="AG36" s="37"/>
    </row>
    <row r="37" spans="1:33" ht="15.75" customHeight="1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6"/>
      <c r="V37" s="1"/>
      <c r="W37" s="31"/>
      <c r="X37" s="31"/>
      <c r="Y37" s="31"/>
      <c r="Z37" s="31"/>
      <c r="AA37" s="2"/>
      <c r="AB37" s="31"/>
      <c r="AC37" s="31"/>
      <c r="AD37" s="31"/>
      <c r="AE37" s="37"/>
      <c r="AF37" s="37"/>
      <c r="AG37" s="37"/>
    </row>
    <row r="38" spans="1:33" ht="15.75" customHeight="1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6"/>
      <c r="V38" s="1"/>
      <c r="W38" s="31"/>
      <c r="X38" s="31"/>
      <c r="Y38" s="31"/>
      <c r="Z38" s="31"/>
      <c r="AA38" s="2"/>
      <c r="AB38" s="31"/>
      <c r="AC38" s="31"/>
      <c r="AD38" s="31"/>
      <c r="AE38" s="37"/>
      <c r="AF38" s="37"/>
      <c r="AG38" s="37"/>
    </row>
    <row r="39" spans="1:33" ht="15.75" customHeight="1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6"/>
      <c r="V39" s="1"/>
      <c r="W39" s="31"/>
      <c r="X39" s="31"/>
      <c r="Y39" s="31"/>
      <c r="Z39" s="31"/>
      <c r="AA39" s="2"/>
      <c r="AB39" s="31"/>
      <c r="AC39" s="31"/>
      <c r="AD39" s="31"/>
      <c r="AE39" s="37"/>
      <c r="AF39" s="37"/>
      <c r="AG39" s="37"/>
    </row>
    <row r="40" spans="1:33" ht="15.75" customHeight="1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6"/>
      <c r="V40" s="1"/>
      <c r="W40" s="31"/>
      <c r="X40" s="31"/>
      <c r="Y40" s="31"/>
      <c r="Z40" s="31"/>
      <c r="AA40" s="2"/>
      <c r="AB40" s="31"/>
      <c r="AC40" s="31"/>
      <c r="AD40" s="31"/>
      <c r="AE40" s="37"/>
      <c r="AF40" s="37"/>
      <c r="AG40" s="37"/>
    </row>
    <row r="41" spans="1:33" ht="15.75" customHeight="1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6"/>
      <c r="V41" s="1"/>
      <c r="W41" s="31"/>
      <c r="X41" s="31"/>
      <c r="Y41" s="31"/>
      <c r="Z41" s="31"/>
      <c r="AA41" s="2"/>
      <c r="AB41" s="31"/>
      <c r="AC41" s="31"/>
      <c r="AD41" s="31"/>
      <c r="AE41" s="37"/>
      <c r="AF41" s="37"/>
      <c r="AG41" s="37"/>
    </row>
    <row r="42" spans="1:33" ht="15.75" customHeight="1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6"/>
      <c r="V42" s="1"/>
      <c r="W42" s="31"/>
      <c r="X42" s="31"/>
      <c r="Y42" s="31"/>
      <c r="Z42" s="31"/>
      <c r="AA42" s="2"/>
      <c r="AB42" s="31"/>
      <c r="AC42" s="31"/>
      <c r="AD42" s="31"/>
      <c r="AE42" s="37"/>
      <c r="AF42" s="37"/>
      <c r="AG42" s="37"/>
    </row>
    <row r="43" spans="1:33" ht="15.75" customHeight="1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6"/>
      <c r="V43" s="1"/>
      <c r="W43" s="31"/>
      <c r="X43" s="31"/>
      <c r="Y43" s="31"/>
      <c r="Z43" s="31"/>
      <c r="AA43" s="2"/>
      <c r="AB43" s="31"/>
      <c r="AC43" s="31"/>
      <c r="AD43" s="31"/>
      <c r="AE43" s="37"/>
      <c r="AF43" s="37"/>
      <c r="AG43" s="37"/>
    </row>
    <row r="44" spans="1:33" ht="15.75" customHeight="1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6"/>
      <c r="V44" s="1"/>
      <c r="W44" s="31"/>
      <c r="X44" s="31"/>
      <c r="Y44" s="31"/>
      <c r="Z44" s="31"/>
      <c r="AA44" s="2"/>
      <c r="AB44" s="31"/>
      <c r="AC44" s="31"/>
      <c r="AD44" s="31"/>
      <c r="AE44" s="37"/>
      <c r="AF44" s="37"/>
      <c r="AG44" s="37"/>
    </row>
    <row r="45" spans="1:33" ht="15.75" customHeight="1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6"/>
      <c r="V45" s="1"/>
      <c r="W45" s="31"/>
      <c r="X45" s="31"/>
      <c r="Y45" s="31"/>
      <c r="Z45" s="31"/>
      <c r="AA45" s="2"/>
      <c r="AB45" s="31"/>
      <c r="AC45" s="31"/>
      <c r="AD45" s="31"/>
      <c r="AE45" s="37"/>
      <c r="AF45" s="37"/>
      <c r="AG45" s="37"/>
    </row>
    <row r="46" spans="1:33" ht="15.75" customHeight="1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6"/>
      <c r="V46" s="1"/>
      <c r="W46" s="31"/>
      <c r="X46" s="31"/>
      <c r="Y46" s="31"/>
      <c r="Z46" s="31"/>
      <c r="AA46" s="2"/>
      <c r="AB46" s="31"/>
      <c r="AC46" s="31"/>
      <c r="AD46" s="31"/>
      <c r="AE46" s="37"/>
      <c r="AF46" s="37"/>
      <c r="AG46" s="37"/>
    </row>
    <row r="47" spans="1:33" ht="15.75" customHeight="1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6"/>
      <c r="V47" s="1"/>
      <c r="W47" s="31"/>
      <c r="X47" s="31"/>
      <c r="Y47" s="31"/>
      <c r="Z47" s="31"/>
      <c r="AA47" s="2"/>
      <c r="AB47" s="31"/>
      <c r="AC47" s="31"/>
      <c r="AD47" s="31"/>
      <c r="AE47" s="37"/>
      <c r="AF47" s="37"/>
      <c r="AG47" s="37"/>
    </row>
    <row r="48" spans="1:33" ht="15.75" customHeight="1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6"/>
      <c r="V48" s="1"/>
      <c r="W48" s="31"/>
      <c r="X48" s="31"/>
      <c r="Y48" s="31"/>
      <c r="Z48" s="31"/>
      <c r="AA48" s="2"/>
      <c r="AB48" s="31"/>
      <c r="AC48" s="31"/>
      <c r="AD48" s="31"/>
      <c r="AE48" s="37"/>
      <c r="AF48" s="37"/>
      <c r="AG48" s="37"/>
    </row>
    <row r="49" spans="1:33" ht="15.75" customHeight="1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6"/>
      <c r="V49" s="1"/>
      <c r="W49" s="31"/>
      <c r="X49" s="31"/>
      <c r="Y49" s="31"/>
      <c r="Z49" s="31"/>
      <c r="AA49" s="2"/>
      <c r="AB49" s="31"/>
      <c r="AC49" s="31"/>
      <c r="AD49" s="31"/>
      <c r="AE49" s="37"/>
      <c r="AF49" s="37"/>
      <c r="AG49" s="37"/>
    </row>
    <row r="50" spans="1:33" ht="15.75" customHeight="1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6"/>
      <c r="V50" s="1"/>
      <c r="W50" s="31"/>
      <c r="X50" s="31"/>
      <c r="Y50" s="31"/>
      <c r="Z50" s="31"/>
      <c r="AA50" s="2"/>
      <c r="AB50" s="31"/>
      <c r="AC50" s="31"/>
      <c r="AD50" s="31"/>
      <c r="AE50" s="37"/>
      <c r="AF50" s="37"/>
      <c r="AG50" s="37"/>
    </row>
    <row r="51" spans="1:33" ht="15.75" customHeight="1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6"/>
      <c r="V51" s="1"/>
      <c r="W51" s="31"/>
      <c r="X51" s="31"/>
      <c r="Y51" s="31"/>
      <c r="Z51" s="31"/>
      <c r="AA51" s="2"/>
      <c r="AB51" s="31"/>
      <c r="AC51" s="31"/>
      <c r="AD51" s="31"/>
      <c r="AE51" s="37"/>
      <c r="AF51" s="37"/>
      <c r="AG51" s="37"/>
    </row>
    <row r="52" spans="1:33" ht="15.75" customHeight="1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6"/>
      <c r="V52" s="1"/>
      <c r="W52" s="31"/>
      <c r="X52" s="31"/>
      <c r="Y52" s="31"/>
      <c r="Z52" s="31"/>
      <c r="AA52" s="2"/>
      <c r="AB52" s="31"/>
      <c r="AC52" s="31"/>
      <c r="AD52" s="31"/>
      <c r="AE52" s="37"/>
      <c r="AF52" s="37"/>
      <c r="AG52" s="37"/>
    </row>
    <row r="53" spans="1:33" ht="15.75" customHeight="1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6"/>
      <c r="V53" s="1"/>
      <c r="W53" s="31"/>
      <c r="X53" s="31"/>
      <c r="Y53" s="31"/>
      <c r="Z53" s="31"/>
      <c r="AA53" s="2"/>
      <c r="AB53" s="31"/>
      <c r="AC53" s="31"/>
      <c r="AD53" s="31"/>
      <c r="AE53" s="37"/>
      <c r="AF53" s="37"/>
      <c r="AG53" s="37"/>
    </row>
    <row r="54" spans="1:33" ht="15.75" customHeight="1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6"/>
      <c r="V54" s="1"/>
      <c r="W54" s="31"/>
      <c r="X54" s="31"/>
      <c r="Y54" s="31"/>
      <c r="Z54" s="31"/>
      <c r="AA54" s="2"/>
      <c r="AB54" s="31"/>
      <c r="AC54" s="31"/>
      <c r="AD54" s="31"/>
      <c r="AE54" s="37"/>
      <c r="AF54" s="37"/>
      <c r="AG54" s="37"/>
    </row>
    <row r="55" spans="1:33" ht="15.75" customHeight="1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6"/>
      <c r="V55" s="1"/>
      <c r="W55" s="31"/>
      <c r="X55" s="31"/>
      <c r="Y55" s="31"/>
      <c r="Z55" s="31"/>
      <c r="AA55" s="2"/>
      <c r="AB55" s="31"/>
      <c r="AC55" s="31"/>
      <c r="AD55" s="31"/>
      <c r="AE55" s="37"/>
      <c r="AF55" s="37"/>
      <c r="AG55" s="37"/>
    </row>
    <row r="56" spans="1:33" ht="15.75" customHeight="1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6"/>
      <c r="V56" s="1"/>
      <c r="W56" s="31"/>
      <c r="X56" s="31"/>
      <c r="Y56" s="31"/>
      <c r="Z56" s="31"/>
      <c r="AA56" s="2"/>
      <c r="AB56" s="31"/>
      <c r="AC56" s="31"/>
      <c r="AD56" s="31"/>
      <c r="AE56" s="37"/>
      <c r="AF56" s="37"/>
      <c r="AG56" s="37"/>
    </row>
    <row r="57" spans="1:33" ht="15.75" customHeight="1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6"/>
      <c r="V57" s="1"/>
      <c r="W57" s="31"/>
      <c r="X57" s="31"/>
      <c r="Y57" s="31"/>
      <c r="Z57" s="31"/>
      <c r="AA57" s="2"/>
      <c r="AB57" s="31"/>
      <c r="AC57" s="31"/>
      <c r="AD57" s="31"/>
      <c r="AE57" s="37"/>
      <c r="AF57" s="37"/>
      <c r="AG57" s="37"/>
    </row>
    <row r="58" spans="1:33" ht="15.75" customHeight="1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6"/>
      <c r="V58" s="1"/>
      <c r="W58" s="31"/>
      <c r="X58" s="31"/>
      <c r="Y58" s="31"/>
      <c r="Z58" s="31"/>
      <c r="AA58" s="2"/>
      <c r="AB58" s="31"/>
      <c r="AC58" s="31"/>
      <c r="AD58" s="31"/>
      <c r="AE58" s="37"/>
      <c r="AF58" s="37"/>
      <c r="AG58" s="37"/>
    </row>
    <row r="59" spans="1:33" ht="15.75" customHeight="1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6"/>
      <c r="V59" s="1"/>
      <c r="W59" s="31"/>
      <c r="X59" s="31"/>
      <c r="Y59" s="31"/>
      <c r="Z59" s="31"/>
      <c r="AA59" s="2"/>
      <c r="AB59" s="31"/>
      <c r="AC59" s="31"/>
      <c r="AD59" s="31"/>
      <c r="AE59" s="37"/>
      <c r="AF59" s="37"/>
      <c r="AG59" s="37"/>
    </row>
    <row r="60" spans="1:33" ht="15.75" customHeight="1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6"/>
      <c r="V60" s="1"/>
      <c r="W60" s="31"/>
      <c r="X60" s="31"/>
      <c r="Y60" s="31"/>
      <c r="Z60" s="31"/>
      <c r="AA60" s="2"/>
      <c r="AB60" s="31"/>
      <c r="AC60" s="31"/>
      <c r="AD60" s="31"/>
      <c r="AE60" s="37"/>
      <c r="AF60" s="37"/>
      <c r="AG60" s="37"/>
    </row>
    <row r="61" spans="1:33" ht="15.75" customHeight="1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6"/>
      <c r="V61" s="1"/>
      <c r="W61" s="31"/>
      <c r="X61" s="31"/>
      <c r="Y61" s="31"/>
      <c r="Z61" s="31"/>
      <c r="AA61" s="2"/>
      <c r="AB61" s="31"/>
      <c r="AC61" s="31"/>
      <c r="AD61" s="31"/>
      <c r="AE61" s="37"/>
      <c r="AF61" s="37"/>
      <c r="AG61" s="37"/>
    </row>
    <row r="62" spans="1:33" ht="15.75" customHeight="1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6"/>
      <c r="V62" s="1"/>
      <c r="W62" s="31"/>
      <c r="X62" s="31"/>
      <c r="Y62" s="31"/>
      <c r="Z62" s="31"/>
      <c r="AA62" s="2"/>
      <c r="AB62" s="31"/>
      <c r="AC62" s="31"/>
      <c r="AD62" s="31"/>
      <c r="AE62" s="37"/>
      <c r="AF62" s="37"/>
      <c r="AG62" s="37"/>
    </row>
    <row r="63" spans="1:33" ht="15.75" customHeight="1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6"/>
      <c r="V63" s="1"/>
      <c r="W63" s="31"/>
      <c r="X63" s="31"/>
      <c r="Y63" s="31"/>
      <c r="Z63" s="31"/>
      <c r="AA63" s="2"/>
      <c r="AB63" s="31"/>
      <c r="AC63" s="31"/>
      <c r="AD63" s="31"/>
      <c r="AE63" s="37"/>
      <c r="AF63" s="37"/>
      <c r="AG63" s="37"/>
    </row>
    <row r="64" spans="1:33" ht="15.75" customHeight="1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6"/>
      <c r="V64" s="1"/>
      <c r="W64" s="31"/>
      <c r="X64" s="31"/>
      <c r="Y64" s="31"/>
      <c r="Z64" s="31"/>
      <c r="AA64" s="2"/>
      <c r="AB64" s="31"/>
      <c r="AC64" s="31"/>
      <c r="AD64" s="31"/>
      <c r="AE64" s="37"/>
      <c r="AF64" s="37"/>
      <c r="AG64" s="37"/>
    </row>
    <row r="65" spans="1:33" ht="15.75" customHeight="1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6"/>
      <c r="V65" s="1"/>
      <c r="W65" s="31"/>
      <c r="X65" s="31"/>
      <c r="Y65" s="31"/>
      <c r="Z65" s="31"/>
      <c r="AA65" s="2"/>
      <c r="AB65" s="31"/>
      <c r="AC65" s="31"/>
      <c r="AD65" s="31"/>
      <c r="AE65" s="37"/>
      <c r="AF65" s="37"/>
      <c r="AG65" s="37"/>
    </row>
    <row r="66" spans="1:33" ht="15.75" customHeight="1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6"/>
      <c r="V66" s="1"/>
      <c r="W66" s="31"/>
      <c r="X66" s="31"/>
      <c r="Y66" s="31"/>
      <c r="Z66" s="31"/>
      <c r="AA66" s="2"/>
      <c r="AB66" s="31"/>
      <c r="AC66" s="31"/>
      <c r="AD66" s="31"/>
      <c r="AE66" s="37"/>
      <c r="AF66" s="37"/>
      <c r="AG66" s="37"/>
    </row>
    <row r="67" spans="1:33" ht="15.75" customHeight="1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6"/>
      <c r="V67" s="1"/>
      <c r="W67" s="31"/>
      <c r="X67" s="31"/>
      <c r="Y67" s="31"/>
      <c r="Z67" s="31"/>
      <c r="AA67" s="2"/>
      <c r="AB67" s="31"/>
      <c r="AC67" s="31"/>
      <c r="AD67" s="31"/>
      <c r="AE67" s="37"/>
      <c r="AF67" s="37"/>
      <c r="AG67" s="37"/>
    </row>
    <row r="68" spans="1:33" ht="15.75" customHeight="1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6"/>
      <c r="V68" s="1"/>
      <c r="W68" s="31"/>
      <c r="X68" s="31"/>
      <c r="Y68" s="31"/>
      <c r="Z68" s="31"/>
      <c r="AA68" s="2"/>
      <c r="AB68" s="31"/>
      <c r="AC68" s="31"/>
      <c r="AD68" s="31"/>
      <c r="AE68" s="37"/>
      <c r="AF68" s="37"/>
      <c r="AG68" s="37"/>
    </row>
    <row r="69" spans="1:33" ht="15.75" customHeight="1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6"/>
      <c r="V69" s="1"/>
      <c r="W69" s="31"/>
      <c r="X69" s="31"/>
      <c r="Y69" s="31"/>
      <c r="Z69" s="31"/>
      <c r="AA69" s="2"/>
      <c r="AB69" s="31"/>
      <c r="AC69" s="31"/>
      <c r="AD69" s="31"/>
      <c r="AE69" s="37"/>
      <c r="AF69" s="37"/>
      <c r="AG69" s="37"/>
    </row>
    <row r="70" spans="1:33" ht="15.75" customHeight="1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6"/>
      <c r="V70" s="1"/>
      <c r="W70" s="31"/>
      <c r="X70" s="31"/>
      <c r="Y70" s="31"/>
      <c r="Z70" s="31"/>
      <c r="AA70" s="2"/>
      <c r="AB70" s="31"/>
      <c r="AC70" s="31"/>
      <c r="AD70" s="31"/>
      <c r="AE70" s="37"/>
      <c r="AF70" s="37"/>
      <c r="AG70" s="37"/>
    </row>
    <row r="71" spans="1:33" ht="15.75" customHeight="1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6"/>
      <c r="V71" s="1"/>
      <c r="W71" s="31"/>
      <c r="X71" s="31"/>
      <c r="Y71" s="31"/>
      <c r="Z71" s="31"/>
      <c r="AA71" s="2"/>
      <c r="AB71" s="31"/>
      <c r="AC71" s="31"/>
      <c r="AD71" s="31"/>
      <c r="AE71" s="37"/>
      <c r="AF71" s="37"/>
      <c r="AG71" s="37"/>
    </row>
    <row r="72" spans="1:33" ht="15.75" customHeight="1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6"/>
      <c r="V72" s="1"/>
      <c r="W72" s="31"/>
      <c r="X72" s="31"/>
      <c r="Y72" s="31"/>
      <c r="Z72" s="31"/>
      <c r="AA72" s="2"/>
      <c r="AB72" s="31"/>
      <c r="AC72" s="31"/>
      <c r="AD72" s="31"/>
      <c r="AE72" s="37"/>
      <c r="AF72" s="37"/>
      <c r="AG72" s="37"/>
    </row>
    <row r="73" spans="1:33" ht="15.75" customHeight="1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6"/>
      <c r="V73" s="1"/>
      <c r="W73" s="31"/>
      <c r="X73" s="31"/>
      <c r="Y73" s="31"/>
      <c r="Z73" s="31"/>
      <c r="AA73" s="2"/>
      <c r="AB73" s="31"/>
      <c r="AC73" s="31"/>
      <c r="AD73" s="31"/>
      <c r="AE73" s="37"/>
      <c r="AF73" s="37"/>
      <c r="AG73" s="37"/>
    </row>
    <row r="74" spans="1:33" ht="15.75" customHeight="1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6"/>
      <c r="V74" s="1"/>
      <c r="W74" s="31"/>
      <c r="X74" s="31"/>
      <c r="Y74" s="31"/>
      <c r="Z74" s="31"/>
      <c r="AA74" s="2"/>
      <c r="AB74" s="31"/>
      <c r="AC74" s="31"/>
      <c r="AD74" s="31"/>
      <c r="AE74" s="37"/>
      <c r="AF74" s="37"/>
      <c r="AG74" s="37"/>
    </row>
    <row r="75" spans="1:33" ht="15.75" customHeight="1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6"/>
      <c r="V75" s="1"/>
      <c r="W75" s="31"/>
      <c r="X75" s="31"/>
      <c r="Y75" s="31"/>
      <c r="Z75" s="31"/>
      <c r="AA75" s="2"/>
      <c r="AB75" s="31"/>
      <c r="AC75" s="31"/>
      <c r="AD75" s="31"/>
      <c r="AE75" s="37"/>
      <c r="AF75" s="37"/>
      <c r="AG75" s="37"/>
    </row>
    <row r="76" spans="1:33" ht="15.75" customHeight="1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6"/>
      <c r="V76" s="1"/>
      <c r="W76" s="31"/>
      <c r="X76" s="31"/>
      <c r="Y76" s="31"/>
      <c r="Z76" s="31"/>
      <c r="AA76" s="2"/>
      <c r="AB76" s="31"/>
      <c r="AC76" s="31"/>
      <c r="AD76" s="31"/>
      <c r="AE76" s="37"/>
      <c r="AF76" s="37"/>
      <c r="AG76" s="37"/>
    </row>
    <row r="77" spans="1:33" ht="15.75" customHeight="1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6"/>
      <c r="V77" s="1"/>
      <c r="W77" s="31"/>
      <c r="X77" s="31"/>
      <c r="Y77" s="31"/>
      <c r="Z77" s="31"/>
      <c r="AA77" s="2"/>
      <c r="AB77" s="31"/>
      <c r="AC77" s="31"/>
      <c r="AD77" s="31"/>
      <c r="AE77" s="37"/>
      <c r="AF77" s="37"/>
      <c r="AG77" s="37"/>
    </row>
    <row r="78" spans="1:33" ht="15.75" customHeight="1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6"/>
      <c r="V78" s="1"/>
      <c r="W78" s="31"/>
      <c r="X78" s="31"/>
      <c r="Y78" s="31"/>
      <c r="Z78" s="31"/>
      <c r="AA78" s="2"/>
      <c r="AB78" s="31"/>
      <c r="AC78" s="31"/>
      <c r="AD78" s="31"/>
      <c r="AE78" s="37"/>
      <c r="AF78" s="37"/>
      <c r="AG78" s="37"/>
    </row>
    <row r="79" spans="1:33" ht="15.75" customHeight="1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6"/>
      <c r="V79" s="1"/>
      <c r="W79" s="31"/>
      <c r="X79" s="31"/>
      <c r="Y79" s="31"/>
      <c r="Z79" s="31"/>
      <c r="AA79" s="2"/>
      <c r="AB79" s="31"/>
      <c r="AC79" s="31"/>
      <c r="AD79" s="31"/>
      <c r="AE79" s="37"/>
      <c r="AF79" s="37"/>
      <c r="AG79" s="37"/>
    </row>
    <row r="80" spans="1:33" ht="15.75" customHeight="1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6"/>
      <c r="V80" s="1"/>
      <c r="W80" s="31"/>
      <c r="X80" s="31"/>
      <c r="Y80" s="31"/>
      <c r="Z80" s="31"/>
      <c r="AA80" s="2"/>
      <c r="AB80" s="31"/>
      <c r="AC80" s="31"/>
      <c r="AD80" s="31"/>
      <c r="AE80" s="37"/>
      <c r="AF80" s="37"/>
      <c r="AG80" s="37"/>
    </row>
    <row r="81" spans="1:33" ht="15.75" customHeight="1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6"/>
      <c r="V81" s="1"/>
      <c r="W81" s="31"/>
      <c r="X81" s="31"/>
      <c r="Y81" s="31"/>
      <c r="Z81" s="31"/>
      <c r="AA81" s="2"/>
      <c r="AB81" s="31"/>
      <c r="AC81" s="31"/>
      <c r="AD81" s="31"/>
      <c r="AE81" s="37"/>
      <c r="AF81" s="37"/>
      <c r="AG81" s="37"/>
    </row>
    <row r="82" spans="1:33" ht="15.75" customHeight="1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6"/>
      <c r="V82" s="1"/>
      <c r="W82" s="31"/>
      <c r="X82" s="31"/>
      <c r="Y82" s="31"/>
      <c r="Z82" s="31"/>
      <c r="AA82" s="2"/>
      <c r="AB82" s="31"/>
      <c r="AC82" s="31"/>
      <c r="AD82" s="31"/>
      <c r="AE82" s="37"/>
      <c r="AF82" s="37"/>
      <c r="AG82" s="37"/>
    </row>
    <row r="83" spans="1:33" ht="15.75" customHeight="1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6"/>
      <c r="V83" s="1"/>
      <c r="W83" s="31"/>
      <c r="X83" s="31"/>
      <c r="Y83" s="31"/>
      <c r="Z83" s="31"/>
      <c r="AA83" s="2"/>
      <c r="AB83" s="31"/>
      <c r="AC83" s="31"/>
      <c r="AD83" s="31"/>
      <c r="AE83" s="37"/>
      <c r="AF83" s="37"/>
      <c r="AG83" s="37"/>
    </row>
    <row r="84" spans="1:33" ht="15.75" customHeight="1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6"/>
      <c r="V84" s="1"/>
      <c r="W84" s="31"/>
      <c r="X84" s="31"/>
      <c r="Y84" s="31"/>
      <c r="Z84" s="31"/>
      <c r="AA84" s="2"/>
      <c r="AB84" s="31"/>
      <c r="AC84" s="31"/>
      <c r="AD84" s="31"/>
      <c r="AE84" s="37"/>
      <c r="AF84" s="37"/>
      <c r="AG84" s="37"/>
    </row>
    <row r="85" spans="1:33" ht="15.75" customHeight="1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6"/>
      <c r="V85" s="1"/>
      <c r="W85" s="31"/>
      <c r="X85" s="31"/>
      <c r="Y85" s="31"/>
      <c r="Z85" s="31"/>
      <c r="AA85" s="2"/>
      <c r="AB85" s="31"/>
      <c r="AC85" s="31"/>
      <c r="AD85" s="31"/>
      <c r="AE85" s="37"/>
      <c r="AF85" s="37"/>
      <c r="AG85" s="37"/>
    </row>
    <row r="86" spans="1:33" ht="15.75" customHeight="1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6"/>
      <c r="V86" s="1"/>
      <c r="W86" s="31"/>
      <c r="X86" s="31"/>
      <c r="Y86" s="31"/>
      <c r="Z86" s="31"/>
      <c r="AA86" s="2"/>
      <c r="AB86" s="31"/>
      <c r="AC86" s="31"/>
      <c r="AD86" s="31"/>
      <c r="AE86" s="37"/>
      <c r="AF86" s="37"/>
      <c r="AG86" s="37"/>
    </row>
    <row r="87" spans="1:33" ht="15.75" customHeight="1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6"/>
      <c r="V87" s="1"/>
      <c r="W87" s="31"/>
      <c r="X87" s="31"/>
      <c r="Y87" s="31"/>
      <c r="Z87" s="31"/>
      <c r="AA87" s="2"/>
      <c r="AB87" s="31"/>
      <c r="AC87" s="31"/>
      <c r="AD87" s="31"/>
      <c r="AE87" s="37"/>
      <c r="AF87" s="37"/>
      <c r="AG87" s="37"/>
    </row>
    <row r="88" spans="1:33" ht="15.75" customHeight="1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6"/>
      <c r="V88" s="1"/>
      <c r="W88" s="31"/>
      <c r="X88" s="31"/>
      <c r="Y88" s="31"/>
      <c r="Z88" s="31"/>
      <c r="AA88" s="2"/>
      <c r="AB88" s="31"/>
      <c r="AC88" s="31"/>
      <c r="AD88" s="31"/>
      <c r="AE88" s="37"/>
      <c r="AF88" s="37"/>
      <c r="AG88" s="37"/>
    </row>
    <row r="89" spans="1:33" ht="15.75" customHeight="1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6"/>
      <c r="V89" s="1"/>
      <c r="W89" s="31"/>
      <c r="X89" s="31"/>
      <c r="Y89" s="31"/>
      <c r="Z89" s="31"/>
      <c r="AA89" s="2"/>
      <c r="AB89" s="31"/>
      <c r="AC89" s="31"/>
      <c r="AD89" s="31"/>
      <c r="AE89" s="37"/>
      <c r="AF89" s="37"/>
      <c r="AG89" s="37"/>
    </row>
    <row r="90" spans="1:33" ht="15.75" customHeight="1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6"/>
      <c r="V90" s="1"/>
      <c r="W90" s="31"/>
      <c r="X90" s="31"/>
      <c r="Y90" s="31"/>
      <c r="Z90" s="31"/>
      <c r="AA90" s="2"/>
      <c r="AB90" s="31"/>
      <c r="AC90" s="31"/>
      <c r="AD90" s="31"/>
      <c r="AE90" s="37"/>
      <c r="AF90" s="37"/>
      <c r="AG90" s="37"/>
    </row>
    <row r="91" spans="1:33" ht="15.75" customHeight="1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6"/>
      <c r="V91" s="1"/>
      <c r="W91" s="31"/>
      <c r="X91" s="31"/>
      <c r="Y91" s="31"/>
      <c r="Z91" s="31"/>
      <c r="AA91" s="2"/>
      <c r="AB91" s="31"/>
      <c r="AC91" s="31"/>
      <c r="AD91" s="31"/>
      <c r="AE91" s="37"/>
      <c r="AF91" s="37"/>
      <c r="AG91" s="37"/>
    </row>
    <row r="92" spans="1:33" ht="15.75" customHeight="1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6"/>
      <c r="V92" s="1"/>
      <c r="W92" s="31"/>
      <c r="X92" s="31"/>
      <c r="Y92" s="31"/>
      <c r="Z92" s="31"/>
      <c r="AA92" s="2"/>
      <c r="AB92" s="31"/>
      <c r="AC92" s="31"/>
      <c r="AD92" s="31"/>
      <c r="AE92" s="37"/>
      <c r="AF92" s="37"/>
      <c r="AG92" s="37"/>
    </row>
    <row r="93" spans="1:33" ht="15.75" customHeight="1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6"/>
      <c r="V93" s="1"/>
      <c r="W93" s="31"/>
      <c r="X93" s="31"/>
      <c r="Y93" s="31"/>
      <c r="Z93" s="31"/>
      <c r="AA93" s="2"/>
      <c r="AB93" s="31"/>
      <c r="AC93" s="31"/>
      <c r="AD93" s="31"/>
      <c r="AE93" s="37"/>
      <c r="AF93" s="37"/>
      <c r="AG93" s="37"/>
    </row>
    <row r="94" spans="1:33" ht="15.75" customHeight="1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6"/>
      <c r="V94" s="1"/>
      <c r="W94" s="31"/>
      <c r="X94" s="31"/>
      <c r="Y94" s="31"/>
      <c r="Z94" s="31"/>
      <c r="AA94" s="2"/>
      <c r="AB94" s="31"/>
      <c r="AC94" s="31"/>
      <c r="AD94" s="31"/>
      <c r="AE94" s="37"/>
      <c r="AF94" s="37"/>
      <c r="AG94" s="37"/>
    </row>
    <row r="95" spans="1:33" ht="15.75" customHeight="1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6"/>
      <c r="V95" s="1"/>
      <c r="W95" s="31"/>
      <c r="X95" s="31"/>
      <c r="Y95" s="31"/>
      <c r="Z95" s="31"/>
      <c r="AA95" s="2"/>
      <c r="AB95" s="31"/>
      <c r="AC95" s="31"/>
      <c r="AD95" s="31"/>
      <c r="AE95" s="37"/>
      <c r="AF95" s="37"/>
      <c r="AG95" s="37"/>
    </row>
    <row r="96" spans="1:33" ht="15.75" customHeight="1">
      <c r="A96" s="31"/>
      <c r="B96" s="31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8"/>
      <c r="R96" s="38"/>
      <c r="S96" s="21"/>
      <c r="T96" s="31"/>
      <c r="U96" s="31"/>
      <c r="V96" s="31"/>
      <c r="W96" s="31"/>
      <c r="X96" s="31"/>
      <c r="Y96" s="31"/>
      <c r="Z96" s="31"/>
      <c r="AA96" s="2"/>
      <c r="AB96" s="31"/>
      <c r="AC96" s="31"/>
      <c r="AD96" s="31"/>
      <c r="AE96" s="31"/>
      <c r="AF96" s="31"/>
      <c r="AG96" s="31"/>
    </row>
    <row r="97" spans="1:33" ht="15.75" customHeight="1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8"/>
      <c r="R97" s="38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8"/>
      <c r="R98" s="38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8"/>
      <c r="R99" s="38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8"/>
      <c r="R100" s="38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8"/>
      <c r="R101" s="38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8"/>
      <c r="R102" s="38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8"/>
      <c r="R103" s="38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8"/>
      <c r="R104" s="38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8"/>
      <c r="R105" s="38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8"/>
      <c r="R106" s="38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8"/>
      <c r="R107" s="38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8"/>
      <c r="R108" s="38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8"/>
      <c r="R109" s="38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8"/>
      <c r="R110" s="38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8"/>
      <c r="R111" s="38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8"/>
      <c r="R112" s="38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8"/>
      <c r="R113" s="38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8"/>
      <c r="R114" s="38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>
      <c r="A115" s="31"/>
      <c r="B115" s="31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>
      <c r="A116" s="31"/>
      <c r="B116" s="31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>
      <c r="A117" s="31"/>
      <c r="B117" s="31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>
      <c r="A118" s="31"/>
      <c r="B118" s="31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>
      <c r="A119" s="31"/>
      <c r="B119" s="31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>
      <c r="A120" s="31"/>
      <c r="B120" s="31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>
      <c r="A121" s="31"/>
      <c r="B121" s="31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>
      <c r="A122" s="31"/>
      <c r="B122" s="31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>
      <c r="A123" s="31"/>
      <c r="B123" s="31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>
      <c r="A124" s="31"/>
      <c r="B124" s="31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>
      <c r="A125" s="31"/>
      <c r="B125" s="31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>
      <c r="A126" s="31"/>
      <c r="B126" s="31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>
      <c r="A127" s="31"/>
      <c r="B127" s="31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>
      <c r="A128" s="31"/>
      <c r="B128" s="31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>
      <c r="A129" s="31"/>
      <c r="B129" s="31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>
      <c r="A130" s="31"/>
      <c r="B130" s="31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>
      <c r="A131" s="31"/>
      <c r="B131" s="31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>
      <c r="A132" s="31"/>
      <c r="B132" s="31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>
      <c r="A133" s="31"/>
      <c r="B133" s="31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>
      <c r="A134" s="31"/>
      <c r="B134" s="31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>
      <c r="A135" s="31"/>
      <c r="B135" s="31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>
      <c r="A136" s="31"/>
      <c r="B136" s="31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>
      <c r="A137" s="31"/>
      <c r="B137" s="31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>
      <c r="A138" s="31"/>
      <c r="B138" s="31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>
      <c r="A139" s="31"/>
      <c r="B139" s="31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>
      <c r="A140" s="31"/>
      <c r="B140" s="31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>
      <c r="A141" s="31"/>
      <c r="B141" s="31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2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>
      <c r="A142" s="31"/>
      <c r="B142" s="31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2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>
      <c r="A143" s="31"/>
      <c r="B143" s="31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2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>
      <c r="A144" s="31"/>
      <c r="B144" s="31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2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>
      <c r="A145" s="31"/>
      <c r="B145" s="31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2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>
      <c r="A146" s="31"/>
      <c r="B146" s="31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2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>
      <c r="A147" s="31"/>
      <c r="B147" s="31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2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>
      <c r="A148" s="31"/>
      <c r="B148" s="31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2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</row>
    <row r="149" spans="1:33" ht="15.75" customHeight="1">
      <c r="A149" s="14"/>
      <c r="B149" s="14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>
      <c r="A150" s="14"/>
      <c r="B150" s="14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>
      <c r="A151" s="14"/>
      <c r="B151" s="14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>
      <c r="A152" s="14"/>
      <c r="B152" s="14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>
      <c r="A153" s="14"/>
      <c r="B153" s="14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>
      <c r="A154" s="14"/>
      <c r="B154" s="14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>
      <c r="A155" s="14"/>
      <c r="B155" s="14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>
      <c r="A156" s="14"/>
      <c r="B156" s="14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>
      <c r="A157" s="14"/>
      <c r="B157" s="14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>
      <c r="A158" s="14"/>
      <c r="B158" s="14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>
      <c r="A159" s="14"/>
      <c r="B159" s="14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>
      <c r="A160" s="14"/>
      <c r="B160" s="14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>
      <c r="A161" s="14"/>
      <c r="B161" s="14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>
      <c r="A162" s="14"/>
      <c r="B162" s="14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>
      <c r="A163" s="14"/>
      <c r="B163" s="14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>
      <c r="A164" s="14"/>
      <c r="B164" s="14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>
      <c r="A165" s="14"/>
      <c r="B165" s="14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>
      <c r="A166" s="14"/>
      <c r="B166" s="14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>
      <c r="A167" s="14"/>
      <c r="B167" s="14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>
      <c r="A168" s="14"/>
      <c r="B168" s="14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>
      <c r="A169" s="14"/>
      <c r="B169" s="14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>
      <c r="A170" s="14"/>
      <c r="B170" s="14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>
      <c r="A171" s="14"/>
      <c r="B171" s="14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>
      <c r="A172" s="14"/>
      <c r="B172" s="14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>
      <c r="A173" s="14"/>
      <c r="B173" s="14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>
      <c r="A174" s="14"/>
      <c r="B174" s="14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>
      <c r="A175" s="14"/>
      <c r="B175" s="14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>
      <c r="A176" s="14"/>
      <c r="B176" s="14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>
      <c r="A177" s="14"/>
      <c r="B177" s="14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>
      <c r="A178" s="14"/>
      <c r="B178" s="14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>
      <c r="A179" s="14"/>
      <c r="B179" s="14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>
      <c r="A180" s="14"/>
      <c r="B180" s="14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>
      <c r="A181" s="14"/>
      <c r="B181" s="14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>
      <c r="A182" s="14"/>
      <c r="B182" s="14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>
      <c r="A183" s="14"/>
      <c r="B183" s="14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>
      <c r="A184" s="14"/>
      <c r="B184" s="14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>
      <c r="A185" s="14"/>
      <c r="B185" s="14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>
      <c r="A186" s="14"/>
      <c r="B186" s="14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>
      <c r="A187" s="14"/>
      <c r="B187" s="14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>
      <c r="A188" s="14"/>
      <c r="B188" s="14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>
      <c r="A189" s="14"/>
      <c r="B189" s="14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>
      <c r="A190" s="14"/>
      <c r="B190" s="14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>
      <c r="A191" s="14"/>
      <c r="B191" s="14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>
      <c r="A192" s="14"/>
      <c r="B192" s="14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>
      <c r="A193" s="14"/>
      <c r="B193" s="14"/>
      <c r="C193" s="39"/>
      <c r="D193" s="39"/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>
      <c r="A194" s="14"/>
      <c r="B194" s="14"/>
      <c r="C194" s="39"/>
      <c r="D194" s="39"/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>
      <c r="A195" s="14"/>
      <c r="B195" s="14"/>
      <c r="C195" s="39"/>
      <c r="D195" s="39"/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>
      <c r="A196" s="14"/>
      <c r="B196" s="14"/>
      <c r="C196" s="39"/>
      <c r="D196" s="39"/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>
      <c r="A197" s="14"/>
      <c r="B197" s="14"/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>
      <c r="A198" s="14"/>
      <c r="B198" s="14"/>
      <c r="C198" s="39"/>
      <c r="D198" s="39"/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>
      <c r="A199" s="14"/>
      <c r="B199" s="14"/>
      <c r="C199" s="39"/>
      <c r="D199" s="39"/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>
      <c r="A200" s="14"/>
      <c r="B200" s="14"/>
      <c r="C200" s="39"/>
      <c r="D200" s="39"/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>
      <c r="A201" s="14"/>
      <c r="B201" s="14"/>
      <c r="C201" s="39"/>
      <c r="D201" s="39"/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>
      <c r="A202" s="14"/>
      <c r="B202" s="14"/>
      <c r="C202" s="39"/>
      <c r="D202" s="39"/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>
      <c r="A203" s="14"/>
      <c r="B203" s="14"/>
      <c r="C203" s="39"/>
      <c r="D203" s="39"/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>
      <c r="A204" s="14"/>
      <c r="B204" s="14"/>
      <c r="C204" s="39"/>
      <c r="D204" s="39"/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>
      <c r="A205" s="14"/>
      <c r="B205" s="14"/>
      <c r="C205" s="39"/>
      <c r="D205" s="39"/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>
      <c r="A206" s="14"/>
      <c r="B206" s="14"/>
      <c r="C206" s="39"/>
      <c r="D206" s="39"/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>
      <c r="A207" s="14"/>
      <c r="B207" s="14"/>
      <c r="C207" s="39"/>
      <c r="D207" s="39"/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>
      <c r="A208" s="14"/>
      <c r="B208" s="14"/>
      <c r="C208" s="39"/>
      <c r="D208" s="39"/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>
      <c r="A209" s="14"/>
      <c r="B209" s="14"/>
      <c r="C209" s="39"/>
      <c r="D209" s="39"/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>
      <c r="A210" s="14"/>
      <c r="B210" s="14"/>
      <c r="C210" s="39"/>
      <c r="D210" s="39"/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>
      <c r="A211" s="14"/>
      <c r="B211" s="14"/>
      <c r="C211" s="39"/>
      <c r="D211" s="39"/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>
      <c r="A212" s="14"/>
      <c r="B212" s="14"/>
      <c r="C212" s="39"/>
      <c r="D212" s="39"/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>
      <c r="A213" s="14"/>
      <c r="B213" s="14"/>
      <c r="C213" s="39"/>
      <c r="D213" s="39"/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>
      <c r="A214" s="14"/>
      <c r="B214" s="14"/>
      <c r="C214" s="39"/>
      <c r="D214" s="39"/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>
      <c r="A215" s="14"/>
      <c r="B215" s="14"/>
      <c r="C215" s="39"/>
      <c r="D215" s="39"/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>
      <c r="A216" s="14"/>
      <c r="B216" s="14"/>
      <c r="C216" s="39"/>
      <c r="D216" s="39"/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>
      <c r="A217" s="14"/>
      <c r="B217" s="14"/>
      <c r="C217" s="39"/>
      <c r="D217" s="39"/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>
      <c r="A218" s="14"/>
      <c r="B218" s="14"/>
      <c r="C218" s="39"/>
      <c r="D218" s="39"/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>
      <c r="A219" s="14"/>
      <c r="B219" s="14"/>
      <c r="C219" s="39"/>
      <c r="D219" s="39"/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>
      <c r="A220" s="14"/>
      <c r="B220" s="14"/>
      <c r="C220" s="39"/>
      <c r="D220" s="39"/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>
      <c r="R221" s="30"/>
      <c r="S221" s="40"/>
    </row>
    <row r="222" spans="1:33" ht="15.75" customHeight="1">
      <c r="R222" s="30"/>
      <c r="S222" s="40"/>
    </row>
    <row r="223" spans="1:33" ht="15.75" customHeight="1">
      <c r="R223" s="30"/>
      <c r="S223" s="40"/>
    </row>
    <row r="224" spans="1:33" ht="15.75" customHeight="1">
      <c r="R224" s="30"/>
      <c r="S224" s="40"/>
    </row>
    <row r="225" spans="18:18" ht="15.75" customHeight="1">
      <c r="R225" s="30"/>
    </row>
    <row r="226" spans="18:18" ht="15.75" customHeight="1">
      <c r="R226" s="30"/>
    </row>
    <row r="227" spans="18:18" ht="15.75" customHeight="1">
      <c r="R227" s="30"/>
    </row>
    <row r="228" spans="18:18" ht="15.75" customHeight="1">
      <c r="R228" s="30"/>
    </row>
    <row r="229" spans="18:18" ht="15.75" customHeight="1">
      <c r="R229" s="30"/>
    </row>
    <row r="230" spans="18:18" ht="15.75" customHeight="1">
      <c r="R230" s="30"/>
    </row>
    <row r="231" spans="18:18" ht="15.75" customHeight="1">
      <c r="R231" s="30"/>
    </row>
    <row r="232" spans="18:18" ht="15.75" customHeight="1">
      <c r="R232" s="30"/>
    </row>
    <row r="233" spans="18:18" ht="15.75" customHeight="1">
      <c r="R233" s="30"/>
    </row>
    <row r="234" spans="18:18" ht="15.75" customHeight="1">
      <c r="R234" s="30"/>
    </row>
    <row r="235" spans="18:18" ht="15.75" customHeight="1">
      <c r="R235" s="30"/>
    </row>
    <row r="236" spans="18:18" ht="15.75" customHeight="1">
      <c r="R236" s="30"/>
    </row>
    <row r="237" spans="18:18" ht="15.75" customHeight="1">
      <c r="R237" s="30"/>
    </row>
    <row r="238" spans="18:18" ht="15.75" customHeight="1">
      <c r="R238" s="30"/>
    </row>
    <row r="239" spans="18:18" ht="15.75" customHeight="1">
      <c r="R239" s="30"/>
    </row>
    <row r="240" spans="18:18" ht="15.75" customHeight="1">
      <c r="R240" s="30"/>
    </row>
    <row r="241" spans="18:18" ht="15.75" customHeight="1">
      <c r="R241" s="30"/>
    </row>
    <row r="242" spans="18:18" ht="15.75" customHeight="1">
      <c r="R242" s="30"/>
    </row>
    <row r="243" spans="18:18" ht="15.75" customHeight="1">
      <c r="R243" s="30"/>
    </row>
    <row r="244" spans="18:18" ht="15.75" customHeight="1">
      <c r="R244" s="30"/>
    </row>
    <row r="245" spans="18:18" ht="15.75" customHeight="1">
      <c r="R245" s="30"/>
    </row>
    <row r="246" spans="18:18" ht="15.75" customHeight="1">
      <c r="R246" s="30"/>
    </row>
    <row r="247" spans="18:18" ht="15.75" customHeight="1">
      <c r="R247" s="30"/>
    </row>
    <row r="248" spans="18:18" ht="15.75" customHeight="1">
      <c r="R248" s="30"/>
    </row>
    <row r="249" spans="18:18" ht="15.75" customHeight="1">
      <c r="R249" s="30"/>
    </row>
    <row r="250" spans="18:18" ht="15.75" customHeight="1">
      <c r="R250" s="30"/>
    </row>
    <row r="251" spans="18:18" ht="15.75" customHeight="1">
      <c r="R251" s="30"/>
    </row>
    <row r="252" spans="18:18" ht="15.75" customHeight="1">
      <c r="R252" s="30"/>
    </row>
    <row r="253" spans="18:18" ht="15.75" customHeight="1">
      <c r="R253" s="30"/>
    </row>
    <row r="254" spans="18:18" ht="15.75" customHeight="1">
      <c r="R254" s="30"/>
    </row>
    <row r="255" spans="18:18" ht="15.75" customHeight="1">
      <c r="R255" s="30"/>
    </row>
    <row r="256" spans="18:18" ht="15.75" customHeight="1">
      <c r="R256" s="30"/>
    </row>
    <row r="257" spans="18:18" ht="15.75" customHeight="1">
      <c r="R257" s="30"/>
    </row>
    <row r="258" spans="18:18" ht="15.75" customHeight="1">
      <c r="R258" s="30"/>
    </row>
    <row r="259" spans="18:18" ht="15.75" customHeight="1">
      <c r="R259" s="30"/>
    </row>
    <row r="260" spans="18:18" ht="15.75" customHeight="1">
      <c r="R260" s="30"/>
    </row>
    <row r="261" spans="18:18" ht="15.75" customHeight="1">
      <c r="R261" s="30"/>
    </row>
    <row r="262" spans="18:18" ht="15.75" customHeight="1">
      <c r="R262" s="30"/>
    </row>
    <row r="263" spans="18:18" ht="15.75" customHeight="1">
      <c r="R263" s="30"/>
    </row>
    <row r="264" spans="18:18" ht="15.75" customHeight="1">
      <c r="R264" s="30"/>
    </row>
    <row r="265" spans="18:18" ht="15.75" customHeight="1">
      <c r="R265" s="30"/>
    </row>
    <row r="266" spans="18:18" ht="15.75" customHeight="1">
      <c r="R266" s="30"/>
    </row>
    <row r="267" spans="18:18" ht="15.75" customHeight="1">
      <c r="R267" s="30"/>
    </row>
    <row r="268" spans="18:18" ht="15.75" customHeight="1">
      <c r="R268" s="30"/>
    </row>
    <row r="269" spans="18:18" ht="15.75" customHeight="1">
      <c r="R269" s="30"/>
    </row>
    <row r="270" spans="18:18" ht="15.75" customHeight="1">
      <c r="R270" s="30"/>
    </row>
    <row r="271" spans="18:18" ht="15.75" customHeight="1">
      <c r="R271" s="30"/>
    </row>
    <row r="272" spans="18:18" ht="15.75" customHeight="1">
      <c r="R272" s="30"/>
    </row>
    <row r="273" spans="18:18" ht="15.75" customHeight="1">
      <c r="R273" s="30"/>
    </row>
    <row r="274" spans="18:18" ht="15.75" customHeight="1">
      <c r="R274" s="30"/>
    </row>
    <row r="275" spans="18:18" ht="15.75" customHeight="1">
      <c r="R275" s="30"/>
    </row>
    <row r="276" spans="18:18" ht="15.75" customHeight="1">
      <c r="R276" s="30"/>
    </row>
    <row r="277" spans="18:18" ht="15.75" customHeight="1">
      <c r="R277" s="30"/>
    </row>
    <row r="278" spans="18:18" ht="15.75" customHeight="1">
      <c r="R278" s="30"/>
    </row>
    <row r="279" spans="18:18" ht="15.75" customHeight="1">
      <c r="R279" s="30"/>
    </row>
    <row r="280" spans="18:18" ht="15.75" customHeight="1">
      <c r="R280" s="30"/>
    </row>
    <row r="281" spans="18:18" ht="15.75" customHeight="1">
      <c r="R281" s="30"/>
    </row>
    <row r="282" spans="18:18" ht="15.75" customHeight="1">
      <c r="R282" s="30"/>
    </row>
    <row r="283" spans="18:18" ht="15.75" customHeight="1">
      <c r="R283" s="30"/>
    </row>
    <row r="284" spans="18:18" ht="15.75" customHeight="1">
      <c r="R284" s="30"/>
    </row>
    <row r="285" spans="18:18" ht="15.75" customHeight="1">
      <c r="R285" s="30"/>
    </row>
    <row r="286" spans="18:18" ht="15.75" customHeight="1">
      <c r="R286" s="30"/>
    </row>
    <row r="287" spans="18:18" ht="15.75" customHeight="1">
      <c r="R287" s="30"/>
    </row>
    <row r="288" spans="18:18" ht="15.75" customHeight="1">
      <c r="R288" s="30"/>
    </row>
    <row r="289" spans="18:18" ht="15.75" customHeight="1">
      <c r="R289" s="30"/>
    </row>
    <row r="290" spans="18:18" ht="15.75" customHeight="1">
      <c r="R290" s="30"/>
    </row>
    <row r="291" spans="18:18" ht="15.75" customHeight="1">
      <c r="R291" s="30"/>
    </row>
    <row r="292" spans="18:18" ht="15.75" customHeight="1">
      <c r="R292" s="30"/>
    </row>
    <row r="293" spans="18:18" ht="15.75" customHeight="1">
      <c r="R293" s="30"/>
    </row>
    <row r="294" spans="18:18" ht="15.75" customHeight="1">
      <c r="R294" s="30"/>
    </row>
    <row r="295" spans="18:18" ht="15.75" customHeight="1">
      <c r="R295" s="30"/>
    </row>
    <row r="296" spans="18:18" ht="15.75" customHeight="1">
      <c r="R296" s="30"/>
    </row>
    <row r="297" spans="18:18" ht="15.75" customHeight="1">
      <c r="R297" s="30"/>
    </row>
    <row r="298" spans="18:18" ht="15.75" customHeight="1">
      <c r="R298" s="30"/>
    </row>
    <row r="299" spans="18:18" ht="15.75" customHeight="1">
      <c r="R299" s="30"/>
    </row>
    <row r="300" spans="18:18" ht="15.75" customHeight="1">
      <c r="R300" s="30"/>
    </row>
    <row r="301" spans="18:18" ht="15.75" customHeight="1">
      <c r="R301" s="30"/>
    </row>
    <row r="302" spans="18:18" ht="15.75" customHeight="1">
      <c r="R302" s="30"/>
    </row>
    <row r="303" spans="18:18" ht="15.75" customHeight="1">
      <c r="R303" s="30"/>
    </row>
    <row r="304" spans="18:18" ht="15.75" customHeight="1">
      <c r="R304" s="30"/>
    </row>
    <row r="305" spans="18:18" ht="15.75" customHeight="1">
      <c r="R305" s="30"/>
    </row>
    <row r="306" spans="18:18" ht="15.75" customHeight="1">
      <c r="R306" s="30"/>
    </row>
    <row r="307" spans="18:18" ht="15.75" customHeight="1">
      <c r="R307" s="30"/>
    </row>
    <row r="308" spans="18:18" ht="15.75" customHeight="1">
      <c r="R308" s="30"/>
    </row>
    <row r="309" spans="18:18" ht="15.75" customHeight="1">
      <c r="R309" s="30"/>
    </row>
    <row r="310" spans="18:18" ht="15.75" customHeight="1">
      <c r="R310" s="30"/>
    </row>
    <row r="311" spans="18:18" ht="15.75" customHeight="1">
      <c r="R311" s="30"/>
    </row>
    <row r="312" spans="18:18" ht="15.75" customHeight="1">
      <c r="R312" s="30"/>
    </row>
    <row r="313" spans="18:18" ht="15.75" customHeight="1">
      <c r="R313" s="30"/>
    </row>
    <row r="314" spans="18:18" ht="15.75" customHeight="1">
      <c r="R314" s="30"/>
    </row>
    <row r="315" spans="18:18" ht="15.75" customHeight="1">
      <c r="R315" s="30"/>
    </row>
    <row r="316" spans="18:18" ht="15.75" customHeight="1">
      <c r="R316" s="30"/>
    </row>
    <row r="317" spans="18:18" ht="15.75" customHeight="1">
      <c r="R317" s="30"/>
    </row>
    <row r="318" spans="18:18" ht="15.75" customHeight="1">
      <c r="R318" s="30"/>
    </row>
    <row r="319" spans="18:18" ht="15.75" customHeight="1">
      <c r="R319" s="30"/>
    </row>
    <row r="320" spans="18:18" ht="15.75" customHeight="1">
      <c r="R320" s="30"/>
    </row>
    <row r="321" spans="18:18" ht="15.75" customHeight="1">
      <c r="R321" s="30"/>
    </row>
    <row r="322" spans="18:18" ht="15.75" customHeight="1">
      <c r="R322" s="30"/>
    </row>
    <row r="323" spans="18:18" ht="15.75" customHeight="1">
      <c r="R323" s="30"/>
    </row>
    <row r="324" spans="18:18" ht="15.75" customHeight="1">
      <c r="R324" s="30"/>
    </row>
    <row r="325" spans="18:18" ht="15.75" customHeight="1">
      <c r="R325" s="30"/>
    </row>
    <row r="326" spans="18:18" ht="15.75" customHeight="1">
      <c r="R326" s="30"/>
    </row>
    <row r="327" spans="18:18" ht="15.75" customHeight="1">
      <c r="R327" s="30"/>
    </row>
    <row r="328" spans="18:18" ht="15.75" customHeight="1">
      <c r="R328" s="30"/>
    </row>
    <row r="329" spans="18:18" ht="15.75" customHeight="1">
      <c r="R329" s="30"/>
    </row>
    <row r="330" spans="18:18" ht="15.75" customHeight="1">
      <c r="R330" s="30"/>
    </row>
    <row r="331" spans="18:18" ht="15.75" customHeight="1">
      <c r="R331" s="30"/>
    </row>
    <row r="332" spans="18:18" ht="15.75" customHeight="1">
      <c r="R332" s="30"/>
    </row>
    <row r="333" spans="18:18" ht="15.75" customHeight="1">
      <c r="R333" s="30"/>
    </row>
    <row r="334" spans="18:18" ht="15.75" customHeight="1">
      <c r="R334" s="30"/>
    </row>
    <row r="335" spans="18:18" ht="15.75" customHeight="1">
      <c r="R335" s="30"/>
    </row>
    <row r="336" spans="18:18" ht="15.75" customHeight="1">
      <c r="R336" s="30"/>
    </row>
    <row r="337" spans="18:18" ht="15.75" customHeight="1">
      <c r="R337" s="30"/>
    </row>
    <row r="338" spans="18:18" ht="15.75" customHeight="1">
      <c r="R338" s="30"/>
    </row>
    <row r="339" spans="18:18" ht="15.75" customHeight="1">
      <c r="R339" s="30"/>
    </row>
    <row r="340" spans="18:18" ht="15.75" customHeight="1">
      <c r="R340" s="30"/>
    </row>
    <row r="341" spans="18:18" ht="15.75" customHeight="1">
      <c r="R341" s="30"/>
    </row>
    <row r="342" spans="18:18" ht="15.75" customHeight="1">
      <c r="R342" s="30"/>
    </row>
    <row r="343" spans="18:18" ht="15.75" customHeight="1">
      <c r="R343" s="30"/>
    </row>
    <row r="344" spans="18:18" ht="15.75" customHeight="1">
      <c r="R344" s="30"/>
    </row>
    <row r="345" spans="18:18" ht="15.75" customHeight="1">
      <c r="R345" s="30"/>
    </row>
    <row r="346" spans="18:18" ht="15.75" customHeight="1">
      <c r="R346" s="30"/>
    </row>
    <row r="347" spans="18:18" ht="15.75" customHeight="1">
      <c r="R347" s="30"/>
    </row>
    <row r="348" spans="18:18" ht="15.75" customHeight="1">
      <c r="R348" s="30"/>
    </row>
    <row r="349" spans="18:18" ht="15.75" customHeight="1">
      <c r="R349" s="30"/>
    </row>
    <row r="350" spans="18:18" ht="15.75" customHeight="1">
      <c r="R350" s="30"/>
    </row>
    <row r="351" spans="18:18" ht="15.75" customHeight="1">
      <c r="R351" s="30"/>
    </row>
    <row r="352" spans="18:18" ht="15.75" customHeight="1">
      <c r="R352" s="30"/>
    </row>
    <row r="353" spans="18:18" ht="15.75" customHeight="1">
      <c r="R353" s="30"/>
    </row>
    <row r="354" spans="18:18" ht="15.75" customHeight="1">
      <c r="R354" s="30"/>
    </row>
    <row r="355" spans="18:18" ht="15.75" customHeight="1">
      <c r="R355" s="30"/>
    </row>
    <row r="356" spans="18:18" ht="15.75" customHeight="1">
      <c r="R356" s="30"/>
    </row>
    <row r="357" spans="18:18" ht="15.75" customHeight="1">
      <c r="R357" s="30"/>
    </row>
    <row r="358" spans="18:18" ht="15.75" customHeight="1">
      <c r="R358" s="30"/>
    </row>
    <row r="359" spans="18:18" ht="15.75" customHeight="1">
      <c r="R359" s="30"/>
    </row>
    <row r="360" spans="18:18" ht="15.75" customHeight="1">
      <c r="R360" s="30"/>
    </row>
    <row r="361" spans="18:18" ht="15.75" customHeight="1">
      <c r="R361" s="30"/>
    </row>
    <row r="362" spans="18:18" ht="15.75" customHeight="1">
      <c r="R362" s="30"/>
    </row>
    <row r="363" spans="18:18" ht="15.75" customHeight="1">
      <c r="R363" s="30"/>
    </row>
    <row r="364" spans="18:18" ht="15.75" customHeight="1">
      <c r="R364" s="30"/>
    </row>
    <row r="365" spans="18:18" ht="15.75" customHeight="1">
      <c r="R365" s="30"/>
    </row>
    <row r="366" spans="18:18" ht="15.75" customHeight="1">
      <c r="R366" s="30"/>
    </row>
    <row r="367" spans="18:18" ht="15.75" customHeight="1">
      <c r="R367" s="30"/>
    </row>
    <row r="368" spans="18:18" ht="15.75" customHeight="1">
      <c r="R368" s="30"/>
    </row>
    <row r="369" spans="18:18" ht="15.75" customHeight="1">
      <c r="R369" s="30"/>
    </row>
    <row r="370" spans="18:18" ht="15.75" customHeight="1">
      <c r="R370" s="30"/>
    </row>
    <row r="371" spans="18:18" ht="15.75" customHeight="1">
      <c r="R371" s="30"/>
    </row>
    <row r="372" spans="18:18" ht="15.75" customHeight="1">
      <c r="R372" s="30"/>
    </row>
    <row r="373" spans="18:18" ht="15.75" customHeight="1">
      <c r="R373" s="30"/>
    </row>
    <row r="374" spans="18:18" ht="15.75" customHeight="1">
      <c r="R374" s="30"/>
    </row>
    <row r="375" spans="18:18" ht="15.75" customHeight="1">
      <c r="R375" s="30"/>
    </row>
    <row r="376" spans="18:18" ht="15.75" customHeight="1">
      <c r="R376" s="30"/>
    </row>
    <row r="377" spans="18:18" ht="15.75" customHeight="1">
      <c r="R377" s="30"/>
    </row>
    <row r="378" spans="18:18" ht="15.75" customHeight="1">
      <c r="R378" s="30"/>
    </row>
    <row r="379" spans="18:18" ht="15.75" customHeight="1">
      <c r="R379" s="30"/>
    </row>
    <row r="380" spans="18:18" ht="15.75" customHeight="1">
      <c r="R380" s="30"/>
    </row>
    <row r="381" spans="18:18" ht="15.75" customHeight="1">
      <c r="R381" s="30"/>
    </row>
    <row r="382" spans="18:18" ht="15.75" customHeight="1">
      <c r="R382" s="30"/>
    </row>
    <row r="383" spans="18:18" ht="15.75" customHeight="1">
      <c r="R383" s="30"/>
    </row>
    <row r="384" spans="18:18" ht="15.75" customHeight="1">
      <c r="R384" s="30"/>
    </row>
    <row r="385" spans="18:18" ht="15.75" customHeight="1">
      <c r="R385" s="30"/>
    </row>
    <row r="386" spans="18:18" ht="15.75" customHeight="1">
      <c r="R386" s="30"/>
    </row>
    <row r="387" spans="18:18" ht="15.75" customHeight="1">
      <c r="R387" s="30"/>
    </row>
    <row r="388" spans="18:18" ht="15.75" customHeight="1">
      <c r="R388" s="30"/>
    </row>
    <row r="389" spans="18:18" ht="15.75" customHeight="1">
      <c r="R389" s="30"/>
    </row>
    <row r="390" spans="18:18" ht="15.75" customHeight="1">
      <c r="R390" s="30"/>
    </row>
    <row r="391" spans="18:18" ht="15.75" customHeight="1">
      <c r="R391" s="30"/>
    </row>
    <row r="392" spans="18:18" ht="15.75" customHeight="1">
      <c r="R392" s="30"/>
    </row>
    <row r="393" spans="18:18" ht="15.75" customHeight="1">
      <c r="R393" s="30"/>
    </row>
    <row r="394" spans="18:18" ht="15.75" customHeight="1">
      <c r="R394" s="30"/>
    </row>
    <row r="395" spans="18:18" ht="15.75" customHeight="1">
      <c r="R395" s="30"/>
    </row>
    <row r="396" spans="18:18" ht="15.75" customHeight="1">
      <c r="R396" s="30"/>
    </row>
    <row r="397" spans="18:18" ht="15.75" customHeight="1">
      <c r="R397" s="30"/>
    </row>
    <row r="398" spans="18:18" ht="15.75" customHeight="1">
      <c r="R398" s="30"/>
    </row>
    <row r="399" spans="18:18" ht="15.75" customHeight="1">
      <c r="R399" s="30"/>
    </row>
    <row r="400" spans="18:18" ht="15.75" customHeight="1">
      <c r="R400" s="30"/>
    </row>
    <row r="401" spans="18:18" ht="15.75" customHeight="1">
      <c r="R401" s="30"/>
    </row>
    <row r="402" spans="18:18" ht="15.75" customHeight="1">
      <c r="R402" s="30"/>
    </row>
    <row r="403" spans="18:18" ht="15.75" customHeight="1">
      <c r="R403" s="30"/>
    </row>
    <row r="404" spans="18:18" ht="15.75" customHeight="1">
      <c r="R404" s="30"/>
    </row>
    <row r="405" spans="18:18" ht="15.75" customHeight="1">
      <c r="R405" s="30"/>
    </row>
    <row r="406" spans="18:18" ht="15.75" customHeight="1">
      <c r="R406" s="30"/>
    </row>
    <row r="407" spans="18:18" ht="15.75" customHeight="1">
      <c r="R407" s="30"/>
    </row>
    <row r="408" spans="18:18" ht="15.75" customHeight="1">
      <c r="R408" s="30"/>
    </row>
    <row r="409" spans="18:18" ht="15.75" customHeight="1">
      <c r="R409" s="30"/>
    </row>
    <row r="410" spans="18:18" ht="15.75" customHeight="1">
      <c r="R410" s="30"/>
    </row>
    <row r="411" spans="18:18" ht="15.75" customHeight="1">
      <c r="R411" s="30"/>
    </row>
    <row r="412" spans="18:18" ht="15.75" customHeight="1">
      <c r="R412" s="30"/>
    </row>
    <row r="413" spans="18:18" ht="15.75" customHeight="1">
      <c r="R413" s="30"/>
    </row>
    <row r="414" spans="18:18" ht="15.75" customHeight="1">
      <c r="R414" s="30"/>
    </row>
    <row r="415" spans="18:18" ht="15.75" customHeight="1">
      <c r="R415" s="30"/>
    </row>
    <row r="416" spans="18:18" ht="15.75" customHeight="1">
      <c r="R416" s="30"/>
    </row>
    <row r="417" spans="18:18" ht="15.75" customHeight="1">
      <c r="R417" s="30"/>
    </row>
    <row r="418" spans="18:18" ht="15.75" customHeight="1">
      <c r="R418" s="30"/>
    </row>
    <row r="419" spans="18:18" ht="15.75" customHeight="1">
      <c r="R419" s="30"/>
    </row>
    <row r="420" spans="18:18" ht="15.75" customHeight="1">
      <c r="R420" s="30"/>
    </row>
    <row r="421" spans="18:18" ht="15.75" customHeight="1">
      <c r="R421" s="30"/>
    </row>
    <row r="422" spans="18:18" ht="15.75" customHeight="1">
      <c r="R422" s="30"/>
    </row>
    <row r="423" spans="18:18" ht="15.75" customHeight="1">
      <c r="R423" s="30"/>
    </row>
    <row r="424" spans="18:18" ht="15.75" customHeight="1">
      <c r="R424" s="30"/>
    </row>
    <row r="425" spans="18:18" ht="15.75" customHeight="1">
      <c r="R425" s="30"/>
    </row>
    <row r="426" spans="18:18" ht="15.75" customHeight="1">
      <c r="R426" s="30"/>
    </row>
    <row r="427" spans="18:18" ht="15.75" customHeight="1">
      <c r="R427" s="30"/>
    </row>
    <row r="428" spans="18:18" ht="15.75" customHeight="1">
      <c r="R428" s="30"/>
    </row>
    <row r="429" spans="18:18" ht="15.75" customHeight="1">
      <c r="R429" s="30"/>
    </row>
    <row r="430" spans="18:18" ht="15.75" customHeight="1">
      <c r="R430" s="30"/>
    </row>
    <row r="431" spans="18:18" ht="15.75" customHeight="1">
      <c r="R431" s="30"/>
    </row>
    <row r="432" spans="18:18" ht="15.75" customHeight="1">
      <c r="R432" s="30"/>
    </row>
    <row r="433" spans="18:18" ht="15.75" customHeight="1">
      <c r="R433" s="30"/>
    </row>
    <row r="434" spans="18:18" ht="15.75" customHeight="1">
      <c r="R434" s="30"/>
    </row>
    <row r="435" spans="18:18" ht="15.75" customHeight="1">
      <c r="R435" s="30"/>
    </row>
    <row r="436" spans="18:18" ht="15.75" customHeight="1">
      <c r="R436" s="30"/>
    </row>
    <row r="437" spans="18:18" ht="15.75" customHeight="1">
      <c r="R437" s="30"/>
    </row>
    <row r="438" spans="18:18" ht="15.75" customHeight="1">
      <c r="R438" s="30"/>
    </row>
    <row r="439" spans="18:18" ht="15.75" customHeight="1">
      <c r="R439" s="30"/>
    </row>
    <row r="440" spans="18:18" ht="15.75" customHeight="1">
      <c r="R440" s="30"/>
    </row>
    <row r="441" spans="18:18" ht="15.75" customHeight="1">
      <c r="R441" s="30"/>
    </row>
    <row r="442" spans="18:18" ht="15.75" customHeight="1">
      <c r="R442" s="30"/>
    </row>
    <row r="443" spans="18:18" ht="15.75" customHeight="1">
      <c r="R443" s="30"/>
    </row>
    <row r="444" spans="18:18" ht="15.75" customHeight="1">
      <c r="R444" s="30"/>
    </row>
    <row r="445" spans="18:18" ht="15.75" customHeight="1">
      <c r="R445" s="30"/>
    </row>
    <row r="446" spans="18:18" ht="15.75" customHeight="1">
      <c r="R446" s="30"/>
    </row>
    <row r="447" spans="18:18" ht="15.75" customHeight="1">
      <c r="R447" s="30"/>
    </row>
    <row r="448" spans="18:18" ht="15.75" customHeight="1">
      <c r="R448" s="30"/>
    </row>
    <row r="449" spans="18:18" ht="15.75" customHeight="1">
      <c r="R449" s="30"/>
    </row>
    <row r="450" spans="18:18" ht="15.75" customHeight="1">
      <c r="R450" s="30"/>
    </row>
    <row r="451" spans="18:18" ht="15.75" customHeight="1">
      <c r="R451" s="30"/>
    </row>
    <row r="452" spans="18:18" ht="15.75" customHeight="1">
      <c r="R452" s="30"/>
    </row>
    <row r="453" spans="18:18" ht="15.75" customHeight="1">
      <c r="R453" s="30"/>
    </row>
    <row r="454" spans="18:18" ht="15.75" customHeight="1">
      <c r="R454" s="30"/>
    </row>
    <row r="455" spans="18:18" ht="15.75" customHeight="1">
      <c r="R455" s="30"/>
    </row>
    <row r="456" spans="18:18" ht="15.75" customHeight="1">
      <c r="R456" s="30"/>
    </row>
    <row r="457" spans="18:18" ht="15.75" customHeight="1">
      <c r="R457" s="30"/>
    </row>
    <row r="458" spans="18:18" ht="15.75" customHeight="1">
      <c r="R458" s="30"/>
    </row>
    <row r="459" spans="18:18" ht="15.75" customHeight="1">
      <c r="R459" s="30"/>
    </row>
    <row r="460" spans="18:18" ht="15.75" customHeight="1">
      <c r="R460" s="30"/>
    </row>
    <row r="461" spans="18:18" ht="15.75" customHeight="1">
      <c r="R461" s="30"/>
    </row>
    <row r="462" spans="18:18" ht="15.75" customHeight="1">
      <c r="R462" s="30"/>
    </row>
    <row r="463" spans="18:18" ht="15.75" customHeight="1">
      <c r="R463" s="30"/>
    </row>
    <row r="464" spans="18:18" ht="15.75" customHeight="1">
      <c r="R464" s="30"/>
    </row>
    <row r="465" spans="18:18" ht="15.75" customHeight="1">
      <c r="R465" s="30"/>
    </row>
    <row r="466" spans="18:18" ht="15.75" customHeight="1">
      <c r="R466" s="30"/>
    </row>
    <row r="467" spans="18:18" ht="15.75" customHeight="1">
      <c r="R467" s="30"/>
    </row>
    <row r="468" spans="18:18" ht="15.75" customHeight="1">
      <c r="R468" s="30"/>
    </row>
    <row r="469" spans="18:18" ht="15.75" customHeight="1">
      <c r="R469" s="30"/>
    </row>
    <row r="470" spans="18:18" ht="15.75" customHeight="1">
      <c r="R470" s="30"/>
    </row>
    <row r="471" spans="18:18" ht="15.75" customHeight="1">
      <c r="R471" s="30"/>
    </row>
    <row r="472" spans="18:18" ht="15.75" customHeight="1">
      <c r="R472" s="30"/>
    </row>
    <row r="473" spans="18:18" ht="15.75" customHeight="1">
      <c r="R473" s="30"/>
    </row>
    <row r="474" spans="18:18" ht="15.75" customHeight="1">
      <c r="R474" s="30"/>
    </row>
    <row r="475" spans="18:18" ht="15.75" customHeight="1">
      <c r="R475" s="30"/>
    </row>
    <row r="476" spans="18:18" ht="15.75" customHeight="1">
      <c r="R476" s="30"/>
    </row>
    <row r="477" spans="18:18" ht="15.75" customHeight="1">
      <c r="R477" s="30"/>
    </row>
    <row r="478" spans="18:18" ht="15.75" customHeight="1">
      <c r="R478" s="30"/>
    </row>
    <row r="479" spans="18:18" ht="15.75" customHeight="1">
      <c r="R479" s="30"/>
    </row>
    <row r="480" spans="18:18" ht="15.75" customHeight="1">
      <c r="R480" s="30"/>
    </row>
    <row r="481" spans="18:18" ht="15.75" customHeight="1">
      <c r="R481" s="30"/>
    </row>
    <row r="482" spans="18:18" ht="15.75" customHeight="1">
      <c r="R482" s="30"/>
    </row>
    <row r="483" spans="18:18" ht="15.75" customHeight="1">
      <c r="R483" s="30"/>
    </row>
    <row r="484" spans="18:18" ht="15.75" customHeight="1">
      <c r="R484" s="30"/>
    </row>
    <row r="485" spans="18:18" ht="15.75" customHeight="1">
      <c r="R485" s="30"/>
    </row>
    <row r="486" spans="18:18" ht="15.75" customHeight="1">
      <c r="R486" s="30"/>
    </row>
    <row r="487" spans="18:18" ht="15.75" customHeight="1">
      <c r="R487" s="30"/>
    </row>
    <row r="488" spans="18:18" ht="15.75" customHeight="1">
      <c r="R488" s="30"/>
    </row>
    <row r="489" spans="18:18" ht="15.75" customHeight="1">
      <c r="R489" s="30"/>
    </row>
    <row r="490" spans="18:18" ht="15.75" customHeight="1">
      <c r="R490" s="30"/>
    </row>
    <row r="491" spans="18:18" ht="15.75" customHeight="1">
      <c r="R491" s="30"/>
    </row>
    <row r="492" spans="18:18" ht="15.75" customHeight="1">
      <c r="R492" s="30"/>
    </row>
    <row r="493" spans="18:18" ht="15.75" customHeight="1">
      <c r="R493" s="30"/>
    </row>
    <row r="494" spans="18:18" ht="15.75" customHeight="1">
      <c r="R494" s="30"/>
    </row>
    <row r="495" spans="18:18" ht="15.75" customHeight="1">
      <c r="R495" s="30"/>
    </row>
    <row r="496" spans="18:18" ht="15.75" customHeight="1">
      <c r="R496" s="30"/>
    </row>
    <row r="497" spans="18:18" ht="15.75" customHeight="1">
      <c r="R497" s="30"/>
    </row>
    <row r="498" spans="18:18" ht="15.75" customHeight="1">
      <c r="R498" s="30"/>
    </row>
    <row r="499" spans="18:18" ht="15.75" customHeight="1">
      <c r="R499" s="30"/>
    </row>
    <row r="500" spans="18:18" ht="15.75" customHeight="1">
      <c r="R500" s="30"/>
    </row>
    <row r="501" spans="18:18" ht="15.75" customHeight="1">
      <c r="R501" s="30"/>
    </row>
    <row r="502" spans="18:18" ht="15.75" customHeight="1">
      <c r="R502" s="30"/>
    </row>
    <row r="503" spans="18:18" ht="15.75" customHeight="1">
      <c r="R503" s="30"/>
    </row>
    <row r="504" spans="18:18" ht="15.75" customHeight="1">
      <c r="R504" s="30"/>
    </row>
    <row r="505" spans="18:18" ht="15.75" customHeight="1">
      <c r="R505" s="30"/>
    </row>
    <row r="506" spans="18:18" ht="15.75" customHeight="1">
      <c r="R506" s="30"/>
    </row>
    <row r="507" spans="18:18" ht="15.75" customHeight="1">
      <c r="R507" s="30"/>
    </row>
    <row r="508" spans="18:18" ht="15.75" customHeight="1">
      <c r="R508" s="30"/>
    </row>
    <row r="509" spans="18:18" ht="15.75" customHeight="1">
      <c r="R509" s="30"/>
    </row>
    <row r="510" spans="18:18" ht="15.75" customHeight="1">
      <c r="R510" s="30"/>
    </row>
    <row r="511" spans="18:18" ht="15.75" customHeight="1">
      <c r="R511" s="30"/>
    </row>
    <row r="512" spans="18:18" ht="15.75" customHeight="1">
      <c r="R512" s="30"/>
    </row>
    <row r="513" spans="18:18" ht="15.75" customHeight="1">
      <c r="R513" s="30"/>
    </row>
    <row r="514" spans="18:18" ht="15.75" customHeight="1">
      <c r="R514" s="30"/>
    </row>
    <row r="515" spans="18:18" ht="15.75" customHeight="1">
      <c r="R515" s="30"/>
    </row>
    <row r="516" spans="18:18" ht="15.75" customHeight="1">
      <c r="R516" s="30"/>
    </row>
    <row r="517" spans="18:18" ht="15.75" customHeight="1">
      <c r="R517" s="30"/>
    </row>
    <row r="518" spans="18:18" ht="15.75" customHeight="1">
      <c r="R518" s="30"/>
    </row>
    <row r="519" spans="18:18" ht="15.75" customHeight="1">
      <c r="R519" s="30"/>
    </row>
    <row r="520" spans="18:18" ht="15.75" customHeight="1">
      <c r="R520" s="30"/>
    </row>
    <row r="521" spans="18:18" ht="15.75" customHeight="1">
      <c r="R521" s="30"/>
    </row>
    <row r="522" spans="18:18" ht="15.75" customHeight="1">
      <c r="R522" s="30"/>
    </row>
    <row r="523" spans="18:18" ht="15.75" customHeight="1">
      <c r="R523" s="30"/>
    </row>
    <row r="524" spans="18:18" ht="15.75" customHeight="1">
      <c r="R524" s="30"/>
    </row>
    <row r="525" spans="18:18" ht="15.75" customHeight="1">
      <c r="R525" s="30"/>
    </row>
    <row r="526" spans="18:18" ht="15.75" customHeight="1">
      <c r="R526" s="30"/>
    </row>
    <row r="527" spans="18:18" ht="15.75" customHeight="1">
      <c r="R527" s="30"/>
    </row>
    <row r="528" spans="18:18" ht="15.75" customHeight="1">
      <c r="R528" s="30"/>
    </row>
    <row r="529" spans="18:18" ht="15.75" customHeight="1">
      <c r="R529" s="30"/>
    </row>
    <row r="530" spans="18:18" ht="15.75" customHeight="1">
      <c r="R530" s="30"/>
    </row>
    <row r="531" spans="18:18" ht="15.75" customHeight="1">
      <c r="R531" s="30"/>
    </row>
    <row r="532" spans="18:18" ht="15.75" customHeight="1">
      <c r="R532" s="30"/>
    </row>
    <row r="533" spans="18:18" ht="15.75" customHeight="1">
      <c r="R533" s="30"/>
    </row>
    <row r="534" spans="18:18" ht="15.75" customHeight="1">
      <c r="R534" s="30"/>
    </row>
    <row r="535" spans="18:18" ht="15.75" customHeight="1">
      <c r="R535" s="30"/>
    </row>
    <row r="536" spans="18:18" ht="15.75" customHeight="1">
      <c r="R536" s="30"/>
    </row>
    <row r="537" spans="18:18" ht="15.75" customHeight="1">
      <c r="R537" s="30"/>
    </row>
    <row r="538" spans="18:18" ht="15.75" customHeight="1">
      <c r="R538" s="30"/>
    </row>
    <row r="539" spans="18:18" ht="15.75" customHeight="1">
      <c r="R539" s="30"/>
    </row>
    <row r="540" spans="18:18" ht="15.75" customHeight="1">
      <c r="R540" s="30"/>
    </row>
    <row r="541" spans="18:18" ht="15.75" customHeight="1">
      <c r="R541" s="30"/>
    </row>
    <row r="542" spans="18:18" ht="15.75" customHeight="1">
      <c r="R542" s="30"/>
    </row>
    <row r="543" spans="18:18" ht="15.75" customHeight="1">
      <c r="R543" s="30"/>
    </row>
    <row r="544" spans="18:18" ht="15.75" customHeight="1">
      <c r="R544" s="30"/>
    </row>
    <row r="545" spans="18:18" ht="15.75" customHeight="1">
      <c r="R545" s="30"/>
    </row>
    <row r="546" spans="18:18" ht="15.75" customHeight="1">
      <c r="R546" s="30"/>
    </row>
    <row r="547" spans="18:18" ht="15.75" customHeight="1">
      <c r="R547" s="30"/>
    </row>
    <row r="548" spans="18:18" ht="15.75" customHeight="1">
      <c r="R548" s="30"/>
    </row>
    <row r="549" spans="18:18" ht="15.75" customHeight="1">
      <c r="R549" s="30"/>
    </row>
    <row r="550" spans="18:18" ht="15.75" customHeight="1">
      <c r="R550" s="30"/>
    </row>
    <row r="551" spans="18:18" ht="15.75" customHeight="1">
      <c r="R551" s="30"/>
    </row>
    <row r="552" spans="18:18" ht="15.75" customHeight="1">
      <c r="R552" s="30"/>
    </row>
    <row r="553" spans="18:18" ht="15.75" customHeight="1">
      <c r="R553" s="30"/>
    </row>
    <row r="554" spans="18:18" ht="15.75" customHeight="1">
      <c r="R554" s="30"/>
    </row>
    <row r="555" spans="18:18" ht="15.75" customHeight="1">
      <c r="R555" s="30"/>
    </row>
    <row r="556" spans="18:18" ht="15.75" customHeight="1">
      <c r="R556" s="30"/>
    </row>
    <row r="557" spans="18:18" ht="15.75" customHeight="1">
      <c r="R557" s="30"/>
    </row>
    <row r="558" spans="18:18" ht="15.75" customHeight="1">
      <c r="R558" s="30"/>
    </row>
    <row r="559" spans="18:18" ht="15.75" customHeight="1">
      <c r="R559" s="30"/>
    </row>
    <row r="560" spans="18:18" ht="15.75" customHeight="1">
      <c r="R560" s="30"/>
    </row>
    <row r="561" spans="18:18" ht="15.75" customHeight="1">
      <c r="R561" s="30"/>
    </row>
    <row r="562" spans="18:18" ht="15.75" customHeight="1">
      <c r="R562" s="30"/>
    </row>
    <row r="563" spans="18:18" ht="15.75" customHeight="1">
      <c r="R563" s="30"/>
    </row>
    <row r="564" spans="18:18" ht="15.75" customHeight="1">
      <c r="R564" s="30"/>
    </row>
    <row r="565" spans="18:18" ht="15.75" customHeight="1">
      <c r="R565" s="30"/>
    </row>
    <row r="566" spans="18:18" ht="15.75" customHeight="1">
      <c r="R566" s="30"/>
    </row>
    <row r="567" spans="18:18" ht="15.75" customHeight="1">
      <c r="R567" s="30"/>
    </row>
    <row r="568" spans="18:18" ht="15.75" customHeight="1">
      <c r="R568" s="30"/>
    </row>
    <row r="569" spans="18:18" ht="15.75" customHeight="1">
      <c r="R569" s="30"/>
    </row>
    <row r="570" spans="18:18" ht="15.75" customHeight="1">
      <c r="R570" s="30"/>
    </row>
    <row r="571" spans="18:18" ht="15.75" customHeight="1">
      <c r="R571" s="30"/>
    </row>
    <row r="572" spans="18:18" ht="15.75" customHeight="1">
      <c r="R572" s="30"/>
    </row>
    <row r="573" spans="18:18" ht="15.75" customHeight="1">
      <c r="R573" s="30"/>
    </row>
    <row r="574" spans="18:18" ht="15.75" customHeight="1">
      <c r="R574" s="30"/>
    </row>
    <row r="575" spans="18:18" ht="15.75" customHeight="1">
      <c r="R575" s="30"/>
    </row>
    <row r="576" spans="18:18" ht="15.75" customHeight="1">
      <c r="R576" s="30"/>
    </row>
    <row r="577" spans="18:18" ht="15.75" customHeight="1">
      <c r="R577" s="30"/>
    </row>
    <row r="578" spans="18:18" ht="15.75" customHeight="1">
      <c r="R578" s="30"/>
    </row>
    <row r="579" spans="18:18" ht="15.75" customHeight="1">
      <c r="R579" s="30"/>
    </row>
    <row r="580" spans="18:18" ht="15.75" customHeight="1">
      <c r="R580" s="30"/>
    </row>
    <row r="581" spans="18:18" ht="15.75" customHeight="1">
      <c r="R581" s="30"/>
    </row>
    <row r="582" spans="18:18" ht="15.75" customHeight="1">
      <c r="R582" s="30"/>
    </row>
    <row r="583" spans="18:18" ht="15.75" customHeight="1">
      <c r="R583" s="30"/>
    </row>
    <row r="584" spans="18:18" ht="15.75" customHeight="1">
      <c r="R584" s="30"/>
    </row>
    <row r="585" spans="18:18" ht="15.75" customHeight="1">
      <c r="R585" s="30"/>
    </row>
    <row r="586" spans="18:18" ht="15.75" customHeight="1">
      <c r="R586" s="30"/>
    </row>
    <row r="587" spans="18:18" ht="15.75" customHeight="1">
      <c r="R587" s="30"/>
    </row>
    <row r="588" spans="18:18" ht="15.75" customHeight="1">
      <c r="R588" s="30"/>
    </row>
    <row r="589" spans="18:18" ht="15.75" customHeight="1">
      <c r="R589" s="30"/>
    </row>
    <row r="590" spans="18:18" ht="15.75" customHeight="1">
      <c r="R590" s="30"/>
    </row>
    <row r="591" spans="18:18" ht="15.75" customHeight="1">
      <c r="R591" s="30"/>
    </row>
    <row r="592" spans="18:18" ht="15.75" customHeight="1">
      <c r="R592" s="30"/>
    </row>
    <row r="593" spans="18:18" ht="15.75" customHeight="1">
      <c r="R593" s="30"/>
    </row>
    <row r="594" spans="18:18" ht="15.75" customHeight="1">
      <c r="R594" s="30"/>
    </row>
    <row r="595" spans="18:18" ht="15.75" customHeight="1">
      <c r="R595" s="30"/>
    </row>
    <row r="596" spans="18:18" ht="15.75" customHeight="1">
      <c r="R596" s="30"/>
    </row>
    <row r="597" spans="18:18" ht="15.75" customHeight="1">
      <c r="R597" s="30"/>
    </row>
    <row r="598" spans="18:18" ht="15.75" customHeight="1">
      <c r="R598" s="30"/>
    </row>
    <row r="599" spans="18:18" ht="15.75" customHeight="1">
      <c r="R599" s="30"/>
    </row>
    <row r="600" spans="18:18" ht="15.75" customHeight="1">
      <c r="R600" s="30"/>
    </row>
    <row r="601" spans="18:18" ht="15.75" customHeight="1">
      <c r="R601" s="30"/>
    </row>
    <row r="602" spans="18:18" ht="15.75" customHeight="1">
      <c r="R602" s="30"/>
    </row>
    <row r="603" spans="18:18" ht="15.75" customHeight="1">
      <c r="R603" s="30"/>
    </row>
    <row r="604" spans="18:18" ht="15.75" customHeight="1">
      <c r="R604" s="30"/>
    </row>
    <row r="605" spans="18:18" ht="15.75" customHeight="1">
      <c r="R605" s="30"/>
    </row>
    <row r="606" spans="18:18" ht="15.75" customHeight="1">
      <c r="R606" s="30"/>
    </row>
    <row r="607" spans="18:18" ht="15.75" customHeight="1">
      <c r="R607" s="30"/>
    </row>
    <row r="608" spans="18:18" ht="15.75" customHeight="1">
      <c r="R608" s="30"/>
    </row>
    <row r="609" spans="18:18" ht="15.75" customHeight="1">
      <c r="R609" s="30"/>
    </row>
    <row r="610" spans="18:18" ht="15.75" customHeight="1">
      <c r="R610" s="30"/>
    </row>
    <row r="611" spans="18:18" ht="15.75" customHeight="1">
      <c r="R611" s="30"/>
    </row>
    <row r="612" spans="18:18" ht="15.75" customHeight="1">
      <c r="R612" s="30"/>
    </row>
    <row r="613" spans="18:18" ht="15.75" customHeight="1">
      <c r="R613" s="30"/>
    </row>
    <row r="614" spans="18:18" ht="15.75" customHeight="1">
      <c r="R614" s="30"/>
    </row>
    <row r="615" spans="18:18" ht="15.75" customHeight="1">
      <c r="R615" s="30"/>
    </row>
    <row r="616" spans="18:18" ht="15.75" customHeight="1">
      <c r="R616" s="30"/>
    </row>
    <row r="617" spans="18:18" ht="15.75" customHeight="1">
      <c r="R617" s="30"/>
    </row>
    <row r="618" spans="18:18" ht="15.75" customHeight="1">
      <c r="R618" s="30"/>
    </row>
    <row r="619" spans="18:18" ht="15.75" customHeight="1">
      <c r="R619" s="30"/>
    </row>
    <row r="620" spans="18:18" ht="15.75" customHeight="1">
      <c r="R620" s="30"/>
    </row>
    <row r="621" spans="18:18" ht="15.75" customHeight="1">
      <c r="R621" s="30"/>
    </row>
    <row r="622" spans="18:18" ht="15.75" customHeight="1">
      <c r="R622" s="30"/>
    </row>
    <row r="623" spans="18:18" ht="15.75" customHeight="1">
      <c r="R623" s="30"/>
    </row>
    <row r="624" spans="18:18" ht="15.75" customHeight="1">
      <c r="R624" s="30"/>
    </row>
    <row r="625" spans="18:18" ht="15.75" customHeight="1">
      <c r="R625" s="30"/>
    </row>
    <row r="626" spans="18:18" ht="15.75" customHeight="1">
      <c r="R626" s="30"/>
    </row>
    <row r="627" spans="18:18" ht="15.75" customHeight="1">
      <c r="R627" s="30"/>
    </row>
    <row r="628" spans="18:18" ht="15.75" customHeight="1">
      <c r="R628" s="30"/>
    </row>
    <row r="629" spans="18:18" ht="15.75" customHeight="1">
      <c r="R629" s="30"/>
    </row>
    <row r="630" spans="18:18" ht="15.75" customHeight="1">
      <c r="R630" s="30"/>
    </row>
    <row r="631" spans="18:18" ht="15.75" customHeight="1">
      <c r="R631" s="30"/>
    </row>
    <row r="632" spans="18:18" ht="15.75" customHeight="1">
      <c r="R632" s="30"/>
    </row>
    <row r="633" spans="18:18" ht="15.75" customHeight="1">
      <c r="R633" s="30"/>
    </row>
    <row r="634" spans="18:18" ht="15.75" customHeight="1">
      <c r="R634" s="30"/>
    </row>
    <row r="635" spans="18:18" ht="15.75" customHeight="1">
      <c r="R635" s="30"/>
    </row>
    <row r="636" spans="18:18" ht="15.75" customHeight="1">
      <c r="R636" s="30"/>
    </row>
    <row r="637" spans="18:18" ht="15.75" customHeight="1">
      <c r="R637" s="30"/>
    </row>
    <row r="638" spans="18:18" ht="15.75" customHeight="1">
      <c r="R638" s="30"/>
    </row>
    <row r="639" spans="18:18" ht="15.75" customHeight="1">
      <c r="R639" s="30"/>
    </row>
    <row r="640" spans="18:18" ht="15.75" customHeight="1">
      <c r="R640" s="30"/>
    </row>
    <row r="641" spans="18:18" ht="15.75" customHeight="1">
      <c r="R641" s="30"/>
    </row>
    <row r="642" spans="18:18" ht="15.75" customHeight="1">
      <c r="R642" s="30"/>
    </row>
    <row r="643" spans="18:18" ht="15.75" customHeight="1">
      <c r="R643" s="30"/>
    </row>
    <row r="644" spans="18:18" ht="15.75" customHeight="1">
      <c r="R644" s="30"/>
    </row>
    <row r="645" spans="18:18" ht="15.75" customHeight="1">
      <c r="R645" s="30"/>
    </row>
    <row r="646" spans="18:18" ht="15.75" customHeight="1">
      <c r="R646" s="30"/>
    </row>
    <row r="647" spans="18:18" ht="15.75" customHeight="1">
      <c r="R647" s="30"/>
    </row>
    <row r="648" spans="18:18" ht="15.75" customHeight="1">
      <c r="R648" s="30"/>
    </row>
    <row r="649" spans="18:18" ht="15.75" customHeight="1">
      <c r="R649" s="30"/>
    </row>
    <row r="650" spans="18:18" ht="15.75" customHeight="1">
      <c r="R650" s="30"/>
    </row>
    <row r="651" spans="18:18" ht="15.75" customHeight="1">
      <c r="R651" s="30"/>
    </row>
    <row r="652" spans="18:18" ht="15.75" customHeight="1">
      <c r="R652" s="30"/>
    </row>
    <row r="653" spans="18:18" ht="15.75" customHeight="1">
      <c r="R653" s="30"/>
    </row>
    <row r="654" spans="18:18" ht="15.75" customHeight="1">
      <c r="R654" s="30"/>
    </row>
    <row r="655" spans="18:18" ht="15.75" customHeight="1">
      <c r="R655" s="30"/>
    </row>
    <row r="656" spans="18:18" ht="15.75" customHeight="1">
      <c r="R656" s="30"/>
    </row>
    <row r="657" spans="18:18" ht="15.75" customHeight="1">
      <c r="R657" s="30"/>
    </row>
    <row r="658" spans="18:18" ht="15.75" customHeight="1">
      <c r="R658" s="30"/>
    </row>
    <row r="659" spans="18:18" ht="15.75" customHeight="1">
      <c r="R659" s="30"/>
    </row>
    <row r="660" spans="18:18" ht="15.75" customHeight="1">
      <c r="R660" s="30"/>
    </row>
    <row r="661" spans="18:18" ht="15.75" customHeight="1">
      <c r="R661" s="30"/>
    </row>
    <row r="662" spans="18:18" ht="15.75" customHeight="1">
      <c r="R662" s="30"/>
    </row>
    <row r="663" spans="18:18" ht="15.75" customHeight="1">
      <c r="R663" s="30"/>
    </row>
    <row r="664" spans="18:18" ht="15.75" customHeight="1">
      <c r="R664" s="30"/>
    </row>
    <row r="665" spans="18:18" ht="15.75" customHeight="1">
      <c r="R665" s="30"/>
    </row>
    <row r="666" spans="18:18" ht="15.75" customHeight="1">
      <c r="R666" s="30"/>
    </row>
    <row r="667" spans="18:18" ht="15.75" customHeight="1">
      <c r="R667" s="30"/>
    </row>
    <row r="668" spans="18:18" ht="15.75" customHeight="1">
      <c r="R668" s="30"/>
    </row>
    <row r="669" spans="18:18" ht="15.75" customHeight="1">
      <c r="R669" s="30"/>
    </row>
    <row r="670" spans="18:18" ht="15.75" customHeight="1">
      <c r="R670" s="30"/>
    </row>
    <row r="671" spans="18:18" ht="15.75" customHeight="1">
      <c r="R671" s="30"/>
    </row>
    <row r="672" spans="18:18" ht="15.75" customHeight="1">
      <c r="R672" s="30"/>
    </row>
    <row r="673" spans="18:18" ht="15.75" customHeight="1">
      <c r="R673" s="30"/>
    </row>
    <row r="674" spans="18:18" ht="15.75" customHeight="1">
      <c r="R674" s="30"/>
    </row>
    <row r="675" spans="18:18" ht="15.75" customHeight="1">
      <c r="R675" s="30"/>
    </row>
    <row r="676" spans="18:18" ht="15.75" customHeight="1">
      <c r="R676" s="30"/>
    </row>
    <row r="677" spans="18:18" ht="15.75" customHeight="1">
      <c r="R677" s="30"/>
    </row>
    <row r="678" spans="18:18" ht="15.75" customHeight="1">
      <c r="R678" s="30"/>
    </row>
    <row r="679" spans="18:18" ht="15.75" customHeight="1">
      <c r="R679" s="30"/>
    </row>
    <row r="680" spans="18:18" ht="15.75" customHeight="1">
      <c r="R680" s="30"/>
    </row>
    <row r="681" spans="18:18" ht="15.75" customHeight="1">
      <c r="R681" s="30"/>
    </row>
    <row r="682" spans="18:18" ht="15.75" customHeight="1">
      <c r="R682" s="30"/>
    </row>
    <row r="683" spans="18:18" ht="15.75" customHeight="1">
      <c r="R683" s="30"/>
    </row>
    <row r="684" spans="18:18" ht="15.75" customHeight="1">
      <c r="R684" s="30"/>
    </row>
    <row r="685" spans="18:18" ht="15.75" customHeight="1">
      <c r="R685" s="30"/>
    </row>
    <row r="686" spans="18:18" ht="15.75" customHeight="1">
      <c r="R686" s="30"/>
    </row>
    <row r="687" spans="18:18" ht="15.75" customHeight="1">
      <c r="R687" s="30"/>
    </row>
    <row r="688" spans="18:18" ht="15.75" customHeight="1">
      <c r="R688" s="30"/>
    </row>
    <row r="689" spans="18:18" ht="15.75" customHeight="1">
      <c r="R689" s="30"/>
    </row>
    <row r="690" spans="18:18" ht="15.75" customHeight="1">
      <c r="R690" s="30"/>
    </row>
    <row r="691" spans="18:18" ht="15.75" customHeight="1">
      <c r="R691" s="30"/>
    </row>
    <row r="692" spans="18:18" ht="15.75" customHeight="1">
      <c r="R692" s="30"/>
    </row>
    <row r="693" spans="18:18" ht="15.75" customHeight="1">
      <c r="R693" s="30"/>
    </row>
    <row r="694" spans="18:18" ht="15.75" customHeight="1">
      <c r="R694" s="30"/>
    </row>
    <row r="695" spans="18:18" ht="15.75" customHeight="1">
      <c r="R695" s="30"/>
    </row>
    <row r="696" spans="18:18" ht="15.75" customHeight="1">
      <c r="R696" s="30"/>
    </row>
    <row r="697" spans="18:18" ht="15.75" customHeight="1">
      <c r="R697" s="30"/>
    </row>
    <row r="698" spans="18:18" ht="15.75" customHeight="1">
      <c r="R698" s="30"/>
    </row>
    <row r="699" spans="18:18" ht="15.75" customHeight="1">
      <c r="R699" s="30"/>
    </row>
    <row r="700" spans="18:18" ht="15.75" customHeight="1">
      <c r="R700" s="30"/>
    </row>
    <row r="701" spans="18:18" ht="15.75" customHeight="1">
      <c r="R701" s="30"/>
    </row>
    <row r="702" spans="18:18" ht="15.75" customHeight="1">
      <c r="R702" s="30"/>
    </row>
    <row r="703" spans="18:18" ht="15.75" customHeight="1">
      <c r="R703" s="30"/>
    </row>
    <row r="704" spans="18:18" ht="15.75" customHeight="1">
      <c r="R704" s="30"/>
    </row>
    <row r="705" spans="18:18" ht="15.75" customHeight="1">
      <c r="R705" s="30"/>
    </row>
    <row r="706" spans="18:18" ht="15.75" customHeight="1">
      <c r="R706" s="30"/>
    </row>
    <row r="707" spans="18:18" ht="15.75" customHeight="1">
      <c r="R707" s="30"/>
    </row>
    <row r="708" spans="18:18" ht="15.75" customHeight="1">
      <c r="R708" s="30"/>
    </row>
    <row r="709" spans="18:18" ht="15.75" customHeight="1">
      <c r="R709" s="30"/>
    </row>
    <row r="710" spans="18:18" ht="15.75" customHeight="1">
      <c r="R710" s="30"/>
    </row>
    <row r="711" spans="18:18" ht="15.75" customHeight="1">
      <c r="R711" s="30"/>
    </row>
    <row r="712" spans="18:18" ht="15.75" customHeight="1">
      <c r="R712" s="30"/>
    </row>
    <row r="713" spans="18:18" ht="15.75" customHeight="1">
      <c r="R713" s="30"/>
    </row>
    <row r="714" spans="18:18" ht="15.75" customHeight="1">
      <c r="R714" s="30"/>
    </row>
    <row r="715" spans="18:18" ht="15.75" customHeight="1">
      <c r="R715" s="30"/>
    </row>
    <row r="716" spans="18:18" ht="15.75" customHeight="1">
      <c r="R716" s="30"/>
    </row>
    <row r="717" spans="18:18" ht="15.75" customHeight="1">
      <c r="R717" s="30"/>
    </row>
    <row r="718" spans="18:18" ht="15.75" customHeight="1">
      <c r="R718" s="30"/>
    </row>
    <row r="719" spans="18:18" ht="15.75" customHeight="1">
      <c r="R719" s="30"/>
    </row>
    <row r="720" spans="18:18" ht="15.75" customHeight="1">
      <c r="R720" s="30"/>
    </row>
    <row r="721" spans="18:18" ht="15.75" customHeight="1">
      <c r="R721" s="30"/>
    </row>
    <row r="722" spans="18:18" ht="15.75" customHeight="1">
      <c r="R722" s="30"/>
    </row>
    <row r="723" spans="18:18" ht="15.75" customHeight="1">
      <c r="R723" s="30"/>
    </row>
    <row r="724" spans="18:18" ht="15.75" customHeight="1">
      <c r="R724" s="30"/>
    </row>
    <row r="725" spans="18:18" ht="15.75" customHeight="1">
      <c r="R725" s="30"/>
    </row>
    <row r="726" spans="18:18" ht="15.75" customHeight="1">
      <c r="R726" s="30"/>
    </row>
    <row r="727" spans="18:18" ht="15.75" customHeight="1">
      <c r="R727" s="30"/>
    </row>
    <row r="728" spans="18:18" ht="15.75" customHeight="1">
      <c r="R728" s="30"/>
    </row>
    <row r="729" spans="18:18" ht="15.75" customHeight="1">
      <c r="R729" s="30"/>
    </row>
    <row r="730" spans="18:18" ht="15.75" customHeight="1">
      <c r="R730" s="30"/>
    </row>
    <row r="731" spans="18:18" ht="15.75" customHeight="1">
      <c r="R731" s="30"/>
    </row>
    <row r="732" spans="18:18" ht="15.75" customHeight="1">
      <c r="R732" s="30"/>
    </row>
    <row r="733" spans="18:18" ht="15.75" customHeight="1">
      <c r="R733" s="30"/>
    </row>
    <row r="734" spans="18:18" ht="15.75" customHeight="1">
      <c r="R734" s="30"/>
    </row>
    <row r="735" spans="18:18" ht="15.75" customHeight="1">
      <c r="R735" s="30"/>
    </row>
    <row r="736" spans="18:18" ht="15.75" customHeight="1">
      <c r="R736" s="30"/>
    </row>
    <row r="737" spans="18:18" ht="15.75" customHeight="1">
      <c r="R737" s="30"/>
    </row>
    <row r="738" spans="18:18" ht="15.75" customHeight="1">
      <c r="R738" s="30"/>
    </row>
    <row r="739" spans="18:18" ht="15.75" customHeight="1">
      <c r="R739" s="30"/>
    </row>
    <row r="740" spans="18:18" ht="15.75" customHeight="1">
      <c r="R740" s="30"/>
    </row>
    <row r="741" spans="18:18" ht="15.75" customHeight="1">
      <c r="R741" s="30"/>
    </row>
    <row r="742" spans="18:18" ht="15.75" customHeight="1">
      <c r="R742" s="30"/>
    </row>
    <row r="743" spans="18:18" ht="15.75" customHeight="1">
      <c r="R743" s="30"/>
    </row>
    <row r="744" spans="18:18" ht="15.75" customHeight="1">
      <c r="R744" s="30"/>
    </row>
    <row r="745" spans="18:18" ht="15.75" customHeight="1">
      <c r="R745" s="30"/>
    </row>
    <row r="746" spans="18:18" ht="15.75" customHeight="1">
      <c r="R746" s="30"/>
    </row>
    <row r="747" spans="18:18" ht="15.75" customHeight="1">
      <c r="R747" s="30"/>
    </row>
    <row r="748" spans="18:18" ht="15.75" customHeight="1">
      <c r="R748" s="30"/>
    </row>
    <row r="749" spans="18:18" ht="15.75" customHeight="1">
      <c r="R749" s="30"/>
    </row>
    <row r="750" spans="18:18" ht="15.75" customHeight="1">
      <c r="R750" s="30"/>
    </row>
    <row r="751" spans="18:18" ht="15.75" customHeight="1">
      <c r="R751" s="30"/>
    </row>
    <row r="752" spans="18:18" ht="15.75" customHeight="1">
      <c r="R752" s="30"/>
    </row>
    <row r="753" spans="18:18" ht="15.75" customHeight="1">
      <c r="R753" s="30"/>
    </row>
    <row r="754" spans="18:18" ht="15.75" customHeight="1">
      <c r="R754" s="30"/>
    </row>
    <row r="755" spans="18:18" ht="15.75" customHeight="1">
      <c r="R755" s="30"/>
    </row>
    <row r="756" spans="18:18" ht="15.75" customHeight="1">
      <c r="R756" s="30"/>
    </row>
    <row r="757" spans="18:18" ht="15.75" customHeight="1">
      <c r="R757" s="30"/>
    </row>
    <row r="758" spans="18:18" ht="15.75" customHeight="1">
      <c r="R758" s="30"/>
    </row>
    <row r="759" spans="18:18" ht="15.75" customHeight="1">
      <c r="R759" s="30"/>
    </row>
    <row r="760" spans="18:18" ht="15.75" customHeight="1">
      <c r="R760" s="30"/>
    </row>
    <row r="761" spans="18:18" ht="15.75" customHeight="1">
      <c r="R761" s="30"/>
    </row>
    <row r="762" spans="18:18" ht="15.75" customHeight="1">
      <c r="R762" s="30"/>
    </row>
    <row r="763" spans="18:18" ht="15.75" customHeight="1">
      <c r="R763" s="30"/>
    </row>
    <row r="764" spans="18:18" ht="15.75" customHeight="1">
      <c r="R764" s="30"/>
    </row>
    <row r="765" spans="18:18" ht="15.75" customHeight="1">
      <c r="R765" s="30"/>
    </row>
    <row r="766" spans="18:18" ht="15.75" customHeight="1">
      <c r="R766" s="30"/>
    </row>
    <row r="767" spans="18:18" ht="15.75" customHeight="1">
      <c r="R767" s="30"/>
    </row>
    <row r="768" spans="18:18" ht="15.75" customHeight="1">
      <c r="R768" s="30"/>
    </row>
    <row r="769" spans="18:18" ht="15.75" customHeight="1">
      <c r="R769" s="30"/>
    </row>
    <row r="770" spans="18:18" ht="15.75" customHeight="1">
      <c r="R770" s="30"/>
    </row>
    <row r="771" spans="18:18" ht="15.75" customHeight="1">
      <c r="R771" s="30"/>
    </row>
    <row r="772" spans="18:18" ht="15.75" customHeight="1">
      <c r="R772" s="30"/>
    </row>
    <row r="773" spans="18:18" ht="15.75" customHeight="1">
      <c r="R773" s="30"/>
    </row>
    <row r="774" spans="18:18" ht="15.75" customHeight="1">
      <c r="R774" s="30"/>
    </row>
    <row r="775" spans="18:18" ht="15.75" customHeight="1">
      <c r="R775" s="30"/>
    </row>
    <row r="776" spans="18:18" ht="15.75" customHeight="1">
      <c r="R776" s="30"/>
    </row>
    <row r="777" spans="18:18" ht="15.75" customHeight="1">
      <c r="R777" s="30"/>
    </row>
    <row r="778" spans="18:18" ht="15.75" customHeight="1">
      <c r="R778" s="30"/>
    </row>
    <row r="779" spans="18:18" ht="15.75" customHeight="1">
      <c r="R779" s="30"/>
    </row>
    <row r="780" spans="18:18" ht="15.75" customHeight="1">
      <c r="R780" s="30"/>
    </row>
    <row r="781" spans="18:18" ht="15.75" customHeight="1">
      <c r="R781" s="30"/>
    </row>
    <row r="782" spans="18:18" ht="15.75" customHeight="1">
      <c r="R782" s="30"/>
    </row>
    <row r="783" spans="18:18" ht="15.75" customHeight="1">
      <c r="R783" s="30"/>
    </row>
    <row r="784" spans="18:18" ht="15.75" customHeight="1">
      <c r="R784" s="30"/>
    </row>
    <row r="785" spans="18:18" ht="15.75" customHeight="1">
      <c r="R785" s="30"/>
    </row>
    <row r="786" spans="18:18" ht="15.75" customHeight="1">
      <c r="R786" s="30"/>
    </row>
    <row r="787" spans="18:18" ht="15.75" customHeight="1">
      <c r="R787" s="30"/>
    </row>
    <row r="788" spans="18:18" ht="15.75" customHeight="1">
      <c r="R788" s="30"/>
    </row>
    <row r="789" spans="18:18" ht="15.75" customHeight="1">
      <c r="R789" s="30"/>
    </row>
    <row r="790" spans="18:18" ht="15.75" customHeight="1">
      <c r="R790" s="30"/>
    </row>
    <row r="791" spans="18:18" ht="15.75" customHeight="1">
      <c r="R791" s="30"/>
    </row>
    <row r="792" spans="18:18" ht="15.75" customHeight="1">
      <c r="R792" s="30"/>
    </row>
    <row r="793" spans="18:18" ht="15.75" customHeight="1">
      <c r="R793" s="30"/>
    </row>
    <row r="794" spans="18:18" ht="15.75" customHeight="1">
      <c r="R794" s="30"/>
    </row>
    <row r="795" spans="18:18" ht="15.75" customHeight="1">
      <c r="R795" s="30"/>
    </row>
    <row r="796" spans="18:18" ht="15.75" customHeight="1">
      <c r="R796" s="30"/>
    </row>
    <row r="797" spans="18:18" ht="15.75" customHeight="1">
      <c r="R797" s="30"/>
    </row>
    <row r="798" spans="18:18" ht="15.75" customHeight="1">
      <c r="R798" s="30"/>
    </row>
    <row r="799" spans="18:18" ht="15.75" customHeight="1">
      <c r="R799" s="30"/>
    </row>
    <row r="800" spans="18:18" ht="15.75" customHeight="1">
      <c r="R800" s="30"/>
    </row>
    <row r="801" spans="18:18" ht="15.75" customHeight="1">
      <c r="R801" s="30"/>
    </row>
    <row r="802" spans="18:18" ht="15.75" customHeight="1">
      <c r="R802" s="30"/>
    </row>
    <row r="803" spans="18:18" ht="15.75" customHeight="1">
      <c r="R803" s="30"/>
    </row>
    <row r="804" spans="18:18" ht="15.75" customHeight="1">
      <c r="R804" s="30"/>
    </row>
    <row r="805" spans="18:18" ht="15.75" customHeight="1">
      <c r="R805" s="30"/>
    </row>
    <row r="806" spans="18:18" ht="15.75" customHeight="1">
      <c r="R806" s="30"/>
    </row>
    <row r="807" spans="18:18" ht="15.75" customHeight="1">
      <c r="R807" s="30"/>
    </row>
    <row r="808" spans="18:18" ht="15.75" customHeight="1">
      <c r="R808" s="30"/>
    </row>
    <row r="809" spans="18:18" ht="15.75" customHeight="1">
      <c r="R809" s="30"/>
    </row>
    <row r="810" spans="18:18" ht="15.75" customHeight="1">
      <c r="R810" s="30"/>
    </row>
    <row r="811" spans="18:18" ht="15.75" customHeight="1">
      <c r="R811" s="30"/>
    </row>
    <row r="812" spans="18:18" ht="15.75" customHeight="1">
      <c r="R812" s="30"/>
    </row>
    <row r="813" spans="18:18" ht="15.75" customHeight="1">
      <c r="R813" s="30"/>
    </row>
    <row r="814" spans="18:18" ht="15.75" customHeight="1">
      <c r="R814" s="30"/>
    </row>
    <row r="815" spans="18:18" ht="15.75" customHeight="1">
      <c r="R815" s="30"/>
    </row>
    <row r="816" spans="18:18" ht="15.75" customHeight="1">
      <c r="R816" s="30"/>
    </row>
    <row r="817" spans="18:18" ht="15.75" customHeight="1">
      <c r="R817" s="30"/>
    </row>
    <row r="818" spans="18:18" ht="15.75" customHeight="1">
      <c r="R818" s="30"/>
    </row>
    <row r="819" spans="18:18" ht="15.75" customHeight="1">
      <c r="R819" s="30"/>
    </row>
    <row r="820" spans="18:18" ht="15.75" customHeight="1">
      <c r="R820" s="30"/>
    </row>
    <row r="821" spans="18:18" ht="15.75" customHeight="1">
      <c r="R821" s="30"/>
    </row>
    <row r="822" spans="18:18" ht="15.75" customHeight="1">
      <c r="R822" s="30"/>
    </row>
    <row r="823" spans="18:18" ht="15.75" customHeight="1">
      <c r="R823" s="30"/>
    </row>
    <row r="824" spans="18:18" ht="15.75" customHeight="1">
      <c r="R824" s="30"/>
    </row>
    <row r="825" spans="18:18" ht="15.75" customHeight="1">
      <c r="R825" s="30"/>
    </row>
    <row r="826" spans="18:18" ht="15.75" customHeight="1">
      <c r="R826" s="30"/>
    </row>
    <row r="827" spans="18:18" ht="15.75" customHeight="1">
      <c r="R827" s="30"/>
    </row>
    <row r="828" spans="18:18" ht="15.75" customHeight="1">
      <c r="R828" s="30"/>
    </row>
    <row r="829" spans="18:18" ht="15.75" customHeight="1">
      <c r="R829" s="30"/>
    </row>
    <row r="830" spans="18:18" ht="15.75" customHeight="1">
      <c r="R830" s="30"/>
    </row>
    <row r="831" spans="18:18" ht="15.75" customHeight="1">
      <c r="R831" s="30"/>
    </row>
    <row r="832" spans="18:18" ht="15.75" customHeight="1">
      <c r="R832" s="30"/>
    </row>
    <row r="833" spans="18:18" ht="15.75" customHeight="1">
      <c r="R833" s="30"/>
    </row>
    <row r="834" spans="18:18" ht="15.75" customHeight="1">
      <c r="R834" s="30"/>
    </row>
    <row r="835" spans="18:18" ht="15.75" customHeight="1">
      <c r="R835" s="30"/>
    </row>
    <row r="836" spans="18:18" ht="15.75" customHeight="1">
      <c r="R836" s="30"/>
    </row>
    <row r="837" spans="18:18" ht="15.75" customHeight="1">
      <c r="R837" s="30"/>
    </row>
    <row r="838" spans="18:18" ht="15.75" customHeight="1">
      <c r="R838" s="30"/>
    </row>
    <row r="839" spans="18:18" ht="15.75" customHeight="1">
      <c r="R839" s="30"/>
    </row>
    <row r="840" spans="18:18" ht="15.75" customHeight="1">
      <c r="R840" s="30"/>
    </row>
    <row r="841" spans="18:18" ht="15.75" customHeight="1">
      <c r="R841" s="30"/>
    </row>
    <row r="842" spans="18:18" ht="15.75" customHeight="1">
      <c r="R842" s="30"/>
    </row>
    <row r="843" spans="18:18" ht="15.75" customHeight="1">
      <c r="R843" s="30"/>
    </row>
    <row r="844" spans="18:18" ht="15.75" customHeight="1">
      <c r="R844" s="30"/>
    </row>
    <row r="845" spans="18:18" ht="15.75" customHeight="1">
      <c r="R845" s="30"/>
    </row>
    <row r="846" spans="18:18" ht="15.75" customHeight="1">
      <c r="R846" s="30"/>
    </row>
    <row r="847" spans="18:18" ht="15.75" customHeight="1">
      <c r="R847" s="30"/>
    </row>
    <row r="848" spans="18:18" ht="15.75" customHeight="1">
      <c r="R848" s="30"/>
    </row>
    <row r="849" spans="18:18" ht="15.75" customHeight="1">
      <c r="R849" s="30"/>
    </row>
    <row r="850" spans="18:18" ht="15.75" customHeight="1">
      <c r="R850" s="30"/>
    </row>
    <row r="851" spans="18:18" ht="15.75" customHeight="1">
      <c r="R851" s="30"/>
    </row>
    <row r="852" spans="18:18" ht="15.75" customHeight="1">
      <c r="R852" s="30"/>
    </row>
    <row r="853" spans="18:18" ht="15.75" customHeight="1">
      <c r="R853" s="30"/>
    </row>
    <row r="854" spans="18:18" ht="15.75" customHeight="1">
      <c r="R854" s="30"/>
    </row>
    <row r="855" spans="18:18" ht="15.75" customHeight="1">
      <c r="R855" s="30"/>
    </row>
    <row r="856" spans="18:18" ht="15.75" customHeight="1">
      <c r="R856" s="30"/>
    </row>
    <row r="857" spans="18:18" ht="15.75" customHeight="1">
      <c r="R857" s="30"/>
    </row>
    <row r="858" spans="18:18" ht="15.75" customHeight="1">
      <c r="R858" s="30"/>
    </row>
    <row r="859" spans="18:18" ht="15.75" customHeight="1">
      <c r="R859" s="30"/>
    </row>
    <row r="860" spans="18:18" ht="15.75" customHeight="1">
      <c r="R860" s="30"/>
    </row>
    <row r="861" spans="18:18" ht="15.75" customHeight="1">
      <c r="R861" s="30"/>
    </row>
    <row r="862" spans="18:18" ht="15.75" customHeight="1">
      <c r="R862" s="30"/>
    </row>
    <row r="863" spans="18:18" ht="15.75" customHeight="1">
      <c r="R863" s="30"/>
    </row>
    <row r="864" spans="18:18" ht="15.75" customHeight="1">
      <c r="R864" s="30"/>
    </row>
    <row r="865" spans="18:18" ht="15.75" customHeight="1">
      <c r="R865" s="30"/>
    </row>
    <row r="866" spans="18:18" ht="15.75" customHeight="1">
      <c r="R866" s="30"/>
    </row>
    <row r="867" spans="18:18" ht="15.75" customHeight="1">
      <c r="R867" s="30"/>
    </row>
    <row r="868" spans="18:18" ht="15.75" customHeight="1">
      <c r="R868" s="30"/>
    </row>
    <row r="869" spans="18:18" ht="15.75" customHeight="1">
      <c r="R869" s="30"/>
    </row>
    <row r="870" spans="18:18" ht="15.75" customHeight="1">
      <c r="R870" s="30"/>
    </row>
    <row r="871" spans="18:18" ht="15.75" customHeight="1">
      <c r="R871" s="30"/>
    </row>
    <row r="872" spans="18:18" ht="15.75" customHeight="1">
      <c r="R872" s="30"/>
    </row>
    <row r="873" spans="18:18" ht="15.75" customHeight="1">
      <c r="R873" s="30"/>
    </row>
    <row r="874" spans="18:18" ht="15.75" customHeight="1">
      <c r="R874" s="30"/>
    </row>
    <row r="875" spans="18:18" ht="15.75" customHeight="1">
      <c r="R875" s="30"/>
    </row>
    <row r="876" spans="18:18" ht="15.75" customHeight="1">
      <c r="R876" s="30"/>
    </row>
    <row r="877" spans="18:18" ht="15.75" customHeight="1">
      <c r="R877" s="30"/>
    </row>
    <row r="878" spans="18:18" ht="15.75" customHeight="1">
      <c r="R878" s="30"/>
    </row>
    <row r="879" spans="18:18" ht="15.75" customHeight="1">
      <c r="R879" s="30"/>
    </row>
    <row r="880" spans="18:18" ht="15.75" customHeight="1">
      <c r="R880" s="30"/>
    </row>
    <row r="881" spans="18:18" ht="15.75" customHeight="1">
      <c r="R881" s="30"/>
    </row>
    <row r="882" spans="18:18" ht="15.75" customHeight="1">
      <c r="R882" s="30"/>
    </row>
    <row r="883" spans="18:18" ht="15.75" customHeight="1">
      <c r="R883" s="30"/>
    </row>
    <row r="884" spans="18:18" ht="15.75" customHeight="1">
      <c r="R884" s="30"/>
    </row>
    <row r="885" spans="18:18" ht="15.75" customHeight="1">
      <c r="R885" s="30"/>
    </row>
    <row r="886" spans="18:18" ht="15.75" customHeight="1">
      <c r="R886" s="30"/>
    </row>
    <row r="887" spans="18:18" ht="15.75" customHeight="1">
      <c r="R887" s="30"/>
    </row>
    <row r="888" spans="18:18" ht="15.75" customHeight="1">
      <c r="R888" s="30"/>
    </row>
    <row r="889" spans="18:18" ht="15.75" customHeight="1">
      <c r="R889" s="30"/>
    </row>
    <row r="890" spans="18:18" ht="15.75" customHeight="1">
      <c r="R890" s="30"/>
    </row>
    <row r="891" spans="18:18" ht="15.75" customHeight="1">
      <c r="R891" s="30"/>
    </row>
    <row r="892" spans="18:18" ht="15.75" customHeight="1">
      <c r="R892" s="30"/>
    </row>
    <row r="893" spans="18:18" ht="15.75" customHeight="1">
      <c r="R893" s="30"/>
    </row>
    <row r="894" spans="18:18" ht="15.75" customHeight="1">
      <c r="R894" s="30"/>
    </row>
    <row r="895" spans="18:18" ht="15.75" customHeight="1">
      <c r="R895" s="30"/>
    </row>
    <row r="896" spans="18:18" ht="15.75" customHeight="1">
      <c r="R896" s="30"/>
    </row>
    <row r="897" spans="18:18" ht="15.75" customHeight="1">
      <c r="R897" s="30"/>
    </row>
    <row r="898" spans="18:18" ht="15.75" customHeight="1">
      <c r="R898" s="30"/>
    </row>
    <row r="899" spans="18:18" ht="15.75" customHeight="1">
      <c r="R899" s="30"/>
    </row>
    <row r="900" spans="18:18" ht="15.75" customHeight="1">
      <c r="R900" s="30"/>
    </row>
    <row r="901" spans="18:18" ht="15.75" customHeight="1">
      <c r="R901" s="30"/>
    </row>
    <row r="902" spans="18:18" ht="15.75" customHeight="1">
      <c r="R902" s="30"/>
    </row>
    <row r="903" spans="18:18" ht="15.75" customHeight="1">
      <c r="R903" s="30"/>
    </row>
    <row r="904" spans="18:18" ht="15.75" customHeight="1">
      <c r="R904" s="30"/>
    </row>
    <row r="905" spans="18:18" ht="15.75" customHeight="1">
      <c r="R905" s="30"/>
    </row>
    <row r="906" spans="18:18" ht="15.75" customHeight="1">
      <c r="R906" s="30"/>
    </row>
    <row r="907" spans="18:18" ht="15.75" customHeight="1">
      <c r="R907" s="30"/>
    </row>
    <row r="908" spans="18:18" ht="15.75" customHeight="1">
      <c r="R908" s="30"/>
    </row>
    <row r="909" spans="18:18" ht="15.75" customHeight="1">
      <c r="R909" s="30"/>
    </row>
    <row r="910" spans="18:18" ht="15.75" customHeight="1">
      <c r="R910" s="30"/>
    </row>
    <row r="911" spans="18:18" ht="15.75" customHeight="1">
      <c r="R911" s="30"/>
    </row>
    <row r="912" spans="18:18" ht="15.75" customHeight="1">
      <c r="R912" s="30"/>
    </row>
    <row r="913" spans="18:18" ht="15.75" customHeight="1">
      <c r="R913" s="30"/>
    </row>
    <row r="914" spans="18:18" ht="15.75" customHeight="1">
      <c r="R914" s="30"/>
    </row>
    <row r="915" spans="18:18" ht="15.75" customHeight="1">
      <c r="R915" s="30"/>
    </row>
    <row r="916" spans="18:18" ht="15.75" customHeight="1">
      <c r="R916" s="30"/>
    </row>
    <row r="917" spans="18:18" ht="15.75" customHeight="1">
      <c r="R917" s="30"/>
    </row>
    <row r="918" spans="18:18" ht="15.75" customHeight="1">
      <c r="R918" s="30"/>
    </row>
    <row r="919" spans="18:18" ht="15.75" customHeight="1">
      <c r="R919" s="30"/>
    </row>
    <row r="920" spans="18:18" ht="15.75" customHeight="1">
      <c r="R920" s="30"/>
    </row>
    <row r="921" spans="18:18" ht="15.75" customHeight="1">
      <c r="R921" s="30"/>
    </row>
    <row r="922" spans="18:18" ht="15.75" customHeight="1">
      <c r="R922" s="30"/>
    </row>
    <row r="923" spans="18:18" ht="15.75" customHeight="1">
      <c r="R923" s="30"/>
    </row>
    <row r="924" spans="18:18" ht="15.75" customHeight="1">
      <c r="R924" s="30"/>
    </row>
    <row r="925" spans="18:18" ht="15.75" customHeight="1">
      <c r="R925" s="30"/>
    </row>
    <row r="926" spans="18:18" ht="15.75" customHeight="1">
      <c r="R926" s="30"/>
    </row>
    <row r="927" spans="18:18" ht="15.75" customHeight="1">
      <c r="R927" s="30"/>
    </row>
    <row r="928" spans="18:18" ht="15.75" customHeight="1">
      <c r="R928" s="30"/>
    </row>
    <row r="929" spans="18:18" ht="15.75" customHeight="1">
      <c r="R929" s="30"/>
    </row>
    <row r="930" spans="18:18" ht="15.75" customHeight="1">
      <c r="R930" s="30"/>
    </row>
    <row r="931" spans="18:18" ht="15.75" customHeight="1">
      <c r="R931" s="30"/>
    </row>
    <row r="932" spans="18:18" ht="15.75" customHeight="1">
      <c r="R932" s="30"/>
    </row>
    <row r="933" spans="18:18" ht="15.75" customHeight="1">
      <c r="R933" s="30"/>
    </row>
    <row r="934" spans="18:18" ht="15.75" customHeight="1">
      <c r="R934" s="30"/>
    </row>
    <row r="935" spans="18:18" ht="15.75" customHeight="1">
      <c r="R935" s="30"/>
    </row>
    <row r="936" spans="18:18" ht="15.75" customHeight="1">
      <c r="R936" s="30"/>
    </row>
    <row r="937" spans="18:18" ht="15.75" customHeight="1">
      <c r="R937" s="30"/>
    </row>
    <row r="938" spans="18:18" ht="15.75" customHeight="1">
      <c r="R938" s="30"/>
    </row>
    <row r="939" spans="18:18" ht="15.75" customHeight="1">
      <c r="R939" s="30"/>
    </row>
    <row r="940" spans="18:18" ht="15.75" customHeight="1">
      <c r="R940" s="30"/>
    </row>
    <row r="941" spans="18:18" ht="15.75" customHeight="1">
      <c r="R941" s="30"/>
    </row>
    <row r="942" spans="18:18" ht="15.75" customHeight="1">
      <c r="R942" s="30"/>
    </row>
    <row r="943" spans="18:18" ht="15.75" customHeight="1">
      <c r="R943" s="30"/>
    </row>
    <row r="944" spans="18:18" ht="15.75" customHeight="1">
      <c r="R944" s="30"/>
    </row>
    <row r="945" spans="18:18" ht="15.75" customHeight="1">
      <c r="R945" s="30"/>
    </row>
    <row r="946" spans="18:18" ht="15.75" customHeight="1">
      <c r="R946" s="30"/>
    </row>
    <row r="947" spans="18:18" ht="15.75" customHeight="1">
      <c r="R947" s="30"/>
    </row>
    <row r="948" spans="18:18" ht="15.75" customHeight="1">
      <c r="R948" s="30"/>
    </row>
    <row r="949" spans="18:18" ht="15.75" customHeight="1">
      <c r="R949" s="30"/>
    </row>
    <row r="950" spans="18:18" ht="15.75" customHeight="1">
      <c r="R950" s="30"/>
    </row>
    <row r="951" spans="18:18" ht="15.75" customHeight="1">
      <c r="R951" s="30"/>
    </row>
    <row r="952" spans="18:18" ht="15.75" customHeight="1">
      <c r="R952" s="30"/>
    </row>
    <row r="953" spans="18:18" ht="15.75" customHeight="1">
      <c r="R953" s="30"/>
    </row>
    <row r="954" spans="18:18" ht="15.75" customHeight="1">
      <c r="R954" s="30"/>
    </row>
    <row r="955" spans="18:18" ht="15.75" customHeight="1">
      <c r="R955" s="30"/>
    </row>
    <row r="956" spans="18:18" ht="15.75" customHeight="1">
      <c r="R956" s="30"/>
    </row>
    <row r="957" spans="18:18" ht="15.75" customHeight="1">
      <c r="R957" s="30"/>
    </row>
    <row r="958" spans="18:18" ht="15.75" customHeight="1">
      <c r="R958" s="30"/>
    </row>
    <row r="959" spans="18:18" ht="15.75" customHeight="1">
      <c r="R959" s="30"/>
    </row>
    <row r="960" spans="18:18" ht="15.75" customHeight="1">
      <c r="R960" s="30"/>
    </row>
    <row r="961" spans="18:18" ht="15.75" customHeight="1">
      <c r="R961" s="30"/>
    </row>
    <row r="962" spans="18:18" ht="15.75" customHeight="1">
      <c r="R962" s="30"/>
    </row>
    <row r="963" spans="18:18" ht="15.75" customHeight="1">
      <c r="R963" s="30"/>
    </row>
    <row r="964" spans="18:18" ht="15.75" customHeight="1">
      <c r="R964" s="30"/>
    </row>
    <row r="965" spans="18:18" ht="15.75" customHeight="1">
      <c r="R965" s="30"/>
    </row>
    <row r="966" spans="18:18" ht="15.75" customHeight="1">
      <c r="R966" s="30"/>
    </row>
    <row r="967" spans="18:18" ht="15.75" customHeight="1">
      <c r="R967" s="30"/>
    </row>
    <row r="968" spans="18:18" ht="15.75" customHeight="1">
      <c r="R968" s="30"/>
    </row>
    <row r="969" spans="18:18" ht="15.75" customHeight="1">
      <c r="R969" s="30"/>
    </row>
    <row r="970" spans="18:18" ht="15.75" customHeight="1">
      <c r="R970" s="30"/>
    </row>
    <row r="971" spans="18:18" ht="15.75" customHeight="1">
      <c r="R971" s="30"/>
    </row>
    <row r="972" spans="18:18" ht="15.75" customHeight="1">
      <c r="R972" s="30"/>
    </row>
    <row r="973" spans="18:18" ht="15.75" customHeight="1">
      <c r="R973" s="30"/>
    </row>
    <row r="974" spans="18:18" ht="15.75" customHeight="1">
      <c r="R974" s="30"/>
    </row>
    <row r="975" spans="18:18" ht="15.75" customHeight="1">
      <c r="R975" s="30"/>
    </row>
    <row r="976" spans="18:18" ht="15.75" customHeight="1">
      <c r="R976" s="30"/>
    </row>
    <row r="977" spans="18:18" ht="15.75" customHeight="1">
      <c r="R977" s="30"/>
    </row>
    <row r="978" spans="18:18" ht="15.75" customHeight="1">
      <c r="R978" s="30"/>
    </row>
    <row r="979" spans="18:18" ht="15.75" customHeight="1">
      <c r="R979" s="30"/>
    </row>
    <row r="980" spans="18:18" ht="15.75" customHeight="1">
      <c r="R980" s="30"/>
    </row>
    <row r="981" spans="18:18" ht="15.75" customHeight="1">
      <c r="R981" s="30"/>
    </row>
    <row r="982" spans="18:18" ht="15.75" customHeight="1">
      <c r="R982" s="30"/>
    </row>
    <row r="983" spans="18:18" ht="15.75" customHeight="1">
      <c r="R983" s="30"/>
    </row>
    <row r="984" spans="18:18" ht="15.75" customHeight="1">
      <c r="R984" s="30"/>
    </row>
    <row r="985" spans="18:18" ht="15.75" customHeight="1">
      <c r="R985" s="30"/>
    </row>
    <row r="986" spans="18:18" ht="15.75" customHeight="1">
      <c r="R986" s="30"/>
    </row>
    <row r="987" spans="18:18" ht="15.75" customHeight="1">
      <c r="R987" s="30"/>
    </row>
    <row r="988" spans="18:18" ht="15.75" customHeight="1">
      <c r="R988" s="30"/>
    </row>
    <row r="989" spans="18:18" ht="15.75" customHeight="1">
      <c r="R989" s="30"/>
    </row>
    <row r="990" spans="18:18" ht="15.75" customHeight="1">
      <c r="R990" s="30"/>
    </row>
    <row r="991" spans="18:18" ht="15.75" customHeight="1">
      <c r="R991" s="30"/>
    </row>
    <row r="992" spans="18:18" ht="15.75" customHeight="1">
      <c r="R992" s="30"/>
    </row>
    <row r="993" spans="18:18" ht="15.75" customHeight="1">
      <c r="R993" s="30"/>
    </row>
    <row r="994" spans="18:18" ht="15.75" customHeight="1">
      <c r="R994" s="30"/>
    </row>
    <row r="995" spans="18:18" ht="15.75" customHeight="1">
      <c r="R995" s="30"/>
    </row>
    <row r="996" spans="18:18" ht="15.75" customHeight="1">
      <c r="R996" s="30"/>
    </row>
    <row r="997" spans="18:18" ht="15.75" customHeight="1">
      <c r="R997" s="30"/>
    </row>
    <row r="998" spans="18:18" ht="15.75" customHeight="1">
      <c r="R998" s="30"/>
    </row>
    <row r="999" spans="18:18" ht="15.75" customHeight="1">
      <c r="R999" s="30"/>
    </row>
    <row r="1000" spans="18:18" ht="15.75" customHeight="1">
      <c r="R1000" s="3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2.6640625" defaultRowHeight="15" customHeight="1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8.6640625" customWidth="1"/>
    <col min="6" max="6" width="9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16.33203125" customWidth="1"/>
    <col min="16" max="16" width="10" customWidth="1"/>
    <col min="17" max="18" width="7.33203125" customWidth="1"/>
    <col min="19" max="19" width="7.1640625" customWidth="1"/>
    <col min="20" max="20" width="13.1640625" customWidth="1"/>
    <col min="21" max="21" width="19.1640625" customWidth="1"/>
    <col min="22" max="22" width="71.164062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6640625" customWidth="1"/>
    <col min="32" max="32" width="10.1640625" customWidth="1"/>
    <col min="33" max="33" width="8.83203125" customWidth="1"/>
  </cols>
  <sheetData>
    <row r="1" spans="1:33" ht="18.75" customHeight="1">
      <c r="A1" s="46" t="str">
        <f ca="1">IFERROR(__xludf.DUMMYFUNCTION("IFERROR(VLOOKUP(B2,IMPORTRANGE(""https://docs.google.com/spreadsheets/d/1x0DhHglkXKoEBOD2MBsuK_EyIr1ouxD2ftIpqOYFa-k/edit?usp=sharing"",""Ubiquitty-SKU-Specific Info!B1:BJ5000""),3,FALSE),"""")"),"Yellow Extension Cord - 12/3 Gauge, 25ft w/Power Block")</f>
        <v>Yellow Extension Cord - 12/3 Gauge, 25ft w/Power Block</v>
      </c>
      <c r="B1" s="47"/>
      <c r="C1" s="48" t="s">
        <v>0</v>
      </c>
      <c r="D1" s="50" t="s">
        <v>1</v>
      </c>
      <c r="E1" s="50" t="s">
        <v>2</v>
      </c>
      <c r="F1" s="52" t="s">
        <v>3</v>
      </c>
      <c r="G1" s="52" t="s">
        <v>4</v>
      </c>
      <c r="H1" s="53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58" t="s">
        <v>10</v>
      </c>
      <c r="N1" s="59" t="s">
        <v>11</v>
      </c>
      <c r="O1" s="50" t="s">
        <v>12</v>
      </c>
      <c r="P1" s="50" t="s">
        <v>13</v>
      </c>
      <c r="Q1" s="57" t="s">
        <v>14</v>
      </c>
      <c r="R1" s="57" t="s">
        <v>15</v>
      </c>
      <c r="S1" s="60" t="s">
        <v>16</v>
      </c>
      <c r="T1" s="62" t="s">
        <v>2006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Info!B1:BJ5000""),2,FALSE),"""")"),"B073ZN541L")</f>
        <v>B073ZN541L</v>
      </c>
      <c r="B2" s="3" t="s">
        <v>1448</v>
      </c>
      <c r="C2" s="49"/>
      <c r="D2" s="49"/>
      <c r="E2" s="51"/>
      <c r="F2" s="49"/>
      <c r="G2" s="49"/>
      <c r="H2" s="54"/>
      <c r="I2" s="49"/>
      <c r="J2" s="49"/>
      <c r="K2" s="54"/>
      <c r="L2" s="54"/>
      <c r="M2" s="54"/>
      <c r="N2" s="49"/>
      <c r="O2" s="49"/>
      <c r="P2" s="51"/>
      <c r="Q2" s="49"/>
      <c r="R2" s="49"/>
      <c r="S2" s="61"/>
      <c r="T2" s="47"/>
      <c r="U2" s="63"/>
      <c r="V2" s="63"/>
      <c r="W2" s="47"/>
      <c r="X2" s="47"/>
      <c r="Y2" s="47"/>
      <c r="Z2" s="47"/>
      <c r="AA2" s="63"/>
      <c r="AB2" s="63"/>
      <c r="AC2" s="63"/>
      <c r="AD2" s="63"/>
      <c r="AE2" s="47"/>
      <c r="AF2" s="47"/>
      <c r="AG2" s="47"/>
    </row>
    <row r="3" spans="1:33" ht="140.25" customHeight="1">
      <c r="A3" s="55" t="s">
        <v>31</v>
      </c>
      <c r="B3" s="56"/>
      <c r="C3" s="4">
        <f>((AE32+AF32)/0.85)*-1</f>
        <v>22.053994482352945</v>
      </c>
      <c r="D3" s="5">
        <f>SUM(D4:D99765)</f>
        <v>1094</v>
      </c>
      <c r="E3" s="5"/>
      <c r="F3" s="6">
        <f t="shared" ref="F3:G3" si="0">SUM(F4:F99765)</f>
        <v>33158.55999999999</v>
      </c>
      <c r="G3" s="6">
        <f t="shared" si="0"/>
        <v>-691.03000000000009</v>
      </c>
      <c r="H3" s="7">
        <f t="shared" ref="H3:H32" si="1">G3/F3*-1</f>
        <v>2.0840169175018467E-2</v>
      </c>
      <c r="I3" s="8">
        <f t="shared" ref="I3:I32" si="2">J3/F3</f>
        <v>0.2576670650994477</v>
      </c>
      <c r="J3" s="6">
        <f>SUM(J4:J99765)</f>
        <v>8543.8688381239408</v>
      </c>
      <c r="K3" s="6">
        <f t="shared" ref="K3:K32" si="3">J3/D3</f>
        <v>7.8097521372248089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Sheet!a1:g5000""),2,FALSE),"""")"),"16 - March
16 - April
16 - May
16 - June
16 - July
16 - Aug
23.5 - Sept
11.5 - Oct
9.5 - Nov
5 - Dec
17 - Jan
16 - Feb")</f>
        <v>16 - March
16 - April
16 - May
16 - June
16 - July
16 - Aug
23.5 - Sept
11.5 - Oct
9.5 - Nov
5 - Dec
17 - Jan
16 -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QTY-16")</f>
        <v>Del QTY-16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QTY-0")</f>
        <v>US QTY-0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88</v>
      </c>
      <c r="X3" s="7">
        <f>W3/D3</f>
        <v>8.0438756855575874E-2</v>
      </c>
      <c r="Y3" s="6"/>
      <c r="Z3" s="5"/>
      <c r="AA3" s="5"/>
      <c r="AB3" s="5"/>
      <c r="AC3" s="5"/>
      <c r="AD3" s="6">
        <f>SUM(AD4:AD99765)</f>
        <v>-171.96455726963842</v>
      </c>
      <c r="AE3" s="6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Info!B2:BZ3000""),37,FALSE)),"""")*-1"),-12.76589531)</f>
        <v>-12.765895309999999</v>
      </c>
      <c r="AG3" s="6">
        <f>SUM(AG4:AG99765)</f>
        <v>0</v>
      </c>
    </row>
    <row r="4" spans="1:33" ht="15.75" customHeight="1">
      <c r="A4" s="14" t="s">
        <v>181</v>
      </c>
      <c r="B4" s="14" t="s">
        <v>1449</v>
      </c>
      <c r="C4" s="15">
        <f t="shared" ref="C4:C32" si="4">IFERROR(F4/D4," - ")</f>
        <v>42.99</v>
      </c>
      <c r="D4" s="16">
        <v>6</v>
      </c>
      <c r="E4" s="16">
        <v>0</v>
      </c>
      <c r="F4" s="17">
        <v>257.94</v>
      </c>
      <c r="G4" s="17">
        <v>-0.08</v>
      </c>
      <c r="H4" s="18">
        <f t="shared" si="1"/>
        <v>3.1014964720477633E-4</v>
      </c>
      <c r="I4" s="18">
        <f t="shared" si="2"/>
        <v>0.48572371248754925</v>
      </c>
      <c r="J4" s="17">
        <f t="shared" ref="J4:J32" si="5">F4*0.85+G4+AF4*D4+D4*AE4+AG4+AD4</f>
        <v>125.28757439903845</v>
      </c>
      <c r="K4" s="17">
        <f t="shared" si="3"/>
        <v>20.881262399839741</v>
      </c>
      <c r="L4" s="16">
        <v>19</v>
      </c>
      <c r="M4" s="19">
        <f t="shared" ref="M4:M32" si="6">IFERROR(D4/L4,"-")</f>
        <v>0.31578947368421051</v>
      </c>
      <c r="N4" s="16">
        <v>530</v>
      </c>
      <c r="O4" s="20">
        <f t="shared" ref="O4:P4" si="7">D4/7</f>
        <v>0.8571428571428571</v>
      </c>
      <c r="P4" s="20">
        <f t="shared" si="7"/>
        <v>0</v>
      </c>
      <c r="Q4" s="16">
        <f t="shared" ref="Q4:Q32" si="8">ROUNDDOWN(N4/(O4+P4),0)</f>
        <v>618</v>
      </c>
      <c r="R4" s="16"/>
      <c r="S4" s="21">
        <v>0.220248667850799</v>
      </c>
      <c r="T4" s="14">
        <v>198</v>
      </c>
      <c r="U4" s="22">
        <v>198</v>
      </c>
      <c r="V4" s="23" t="s">
        <v>1450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26" t="s">
        <v>35</v>
      </c>
      <c r="AB4" s="27">
        <f t="shared" ref="AB4:AB32" si="11">IF(OR(AA4="UsLargeStandardSize",AA4="UsSmallStandardSize"),-0.69,-0.48)</f>
        <v>-0.69</v>
      </c>
      <c r="AC4" s="28">
        <v>0.11388454861111111</v>
      </c>
      <c r="AD4" s="25">
        <f t="shared" ref="AD4:AD32" si="12">IFERROR(AB4*AC4*D4*2,0)</f>
        <v>-0.94296406249999987</v>
      </c>
      <c r="AE4" s="25">
        <v>-6.18</v>
      </c>
      <c r="AF4" s="25">
        <v>-9.3097435897435883</v>
      </c>
      <c r="AG4" s="25">
        <v>0</v>
      </c>
    </row>
    <row r="5" spans="1:33" ht="15.75" customHeight="1">
      <c r="A5" s="14" t="s">
        <v>183</v>
      </c>
      <c r="B5" s="14" t="s">
        <v>1451</v>
      </c>
      <c r="C5" s="15">
        <f t="shared" si="4"/>
        <v>21.859881656804674</v>
      </c>
      <c r="D5" s="16">
        <v>169</v>
      </c>
      <c r="E5" s="16">
        <v>1</v>
      </c>
      <c r="F5" s="29">
        <v>3694.3199999999902</v>
      </c>
      <c r="G5" s="29">
        <v>0</v>
      </c>
      <c r="H5" s="18">
        <f t="shared" si="1"/>
        <v>0</v>
      </c>
      <c r="I5" s="18">
        <f t="shared" si="2"/>
        <v>0.13420992289941625</v>
      </c>
      <c r="J5" s="17">
        <f t="shared" si="5"/>
        <v>495.81440236577015</v>
      </c>
      <c r="K5" s="17">
        <f t="shared" si="3"/>
        <v>2.9338130317501192</v>
      </c>
      <c r="L5" s="16">
        <v>178</v>
      </c>
      <c r="M5" s="19">
        <f t="shared" si="6"/>
        <v>0.949438202247191</v>
      </c>
      <c r="N5" s="16">
        <v>308</v>
      </c>
      <c r="O5" s="20">
        <f t="shared" ref="O5:P5" si="13">D5/7</f>
        <v>24.142857142857142</v>
      </c>
      <c r="P5" s="20">
        <f t="shared" si="13"/>
        <v>0.14285714285714285</v>
      </c>
      <c r="Q5" s="16">
        <f t="shared" si="8"/>
        <v>12</v>
      </c>
      <c r="R5" s="16"/>
      <c r="S5" s="21">
        <v>1.3063583815028901</v>
      </c>
      <c r="T5" s="14">
        <v>198</v>
      </c>
      <c r="U5" s="22">
        <v>198</v>
      </c>
      <c r="V5" s="23" t="s">
        <v>1450</v>
      </c>
      <c r="W5" s="14">
        <v>0</v>
      </c>
      <c r="X5" s="24">
        <f t="shared" si="9"/>
        <v>0</v>
      </c>
      <c r="Y5" s="25">
        <f t="shared" si="10"/>
        <v>0</v>
      </c>
      <c r="Z5" s="14">
        <v>0</v>
      </c>
      <c r="AA5" s="14" t="s">
        <v>35</v>
      </c>
      <c r="AB5" s="27">
        <f t="shared" si="11"/>
        <v>-0.69</v>
      </c>
      <c r="AC5" s="28">
        <v>0.11401651216685979</v>
      </c>
      <c r="AD5" s="25">
        <f t="shared" si="12"/>
        <v>-26.590930967555039</v>
      </c>
      <c r="AE5" s="25">
        <v>-6.18</v>
      </c>
      <c r="AF5" s="25">
        <v>-9.3097435897435883</v>
      </c>
      <c r="AG5" s="25">
        <v>0</v>
      </c>
    </row>
    <row r="6" spans="1:33" ht="15.75" customHeight="1">
      <c r="A6" s="14" t="s">
        <v>185</v>
      </c>
      <c r="B6" s="14" t="s">
        <v>1452</v>
      </c>
      <c r="C6" s="15">
        <f t="shared" si="4"/>
        <v>29.275714285714269</v>
      </c>
      <c r="D6" s="16">
        <v>126</v>
      </c>
      <c r="E6" s="16">
        <v>1</v>
      </c>
      <c r="F6" s="29">
        <v>3688.739999999998</v>
      </c>
      <c r="G6" s="29">
        <v>-0.08</v>
      </c>
      <c r="H6" s="18">
        <f t="shared" si="1"/>
        <v>2.1687622331744729E-5</v>
      </c>
      <c r="I6" s="18">
        <f t="shared" si="2"/>
        <v>0.31551127549781416</v>
      </c>
      <c r="J6" s="17">
        <f t="shared" si="5"/>
        <v>1163.8390623798064</v>
      </c>
      <c r="K6" s="17">
        <f t="shared" si="3"/>
        <v>9.2368179553952885</v>
      </c>
      <c r="L6" s="16">
        <v>226</v>
      </c>
      <c r="M6" s="19">
        <f t="shared" si="6"/>
        <v>0.55752212389380529</v>
      </c>
      <c r="N6" s="16">
        <v>203</v>
      </c>
      <c r="O6" s="20">
        <f t="shared" ref="O6:P6" si="14">D6/7</f>
        <v>18</v>
      </c>
      <c r="P6" s="20">
        <f t="shared" si="14"/>
        <v>0.14285714285714285</v>
      </c>
      <c r="Q6" s="16">
        <f t="shared" si="8"/>
        <v>11</v>
      </c>
      <c r="R6" s="16"/>
      <c r="S6" s="21">
        <v>4.6050420168067197</v>
      </c>
      <c r="T6" s="14">
        <v>270</v>
      </c>
      <c r="U6" s="22">
        <v>198</v>
      </c>
      <c r="V6" s="23" t="s">
        <v>1453</v>
      </c>
      <c r="W6" s="14">
        <v>0</v>
      </c>
      <c r="X6" s="24">
        <f t="shared" si="9"/>
        <v>0</v>
      </c>
      <c r="Y6" s="25">
        <f t="shared" si="10"/>
        <v>0</v>
      </c>
      <c r="Z6" s="14">
        <v>0</v>
      </c>
      <c r="AA6" s="14" t="s">
        <v>35</v>
      </c>
      <c r="AB6" s="27">
        <f t="shared" si="11"/>
        <v>-0.69</v>
      </c>
      <c r="AC6" s="28">
        <v>0.11388454861111111</v>
      </c>
      <c r="AD6" s="25">
        <f t="shared" si="12"/>
        <v>-19.802245312499998</v>
      </c>
      <c r="AE6" s="25">
        <v>-6.18</v>
      </c>
      <c r="AF6" s="25">
        <v>-9.3097435897435883</v>
      </c>
      <c r="AG6" s="25">
        <v>0</v>
      </c>
    </row>
    <row r="7" spans="1:33" ht="15.75" customHeight="1">
      <c r="A7" s="14" t="s">
        <v>187</v>
      </c>
      <c r="B7" s="14" t="s">
        <v>1454</v>
      </c>
      <c r="C7" s="15">
        <f t="shared" si="4"/>
        <v>35.022424242424243</v>
      </c>
      <c r="D7" s="16">
        <v>66</v>
      </c>
      <c r="E7" s="16">
        <v>3</v>
      </c>
      <c r="F7" s="29">
        <v>2311.48</v>
      </c>
      <c r="G7" s="29">
        <v>0</v>
      </c>
      <c r="H7" s="18">
        <f t="shared" si="1"/>
        <v>0</v>
      </c>
      <c r="I7" s="18">
        <f t="shared" si="2"/>
        <v>0.40323183345277619</v>
      </c>
      <c r="J7" s="17">
        <f t="shared" si="5"/>
        <v>932.06231838942313</v>
      </c>
      <c r="K7" s="17">
        <f t="shared" si="3"/>
        <v>14.122156339233683</v>
      </c>
      <c r="L7" s="16">
        <v>134</v>
      </c>
      <c r="M7" s="19">
        <f t="shared" si="6"/>
        <v>0.4925373134328358</v>
      </c>
      <c r="N7" s="16">
        <v>172</v>
      </c>
      <c r="O7" s="20">
        <f t="shared" ref="O7:P7" si="15">D7/7</f>
        <v>9.4285714285714288</v>
      </c>
      <c r="P7" s="20">
        <f t="shared" si="15"/>
        <v>0.42857142857142855</v>
      </c>
      <c r="Q7" s="16">
        <f t="shared" si="8"/>
        <v>17</v>
      </c>
      <c r="R7" s="16"/>
      <c r="S7" s="21">
        <v>1.88140161725067</v>
      </c>
      <c r="T7" s="14">
        <v>270</v>
      </c>
      <c r="U7" s="22">
        <v>198</v>
      </c>
      <c r="V7" s="23" t="s">
        <v>1455</v>
      </c>
      <c r="W7" s="14">
        <v>0</v>
      </c>
      <c r="X7" s="24">
        <f t="shared" si="9"/>
        <v>0</v>
      </c>
      <c r="Y7" s="25">
        <f t="shared" si="10"/>
        <v>0</v>
      </c>
      <c r="Z7" s="14">
        <v>0</v>
      </c>
      <c r="AA7" s="14" t="s">
        <v>35</v>
      </c>
      <c r="AB7" s="27">
        <f t="shared" si="11"/>
        <v>-0.69</v>
      </c>
      <c r="AC7" s="28">
        <v>0.11388454861111111</v>
      </c>
      <c r="AD7" s="25">
        <f t="shared" si="12"/>
        <v>-10.372604687499999</v>
      </c>
      <c r="AE7" s="25">
        <v>-6.18</v>
      </c>
      <c r="AF7" s="25">
        <v>-9.3097435897435883</v>
      </c>
      <c r="AG7" s="25">
        <v>0</v>
      </c>
    </row>
    <row r="8" spans="1:33" ht="15.75" customHeight="1">
      <c r="A8" s="14" t="s">
        <v>189</v>
      </c>
      <c r="B8" s="14" t="s">
        <v>1456</v>
      </c>
      <c r="C8" s="15">
        <f t="shared" si="4"/>
        <v>37.397333333333329</v>
      </c>
      <c r="D8" s="16">
        <v>15</v>
      </c>
      <c r="E8" s="16">
        <v>2</v>
      </c>
      <c r="F8" s="29">
        <v>560.95999999999992</v>
      </c>
      <c r="G8" s="29">
        <v>0</v>
      </c>
      <c r="H8" s="18">
        <f t="shared" si="1"/>
        <v>0</v>
      </c>
      <c r="I8" s="18">
        <f t="shared" si="2"/>
        <v>0.43159688720006767</v>
      </c>
      <c r="J8" s="17">
        <f t="shared" si="5"/>
        <v>242.10858984374994</v>
      </c>
      <c r="K8" s="17">
        <f t="shared" si="3"/>
        <v>16.140572656249997</v>
      </c>
      <c r="L8" s="16">
        <v>66</v>
      </c>
      <c r="M8" s="19">
        <f t="shared" si="6"/>
        <v>0.22727272727272727</v>
      </c>
      <c r="N8" s="16">
        <v>150</v>
      </c>
      <c r="O8" s="20">
        <f t="shared" ref="O8:P8" si="16">D8/7</f>
        <v>2.1428571428571428</v>
      </c>
      <c r="P8" s="20">
        <f t="shared" si="16"/>
        <v>0.2857142857142857</v>
      </c>
      <c r="Q8" s="16">
        <f t="shared" si="8"/>
        <v>61</v>
      </c>
      <c r="R8" s="16"/>
      <c r="S8" s="21">
        <v>2.2356321839080402</v>
      </c>
      <c r="T8" s="14">
        <v>72</v>
      </c>
      <c r="U8" s="22">
        <v>72</v>
      </c>
      <c r="V8" s="23" t="s">
        <v>1457</v>
      </c>
      <c r="W8" s="14">
        <v>0</v>
      </c>
      <c r="X8" s="24">
        <f t="shared" si="9"/>
        <v>0</v>
      </c>
      <c r="Y8" s="25">
        <f t="shared" si="10"/>
        <v>0</v>
      </c>
      <c r="Z8" s="14">
        <v>0</v>
      </c>
      <c r="AA8" s="14" t="s">
        <v>35</v>
      </c>
      <c r="AB8" s="27">
        <f t="shared" si="11"/>
        <v>-0.69</v>
      </c>
      <c r="AC8" s="28">
        <v>0.11388454861111111</v>
      </c>
      <c r="AD8" s="25">
        <f t="shared" si="12"/>
        <v>-2.3574101562499998</v>
      </c>
      <c r="AE8" s="25">
        <v>-6.18</v>
      </c>
      <c r="AF8" s="25">
        <v>-9.31</v>
      </c>
      <c r="AG8" s="25">
        <v>0</v>
      </c>
    </row>
    <row r="9" spans="1:33" ht="15.75" customHeight="1">
      <c r="A9" s="14" t="s">
        <v>191</v>
      </c>
      <c r="B9" s="14" t="s">
        <v>143</v>
      </c>
      <c r="C9" s="15">
        <f t="shared" si="4"/>
        <v>38.309411764705885</v>
      </c>
      <c r="D9" s="16">
        <v>51</v>
      </c>
      <c r="E9" s="16">
        <v>0</v>
      </c>
      <c r="F9" s="29">
        <v>1953.78</v>
      </c>
      <c r="G9" s="29">
        <v>0</v>
      </c>
      <c r="H9" s="18">
        <f t="shared" si="1"/>
        <v>0</v>
      </c>
      <c r="I9" s="18">
        <f t="shared" si="2"/>
        <v>0.43711407044072181</v>
      </c>
      <c r="J9" s="17">
        <f t="shared" si="5"/>
        <v>854.0247285456735</v>
      </c>
      <c r="K9" s="17">
        <f t="shared" si="3"/>
        <v>16.745582912660264</v>
      </c>
      <c r="L9" s="16">
        <v>108</v>
      </c>
      <c r="M9" s="19">
        <f t="shared" si="6"/>
        <v>0.47222222222222221</v>
      </c>
      <c r="N9" s="16">
        <v>115</v>
      </c>
      <c r="O9" s="20">
        <f t="shared" ref="O9:P9" si="17">D9/7</f>
        <v>7.2857142857142856</v>
      </c>
      <c r="P9" s="20">
        <f t="shared" si="17"/>
        <v>0</v>
      </c>
      <c r="Q9" s="16">
        <f t="shared" si="8"/>
        <v>15</v>
      </c>
      <c r="R9" s="16"/>
      <c r="S9" s="21">
        <v>4.3419689119170899</v>
      </c>
      <c r="T9" s="14">
        <v>72</v>
      </c>
      <c r="U9" s="22">
        <v>72</v>
      </c>
      <c r="V9" s="23" t="s">
        <v>1458</v>
      </c>
      <c r="W9" s="14">
        <v>0</v>
      </c>
      <c r="X9" s="24">
        <f t="shared" si="9"/>
        <v>0</v>
      </c>
      <c r="Y9" s="25">
        <f t="shared" si="10"/>
        <v>0</v>
      </c>
      <c r="Z9" s="14">
        <v>0</v>
      </c>
      <c r="AA9" s="14" t="s">
        <v>35</v>
      </c>
      <c r="AB9" s="27">
        <f t="shared" si="11"/>
        <v>-0.69</v>
      </c>
      <c r="AC9" s="28">
        <v>0.11388454861111111</v>
      </c>
      <c r="AD9" s="25">
        <f t="shared" si="12"/>
        <v>-8.0151945312499997</v>
      </c>
      <c r="AE9" s="25">
        <v>-6.18</v>
      </c>
      <c r="AF9" s="25">
        <v>-9.4802564102564002</v>
      </c>
      <c r="AG9" s="25">
        <v>0</v>
      </c>
    </row>
    <row r="10" spans="1:33" ht="15.75" customHeight="1">
      <c r="A10" s="14" t="s">
        <v>192</v>
      </c>
      <c r="B10" s="14" t="s">
        <v>1459</v>
      </c>
      <c r="C10" s="15">
        <f t="shared" si="4"/>
        <v>39.784687499999997</v>
      </c>
      <c r="D10" s="16">
        <v>32</v>
      </c>
      <c r="E10" s="16">
        <v>2</v>
      </c>
      <c r="F10" s="29">
        <v>1273.1099999999999</v>
      </c>
      <c r="G10" s="29">
        <v>0</v>
      </c>
      <c r="H10" s="18">
        <f t="shared" si="1"/>
        <v>0</v>
      </c>
      <c r="I10" s="18">
        <f t="shared" si="2"/>
        <v>0.4524244984369995</v>
      </c>
      <c r="J10" s="17">
        <f t="shared" si="5"/>
        <v>575.9861532051284</v>
      </c>
      <c r="K10" s="17">
        <f t="shared" si="3"/>
        <v>17.999567287660263</v>
      </c>
      <c r="L10" s="16">
        <v>113</v>
      </c>
      <c r="M10" s="19">
        <f t="shared" si="6"/>
        <v>0.2831858407079646</v>
      </c>
      <c r="N10" s="16">
        <v>74</v>
      </c>
      <c r="O10" s="20">
        <f t="shared" ref="O10:P10" si="18">D10/7</f>
        <v>4.5714285714285712</v>
      </c>
      <c r="P10" s="20">
        <f t="shared" si="18"/>
        <v>0.2857142857142857</v>
      </c>
      <c r="Q10" s="16">
        <f t="shared" si="8"/>
        <v>15</v>
      </c>
      <c r="R10" s="16"/>
      <c r="S10" s="21">
        <v>5.57798165137614</v>
      </c>
      <c r="T10" s="14">
        <v>72</v>
      </c>
      <c r="U10" s="22">
        <v>72</v>
      </c>
      <c r="V10" s="23" t="s">
        <v>1460</v>
      </c>
      <c r="W10" s="14">
        <v>0</v>
      </c>
      <c r="X10" s="24">
        <f t="shared" si="9"/>
        <v>0</v>
      </c>
      <c r="Y10" s="25">
        <f t="shared" si="10"/>
        <v>0</v>
      </c>
      <c r="Z10" s="14">
        <v>0</v>
      </c>
      <c r="AA10" s="14" t="s">
        <v>35</v>
      </c>
      <c r="AB10" s="27">
        <f t="shared" si="11"/>
        <v>-0.69</v>
      </c>
      <c r="AC10" s="28">
        <v>0.11388454861111111</v>
      </c>
      <c r="AD10" s="25">
        <f t="shared" si="12"/>
        <v>-5.029141666666666</v>
      </c>
      <c r="AE10" s="25">
        <v>-6.18</v>
      </c>
      <c r="AF10" s="25">
        <v>-9.4802564102564002</v>
      </c>
      <c r="AG10" s="25">
        <v>0</v>
      </c>
    </row>
    <row r="11" spans="1:33" ht="15.75" customHeight="1">
      <c r="A11" s="14" t="s">
        <v>193</v>
      </c>
      <c r="B11" s="14" t="s">
        <v>1461</v>
      </c>
      <c r="C11" s="15">
        <f t="shared" si="4"/>
        <v>44.994500000000002</v>
      </c>
      <c r="D11" s="16">
        <v>20</v>
      </c>
      <c r="E11" s="16">
        <v>0</v>
      </c>
      <c r="F11" s="29">
        <v>899.8900000000001</v>
      </c>
      <c r="G11" s="29">
        <v>0</v>
      </c>
      <c r="H11" s="18">
        <f t="shared" si="1"/>
        <v>0</v>
      </c>
      <c r="I11" s="18">
        <f t="shared" si="2"/>
        <v>0.49845887636622838</v>
      </c>
      <c r="J11" s="17">
        <f t="shared" si="5"/>
        <v>448.55815825320531</v>
      </c>
      <c r="K11" s="17">
        <f t="shared" si="3"/>
        <v>22.427907912660267</v>
      </c>
      <c r="L11" s="16">
        <v>91</v>
      </c>
      <c r="M11" s="19">
        <f t="shared" si="6"/>
        <v>0.21978021978021978</v>
      </c>
      <c r="N11" s="16">
        <v>53</v>
      </c>
      <c r="O11" s="20">
        <f t="shared" ref="O11:P11" si="19">D11/7</f>
        <v>2.8571428571428572</v>
      </c>
      <c r="P11" s="20">
        <f t="shared" si="19"/>
        <v>0</v>
      </c>
      <c r="Q11" s="16">
        <f t="shared" si="8"/>
        <v>18</v>
      </c>
      <c r="R11" s="16"/>
      <c r="S11" s="21">
        <v>7.0929368029739699</v>
      </c>
      <c r="T11" s="14">
        <v>1074</v>
      </c>
      <c r="U11" s="22">
        <v>72</v>
      </c>
      <c r="V11" s="23" t="s">
        <v>1462</v>
      </c>
      <c r="W11" s="14">
        <v>0</v>
      </c>
      <c r="X11" s="24">
        <f t="shared" si="9"/>
        <v>0</v>
      </c>
      <c r="Y11" s="25">
        <f t="shared" si="10"/>
        <v>0</v>
      </c>
      <c r="Z11" s="14">
        <v>0</v>
      </c>
      <c r="AA11" s="14" t="s">
        <v>35</v>
      </c>
      <c r="AB11" s="27">
        <f t="shared" si="11"/>
        <v>-0.69</v>
      </c>
      <c r="AC11" s="28">
        <v>0.11388454861111111</v>
      </c>
      <c r="AD11" s="25">
        <f t="shared" si="12"/>
        <v>-3.1432135416666664</v>
      </c>
      <c r="AE11" s="25">
        <v>-6.18</v>
      </c>
      <c r="AF11" s="25">
        <v>-9.4802564102564002</v>
      </c>
      <c r="AG11" s="25">
        <v>0</v>
      </c>
    </row>
    <row r="12" spans="1:33" ht="15.75" customHeight="1">
      <c r="A12" s="14" t="s">
        <v>195</v>
      </c>
      <c r="B12" s="14" t="s">
        <v>1463</v>
      </c>
      <c r="C12" s="15">
        <f t="shared" si="4"/>
        <v>48.183125000000004</v>
      </c>
      <c r="D12" s="16">
        <v>16</v>
      </c>
      <c r="E12" s="16">
        <v>0</v>
      </c>
      <c r="F12" s="29">
        <v>770.93000000000006</v>
      </c>
      <c r="G12" s="29">
        <v>-0.08</v>
      </c>
      <c r="H12" s="18">
        <f t="shared" si="1"/>
        <v>1.0377077036825651E-4</v>
      </c>
      <c r="I12" s="18">
        <f t="shared" si="2"/>
        <v>0.52161911795177807</v>
      </c>
      <c r="J12" s="17">
        <f t="shared" si="5"/>
        <v>402.13182660256427</v>
      </c>
      <c r="K12" s="17">
        <f t="shared" si="3"/>
        <v>25.133239162660267</v>
      </c>
      <c r="L12" s="16">
        <v>63</v>
      </c>
      <c r="M12" s="19">
        <f t="shared" si="6"/>
        <v>0.25396825396825395</v>
      </c>
      <c r="N12" s="16">
        <v>36</v>
      </c>
      <c r="O12" s="20">
        <f t="shared" ref="O12:P12" si="20">D12/7</f>
        <v>2.2857142857142856</v>
      </c>
      <c r="P12" s="20">
        <f t="shared" si="20"/>
        <v>0</v>
      </c>
      <c r="Q12" s="16">
        <f t="shared" si="8"/>
        <v>15</v>
      </c>
      <c r="R12" s="16"/>
      <c r="S12" s="21">
        <v>2.6972972972972902</v>
      </c>
      <c r="T12" s="14">
        <v>1074</v>
      </c>
      <c r="U12" s="22">
        <v>72</v>
      </c>
      <c r="V12" s="23" t="s">
        <v>1464</v>
      </c>
      <c r="W12" s="14">
        <v>0</v>
      </c>
      <c r="X12" s="24">
        <f t="shared" si="9"/>
        <v>0</v>
      </c>
      <c r="Y12" s="25">
        <f t="shared" si="10"/>
        <v>0</v>
      </c>
      <c r="Z12" s="14">
        <v>0</v>
      </c>
      <c r="AA12" s="14" t="s">
        <v>35</v>
      </c>
      <c r="AB12" s="27">
        <f t="shared" si="11"/>
        <v>-0.69</v>
      </c>
      <c r="AC12" s="28">
        <v>0.11388454861111111</v>
      </c>
      <c r="AD12" s="25">
        <f t="shared" si="12"/>
        <v>-2.514570833333333</v>
      </c>
      <c r="AE12" s="25">
        <v>-6.18</v>
      </c>
      <c r="AF12" s="25">
        <v>-9.4802564102564002</v>
      </c>
      <c r="AG12" s="25">
        <v>0</v>
      </c>
    </row>
    <row r="13" spans="1:33" ht="15.75" customHeight="1">
      <c r="A13" s="14" t="s">
        <v>197</v>
      </c>
      <c r="B13" s="14" t="s">
        <v>1465</v>
      </c>
      <c r="C13" s="15">
        <f t="shared" si="4"/>
        <v>55.06</v>
      </c>
      <c r="D13" s="16">
        <v>3</v>
      </c>
      <c r="E13" s="16">
        <v>0</v>
      </c>
      <c r="F13" s="17">
        <v>165.18</v>
      </c>
      <c r="G13" s="29">
        <v>-0.08</v>
      </c>
      <c r="H13" s="18">
        <f t="shared" si="1"/>
        <v>4.8432013560963794E-4</v>
      </c>
      <c r="I13" s="18">
        <f t="shared" si="2"/>
        <v>0.56060974675354158</v>
      </c>
      <c r="J13" s="17">
        <f t="shared" si="5"/>
        <v>92.601517968750002</v>
      </c>
      <c r="K13" s="17">
        <f t="shared" si="3"/>
        <v>30.867172656250002</v>
      </c>
      <c r="L13" s="16">
        <v>40</v>
      </c>
      <c r="M13" s="19">
        <f t="shared" si="6"/>
        <v>7.4999999999999997E-2</v>
      </c>
      <c r="N13" s="16">
        <v>30</v>
      </c>
      <c r="O13" s="20">
        <f t="shared" ref="O13:P13" si="21">D13/7</f>
        <v>0.42857142857142855</v>
      </c>
      <c r="P13" s="20">
        <f t="shared" si="21"/>
        <v>0</v>
      </c>
      <c r="Q13" s="16">
        <f t="shared" si="8"/>
        <v>70</v>
      </c>
      <c r="R13" s="16"/>
      <c r="S13" s="21">
        <v>2.7637362637362601</v>
      </c>
      <c r="T13" s="14">
        <v>1074</v>
      </c>
      <c r="U13" s="22">
        <v>72</v>
      </c>
      <c r="V13" s="23" t="s">
        <v>1464</v>
      </c>
      <c r="W13" s="14">
        <v>0</v>
      </c>
      <c r="X13" s="24">
        <f t="shared" si="9"/>
        <v>0</v>
      </c>
      <c r="Y13" s="25">
        <f t="shared" si="10"/>
        <v>0</v>
      </c>
      <c r="Z13" s="14">
        <v>0</v>
      </c>
      <c r="AA13" s="14" t="s">
        <v>35</v>
      </c>
      <c r="AB13" s="27">
        <f t="shared" si="11"/>
        <v>-0.69</v>
      </c>
      <c r="AC13" s="28">
        <v>0.11388454861111111</v>
      </c>
      <c r="AD13" s="25">
        <f t="shared" si="12"/>
        <v>-0.47148203124999993</v>
      </c>
      <c r="AE13" s="25">
        <v>-6.18</v>
      </c>
      <c r="AF13" s="25">
        <v>-9.5699999999999896</v>
      </c>
      <c r="AG13" s="25">
        <v>0</v>
      </c>
    </row>
    <row r="14" spans="1:33" ht="15.75" customHeight="1">
      <c r="A14" s="14" t="s">
        <v>32</v>
      </c>
      <c r="B14" s="14" t="s">
        <v>1463</v>
      </c>
      <c r="C14" s="15">
        <f t="shared" si="4"/>
        <v>51.387142857142855</v>
      </c>
      <c r="D14" s="16">
        <v>7</v>
      </c>
      <c r="E14" s="16">
        <v>0</v>
      </c>
      <c r="F14" s="17">
        <v>359.71</v>
      </c>
      <c r="G14" s="29">
        <v>0</v>
      </c>
      <c r="H14" s="18">
        <f t="shared" si="1"/>
        <v>0</v>
      </c>
      <c r="I14" s="18">
        <f t="shared" si="2"/>
        <v>0.54044473398130921</v>
      </c>
      <c r="J14" s="17">
        <f t="shared" si="5"/>
        <v>194.40337526041674</v>
      </c>
      <c r="K14" s="17">
        <f t="shared" si="3"/>
        <v>27.771910751488104</v>
      </c>
      <c r="L14" s="16">
        <v>62</v>
      </c>
      <c r="M14" s="19">
        <f t="shared" si="6"/>
        <v>0.11290322580645161</v>
      </c>
      <c r="N14" s="16">
        <v>23</v>
      </c>
      <c r="O14" s="20">
        <f t="shared" ref="O14:P14" si="22">D14/7</f>
        <v>1</v>
      </c>
      <c r="P14" s="20">
        <f t="shared" si="22"/>
        <v>0</v>
      </c>
      <c r="Q14" s="16">
        <f t="shared" si="8"/>
        <v>23</v>
      </c>
      <c r="R14" s="16"/>
      <c r="S14" s="21">
        <v>5.2886597938144302</v>
      </c>
      <c r="T14" s="14">
        <v>1074</v>
      </c>
      <c r="U14" s="22">
        <v>72</v>
      </c>
      <c r="V14" s="23" t="s">
        <v>1464</v>
      </c>
      <c r="W14" s="14">
        <v>0</v>
      </c>
      <c r="X14" s="24">
        <f t="shared" si="9"/>
        <v>0</v>
      </c>
      <c r="Y14" s="25">
        <f t="shared" si="10"/>
        <v>0</v>
      </c>
      <c r="Z14" s="14">
        <v>0</v>
      </c>
      <c r="AA14" s="14" t="s">
        <v>35</v>
      </c>
      <c r="AB14" s="27">
        <f t="shared" si="11"/>
        <v>-0.69</v>
      </c>
      <c r="AC14" s="28">
        <v>0.11388454861111111</v>
      </c>
      <c r="AD14" s="25">
        <f t="shared" si="12"/>
        <v>-1.1001247395833331</v>
      </c>
      <c r="AE14" s="25">
        <v>-6.18</v>
      </c>
      <c r="AF14" s="25">
        <v>-9.5699999999999896</v>
      </c>
      <c r="AG14" s="25">
        <v>0</v>
      </c>
    </row>
    <row r="15" spans="1:33" ht="15.75" customHeight="1">
      <c r="A15" s="14" t="s">
        <v>36</v>
      </c>
      <c r="B15" s="14" t="s">
        <v>1466</v>
      </c>
      <c r="C15" s="15">
        <f t="shared" si="4"/>
        <v>53.764285714285712</v>
      </c>
      <c r="D15" s="16">
        <v>7</v>
      </c>
      <c r="E15" s="16">
        <v>0</v>
      </c>
      <c r="F15" s="17">
        <v>376.34999999999997</v>
      </c>
      <c r="G15" s="29">
        <v>0</v>
      </c>
      <c r="H15" s="18">
        <f t="shared" si="1"/>
        <v>0</v>
      </c>
      <c r="I15" s="18">
        <f t="shared" si="2"/>
        <v>0.54780756014459064</v>
      </c>
      <c r="J15" s="17">
        <f t="shared" si="5"/>
        <v>206.16737526041666</v>
      </c>
      <c r="K15" s="17">
        <f t="shared" si="3"/>
        <v>29.452482180059523</v>
      </c>
      <c r="L15" s="16">
        <v>88</v>
      </c>
      <c r="M15" s="19">
        <f t="shared" si="6"/>
        <v>7.9545454545454544E-2</v>
      </c>
      <c r="N15" s="16">
        <v>19</v>
      </c>
      <c r="O15" s="20">
        <f t="shared" ref="O15:P15" si="23">D15/7</f>
        <v>1</v>
      </c>
      <c r="P15" s="20">
        <f t="shared" si="23"/>
        <v>0</v>
      </c>
      <c r="Q15" s="16">
        <f t="shared" si="8"/>
        <v>19</v>
      </c>
      <c r="R15" s="16"/>
      <c r="S15" s="21">
        <v>6.7012987012987004</v>
      </c>
      <c r="T15" s="14">
        <v>1074</v>
      </c>
      <c r="U15" s="22">
        <v>72</v>
      </c>
      <c r="V15" s="23" t="s">
        <v>1464</v>
      </c>
      <c r="W15" s="14">
        <v>0</v>
      </c>
      <c r="X15" s="24">
        <f t="shared" si="9"/>
        <v>0</v>
      </c>
      <c r="Y15" s="25">
        <f t="shared" si="10"/>
        <v>0</v>
      </c>
      <c r="Z15" s="14">
        <v>0</v>
      </c>
      <c r="AA15" s="14" t="s">
        <v>35</v>
      </c>
      <c r="AB15" s="27">
        <f t="shared" si="11"/>
        <v>-0.69</v>
      </c>
      <c r="AC15" s="28">
        <v>0.11388454861111111</v>
      </c>
      <c r="AD15" s="25">
        <f t="shared" si="12"/>
        <v>-1.1001247395833331</v>
      </c>
      <c r="AE15" s="25">
        <v>-6.18</v>
      </c>
      <c r="AF15" s="25">
        <v>-9.91</v>
      </c>
      <c r="AG15" s="25">
        <v>0</v>
      </c>
    </row>
    <row r="16" spans="1:33" ht="15.75" customHeight="1">
      <c r="A16" s="14" t="s">
        <v>38</v>
      </c>
      <c r="B16" s="14" t="s">
        <v>1467</v>
      </c>
      <c r="C16" s="15">
        <f t="shared" si="4"/>
        <v>58.52</v>
      </c>
      <c r="D16" s="16">
        <v>3</v>
      </c>
      <c r="E16" s="16">
        <v>0</v>
      </c>
      <c r="F16" s="17">
        <v>175.56</v>
      </c>
      <c r="G16" s="29">
        <v>0</v>
      </c>
      <c r="H16" s="18">
        <f t="shared" si="1"/>
        <v>0</v>
      </c>
      <c r="I16" s="18">
        <f t="shared" si="2"/>
        <v>0.57236567537451577</v>
      </c>
      <c r="J16" s="17">
        <f t="shared" si="5"/>
        <v>100.48451796874998</v>
      </c>
      <c r="K16" s="17">
        <f t="shared" si="3"/>
        <v>33.494839322916661</v>
      </c>
      <c r="L16" s="16">
        <v>64</v>
      </c>
      <c r="M16" s="19">
        <f t="shared" si="6"/>
        <v>4.6875E-2</v>
      </c>
      <c r="N16" s="16">
        <v>15</v>
      </c>
      <c r="O16" s="20">
        <f t="shared" ref="O16:P16" si="24">D16/7</f>
        <v>0.42857142857142855</v>
      </c>
      <c r="P16" s="20">
        <f t="shared" si="24"/>
        <v>0</v>
      </c>
      <c r="Q16" s="16">
        <f t="shared" si="8"/>
        <v>35</v>
      </c>
      <c r="R16" s="16"/>
      <c r="S16" s="21">
        <v>2.7346405228758099</v>
      </c>
      <c r="T16" s="14">
        <v>1074</v>
      </c>
      <c r="U16" s="22">
        <v>72</v>
      </c>
      <c r="V16" s="23" t="s">
        <v>1468</v>
      </c>
      <c r="W16" s="14">
        <v>0</v>
      </c>
      <c r="X16" s="24">
        <f t="shared" si="9"/>
        <v>0</v>
      </c>
      <c r="Y16" s="25">
        <f t="shared" si="10"/>
        <v>0</v>
      </c>
      <c r="Z16" s="14">
        <v>0</v>
      </c>
      <c r="AA16" s="14" t="s">
        <v>35</v>
      </c>
      <c r="AB16" s="27">
        <f t="shared" si="11"/>
        <v>-0.69</v>
      </c>
      <c r="AC16" s="28">
        <v>0.11388454861111111</v>
      </c>
      <c r="AD16" s="25">
        <f t="shared" si="12"/>
        <v>-0.47148203124999993</v>
      </c>
      <c r="AE16" s="25">
        <v>-6.18</v>
      </c>
      <c r="AF16" s="25">
        <v>-9.91</v>
      </c>
      <c r="AG16" s="25">
        <v>0</v>
      </c>
    </row>
    <row r="17" spans="1:33" ht="15.75" customHeight="1">
      <c r="A17" s="14" t="s">
        <v>40</v>
      </c>
      <c r="B17" s="14" t="s">
        <v>1469</v>
      </c>
      <c r="C17" s="15">
        <f t="shared" si="4"/>
        <v>57.847142857142856</v>
      </c>
      <c r="D17" s="16">
        <v>7</v>
      </c>
      <c r="E17" s="16">
        <v>0</v>
      </c>
      <c r="F17" s="17">
        <v>404.93</v>
      </c>
      <c r="G17" s="29">
        <v>0</v>
      </c>
      <c r="H17" s="18">
        <f t="shared" si="1"/>
        <v>0</v>
      </c>
      <c r="I17" s="18">
        <f t="shared" si="2"/>
        <v>0.5691363328486817</v>
      </c>
      <c r="J17" s="17">
        <f t="shared" si="5"/>
        <v>230.46037526041667</v>
      </c>
      <c r="K17" s="17">
        <f t="shared" si="3"/>
        <v>32.922910751488097</v>
      </c>
      <c r="L17" s="16">
        <v>56</v>
      </c>
      <c r="M17" s="19">
        <f t="shared" si="6"/>
        <v>0.125</v>
      </c>
      <c r="N17" s="16">
        <v>9</v>
      </c>
      <c r="O17" s="20">
        <f t="shared" ref="O17:P17" si="25">D17/7</f>
        <v>1</v>
      </c>
      <c r="P17" s="20">
        <f t="shared" si="25"/>
        <v>0</v>
      </c>
      <c r="Q17" s="16">
        <f t="shared" si="8"/>
        <v>9</v>
      </c>
      <c r="R17" s="16"/>
      <c r="S17" s="21">
        <v>2.8378378378378302</v>
      </c>
      <c r="T17" s="14">
        <v>1074</v>
      </c>
      <c r="U17" s="22">
        <v>72</v>
      </c>
      <c r="V17" s="23" t="s">
        <v>1468</v>
      </c>
      <c r="W17" s="14">
        <v>0</v>
      </c>
      <c r="X17" s="24">
        <f t="shared" si="9"/>
        <v>0</v>
      </c>
      <c r="Y17" s="25">
        <f t="shared" si="10"/>
        <v>0</v>
      </c>
      <c r="Z17" s="14">
        <v>0</v>
      </c>
      <c r="AA17" s="14" t="s">
        <v>35</v>
      </c>
      <c r="AB17" s="27">
        <f t="shared" si="11"/>
        <v>-0.69</v>
      </c>
      <c r="AC17" s="28">
        <v>0.11388454861111111</v>
      </c>
      <c r="AD17" s="25">
        <f t="shared" si="12"/>
        <v>-1.1001247395833331</v>
      </c>
      <c r="AE17" s="25">
        <v>-6.18</v>
      </c>
      <c r="AF17" s="25">
        <v>-9.91</v>
      </c>
      <c r="AG17" s="25">
        <v>0</v>
      </c>
    </row>
    <row r="18" spans="1:33" ht="15.75" customHeight="1">
      <c r="A18" s="14" t="s">
        <v>42</v>
      </c>
      <c r="B18" s="14" t="s">
        <v>142</v>
      </c>
      <c r="C18" s="15">
        <f t="shared" si="4"/>
        <v>57.247142857142862</v>
      </c>
      <c r="D18" s="16">
        <v>7</v>
      </c>
      <c r="E18" s="16">
        <v>0</v>
      </c>
      <c r="F18" s="17">
        <v>400.73</v>
      </c>
      <c r="G18" s="29">
        <v>-0.02</v>
      </c>
      <c r="H18" s="18">
        <f t="shared" si="1"/>
        <v>4.9908916227884107E-5</v>
      </c>
      <c r="I18" s="18">
        <f t="shared" si="2"/>
        <v>0.56614272767303842</v>
      </c>
      <c r="J18" s="17">
        <f t="shared" si="5"/>
        <v>226.87037526041669</v>
      </c>
      <c r="K18" s="17">
        <f t="shared" si="3"/>
        <v>32.410053608630953</v>
      </c>
      <c r="L18" s="16">
        <v>67</v>
      </c>
      <c r="M18" s="19">
        <f t="shared" si="6"/>
        <v>0.1044776119402985</v>
      </c>
      <c r="N18" s="16">
        <v>3</v>
      </c>
      <c r="O18" s="20">
        <f t="shared" ref="O18:P18" si="26">D18/7</f>
        <v>1</v>
      </c>
      <c r="P18" s="20">
        <f t="shared" si="26"/>
        <v>0</v>
      </c>
      <c r="Q18" s="16">
        <f t="shared" si="8"/>
        <v>3</v>
      </c>
      <c r="R18" s="16"/>
      <c r="S18" s="21">
        <v>3.4048140043763602</v>
      </c>
      <c r="T18" s="14">
        <v>1002</v>
      </c>
      <c r="U18" s="22">
        <v>0</v>
      </c>
      <c r="V18" s="23" t="s">
        <v>1470</v>
      </c>
      <c r="W18" s="14">
        <v>0</v>
      </c>
      <c r="X18" s="24">
        <f t="shared" si="9"/>
        <v>0</v>
      </c>
      <c r="Y18" s="25">
        <f t="shared" si="10"/>
        <v>0.02</v>
      </c>
      <c r="Z18" s="14">
        <v>1</v>
      </c>
      <c r="AA18" s="14" t="s">
        <v>35</v>
      </c>
      <c r="AB18" s="27">
        <f t="shared" si="11"/>
        <v>-0.69</v>
      </c>
      <c r="AC18" s="28">
        <v>0.11388454861111111</v>
      </c>
      <c r="AD18" s="25">
        <f t="shared" si="12"/>
        <v>-1.1001247395833331</v>
      </c>
      <c r="AE18" s="25">
        <v>-6.18</v>
      </c>
      <c r="AF18" s="25">
        <v>-9.91</v>
      </c>
      <c r="AG18" s="25">
        <v>0</v>
      </c>
    </row>
    <row r="19" spans="1:33" ht="15.75" customHeight="1">
      <c r="A19" s="14" t="s">
        <v>44</v>
      </c>
      <c r="B19" s="14" t="s">
        <v>68</v>
      </c>
      <c r="C19" s="15">
        <f t="shared" si="4"/>
        <v>57.99</v>
      </c>
      <c r="D19" s="16">
        <v>1</v>
      </c>
      <c r="E19" s="16">
        <v>0</v>
      </c>
      <c r="F19" s="17">
        <v>57.99</v>
      </c>
      <c r="G19" s="29">
        <v>0</v>
      </c>
      <c r="H19" s="18">
        <f t="shared" si="1"/>
        <v>0</v>
      </c>
      <c r="I19" s="18">
        <f t="shared" si="2"/>
        <v>0.56188721025895272</v>
      </c>
      <c r="J19" s="17">
        <f t="shared" si="5"/>
        <v>32.583839322916667</v>
      </c>
      <c r="K19" s="17">
        <f t="shared" si="3"/>
        <v>32.583839322916667</v>
      </c>
      <c r="L19" s="16">
        <v>43</v>
      </c>
      <c r="M19" s="19">
        <f t="shared" si="6"/>
        <v>2.3255813953488372E-2</v>
      </c>
      <c r="N19" s="16">
        <v>13</v>
      </c>
      <c r="O19" s="20">
        <f t="shared" ref="O19:P19" si="27">D19/7</f>
        <v>0.14285714285714285</v>
      </c>
      <c r="P19" s="20">
        <f t="shared" si="27"/>
        <v>0</v>
      </c>
      <c r="Q19" s="16">
        <f t="shared" si="8"/>
        <v>91</v>
      </c>
      <c r="R19" s="16"/>
      <c r="S19" s="21">
        <v>3.39577039274924</v>
      </c>
      <c r="T19" s="14">
        <v>1002</v>
      </c>
      <c r="U19" s="22">
        <v>1002</v>
      </c>
      <c r="V19" s="23" t="s">
        <v>1470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14" t="s">
        <v>35</v>
      </c>
      <c r="AB19" s="27">
        <f t="shared" si="11"/>
        <v>-0.69</v>
      </c>
      <c r="AC19" s="28">
        <v>0.11388454861111111</v>
      </c>
      <c r="AD19" s="25">
        <f t="shared" si="12"/>
        <v>-0.15716067708333331</v>
      </c>
      <c r="AE19" s="25">
        <v>-6.18</v>
      </c>
      <c r="AF19" s="25">
        <v>-10.3705</v>
      </c>
      <c r="AG19" s="25">
        <v>0</v>
      </c>
    </row>
    <row r="20" spans="1:33" ht="15.75" customHeight="1">
      <c r="A20" s="14" t="s">
        <v>46</v>
      </c>
      <c r="B20" s="14" t="s">
        <v>278</v>
      </c>
      <c r="C20" s="15">
        <f t="shared" si="4"/>
        <v>57.989999999999995</v>
      </c>
      <c r="D20" s="16">
        <v>5</v>
      </c>
      <c r="E20" s="16">
        <v>0</v>
      </c>
      <c r="F20" s="17">
        <v>289.95</v>
      </c>
      <c r="G20" s="29">
        <v>0</v>
      </c>
      <c r="H20" s="18">
        <f t="shared" si="1"/>
        <v>0</v>
      </c>
      <c r="I20" s="18">
        <f t="shared" si="2"/>
        <v>0.56188721025895261</v>
      </c>
      <c r="J20" s="17">
        <f t="shared" si="5"/>
        <v>162.91919661458331</v>
      </c>
      <c r="K20" s="17">
        <f t="shared" si="3"/>
        <v>32.58383932291666</v>
      </c>
      <c r="L20" s="16">
        <v>75</v>
      </c>
      <c r="M20" s="19">
        <f t="shared" si="6"/>
        <v>6.6666666666666666E-2</v>
      </c>
      <c r="N20" s="16">
        <v>9</v>
      </c>
      <c r="O20" s="20">
        <f t="shared" ref="O20:P20" si="28">D20/7</f>
        <v>0.7142857142857143</v>
      </c>
      <c r="P20" s="20">
        <f t="shared" si="28"/>
        <v>0</v>
      </c>
      <c r="Q20" s="16">
        <f t="shared" si="8"/>
        <v>12</v>
      </c>
      <c r="R20" s="16"/>
      <c r="S20" s="21">
        <v>2.82783882783882</v>
      </c>
      <c r="T20" s="14">
        <v>1002</v>
      </c>
      <c r="U20" s="22">
        <v>1002</v>
      </c>
      <c r="V20" s="23" t="s">
        <v>1471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14" t="s">
        <v>35</v>
      </c>
      <c r="AB20" s="27">
        <f t="shared" si="11"/>
        <v>-0.69</v>
      </c>
      <c r="AC20" s="28">
        <v>0.11388454861111111</v>
      </c>
      <c r="AD20" s="25">
        <f t="shared" si="12"/>
        <v>-0.78580338541666661</v>
      </c>
      <c r="AE20" s="25">
        <v>-6.18</v>
      </c>
      <c r="AF20" s="25">
        <v>-10.3705</v>
      </c>
      <c r="AG20" s="25">
        <v>0</v>
      </c>
    </row>
    <row r="21" spans="1:33" ht="15.75" customHeight="1">
      <c r="A21" s="14" t="s">
        <v>47</v>
      </c>
      <c r="B21" s="14" t="s">
        <v>153</v>
      </c>
      <c r="C21" s="15">
        <f t="shared" si="4"/>
        <v>58.656666666666666</v>
      </c>
      <c r="D21" s="16">
        <v>3</v>
      </c>
      <c r="E21" s="16">
        <v>0</v>
      </c>
      <c r="F21" s="17">
        <v>175.97</v>
      </c>
      <c r="G21" s="29">
        <v>0</v>
      </c>
      <c r="H21" s="18">
        <f t="shared" si="1"/>
        <v>0</v>
      </c>
      <c r="I21" s="18">
        <f t="shared" si="2"/>
        <v>0.565161777398136</v>
      </c>
      <c r="J21" s="17">
        <f t="shared" si="5"/>
        <v>99.451517968749997</v>
      </c>
      <c r="K21" s="17">
        <f t="shared" si="3"/>
        <v>33.15050598958333</v>
      </c>
      <c r="L21" s="16">
        <v>24</v>
      </c>
      <c r="M21" s="19">
        <f t="shared" si="6"/>
        <v>0.125</v>
      </c>
      <c r="N21" s="16">
        <v>5</v>
      </c>
      <c r="O21" s="20">
        <f t="shared" ref="O21:P21" si="29">D21/7</f>
        <v>0.42857142857142855</v>
      </c>
      <c r="P21" s="20">
        <f t="shared" si="29"/>
        <v>0</v>
      </c>
      <c r="Q21" s="16">
        <f t="shared" si="8"/>
        <v>11</v>
      </c>
      <c r="R21" s="16"/>
      <c r="S21" s="21">
        <v>3.0185185185185102</v>
      </c>
      <c r="T21" s="14">
        <v>1002</v>
      </c>
      <c r="U21" s="22">
        <v>1002</v>
      </c>
      <c r="V21" s="23" t="s">
        <v>1472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14" t="s">
        <v>35</v>
      </c>
      <c r="AB21" s="27">
        <f t="shared" si="11"/>
        <v>-0.69</v>
      </c>
      <c r="AC21" s="28">
        <v>0.11388454861111111</v>
      </c>
      <c r="AD21" s="25">
        <f t="shared" si="12"/>
        <v>-0.47148203124999993</v>
      </c>
      <c r="AE21" s="25">
        <v>-6.18</v>
      </c>
      <c r="AF21" s="25">
        <v>-10.3705</v>
      </c>
      <c r="AG21" s="25">
        <v>0</v>
      </c>
    </row>
    <row r="22" spans="1:33" ht="15.75" customHeight="1">
      <c r="A22" s="14" t="s">
        <v>48</v>
      </c>
      <c r="B22" s="14" t="s">
        <v>68</v>
      </c>
      <c r="C22" s="15">
        <f t="shared" si="4"/>
        <v>61.487499999999997</v>
      </c>
      <c r="D22" s="16">
        <v>4</v>
      </c>
      <c r="E22" s="16">
        <v>0</v>
      </c>
      <c r="F22" s="29">
        <v>245.95</v>
      </c>
      <c r="G22" s="29">
        <v>0</v>
      </c>
      <c r="H22" s="18">
        <f t="shared" si="1"/>
        <v>0</v>
      </c>
      <c r="I22" s="18">
        <f t="shared" si="2"/>
        <v>0.57827549213932361</v>
      </c>
      <c r="J22" s="17">
        <f t="shared" si="5"/>
        <v>142.22685729166665</v>
      </c>
      <c r="K22" s="17">
        <f t="shared" si="3"/>
        <v>35.556714322916662</v>
      </c>
      <c r="L22" s="16">
        <v>43</v>
      </c>
      <c r="M22" s="19">
        <f t="shared" si="6"/>
        <v>9.3023255813953487E-2</v>
      </c>
      <c r="N22" s="16">
        <v>2</v>
      </c>
      <c r="O22" s="20">
        <f t="shared" ref="O22:P22" si="30">D22/7</f>
        <v>0.5714285714285714</v>
      </c>
      <c r="P22" s="20">
        <f t="shared" si="30"/>
        <v>0</v>
      </c>
      <c r="Q22" s="16">
        <f t="shared" si="8"/>
        <v>3</v>
      </c>
      <c r="R22" s="16"/>
      <c r="S22" s="21" t="e">
        <v>#N/A</v>
      </c>
      <c r="T22" s="14">
        <v>1002</v>
      </c>
      <c r="U22" s="22">
        <v>1002</v>
      </c>
      <c r="V22" s="23" t="s">
        <v>1472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35</v>
      </c>
      <c r="AB22" s="27">
        <f t="shared" si="11"/>
        <v>-0.69</v>
      </c>
      <c r="AC22" s="28">
        <v>0.11388454861111111</v>
      </c>
      <c r="AD22" s="25">
        <f t="shared" si="12"/>
        <v>-0.62864270833333324</v>
      </c>
      <c r="AE22" s="25">
        <v>-6.18</v>
      </c>
      <c r="AF22" s="25">
        <v>-10.3705</v>
      </c>
      <c r="AG22" s="25">
        <v>0</v>
      </c>
    </row>
    <row r="23" spans="1:33" ht="15.75" customHeight="1">
      <c r="A23" s="14" t="s">
        <v>49</v>
      </c>
      <c r="B23" s="14" t="s">
        <v>45</v>
      </c>
      <c r="C23" s="15" t="str">
        <f t="shared" si="4"/>
        <v xml:space="preserve"> - </v>
      </c>
      <c r="D23" s="16">
        <v>0</v>
      </c>
      <c r="E23" s="16">
        <v>0</v>
      </c>
      <c r="F23" s="17">
        <v>0</v>
      </c>
      <c r="G23" s="29">
        <v>0</v>
      </c>
      <c r="H23" s="18" t="e">
        <f t="shared" si="1"/>
        <v>#DIV/0!</v>
      </c>
      <c r="I23" s="18" t="e">
        <f t="shared" si="2"/>
        <v>#DIV/0!</v>
      </c>
      <c r="J23" s="17">
        <f t="shared" si="5"/>
        <v>0</v>
      </c>
      <c r="K23" s="17" t="e">
        <f t="shared" si="3"/>
        <v>#DIV/0!</v>
      </c>
      <c r="L23" s="16">
        <v>0</v>
      </c>
      <c r="M23" s="19" t="str">
        <f t="shared" si="6"/>
        <v>-</v>
      </c>
      <c r="N23" s="16">
        <v>1</v>
      </c>
      <c r="O23" s="20">
        <f t="shared" ref="O23:P23" si="31">D23/7</f>
        <v>0</v>
      </c>
      <c r="P23" s="20">
        <f t="shared" si="31"/>
        <v>0</v>
      </c>
      <c r="Q23" s="16" t="e">
        <f t="shared" si="8"/>
        <v>#DIV/0!</v>
      </c>
      <c r="R23" s="16"/>
      <c r="S23" s="21" t="e">
        <v>#N/A</v>
      </c>
      <c r="T23" s="14">
        <v>2202</v>
      </c>
      <c r="U23" s="22">
        <v>1002</v>
      </c>
      <c r="V23" s="23" t="s">
        <v>1473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35</v>
      </c>
      <c r="AB23" s="27">
        <f t="shared" si="11"/>
        <v>-0.69</v>
      </c>
      <c r="AC23" s="28">
        <v>0.11388454861111111</v>
      </c>
      <c r="AD23" s="25">
        <f t="shared" si="12"/>
        <v>0</v>
      </c>
      <c r="AE23" s="25">
        <v>-6.18</v>
      </c>
      <c r="AF23" s="25">
        <v>-10.3705</v>
      </c>
      <c r="AG23" s="25">
        <v>0</v>
      </c>
    </row>
    <row r="24" spans="1:33" ht="15.75" customHeight="1">
      <c r="A24" s="14" t="s">
        <v>50</v>
      </c>
      <c r="B24" s="14" t="s">
        <v>1474</v>
      </c>
      <c r="C24" s="15" t="str">
        <f t="shared" si="4"/>
        <v xml:space="preserve"> - </v>
      </c>
      <c r="D24" s="16">
        <v>0</v>
      </c>
      <c r="E24" s="16">
        <v>0</v>
      </c>
      <c r="F24" s="17">
        <v>0</v>
      </c>
      <c r="G24" s="17">
        <v>0</v>
      </c>
      <c r="H24" s="18" t="e">
        <f t="shared" si="1"/>
        <v>#DIV/0!</v>
      </c>
      <c r="I24" s="18" t="e">
        <f t="shared" si="2"/>
        <v>#DIV/0!</v>
      </c>
      <c r="J24" s="17">
        <f t="shared" si="5"/>
        <v>0</v>
      </c>
      <c r="K24" s="17" t="e">
        <f t="shared" si="3"/>
        <v>#DIV/0!</v>
      </c>
      <c r="L24" s="16">
        <v>0</v>
      </c>
      <c r="M24" s="19" t="str">
        <f t="shared" si="6"/>
        <v>-</v>
      </c>
      <c r="N24" s="16">
        <v>2</v>
      </c>
      <c r="O24" s="20">
        <f t="shared" ref="O24:P24" si="32">D24/7</f>
        <v>0</v>
      </c>
      <c r="P24" s="20">
        <f t="shared" si="32"/>
        <v>0</v>
      </c>
      <c r="Q24" s="16" t="e">
        <f t="shared" si="8"/>
        <v>#DIV/0!</v>
      </c>
      <c r="R24" s="16"/>
      <c r="S24" s="21" t="e">
        <v>#N/A</v>
      </c>
      <c r="T24" s="14">
        <v>2202</v>
      </c>
      <c r="U24" s="22">
        <v>1002</v>
      </c>
      <c r="V24" s="23" t="s">
        <v>1473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14" t="s">
        <v>35</v>
      </c>
      <c r="AB24" s="27">
        <f t="shared" si="11"/>
        <v>-0.69</v>
      </c>
      <c r="AC24" s="28">
        <v>0.11388454861111111</v>
      </c>
      <c r="AD24" s="25">
        <f t="shared" si="12"/>
        <v>0</v>
      </c>
      <c r="AE24" s="25">
        <v>-6.18</v>
      </c>
      <c r="AF24" s="25">
        <v>-10.3705</v>
      </c>
      <c r="AG24" s="25">
        <v>0</v>
      </c>
    </row>
    <row r="25" spans="1:33" ht="15.75" customHeight="1">
      <c r="A25" s="14" t="s">
        <v>51</v>
      </c>
      <c r="B25" s="14"/>
      <c r="C25" s="15">
        <f t="shared" si="4"/>
        <v>60.95</v>
      </c>
      <c r="D25" s="16">
        <v>1</v>
      </c>
      <c r="E25" s="16">
        <v>0</v>
      </c>
      <c r="F25" s="17">
        <v>60.95</v>
      </c>
      <c r="G25" s="17">
        <v>0</v>
      </c>
      <c r="H25" s="18">
        <f t="shared" si="1"/>
        <v>0</v>
      </c>
      <c r="I25" s="18">
        <f t="shared" si="2"/>
        <v>0.57588743761963368</v>
      </c>
      <c r="J25" s="17">
        <f t="shared" si="5"/>
        <v>35.100339322916675</v>
      </c>
      <c r="K25" s="17">
        <f t="shared" si="3"/>
        <v>35.100339322916675</v>
      </c>
      <c r="L25" s="16">
        <v>61</v>
      </c>
      <c r="M25" s="19">
        <f t="shared" si="6"/>
        <v>1.6393442622950821E-2</v>
      </c>
      <c r="N25" s="16">
        <v>1</v>
      </c>
      <c r="O25" s="20">
        <f t="shared" ref="O25:P25" si="33">D25/7</f>
        <v>0.14285714285714285</v>
      </c>
      <c r="P25" s="20">
        <f t="shared" si="33"/>
        <v>0</v>
      </c>
      <c r="Q25" s="16">
        <f t="shared" si="8"/>
        <v>7</v>
      </c>
      <c r="R25" s="16"/>
      <c r="S25" s="21">
        <v>2.7012987012987009</v>
      </c>
      <c r="T25" s="14">
        <v>2610</v>
      </c>
      <c r="U25" s="22">
        <v>1002</v>
      </c>
      <c r="V25" s="23" t="s">
        <v>1475</v>
      </c>
      <c r="W25" s="30">
        <v>0</v>
      </c>
      <c r="X25" s="24">
        <f t="shared" si="9"/>
        <v>0</v>
      </c>
      <c r="Y25" s="25">
        <f t="shared" si="10"/>
        <v>0</v>
      </c>
      <c r="Z25" s="30">
        <v>0</v>
      </c>
      <c r="AA25" s="14" t="s">
        <v>35</v>
      </c>
      <c r="AB25" s="27">
        <f t="shared" si="11"/>
        <v>-0.69</v>
      </c>
      <c r="AC25" s="28">
        <v>0.11388454861111111</v>
      </c>
      <c r="AD25" s="25">
        <f t="shared" si="12"/>
        <v>-0.15716067708333331</v>
      </c>
      <c r="AE25" s="25">
        <v>-6.18</v>
      </c>
      <c r="AF25" s="25">
        <v>-10.37</v>
      </c>
      <c r="AG25" s="25">
        <v>0</v>
      </c>
    </row>
    <row r="26" spans="1:33" ht="15.75" customHeight="1">
      <c r="A26" s="14" t="s">
        <v>52</v>
      </c>
      <c r="B26" s="14" t="s">
        <v>45</v>
      </c>
      <c r="C26" s="15" t="str">
        <f t="shared" si="4"/>
        <v xml:space="preserve"> - </v>
      </c>
      <c r="D26" s="16">
        <v>0</v>
      </c>
      <c r="E26" s="16">
        <v>0</v>
      </c>
      <c r="F26" s="17">
        <v>0</v>
      </c>
      <c r="G26" s="17">
        <v>0</v>
      </c>
      <c r="H26" s="18" t="e">
        <f t="shared" si="1"/>
        <v>#DIV/0!</v>
      </c>
      <c r="I26" s="18" t="e">
        <f t="shared" si="2"/>
        <v>#DIV/0!</v>
      </c>
      <c r="J26" s="17">
        <f t="shared" si="5"/>
        <v>0</v>
      </c>
      <c r="K26" s="17" t="e">
        <f t="shared" si="3"/>
        <v>#DIV/0!</v>
      </c>
      <c r="L26" s="16">
        <v>0</v>
      </c>
      <c r="M26" s="19" t="str">
        <f t="shared" si="6"/>
        <v>-</v>
      </c>
      <c r="N26" s="16">
        <v>1</v>
      </c>
      <c r="O26" s="20">
        <f t="shared" ref="O26:P26" si="34">D26/7</f>
        <v>0</v>
      </c>
      <c r="P26" s="20">
        <f t="shared" si="34"/>
        <v>0</v>
      </c>
      <c r="Q26" s="16" t="e">
        <f t="shared" si="8"/>
        <v>#DIV/0!</v>
      </c>
      <c r="R26" s="16"/>
      <c r="S26" s="21">
        <v>0</v>
      </c>
      <c r="T26" s="14">
        <v>2610</v>
      </c>
      <c r="U26" s="22">
        <v>1002</v>
      </c>
      <c r="V26" s="23" t="s">
        <v>1475</v>
      </c>
      <c r="W26" s="30">
        <v>0</v>
      </c>
      <c r="X26" s="24">
        <f t="shared" si="9"/>
        <v>0</v>
      </c>
      <c r="Y26" s="25">
        <f t="shared" si="10"/>
        <v>0</v>
      </c>
      <c r="Z26" s="30">
        <v>0</v>
      </c>
      <c r="AA26" s="14" t="s">
        <v>35</v>
      </c>
      <c r="AB26" s="27">
        <f t="shared" si="11"/>
        <v>-0.69</v>
      </c>
      <c r="AC26" s="28">
        <v>0.11388454861111111</v>
      </c>
      <c r="AD26" s="25">
        <f t="shared" si="12"/>
        <v>0</v>
      </c>
      <c r="AE26" s="25">
        <v>-6.18</v>
      </c>
      <c r="AF26" s="25">
        <v>-10.3705</v>
      </c>
      <c r="AG26" s="25">
        <v>0</v>
      </c>
    </row>
    <row r="27" spans="1:33" ht="15.75" customHeight="1">
      <c r="A27" s="14" t="s">
        <v>53</v>
      </c>
      <c r="B27" s="14" t="s">
        <v>1476</v>
      </c>
      <c r="C27" s="15" t="str">
        <f t="shared" si="4"/>
        <v xml:space="preserve"> - </v>
      </c>
      <c r="D27" s="16">
        <v>0</v>
      </c>
      <c r="E27" s="16">
        <v>0</v>
      </c>
      <c r="F27" s="17">
        <v>0</v>
      </c>
      <c r="G27" s="17">
        <v>0</v>
      </c>
      <c r="H27" s="18" t="e">
        <f t="shared" si="1"/>
        <v>#DIV/0!</v>
      </c>
      <c r="I27" s="18" t="e">
        <f t="shared" si="2"/>
        <v>#DIV/0!</v>
      </c>
      <c r="J27" s="17">
        <f t="shared" si="5"/>
        <v>0</v>
      </c>
      <c r="K27" s="17" t="e">
        <f t="shared" si="3"/>
        <v>#DIV/0!</v>
      </c>
      <c r="L27" s="16">
        <v>0</v>
      </c>
      <c r="M27" s="19" t="str">
        <f t="shared" si="6"/>
        <v>-</v>
      </c>
      <c r="N27" s="16">
        <v>997</v>
      </c>
      <c r="O27" s="20">
        <f t="shared" ref="O27:P27" si="35">D27/7</f>
        <v>0</v>
      </c>
      <c r="P27" s="20">
        <f t="shared" si="35"/>
        <v>0</v>
      </c>
      <c r="Q27" s="16" t="e">
        <f t="shared" si="8"/>
        <v>#DIV/0!</v>
      </c>
      <c r="R27" s="16"/>
      <c r="S27" s="21">
        <v>0.14615384615384619</v>
      </c>
      <c r="T27" s="14">
        <v>1608</v>
      </c>
      <c r="U27" s="22" t="s">
        <v>34</v>
      </c>
      <c r="V27" s="23" t="s">
        <v>34</v>
      </c>
      <c r="W27" s="30">
        <v>0</v>
      </c>
      <c r="X27" s="24">
        <f t="shared" si="9"/>
        <v>0</v>
      </c>
      <c r="Y27" s="25">
        <f t="shared" si="10"/>
        <v>0</v>
      </c>
      <c r="Z27" s="30">
        <v>0</v>
      </c>
      <c r="AA27" s="14" t="s">
        <v>35</v>
      </c>
      <c r="AB27" s="27">
        <f t="shared" si="11"/>
        <v>-0.69</v>
      </c>
      <c r="AC27" s="28">
        <v>0.11388454861111111</v>
      </c>
      <c r="AD27" s="25">
        <f t="shared" si="12"/>
        <v>0</v>
      </c>
      <c r="AE27" s="25">
        <v>-6.18</v>
      </c>
      <c r="AF27" s="25">
        <v>-12.7995</v>
      </c>
      <c r="AG27" s="25">
        <v>0</v>
      </c>
    </row>
    <row r="28" spans="1:33" ht="15.75" customHeight="1">
      <c r="A28" s="14" t="s">
        <v>54</v>
      </c>
      <c r="B28" s="14" t="s">
        <v>1477</v>
      </c>
      <c r="C28" s="15">
        <f t="shared" si="4"/>
        <v>29.704615384615387</v>
      </c>
      <c r="D28" s="16">
        <v>13</v>
      </c>
      <c r="E28" s="16">
        <v>0</v>
      </c>
      <c r="F28" s="17">
        <v>386.16</v>
      </c>
      <c r="G28" s="17">
        <v>0</v>
      </c>
      <c r="H28" s="18">
        <f t="shared" si="1"/>
        <v>0</v>
      </c>
      <c r="I28" s="18">
        <f t="shared" si="2"/>
        <v>0.21250106483819312</v>
      </c>
      <c r="J28" s="17">
        <f t="shared" si="5"/>
        <v>82.05941119791666</v>
      </c>
      <c r="K28" s="17">
        <f t="shared" si="3"/>
        <v>6.3122623998397431</v>
      </c>
      <c r="L28" s="16">
        <v>68</v>
      </c>
      <c r="M28" s="19">
        <f t="shared" si="6"/>
        <v>0.19117647058823528</v>
      </c>
      <c r="N28" s="16">
        <v>986</v>
      </c>
      <c r="O28" s="20">
        <f t="shared" ref="O28:P28" si="36">D28/7</f>
        <v>1.8571428571428572</v>
      </c>
      <c r="P28" s="20">
        <f t="shared" si="36"/>
        <v>0</v>
      </c>
      <c r="Q28" s="16">
        <f t="shared" si="8"/>
        <v>530</v>
      </c>
      <c r="R28" s="16"/>
      <c r="S28" s="21">
        <v>0.1528175740210124</v>
      </c>
      <c r="T28" s="14">
        <v>2412</v>
      </c>
      <c r="U28" s="22" t="s">
        <v>34</v>
      </c>
      <c r="V28" s="23" t="s">
        <v>34</v>
      </c>
      <c r="W28" s="30">
        <v>0</v>
      </c>
      <c r="X28" s="24">
        <f t="shared" si="9"/>
        <v>0</v>
      </c>
      <c r="Y28" s="25">
        <f t="shared" si="10"/>
        <v>0</v>
      </c>
      <c r="Z28" s="30">
        <v>0</v>
      </c>
      <c r="AA28" s="14" t="s">
        <v>35</v>
      </c>
      <c r="AB28" s="27">
        <f t="shared" si="11"/>
        <v>-0.69</v>
      </c>
      <c r="AC28" s="28">
        <v>0.11388454861111111</v>
      </c>
      <c r="AD28" s="25">
        <f t="shared" si="12"/>
        <v>-2.0430888020833331</v>
      </c>
      <c r="AE28" s="25">
        <v>-5.98</v>
      </c>
      <c r="AF28" s="25">
        <v>-12.7995</v>
      </c>
      <c r="AG28" s="25">
        <v>0</v>
      </c>
    </row>
    <row r="29" spans="1:33" ht="15.75" customHeight="1">
      <c r="A29" s="14" t="s">
        <v>55</v>
      </c>
      <c r="B29" s="14" t="s">
        <v>66</v>
      </c>
      <c r="C29" s="15">
        <f t="shared" si="4"/>
        <v>26.844081632653062</v>
      </c>
      <c r="D29" s="16">
        <v>147</v>
      </c>
      <c r="E29" s="16">
        <v>0</v>
      </c>
      <c r="F29" s="17">
        <v>3946.08</v>
      </c>
      <c r="G29" s="17">
        <v>-566.84</v>
      </c>
      <c r="H29" s="18">
        <f t="shared" si="1"/>
        <v>0.14364635283623242</v>
      </c>
      <c r="I29" s="18">
        <f t="shared" si="2"/>
        <v>9.2215070874121236E-4</v>
      </c>
      <c r="J29" s="17">
        <f t="shared" si="5"/>
        <v>3.6388804687495231</v>
      </c>
      <c r="K29" s="17">
        <f t="shared" si="3"/>
        <v>2.4754288903057982E-2</v>
      </c>
      <c r="L29" s="16">
        <v>308</v>
      </c>
      <c r="M29" s="19">
        <f t="shared" si="6"/>
        <v>0.47727272727272729</v>
      </c>
      <c r="N29" s="16">
        <v>627</v>
      </c>
      <c r="O29" s="20">
        <f t="shared" ref="O29:P29" si="37">D29/7</f>
        <v>21</v>
      </c>
      <c r="P29" s="20">
        <f t="shared" si="37"/>
        <v>0</v>
      </c>
      <c r="Q29" s="16">
        <f t="shared" si="8"/>
        <v>29</v>
      </c>
      <c r="R29" s="16"/>
      <c r="S29" s="21">
        <v>0.81167883211678837</v>
      </c>
      <c r="T29" s="14">
        <v>2892</v>
      </c>
      <c r="U29" s="22">
        <v>44428</v>
      </c>
      <c r="V29" s="23" t="s">
        <v>1478</v>
      </c>
      <c r="W29" s="30">
        <v>71</v>
      </c>
      <c r="X29" s="24">
        <f t="shared" si="9"/>
        <v>0.48299319727891155</v>
      </c>
      <c r="Y29" s="25">
        <f t="shared" si="10"/>
        <v>5.503300970873787</v>
      </c>
      <c r="Z29" s="30">
        <v>32</v>
      </c>
      <c r="AA29" s="14" t="s">
        <v>35</v>
      </c>
      <c r="AB29" s="27">
        <f t="shared" si="11"/>
        <v>-0.69</v>
      </c>
      <c r="AC29" s="28">
        <v>0.11388454861111111</v>
      </c>
      <c r="AD29" s="25">
        <f t="shared" si="12"/>
        <v>-23.102619531249996</v>
      </c>
      <c r="AE29" s="25">
        <v>-5.98</v>
      </c>
      <c r="AF29" s="25">
        <v>-12.7995</v>
      </c>
      <c r="AG29" s="25">
        <v>0</v>
      </c>
    </row>
    <row r="30" spans="1:33" ht="15.75" customHeight="1">
      <c r="A30" s="14" t="s">
        <v>57</v>
      </c>
      <c r="B30" s="14" t="s">
        <v>1479</v>
      </c>
      <c r="C30" s="15">
        <f t="shared" si="4"/>
        <v>27.031472868217016</v>
      </c>
      <c r="D30" s="16">
        <v>129</v>
      </c>
      <c r="E30" s="16">
        <v>0</v>
      </c>
      <c r="F30" s="17">
        <v>3487.0599999999949</v>
      </c>
      <c r="G30" s="17">
        <v>-123.85</v>
      </c>
      <c r="H30" s="18">
        <f t="shared" si="1"/>
        <v>3.5517025803972452E-2</v>
      </c>
      <c r="I30" s="18">
        <f t="shared" si="2"/>
        <v>0.11518493449101719</v>
      </c>
      <c r="J30" s="17">
        <f t="shared" si="5"/>
        <v>401.65677766624583</v>
      </c>
      <c r="K30" s="17">
        <f t="shared" si="3"/>
        <v>3.1136184315212856</v>
      </c>
      <c r="L30" s="16">
        <v>216</v>
      </c>
      <c r="M30" s="19">
        <f t="shared" si="6"/>
        <v>0.59722222222222221</v>
      </c>
      <c r="N30" s="16">
        <v>613</v>
      </c>
      <c r="O30" s="20">
        <f t="shared" ref="O30:P30" si="38">D30/7</f>
        <v>18.428571428571427</v>
      </c>
      <c r="P30" s="20">
        <f t="shared" si="38"/>
        <v>0</v>
      </c>
      <c r="Q30" s="16">
        <f t="shared" si="8"/>
        <v>33</v>
      </c>
      <c r="R30" s="16"/>
      <c r="S30" s="21">
        <v>1.2847124824684431</v>
      </c>
      <c r="T30" s="14">
        <v>1404</v>
      </c>
      <c r="U30" s="22">
        <v>480</v>
      </c>
      <c r="V30" s="23" t="s">
        <v>1478</v>
      </c>
      <c r="W30" s="30">
        <v>17</v>
      </c>
      <c r="X30" s="24">
        <f t="shared" si="9"/>
        <v>0.13178294573643412</v>
      </c>
      <c r="Y30" s="25">
        <f t="shared" si="10"/>
        <v>4.587037037037037</v>
      </c>
      <c r="Z30" s="30">
        <v>10</v>
      </c>
      <c r="AA30" s="14" t="s">
        <v>35</v>
      </c>
      <c r="AB30" s="27">
        <f t="shared" si="11"/>
        <v>-0.69</v>
      </c>
      <c r="AC30" s="28">
        <v>0.11388454861111111</v>
      </c>
      <c r="AD30" s="25">
        <f t="shared" si="12"/>
        <v>-20.273727343749997</v>
      </c>
      <c r="AE30" s="25">
        <v>-5.98</v>
      </c>
      <c r="AF30" s="25">
        <v>-12.765895309999999</v>
      </c>
      <c r="AG30" s="25">
        <v>0</v>
      </c>
    </row>
    <row r="31" spans="1:33" ht="15.75" customHeight="1">
      <c r="A31" s="14" t="s">
        <v>58</v>
      </c>
      <c r="B31" s="14" t="s">
        <v>1277</v>
      </c>
      <c r="C31" s="15">
        <f t="shared" si="4"/>
        <v>26.785546875000019</v>
      </c>
      <c r="D31" s="16">
        <v>128</v>
      </c>
      <c r="E31" s="16">
        <v>0</v>
      </c>
      <c r="F31" s="17">
        <v>3428.5500000000025</v>
      </c>
      <c r="G31" s="17">
        <v>0</v>
      </c>
      <c r="H31" s="18">
        <f t="shared" si="1"/>
        <v>0</v>
      </c>
      <c r="I31" s="18">
        <f t="shared" si="2"/>
        <v>0.14428149907492532</v>
      </c>
      <c r="J31" s="17">
        <f t="shared" si="5"/>
        <v>494.67633365333558</v>
      </c>
      <c r="K31" s="17">
        <f t="shared" si="3"/>
        <v>3.8646588566666842</v>
      </c>
      <c r="L31" s="16">
        <v>229</v>
      </c>
      <c r="M31" s="19">
        <f t="shared" si="6"/>
        <v>0.55895196506550215</v>
      </c>
      <c r="N31" s="16">
        <v>537</v>
      </c>
      <c r="O31" s="20">
        <f t="shared" ref="O31:P31" si="39">D31/7</f>
        <v>18.285714285714285</v>
      </c>
      <c r="P31" s="20">
        <f t="shared" si="39"/>
        <v>0</v>
      </c>
      <c r="Q31" s="16">
        <f t="shared" si="8"/>
        <v>29</v>
      </c>
      <c r="R31" s="16"/>
      <c r="S31" s="21">
        <v>2.36774193548387</v>
      </c>
      <c r="T31" s="14">
        <v>720</v>
      </c>
      <c r="U31" s="22">
        <v>480</v>
      </c>
      <c r="V31" s="23" t="s">
        <v>1480</v>
      </c>
      <c r="W31" s="30">
        <v>0</v>
      </c>
      <c r="X31" s="24">
        <f t="shared" si="9"/>
        <v>0</v>
      </c>
      <c r="Y31" s="25">
        <f t="shared" si="10"/>
        <v>0</v>
      </c>
      <c r="Z31" s="30">
        <v>0</v>
      </c>
      <c r="AA31" s="14" t="s">
        <v>35</v>
      </c>
      <c r="AB31" s="27">
        <f t="shared" si="11"/>
        <v>-0.69</v>
      </c>
      <c r="AC31" s="28">
        <v>0.11388454861111111</v>
      </c>
      <c r="AD31" s="25">
        <f t="shared" si="12"/>
        <v>-20.116566666666664</v>
      </c>
      <c r="AE31" s="25">
        <v>-5.98</v>
      </c>
      <c r="AF31" s="25">
        <v>-12.765895309999999</v>
      </c>
      <c r="AG31" s="25">
        <v>0</v>
      </c>
    </row>
    <row r="32" spans="1:33" ht="15.75" customHeight="1">
      <c r="A32" s="14" t="s">
        <v>60</v>
      </c>
      <c r="B32" s="14"/>
      <c r="C32" s="15">
        <f t="shared" si="4"/>
        <v>29.580390625</v>
      </c>
      <c r="D32" s="16">
        <v>128</v>
      </c>
      <c r="E32" s="16">
        <v>1</v>
      </c>
      <c r="F32" s="17">
        <v>3786.29</v>
      </c>
      <c r="G32" s="17">
        <v>0</v>
      </c>
      <c r="H32" s="18">
        <f t="shared" si="1"/>
        <v>0</v>
      </c>
      <c r="I32" s="18">
        <f t="shared" si="2"/>
        <v>0.21095989310204274</v>
      </c>
      <c r="J32" s="17">
        <f t="shared" si="5"/>
        <v>798.75533365333342</v>
      </c>
      <c r="K32" s="17">
        <f t="shared" si="3"/>
        <v>6.2402760441666674</v>
      </c>
      <c r="L32" s="16">
        <v>202</v>
      </c>
      <c r="M32" s="19">
        <f t="shared" si="6"/>
        <v>0.63366336633663367</v>
      </c>
      <c r="N32" s="16">
        <v>444</v>
      </c>
      <c r="O32" s="20">
        <f t="shared" ref="O32:P32" si="40">D32/7</f>
        <v>18.285714285714285</v>
      </c>
      <c r="P32" s="20">
        <f t="shared" si="40"/>
        <v>0.14285714285714285</v>
      </c>
      <c r="Q32" s="16">
        <f t="shared" si="8"/>
        <v>24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1.3893333333333331</v>
      </c>
      <c r="T32" s="14">
        <f ca="1">IFERROR(__xludf.DUMMYFUNCTION("IFERROR(VLOOKUP($B$2,IMPORTRANGE(""https://docs.google.com/spreadsheets/d/1KiWZV1ko8G7lnRucBRBd29jj3Be6ltMfljMDqzOkQmI/edit#gid=1381463014"",""Lookup!A:D""),4,FALSE),"""")"),720)</f>
        <v>720</v>
      </c>
      <c r="U32" s="22">
        <f ca="1">IFERROR(__xludf.DUMMYFUNCTION("IFERROR(VLOOKUP($B$2,IMPORTRANGE(""https://docs.google.com/spreadsheets/d/1KiWZV1ko8G7lnRucBRBd29jj3Be6ltMfljMDqzOkQmI/edit#gid=1381463014"",""Lookup!A:D""),3,FALSE),"""")"),480)</f>
        <v>480</v>
      </c>
      <c r="V32" s="23" t="str">
        <f ca="1">IFERROR(__xludf.DUMMYFUNCTION("IFERROR(VLOOKUP($B$2,IMPORTRANGE(""https://docs.google.com/spreadsheets/d/1KiWZV1ko8G7lnRucBRBd29jj3Be6ltMfljMDqzOkQmI/edit#gid=1381463014"",""Lookup!A:D""),2,FALSE),"""")"),"| 418  - 480 units 09/03")</f>
        <v>| 418  - 480 units 09/03</v>
      </c>
      <c r="W32" s="30">
        <v>0</v>
      </c>
      <c r="X32" s="24">
        <f t="shared" si="9"/>
        <v>0</v>
      </c>
      <c r="Y32" s="25">
        <f t="shared" si="10"/>
        <v>0</v>
      </c>
      <c r="Z32" s="30">
        <v>0</v>
      </c>
      <c r="AA32" s="14" t="s">
        <v>35</v>
      </c>
      <c r="AB32" s="27">
        <f t="shared" si="11"/>
        <v>-0.69</v>
      </c>
      <c r="AC32" s="28">
        <v>0.11388454861111111</v>
      </c>
      <c r="AD32" s="25">
        <f t="shared" si="12"/>
        <v>-20.116566666666664</v>
      </c>
      <c r="AE32" s="25">
        <v>-5.98</v>
      </c>
      <c r="AF32" s="25">
        <v>-12.765895309999999</v>
      </c>
      <c r="AG32" s="25">
        <v>0</v>
      </c>
    </row>
    <row r="33" spans="1:33" ht="15.75" customHeight="1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16"/>
      <c r="S33" s="21"/>
      <c r="T33" s="31"/>
      <c r="U33" s="36"/>
      <c r="V33" s="1"/>
      <c r="W33" s="31"/>
      <c r="X33" s="31"/>
      <c r="Y33" s="31"/>
      <c r="Z33" s="31"/>
      <c r="AA33" s="2"/>
      <c r="AB33" s="31"/>
      <c r="AC33" s="31"/>
      <c r="AD33" s="31"/>
      <c r="AE33" s="37"/>
      <c r="AF33" s="37"/>
      <c r="AG33" s="37"/>
    </row>
    <row r="34" spans="1:33" ht="15.75" customHeight="1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6"/>
      <c r="V34" s="1"/>
      <c r="W34" s="31"/>
      <c r="X34" s="31"/>
      <c r="Y34" s="31"/>
      <c r="Z34" s="31"/>
      <c r="AA34" s="2"/>
      <c r="AB34" s="31"/>
      <c r="AC34" s="31"/>
      <c r="AD34" s="31"/>
      <c r="AE34" s="37"/>
      <c r="AF34" s="37"/>
      <c r="AG34" s="37"/>
    </row>
    <row r="35" spans="1:33" ht="15.75" customHeight="1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6"/>
      <c r="V35" s="1"/>
      <c r="W35" s="31"/>
      <c r="X35" s="31"/>
      <c r="Y35" s="31"/>
      <c r="Z35" s="31"/>
      <c r="AA35" s="2"/>
      <c r="AB35" s="31"/>
      <c r="AC35" s="31"/>
      <c r="AD35" s="31"/>
      <c r="AE35" s="37"/>
      <c r="AF35" s="37"/>
      <c r="AG35" s="37"/>
    </row>
    <row r="36" spans="1:33" ht="15.75" customHeight="1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6"/>
      <c r="V36" s="1"/>
      <c r="W36" s="31"/>
      <c r="X36" s="31"/>
      <c r="Y36" s="31"/>
      <c r="Z36" s="31"/>
      <c r="AA36" s="2"/>
      <c r="AB36" s="31"/>
      <c r="AC36" s="31"/>
      <c r="AD36" s="31"/>
      <c r="AE36" s="37"/>
      <c r="AF36" s="37"/>
      <c r="AG36" s="37"/>
    </row>
    <row r="37" spans="1:33" ht="15.75" customHeight="1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6"/>
      <c r="V37" s="1"/>
      <c r="W37" s="31"/>
      <c r="X37" s="31"/>
      <c r="Y37" s="31"/>
      <c r="Z37" s="31"/>
      <c r="AA37" s="2"/>
      <c r="AB37" s="31"/>
      <c r="AC37" s="31"/>
      <c r="AD37" s="31"/>
      <c r="AE37" s="37"/>
      <c r="AF37" s="37"/>
      <c r="AG37" s="37"/>
    </row>
    <row r="38" spans="1:33" ht="15.75" customHeight="1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6"/>
      <c r="V38" s="1"/>
      <c r="W38" s="31"/>
      <c r="X38" s="31"/>
      <c r="Y38" s="31"/>
      <c r="Z38" s="31"/>
      <c r="AA38" s="2"/>
      <c r="AB38" s="31"/>
      <c r="AC38" s="31"/>
      <c r="AD38" s="31"/>
      <c r="AE38" s="37"/>
      <c r="AF38" s="37"/>
      <c r="AG38" s="37"/>
    </row>
    <row r="39" spans="1:33" ht="15.75" customHeight="1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6"/>
      <c r="V39" s="1"/>
      <c r="W39" s="31"/>
      <c r="X39" s="31"/>
      <c r="Y39" s="31"/>
      <c r="Z39" s="31"/>
      <c r="AA39" s="2"/>
      <c r="AB39" s="31"/>
      <c r="AC39" s="31"/>
      <c r="AD39" s="31"/>
      <c r="AE39" s="37"/>
      <c r="AF39" s="37"/>
      <c r="AG39" s="37"/>
    </row>
    <row r="40" spans="1:33" ht="15.75" customHeight="1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6"/>
      <c r="V40" s="1"/>
      <c r="W40" s="31"/>
      <c r="X40" s="31"/>
      <c r="Y40" s="31"/>
      <c r="Z40" s="31"/>
      <c r="AA40" s="2"/>
      <c r="AB40" s="31"/>
      <c r="AC40" s="31"/>
      <c r="AD40" s="31"/>
      <c r="AE40" s="37"/>
      <c r="AF40" s="37"/>
      <c r="AG40" s="37"/>
    </row>
    <row r="41" spans="1:33" ht="15.75" customHeight="1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6"/>
      <c r="V41" s="1"/>
      <c r="W41" s="31"/>
      <c r="X41" s="31"/>
      <c r="Y41" s="31"/>
      <c r="Z41" s="31"/>
      <c r="AA41" s="2"/>
      <c r="AB41" s="31"/>
      <c r="AC41" s="31"/>
      <c r="AD41" s="31"/>
      <c r="AE41" s="37"/>
      <c r="AF41" s="37"/>
      <c r="AG41" s="37"/>
    </row>
    <row r="42" spans="1:33" ht="15.75" customHeight="1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6"/>
      <c r="V42" s="1"/>
      <c r="W42" s="31"/>
      <c r="X42" s="31"/>
      <c r="Y42" s="31"/>
      <c r="Z42" s="31"/>
      <c r="AA42" s="2"/>
      <c r="AB42" s="31"/>
      <c r="AC42" s="31"/>
      <c r="AD42" s="31"/>
      <c r="AE42" s="37"/>
      <c r="AF42" s="37"/>
      <c r="AG42" s="37"/>
    </row>
    <row r="43" spans="1:33" ht="15.75" customHeight="1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6"/>
      <c r="V43" s="1"/>
      <c r="W43" s="31"/>
      <c r="X43" s="31"/>
      <c r="Y43" s="31"/>
      <c r="Z43" s="31"/>
      <c r="AA43" s="2"/>
      <c r="AB43" s="31"/>
      <c r="AC43" s="31"/>
      <c r="AD43" s="31"/>
      <c r="AE43" s="37"/>
      <c r="AF43" s="37"/>
      <c r="AG43" s="37"/>
    </row>
    <row r="44" spans="1:33" ht="15.75" customHeight="1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6"/>
      <c r="V44" s="1"/>
      <c r="W44" s="31"/>
      <c r="X44" s="31"/>
      <c r="Y44" s="31"/>
      <c r="Z44" s="31"/>
      <c r="AA44" s="2"/>
      <c r="AB44" s="31"/>
      <c r="AC44" s="31"/>
      <c r="AD44" s="31"/>
      <c r="AE44" s="37"/>
      <c r="AF44" s="37"/>
      <c r="AG44" s="37"/>
    </row>
    <row r="45" spans="1:33" ht="15.75" customHeight="1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6"/>
      <c r="V45" s="1"/>
      <c r="W45" s="31"/>
      <c r="X45" s="31"/>
      <c r="Y45" s="31"/>
      <c r="Z45" s="31"/>
      <c r="AA45" s="2"/>
      <c r="AB45" s="31"/>
      <c r="AC45" s="31"/>
      <c r="AD45" s="31"/>
      <c r="AE45" s="37"/>
      <c r="AF45" s="37"/>
      <c r="AG45" s="37"/>
    </row>
    <row r="46" spans="1:33" ht="15.75" customHeight="1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6"/>
      <c r="V46" s="1"/>
      <c r="W46" s="31"/>
      <c r="X46" s="31"/>
      <c r="Y46" s="31"/>
      <c r="Z46" s="31"/>
      <c r="AA46" s="2"/>
      <c r="AB46" s="31"/>
      <c r="AC46" s="31"/>
      <c r="AD46" s="31"/>
      <c r="AE46" s="37"/>
      <c r="AF46" s="37"/>
      <c r="AG46" s="37"/>
    </row>
    <row r="47" spans="1:33" ht="15.75" customHeight="1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6"/>
      <c r="V47" s="1"/>
      <c r="W47" s="31"/>
      <c r="X47" s="31"/>
      <c r="Y47" s="31"/>
      <c r="Z47" s="31"/>
      <c r="AA47" s="2"/>
      <c r="AB47" s="31"/>
      <c r="AC47" s="31"/>
      <c r="AD47" s="31"/>
      <c r="AE47" s="37"/>
      <c r="AF47" s="37"/>
      <c r="AG47" s="37"/>
    </row>
    <row r="48" spans="1:33" ht="15.75" customHeight="1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6"/>
      <c r="V48" s="1"/>
      <c r="W48" s="31"/>
      <c r="X48" s="31"/>
      <c r="Y48" s="31"/>
      <c r="Z48" s="31"/>
      <c r="AA48" s="2"/>
      <c r="AB48" s="31"/>
      <c r="AC48" s="31"/>
      <c r="AD48" s="31"/>
      <c r="AE48" s="37"/>
      <c r="AF48" s="37"/>
      <c r="AG48" s="37"/>
    </row>
    <row r="49" spans="1:33" ht="15.75" customHeight="1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6"/>
      <c r="V49" s="1"/>
      <c r="W49" s="31"/>
      <c r="X49" s="31"/>
      <c r="Y49" s="31"/>
      <c r="Z49" s="31"/>
      <c r="AA49" s="2"/>
      <c r="AB49" s="31"/>
      <c r="AC49" s="31"/>
      <c r="AD49" s="31"/>
      <c r="AE49" s="37"/>
      <c r="AF49" s="37"/>
      <c r="AG49" s="37"/>
    </row>
    <row r="50" spans="1:33" ht="15.75" customHeight="1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6"/>
      <c r="V50" s="1"/>
      <c r="W50" s="31"/>
      <c r="X50" s="31"/>
      <c r="Y50" s="31"/>
      <c r="Z50" s="31"/>
      <c r="AA50" s="2"/>
      <c r="AB50" s="31"/>
      <c r="AC50" s="31"/>
      <c r="AD50" s="31"/>
      <c r="AE50" s="37"/>
      <c r="AF50" s="37"/>
      <c r="AG50" s="37"/>
    </row>
    <row r="51" spans="1:33" ht="15.75" customHeight="1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6"/>
      <c r="V51" s="1"/>
      <c r="W51" s="31"/>
      <c r="X51" s="31"/>
      <c r="Y51" s="31"/>
      <c r="Z51" s="31"/>
      <c r="AA51" s="2"/>
      <c r="AB51" s="31"/>
      <c r="AC51" s="31"/>
      <c r="AD51" s="31"/>
      <c r="AE51" s="37"/>
      <c r="AF51" s="37"/>
      <c r="AG51" s="37"/>
    </row>
    <row r="52" spans="1:33" ht="15.75" customHeight="1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6"/>
      <c r="V52" s="1"/>
      <c r="W52" s="31"/>
      <c r="X52" s="31"/>
      <c r="Y52" s="31"/>
      <c r="Z52" s="31"/>
      <c r="AA52" s="2"/>
      <c r="AB52" s="31"/>
      <c r="AC52" s="31"/>
      <c r="AD52" s="31"/>
      <c r="AE52" s="37"/>
      <c r="AF52" s="37"/>
      <c r="AG52" s="37"/>
    </row>
    <row r="53" spans="1:33" ht="15.75" customHeight="1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6"/>
      <c r="V53" s="1"/>
      <c r="W53" s="31"/>
      <c r="X53" s="31"/>
      <c r="Y53" s="31"/>
      <c r="Z53" s="31"/>
      <c r="AA53" s="2"/>
      <c r="AB53" s="31"/>
      <c r="AC53" s="31"/>
      <c r="AD53" s="31"/>
      <c r="AE53" s="37"/>
      <c r="AF53" s="37"/>
      <c r="AG53" s="37"/>
    </row>
    <row r="54" spans="1:33" ht="15.75" customHeight="1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6"/>
      <c r="V54" s="1"/>
      <c r="W54" s="31"/>
      <c r="X54" s="31"/>
      <c r="Y54" s="31"/>
      <c r="Z54" s="31"/>
      <c r="AA54" s="2"/>
      <c r="AB54" s="31"/>
      <c r="AC54" s="31"/>
      <c r="AD54" s="31"/>
      <c r="AE54" s="37"/>
      <c r="AF54" s="37"/>
      <c r="AG54" s="37"/>
    </row>
    <row r="55" spans="1:33" ht="15.75" customHeight="1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6"/>
      <c r="V55" s="1"/>
      <c r="W55" s="31"/>
      <c r="X55" s="31"/>
      <c r="Y55" s="31"/>
      <c r="Z55" s="31"/>
      <c r="AA55" s="2"/>
      <c r="AB55" s="31"/>
      <c r="AC55" s="31"/>
      <c r="AD55" s="31"/>
      <c r="AE55" s="37"/>
      <c r="AF55" s="37"/>
      <c r="AG55" s="37"/>
    </row>
    <row r="56" spans="1:33" ht="15.75" customHeight="1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6"/>
      <c r="V56" s="1"/>
      <c r="W56" s="31"/>
      <c r="X56" s="31"/>
      <c r="Y56" s="31"/>
      <c r="Z56" s="31"/>
      <c r="AA56" s="2"/>
      <c r="AB56" s="31"/>
      <c r="AC56" s="31"/>
      <c r="AD56" s="31"/>
      <c r="AE56" s="37"/>
      <c r="AF56" s="37"/>
      <c r="AG56" s="37"/>
    </row>
    <row r="57" spans="1:33" ht="15.75" customHeight="1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6"/>
      <c r="V57" s="1"/>
      <c r="W57" s="31"/>
      <c r="X57" s="31"/>
      <c r="Y57" s="31"/>
      <c r="Z57" s="31"/>
      <c r="AA57" s="2"/>
      <c r="AB57" s="31"/>
      <c r="AC57" s="31"/>
      <c r="AD57" s="31"/>
      <c r="AE57" s="37"/>
      <c r="AF57" s="37"/>
      <c r="AG57" s="37"/>
    </row>
    <row r="58" spans="1:33" ht="15.75" customHeight="1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6"/>
      <c r="V58" s="1"/>
      <c r="W58" s="31"/>
      <c r="X58" s="31"/>
      <c r="Y58" s="31"/>
      <c r="Z58" s="31"/>
      <c r="AA58" s="2"/>
      <c r="AB58" s="31"/>
      <c r="AC58" s="31"/>
      <c r="AD58" s="31"/>
      <c r="AE58" s="37"/>
      <c r="AF58" s="37"/>
      <c r="AG58" s="37"/>
    </row>
    <row r="59" spans="1:33" ht="15.75" customHeight="1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6"/>
      <c r="V59" s="1"/>
      <c r="W59" s="31"/>
      <c r="X59" s="31"/>
      <c r="Y59" s="31"/>
      <c r="Z59" s="31"/>
      <c r="AA59" s="2"/>
      <c r="AB59" s="31"/>
      <c r="AC59" s="31"/>
      <c r="AD59" s="31"/>
      <c r="AE59" s="37"/>
      <c r="AF59" s="37"/>
      <c r="AG59" s="37"/>
    </row>
    <row r="60" spans="1:33" ht="15.75" customHeight="1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6"/>
      <c r="V60" s="1"/>
      <c r="W60" s="31"/>
      <c r="X60" s="31"/>
      <c r="Y60" s="31"/>
      <c r="Z60" s="31"/>
      <c r="AA60" s="2"/>
      <c r="AB60" s="31"/>
      <c r="AC60" s="31"/>
      <c r="AD60" s="31"/>
      <c r="AE60" s="37"/>
      <c r="AF60" s="37"/>
      <c r="AG60" s="37"/>
    </row>
    <row r="61" spans="1:33" ht="15.75" customHeight="1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6"/>
      <c r="V61" s="1"/>
      <c r="W61" s="31"/>
      <c r="X61" s="31"/>
      <c r="Y61" s="31"/>
      <c r="Z61" s="31"/>
      <c r="AA61" s="2"/>
      <c r="AB61" s="31"/>
      <c r="AC61" s="31"/>
      <c r="AD61" s="31"/>
      <c r="AE61" s="37"/>
      <c r="AF61" s="37"/>
      <c r="AG61" s="37"/>
    </row>
    <row r="62" spans="1:33" ht="15.75" customHeight="1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6"/>
      <c r="V62" s="1"/>
      <c r="W62" s="31"/>
      <c r="X62" s="31"/>
      <c r="Y62" s="31"/>
      <c r="Z62" s="31"/>
      <c r="AA62" s="2"/>
      <c r="AB62" s="31"/>
      <c r="AC62" s="31"/>
      <c r="AD62" s="31"/>
      <c r="AE62" s="37"/>
      <c r="AF62" s="37"/>
      <c r="AG62" s="37"/>
    </row>
    <row r="63" spans="1:33" ht="15.75" customHeight="1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6"/>
      <c r="V63" s="1"/>
      <c r="W63" s="31"/>
      <c r="X63" s="31"/>
      <c r="Y63" s="31"/>
      <c r="Z63" s="31"/>
      <c r="AA63" s="2"/>
      <c r="AB63" s="31"/>
      <c r="AC63" s="31"/>
      <c r="AD63" s="31"/>
      <c r="AE63" s="37"/>
      <c r="AF63" s="37"/>
      <c r="AG63" s="37"/>
    </row>
    <row r="64" spans="1:33" ht="15.75" customHeight="1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6"/>
      <c r="V64" s="1"/>
      <c r="W64" s="31"/>
      <c r="X64" s="31"/>
      <c r="Y64" s="31"/>
      <c r="Z64" s="31"/>
      <c r="AA64" s="2"/>
      <c r="AB64" s="31"/>
      <c r="AC64" s="31"/>
      <c r="AD64" s="31"/>
      <c r="AE64" s="37"/>
      <c r="AF64" s="37"/>
      <c r="AG64" s="37"/>
    </row>
    <row r="65" spans="1:33" ht="15.75" customHeight="1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6"/>
      <c r="V65" s="1"/>
      <c r="W65" s="31"/>
      <c r="X65" s="31"/>
      <c r="Y65" s="31"/>
      <c r="Z65" s="31"/>
      <c r="AA65" s="2"/>
      <c r="AB65" s="31"/>
      <c r="AC65" s="31"/>
      <c r="AD65" s="31"/>
      <c r="AE65" s="37"/>
      <c r="AF65" s="37"/>
      <c r="AG65" s="37"/>
    </row>
    <row r="66" spans="1:33" ht="15.75" customHeight="1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6"/>
      <c r="V66" s="1"/>
      <c r="W66" s="31"/>
      <c r="X66" s="31"/>
      <c r="Y66" s="31"/>
      <c r="Z66" s="31"/>
      <c r="AA66" s="2"/>
      <c r="AB66" s="31"/>
      <c r="AC66" s="31"/>
      <c r="AD66" s="31"/>
      <c r="AE66" s="37"/>
      <c r="AF66" s="37"/>
      <c r="AG66" s="37"/>
    </row>
    <row r="67" spans="1:33" ht="15.75" customHeight="1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6"/>
      <c r="V67" s="1"/>
      <c r="W67" s="31"/>
      <c r="X67" s="31"/>
      <c r="Y67" s="31"/>
      <c r="Z67" s="31"/>
      <c r="AA67" s="2"/>
      <c r="AB67" s="31"/>
      <c r="AC67" s="31"/>
      <c r="AD67" s="31"/>
      <c r="AE67" s="37"/>
      <c r="AF67" s="37"/>
      <c r="AG67" s="37"/>
    </row>
    <row r="68" spans="1:33" ht="15.75" customHeight="1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6"/>
      <c r="V68" s="1"/>
      <c r="W68" s="31"/>
      <c r="X68" s="31"/>
      <c r="Y68" s="31"/>
      <c r="Z68" s="31"/>
      <c r="AA68" s="2"/>
      <c r="AB68" s="31"/>
      <c r="AC68" s="31"/>
      <c r="AD68" s="31"/>
      <c r="AE68" s="37"/>
      <c r="AF68" s="37"/>
      <c r="AG68" s="37"/>
    </row>
    <row r="69" spans="1:33" ht="15.75" customHeight="1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6"/>
      <c r="V69" s="1"/>
      <c r="W69" s="31"/>
      <c r="X69" s="31"/>
      <c r="Y69" s="31"/>
      <c r="Z69" s="31"/>
      <c r="AA69" s="2"/>
      <c r="AB69" s="31"/>
      <c r="AC69" s="31"/>
      <c r="AD69" s="31"/>
      <c r="AE69" s="37"/>
      <c r="AF69" s="37"/>
      <c r="AG69" s="37"/>
    </row>
    <row r="70" spans="1:33" ht="15.75" customHeight="1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6"/>
      <c r="V70" s="1"/>
      <c r="W70" s="31"/>
      <c r="X70" s="31"/>
      <c r="Y70" s="31"/>
      <c r="Z70" s="31"/>
      <c r="AA70" s="2"/>
      <c r="AB70" s="31"/>
      <c r="AC70" s="31"/>
      <c r="AD70" s="31"/>
      <c r="AE70" s="37"/>
      <c r="AF70" s="37"/>
      <c r="AG70" s="37"/>
    </row>
    <row r="71" spans="1:33" ht="15.75" customHeight="1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6"/>
      <c r="V71" s="1"/>
      <c r="W71" s="31"/>
      <c r="X71" s="31"/>
      <c r="Y71" s="31"/>
      <c r="Z71" s="31"/>
      <c r="AA71" s="2"/>
      <c r="AB71" s="31"/>
      <c r="AC71" s="31"/>
      <c r="AD71" s="31"/>
      <c r="AE71" s="37"/>
      <c r="AF71" s="37"/>
      <c r="AG71" s="37"/>
    </row>
    <row r="72" spans="1:33" ht="15.75" customHeight="1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6"/>
      <c r="V72" s="1"/>
      <c r="W72" s="31"/>
      <c r="X72" s="31"/>
      <c r="Y72" s="31"/>
      <c r="Z72" s="31"/>
      <c r="AA72" s="2"/>
      <c r="AB72" s="31"/>
      <c r="AC72" s="31"/>
      <c r="AD72" s="31"/>
      <c r="AE72" s="37"/>
      <c r="AF72" s="37"/>
      <c r="AG72" s="37"/>
    </row>
    <row r="73" spans="1:33" ht="15.75" customHeight="1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6"/>
      <c r="V73" s="1"/>
      <c r="W73" s="31"/>
      <c r="X73" s="31"/>
      <c r="Y73" s="31"/>
      <c r="Z73" s="31"/>
      <c r="AA73" s="2"/>
      <c r="AB73" s="31"/>
      <c r="AC73" s="31"/>
      <c r="AD73" s="31"/>
      <c r="AE73" s="37"/>
      <c r="AF73" s="37"/>
      <c r="AG73" s="37"/>
    </row>
    <row r="74" spans="1:33" ht="15.75" customHeight="1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6"/>
      <c r="V74" s="1"/>
      <c r="W74" s="31"/>
      <c r="X74" s="31"/>
      <c r="Y74" s="31"/>
      <c r="Z74" s="31"/>
      <c r="AA74" s="2"/>
      <c r="AB74" s="31"/>
      <c r="AC74" s="31"/>
      <c r="AD74" s="31"/>
      <c r="AE74" s="37"/>
      <c r="AF74" s="37"/>
      <c r="AG74" s="37"/>
    </row>
    <row r="75" spans="1:33" ht="15.75" customHeight="1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6"/>
      <c r="V75" s="1"/>
      <c r="W75" s="31"/>
      <c r="X75" s="31"/>
      <c r="Y75" s="31"/>
      <c r="Z75" s="31"/>
      <c r="AA75" s="2"/>
      <c r="AB75" s="31"/>
      <c r="AC75" s="31"/>
      <c r="AD75" s="31"/>
      <c r="AE75" s="37"/>
      <c r="AF75" s="37"/>
      <c r="AG75" s="37"/>
    </row>
    <row r="76" spans="1:33" ht="15.75" customHeight="1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6"/>
      <c r="V76" s="1"/>
      <c r="W76" s="31"/>
      <c r="X76" s="31"/>
      <c r="Y76" s="31"/>
      <c r="Z76" s="31"/>
      <c r="AA76" s="2"/>
      <c r="AB76" s="31"/>
      <c r="AC76" s="31"/>
      <c r="AD76" s="31"/>
      <c r="AE76" s="37"/>
      <c r="AF76" s="37"/>
      <c r="AG76" s="37"/>
    </row>
    <row r="77" spans="1:33" ht="15.75" customHeight="1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6"/>
      <c r="V77" s="1"/>
      <c r="W77" s="31"/>
      <c r="X77" s="31"/>
      <c r="Y77" s="31"/>
      <c r="Z77" s="31"/>
      <c r="AA77" s="2"/>
      <c r="AB77" s="31"/>
      <c r="AC77" s="31"/>
      <c r="AD77" s="31"/>
      <c r="AE77" s="37"/>
      <c r="AF77" s="37"/>
      <c r="AG77" s="37"/>
    </row>
    <row r="78" spans="1:33" ht="15.75" customHeight="1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6"/>
      <c r="V78" s="1"/>
      <c r="W78" s="31"/>
      <c r="X78" s="31"/>
      <c r="Y78" s="31"/>
      <c r="Z78" s="31"/>
      <c r="AA78" s="2"/>
      <c r="AB78" s="31"/>
      <c r="AC78" s="31"/>
      <c r="AD78" s="31"/>
      <c r="AE78" s="37"/>
      <c r="AF78" s="37"/>
      <c r="AG78" s="37"/>
    </row>
    <row r="79" spans="1:33" ht="15.75" customHeight="1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6"/>
      <c r="V79" s="1"/>
      <c r="W79" s="31"/>
      <c r="X79" s="31"/>
      <c r="Y79" s="31"/>
      <c r="Z79" s="31"/>
      <c r="AA79" s="2"/>
      <c r="AB79" s="31"/>
      <c r="AC79" s="31"/>
      <c r="AD79" s="31"/>
      <c r="AE79" s="37"/>
      <c r="AF79" s="37"/>
      <c r="AG79" s="37"/>
    </row>
    <row r="80" spans="1:33" ht="15.75" customHeight="1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6"/>
      <c r="V80" s="1"/>
      <c r="W80" s="31"/>
      <c r="X80" s="31"/>
      <c r="Y80" s="31"/>
      <c r="Z80" s="31"/>
      <c r="AA80" s="2"/>
      <c r="AB80" s="31"/>
      <c r="AC80" s="31"/>
      <c r="AD80" s="31"/>
      <c r="AE80" s="37"/>
      <c r="AF80" s="37"/>
      <c r="AG80" s="37"/>
    </row>
    <row r="81" spans="1:33" ht="15.75" customHeight="1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6"/>
      <c r="V81" s="1"/>
      <c r="W81" s="31"/>
      <c r="X81" s="31"/>
      <c r="Y81" s="31"/>
      <c r="Z81" s="31"/>
      <c r="AA81" s="2"/>
      <c r="AB81" s="31"/>
      <c r="AC81" s="31"/>
      <c r="AD81" s="31"/>
      <c r="AE81" s="37"/>
      <c r="AF81" s="37"/>
      <c r="AG81" s="37"/>
    </row>
    <row r="82" spans="1:33" ht="15.75" customHeight="1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6"/>
      <c r="V82" s="1"/>
      <c r="W82" s="31"/>
      <c r="X82" s="31"/>
      <c r="Y82" s="31"/>
      <c r="Z82" s="31"/>
      <c r="AA82" s="2"/>
      <c r="AB82" s="31"/>
      <c r="AC82" s="31"/>
      <c r="AD82" s="31"/>
      <c r="AE82" s="37"/>
      <c r="AF82" s="37"/>
      <c r="AG82" s="37"/>
    </row>
    <row r="83" spans="1:33" ht="15.75" customHeight="1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6"/>
      <c r="V83" s="1"/>
      <c r="W83" s="31"/>
      <c r="X83" s="31"/>
      <c r="Y83" s="31"/>
      <c r="Z83" s="31"/>
      <c r="AA83" s="2"/>
      <c r="AB83" s="31"/>
      <c r="AC83" s="31"/>
      <c r="AD83" s="31"/>
      <c r="AE83" s="37"/>
      <c r="AF83" s="37"/>
      <c r="AG83" s="37"/>
    </row>
    <row r="84" spans="1:33" ht="15.75" customHeight="1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6"/>
      <c r="V84" s="1"/>
      <c r="W84" s="31"/>
      <c r="X84" s="31"/>
      <c r="Y84" s="31"/>
      <c r="Z84" s="31"/>
      <c r="AA84" s="2"/>
      <c r="AB84" s="31"/>
      <c r="AC84" s="31"/>
      <c r="AD84" s="31"/>
      <c r="AE84" s="37"/>
      <c r="AF84" s="37"/>
      <c r="AG84" s="37"/>
    </row>
    <row r="85" spans="1:33" ht="15.75" customHeight="1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6"/>
      <c r="V85" s="1"/>
      <c r="W85" s="31"/>
      <c r="X85" s="31"/>
      <c r="Y85" s="31"/>
      <c r="Z85" s="31"/>
      <c r="AA85" s="2"/>
      <c r="AB85" s="31"/>
      <c r="AC85" s="31"/>
      <c r="AD85" s="31"/>
      <c r="AE85" s="37"/>
      <c r="AF85" s="37"/>
      <c r="AG85" s="37"/>
    </row>
    <row r="86" spans="1:33" ht="15.75" customHeight="1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6"/>
      <c r="V86" s="1"/>
      <c r="W86" s="31"/>
      <c r="X86" s="31"/>
      <c r="Y86" s="31"/>
      <c r="Z86" s="31"/>
      <c r="AA86" s="2"/>
      <c r="AB86" s="31"/>
      <c r="AC86" s="31"/>
      <c r="AD86" s="31"/>
      <c r="AE86" s="37"/>
      <c r="AF86" s="37"/>
      <c r="AG86" s="37"/>
    </row>
    <row r="87" spans="1:33" ht="15.75" customHeight="1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6"/>
      <c r="V87" s="1"/>
      <c r="W87" s="31"/>
      <c r="X87" s="31"/>
      <c r="Y87" s="31"/>
      <c r="Z87" s="31"/>
      <c r="AA87" s="2"/>
      <c r="AB87" s="31"/>
      <c r="AC87" s="31"/>
      <c r="AD87" s="31"/>
      <c r="AE87" s="37"/>
      <c r="AF87" s="37"/>
      <c r="AG87" s="37"/>
    </row>
    <row r="88" spans="1:33" ht="15.75" customHeight="1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6"/>
      <c r="V88" s="1"/>
      <c r="W88" s="31"/>
      <c r="X88" s="31"/>
      <c r="Y88" s="31"/>
      <c r="Z88" s="31"/>
      <c r="AA88" s="2"/>
      <c r="AB88" s="31"/>
      <c r="AC88" s="31"/>
      <c r="AD88" s="31"/>
      <c r="AE88" s="37"/>
      <c r="AF88" s="37"/>
      <c r="AG88" s="37"/>
    </row>
    <row r="89" spans="1:33" ht="15.75" customHeight="1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6"/>
      <c r="V89" s="1"/>
      <c r="W89" s="31"/>
      <c r="X89" s="31"/>
      <c r="Y89" s="31"/>
      <c r="Z89" s="31"/>
      <c r="AA89" s="2"/>
      <c r="AB89" s="31"/>
      <c r="AC89" s="31"/>
      <c r="AD89" s="31"/>
      <c r="AE89" s="37"/>
      <c r="AF89" s="37"/>
      <c r="AG89" s="37"/>
    </row>
    <row r="90" spans="1:33" ht="15.75" customHeight="1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6"/>
      <c r="V90" s="1"/>
      <c r="W90" s="31"/>
      <c r="X90" s="31"/>
      <c r="Y90" s="31"/>
      <c r="Z90" s="31"/>
      <c r="AA90" s="2"/>
      <c r="AB90" s="31"/>
      <c r="AC90" s="31"/>
      <c r="AD90" s="31"/>
      <c r="AE90" s="37"/>
      <c r="AF90" s="37"/>
      <c r="AG90" s="37"/>
    </row>
    <row r="91" spans="1:33" ht="15.75" customHeight="1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6"/>
      <c r="V91" s="1"/>
      <c r="W91" s="31"/>
      <c r="X91" s="31"/>
      <c r="Y91" s="31"/>
      <c r="Z91" s="31"/>
      <c r="AA91" s="2"/>
      <c r="AB91" s="31"/>
      <c r="AC91" s="31"/>
      <c r="AD91" s="31"/>
      <c r="AE91" s="37"/>
      <c r="AF91" s="37"/>
      <c r="AG91" s="37"/>
    </row>
    <row r="92" spans="1:33" ht="15.75" customHeight="1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6"/>
      <c r="V92" s="1"/>
      <c r="W92" s="31"/>
      <c r="X92" s="31"/>
      <c r="Y92" s="31"/>
      <c r="Z92" s="31"/>
      <c r="AA92" s="2"/>
      <c r="AB92" s="31"/>
      <c r="AC92" s="31"/>
      <c r="AD92" s="31"/>
      <c r="AE92" s="37"/>
      <c r="AF92" s="37"/>
      <c r="AG92" s="37"/>
    </row>
    <row r="93" spans="1:33" ht="15.75" customHeight="1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6"/>
      <c r="V93" s="1"/>
      <c r="W93" s="31"/>
      <c r="X93" s="31"/>
      <c r="Y93" s="31"/>
      <c r="Z93" s="31"/>
      <c r="AA93" s="2"/>
      <c r="AB93" s="31"/>
      <c r="AC93" s="31"/>
      <c r="AD93" s="31"/>
      <c r="AE93" s="37"/>
      <c r="AF93" s="37"/>
      <c r="AG93" s="37"/>
    </row>
    <row r="94" spans="1:33" ht="15.75" customHeight="1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6"/>
      <c r="V94" s="1"/>
      <c r="W94" s="31"/>
      <c r="X94" s="31"/>
      <c r="Y94" s="31"/>
      <c r="Z94" s="31"/>
      <c r="AA94" s="2"/>
      <c r="AB94" s="31"/>
      <c r="AC94" s="31"/>
      <c r="AD94" s="31"/>
      <c r="AE94" s="37"/>
      <c r="AF94" s="37"/>
      <c r="AG94" s="37"/>
    </row>
    <row r="95" spans="1:33" ht="15.75" customHeight="1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6"/>
      <c r="V95" s="1"/>
      <c r="W95" s="31"/>
      <c r="X95" s="31"/>
      <c r="Y95" s="31"/>
      <c r="Z95" s="31"/>
      <c r="AA95" s="2"/>
      <c r="AB95" s="31"/>
      <c r="AC95" s="31"/>
      <c r="AD95" s="31"/>
      <c r="AE95" s="37"/>
      <c r="AF95" s="37"/>
      <c r="AG95" s="37"/>
    </row>
    <row r="96" spans="1:33" ht="15.75" customHeight="1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6"/>
      <c r="V96" s="1"/>
      <c r="W96" s="31"/>
      <c r="X96" s="31"/>
      <c r="Y96" s="31"/>
      <c r="Z96" s="31"/>
      <c r="AA96" s="2"/>
      <c r="AB96" s="31"/>
      <c r="AC96" s="31"/>
      <c r="AD96" s="31"/>
      <c r="AE96" s="37"/>
      <c r="AF96" s="37"/>
      <c r="AG96" s="37"/>
    </row>
    <row r="97" spans="1:33" ht="15.75" customHeight="1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8"/>
      <c r="R97" s="38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8"/>
      <c r="R98" s="38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8"/>
      <c r="R99" s="38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8"/>
      <c r="R100" s="38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8"/>
      <c r="R101" s="38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8"/>
      <c r="R102" s="38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8"/>
      <c r="R103" s="38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8"/>
      <c r="R104" s="38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8"/>
      <c r="R105" s="38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8"/>
      <c r="R106" s="38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8"/>
      <c r="R107" s="38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8"/>
      <c r="R108" s="38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8"/>
      <c r="R109" s="38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8"/>
      <c r="R110" s="38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8"/>
      <c r="R111" s="38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8"/>
      <c r="R112" s="38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8"/>
      <c r="R113" s="38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8"/>
      <c r="R114" s="38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>
      <c r="A115" s="31"/>
      <c r="B115" s="31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>
      <c r="A116" s="31"/>
      <c r="B116" s="31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>
      <c r="A117" s="31"/>
      <c r="B117" s="31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>
      <c r="A118" s="31"/>
      <c r="B118" s="31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>
      <c r="A119" s="31"/>
      <c r="B119" s="31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>
      <c r="A120" s="31"/>
      <c r="B120" s="31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>
      <c r="A121" s="31"/>
      <c r="B121" s="31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>
      <c r="A122" s="31"/>
      <c r="B122" s="31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>
      <c r="A123" s="31"/>
      <c r="B123" s="31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>
      <c r="A124" s="31"/>
      <c r="B124" s="31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>
      <c r="A125" s="31"/>
      <c r="B125" s="31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>
      <c r="A126" s="31"/>
      <c r="B126" s="31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>
      <c r="A127" s="31"/>
      <c r="B127" s="31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>
      <c r="A128" s="31"/>
      <c r="B128" s="31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>
      <c r="A129" s="31"/>
      <c r="B129" s="31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>
      <c r="A130" s="31"/>
      <c r="B130" s="31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>
      <c r="A131" s="31"/>
      <c r="B131" s="31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>
      <c r="A132" s="31"/>
      <c r="B132" s="31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>
      <c r="A133" s="31"/>
      <c r="B133" s="31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>
      <c r="A134" s="31"/>
      <c r="B134" s="31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>
      <c r="A135" s="31"/>
      <c r="B135" s="31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>
      <c r="A136" s="31"/>
      <c r="B136" s="31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>
      <c r="A137" s="31"/>
      <c r="B137" s="31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>
      <c r="A138" s="31"/>
      <c r="B138" s="31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>
      <c r="A139" s="31"/>
      <c r="B139" s="31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>
      <c r="A140" s="31"/>
      <c r="B140" s="31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>
      <c r="A141" s="31"/>
      <c r="B141" s="31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2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>
      <c r="A142" s="31"/>
      <c r="B142" s="31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2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>
      <c r="A143" s="31"/>
      <c r="B143" s="31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2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>
      <c r="A144" s="31"/>
      <c r="B144" s="31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2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>
      <c r="A145" s="31"/>
      <c r="B145" s="31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2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>
      <c r="A146" s="31"/>
      <c r="B146" s="31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2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>
      <c r="A147" s="31"/>
      <c r="B147" s="31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2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>
      <c r="A148" s="31"/>
      <c r="B148" s="31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2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</row>
    <row r="149" spans="1:33" ht="15.75" customHeight="1">
      <c r="A149" s="14"/>
      <c r="B149" s="14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>
      <c r="A150" s="14"/>
      <c r="B150" s="14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>
      <c r="A151" s="14"/>
      <c r="B151" s="14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>
      <c r="A152" s="14"/>
      <c r="B152" s="14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>
      <c r="A153" s="14"/>
      <c r="B153" s="14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>
      <c r="A154" s="14"/>
      <c r="B154" s="14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>
      <c r="A155" s="14"/>
      <c r="B155" s="14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>
      <c r="A156" s="14"/>
      <c r="B156" s="14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>
      <c r="A157" s="14"/>
      <c r="B157" s="14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>
      <c r="A158" s="14"/>
      <c r="B158" s="14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>
      <c r="A159" s="14"/>
      <c r="B159" s="14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>
      <c r="A160" s="14"/>
      <c r="B160" s="14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>
      <c r="A161" s="14"/>
      <c r="B161" s="14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>
      <c r="A162" s="14"/>
      <c r="B162" s="14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>
      <c r="A163" s="14"/>
      <c r="B163" s="14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>
      <c r="A164" s="14"/>
      <c r="B164" s="14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>
      <c r="A165" s="14"/>
      <c r="B165" s="14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>
      <c r="A166" s="14"/>
      <c r="B166" s="14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>
      <c r="A167" s="14"/>
      <c r="B167" s="14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>
      <c r="A168" s="14"/>
      <c r="B168" s="14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>
      <c r="A169" s="14"/>
      <c r="B169" s="14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>
      <c r="A170" s="14"/>
      <c r="B170" s="14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>
      <c r="A171" s="14"/>
      <c r="B171" s="14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>
      <c r="A172" s="14"/>
      <c r="B172" s="14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>
      <c r="A173" s="14"/>
      <c r="B173" s="14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>
      <c r="A174" s="14"/>
      <c r="B174" s="14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>
      <c r="A175" s="14"/>
      <c r="B175" s="14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>
      <c r="A176" s="14"/>
      <c r="B176" s="14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>
      <c r="A177" s="14"/>
      <c r="B177" s="14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>
      <c r="A178" s="14"/>
      <c r="B178" s="14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>
      <c r="A179" s="14"/>
      <c r="B179" s="14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>
      <c r="A180" s="14"/>
      <c r="B180" s="14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>
      <c r="A181" s="14"/>
      <c r="B181" s="14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>
      <c r="A182" s="14"/>
      <c r="B182" s="14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>
      <c r="A183" s="14"/>
      <c r="B183" s="14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>
      <c r="A184" s="14"/>
      <c r="B184" s="14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>
      <c r="A185" s="14"/>
      <c r="B185" s="14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>
      <c r="A186" s="14"/>
      <c r="B186" s="14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>
      <c r="A187" s="14"/>
      <c r="B187" s="14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>
      <c r="A188" s="14"/>
      <c r="B188" s="14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>
      <c r="A189" s="14"/>
      <c r="B189" s="14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>
      <c r="A190" s="14"/>
      <c r="B190" s="14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>
      <c r="A191" s="14"/>
      <c r="B191" s="14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>
      <c r="A192" s="14"/>
      <c r="B192" s="14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>
      <c r="A193" s="14"/>
      <c r="B193" s="14"/>
      <c r="C193" s="39"/>
      <c r="D193" s="39"/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>
      <c r="A194" s="14"/>
      <c r="B194" s="14"/>
      <c r="C194" s="39"/>
      <c r="D194" s="39"/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>
      <c r="A195" s="14"/>
      <c r="B195" s="14"/>
      <c r="C195" s="39"/>
      <c r="D195" s="39"/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>
      <c r="A196" s="14"/>
      <c r="B196" s="14"/>
      <c r="C196" s="39"/>
      <c r="D196" s="39"/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>
      <c r="A197" s="14"/>
      <c r="B197" s="14"/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>
      <c r="A198" s="14"/>
      <c r="B198" s="14"/>
      <c r="C198" s="39"/>
      <c r="D198" s="39"/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>
      <c r="A199" s="14"/>
      <c r="B199" s="14"/>
      <c r="C199" s="39"/>
      <c r="D199" s="39"/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>
      <c r="A200" s="14"/>
      <c r="B200" s="14"/>
      <c r="C200" s="39"/>
      <c r="D200" s="39"/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>
      <c r="A201" s="14"/>
      <c r="B201" s="14"/>
      <c r="C201" s="39"/>
      <c r="D201" s="39"/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>
      <c r="A202" s="14"/>
      <c r="B202" s="14"/>
      <c r="C202" s="39"/>
      <c r="D202" s="39"/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>
      <c r="A203" s="14"/>
      <c r="B203" s="14"/>
      <c r="C203" s="39"/>
      <c r="D203" s="39"/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>
      <c r="A204" s="14"/>
      <c r="B204" s="14"/>
      <c r="C204" s="39"/>
      <c r="D204" s="39"/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>
      <c r="A205" s="14"/>
      <c r="B205" s="14"/>
      <c r="C205" s="39"/>
      <c r="D205" s="39"/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>
      <c r="A206" s="14"/>
      <c r="B206" s="14"/>
      <c r="C206" s="39"/>
      <c r="D206" s="39"/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>
      <c r="A207" s="14"/>
      <c r="B207" s="14"/>
      <c r="C207" s="39"/>
      <c r="D207" s="39"/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>
      <c r="A208" s="14"/>
      <c r="B208" s="14"/>
      <c r="C208" s="39"/>
      <c r="D208" s="39"/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>
      <c r="A209" s="14"/>
      <c r="B209" s="14"/>
      <c r="C209" s="39"/>
      <c r="D209" s="39"/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>
      <c r="A210" s="14"/>
      <c r="B210" s="14"/>
      <c r="C210" s="39"/>
      <c r="D210" s="39"/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>
      <c r="A211" s="14"/>
      <c r="B211" s="14"/>
      <c r="C211" s="39"/>
      <c r="D211" s="39"/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>
      <c r="A212" s="14"/>
      <c r="B212" s="14"/>
      <c r="C212" s="39"/>
      <c r="D212" s="39"/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>
      <c r="A213" s="14"/>
      <c r="B213" s="14"/>
      <c r="C213" s="39"/>
      <c r="D213" s="39"/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>
      <c r="A214" s="14"/>
      <c r="B214" s="14"/>
      <c r="C214" s="39"/>
      <c r="D214" s="39"/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>
      <c r="A215" s="14"/>
      <c r="B215" s="14"/>
      <c r="C215" s="39"/>
      <c r="D215" s="39"/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>
      <c r="A216" s="14"/>
      <c r="B216" s="14"/>
      <c r="C216" s="39"/>
      <c r="D216" s="39"/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>
      <c r="A217" s="14"/>
      <c r="B217" s="14"/>
      <c r="C217" s="39"/>
      <c r="D217" s="39"/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>
      <c r="A218" s="14"/>
      <c r="B218" s="14"/>
      <c r="C218" s="39"/>
      <c r="D218" s="39"/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>
      <c r="A219" s="14"/>
      <c r="B219" s="14"/>
      <c r="C219" s="39"/>
      <c r="D219" s="39"/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>
      <c r="A220" s="14"/>
      <c r="B220" s="14"/>
      <c r="C220" s="39"/>
      <c r="D220" s="39"/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>
      <c r="R221" s="30"/>
      <c r="S221" s="40"/>
    </row>
    <row r="222" spans="1:33" ht="15.75" customHeight="1">
      <c r="R222" s="30"/>
      <c r="S222" s="40"/>
    </row>
    <row r="223" spans="1:33" ht="15.75" customHeight="1">
      <c r="R223" s="30"/>
      <c r="S223" s="40"/>
    </row>
    <row r="224" spans="1:33" ht="15.75" customHeight="1">
      <c r="R224" s="30"/>
      <c r="S224" s="40"/>
    </row>
    <row r="225" spans="18:18" ht="15.75" customHeight="1">
      <c r="R225" s="30"/>
    </row>
    <row r="226" spans="18:18" ht="15.75" customHeight="1">
      <c r="R226" s="30"/>
    </row>
    <row r="227" spans="18:18" ht="15.75" customHeight="1">
      <c r="R227" s="30"/>
    </row>
    <row r="228" spans="18:18" ht="15.75" customHeight="1">
      <c r="R228" s="30"/>
    </row>
    <row r="229" spans="18:18" ht="15.75" customHeight="1">
      <c r="R229" s="30"/>
    </row>
    <row r="230" spans="18:18" ht="15.75" customHeight="1">
      <c r="R230" s="30"/>
    </row>
    <row r="231" spans="18:18" ht="15.75" customHeight="1">
      <c r="R231" s="30"/>
    </row>
    <row r="232" spans="18:18" ht="15.75" customHeight="1">
      <c r="R232" s="30"/>
    </row>
    <row r="233" spans="18:18" ht="15.75" customHeight="1">
      <c r="R233" s="30"/>
    </row>
    <row r="234" spans="18:18" ht="15.75" customHeight="1">
      <c r="R234" s="30"/>
    </row>
    <row r="235" spans="18:18" ht="15.75" customHeight="1">
      <c r="R235" s="30"/>
    </row>
    <row r="236" spans="18:18" ht="15.75" customHeight="1">
      <c r="R236" s="30"/>
    </row>
    <row r="237" spans="18:18" ht="15.75" customHeight="1">
      <c r="R237" s="30"/>
    </row>
    <row r="238" spans="18:18" ht="15.75" customHeight="1">
      <c r="R238" s="30"/>
    </row>
    <row r="239" spans="18:18" ht="15.75" customHeight="1">
      <c r="R239" s="30"/>
    </row>
    <row r="240" spans="18:18" ht="15.75" customHeight="1">
      <c r="R240" s="30"/>
    </row>
    <row r="241" spans="18:18" ht="15.75" customHeight="1">
      <c r="R241" s="30"/>
    </row>
    <row r="242" spans="18:18" ht="15.75" customHeight="1">
      <c r="R242" s="30"/>
    </row>
    <row r="243" spans="18:18" ht="15.75" customHeight="1">
      <c r="R243" s="30"/>
    </row>
    <row r="244" spans="18:18" ht="15.75" customHeight="1">
      <c r="R244" s="30"/>
    </row>
    <row r="245" spans="18:18" ht="15.75" customHeight="1">
      <c r="R245" s="30"/>
    </row>
    <row r="246" spans="18:18" ht="15.75" customHeight="1">
      <c r="R246" s="30"/>
    </row>
    <row r="247" spans="18:18" ht="15.75" customHeight="1">
      <c r="R247" s="30"/>
    </row>
    <row r="248" spans="18:18" ht="15.75" customHeight="1">
      <c r="R248" s="30"/>
    </row>
    <row r="249" spans="18:18" ht="15.75" customHeight="1">
      <c r="R249" s="30"/>
    </row>
    <row r="250" spans="18:18" ht="15.75" customHeight="1">
      <c r="R250" s="30"/>
    </row>
    <row r="251" spans="18:18" ht="15.75" customHeight="1">
      <c r="R251" s="30"/>
    </row>
    <row r="252" spans="18:18" ht="15.75" customHeight="1">
      <c r="R252" s="30"/>
    </row>
    <row r="253" spans="18:18" ht="15.75" customHeight="1">
      <c r="R253" s="30"/>
    </row>
    <row r="254" spans="18:18" ht="15.75" customHeight="1">
      <c r="R254" s="30"/>
    </row>
    <row r="255" spans="18:18" ht="15.75" customHeight="1">
      <c r="R255" s="30"/>
    </row>
    <row r="256" spans="18:18" ht="15.75" customHeight="1">
      <c r="R256" s="30"/>
    </row>
    <row r="257" spans="18:18" ht="15.75" customHeight="1">
      <c r="R257" s="30"/>
    </row>
    <row r="258" spans="18:18" ht="15.75" customHeight="1">
      <c r="R258" s="30"/>
    </row>
    <row r="259" spans="18:18" ht="15.75" customHeight="1">
      <c r="R259" s="30"/>
    </row>
    <row r="260" spans="18:18" ht="15.75" customHeight="1">
      <c r="R260" s="30"/>
    </row>
    <row r="261" spans="18:18" ht="15.75" customHeight="1">
      <c r="R261" s="30"/>
    </row>
    <row r="262" spans="18:18" ht="15.75" customHeight="1">
      <c r="R262" s="30"/>
    </row>
    <row r="263" spans="18:18" ht="15.75" customHeight="1">
      <c r="R263" s="30"/>
    </row>
    <row r="264" spans="18:18" ht="15.75" customHeight="1">
      <c r="R264" s="30"/>
    </row>
    <row r="265" spans="18:18" ht="15.75" customHeight="1">
      <c r="R265" s="30"/>
    </row>
    <row r="266" spans="18:18" ht="15.75" customHeight="1">
      <c r="R266" s="30"/>
    </row>
    <row r="267" spans="18:18" ht="15.75" customHeight="1">
      <c r="R267" s="30"/>
    </row>
    <row r="268" spans="18:18" ht="15.75" customHeight="1">
      <c r="R268" s="30"/>
    </row>
    <row r="269" spans="18:18" ht="15.75" customHeight="1">
      <c r="R269" s="30"/>
    </row>
    <row r="270" spans="18:18" ht="15.75" customHeight="1">
      <c r="R270" s="30"/>
    </row>
    <row r="271" spans="18:18" ht="15.75" customHeight="1">
      <c r="R271" s="30"/>
    </row>
    <row r="272" spans="18:18" ht="15.75" customHeight="1">
      <c r="R272" s="30"/>
    </row>
    <row r="273" spans="18:18" ht="15.75" customHeight="1">
      <c r="R273" s="30"/>
    </row>
    <row r="274" spans="18:18" ht="15.75" customHeight="1">
      <c r="R274" s="30"/>
    </row>
    <row r="275" spans="18:18" ht="15.75" customHeight="1">
      <c r="R275" s="30"/>
    </row>
    <row r="276" spans="18:18" ht="15.75" customHeight="1">
      <c r="R276" s="30"/>
    </row>
    <row r="277" spans="18:18" ht="15.75" customHeight="1">
      <c r="R277" s="30"/>
    </row>
    <row r="278" spans="18:18" ht="15.75" customHeight="1">
      <c r="R278" s="30"/>
    </row>
    <row r="279" spans="18:18" ht="15.75" customHeight="1">
      <c r="R279" s="30"/>
    </row>
    <row r="280" spans="18:18" ht="15.75" customHeight="1">
      <c r="R280" s="30"/>
    </row>
    <row r="281" spans="18:18" ht="15.75" customHeight="1">
      <c r="R281" s="30"/>
    </row>
    <row r="282" spans="18:18" ht="15.75" customHeight="1">
      <c r="R282" s="30"/>
    </row>
    <row r="283" spans="18:18" ht="15.75" customHeight="1">
      <c r="R283" s="30"/>
    </row>
    <row r="284" spans="18:18" ht="15.75" customHeight="1">
      <c r="R284" s="30"/>
    </row>
    <row r="285" spans="18:18" ht="15.75" customHeight="1">
      <c r="R285" s="30"/>
    </row>
    <row r="286" spans="18:18" ht="15.75" customHeight="1">
      <c r="R286" s="30"/>
    </row>
    <row r="287" spans="18:18" ht="15.75" customHeight="1">
      <c r="R287" s="30"/>
    </row>
    <row r="288" spans="18:18" ht="15.75" customHeight="1">
      <c r="R288" s="30"/>
    </row>
    <row r="289" spans="18:18" ht="15.75" customHeight="1">
      <c r="R289" s="30"/>
    </row>
    <row r="290" spans="18:18" ht="15.75" customHeight="1">
      <c r="R290" s="30"/>
    </row>
    <row r="291" spans="18:18" ht="15.75" customHeight="1">
      <c r="R291" s="30"/>
    </row>
    <row r="292" spans="18:18" ht="15.75" customHeight="1">
      <c r="R292" s="30"/>
    </row>
    <row r="293" spans="18:18" ht="15.75" customHeight="1">
      <c r="R293" s="30"/>
    </row>
    <row r="294" spans="18:18" ht="15.75" customHeight="1">
      <c r="R294" s="30"/>
    </row>
    <row r="295" spans="18:18" ht="15.75" customHeight="1">
      <c r="R295" s="30"/>
    </row>
    <row r="296" spans="18:18" ht="15.75" customHeight="1">
      <c r="R296" s="30"/>
    </row>
    <row r="297" spans="18:18" ht="15.75" customHeight="1">
      <c r="R297" s="30"/>
    </row>
    <row r="298" spans="18:18" ht="15.75" customHeight="1">
      <c r="R298" s="30"/>
    </row>
    <row r="299" spans="18:18" ht="15.75" customHeight="1">
      <c r="R299" s="30"/>
    </row>
    <row r="300" spans="18:18" ht="15.75" customHeight="1">
      <c r="R300" s="30"/>
    </row>
    <row r="301" spans="18:18" ht="15.75" customHeight="1">
      <c r="R301" s="30"/>
    </row>
    <row r="302" spans="18:18" ht="15.75" customHeight="1">
      <c r="R302" s="30"/>
    </row>
    <row r="303" spans="18:18" ht="15.75" customHeight="1">
      <c r="R303" s="30"/>
    </row>
    <row r="304" spans="18:18" ht="15.75" customHeight="1">
      <c r="R304" s="30"/>
    </row>
    <row r="305" spans="18:18" ht="15.75" customHeight="1">
      <c r="R305" s="30"/>
    </row>
    <row r="306" spans="18:18" ht="15.75" customHeight="1">
      <c r="R306" s="30"/>
    </row>
    <row r="307" spans="18:18" ht="15.75" customHeight="1">
      <c r="R307" s="30"/>
    </row>
    <row r="308" spans="18:18" ht="15.75" customHeight="1">
      <c r="R308" s="30"/>
    </row>
    <row r="309" spans="18:18" ht="15.75" customHeight="1">
      <c r="R309" s="30"/>
    </row>
    <row r="310" spans="18:18" ht="15.75" customHeight="1">
      <c r="R310" s="30"/>
    </row>
    <row r="311" spans="18:18" ht="15.75" customHeight="1">
      <c r="R311" s="30"/>
    </row>
    <row r="312" spans="18:18" ht="15.75" customHeight="1">
      <c r="R312" s="30"/>
    </row>
    <row r="313" spans="18:18" ht="15.75" customHeight="1">
      <c r="R313" s="30"/>
    </row>
    <row r="314" spans="18:18" ht="15.75" customHeight="1">
      <c r="R314" s="30"/>
    </row>
    <row r="315" spans="18:18" ht="15.75" customHeight="1">
      <c r="R315" s="30"/>
    </row>
    <row r="316" spans="18:18" ht="15.75" customHeight="1">
      <c r="R316" s="30"/>
    </row>
    <row r="317" spans="18:18" ht="15.75" customHeight="1">
      <c r="R317" s="30"/>
    </row>
    <row r="318" spans="18:18" ht="15.75" customHeight="1">
      <c r="R318" s="30"/>
    </row>
    <row r="319" spans="18:18" ht="15.75" customHeight="1">
      <c r="R319" s="30"/>
    </row>
    <row r="320" spans="18:18" ht="15.75" customHeight="1">
      <c r="R320" s="30"/>
    </row>
    <row r="321" spans="18:18" ht="15.75" customHeight="1">
      <c r="R321" s="30"/>
    </row>
    <row r="322" spans="18:18" ht="15.75" customHeight="1">
      <c r="R322" s="30"/>
    </row>
    <row r="323" spans="18:18" ht="15.75" customHeight="1">
      <c r="R323" s="30"/>
    </row>
    <row r="324" spans="18:18" ht="15.75" customHeight="1">
      <c r="R324" s="30"/>
    </row>
    <row r="325" spans="18:18" ht="15.75" customHeight="1">
      <c r="R325" s="30"/>
    </row>
    <row r="326" spans="18:18" ht="15.75" customHeight="1">
      <c r="R326" s="30"/>
    </row>
    <row r="327" spans="18:18" ht="15.75" customHeight="1">
      <c r="R327" s="30"/>
    </row>
    <row r="328" spans="18:18" ht="15.75" customHeight="1">
      <c r="R328" s="30"/>
    </row>
    <row r="329" spans="18:18" ht="15.75" customHeight="1">
      <c r="R329" s="30"/>
    </row>
    <row r="330" spans="18:18" ht="15.75" customHeight="1">
      <c r="R330" s="30"/>
    </row>
    <row r="331" spans="18:18" ht="15.75" customHeight="1">
      <c r="R331" s="30"/>
    </row>
    <row r="332" spans="18:18" ht="15.75" customHeight="1">
      <c r="R332" s="30"/>
    </row>
    <row r="333" spans="18:18" ht="15.75" customHeight="1">
      <c r="R333" s="30"/>
    </row>
    <row r="334" spans="18:18" ht="15.75" customHeight="1">
      <c r="R334" s="30"/>
    </row>
    <row r="335" spans="18:18" ht="15.75" customHeight="1">
      <c r="R335" s="30"/>
    </row>
    <row r="336" spans="18:18" ht="15.75" customHeight="1">
      <c r="R336" s="30"/>
    </row>
    <row r="337" spans="18:18" ht="15.75" customHeight="1">
      <c r="R337" s="30"/>
    </row>
    <row r="338" spans="18:18" ht="15.75" customHeight="1">
      <c r="R338" s="30"/>
    </row>
    <row r="339" spans="18:18" ht="15.75" customHeight="1">
      <c r="R339" s="30"/>
    </row>
    <row r="340" spans="18:18" ht="15.75" customHeight="1">
      <c r="R340" s="30"/>
    </row>
    <row r="341" spans="18:18" ht="15.75" customHeight="1">
      <c r="R341" s="30"/>
    </row>
    <row r="342" spans="18:18" ht="15.75" customHeight="1">
      <c r="R342" s="30"/>
    </row>
    <row r="343" spans="18:18" ht="15.75" customHeight="1">
      <c r="R343" s="30"/>
    </row>
    <row r="344" spans="18:18" ht="15.75" customHeight="1">
      <c r="R344" s="30"/>
    </row>
    <row r="345" spans="18:18" ht="15.75" customHeight="1">
      <c r="R345" s="30"/>
    </row>
    <row r="346" spans="18:18" ht="15.75" customHeight="1">
      <c r="R346" s="30"/>
    </row>
    <row r="347" spans="18:18" ht="15.75" customHeight="1">
      <c r="R347" s="30"/>
    </row>
    <row r="348" spans="18:18" ht="15.75" customHeight="1">
      <c r="R348" s="30"/>
    </row>
    <row r="349" spans="18:18" ht="15.75" customHeight="1">
      <c r="R349" s="30"/>
    </row>
    <row r="350" spans="18:18" ht="15.75" customHeight="1">
      <c r="R350" s="30"/>
    </row>
    <row r="351" spans="18:18" ht="15.75" customHeight="1">
      <c r="R351" s="30"/>
    </row>
    <row r="352" spans="18:18" ht="15.75" customHeight="1">
      <c r="R352" s="30"/>
    </row>
    <row r="353" spans="18:18" ht="15.75" customHeight="1">
      <c r="R353" s="30"/>
    </row>
    <row r="354" spans="18:18" ht="15.75" customHeight="1">
      <c r="R354" s="30"/>
    </row>
    <row r="355" spans="18:18" ht="15.75" customHeight="1">
      <c r="R355" s="30"/>
    </row>
    <row r="356" spans="18:18" ht="15.75" customHeight="1">
      <c r="R356" s="30"/>
    </row>
    <row r="357" spans="18:18" ht="15.75" customHeight="1">
      <c r="R357" s="30"/>
    </row>
    <row r="358" spans="18:18" ht="15.75" customHeight="1">
      <c r="R358" s="30"/>
    </row>
    <row r="359" spans="18:18" ht="15.75" customHeight="1">
      <c r="R359" s="30"/>
    </row>
    <row r="360" spans="18:18" ht="15.75" customHeight="1">
      <c r="R360" s="30"/>
    </row>
    <row r="361" spans="18:18" ht="15.75" customHeight="1">
      <c r="R361" s="30"/>
    </row>
    <row r="362" spans="18:18" ht="15.75" customHeight="1">
      <c r="R362" s="30"/>
    </row>
    <row r="363" spans="18:18" ht="15.75" customHeight="1">
      <c r="R363" s="30"/>
    </row>
    <row r="364" spans="18:18" ht="15.75" customHeight="1">
      <c r="R364" s="30"/>
    </row>
    <row r="365" spans="18:18" ht="15.75" customHeight="1">
      <c r="R365" s="30"/>
    </row>
    <row r="366" spans="18:18" ht="15.75" customHeight="1">
      <c r="R366" s="30"/>
    </row>
    <row r="367" spans="18:18" ht="15.75" customHeight="1">
      <c r="R367" s="30"/>
    </row>
    <row r="368" spans="18:18" ht="15.75" customHeight="1">
      <c r="R368" s="30"/>
    </row>
    <row r="369" spans="18:18" ht="15.75" customHeight="1">
      <c r="R369" s="30"/>
    </row>
    <row r="370" spans="18:18" ht="15.75" customHeight="1">
      <c r="R370" s="30"/>
    </row>
    <row r="371" spans="18:18" ht="15.75" customHeight="1">
      <c r="R371" s="30"/>
    </row>
    <row r="372" spans="18:18" ht="15.75" customHeight="1">
      <c r="R372" s="30"/>
    </row>
    <row r="373" spans="18:18" ht="15.75" customHeight="1">
      <c r="R373" s="30"/>
    </row>
    <row r="374" spans="18:18" ht="15.75" customHeight="1">
      <c r="R374" s="30"/>
    </row>
    <row r="375" spans="18:18" ht="15.75" customHeight="1">
      <c r="R375" s="30"/>
    </row>
    <row r="376" spans="18:18" ht="15.75" customHeight="1">
      <c r="R376" s="30"/>
    </row>
    <row r="377" spans="18:18" ht="15.75" customHeight="1">
      <c r="R377" s="30"/>
    </row>
    <row r="378" spans="18:18" ht="15.75" customHeight="1">
      <c r="R378" s="30"/>
    </row>
    <row r="379" spans="18:18" ht="15.75" customHeight="1">
      <c r="R379" s="30"/>
    </row>
    <row r="380" spans="18:18" ht="15.75" customHeight="1">
      <c r="R380" s="30"/>
    </row>
    <row r="381" spans="18:18" ht="15.75" customHeight="1">
      <c r="R381" s="30"/>
    </row>
    <row r="382" spans="18:18" ht="15.75" customHeight="1">
      <c r="R382" s="30"/>
    </row>
    <row r="383" spans="18:18" ht="15.75" customHeight="1">
      <c r="R383" s="30"/>
    </row>
    <row r="384" spans="18:18" ht="15.75" customHeight="1">
      <c r="R384" s="30"/>
    </row>
    <row r="385" spans="18:18" ht="15.75" customHeight="1">
      <c r="R385" s="30"/>
    </row>
    <row r="386" spans="18:18" ht="15.75" customHeight="1">
      <c r="R386" s="30"/>
    </row>
    <row r="387" spans="18:18" ht="15.75" customHeight="1">
      <c r="R387" s="30"/>
    </row>
    <row r="388" spans="18:18" ht="15.75" customHeight="1">
      <c r="R388" s="30"/>
    </row>
    <row r="389" spans="18:18" ht="15.75" customHeight="1">
      <c r="R389" s="30"/>
    </row>
    <row r="390" spans="18:18" ht="15.75" customHeight="1">
      <c r="R390" s="30"/>
    </row>
    <row r="391" spans="18:18" ht="15.75" customHeight="1">
      <c r="R391" s="30"/>
    </row>
    <row r="392" spans="18:18" ht="15.75" customHeight="1">
      <c r="R392" s="30"/>
    </row>
    <row r="393" spans="18:18" ht="15.75" customHeight="1">
      <c r="R393" s="30"/>
    </row>
    <row r="394" spans="18:18" ht="15.75" customHeight="1">
      <c r="R394" s="30"/>
    </row>
    <row r="395" spans="18:18" ht="15.75" customHeight="1">
      <c r="R395" s="30"/>
    </row>
    <row r="396" spans="18:18" ht="15.75" customHeight="1">
      <c r="R396" s="30"/>
    </row>
    <row r="397" spans="18:18" ht="15.75" customHeight="1">
      <c r="R397" s="30"/>
    </row>
    <row r="398" spans="18:18" ht="15.75" customHeight="1">
      <c r="R398" s="30"/>
    </row>
    <row r="399" spans="18:18" ht="15.75" customHeight="1">
      <c r="R399" s="30"/>
    </row>
    <row r="400" spans="18:18" ht="15.75" customHeight="1">
      <c r="R400" s="30"/>
    </row>
    <row r="401" spans="18:18" ht="15.75" customHeight="1">
      <c r="R401" s="30"/>
    </row>
    <row r="402" spans="18:18" ht="15.75" customHeight="1">
      <c r="R402" s="30"/>
    </row>
    <row r="403" spans="18:18" ht="15.75" customHeight="1">
      <c r="R403" s="30"/>
    </row>
    <row r="404" spans="18:18" ht="15.75" customHeight="1">
      <c r="R404" s="30"/>
    </row>
    <row r="405" spans="18:18" ht="15.75" customHeight="1">
      <c r="R405" s="30"/>
    </row>
    <row r="406" spans="18:18" ht="15.75" customHeight="1">
      <c r="R406" s="30"/>
    </row>
    <row r="407" spans="18:18" ht="15.75" customHeight="1">
      <c r="R407" s="30"/>
    </row>
    <row r="408" spans="18:18" ht="15.75" customHeight="1">
      <c r="R408" s="30"/>
    </row>
    <row r="409" spans="18:18" ht="15.75" customHeight="1">
      <c r="R409" s="30"/>
    </row>
    <row r="410" spans="18:18" ht="15.75" customHeight="1">
      <c r="R410" s="30"/>
    </row>
    <row r="411" spans="18:18" ht="15.75" customHeight="1">
      <c r="R411" s="30"/>
    </row>
    <row r="412" spans="18:18" ht="15.75" customHeight="1">
      <c r="R412" s="30"/>
    </row>
    <row r="413" spans="18:18" ht="15.75" customHeight="1">
      <c r="R413" s="30"/>
    </row>
    <row r="414" spans="18:18" ht="15.75" customHeight="1">
      <c r="R414" s="30"/>
    </row>
    <row r="415" spans="18:18" ht="15.75" customHeight="1">
      <c r="R415" s="30"/>
    </row>
    <row r="416" spans="18:18" ht="15.75" customHeight="1">
      <c r="R416" s="30"/>
    </row>
    <row r="417" spans="18:18" ht="15.75" customHeight="1">
      <c r="R417" s="30"/>
    </row>
    <row r="418" spans="18:18" ht="15.75" customHeight="1">
      <c r="R418" s="30"/>
    </row>
    <row r="419" spans="18:18" ht="15.75" customHeight="1">
      <c r="R419" s="30"/>
    </row>
    <row r="420" spans="18:18" ht="15.75" customHeight="1">
      <c r="R420" s="30"/>
    </row>
    <row r="421" spans="18:18" ht="15.75" customHeight="1">
      <c r="R421" s="30"/>
    </row>
    <row r="422" spans="18:18" ht="15.75" customHeight="1">
      <c r="R422" s="30"/>
    </row>
    <row r="423" spans="18:18" ht="15.75" customHeight="1">
      <c r="R423" s="30"/>
    </row>
    <row r="424" spans="18:18" ht="15.75" customHeight="1">
      <c r="R424" s="30"/>
    </row>
    <row r="425" spans="18:18" ht="15.75" customHeight="1">
      <c r="R425" s="30"/>
    </row>
    <row r="426" spans="18:18" ht="15.75" customHeight="1">
      <c r="R426" s="30"/>
    </row>
    <row r="427" spans="18:18" ht="15.75" customHeight="1">
      <c r="R427" s="30"/>
    </row>
    <row r="428" spans="18:18" ht="15.75" customHeight="1">
      <c r="R428" s="30"/>
    </row>
    <row r="429" spans="18:18" ht="15.75" customHeight="1">
      <c r="R429" s="30"/>
    </row>
    <row r="430" spans="18:18" ht="15.75" customHeight="1">
      <c r="R430" s="30"/>
    </row>
    <row r="431" spans="18:18" ht="15.75" customHeight="1">
      <c r="R431" s="30"/>
    </row>
    <row r="432" spans="18:18" ht="15.75" customHeight="1">
      <c r="R432" s="30"/>
    </row>
    <row r="433" spans="18:18" ht="15.75" customHeight="1">
      <c r="R433" s="30"/>
    </row>
    <row r="434" spans="18:18" ht="15.75" customHeight="1">
      <c r="R434" s="30"/>
    </row>
    <row r="435" spans="18:18" ht="15.75" customHeight="1">
      <c r="R435" s="30"/>
    </row>
    <row r="436" spans="18:18" ht="15.75" customHeight="1">
      <c r="R436" s="30"/>
    </row>
    <row r="437" spans="18:18" ht="15.75" customHeight="1">
      <c r="R437" s="30"/>
    </row>
    <row r="438" spans="18:18" ht="15.75" customHeight="1">
      <c r="R438" s="30"/>
    </row>
    <row r="439" spans="18:18" ht="15.75" customHeight="1">
      <c r="R439" s="30"/>
    </row>
    <row r="440" spans="18:18" ht="15.75" customHeight="1">
      <c r="R440" s="30"/>
    </row>
    <row r="441" spans="18:18" ht="15.75" customHeight="1">
      <c r="R441" s="30"/>
    </row>
    <row r="442" spans="18:18" ht="15.75" customHeight="1">
      <c r="R442" s="30"/>
    </row>
    <row r="443" spans="18:18" ht="15.75" customHeight="1">
      <c r="R443" s="30"/>
    </row>
    <row r="444" spans="18:18" ht="15.75" customHeight="1">
      <c r="R444" s="30"/>
    </row>
    <row r="445" spans="18:18" ht="15.75" customHeight="1">
      <c r="R445" s="30"/>
    </row>
    <row r="446" spans="18:18" ht="15.75" customHeight="1">
      <c r="R446" s="30"/>
    </row>
    <row r="447" spans="18:18" ht="15.75" customHeight="1">
      <c r="R447" s="30"/>
    </row>
    <row r="448" spans="18:18" ht="15.75" customHeight="1">
      <c r="R448" s="30"/>
    </row>
    <row r="449" spans="18:18" ht="15.75" customHeight="1">
      <c r="R449" s="30"/>
    </row>
    <row r="450" spans="18:18" ht="15.75" customHeight="1">
      <c r="R450" s="30"/>
    </row>
    <row r="451" spans="18:18" ht="15.75" customHeight="1">
      <c r="R451" s="30"/>
    </row>
    <row r="452" spans="18:18" ht="15.75" customHeight="1">
      <c r="R452" s="30"/>
    </row>
    <row r="453" spans="18:18" ht="15.75" customHeight="1">
      <c r="R453" s="30"/>
    </row>
    <row r="454" spans="18:18" ht="15.75" customHeight="1">
      <c r="R454" s="30"/>
    </row>
    <row r="455" spans="18:18" ht="15.75" customHeight="1">
      <c r="R455" s="30"/>
    </row>
    <row r="456" spans="18:18" ht="15.75" customHeight="1">
      <c r="R456" s="30"/>
    </row>
    <row r="457" spans="18:18" ht="15.75" customHeight="1">
      <c r="R457" s="30"/>
    </row>
    <row r="458" spans="18:18" ht="15.75" customHeight="1">
      <c r="R458" s="30"/>
    </row>
    <row r="459" spans="18:18" ht="15.75" customHeight="1">
      <c r="R459" s="30"/>
    </row>
    <row r="460" spans="18:18" ht="15.75" customHeight="1">
      <c r="R460" s="30"/>
    </row>
    <row r="461" spans="18:18" ht="15.75" customHeight="1">
      <c r="R461" s="30"/>
    </row>
    <row r="462" spans="18:18" ht="15.75" customHeight="1">
      <c r="R462" s="30"/>
    </row>
    <row r="463" spans="18:18" ht="15.75" customHeight="1">
      <c r="R463" s="30"/>
    </row>
    <row r="464" spans="18:18" ht="15.75" customHeight="1">
      <c r="R464" s="30"/>
    </row>
    <row r="465" spans="18:18" ht="15.75" customHeight="1">
      <c r="R465" s="30"/>
    </row>
    <row r="466" spans="18:18" ht="15.75" customHeight="1">
      <c r="R466" s="30"/>
    </row>
    <row r="467" spans="18:18" ht="15.75" customHeight="1">
      <c r="R467" s="30"/>
    </row>
    <row r="468" spans="18:18" ht="15.75" customHeight="1">
      <c r="R468" s="30"/>
    </row>
    <row r="469" spans="18:18" ht="15.75" customHeight="1">
      <c r="R469" s="30"/>
    </row>
    <row r="470" spans="18:18" ht="15.75" customHeight="1">
      <c r="R470" s="30"/>
    </row>
    <row r="471" spans="18:18" ht="15.75" customHeight="1">
      <c r="R471" s="30"/>
    </row>
    <row r="472" spans="18:18" ht="15.75" customHeight="1">
      <c r="R472" s="30"/>
    </row>
    <row r="473" spans="18:18" ht="15.75" customHeight="1">
      <c r="R473" s="30"/>
    </row>
    <row r="474" spans="18:18" ht="15.75" customHeight="1">
      <c r="R474" s="30"/>
    </row>
    <row r="475" spans="18:18" ht="15.75" customHeight="1">
      <c r="R475" s="30"/>
    </row>
    <row r="476" spans="18:18" ht="15.75" customHeight="1">
      <c r="R476" s="30"/>
    </row>
    <row r="477" spans="18:18" ht="15.75" customHeight="1">
      <c r="R477" s="30"/>
    </row>
    <row r="478" spans="18:18" ht="15.75" customHeight="1">
      <c r="R478" s="30"/>
    </row>
    <row r="479" spans="18:18" ht="15.75" customHeight="1">
      <c r="R479" s="30"/>
    </row>
    <row r="480" spans="18:18" ht="15.75" customHeight="1">
      <c r="R480" s="30"/>
    </row>
    <row r="481" spans="18:18" ht="15.75" customHeight="1">
      <c r="R481" s="30"/>
    </row>
    <row r="482" spans="18:18" ht="15.75" customHeight="1">
      <c r="R482" s="30"/>
    </row>
    <row r="483" spans="18:18" ht="15.75" customHeight="1">
      <c r="R483" s="30"/>
    </row>
    <row r="484" spans="18:18" ht="15.75" customHeight="1">
      <c r="R484" s="30"/>
    </row>
    <row r="485" spans="18:18" ht="15.75" customHeight="1">
      <c r="R485" s="30"/>
    </row>
    <row r="486" spans="18:18" ht="15.75" customHeight="1">
      <c r="R486" s="30"/>
    </row>
    <row r="487" spans="18:18" ht="15.75" customHeight="1">
      <c r="R487" s="30"/>
    </row>
    <row r="488" spans="18:18" ht="15.75" customHeight="1">
      <c r="R488" s="30"/>
    </row>
    <row r="489" spans="18:18" ht="15.75" customHeight="1">
      <c r="R489" s="30"/>
    </row>
    <row r="490" spans="18:18" ht="15.75" customHeight="1">
      <c r="R490" s="30"/>
    </row>
    <row r="491" spans="18:18" ht="15.75" customHeight="1">
      <c r="R491" s="30"/>
    </row>
    <row r="492" spans="18:18" ht="15.75" customHeight="1">
      <c r="R492" s="30"/>
    </row>
    <row r="493" spans="18:18" ht="15.75" customHeight="1">
      <c r="R493" s="30"/>
    </row>
    <row r="494" spans="18:18" ht="15.75" customHeight="1">
      <c r="R494" s="30"/>
    </row>
    <row r="495" spans="18:18" ht="15.75" customHeight="1">
      <c r="R495" s="30"/>
    </row>
    <row r="496" spans="18:18" ht="15.75" customHeight="1">
      <c r="R496" s="30"/>
    </row>
    <row r="497" spans="18:18" ht="15.75" customHeight="1">
      <c r="R497" s="30"/>
    </row>
    <row r="498" spans="18:18" ht="15.75" customHeight="1">
      <c r="R498" s="30"/>
    </row>
    <row r="499" spans="18:18" ht="15.75" customHeight="1">
      <c r="R499" s="30"/>
    </row>
    <row r="500" spans="18:18" ht="15.75" customHeight="1">
      <c r="R500" s="30"/>
    </row>
    <row r="501" spans="18:18" ht="15.75" customHeight="1">
      <c r="R501" s="30"/>
    </row>
    <row r="502" spans="18:18" ht="15.75" customHeight="1">
      <c r="R502" s="30"/>
    </row>
    <row r="503" spans="18:18" ht="15.75" customHeight="1">
      <c r="R503" s="30"/>
    </row>
    <row r="504" spans="18:18" ht="15.75" customHeight="1">
      <c r="R504" s="30"/>
    </row>
    <row r="505" spans="18:18" ht="15.75" customHeight="1">
      <c r="R505" s="30"/>
    </row>
    <row r="506" spans="18:18" ht="15.75" customHeight="1">
      <c r="R506" s="30"/>
    </row>
    <row r="507" spans="18:18" ht="15.75" customHeight="1">
      <c r="R507" s="30"/>
    </row>
    <row r="508" spans="18:18" ht="15.75" customHeight="1">
      <c r="R508" s="30"/>
    </row>
    <row r="509" spans="18:18" ht="15.75" customHeight="1">
      <c r="R509" s="30"/>
    </row>
    <row r="510" spans="18:18" ht="15.75" customHeight="1">
      <c r="R510" s="30"/>
    </row>
    <row r="511" spans="18:18" ht="15.75" customHeight="1">
      <c r="R511" s="30"/>
    </row>
    <row r="512" spans="18:18" ht="15.75" customHeight="1">
      <c r="R512" s="30"/>
    </row>
    <row r="513" spans="18:18" ht="15.75" customHeight="1">
      <c r="R513" s="30"/>
    </row>
    <row r="514" spans="18:18" ht="15.75" customHeight="1">
      <c r="R514" s="30"/>
    </row>
    <row r="515" spans="18:18" ht="15.75" customHeight="1">
      <c r="R515" s="30"/>
    </row>
    <row r="516" spans="18:18" ht="15.75" customHeight="1">
      <c r="R516" s="30"/>
    </row>
    <row r="517" spans="18:18" ht="15.75" customHeight="1">
      <c r="R517" s="30"/>
    </row>
    <row r="518" spans="18:18" ht="15.75" customHeight="1">
      <c r="R518" s="30"/>
    </row>
    <row r="519" spans="18:18" ht="15.75" customHeight="1">
      <c r="R519" s="30"/>
    </row>
    <row r="520" spans="18:18" ht="15.75" customHeight="1">
      <c r="R520" s="30"/>
    </row>
    <row r="521" spans="18:18" ht="15.75" customHeight="1">
      <c r="R521" s="30"/>
    </row>
    <row r="522" spans="18:18" ht="15.75" customHeight="1">
      <c r="R522" s="30"/>
    </row>
    <row r="523" spans="18:18" ht="15.75" customHeight="1">
      <c r="R523" s="30"/>
    </row>
    <row r="524" spans="18:18" ht="15.75" customHeight="1">
      <c r="R524" s="30"/>
    </row>
    <row r="525" spans="18:18" ht="15.75" customHeight="1">
      <c r="R525" s="30"/>
    </row>
    <row r="526" spans="18:18" ht="15.75" customHeight="1">
      <c r="R526" s="30"/>
    </row>
    <row r="527" spans="18:18" ht="15.75" customHeight="1">
      <c r="R527" s="30"/>
    </row>
    <row r="528" spans="18:18" ht="15.75" customHeight="1">
      <c r="R528" s="30"/>
    </row>
    <row r="529" spans="18:18" ht="15.75" customHeight="1">
      <c r="R529" s="30"/>
    </row>
    <row r="530" spans="18:18" ht="15.75" customHeight="1">
      <c r="R530" s="30"/>
    </row>
    <row r="531" spans="18:18" ht="15.75" customHeight="1">
      <c r="R531" s="30"/>
    </row>
    <row r="532" spans="18:18" ht="15.75" customHeight="1">
      <c r="R532" s="30"/>
    </row>
    <row r="533" spans="18:18" ht="15.75" customHeight="1">
      <c r="R533" s="30"/>
    </row>
    <row r="534" spans="18:18" ht="15.75" customHeight="1">
      <c r="R534" s="30"/>
    </row>
    <row r="535" spans="18:18" ht="15.75" customHeight="1">
      <c r="R535" s="30"/>
    </row>
    <row r="536" spans="18:18" ht="15.75" customHeight="1">
      <c r="R536" s="30"/>
    </row>
    <row r="537" spans="18:18" ht="15.75" customHeight="1">
      <c r="R537" s="30"/>
    </row>
    <row r="538" spans="18:18" ht="15.75" customHeight="1">
      <c r="R538" s="30"/>
    </row>
    <row r="539" spans="18:18" ht="15.75" customHeight="1">
      <c r="R539" s="30"/>
    </row>
    <row r="540" spans="18:18" ht="15.75" customHeight="1">
      <c r="R540" s="30"/>
    </row>
    <row r="541" spans="18:18" ht="15.75" customHeight="1">
      <c r="R541" s="30"/>
    </row>
    <row r="542" spans="18:18" ht="15.75" customHeight="1">
      <c r="R542" s="30"/>
    </row>
    <row r="543" spans="18:18" ht="15.75" customHeight="1">
      <c r="R543" s="30"/>
    </row>
    <row r="544" spans="18:18" ht="15.75" customHeight="1">
      <c r="R544" s="30"/>
    </row>
    <row r="545" spans="18:18" ht="15.75" customHeight="1">
      <c r="R545" s="30"/>
    </row>
    <row r="546" spans="18:18" ht="15.75" customHeight="1">
      <c r="R546" s="30"/>
    </row>
    <row r="547" spans="18:18" ht="15.75" customHeight="1">
      <c r="R547" s="30"/>
    </row>
    <row r="548" spans="18:18" ht="15.75" customHeight="1">
      <c r="R548" s="30"/>
    </row>
    <row r="549" spans="18:18" ht="15.75" customHeight="1">
      <c r="R549" s="30"/>
    </row>
    <row r="550" spans="18:18" ht="15.75" customHeight="1">
      <c r="R550" s="30"/>
    </row>
    <row r="551" spans="18:18" ht="15.75" customHeight="1">
      <c r="R551" s="30"/>
    </row>
    <row r="552" spans="18:18" ht="15.75" customHeight="1">
      <c r="R552" s="30"/>
    </row>
    <row r="553" spans="18:18" ht="15.75" customHeight="1">
      <c r="R553" s="30"/>
    </row>
    <row r="554" spans="18:18" ht="15.75" customHeight="1">
      <c r="R554" s="30"/>
    </row>
    <row r="555" spans="18:18" ht="15.75" customHeight="1">
      <c r="R555" s="30"/>
    </row>
    <row r="556" spans="18:18" ht="15.75" customHeight="1">
      <c r="R556" s="30"/>
    </row>
    <row r="557" spans="18:18" ht="15.75" customHeight="1">
      <c r="R557" s="30"/>
    </row>
    <row r="558" spans="18:18" ht="15.75" customHeight="1">
      <c r="R558" s="30"/>
    </row>
    <row r="559" spans="18:18" ht="15.75" customHeight="1">
      <c r="R559" s="30"/>
    </row>
    <row r="560" spans="18:18" ht="15.75" customHeight="1">
      <c r="R560" s="30"/>
    </row>
    <row r="561" spans="18:18" ht="15.75" customHeight="1">
      <c r="R561" s="30"/>
    </row>
    <row r="562" spans="18:18" ht="15.75" customHeight="1">
      <c r="R562" s="30"/>
    </row>
    <row r="563" spans="18:18" ht="15.75" customHeight="1">
      <c r="R563" s="30"/>
    </row>
    <row r="564" spans="18:18" ht="15.75" customHeight="1">
      <c r="R564" s="30"/>
    </row>
    <row r="565" spans="18:18" ht="15.75" customHeight="1">
      <c r="R565" s="30"/>
    </row>
    <row r="566" spans="18:18" ht="15.75" customHeight="1">
      <c r="R566" s="30"/>
    </row>
    <row r="567" spans="18:18" ht="15.75" customHeight="1">
      <c r="R567" s="30"/>
    </row>
    <row r="568" spans="18:18" ht="15.75" customHeight="1">
      <c r="R568" s="30"/>
    </row>
    <row r="569" spans="18:18" ht="15.75" customHeight="1">
      <c r="R569" s="30"/>
    </row>
    <row r="570" spans="18:18" ht="15.75" customHeight="1">
      <c r="R570" s="30"/>
    </row>
    <row r="571" spans="18:18" ht="15.75" customHeight="1">
      <c r="R571" s="30"/>
    </row>
    <row r="572" spans="18:18" ht="15.75" customHeight="1">
      <c r="R572" s="30"/>
    </row>
    <row r="573" spans="18:18" ht="15.75" customHeight="1">
      <c r="R573" s="30"/>
    </row>
    <row r="574" spans="18:18" ht="15.75" customHeight="1">
      <c r="R574" s="30"/>
    </row>
    <row r="575" spans="18:18" ht="15.75" customHeight="1">
      <c r="R575" s="30"/>
    </row>
    <row r="576" spans="18:18" ht="15.75" customHeight="1">
      <c r="R576" s="30"/>
    </row>
    <row r="577" spans="18:18" ht="15.75" customHeight="1">
      <c r="R577" s="30"/>
    </row>
    <row r="578" spans="18:18" ht="15.75" customHeight="1">
      <c r="R578" s="30"/>
    </row>
    <row r="579" spans="18:18" ht="15.75" customHeight="1">
      <c r="R579" s="30"/>
    </row>
    <row r="580" spans="18:18" ht="15.75" customHeight="1">
      <c r="R580" s="30"/>
    </row>
    <row r="581" spans="18:18" ht="15.75" customHeight="1">
      <c r="R581" s="30"/>
    </row>
    <row r="582" spans="18:18" ht="15.75" customHeight="1">
      <c r="R582" s="30"/>
    </row>
    <row r="583" spans="18:18" ht="15.75" customHeight="1">
      <c r="R583" s="30"/>
    </row>
    <row r="584" spans="18:18" ht="15.75" customHeight="1">
      <c r="R584" s="30"/>
    </row>
    <row r="585" spans="18:18" ht="15.75" customHeight="1">
      <c r="R585" s="30"/>
    </row>
    <row r="586" spans="18:18" ht="15.75" customHeight="1">
      <c r="R586" s="30"/>
    </row>
    <row r="587" spans="18:18" ht="15.75" customHeight="1">
      <c r="R587" s="30"/>
    </row>
    <row r="588" spans="18:18" ht="15.75" customHeight="1">
      <c r="R588" s="30"/>
    </row>
    <row r="589" spans="18:18" ht="15.75" customHeight="1">
      <c r="R589" s="30"/>
    </row>
    <row r="590" spans="18:18" ht="15.75" customHeight="1">
      <c r="R590" s="30"/>
    </row>
    <row r="591" spans="18:18" ht="15.75" customHeight="1">
      <c r="R591" s="30"/>
    </row>
    <row r="592" spans="18:18" ht="15.75" customHeight="1">
      <c r="R592" s="30"/>
    </row>
    <row r="593" spans="18:18" ht="15.75" customHeight="1">
      <c r="R593" s="30"/>
    </row>
    <row r="594" spans="18:18" ht="15.75" customHeight="1">
      <c r="R594" s="30"/>
    </row>
    <row r="595" spans="18:18" ht="15.75" customHeight="1">
      <c r="R595" s="30"/>
    </row>
    <row r="596" spans="18:18" ht="15.75" customHeight="1">
      <c r="R596" s="30"/>
    </row>
    <row r="597" spans="18:18" ht="15.75" customHeight="1">
      <c r="R597" s="30"/>
    </row>
    <row r="598" spans="18:18" ht="15.75" customHeight="1">
      <c r="R598" s="30"/>
    </row>
    <row r="599" spans="18:18" ht="15.75" customHeight="1">
      <c r="R599" s="30"/>
    </row>
    <row r="600" spans="18:18" ht="15.75" customHeight="1">
      <c r="R600" s="30"/>
    </row>
    <row r="601" spans="18:18" ht="15.75" customHeight="1">
      <c r="R601" s="30"/>
    </row>
    <row r="602" spans="18:18" ht="15.75" customHeight="1">
      <c r="R602" s="30"/>
    </row>
    <row r="603" spans="18:18" ht="15.75" customHeight="1">
      <c r="R603" s="30"/>
    </row>
    <row r="604" spans="18:18" ht="15.75" customHeight="1">
      <c r="R604" s="30"/>
    </row>
    <row r="605" spans="18:18" ht="15.75" customHeight="1">
      <c r="R605" s="30"/>
    </row>
    <row r="606" spans="18:18" ht="15.75" customHeight="1">
      <c r="R606" s="30"/>
    </row>
    <row r="607" spans="18:18" ht="15.75" customHeight="1">
      <c r="R607" s="30"/>
    </row>
    <row r="608" spans="18:18" ht="15.75" customHeight="1">
      <c r="R608" s="30"/>
    </row>
    <row r="609" spans="18:18" ht="15.75" customHeight="1">
      <c r="R609" s="30"/>
    </row>
    <row r="610" spans="18:18" ht="15.75" customHeight="1">
      <c r="R610" s="30"/>
    </row>
    <row r="611" spans="18:18" ht="15.75" customHeight="1">
      <c r="R611" s="30"/>
    </row>
    <row r="612" spans="18:18" ht="15.75" customHeight="1">
      <c r="R612" s="30"/>
    </row>
    <row r="613" spans="18:18" ht="15.75" customHeight="1">
      <c r="R613" s="30"/>
    </row>
    <row r="614" spans="18:18" ht="15.75" customHeight="1">
      <c r="R614" s="30"/>
    </row>
    <row r="615" spans="18:18" ht="15.75" customHeight="1">
      <c r="R615" s="30"/>
    </row>
    <row r="616" spans="18:18" ht="15.75" customHeight="1">
      <c r="R616" s="30"/>
    </row>
    <row r="617" spans="18:18" ht="15.75" customHeight="1">
      <c r="R617" s="30"/>
    </row>
    <row r="618" spans="18:18" ht="15.75" customHeight="1">
      <c r="R618" s="30"/>
    </row>
    <row r="619" spans="18:18" ht="15.75" customHeight="1">
      <c r="R619" s="30"/>
    </row>
    <row r="620" spans="18:18" ht="15.75" customHeight="1">
      <c r="R620" s="30"/>
    </row>
    <row r="621" spans="18:18" ht="15.75" customHeight="1">
      <c r="R621" s="30"/>
    </row>
    <row r="622" spans="18:18" ht="15.75" customHeight="1">
      <c r="R622" s="30"/>
    </row>
    <row r="623" spans="18:18" ht="15.75" customHeight="1">
      <c r="R623" s="30"/>
    </row>
    <row r="624" spans="18:18" ht="15.75" customHeight="1">
      <c r="R624" s="30"/>
    </row>
    <row r="625" spans="18:18" ht="15.75" customHeight="1">
      <c r="R625" s="30"/>
    </row>
    <row r="626" spans="18:18" ht="15.75" customHeight="1">
      <c r="R626" s="30"/>
    </row>
    <row r="627" spans="18:18" ht="15.75" customHeight="1">
      <c r="R627" s="30"/>
    </row>
    <row r="628" spans="18:18" ht="15.75" customHeight="1">
      <c r="R628" s="30"/>
    </row>
    <row r="629" spans="18:18" ht="15.75" customHeight="1">
      <c r="R629" s="30"/>
    </row>
    <row r="630" spans="18:18" ht="15.75" customHeight="1">
      <c r="R630" s="30"/>
    </row>
    <row r="631" spans="18:18" ht="15.75" customHeight="1">
      <c r="R631" s="30"/>
    </row>
    <row r="632" spans="18:18" ht="15.75" customHeight="1">
      <c r="R632" s="30"/>
    </row>
    <row r="633" spans="18:18" ht="15.75" customHeight="1">
      <c r="R633" s="30"/>
    </row>
    <row r="634" spans="18:18" ht="15.75" customHeight="1">
      <c r="R634" s="30"/>
    </row>
    <row r="635" spans="18:18" ht="15.75" customHeight="1">
      <c r="R635" s="30"/>
    </row>
    <row r="636" spans="18:18" ht="15.75" customHeight="1">
      <c r="R636" s="30"/>
    </row>
    <row r="637" spans="18:18" ht="15.75" customHeight="1">
      <c r="R637" s="30"/>
    </row>
    <row r="638" spans="18:18" ht="15.75" customHeight="1">
      <c r="R638" s="30"/>
    </row>
    <row r="639" spans="18:18" ht="15.75" customHeight="1">
      <c r="R639" s="30"/>
    </row>
    <row r="640" spans="18:18" ht="15.75" customHeight="1">
      <c r="R640" s="30"/>
    </row>
    <row r="641" spans="18:18" ht="15.75" customHeight="1">
      <c r="R641" s="30"/>
    </row>
    <row r="642" spans="18:18" ht="15.75" customHeight="1">
      <c r="R642" s="30"/>
    </row>
    <row r="643" spans="18:18" ht="15.75" customHeight="1">
      <c r="R643" s="30"/>
    </row>
    <row r="644" spans="18:18" ht="15.75" customHeight="1">
      <c r="R644" s="30"/>
    </row>
    <row r="645" spans="18:18" ht="15.75" customHeight="1">
      <c r="R645" s="30"/>
    </row>
    <row r="646" spans="18:18" ht="15.75" customHeight="1">
      <c r="R646" s="30"/>
    </row>
    <row r="647" spans="18:18" ht="15.75" customHeight="1">
      <c r="R647" s="30"/>
    </row>
    <row r="648" spans="18:18" ht="15.75" customHeight="1">
      <c r="R648" s="30"/>
    </row>
    <row r="649" spans="18:18" ht="15.75" customHeight="1">
      <c r="R649" s="30"/>
    </row>
    <row r="650" spans="18:18" ht="15.75" customHeight="1">
      <c r="R650" s="30"/>
    </row>
    <row r="651" spans="18:18" ht="15.75" customHeight="1">
      <c r="R651" s="30"/>
    </row>
    <row r="652" spans="18:18" ht="15.75" customHeight="1">
      <c r="R652" s="30"/>
    </row>
    <row r="653" spans="18:18" ht="15.75" customHeight="1">
      <c r="R653" s="30"/>
    </row>
    <row r="654" spans="18:18" ht="15.75" customHeight="1">
      <c r="R654" s="30"/>
    </row>
    <row r="655" spans="18:18" ht="15.75" customHeight="1">
      <c r="R655" s="30"/>
    </row>
    <row r="656" spans="18:18" ht="15.75" customHeight="1">
      <c r="R656" s="30"/>
    </row>
    <row r="657" spans="18:18" ht="15.75" customHeight="1">
      <c r="R657" s="30"/>
    </row>
    <row r="658" spans="18:18" ht="15.75" customHeight="1">
      <c r="R658" s="30"/>
    </row>
    <row r="659" spans="18:18" ht="15.75" customHeight="1">
      <c r="R659" s="30"/>
    </row>
    <row r="660" spans="18:18" ht="15.75" customHeight="1">
      <c r="R660" s="30"/>
    </row>
    <row r="661" spans="18:18" ht="15.75" customHeight="1">
      <c r="R661" s="30"/>
    </row>
    <row r="662" spans="18:18" ht="15.75" customHeight="1">
      <c r="R662" s="30"/>
    </row>
    <row r="663" spans="18:18" ht="15.75" customHeight="1">
      <c r="R663" s="30"/>
    </row>
    <row r="664" spans="18:18" ht="15.75" customHeight="1">
      <c r="R664" s="30"/>
    </row>
    <row r="665" spans="18:18" ht="15.75" customHeight="1">
      <c r="R665" s="30"/>
    </row>
    <row r="666" spans="18:18" ht="15.75" customHeight="1">
      <c r="R666" s="30"/>
    </row>
    <row r="667" spans="18:18" ht="15.75" customHeight="1">
      <c r="R667" s="30"/>
    </row>
    <row r="668" spans="18:18" ht="15.75" customHeight="1">
      <c r="R668" s="30"/>
    </row>
    <row r="669" spans="18:18" ht="15.75" customHeight="1">
      <c r="R669" s="30"/>
    </row>
    <row r="670" spans="18:18" ht="15.75" customHeight="1">
      <c r="R670" s="30"/>
    </row>
    <row r="671" spans="18:18" ht="15.75" customHeight="1">
      <c r="R671" s="30"/>
    </row>
    <row r="672" spans="18:18" ht="15.75" customHeight="1">
      <c r="R672" s="30"/>
    </row>
    <row r="673" spans="18:18" ht="15.75" customHeight="1">
      <c r="R673" s="30"/>
    </row>
    <row r="674" spans="18:18" ht="15.75" customHeight="1">
      <c r="R674" s="30"/>
    </row>
    <row r="675" spans="18:18" ht="15.75" customHeight="1">
      <c r="R675" s="30"/>
    </row>
    <row r="676" spans="18:18" ht="15.75" customHeight="1">
      <c r="R676" s="30"/>
    </row>
    <row r="677" spans="18:18" ht="15.75" customHeight="1">
      <c r="R677" s="30"/>
    </row>
    <row r="678" spans="18:18" ht="15.75" customHeight="1">
      <c r="R678" s="30"/>
    </row>
    <row r="679" spans="18:18" ht="15.75" customHeight="1">
      <c r="R679" s="30"/>
    </row>
    <row r="680" spans="18:18" ht="15.75" customHeight="1">
      <c r="R680" s="30"/>
    </row>
    <row r="681" spans="18:18" ht="15.75" customHeight="1">
      <c r="R681" s="30"/>
    </row>
    <row r="682" spans="18:18" ht="15.75" customHeight="1">
      <c r="R682" s="30"/>
    </row>
    <row r="683" spans="18:18" ht="15.75" customHeight="1">
      <c r="R683" s="30"/>
    </row>
    <row r="684" spans="18:18" ht="15.75" customHeight="1">
      <c r="R684" s="30"/>
    </row>
    <row r="685" spans="18:18" ht="15.75" customHeight="1">
      <c r="R685" s="30"/>
    </row>
    <row r="686" spans="18:18" ht="15.75" customHeight="1">
      <c r="R686" s="30"/>
    </row>
    <row r="687" spans="18:18" ht="15.75" customHeight="1">
      <c r="R687" s="30"/>
    </row>
    <row r="688" spans="18:18" ht="15.75" customHeight="1">
      <c r="R688" s="30"/>
    </row>
    <row r="689" spans="18:18" ht="15.75" customHeight="1">
      <c r="R689" s="30"/>
    </row>
    <row r="690" spans="18:18" ht="15.75" customHeight="1">
      <c r="R690" s="30"/>
    </row>
    <row r="691" spans="18:18" ht="15.75" customHeight="1">
      <c r="R691" s="30"/>
    </row>
    <row r="692" spans="18:18" ht="15.75" customHeight="1">
      <c r="R692" s="30"/>
    </row>
    <row r="693" spans="18:18" ht="15.75" customHeight="1">
      <c r="R693" s="30"/>
    </row>
    <row r="694" spans="18:18" ht="15.75" customHeight="1">
      <c r="R694" s="30"/>
    </row>
    <row r="695" spans="18:18" ht="15.75" customHeight="1">
      <c r="R695" s="30"/>
    </row>
    <row r="696" spans="18:18" ht="15.75" customHeight="1">
      <c r="R696" s="30"/>
    </row>
    <row r="697" spans="18:18" ht="15.75" customHeight="1">
      <c r="R697" s="30"/>
    </row>
    <row r="698" spans="18:18" ht="15.75" customHeight="1">
      <c r="R698" s="30"/>
    </row>
    <row r="699" spans="18:18" ht="15.75" customHeight="1">
      <c r="R699" s="30"/>
    </row>
    <row r="700" spans="18:18" ht="15.75" customHeight="1">
      <c r="R700" s="30"/>
    </row>
    <row r="701" spans="18:18" ht="15.75" customHeight="1">
      <c r="R701" s="30"/>
    </row>
    <row r="702" spans="18:18" ht="15.75" customHeight="1">
      <c r="R702" s="30"/>
    </row>
    <row r="703" spans="18:18" ht="15.75" customHeight="1">
      <c r="R703" s="30"/>
    </row>
    <row r="704" spans="18:18" ht="15.75" customHeight="1">
      <c r="R704" s="30"/>
    </row>
    <row r="705" spans="18:18" ht="15.75" customHeight="1">
      <c r="R705" s="30"/>
    </row>
    <row r="706" spans="18:18" ht="15.75" customHeight="1">
      <c r="R706" s="30"/>
    </row>
    <row r="707" spans="18:18" ht="15.75" customHeight="1">
      <c r="R707" s="30"/>
    </row>
    <row r="708" spans="18:18" ht="15.75" customHeight="1">
      <c r="R708" s="30"/>
    </row>
    <row r="709" spans="18:18" ht="15.75" customHeight="1">
      <c r="R709" s="30"/>
    </row>
    <row r="710" spans="18:18" ht="15.75" customHeight="1">
      <c r="R710" s="30"/>
    </row>
    <row r="711" spans="18:18" ht="15.75" customHeight="1">
      <c r="R711" s="30"/>
    </row>
    <row r="712" spans="18:18" ht="15.75" customHeight="1">
      <c r="R712" s="30"/>
    </row>
    <row r="713" spans="18:18" ht="15.75" customHeight="1">
      <c r="R713" s="30"/>
    </row>
    <row r="714" spans="18:18" ht="15.75" customHeight="1">
      <c r="R714" s="30"/>
    </row>
    <row r="715" spans="18:18" ht="15.75" customHeight="1">
      <c r="R715" s="30"/>
    </row>
    <row r="716" spans="18:18" ht="15.75" customHeight="1">
      <c r="R716" s="30"/>
    </row>
    <row r="717" spans="18:18" ht="15.75" customHeight="1">
      <c r="R717" s="30"/>
    </row>
    <row r="718" spans="18:18" ht="15.75" customHeight="1">
      <c r="R718" s="30"/>
    </row>
    <row r="719" spans="18:18" ht="15.75" customHeight="1">
      <c r="R719" s="30"/>
    </row>
    <row r="720" spans="18:18" ht="15.75" customHeight="1">
      <c r="R720" s="30"/>
    </row>
    <row r="721" spans="18:18" ht="15.75" customHeight="1">
      <c r="R721" s="30"/>
    </row>
    <row r="722" spans="18:18" ht="15.75" customHeight="1">
      <c r="R722" s="30"/>
    </row>
    <row r="723" spans="18:18" ht="15.75" customHeight="1">
      <c r="R723" s="30"/>
    </row>
    <row r="724" spans="18:18" ht="15.75" customHeight="1">
      <c r="R724" s="30"/>
    </row>
    <row r="725" spans="18:18" ht="15.75" customHeight="1">
      <c r="R725" s="30"/>
    </row>
    <row r="726" spans="18:18" ht="15.75" customHeight="1">
      <c r="R726" s="30"/>
    </row>
    <row r="727" spans="18:18" ht="15.75" customHeight="1">
      <c r="R727" s="30"/>
    </row>
    <row r="728" spans="18:18" ht="15.75" customHeight="1">
      <c r="R728" s="30"/>
    </row>
    <row r="729" spans="18:18" ht="15.75" customHeight="1">
      <c r="R729" s="30"/>
    </row>
    <row r="730" spans="18:18" ht="15.75" customHeight="1">
      <c r="R730" s="30"/>
    </row>
    <row r="731" spans="18:18" ht="15.75" customHeight="1">
      <c r="R731" s="30"/>
    </row>
    <row r="732" spans="18:18" ht="15.75" customHeight="1">
      <c r="R732" s="30"/>
    </row>
    <row r="733" spans="18:18" ht="15.75" customHeight="1">
      <c r="R733" s="30"/>
    </row>
    <row r="734" spans="18:18" ht="15.75" customHeight="1">
      <c r="R734" s="30"/>
    </row>
    <row r="735" spans="18:18" ht="15.75" customHeight="1">
      <c r="R735" s="30"/>
    </row>
    <row r="736" spans="18:18" ht="15.75" customHeight="1">
      <c r="R736" s="30"/>
    </row>
    <row r="737" spans="18:18" ht="15.75" customHeight="1">
      <c r="R737" s="30"/>
    </row>
    <row r="738" spans="18:18" ht="15.75" customHeight="1">
      <c r="R738" s="30"/>
    </row>
    <row r="739" spans="18:18" ht="15.75" customHeight="1">
      <c r="R739" s="30"/>
    </row>
    <row r="740" spans="18:18" ht="15.75" customHeight="1">
      <c r="R740" s="30"/>
    </row>
    <row r="741" spans="18:18" ht="15.75" customHeight="1">
      <c r="R741" s="30"/>
    </row>
    <row r="742" spans="18:18" ht="15.75" customHeight="1">
      <c r="R742" s="30"/>
    </row>
    <row r="743" spans="18:18" ht="15.75" customHeight="1">
      <c r="R743" s="30"/>
    </row>
    <row r="744" spans="18:18" ht="15.75" customHeight="1">
      <c r="R744" s="30"/>
    </row>
    <row r="745" spans="18:18" ht="15.75" customHeight="1">
      <c r="R745" s="30"/>
    </row>
    <row r="746" spans="18:18" ht="15.75" customHeight="1">
      <c r="R746" s="30"/>
    </row>
    <row r="747" spans="18:18" ht="15.75" customHeight="1">
      <c r="R747" s="30"/>
    </row>
    <row r="748" spans="18:18" ht="15.75" customHeight="1">
      <c r="R748" s="30"/>
    </row>
    <row r="749" spans="18:18" ht="15.75" customHeight="1">
      <c r="R749" s="30"/>
    </row>
    <row r="750" spans="18:18" ht="15.75" customHeight="1">
      <c r="R750" s="30"/>
    </row>
    <row r="751" spans="18:18" ht="15.75" customHeight="1">
      <c r="R751" s="30"/>
    </row>
    <row r="752" spans="18:18" ht="15.75" customHeight="1">
      <c r="R752" s="30"/>
    </row>
    <row r="753" spans="18:18" ht="15.75" customHeight="1">
      <c r="R753" s="30"/>
    </row>
    <row r="754" spans="18:18" ht="15.75" customHeight="1">
      <c r="R754" s="30"/>
    </row>
    <row r="755" spans="18:18" ht="15.75" customHeight="1">
      <c r="R755" s="30"/>
    </row>
    <row r="756" spans="18:18" ht="15.75" customHeight="1">
      <c r="R756" s="30"/>
    </row>
    <row r="757" spans="18:18" ht="15.75" customHeight="1">
      <c r="R757" s="30"/>
    </row>
    <row r="758" spans="18:18" ht="15.75" customHeight="1">
      <c r="R758" s="30"/>
    </row>
    <row r="759" spans="18:18" ht="15.75" customHeight="1">
      <c r="R759" s="30"/>
    </row>
    <row r="760" spans="18:18" ht="15.75" customHeight="1">
      <c r="R760" s="30"/>
    </row>
    <row r="761" spans="18:18" ht="15.75" customHeight="1">
      <c r="R761" s="30"/>
    </row>
    <row r="762" spans="18:18" ht="15.75" customHeight="1">
      <c r="R762" s="30"/>
    </row>
    <row r="763" spans="18:18" ht="15.75" customHeight="1">
      <c r="R763" s="30"/>
    </row>
    <row r="764" spans="18:18" ht="15.75" customHeight="1">
      <c r="R764" s="30"/>
    </row>
    <row r="765" spans="18:18" ht="15.75" customHeight="1">
      <c r="R765" s="30"/>
    </row>
    <row r="766" spans="18:18" ht="15.75" customHeight="1">
      <c r="R766" s="30"/>
    </row>
    <row r="767" spans="18:18" ht="15.75" customHeight="1">
      <c r="R767" s="30"/>
    </row>
    <row r="768" spans="18:18" ht="15.75" customHeight="1">
      <c r="R768" s="30"/>
    </row>
    <row r="769" spans="18:18" ht="15.75" customHeight="1">
      <c r="R769" s="30"/>
    </row>
    <row r="770" spans="18:18" ht="15.75" customHeight="1">
      <c r="R770" s="30"/>
    </row>
    <row r="771" spans="18:18" ht="15.75" customHeight="1">
      <c r="R771" s="30"/>
    </row>
    <row r="772" spans="18:18" ht="15.75" customHeight="1">
      <c r="R772" s="30"/>
    </row>
    <row r="773" spans="18:18" ht="15.75" customHeight="1">
      <c r="R773" s="30"/>
    </row>
    <row r="774" spans="18:18" ht="15.75" customHeight="1">
      <c r="R774" s="30"/>
    </row>
    <row r="775" spans="18:18" ht="15.75" customHeight="1">
      <c r="R775" s="30"/>
    </row>
    <row r="776" spans="18:18" ht="15.75" customHeight="1">
      <c r="R776" s="30"/>
    </row>
    <row r="777" spans="18:18" ht="15.75" customHeight="1">
      <c r="R777" s="30"/>
    </row>
    <row r="778" spans="18:18" ht="15.75" customHeight="1">
      <c r="R778" s="30"/>
    </row>
    <row r="779" spans="18:18" ht="15.75" customHeight="1">
      <c r="R779" s="30"/>
    </row>
    <row r="780" spans="18:18" ht="15.75" customHeight="1">
      <c r="R780" s="30"/>
    </row>
    <row r="781" spans="18:18" ht="15.75" customHeight="1">
      <c r="R781" s="30"/>
    </row>
    <row r="782" spans="18:18" ht="15.75" customHeight="1">
      <c r="R782" s="30"/>
    </row>
    <row r="783" spans="18:18" ht="15.75" customHeight="1">
      <c r="R783" s="30"/>
    </row>
    <row r="784" spans="18:18" ht="15.75" customHeight="1">
      <c r="R784" s="30"/>
    </row>
    <row r="785" spans="18:18" ht="15.75" customHeight="1">
      <c r="R785" s="30"/>
    </row>
    <row r="786" spans="18:18" ht="15.75" customHeight="1">
      <c r="R786" s="30"/>
    </row>
    <row r="787" spans="18:18" ht="15.75" customHeight="1">
      <c r="R787" s="30"/>
    </row>
    <row r="788" spans="18:18" ht="15.75" customHeight="1">
      <c r="R788" s="30"/>
    </row>
    <row r="789" spans="18:18" ht="15.75" customHeight="1">
      <c r="R789" s="30"/>
    </row>
    <row r="790" spans="18:18" ht="15.75" customHeight="1">
      <c r="R790" s="30"/>
    </row>
    <row r="791" spans="18:18" ht="15.75" customHeight="1">
      <c r="R791" s="30"/>
    </row>
    <row r="792" spans="18:18" ht="15.75" customHeight="1">
      <c r="R792" s="30"/>
    </row>
    <row r="793" spans="18:18" ht="15.75" customHeight="1">
      <c r="R793" s="30"/>
    </row>
    <row r="794" spans="18:18" ht="15.75" customHeight="1">
      <c r="R794" s="30"/>
    </row>
    <row r="795" spans="18:18" ht="15.75" customHeight="1">
      <c r="R795" s="30"/>
    </row>
    <row r="796" spans="18:18" ht="15.75" customHeight="1">
      <c r="R796" s="30"/>
    </row>
    <row r="797" spans="18:18" ht="15.75" customHeight="1">
      <c r="R797" s="30"/>
    </row>
    <row r="798" spans="18:18" ht="15.75" customHeight="1">
      <c r="R798" s="30"/>
    </row>
    <row r="799" spans="18:18" ht="15.75" customHeight="1">
      <c r="R799" s="30"/>
    </row>
    <row r="800" spans="18:18" ht="15.75" customHeight="1">
      <c r="R800" s="30"/>
    </row>
    <row r="801" spans="18:18" ht="15.75" customHeight="1">
      <c r="R801" s="30"/>
    </row>
    <row r="802" spans="18:18" ht="15.75" customHeight="1">
      <c r="R802" s="30"/>
    </row>
    <row r="803" spans="18:18" ht="15.75" customHeight="1">
      <c r="R803" s="30"/>
    </row>
    <row r="804" spans="18:18" ht="15.75" customHeight="1">
      <c r="R804" s="30"/>
    </row>
    <row r="805" spans="18:18" ht="15.75" customHeight="1">
      <c r="R805" s="30"/>
    </row>
    <row r="806" spans="18:18" ht="15.75" customHeight="1">
      <c r="R806" s="30"/>
    </row>
    <row r="807" spans="18:18" ht="15.75" customHeight="1">
      <c r="R807" s="30"/>
    </row>
    <row r="808" spans="18:18" ht="15.75" customHeight="1">
      <c r="R808" s="30"/>
    </row>
    <row r="809" spans="18:18" ht="15.75" customHeight="1">
      <c r="R809" s="30"/>
    </row>
    <row r="810" spans="18:18" ht="15.75" customHeight="1">
      <c r="R810" s="30"/>
    </row>
    <row r="811" spans="18:18" ht="15.75" customHeight="1">
      <c r="R811" s="30"/>
    </row>
    <row r="812" spans="18:18" ht="15.75" customHeight="1">
      <c r="R812" s="30"/>
    </row>
    <row r="813" spans="18:18" ht="15.75" customHeight="1">
      <c r="R813" s="30"/>
    </row>
    <row r="814" spans="18:18" ht="15.75" customHeight="1">
      <c r="R814" s="30"/>
    </row>
    <row r="815" spans="18:18" ht="15.75" customHeight="1">
      <c r="R815" s="30"/>
    </row>
    <row r="816" spans="18:18" ht="15.75" customHeight="1">
      <c r="R816" s="30"/>
    </row>
    <row r="817" spans="18:18" ht="15.75" customHeight="1">
      <c r="R817" s="30"/>
    </row>
    <row r="818" spans="18:18" ht="15.75" customHeight="1">
      <c r="R818" s="30"/>
    </row>
    <row r="819" spans="18:18" ht="15.75" customHeight="1">
      <c r="R819" s="30"/>
    </row>
    <row r="820" spans="18:18" ht="15.75" customHeight="1">
      <c r="R820" s="30"/>
    </row>
    <row r="821" spans="18:18" ht="15.75" customHeight="1">
      <c r="R821" s="30"/>
    </row>
    <row r="822" spans="18:18" ht="15.75" customHeight="1">
      <c r="R822" s="30"/>
    </row>
    <row r="823" spans="18:18" ht="15.75" customHeight="1">
      <c r="R823" s="30"/>
    </row>
    <row r="824" spans="18:18" ht="15.75" customHeight="1">
      <c r="R824" s="30"/>
    </row>
    <row r="825" spans="18:18" ht="15.75" customHeight="1">
      <c r="R825" s="30"/>
    </row>
    <row r="826" spans="18:18" ht="15.75" customHeight="1">
      <c r="R826" s="30"/>
    </row>
    <row r="827" spans="18:18" ht="15.75" customHeight="1">
      <c r="R827" s="30"/>
    </row>
    <row r="828" spans="18:18" ht="15.75" customHeight="1">
      <c r="R828" s="30"/>
    </row>
    <row r="829" spans="18:18" ht="15.75" customHeight="1">
      <c r="R829" s="30"/>
    </row>
    <row r="830" spans="18:18" ht="15.75" customHeight="1">
      <c r="R830" s="30"/>
    </row>
    <row r="831" spans="18:18" ht="15.75" customHeight="1">
      <c r="R831" s="30"/>
    </row>
    <row r="832" spans="18:18" ht="15.75" customHeight="1">
      <c r="R832" s="30"/>
    </row>
    <row r="833" spans="18:18" ht="15.75" customHeight="1">
      <c r="R833" s="30"/>
    </row>
    <row r="834" spans="18:18" ht="15.75" customHeight="1">
      <c r="R834" s="30"/>
    </row>
    <row r="835" spans="18:18" ht="15.75" customHeight="1">
      <c r="R835" s="30"/>
    </row>
    <row r="836" spans="18:18" ht="15.75" customHeight="1">
      <c r="R836" s="30"/>
    </row>
    <row r="837" spans="18:18" ht="15.75" customHeight="1">
      <c r="R837" s="30"/>
    </row>
    <row r="838" spans="18:18" ht="15.75" customHeight="1">
      <c r="R838" s="30"/>
    </row>
    <row r="839" spans="18:18" ht="15.75" customHeight="1">
      <c r="R839" s="30"/>
    </row>
    <row r="840" spans="18:18" ht="15.75" customHeight="1">
      <c r="R840" s="30"/>
    </row>
    <row r="841" spans="18:18" ht="15.75" customHeight="1">
      <c r="R841" s="30"/>
    </row>
    <row r="842" spans="18:18" ht="15.75" customHeight="1">
      <c r="R842" s="30"/>
    </row>
    <row r="843" spans="18:18" ht="15.75" customHeight="1">
      <c r="R843" s="30"/>
    </row>
    <row r="844" spans="18:18" ht="15.75" customHeight="1">
      <c r="R844" s="30"/>
    </row>
    <row r="845" spans="18:18" ht="15.75" customHeight="1">
      <c r="R845" s="30"/>
    </row>
    <row r="846" spans="18:18" ht="15.75" customHeight="1">
      <c r="R846" s="30"/>
    </row>
    <row r="847" spans="18:18" ht="15.75" customHeight="1">
      <c r="R847" s="30"/>
    </row>
    <row r="848" spans="18:18" ht="15.75" customHeight="1">
      <c r="R848" s="30"/>
    </row>
    <row r="849" spans="18:18" ht="15.75" customHeight="1">
      <c r="R849" s="30"/>
    </row>
    <row r="850" spans="18:18" ht="15.75" customHeight="1">
      <c r="R850" s="30"/>
    </row>
    <row r="851" spans="18:18" ht="15.75" customHeight="1">
      <c r="R851" s="30"/>
    </row>
    <row r="852" spans="18:18" ht="15.75" customHeight="1">
      <c r="R852" s="30"/>
    </row>
    <row r="853" spans="18:18" ht="15.75" customHeight="1">
      <c r="R853" s="30"/>
    </row>
    <row r="854" spans="18:18" ht="15.75" customHeight="1">
      <c r="R854" s="30"/>
    </row>
    <row r="855" spans="18:18" ht="15.75" customHeight="1">
      <c r="R855" s="30"/>
    </row>
    <row r="856" spans="18:18" ht="15.75" customHeight="1">
      <c r="R856" s="30"/>
    </row>
    <row r="857" spans="18:18" ht="15.75" customHeight="1">
      <c r="R857" s="30"/>
    </row>
    <row r="858" spans="18:18" ht="15.75" customHeight="1">
      <c r="R858" s="30"/>
    </row>
    <row r="859" spans="18:18" ht="15.75" customHeight="1">
      <c r="R859" s="30"/>
    </row>
    <row r="860" spans="18:18" ht="15.75" customHeight="1">
      <c r="R860" s="30"/>
    </row>
    <row r="861" spans="18:18" ht="15.75" customHeight="1">
      <c r="R861" s="30"/>
    </row>
    <row r="862" spans="18:18" ht="15.75" customHeight="1">
      <c r="R862" s="30"/>
    </row>
    <row r="863" spans="18:18" ht="15.75" customHeight="1">
      <c r="R863" s="30"/>
    </row>
    <row r="864" spans="18:18" ht="15.75" customHeight="1">
      <c r="R864" s="30"/>
    </row>
    <row r="865" spans="18:18" ht="15.75" customHeight="1">
      <c r="R865" s="30"/>
    </row>
    <row r="866" spans="18:18" ht="15.75" customHeight="1">
      <c r="R866" s="30"/>
    </row>
    <row r="867" spans="18:18" ht="15.75" customHeight="1">
      <c r="R867" s="30"/>
    </row>
    <row r="868" spans="18:18" ht="15.75" customHeight="1">
      <c r="R868" s="30"/>
    </row>
    <row r="869" spans="18:18" ht="15.75" customHeight="1">
      <c r="R869" s="30"/>
    </row>
    <row r="870" spans="18:18" ht="15.75" customHeight="1">
      <c r="R870" s="30"/>
    </row>
    <row r="871" spans="18:18" ht="15.75" customHeight="1">
      <c r="R871" s="30"/>
    </row>
    <row r="872" spans="18:18" ht="15.75" customHeight="1">
      <c r="R872" s="30"/>
    </row>
    <row r="873" spans="18:18" ht="15.75" customHeight="1">
      <c r="R873" s="30"/>
    </row>
    <row r="874" spans="18:18" ht="15.75" customHeight="1">
      <c r="R874" s="30"/>
    </row>
    <row r="875" spans="18:18" ht="15.75" customHeight="1">
      <c r="R875" s="30"/>
    </row>
    <row r="876" spans="18:18" ht="15.75" customHeight="1">
      <c r="R876" s="30"/>
    </row>
    <row r="877" spans="18:18" ht="15.75" customHeight="1">
      <c r="R877" s="30"/>
    </row>
    <row r="878" spans="18:18" ht="15.75" customHeight="1">
      <c r="R878" s="30"/>
    </row>
    <row r="879" spans="18:18" ht="15.75" customHeight="1">
      <c r="R879" s="30"/>
    </row>
    <row r="880" spans="18:18" ht="15.75" customHeight="1">
      <c r="R880" s="30"/>
    </row>
    <row r="881" spans="18:18" ht="15.75" customHeight="1">
      <c r="R881" s="30"/>
    </row>
    <row r="882" spans="18:18" ht="15.75" customHeight="1">
      <c r="R882" s="30"/>
    </row>
    <row r="883" spans="18:18" ht="15.75" customHeight="1">
      <c r="R883" s="30"/>
    </row>
    <row r="884" spans="18:18" ht="15.75" customHeight="1">
      <c r="R884" s="30"/>
    </row>
    <row r="885" spans="18:18" ht="15.75" customHeight="1">
      <c r="R885" s="30"/>
    </row>
    <row r="886" spans="18:18" ht="15.75" customHeight="1">
      <c r="R886" s="30"/>
    </row>
    <row r="887" spans="18:18" ht="15.75" customHeight="1">
      <c r="R887" s="30"/>
    </row>
    <row r="888" spans="18:18" ht="15.75" customHeight="1">
      <c r="R888" s="30"/>
    </row>
    <row r="889" spans="18:18" ht="15.75" customHeight="1">
      <c r="R889" s="30"/>
    </row>
    <row r="890" spans="18:18" ht="15.75" customHeight="1">
      <c r="R890" s="30"/>
    </row>
    <row r="891" spans="18:18" ht="15.75" customHeight="1">
      <c r="R891" s="30"/>
    </row>
    <row r="892" spans="18:18" ht="15.75" customHeight="1">
      <c r="R892" s="30"/>
    </row>
    <row r="893" spans="18:18" ht="15.75" customHeight="1">
      <c r="R893" s="30"/>
    </row>
    <row r="894" spans="18:18" ht="15.75" customHeight="1">
      <c r="R894" s="30"/>
    </row>
    <row r="895" spans="18:18" ht="15.75" customHeight="1">
      <c r="R895" s="30"/>
    </row>
    <row r="896" spans="18:18" ht="15.75" customHeight="1">
      <c r="R896" s="30"/>
    </row>
    <row r="897" spans="18:18" ht="15.75" customHeight="1">
      <c r="R897" s="30"/>
    </row>
    <row r="898" spans="18:18" ht="15.75" customHeight="1">
      <c r="R898" s="30"/>
    </row>
    <row r="899" spans="18:18" ht="15.75" customHeight="1">
      <c r="R899" s="30"/>
    </row>
    <row r="900" spans="18:18" ht="15.75" customHeight="1">
      <c r="R900" s="30"/>
    </row>
    <row r="901" spans="18:18" ht="15.75" customHeight="1">
      <c r="R901" s="30"/>
    </row>
    <row r="902" spans="18:18" ht="15.75" customHeight="1">
      <c r="R902" s="30"/>
    </row>
    <row r="903" spans="18:18" ht="15.75" customHeight="1">
      <c r="R903" s="30"/>
    </row>
    <row r="904" spans="18:18" ht="15.75" customHeight="1">
      <c r="R904" s="30"/>
    </row>
    <row r="905" spans="18:18" ht="15.75" customHeight="1">
      <c r="R905" s="30"/>
    </row>
    <row r="906" spans="18:18" ht="15.75" customHeight="1">
      <c r="R906" s="30"/>
    </row>
    <row r="907" spans="18:18" ht="15.75" customHeight="1">
      <c r="R907" s="30"/>
    </row>
    <row r="908" spans="18:18" ht="15.75" customHeight="1">
      <c r="R908" s="30"/>
    </row>
    <row r="909" spans="18:18" ht="15.75" customHeight="1">
      <c r="R909" s="30"/>
    </row>
    <row r="910" spans="18:18" ht="15.75" customHeight="1">
      <c r="R910" s="30"/>
    </row>
    <row r="911" spans="18:18" ht="15.75" customHeight="1">
      <c r="R911" s="30"/>
    </row>
    <row r="912" spans="18:18" ht="15.75" customHeight="1">
      <c r="R912" s="30"/>
    </row>
    <row r="913" spans="18:18" ht="15.75" customHeight="1">
      <c r="R913" s="30"/>
    </row>
    <row r="914" spans="18:18" ht="15.75" customHeight="1">
      <c r="R914" s="30"/>
    </row>
    <row r="915" spans="18:18" ht="15.75" customHeight="1">
      <c r="R915" s="30"/>
    </row>
    <row r="916" spans="18:18" ht="15.75" customHeight="1">
      <c r="R916" s="30"/>
    </row>
    <row r="917" spans="18:18" ht="15.75" customHeight="1">
      <c r="R917" s="30"/>
    </row>
    <row r="918" spans="18:18" ht="15.75" customHeight="1">
      <c r="R918" s="30"/>
    </row>
    <row r="919" spans="18:18" ht="15.75" customHeight="1">
      <c r="R919" s="30"/>
    </row>
    <row r="920" spans="18:18" ht="15.75" customHeight="1">
      <c r="R920" s="30"/>
    </row>
    <row r="921" spans="18:18" ht="15.75" customHeight="1">
      <c r="R921" s="30"/>
    </row>
    <row r="922" spans="18:18" ht="15.75" customHeight="1">
      <c r="R922" s="30"/>
    </row>
    <row r="923" spans="18:18" ht="15.75" customHeight="1">
      <c r="R923" s="30"/>
    </row>
    <row r="924" spans="18:18" ht="15.75" customHeight="1">
      <c r="R924" s="30"/>
    </row>
    <row r="925" spans="18:18" ht="15.75" customHeight="1">
      <c r="R925" s="30"/>
    </row>
    <row r="926" spans="18:18" ht="15.75" customHeight="1">
      <c r="R926" s="30"/>
    </row>
    <row r="927" spans="18:18" ht="15.75" customHeight="1">
      <c r="R927" s="30"/>
    </row>
    <row r="928" spans="18:18" ht="15.75" customHeight="1">
      <c r="R928" s="30"/>
    </row>
    <row r="929" spans="18:18" ht="15.75" customHeight="1">
      <c r="R929" s="30"/>
    </row>
    <row r="930" spans="18:18" ht="15.75" customHeight="1">
      <c r="R930" s="30"/>
    </row>
    <row r="931" spans="18:18" ht="15.75" customHeight="1">
      <c r="R931" s="30"/>
    </row>
    <row r="932" spans="18:18" ht="15.75" customHeight="1">
      <c r="R932" s="30"/>
    </row>
    <row r="933" spans="18:18" ht="15.75" customHeight="1">
      <c r="R933" s="30"/>
    </row>
    <row r="934" spans="18:18" ht="15.75" customHeight="1">
      <c r="R934" s="30"/>
    </row>
    <row r="935" spans="18:18" ht="15.75" customHeight="1">
      <c r="R935" s="30"/>
    </row>
    <row r="936" spans="18:18" ht="15.75" customHeight="1">
      <c r="R936" s="30"/>
    </row>
    <row r="937" spans="18:18" ht="15.75" customHeight="1">
      <c r="R937" s="30"/>
    </row>
    <row r="938" spans="18:18" ht="15.75" customHeight="1">
      <c r="R938" s="30"/>
    </row>
    <row r="939" spans="18:18" ht="15.75" customHeight="1">
      <c r="R939" s="30"/>
    </row>
    <row r="940" spans="18:18" ht="15.75" customHeight="1">
      <c r="R940" s="30"/>
    </row>
    <row r="941" spans="18:18" ht="15.75" customHeight="1">
      <c r="R941" s="30"/>
    </row>
    <row r="942" spans="18:18" ht="15.75" customHeight="1">
      <c r="R942" s="30"/>
    </row>
    <row r="943" spans="18:18" ht="15.75" customHeight="1">
      <c r="R943" s="30"/>
    </row>
    <row r="944" spans="18:18" ht="15.75" customHeight="1">
      <c r="R944" s="30"/>
    </row>
    <row r="945" spans="18:18" ht="15.75" customHeight="1">
      <c r="R945" s="30"/>
    </row>
    <row r="946" spans="18:18" ht="15.75" customHeight="1">
      <c r="R946" s="30"/>
    </row>
    <row r="947" spans="18:18" ht="15.75" customHeight="1">
      <c r="R947" s="30"/>
    </row>
    <row r="948" spans="18:18" ht="15.75" customHeight="1">
      <c r="R948" s="30"/>
    </row>
    <row r="949" spans="18:18" ht="15.75" customHeight="1">
      <c r="R949" s="30"/>
    </row>
    <row r="950" spans="18:18" ht="15.75" customHeight="1">
      <c r="R950" s="30"/>
    </row>
    <row r="951" spans="18:18" ht="15.75" customHeight="1">
      <c r="R951" s="30"/>
    </row>
    <row r="952" spans="18:18" ht="15.75" customHeight="1">
      <c r="R952" s="30"/>
    </row>
    <row r="953" spans="18:18" ht="15.75" customHeight="1">
      <c r="R953" s="30"/>
    </row>
    <row r="954" spans="18:18" ht="15.75" customHeight="1">
      <c r="R954" s="30"/>
    </row>
    <row r="955" spans="18:18" ht="15.75" customHeight="1">
      <c r="R955" s="30"/>
    </row>
    <row r="956" spans="18:18" ht="15.75" customHeight="1">
      <c r="R956" s="30"/>
    </row>
    <row r="957" spans="18:18" ht="15.75" customHeight="1">
      <c r="R957" s="30"/>
    </row>
    <row r="958" spans="18:18" ht="15.75" customHeight="1">
      <c r="R958" s="30"/>
    </row>
    <row r="959" spans="18:18" ht="15.75" customHeight="1">
      <c r="R959" s="30"/>
    </row>
    <row r="960" spans="18:18" ht="15.75" customHeight="1">
      <c r="R960" s="30"/>
    </row>
    <row r="961" spans="18:18" ht="15.75" customHeight="1">
      <c r="R961" s="30"/>
    </row>
    <row r="962" spans="18:18" ht="15.75" customHeight="1">
      <c r="R962" s="30"/>
    </row>
    <row r="963" spans="18:18" ht="15.75" customHeight="1">
      <c r="R963" s="30"/>
    </row>
    <row r="964" spans="18:18" ht="15.75" customHeight="1">
      <c r="R964" s="30"/>
    </row>
    <row r="965" spans="18:18" ht="15.75" customHeight="1">
      <c r="R965" s="30"/>
    </row>
    <row r="966" spans="18:18" ht="15.75" customHeight="1">
      <c r="R966" s="30"/>
    </row>
    <row r="967" spans="18:18" ht="15.75" customHeight="1">
      <c r="R967" s="30"/>
    </row>
    <row r="968" spans="18:18" ht="15.75" customHeight="1">
      <c r="R968" s="30"/>
    </row>
    <row r="969" spans="18:18" ht="15.75" customHeight="1">
      <c r="R969" s="30"/>
    </row>
    <row r="970" spans="18:18" ht="15.75" customHeight="1">
      <c r="R970" s="30"/>
    </row>
    <row r="971" spans="18:18" ht="15.75" customHeight="1">
      <c r="R971" s="30"/>
    </row>
    <row r="972" spans="18:18" ht="15.75" customHeight="1">
      <c r="R972" s="30"/>
    </row>
    <row r="973" spans="18:18" ht="15.75" customHeight="1">
      <c r="R973" s="30"/>
    </row>
    <row r="974" spans="18:18" ht="15.75" customHeight="1">
      <c r="R974" s="30"/>
    </row>
    <row r="975" spans="18:18" ht="15.75" customHeight="1">
      <c r="R975" s="30"/>
    </row>
    <row r="976" spans="18:18" ht="15.75" customHeight="1">
      <c r="R976" s="30"/>
    </row>
    <row r="977" spans="18:18" ht="15.75" customHeight="1">
      <c r="R977" s="30"/>
    </row>
    <row r="978" spans="18:18" ht="15.75" customHeight="1">
      <c r="R978" s="30"/>
    </row>
    <row r="979" spans="18:18" ht="15.75" customHeight="1">
      <c r="R979" s="30"/>
    </row>
    <row r="980" spans="18:18" ht="15.75" customHeight="1">
      <c r="R980" s="30"/>
    </row>
    <row r="981" spans="18:18" ht="15.75" customHeight="1">
      <c r="R981" s="30"/>
    </row>
    <row r="982" spans="18:18" ht="15.75" customHeight="1">
      <c r="R982" s="30"/>
    </row>
    <row r="983" spans="18:18" ht="15.75" customHeight="1">
      <c r="R983" s="30"/>
    </row>
    <row r="984" spans="18:18" ht="15.75" customHeight="1">
      <c r="R984" s="30"/>
    </row>
    <row r="985" spans="18:18" ht="15.75" customHeight="1">
      <c r="R985" s="30"/>
    </row>
    <row r="986" spans="18:18" ht="15.75" customHeight="1">
      <c r="R986" s="30"/>
    </row>
    <row r="987" spans="18:18" ht="15.75" customHeight="1">
      <c r="R987" s="30"/>
    </row>
    <row r="988" spans="18:18" ht="15.75" customHeight="1">
      <c r="R988" s="30"/>
    </row>
    <row r="989" spans="18:18" ht="15.75" customHeight="1">
      <c r="R989" s="30"/>
    </row>
    <row r="990" spans="18:18" ht="15.75" customHeight="1">
      <c r="R990" s="30"/>
    </row>
    <row r="991" spans="18:18" ht="15.75" customHeight="1">
      <c r="R991" s="30"/>
    </row>
    <row r="992" spans="18:18" ht="15.75" customHeight="1">
      <c r="R992" s="30"/>
    </row>
    <row r="993" spans="18:18" ht="15.75" customHeight="1">
      <c r="R993" s="30"/>
    </row>
    <row r="994" spans="18:18" ht="15.75" customHeight="1">
      <c r="R994" s="30"/>
    </row>
    <row r="995" spans="18:18" ht="15.75" customHeight="1">
      <c r="R995" s="30"/>
    </row>
    <row r="996" spans="18:18" ht="15.75" customHeight="1">
      <c r="R996" s="30"/>
    </row>
    <row r="997" spans="18:18" ht="15.75" customHeight="1">
      <c r="R997" s="30"/>
    </row>
    <row r="998" spans="18:18" ht="15.75" customHeight="1">
      <c r="R998" s="30"/>
    </row>
    <row r="999" spans="18:18" ht="15.75" customHeight="1">
      <c r="R999" s="30"/>
    </row>
    <row r="1000" spans="18:18" ht="15.75" customHeight="1">
      <c r="R1000" s="3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2.6640625" defaultRowHeight="15" customHeight="1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8.6640625" customWidth="1"/>
    <col min="6" max="6" width="9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16.33203125" customWidth="1"/>
    <col min="16" max="16" width="10" customWidth="1"/>
    <col min="17" max="18" width="7.33203125" customWidth="1"/>
    <col min="19" max="19" width="7.1640625" customWidth="1"/>
    <col min="20" max="20" width="13.1640625" customWidth="1"/>
    <col min="21" max="21" width="19.1640625" customWidth="1"/>
    <col min="22" max="22" width="71.164062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6640625" customWidth="1"/>
    <col min="32" max="32" width="10.1640625" customWidth="1"/>
    <col min="33" max="33" width="8.83203125" customWidth="1"/>
  </cols>
  <sheetData>
    <row r="1" spans="1:33" ht="18.75" customHeight="1">
      <c r="A1" s="46" t="str">
        <f ca="1">IFERROR(__xludf.DUMMYFUNCTION("IFERROR(VLOOKUP(B2,IMPORTRANGE(""https://docs.google.com/spreadsheets/d/1x0DhHglkXKoEBOD2MBsuK_EyIr1ouxD2ftIpqOYFa-k/edit?usp=sharing"",""Ubiquitty-SKU-Specific Info!B1:BJ5000""),3,FALSE),"""")"),"2 Pack of 25 Foot Outdoor Extension Cord with 3 Electrical Power Outlets - 12/3 SJTW Heavy Duty Yellow Lighted Extension Cable with 3 Prong Grounded Plug for Safety")</f>
        <v>2 Pack of 25 Foot Outdoor Extension Cord with 3 Electrical Power Outlets - 12/3 SJTW Heavy Duty Yellow Lighted Extension Cable with 3 Prong Grounded Plug for Safety</v>
      </c>
      <c r="B1" s="47"/>
      <c r="C1" s="48" t="s">
        <v>0</v>
      </c>
      <c r="D1" s="50" t="s">
        <v>1</v>
      </c>
      <c r="E1" s="50" t="s">
        <v>2</v>
      </c>
      <c r="F1" s="52" t="s">
        <v>3</v>
      </c>
      <c r="G1" s="52" t="s">
        <v>4</v>
      </c>
      <c r="H1" s="53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58" t="s">
        <v>10</v>
      </c>
      <c r="N1" s="59" t="s">
        <v>11</v>
      </c>
      <c r="O1" s="50" t="s">
        <v>12</v>
      </c>
      <c r="P1" s="50" t="s">
        <v>13</v>
      </c>
      <c r="Q1" s="57" t="s">
        <v>14</v>
      </c>
      <c r="R1" s="57" t="s">
        <v>15</v>
      </c>
      <c r="S1" s="60" t="s">
        <v>16</v>
      </c>
      <c r="T1" s="62" t="s">
        <v>2006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Info!B1:BJ5000""),2,FALSE),"""")"),"B08NFFP24G")</f>
        <v>B08NFFP24G</v>
      </c>
      <c r="B2" s="3" t="s">
        <v>1481</v>
      </c>
      <c r="C2" s="49"/>
      <c r="D2" s="49"/>
      <c r="E2" s="51"/>
      <c r="F2" s="49"/>
      <c r="G2" s="49"/>
      <c r="H2" s="54"/>
      <c r="I2" s="49"/>
      <c r="J2" s="49"/>
      <c r="K2" s="54"/>
      <c r="L2" s="54"/>
      <c r="M2" s="54"/>
      <c r="N2" s="49"/>
      <c r="O2" s="49"/>
      <c r="P2" s="51"/>
      <c r="Q2" s="49"/>
      <c r="R2" s="49"/>
      <c r="S2" s="61"/>
      <c r="T2" s="47"/>
      <c r="U2" s="63"/>
      <c r="V2" s="63"/>
      <c r="W2" s="47"/>
      <c r="X2" s="47"/>
      <c r="Y2" s="47"/>
      <c r="Z2" s="47"/>
      <c r="AA2" s="63"/>
      <c r="AB2" s="63"/>
      <c r="AC2" s="63"/>
      <c r="AD2" s="63"/>
      <c r="AE2" s="47"/>
      <c r="AF2" s="47"/>
      <c r="AG2" s="47"/>
    </row>
    <row r="3" spans="1:33" ht="140.25" customHeight="1">
      <c r="A3" s="55" t="s">
        <v>31</v>
      </c>
      <c r="B3" s="56"/>
      <c r="C3" s="4">
        <f>((AE32+AF32)/0.85)*-1</f>
        <v>35.249639680000001</v>
      </c>
      <c r="D3" s="5">
        <f>SUM(D4:D99765)</f>
        <v>128</v>
      </c>
      <c r="E3" s="5"/>
      <c r="F3" s="6">
        <f t="shared" ref="F3:G3" si="0">SUM(F4:F99765)</f>
        <v>5868.74</v>
      </c>
      <c r="G3" s="6">
        <f t="shared" si="0"/>
        <v>-175.94</v>
      </c>
      <c r="H3" s="7">
        <f>G3/F3*-1</f>
        <v>2.9979177813295531E-2</v>
      </c>
      <c r="I3" s="8">
        <f>J3/F3</f>
        <v>0.15116720061612746</v>
      </c>
      <c r="J3" s="6">
        <f>SUM(J4:J99765)</f>
        <v>887.16099694389175</v>
      </c>
      <c r="K3" s="6">
        <f>J3/D3</f>
        <v>6.9309452886241543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2 - April
2 - May
2 - June
2 - July
2 - Aug
1.5 - Sept
1.5 - Oct
2 - Nov
1.5 - Dec
 - Jan
 - Feb")</f>
        <v xml:space="preserve"> - March
2 - April
2 - May
2 - June
2 - July
2 - Aug
1.5 - Sept
1.5 - Oct
2 - Nov
1.5 -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18</v>
      </c>
      <c r="X3" s="7">
        <f>W3/D3</f>
        <v>0.140625</v>
      </c>
      <c r="Y3" s="6"/>
      <c r="Z3" s="5"/>
      <c r="AA3" s="5"/>
      <c r="AB3" s="5"/>
      <c r="AC3" s="5"/>
      <c r="AD3" s="6">
        <f>SUM(AD4:AD99765)</f>
        <v>-55.523336389444438</v>
      </c>
      <c r="AE3" s="6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Info!B2:BZ3000""),37,FALSE)),"""")*-1"),-22.782193728)</f>
        <v>-22.782193727999999</v>
      </c>
      <c r="AG3" s="6">
        <f>SUM(AG4:AG99765)</f>
        <v>0</v>
      </c>
    </row>
    <row r="4" spans="1:33" ht="15.75" hidden="1" customHeight="1">
      <c r="A4" s="14"/>
      <c r="B4" s="14"/>
      <c r="C4" s="15"/>
      <c r="D4" s="16"/>
      <c r="E4" s="16"/>
      <c r="F4" s="17"/>
      <c r="G4" s="17"/>
      <c r="H4" s="18"/>
      <c r="I4" s="18"/>
      <c r="J4" s="17"/>
      <c r="K4" s="17"/>
      <c r="L4" s="16"/>
      <c r="M4" s="19"/>
      <c r="N4" s="16"/>
      <c r="O4" s="20"/>
      <c r="P4" s="20"/>
      <c r="Q4" s="16"/>
      <c r="R4" s="16"/>
      <c r="S4" s="21"/>
      <c r="T4" s="14"/>
      <c r="U4" s="22"/>
      <c r="V4" s="23"/>
      <c r="W4" s="14"/>
      <c r="X4" s="24"/>
      <c r="Y4" s="25"/>
      <c r="Z4" s="14"/>
      <c r="AA4" s="26"/>
      <c r="AB4" s="27"/>
      <c r="AC4" s="28"/>
      <c r="AD4" s="25"/>
      <c r="AE4" s="25"/>
      <c r="AF4" s="25"/>
      <c r="AG4" s="25"/>
    </row>
    <row r="5" spans="1:33" ht="15.75" hidden="1" customHeight="1">
      <c r="A5" s="14"/>
      <c r="B5" s="14"/>
      <c r="C5" s="15"/>
      <c r="D5" s="16"/>
      <c r="E5" s="16"/>
      <c r="F5" s="29"/>
      <c r="G5" s="29"/>
      <c r="H5" s="18"/>
      <c r="I5" s="18"/>
      <c r="J5" s="17"/>
      <c r="K5" s="17"/>
      <c r="L5" s="16"/>
      <c r="M5" s="19"/>
      <c r="N5" s="16"/>
      <c r="O5" s="20"/>
      <c r="P5" s="20"/>
      <c r="Q5" s="16"/>
      <c r="R5" s="16"/>
      <c r="S5" s="21"/>
      <c r="T5" s="14"/>
      <c r="U5" s="22"/>
      <c r="V5" s="23"/>
      <c r="W5" s="14"/>
      <c r="X5" s="24"/>
      <c r="Y5" s="25"/>
      <c r="Z5" s="14"/>
      <c r="AA5" s="14"/>
      <c r="AB5" s="27"/>
      <c r="AC5" s="28"/>
      <c r="AD5" s="25"/>
      <c r="AE5" s="25"/>
      <c r="AF5" s="25"/>
      <c r="AG5" s="25"/>
    </row>
    <row r="6" spans="1:33" ht="15.75" hidden="1" customHeight="1">
      <c r="A6" s="14"/>
      <c r="B6" s="14"/>
      <c r="C6" s="15"/>
      <c r="D6" s="16"/>
      <c r="E6" s="16"/>
      <c r="F6" s="29"/>
      <c r="G6" s="29"/>
      <c r="H6" s="18"/>
      <c r="I6" s="18"/>
      <c r="J6" s="17"/>
      <c r="K6" s="17"/>
      <c r="L6" s="16"/>
      <c r="M6" s="19"/>
      <c r="N6" s="16"/>
      <c r="O6" s="20"/>
      <c r="P6" s="20"/>
      <c r="Q6" s="16"/>
      <c r="R6" s="16"/>
      <c r="S6" s="21"/>
      <c r="T6" s="14"/>
      <c r="U6" s="22"/>
      <c r="V6" s="23"/>
      <c r="W6" s="14"/>
      <c r="X6" s="24"/>
      <c r="Y6" s="25"/>
      <c r="Z6" s="14"/>
      <c r="AA6" s="14"/>
      <c r="AB6" s="27"/>
      <c r="AC6" s="28"/>
      <c r="AD6" s="25"/>
      <c r="AE6" s="25"/>
      <c r="AF6" s="25"/>
      <c r="AG6" s="25"/>
    </row>
    <row r="7" spans="1:33" ht="15.75" hidden="1" customHeight="1">
      <c r="A7" s="14"/>
      <c r="B7" s="14"/>
      <c r="C7" s="15"/>
      <c r="D7" s="16"/>
      <c r="E7" s="16"/>
      <c r="F7" s="29"/>
      <c r="G7" s="29"/>
      <c r="H7" s="18"/>
      <c r="I7" s="18"/>
      <c r="J7" s="17"/>
      <c r="K7" s="17"/>
      <c r="L7" s="16"/>
      <c r="M7" s="19"/>
      <c r="N7" s="16"/>
      <c r="O7" s="20"/>
      <c r="P7" s="20"/>
      <c r="Q7" s="16"/>
      <c r="R7" s="16"/>
      <c r="S7" s="21"/>
      <c r="T7" s="14"/>
      <c r="U7" s="22"/>
      <c r="V7" s="23"/>
      <c r="W7" s="14"/>
      <c r="X7" s="24"/>
      <c r="Y7" s="25"/>
      <c r="Z7" s="14"/>
      <c r="AA7" s="14"/>
      <c r="AB7" s="27"/>
      <c r="AC7" s="28"/>
      <c r="AD7" s="25"/>
      <c r="AE7" s="25"/>
      <c r="AF7" s="25"/>
      <c r="AG7" s="25"/>
    </row>
    <row r="8" spans="1:33" ht="15.75" hidden="1" customHeight="1">
      <c r="A8" s="14"/>
      <c r="B8" s="14"/>
      <c r="C8" s="15"/>
      <c r="D8" s="16"/>
      <c r="E8" s="16"/>
      <c r="F8" s="29"/>
      <c r="G8" s="29"/>
      <c r="H8" s="18"/>
      <c r="I8" s="18"/>
      <c r="J8" s="17"/>
      <c r="K8" s="17"/>
      <c r="L8" s="16"/>
      <c r="M8" s="19"/>
      <c r="N8" s="16"/>
      <c r="O8" s="20"/>
      <c r="P8" s="20"/>
      <c r="Q8" s="16"/>
      <c r="R8" s="16"/>
      <c r="S8" s="21"/>
      <c r="T8" s="14"/>
      <c r="U8" s="22"/>
      <c r="V8" s="23"/>
      <c r="W8" s="14"/>
      <c r="X8" s="24"/>
      <c r="Y8" s="25"/>
      <c r="Z8" s="14"/>
      <c r="AA8" s="14"/>
      <c r="AB8" s="27"/>
      <c r="AC8" s="28"/>
      <c r="AD8" s="25"/>
      <c r="AE8" s="25"/>
      <c r="AF8" s="25"/>
      <c r="AG8" s="25"/>
    </row>
    <row r="9" spans="1:33" ht="15.75" hidden="1" customHeight="1">
      <c r="A9" s="14"/>
      <c r="B9" s="14"/>
      <c r="C9" s="15"/>
      <c r="D9" s="16"/>
      <c r="E9" s="16"/>
      <c r="F9" s="29"/>
      <c r="G9" s="29"/>
      <c r="H9" s="18"/>
      <c r="I9" s="18"/>
      <c r="J9" s="17"/>
      <c r="K9" s="17"/>
      <c r="L9" s="16"/>
      <c r="M9" s="19"/>
      <c r="N9" s="16"/>
      <c r="O9" s="20"/>
      <c r="P9" s="20"/>
      <c r="Q9" s="16"/>
      <c r="R9" s="16"/>
      <c r="S9" s="21"/>
      <c r="T9" s="14"/>
      <c r="U9" s="22"/>
      <c r="V9" s="23"/>
      <c r="W9" s="14"/>
      <c r="X9" s="24"/>
      <c r="Y9" s="25"/>
      <c r="Z9" s="14"/>
      <c r="AA9" s="14"/>
      <c r="AB9" s="27"/>
      <c r="AC9" s="28"/>
      <c r="AD9" s="25"/>
      <c r="AE9" s="25"/>
      <c r="AF9" s="25"/>
      <c r="AG9" s="25"/>
    </row>
    <row r="10" spans="1:33" ht="15.75" hidden="1" customHeight="1">
      <c r="A10" s="14"/>
      <c r="B10" s="14"/>
      <c r="C10" s="15"/>
      <c r="D10" s="16"/>
      <c r="E10" s="16"/>
      <c r="F10" s="29"/>
      <c r="G10" s="29"/>
      <c r="H10" s="18"/>
      <c r="I10" s="18"/>
      <c r="J10" s="17"/>
      <c r="K10" s="17"/>
      <c r="L10" s="16"/>
      <c r="M10" s="19"/>
      <c r="N10" s="16"/>
      <c r="O10" s="20"/>
      <c r="P10" s="20"/>
      <c r="Q10" s="16"/>
      <c r="R10" s="16"/>
      <c r="S10" s="21"/>
      <c r="T10" s="14"/>
      <c r="U10" s="22"/>
      <c r="V10" s="23"/>
      <c r="W10" s="14"/>
      <c r="X10" s="24"/>
      <c r="Y10" s="25"/>
      <c r="Z10" s="14"/>
      <c r="AA10" s="14"/>
      <c r="AB10" s="27"/>
      <c r="AC10" s="28"/>
      <c r="AD10" s="25"/>
      <c r="AE10" s="25"/>
      <c r="AF10" s="25"/>
      <c r="AG10" s="25"/>
    </row>
    <row r="11" spans="1:33" ht="15.75" hidden="1" customHeight="1">
      <c r="A11" s="14"/>
      <c r="B11" s="14"/>
      <c r="C11" s="15"/>
      <c r="D11" s="16"/>
      <c r="E11" s="16"/>
      <c r="F11" s="29"/>
      <c r="G11" s="29"/>
      <c r="H11" s="18"/>
      <c r="I11" s="18"/>
      <c r="J11" s="17"/>
      <c r="K11" s="17"/>
      <c r="L11" s="16"/>
      <c r="M11" s="19"/>
      <c r="N11" s="16"/>
      <c r="O11" s="20"/>
      <c r="P11" s="20"/>
      <c r="Q11" s="16"/>
      <c r="R11" s="16"/>
      <c r="S11" s="21"/>
      <c r="T11" s="14"/>
      <c r="U11" s="22"/>
      <c r="V11" s="23"/>
      <c r="W11" s="14"/>
      <c r="X11" s="24"/>
      <c r="Y11" s="25"/>
      <c r="Z11" s="14"/>
      <c r="AA11" s="14"/>
      <c r="AB11" s="27"/>
      <c r="AC11" s="28"/>
      <c r="AD11" s="25"/>
      <c r="AE11" s="25"/>
      <c r="AF11" s="25"/>
      <c r="AG11" s="25"/>
    </row>
    <row r="12" spans="1:33" ht="15.75" hidden="1" customHeight="1">
      <c r="A12" s="14"/>
      <c r="B12" s="14"/>
      <c r="C12" s="15"/>
      <c r="D12" s="16"/>
      <c r="E12" s="16"/>
      <c r="F12" s="29"/>
      <c r="G12" s="29"/>
      <c r="H12" s="18"/>
      <c r="I12" s="18"/>
      <c r="J12" s="17"/>
      <c r="K12" s="17"/>
      <c r="L12" s="16"/>
      <c r="M12" s="19"/>
      <c r="N12" s="16"/>
      <c r="O12" s="20"/>
      <c r="P12" s="20"/>
      <c r="Q12" s="16"/>
      <c r="R12" s="16"/>
      <c r="S12" s="21"/>
      <c r="T12" s="14"/>
      <c r="U12" s="22"/>
      <c r="V12" s="23"/>
      <c r="W12" s="14"/>
      <c r="X12" s="24"/>
      <c r="Y12" s="25"/>
      <c r="Z12" s="14"/>
      <c r="AA12" s="14"/>
      <c r="AB12" s="27"/>
      <c r="AC12" s="28"/>
      <c r="AD12" s="25"/>
      <c r="AE12" s="25"/>
      <c r="AF12" s="25"/>
      <c r="AG12" s="25"/>
    </row>
    <row r="13" spans="1:33" ht="15.75" hidden="1" customHeight="1">
      <c r="A13" s="14"/>
      <c r="B13" s="14"/>
      <c r="C13" s="15"/>
      <c r="D13" s="16"/>
      <c r="E13" s="16"/>
      <c r="F13" s="17"/>
      <c r="G13" s="29"/>
      <c r="H13" s="18"/>
      <c r="I13" s="18"/>
      <c r="J13" s="17"/>
      <c r="K13" s="17"/>
      <c r="L13" s="16"/>
      <c r="M13" s="19"/>
      <c r="N13" s="16"/>
      <c r="O13" s="20"/>
      <c r="P13" s="20"/>
      <c r="Q13" s="16"/>
      <c r="R13" s="16"/>
      <c r="S13" s="21"/>
      <c r="T13" s="14"/>
      <c r="U13" s="22"/>
      <c r="V13" s="23"/>
      <c r="W13" s="14"/>
      <c r="X13" s="24"/>
      <c r="Y13" s="25"/>
      <c r="Z13" s="14"/>
      <c r="AA13" s="14"/>
      <c r="AB13" s="27"/>
      <c r="AC13" s="28"/>
      <c r="AD13" s="25"/>
      <c r="AE13" s="25"/>
      <c r="AF13" s="25"/>
      <c r="AG13" s="25"/>
    </row>
    <row r="14" spans="1:33" ht="15.75" customHeight="1">
      <c r="A14" s="14" t="s">
        <v>32</v>
      </c>
      <c r="B14" s="14" t="s">
        <v>1482</v>
      </c>
      <c r="C14" s="15">
        <f t="shared" ref="C14:C32" si="1">IFERROR(F14/D14," - ")</f>
        <v>39.99</v>
      </c>
      <c r="D14" s="16">
        <v>2</v>
      </c>
      <c r="E14" s="16">
        <v>0</v>
      </c>
      <c r="F14" s="17">
        <v>79.98</v>
      </c>
      <c r="G14" s="29">
        <v>0</v>
      </c>
      <c r="H14" s="18">
        <f t="shared" ref="H14:H32" si="2">G14/F14*-1</f>
        <v>0</v>
      </c>
      <c r="I14" s="18">
        <f t="shared" ref="I14:I32" si="3">J14/F14</f>
        <v>9.8702627379068722E-2</v>
      </c>
      <c r="J14" s="17">
        <f t="shared" ref="J14:J32" si="4">F14*0.85+G14+AF14*D14+D14*AE14+AG14+AD14</f>
        <v>7.8942361377779173</v>
      </c>
      <c r="K14" s="17">
        <f t="shared" ref="K14:K32" si="5">J14/D14</f>
        <v>3.9471180688889587</v>
      </c>
      <c r="L14" s="16">
        <v>0</v>
      </c>
      <c r="M14" s="19" t="str">
        <f t="shared" ref="M14:M32" si="6">IFERROR(D14/L14,"-")</f>
        <v>-</v>
      </c>
      <c r="N14" s="16">
        <v>133</v>
      </c>
      <c r="O14" s="20">
        <f t="shared" ref="O14:P14" si="7">D14/7</f>
        <v>0.2857142857142857</v>
      </c>
      <c r="P14" s="20">
        <f t="shared" si="7"/>
        <v>0</v>
      </c>
      <c r="Q14" s="16">
        <f t="shared" ref="Q14:Q32" si="8">ROUNDDOWN(N14/(O14+P14),0)</f>
        <v>465</v>
      </c>
      <c r="R14" s="16"/>
      <c r="S14" s="21">
        <v>0</v>
      </c>
      <c r="T14" s="14">
        <v>0</v>
      </c>
      <c r="U14" s="22" t="s">
        <v>34</v>
      </c>
      <c r="V14" s="23" t="s">
        <v>34</v>
      </c>
      <c r="W14" s="14">
        <v>0</v>
      </c>
      <c r="X14" s="24">
        <f t="shared" ref="X14:X32" si="9">IFERROR(W14/D14,0)</f>
        <v>0</v>
      </c>
      <c r="Y14" s="25">
        <f t="shared" ref="Y14:Y32" si="10">IFERROR(G14/(W14+Z14)*-1,0)</f>
        <v>0</v>
      </c>
      <c r="Z14" s="14">
        <v>0</v>
      </c>
      <c r="AA14" s="14" t="s">
        <v>35</v>
      </c>
      <c r="AB14" s="27">
        <f t="shared" ref="AB14:AB32" si="11">IF(OR(AA14="UsLargeStandardSize",AA14="UsSmallStandardSize"),-0.69,-0.48)</f>
        <v>-0.69</v>
      </c>
      <c r="AC14" s="28">
        <v>0.34617048148148144</v>
      </c>
      <c r="AD14" s="25">
        <f t="shared" ref="AD14:AD32" si="12">IFERROR(AB14*AC14*D14*2,0)</f>
        <v>-0.95543052888888869</v>
      </c>
      <c r="AE14" s="25">
        <v>-7.32</v>
      </c>
      <c r="AF14" s="25">
        <v>-22.246666666666599</v>
      </c>
      <c r="AG14" s="25">
        <v>0</v>
      </c>
    </row>
    <row r="15" spans="1:33" ht="15.75" customHeight="1">
      <c r="A15" s="14" t="s">
        <v>36</v>
      </c>
      <c r="B15" s="14" t="s">
        <v>1483</v>
      </c>
      <c r="C15" s="15">
        <f t="shared" si="1"/>
        <v>39.99</v>
      </c>
      <c r="D15" s="16">
        <v>1</v>
      </c>
      <c r="E15" s="16">
        <v>1</v>
      </c>
      <c r="F15" s="17">
        <v>39.99</v>
      </c>
      <c r="G15" s="29">
        <v>0</v>
      </c>
      <c r="H15" s="18">
        <f t="shared" si="2"/>
        <v>0</v>
      </c>
      <c r="I15" s="18">
        <f t="shared" si="3"/>
        <v>9.8702627379068722E-2</v>
      </c>
      <c r="J15" s="17">
        <f t="shared" si="4"/>
        <v>3.9471180688889587</v>
      </c>
      <c r="K15" s="17">
        <f t="shared" si="5"/>
        <v>3.9471180688889587</v>
      </c>
      <c r="L15" s="16">
        <v>0</v>
      </c>
      <c r="M15" s="19" t="str">
        <f t="shared" si="6"/>
        <v>-</v>
      </c>
      <c r="N15" s="16">
        <v>135</v>
      </c>
      <c r="O15" s="20">
        <f t="shared" ref="O15:P15" si="13">D15/7</f>
        <v>0.14285714285714285</v>
      </c>
      <c r="P15" s="20">
        <f t="shared" si="13"/>
        <v>0.14285714285714285</v>
      </c>
      <c r="Q15" s="16">
        <f t="shared" si="8"/>
        <v>472</v>
      </c>
      <c r="R15" s="16"/>
      <c r="S15" s="21">
        <v>6.6666666666666596E-2</v>
      </c>
      <c r="T15" s="14">
        <v>0</v>
      </c>
      <c r="U15" s="22" t="s">
        <v>34</v>
      </c>
      <c r="V15" s="23" t="s">
        <v>34</v>
      </c>
      <c r="W15" s="14">
        <v>0</v>
      </c>
      <c r="X15" s="24">
        <f t="shared" si="9"/>
        <v>0</v>
      </c>
      <c r="Y15" s="25">
        <f t="shared" si="10"/>
        <v>0</v>
      </c>
      <c r="Z15" s="14">
        <v>0</v>
      </c>
      <c r="AA15" s="14" t="s">
        <v>35</v>
      </c>
      <c r="AB15" s="27">
        <f t="shared" si="11"/>
        <v>-0.69</v>
      </c>
      <c r="AC15" s="28">
        <v>0.34617048148148144</v>
      </c>
      <c r="AD15" s="25">
        <f t="shared" si="12"/>
        <v>-0.47771526444444434</v>
      </c>
      <c r="AE15" s="25">
        <v>-7.32</v>
      </c>
      <c r="AF15" s="25">
        <v>-22.246666666666599</v>
      </c>
      <c r="AG15" s="25">
        <v>0</v>
      </c>
    </row>
    <row r="16" spans="1:33" ht="15.75" customHeight="1">
      <c r="A16" s="14" t="s">
        <v>38</v>
      </c>
      <c r="B16" s="14" t="s">
        <v>66</v>
      </c>
      <c r="C16" s="15">
        <f t="shared" si="1"/>
        <v>45.524285714285718</v>
      </c>
      <c r="D16" s="16">
        <v>14</v>
      </c>
      <c r="E16" s="16">
        <v>0</v>
      </c>
      <c r="F16" s="17">
        <v>637.34</v>
      </c>
      <c r="G16" s="29">
        <v>-69.34</v>
      </c>
      <c r="H16" s="18">
        <f t="shared" si="2"/>
        <v>0.10879593309693414</v>
      </c>
      <c r="I16" s="18">
        <f t="shared" si="3"/>
        <v>8.1240237494030532E-2</v>
      </c>
      <c r="J16" s="17">
        <f t="shared" si="4"/>
        <v>51.777652964445423</v>
      </c>
      <c r="K16" s="17">
        <f t="shared" si="5"/>
        <v>3.698403783174673</v>
      </c>
      <c r="L16" s="16">
        <v>54</v>
      </c>
      <c r="M16" s="19">
        <f t="shared" si="6"/>
        <v>0.25925925925925924</v>
      </c>
      <c r="N16" s="16">
        <v>117</v>
      </c>
      <c r="O16" s="20">
        <f t="shared" ref="O16:P16" si="14">D16/7</f>
        <v>2</v>
      </c>
      <c r="P16" s="20">
        <f t="shared" si="14"/>
        <v>0</v>
      </c>
      <c r="Q16" s="16">
        <f t="shared" si="8"/>
        <v>58</v>
      </c>
      <c r="R16" s="16"/>
      <c r="S16" s="21">
        <v>0.375</v>
      </c>
      <c r="T16" s="14">
        <v>0</v>
      </c>
      <c r="U16" s="22" t="s">
        <v>34</v>
      </c>
      <c r="V16" s="23" t="s">
        <v>34</v>
      </c>
      <c r="W16" s="14">
        <v>8</v>
      </c>
      <c r="X16" s="24">
        <f t="shared" si="9"/>
        <v>0.5714285714285714</v>
      </c>
      <c r="Y16" s="25">
        <f t="shared" si="10"/>
        <v>5.7783333333333333</v>
      </c>
      <c r="Z16" s="14">
        <v>4</v>
      </c>
      <c r="AA16" s="14" t="s">
        <v>35</v>
      </c>
      <c r="AB16" s="27">
        <f t="shared" si="11"/>
        <v>-0.69</v>
      </c>
      <c r="AC16" s="28">
        <v>0.34617048148148144</v>
      </c>
      <c r="AD16" s="25">
        <f t="shared" si="12"/>
        <v>-6.6880137022222206</v>
      </c>
      <c r="AE16" s="25">
        <v>-7.32</v>
      </c>
      <c r="AF16" s="25">
        <v>-22.246666666666599</v>
      </c>
      <c r="AG16" s="25">
        <v>0</v>
      </c>
    </row>
    <row r="17" spans="1:33" ht="15.75" customHeight="1">
      <c r="A17" s="14" t="s">
        <v>40</v>
      </c>
      <c r="B17" s="14" t="s">
        <v>1484</v>
      </c>
      <c r="C17" s="15">
        <f t="shared" si="1"/>
        <v>46.86999999999999</v>
      </c>
      <c r="D17" s="16">
        <v>17</v>
      </c>
      <c r="E17" s="16">
        <v>0</v>
      </c>
      <c r="F17" s="17">
        <v>796.78999999999985</v>
      </c>
      <c r="G17" s="29">
        <v>-13.8</v>
      </c>
      <c r="H17" s="18">
        <f t="shared" si="2"/>
        <v>1.7319494471567169E-2</v>
      </c>
      <c r="I17" s="18">
        <f t="shared" si="3"/>
        <v>0.19166531604451884</v>
      </c>
      <c r="J17" s="17">
        <f t="shared" si="4"/>
        <v>152.71700717111213</v>
      </c>
      <c r="K17" s="17">
        <f t="shared" si="5"/>
        <v>8.9833533630065965</v>
      </c>
      <c r="L17" s="16">
        <v>36</v>
      </c>
      <c r="M17" s="19">
        <f t="shared" si="6"/>
        <v>0.47222222222222221</v>
      </c>
      <c r="N17" s="16">
        <v>100</v>
      </c>
      <c r="O17" s="20">
        <f t="shared" ref="O17:P17" si="15">D17/7</f>
        <v>2.4285714285714284</v>
      </c>
      <c r="P17" s="20">
        <f t="shared" si="15"/>
        <v>0</v>
      </c>
      <c r="Q17" s="16">
        <f t="shared" si="8"/>
        <v>41</v>
      </c>
      <c r="R17" s="16"/>
      <c r="S17" s="21">
        <v>0.763636363636363</v>
      </c>
      <c r="T17" s="14">
        <v>0</v>
      </c>
      <c r="U17" s="22" t="s">
        <v>34</v>
      </c>
      <c r="V17" s="23" t="s">
        <v>34</v>
      </c>
      <c r="W17" s="14">
        <v>3</v>
      </c>
      <c r="X17" s="24">
        <f t="shared" si="9"/>
        <v>0.17647058823529413</v>
      </c>
      <c r="Y17" s="25">
        <f t="shared" si="10"/>
        <v>3.45</v>
      </c>
      <c r="Z17" s="14">
        <v>1</v>
      </c>
      <c r="AA17" s="14" t="s">
        <v>35</v>
      </c>
      <c r="AB17" s="27">
        <f t="shared" si="11"/>
        <v>-0.69</v>
      </c>
      <c r="AC17" s="28">
        <v>0.34617048148148144</v>
      </c>
      <c r="AD17" s="25">
        <f t="shared" si="12"/>
        <v>-8.1211594955555544</v>
      </c>
      <c r="AE17" s="25">
        <v>-7.32</v>
      </c>
      <c r="AF17" s="25">
        <v>-22.246666666666599</v>
      </c>
      <c r="AG17" s="25">
        <v>0</v>
      </c>
    </row>
    <row r="18" spans="1:33" ht="15.75" customHeight="1">
      <c r="A18" s="14" t="s">
        <v>42</v>
      </c>
      <c r="B18" s="14" t="s">
        <v>1485</v>
      </c>
      <c r="C18" s="15">
        <f t="shared" si="1"/>
        <v>47.898888888888884</v>
      </c>
      <c r="D18" s="16">
        <v>9</v>
      </c>
      <c r="E18" s="16">
        <v>0</v>
      </c>
      <c r="F18" s="17">
        <v>431.09</v>
      </c>
      <c r="G18" s="29">
        <v>0</v>
      </c>
      <c r="H18" s="18">
        <f t="shared" si="2"/>
        <v>0</v>
      </c>
      <c r="I18" s="18">
        <f t="shared" si="3"/>
        <v>0.22275409455102319</v>
      </c>
      <c r="J18" s="17">
        <f t="shared" si="4"/>
        <v>96.027062620000578</v>
      </c>
      <c r="K18" s="17">
        <f t="shared" si="5"/>
        <v>10.669673624444508</v>
      </c>
      <c r="L18" s="16">
        <v>33</v>
      </c>
      <c r="M18" s="19">
        <f t="shared" si="6"/>
        <v>0.27272727272727271</v>
      </c>
      <c r="N18" s="16">
        <v>91</v>
      </c>
      <c r="O18" s="20">
        <f t="shared" ref="O18:P18" si="16">D18/7</f>
        <v>1.2857142857142858</v>
      </c>
      <c r="P18" s="20">
        <f t="shared" si="16"/>
        <v>0</v>
      </c>
      <c r="Q18" s="16">
        <f t="shared" si="8"/>
        <v>70</v>
      </c>
      <c r="R18" s="16"/>
      <c r="S18" s="21">
        <v>0.56578947368420995</v>
      </c>
      <c r="T18" s="14">
        <v>0</v>
      </c>
      <c r="U18" s="22">
        <v>0</v>
      </c>
      <c r="V18" s="23" t="s">
        <v>34</v>
      </c>
      <c r="W18" s="14">
        <v>0</v>
      </c>
      <c r="X18" s="24">
        <f t="shared" si="9"/>
        <v>0</v>
      </c>
      <c r="Y18" s="25">
        <f t="shared" si="10"/>
        <v>0</v>
      </c>
      <c r="Z18" s="14">
        <v>0</v>
      </c>
      <c r="AA18" s="14" t="s">
        <v>35</v>
      </c>
      <c r="AB18" s="27">
        <f t="shared" si="11"/>
        <v>-0.69</v>
      </c>
      <c r="AC18" s="28">
        <v>0.34617048148148144</v>
      </c>
      <c r="AD18" s="25">
        <f t="shared" si="12"/>
        <v>-4.2994373799999988</v>
      </c>
      <c r="AE18" s="25">
        <v>-7.32</v>
      </c>
      <c r="AF18" s="25">
        <v>-22.246666666666599</v>
      </c>
      <c r="AG18" s="25">
        <v>0</v>
      </c>
    </row>
    <row r="19" spans="1:33" ht="15.75" customHeight="1">
      <c r="A19" s="14" t="s">
        <v>44</v>
      </c>
      <c r="B19" s="14" t="s">
        <v>1486</v>
      </c>
      <c r="C19" s="15">
        <f t="shared" si="1"/>
        <v>54.005999999999993</v>
      </c>
      <c r="D19" s="16">
        <v>5</v>
      </c>
      <c r="E19" s="16">
        <v>0</v>
      </c>
      <c r="F19" s="17">
        <v>270.02999999999997</v>
      </c>
      <c r="G19" s="29">
        <v>0</v>
      </c>
      <c r="H19" s="18">
        <f t="shared" si="2"/>
        <v>0</v>
      </c>
      <c r="I19" s="18">
        <f t="shared" si="3"/>
        <v>0.27437170071638128</v>
      </c>
      <c r="J19" s="17">
        <f t="shared" si="4"/>
        <v>74.088590344444427</v>
      </c>
      <c r="K19" s="17">
        <f t="shared" si="5"/>
        <v>14.817718068888885</v>
      </c>
      <c r="L19" s="16">
        <v>29</v>
      </c>
      <c r="M19" s="19">
        <f t="shared" si="6"/>
        <v>0.17241379310344829</v>
      </c>
      <c r="N19" s="16">
        <v>86</v>
      </c>
      <c r="O19" s="20">
        <f t="shared" ref="O19:P19" si="17">D19/7</f>
        <v>0.7142857142857143</v>
      </c>
      <c r="P19" s="20">
        <f t="shared" si="17"/>
        <v>0</v>
      </c>
      <c r="Q19" s="16">
        <f t="shared" si="8"/>
        <v>120</v>
      </c>
      <c r="R19" s="16"/>
      <c r="S19" s="21">
        <v>0.62162162162162105</v>
      </c>
      <c r="T19" s="14">
        <v>0</v>
      </c>
      <c r="U19" s="22" t="s">
        <v>34</v>
      </c>
      <c r="V19" s="23" t="s">
        <v>34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14" t="s">
        <v>35</v>
      </c>
      <c r="AB19" s="27">
        <f t="shared" si="11"/>
        <v>-0.69</v>
      </c>
      <c r="AC19" s="28">
        <v>0.34617048148148144</v>
      </c>
      <c r="AD19" s="25">
        <f t="shared" si="12"/>
        <v>-2.3885763222222218</v>
      </c>
      <c r="AE19" s="25">
        <v>-7.32</v>
      </c>
      <c r="AF19" s="25">
        <v>-23.289666666666665</v>
      </c>
      <c r="AG19" s="25">
        <v>0</v>
      </c>
    </row>
    <row r="20" spans="1:33" ht="15.75" customHeight="1">
      <c r="A20" s="14" t="s">
        <v>46</v>
      </c>
      <c r="B20" s="14" t="s">
        <v>693</v>
      </c>
      <c r="C20" s="15">
        <f t="shared" si="1"/>
        <v>51.95</v>
      </c>
      <c r="D20" s="16">
        <v>2</v>
      </c>
      <c r="E20" s="16">
        <v>1</v>
      </c>
      <c r="F20" s="17">
        <v>103.9</v>
      </c>
      <c r="G20" s="29">
        <v>0</v>
      </c>
      <c r="H20" s="18">
        <f t="shared" si="2"/>
        <v>0</v>
      </c>
      <c r="I20" s="18">
        <f t="shared" si="3"/>
        <v>0.25159033818842902</v>
      </c>
      <c r="J20" s="17">
        <f t="shared" si="4"/>
        <v>26.140236137777777</v>
      </c>
      <c r="K20" s="17">
        <f t="shared" si="5"/>
        <v>13.070118068888888</v>
      </c>
      <c r="L20" s="16">
        <v>29</v>
      </c>
      <c r="M20" s="19">
        <f t="shared" si="6"/>
        <v>6.8965517241379309E-2</v>
      </c>
      <c r="N20" s="16">
        <v>84</v>
      </c>
      <c r="O20" s="20">
        <f t="shared" ref="O20:P20" si="18">D20/7</f>
        <v>0.2857142857142857</v>
      </c>
      <c r="P20" s="20">
        <f t="shared" si="18"/>
        <v>0.14285714285714285</v>
      </c>
      <c r="Q20" s="16">
        <f t="shared" si="8"/>
        <v>196</v>
      </c>
      <c r="R20" s="16"/>
      <c r="S20" s="21">
        <v>0.89908256880733906</v>
      </c>
      <c r="T20" s="14">
        <v>0</v>
      </c>
      <c r="U20" s="22" t="s">
        <v>34</v>
      </c>
      <c r="V20" s="23" t="s">
        <v>34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14" t="s">
        <v>35</v>
      </c>
      <c r="AB20" s="27">
        <f t="shared" si="11"/>
        <v>-0.69</v>
      </c>
      <c r="AC20" s="28">
        <v>0.34617048148148144</v>
      </c>
      <c r="AD20" s="25">
        <f t="shared" si="12"/>
        <v>-0.95543052888888869</v>
      </c>
      <c r="AE20" s="25">
        <v>-7.32</v>
      </c>
      <c r="AF20" s="25">
        <v>-23.289666666666665</v>
      </c>
      <c r="AG20" s="25">
        <v>0</v>
      </c>
    </row>
    <row r="21" spans="1:33" ht="15.75" customHeight="1">
      <c r="A21" s="14" t="s">
        <v>47</v>
      </c>
      <c r="B21" s="14" t="s">
        <v>68</v>
      </c>
      <c r="C21" s="15">
        <f t="shared" si="1"/>
        <v>51.368333333333332</v>
      </c>
      <c r="D21" s="16">
        <v>6</v>
      </c>
      <c r="E21" s="16">
        <v>0</v>
      </c>
      <c r="F21" s="17">
        <v>308.20999999999998</v>
      </c>
      <c r="G21" s="29">
        <v>0</v>
      </c>
      <c r="H21" s="18">
        <f t="shared" si="2"/>
        <v>0</v>
      </c>
      <c r="I21" s="18">
        <f t="shared" si="3"/>
        <v>0.24481427732173952</v>
      </c>
      <c r="J21" s="17">
        <f t="shared" si="4"/>
        <v>75.454208413333333</v>
      </c>
      <c r="K21" s="17">
        <f t="shared" si="5"/>
        <v>12.575701402222222</v>
      </c>
      <c r="L21" s="16">
        <v>8</v>
      </c>
      <c r="M21" s="19">
        <f t="shared" si="6"/>
        <v>0.75</v>
      </c>
      <c r="N21" s="16">
        <v>78</v>
      </c>
      <c r="O21" s="20">
        <f t="shared" ref="O21:P21" si="19">D21/7</f>
        <v>0.8571428571428571</v>
      </c>
      <c r="P21" s="20">
        <f t="shared" si="19"/>
        <v>0</v>
      </c>
      <c r="Q21" s="16">
        <f t="shared" si="8"/>
        <v>91</v>
      </c>
      <c r="R21" s="16"/>
      <c r="S21" s="21">
        <v>1.13989637305699</v>
      </c>
      <c r="T21" s="14">
        <v>102</v>
      </c>
      <c r="U21" s="22" t="s">
        <v>34</v>
      </c>
      <c r="V21" s="23" t="s">
        <v>34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14" t="s">
        <v>35</v>
      </c>
      <c r="AB21" s="27">
        <f t="shared" si="11"/>
        <v>-0.69</v>
      </c>
      <c r="AC21" s="28">
        <v>0.34617048148148144</v>
      </c>
      <c r="AD21" s="25">
        <f t="shared" si="12"/>
        <v>-2.8662915866666658</v>
      </c>
      <c r="AE21" s="25">
        <v>-7.32</v>
      </c>
      <c r="AF21" s="25">
        <v>-23.289666666666665</v>
      </c>
      <c r="AG21" s="25">
        <v>0</v>
      </c>
    </row>
    <row r="22" spans="1:33" ht="15.75" customHeight="1">
      <c r="A22" s="14" t="s">
        <v>48</v>
      </c>
      <c r="B22" s="14" t="s">
        <v>694</v>
      </c>
      <c r="C22" s="15">
        <f t="shared" si="1"/>
        <v>50.95</v>
      </c>
      <c r="D22" s="16">
        <v>4</v>
      </c>
      <c r="E22" s="16">
        <v>0</v>
      </c>
      <c r="F22" s="29">
        <v>203.8</v>
      </c>
      <c r="G22" s="29">
        <v>0</v>
      </c>
      <c r="H22" s="18">
        <f t="shared" si="2"/>
        <v>0</v>
      </c>
      <c r="I22" s="18">
        <f t="shared" si="3"/>
        <v>0.2398453006651402</v>
      </c>
      <c r="J22" s="17">
        <f t="shared" si="4"/>
        <v>48.880472275555576</v>
      </c>
      <c r="K22" s="17">
        <f t="shared" si="5"/>
        <v>12.220118068888894</v>
      </c>
      <c r="L22" s="16">
        <v>24</v>
      </c>
      <c r="M22" s="19">
        <f t="shared" si="6"/>
        <v>0.16666666666666666</v>
      </c>
      <c r="N22" s="16">
        <v>73</v>
      </c>
      <c r="O22" s="20">
        <f t="shared" ref="O22:P22" si="20">D22/7</f>
        <v>0.5714285714285714</v>
      </c>
      <c r="P22" s="20">
        <f t="shared" si="20"/>
        <v>0</v>
      </c>
      <c r="Q22" s="16">
        <f t="shared" si="8"/>
        <v>127</v>
      </c>
      <c r="R22" s="16"/>
      <c r="S22" s="21">
        <v>1.4698795180722799</v>
      </c>
      <c r="T22" s="14">
        <v>102</v>
      </c>
      <c r="U22" s="22" t="s">
        <v>34</v>
      </c>
      <c r="V22" s="23" t="s">
        <v>34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35</v>
      </c>
      <c r="AB22" s="27">
        <f t="shared" si="11"/>
        <v>-0.69</v>
      </c>
      <c r="AC22" s="28">
        <v>0.34617048148148144</v>
      </c>
      <c r="AD22" s="25">
        <f t="shared" si="12"/>
        <v>-1.9108610577777774</v>
      </c>
      <c r="AE22" s="25">
        <v>-7.32</v>
      </c>
      <c r="AF22" s="25">
        <v>-23.289666666666665</v>
      </c>
      <c r="AG22" s="25">
        <v>0</v>
      </c>
    </row>
    <row r="23" spans="1:33" ht="15.75" customHeight="1">
      <c r="A23" s="14" t="s">
        <v>49</v>
      </c>
      <c r="B23" s="14" t="s">
        <v>1487</v>
      </c>
      <c r="C23" s="15">
        <f t="shared" si="1"/>
        <v>50.657499999999992</v>
      </c>
      <c r="D23" s="16">
        <v>8</v>
      </c>
      <c r="E23" s="16">
        <v>0</v>
      </c>
      <c r="F23" s="17">
        <v>405.25999999999993</v>
      </c>
      <c r="G23" s="29">
        <v>0</v>
      </c>
      <c r="H23" s="18">
        <f t="shared" si="2"/>
        <v>0</v>
      </c>
      <c r="I23" s="18">
        <f t="shared" si="3"/>
        <v>0.23632222413046211</v>
      </c>
      <c r="J23" s="17">
        <f t="shared" si="4"/>
        <v>95.771944551111062</v>
      </c>
      <c r="K23" s="17">
        <f t="shared" si="5"/>
        <v>11.971493068888883</v>
      </c>
      <c r="L23" s="16">
        <v>32</v>
      </c>
      <c r="M23" s="19">
        <f t="shared" si="6"/>
        <v>0.25</v>
      </c>
      <c r="N23" s="16">
        <v>66</v>
      </c>
      <c r="O23" s="20">
        <f t="shared" ref="O23:P23" si="21">D23/7</f>
        <v>1.1428571428571428</v>
      </c>
      <c r="P23" s="20">
        <f t="shared" si="21"/>
        <v>0</v>
      </c>
      <c r="Q23" s="16">
        <f t="shared" si="8"/>
        <v>57</v>
      </c>
      <c r="R23" s="16"/>
      <c r="S23" s="21">
        <v>0.82154882154882103</v>
      </c>
      <c r="T23" s="14">
        <v>204</v>
      </c>
      <c r="U23" s="22" t="s">
        <v>34</v>
      </c>
      <c r="V23" s="23" t="s">
        <v>34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35</v>
      </c>
      <c r="AB23" s="27">
        <f t="shared" si="11"/>
        <v>-0.69</v>
      </c>
      <c r="AC23" s="28">
        <v>0.34617048148148144</v>
      </c>
      <c r="AD23" s="25">
        <f t="shared" si="12"/>
        <v>-3.8217221155555547</v>
      </c>
      <c r="AE23" s="25">
        <v>-7.32</v>
      </c>
      <c r="AF23" s="25">
        <v>-23.289666666666665</v>
      </c>
      <c r="AG23" s="25">
        <v>0</v>
      </c>
    </row>
    <row r="24" spans="1:33" ht="15.75" customHeight="1">
      <c r="A24" s="14" t="s">
        <v>50</v>
      </c>
      <c r="B24" s="14" t="s">
        <v>1488</v>
      </c>
      <c r="C24" s="15">
        <f t="shared" si="1"/>
        <v>48.837142857142858</v>
      </c>
      <c r="D24" s="16">
        <v>7</v>
      </c>
      <c r="E24" s="16">
        <v>1</v>
      </c>
      <c r="F24" s="17">
        <v>341.86</v>
      </c>
      <c r="G24" s="17">
        <v>0</v>
      </c>
      <c r="H24" s="18">
        <f t="shared" si="2"/>
        <v>0</v>
      </c>
      <c r="I24" s="18">
        <f t="shared" si="3"/>
        <v>0.21344798011531696</v>
      </c>
      <c r="J24" s="17">
        <f t="shared" si="4"/>
        <v>72.969326482222257</v>
      </c>
      <c r="K24" s="17">
        <f t="shared" si="5"/>
        <v>10.424189497460322</v>
      </c>
      <c r="L24" s="16">
        <v>35</v>
      </c>
      <c r="M24" s="19">
        <f t="shared" si="6"/>
        <v>0.2</v>
      </c>
      <c r="N24" s="16">
        <v>60</v>
      </c>
      <c r="O24" s="20">
        <f t="shared" ref="O24:P24" si="22">D24/7</f>
        <v>1</v>
      </c>
      <c r="P24" s="20">
        <f t="shared" si="22"/>
        <v>0.14285714285714285</v>
      </c>
      <c r="Q24" s="16">
        <f t="shared" si="8"/>
        <v>52</v>
      </c>
      <c r="R24" s="16"/>
      <c r="S24" s="21">
        <v>1.0140845070422499</v>
      </c>
      <c r="T24" s="14">
        <v>204</v>
      </c>
      <c r="U24" s="22" t="s">
        <v>34</v>
      </c>
      <c r="V24" s="23" t="s">
        <v>34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14" t="s">
        <v>35</v>
      </c>
      <c r="AB24" s="27">
        <f t="shared" si="11"/>
        <v>-0.69</v>
      </c>
      <c r="AC24" s="28">
        <v>0.34617048148148144</v>
      </c>
      <c r="AD24" s="25">
        <f t="shared" si="12"/>
        <v>-3.3440068511111103</v>
      </c>
      <c r="AE24" s="25">
        <v>-7.32</v>
      </c>
      <c r="AF24" s="25">
        <v>-23.289666666666665</v>
      </c>
      <c r="AG24" s="25">
        <v>0</v>
      </c>
    </row>
    <row r="25" spans="1:33" ht="15.75" customHeight="1">
      <c r="A25" s="14" t="s">
        <v>51</v>
      </c>
      <c r="B25" s="14" t="s">
        <v>1489</v>
      </c>
      <c r="C25" s="15">
        <f t="shared" si="1"/>
        <v>48.141111111111108</v>
      </c>
      <c r="D25" s="16">
        <v>9</v>
      </c>
      <c r="E25" s="16">
        <v>1</v>
      </c>
      <c r="F25" s="17">
        <v>433.27</v>
      </c>
      <c r="G25" s="17">
        <v>-35.200000000000003</v>
      </c>
      <c r="H25" s="18">
        <f t="shared" si="2"/>
        <v>8.1242643155538127E-2</v>
      </c>
      <c r="I25" s="18">
        <f t="shared" si="3"/>
        <v>0.1251993408613567</v>
      </c>
      <c r="J25" s="17">
        <f t="shared" si="4"/>
        <v>54.245118415000015</v>
      </c>
      <c r="K25" s="17">
        <f t="shared" si="5"/>
        <v>6.0272353794444458</v>
      </c>
      <c r="L25" s="16">
        <v>47</v>
      </c>
      <c r="M25" s="19">
        <f t="shared" si="6"/>
        <v>0.19148936170212766</v>
      </c>
      <c r="N25" s="16">
        <v>48</v>
      </c>
      <c r="O25" s="20">
        <f t="shared" ref="O25:P25" si="23">D25/7</f>
        <v>1.2857142857142858</v>
      </c>
      <c r="P25" s="20">
        <f t="shared" si="23"/>
        <v>0.14285714285714285</v>
      </c>
      <c r="Q25" s="16">
        <f t="shared" si="8"/>
        <v>33</v>
      </c>
      <c r="R25" s="16"/>
      <c r="S25" s="21">
        <v>1.3493975903614459</v>
      </c>
      <c r="T25" s="14">
        <v>324</v>
      </c>
      <c r="U25" s="22" t="s">
        <v>34</v>
      </c>
      <c r="V25" s="23" t="s">
        <v>34</v>
      </c>
      <c r="W25" s="30">
        <v>3</v>
      </c>
      <c r="X25" s="24">
        <f t="shared" si="9"/>
        <v>0.33333333333333331</v>
      </c>
      <c r="Y25" s="25">
        <f t="shared" si="10"/>
        <v>4.4000000000000004</v>
      </c>
      <c r="Z25" s="30">
        <v>5</v>
      </c>
      <c r="AA25" s="14" t="s">
        <v>35</v>
      </c>
      <c r="AB25" s="27">
        <f t="shared" si="11"/>
        <v>-0.69</v>
      </c>
      <c r="AC25" s="28">
        <v>0.26927387962962962</v>
      </c>
      <c r="AD25" s="25">
        <f t="shared" si="12"/>
        <v>-3.3443815849999994</v>
      </c>
      <c r="AE25" s="25">
        <v>-7.32</v>
      </c>
      <c r="AF25" s="25">
        <v>-23.29</v>
      </c>
      <c r="AG25" s="25">
        <v>0</v>
      </c>
    </row>
    <row r="26" spans="1:33" ht="15.75" customHeight="1">
      <c r="A26" s="14" t="s">
        <v>52</v>
      </c>
      <c r="B26" s="14" t="s">
        <v>1490</v>
      </c>
      <c r="C26" s="15">
        <f t="shared" si="1"/>
        <v>46.994999999999997</v>
      </c>
      <c r="D26" s="16">
        <v>4</v>
      </c>
      <c r="E26" s="16">
        <v>0</v>
      </c>
      <c r="F26" s="17">
        <v>187.98</v>
      </c>
      <c r="G26" s="17">
        <v>-18.41</v>
      </c>
      <c r="H26" s="18">
        <f t="shared" si="2"/>
        <v>9.7935950633046082E-2</v>
      </c>
      <c r="I26" s="18">
        <f t="shared" si="3"/>
        <v>9.5797114149260718E-2</v>
      </c>
      <c r="J26" s="17">
        <f t="shared" si="4"/>
        <v>18.007941517778029</v>
      </c>
      <c r="K26" s="17">
        <f t="shared" si="5"/>
        <v>4.5019853794445073</v>
      </c>
      <c r="L26" s="16">
        <v>30</v>
      </c>
      <c r="M26" s="19">
        <f t="shared" si="6"/>
        <v>0.13333333333333333</v>
      </c>
      <c r="N26" s="16">
        <v>46</v>
      </c>
      <c r="O26" s="20">
        <f t="shared" ref="O26:P26" si="24">D26/7</f>
        <v>0.5714285714285714</v>
      </c>
      <c r="P26" s="20">
        <f t="shared" si="24"/>
        <v>0</v>
      </c>
      <c r="Q26" s="16">
        <f t="shared" si="8"/>
        <v>80</v>
      </c>
      <c r="R26" s="16"/>
      <c r="S26" s="21">
        <v>1.571428571428571</v>
      </c>
      <c r="T26" s="14">
        <v>324</v>
      </c>
      <c r="U26" s="22" t="s">
        <v>34</v>
      </c>
      <c r="V26" s="23" t="s">
        <v>34</v>
      </c>
      <c r="W26" s="30">
        <v>0</v>
      </c>
      <c r="X26" s="24">
        <f t="shared" si="9"/>
        <v>0</v>
      </c>
      <c r="Y26" s="25">
        <f t="shared" si="10"/>
        <v>18.41</v>
      </c>
      <c r="Z26" s="30">
        <v>1</v>
      </c>
      <c r="AA26" s="14" t="s">
        <v>35</v>
      </c>
      <c r="AB26" s="27">
        <f t="shared" si="11"/>
        <v>-0.69</v>
      </c>
      <c r="AC26" s="28">
        <v>0.26927387962962962</v>
      </c>
      <c r="AD26" s="25">
        <f t="shared" si="12"/>
        <v>-1.4863918155555553</v>
      </c>
      <c r="AE26" s="25">
        <v>-7.18</v>
      </c>
      <c r="AF26" s="25">
        <v>-23.289666666666601</v>
      </c>
      <c r="AG26" s="25">
        <v>0</v>
      </c>
    </row>
    <row r="27" spans="1:33" ht="15.75" customHeight="1">
      <c r="A27" s="14" t="s">
        <v>53</v>
      </c>
      <c r="B27" s="14" t="s">
        <v>66</v>
      </c>
      <c r="C27" s="15">
        <f t="shared" si="1"/>
        <v>41.090740740740742</v>
      </c>
      <c r="D27" s="16">
        <v>27</v>
      </c>
      <c r="E27" s="16">
        <v>3</v>
      </c>
      <c r="F27" s="17">
        <v>1109.45</v>
      </c>
      <c r="G27" s="17">
        <v>-35.25</v>
      </c>
      <c r="H27" s="18">
        <f t="shared" si="2"/>
        <v>3.1772499887331558E-2</v>
      </c>
      <c r="I27" s="18">
        <f t="shared" si="3"/>
        <v>6.5975352873045151E-2</v>
      </c>
      <c r="J27" s="17">
        <f t="shared" si="4"/>
        <v>73.19635524499995</v>
      </c>
      <c r="K27" s="17">
        <f t="shared" si="5"/>
        <v>2.7109761201851832</v>
      </c>
      <c r="L27" s="16">
        <v>33</v>
      </c>
      <c r="M27" s="19">
        <f t="shared" si="6"/>
        <v>0.81818181818181823</v>
      </c>
      <c r="N27" s="16">
        <v>15</v>
      </c>
      <c r="O27" s="20">
        <f t="shared" ref="O27:P27" si="25">D27/7</f>
        <v>3.8571428571428572</v>
      </c>
      <c r="P27" s="20">
        <f t="shared" si="25"/>
        <v>0.42857142857142855</v>
      </c>
      <c r="Q27" s="16">
        <f t="shared" si="8"/>
        <v>3</v>
      </c>
      <c r="R27" s="16"/>
      <c r="S27" s="21">
        <v>1.391849529780564</v>
      </c>
      <c r="T27" s="14">
        <v>324</v>
      </c>
      <c r="U27" s="22" t="s">
        <v>34</v>
      </c>
      <c r="V27" s="23" t="s">
        <v>34</v>
      </c>
      <c r="W27" s="30">
        <v>4</v>
      </c>
      <c r="X27" s="24">
        <f t="shared" si="9"/>
        <v>0.14814814814814814</v>
      </c>
      <c r="Y27" s="25">
        <f t="shared" si="10"/>
        <v>3.9166666666666665</v>
      </c>
      <c r="Z27" s="30">
        <v>5</v>
      </c>
      <c r="AA27" s="14" t="s">
        <v>35</v>
      </c>
      <c r="AB27" s="27">
        <f t="shared" si="11"/>
        <v>-0.69</v>
      </c>
      <c r="AC27" s="28">
        <v>0.26927387962962962</v>
      </c>
      <c r="AD27" s="25">
        <f t="shared" si="12"/>
        <v>-10.033144754999999</v>
      </c>
      <c r="AE27" s="25">
        <v>-7.18</v>
      </c>
      <c r="AF27" s="25">
        <v>-23.359000000000002</v>
      </c>
      <c r="AG27" s="25">
        <v>0</v>
      </c>
    </row>
    <row r="28" spans="1:33" ht="15.75" customHeight="1">
      <c r="A28" s="14" t="s">
        <v>54</v>
      </c>
      <c r="B28" s="14" t="s">
        <v>68</v>
      </c>
      <c r="C28" s="15">
        <f t="shared" si="1"/>
        <v>39.950000000000003</v>
      </c>
      <c r="D28" s="16">
        <v>5</v>
      </c>
      <c r="E28" s="16">
        <v>1</v>
      </c>
      <c r="F28" s="17">
        <v>199.75</v>
      </c>
      <c r="G28" s="17">
        <v>-3.94</v>
      </c>
      <c r="H28" s="18">
        <f t="shared" si="2"/>
        <v>1.9724655819774718E-2</v>
      </c>
      <c r="I28" s="18">
        <f t="shared" si="3"/>
        <v>5.6543230190515832E-2</v>
      </c>
      <c r="J28" s="17">
        <f t="shared" si="4"/>
        <v>11.294510230555538</v>
      </c>
      <c r="K28" s="17">
        <f t="shared" si="5"/>
        <v>2.2589020461111078</v>
      </c>
      <c r="L28" s="16">
        <v>21</v>
      </c>
      <c r="M28" s="19">
        <f t="shared" si="6"/>
        <v>0.23809523809523808</v>
      </c>
      <c r="N28" s="16">
        <v>9</v>
      </c>
      <c r="O28" s="20">
        <f t="shared" ref="O28:P28" si="26">D28/7</f>
        <v>0.7142857142857143</v>
      </c>
      <c r="P28" s="20">
        <f t="shared" si="26"/>
        <v>0.14285714285714285</v>
      </c>
      <c r="Q28" s="16">
        <f t="shared" si="8"/>
        <v>10</v>
      </c>
      <c r="R28" s="16"/>
      <c r="S28" s="21">
        <v>1.6026936026936029</v>
      </c>
      <c r="T28" s="14">
        <v>120</v>
      </c>
      <c r="U28" s="22" t="s">
        <v>34</v>
      </c>
      <c r="V28" s="23" t="s">
        <v>34</v>
      </c>
      <c r="W28" s="30">
        <v>0</v>
      </c>
      <c r="X28" s="24">
        <f t="shared" si="9"/>
        <v>0</v>
      </c>
      <c r="Y28" s="25">
        <f t="shared" si="10"/>
        <v>0</v>
      </c>
      <c r="Z28" s="30">
        <v>0</v>
      </c>
      <c r="AA28" s="14" t="s">
        <v>35</v>
      </c>
      <c r="AB28" s="27">
        <f t="shared" si="11"/>
        <v>-0.69</v>
      </c>
      <c r="AC28" s="28">
        <v>0.26927387962962962</v>
      </c>
      <c r="AD28" s="25">
        <f t="shared" si="12"/>
        <v>-1.8579897694444441</v>
      </c>
      <c r="AE28" s="25">
        <v>-7.18</v>
      </c>
      <c r="AF28" s="25">
        <v>-23.359000000000002</v>
      </c>
      <c r="AG28" s="25">
        <v>0</v>
      </c>
    </row>
    <row r="29" spans="1:33" ht="15.75" customHeight="1">
      <c r="A29" s="14" t="s">
        <v>55</v>
      </c>
      <c r="B29" s="14" t="s">
        <v>45</v>
      </c>
      <c r="C29" s="15">
        <f t="shared" si="1"/>
        <v>40.005000000000003</v>
      </c>
      <c r="D29" s="16">
        <v>8</v>
      </c>
      <c r="E29" s="16">
        <v>0</v>
      </c>
      <c r="F29" s="17">
        <v>320.04000000000002</v>
      </c>
      <c r="G29" s="17">
        <v>0</v>
      </c>
      <c r="H29" s="18">
        <f t="shared" si="2"/>
        <v>0</v>
      </c>
      <c r="I29" s="18">
        <f t="shared" si="3"/>
        <v>7.7331634698440413E-2</v>
      </c>
      <c r="J29" s="17">
        <f t="shared" si="4"/>
        <v>24.74921636888887</v>
      </c>
      <c r="K29" s="17">
        <f t="shared" si="5"/>
        <v>3.0936520461111088</v>
      </c>
      <c r="L29" s="16">
        <v>20</v>
      </c>
      <c r="M29" s="19">
        <f t="shared" si="6"/>
        <v>0.4</v>
      </c>
      <c r="N29" s="16">
        <v>0</v>
      </c>
      <c r="O29" s="20">
        <f t="shared" ref="O29:P29" si="27">D29/7</f>
        <v>1.1428571428571428</v>
      </c>
      <c r="P29" s="20">
        <f t="shared" si="27"/>
        <v>0</v>
      </c>
      <c r="Q29" s="16">
        <f t="shared" si="8"/>
        <v>0</v>
      </c>
      <c r="R29" s="16"/>
      <c r="S29" s="21">
        <v>0</v>
      </c>
      <c r="T29" s="14">
        <v>120</v>
      </c>
      <c r="U29" s="22" t="s">
        <v>34</v>
      </c>
      <c r="V29" s="23" t="s">
        <v>34</v>
      </c>
      <c r="W29" s="30">
        <v>0</v>
      </c>
      <c r="X29" s="24">
        <f t="shared" si="9"/>
        <v>0</v>
      </c>
      <c r="Y29" s="25">
        <f t="shared" si="10"/>
        <v>0</v>
      </c>
      <c r="Z29" s="30">
        <v>0</v>
      </c>
      <c r="AA29" s="14" t="s">
        <v>35</v>
      </c>
      <c r="AB29" s="27">
        <f t="shared" si="11"/>
        <v>-0.69</v>
      </c>
      <c r="AC29" s="28">
        <v>0.26927387962962962</v>
      </c>
      <c r="AD29" s="25">
        <f t="shared" si="12"/>
        <v>-2.9727836311111107</v>
      </c>
      <c r="AE29" s="25">
        <v>-7.18</v>
      </c>
      <c r="AF29" s="25">
        <v>-23.359000000000002</v>
      </c>
      <c r="AG29" s="25">
        <v>0</v>
      </c>
    </row>
    <row r="30" spans="1:33" ht="15.75" customHeight="1">
      <c r="A30" s="14" t="s">
        <v>57</v>
      </c>
      <c r="B30" s="14"/>
      <c r="C30" s="15" t="str">
        <f t="shared" si="1"/>
        <v xml:space="preserve"> - </v>
      </c>
      <c r="D30" s="16">
        <v>0</v>
      </c>
      <c r="E30" s="16">
        <v>0</v>
      </c>
      <c r="F30" s="17">
        <v>0</v>
      </c>
      <c r="G30" s="17">
        <v>0</v>
      </c>
      <c r="H30" s="18" t="e">
        <f t="shared" si="2"/>
        <v>#DIV/0!</v>
      </c>
      <c r="I30" s="18" t="e">
        <f t="shared" si="3"/>
        <v>#DIV/0!</v>
      </c>
      <c r="J30" s="17">
        <f t="shared" si="4"/>
        <v>0</v>
      </c>
      <c r="K30" s="17" t="e">
        <f t="shared" si="5"/>
        <v>#DIV/0!</v>
      </c>
      <c r="L30" s="16">
        <v>0</v>
      </c>
      <c r="M30" s="19" t="str">
        <f t="shared" si="6"/>
        <v>-</v>
      </c>
      <c r="N30" s="16">
        <v>0</v>
      </c>
      <c r="O30" s="20">
        <f t="shared" ref="O30:P30" si="28">D30/7</f>
        <v>0</v>
      </c>
      <c r="P30" s="20">
        <f t="shared" si="28"/>
        <v>0</v>
      </c>
      <c r="Q30" s="16" t="e">
        <f t="shared" si="8"/>
        <v>#DIV/0!</v>
      </c>
      <c r="R30" s="16"/>
      <c r="S30" s="21">
        <v>0</v>
      </c>
      <c r="T30" s="14">
        <v>222</v>
      </c>
      <c r="U30" s="22" t="s">
        <v>34</v>
      </c>
      <c r="V30" s="23" t="s">
        <v>34</v>
      </c>
      <c r="W30" s="30">
        <v>0</v>
      </c>
      <c r="X30" s="24">
        <f t="shared" si="9"/>
        <v>0</v>
      </c>
      <c r="Y30" s="25">
        <f t="shared" si="10"/>
        <v>0</v>
      </c>
      <c r="Z30" s="30">
        <v>0</v>
      </c>
      <c r="AA30" s="14" t="s">
        <v>35</v>
      </c>
      <c r="AB30" s="27">
        <f t="shared" si="11"/>
        <v>-0.69</v>
      </c>
      <c r="AC30" s="28">
        <v>0.26927387962962962</v>
      </c>
      <c r="AD30" s="25">
        <f t="shared" si="12"/>
        <v>0</v>
      </c>
      <c r="AE30" s="25">
        <v>-7.18</v>
      </c>
      <c r="AF30" s="25">
        <v>-22.782193727999999</v>
      </c>
      <c r="AG30" s="25">
        <v>0</v>
      </c>
    </row>
    <row r="31" spans="1:33" ht="15.75" customHeight="1">
      <c r="A31" s="14" t="s">
        <v>58</v>
      </c>
      <c r="B31" s="14"/>
      <c r="C31" s="15" t="str">
        <f t="shared" si="1"/>
        <v xml:space="preserve"> - </v>
      </c>
      <c r="D31" s="16">
        <v>0</v>
      </c>
      <c r="E31" s="16">
        <v>0</v>
      </c>
      <c r="F31" s="17">
        <v>0</v>
      </c>
      <c r="G31" s="17">
        <v>0</v>
      </c>
      <c r="H31" s="18" t="e">
        <f t="shared" si="2"/>
        <v>#DIV/0!</v>
      </c>
      <c r="I31" s="18" t="e">
        <f t="shared" si="3"/>
        <v>#DIV/0!</v>
      </c>
      <c r="J31" s="17">
        <f t="shared" si="4"/>
        <v>0</v>
      </c>
      <c r="K31" s="17" t="e">
        <f t="shared" si="5"/>
        <v>#DIV/0!</v>
      </c>
      <c r="L31" s="16">
        <v>0</v>
      </c>
      <c r="M31" s="19" t="str">
        <f t="shared" si="6"/>
        <v>-</v>
      </c>
      <c r="N31" s="16">
        <v>0</v>
      </c>
      <c r="O31" s="20">
        <f t="shared" ref="O31:P31" si="29">D31/7</f>
        <v>0</v>
      </c>
      <c r="P31" s="20">
        <f t="shared" si="29"/>
        <v>0</v>
      </c>
      <c r="Q31" s="16" t="e">
        <f t="shared" si="8"/>
        <v>#DIV/0!</v>
      </c>
      <c r="R31" s="16"/>
      <c r="S31" s="21" t="e">
        <v>#N/A</v>
      </c>
      <c r="T31" s="14">
        <v>102</v>
      </c>
      <c r="U31" s="22" t="s">
        <v>34</v>
      </c>
      <c r="V31" s="23" t="s">
        <v>928</v>
      </c>
      <c r="W31" s="30">
        <v>0</v>
      </c>
      <c r="X31" s="24">
        <f t="shared" si="9"/>
        <v>0</v>
      </c>
      <c r="Y31" s="25">
        <f t="shared" si="10"/>
        <v>0</v>
      </c>
      <c r="Z31" s="30">
        <v>0</v>
      </c>
      <c r="AA31" s="14" t="s">
        <v>35</v>
      </c>
      <c r="AB31" s="27">
        <f t="shared" si="11"/>
        <v>-0.69</v>
      </c>
      <c r="AC31" s="28">
        <v>0.26927387962962962</v>
      </c>
      <c r="AD31" s="25">
        <f t="shared" si="12"/>
        <v>0</v>
      </c>
      <c r="AE31" s="25">
        <v>-7.18</v>
      </c>
      <c r="AF31" s="25">
        <v>-22.782193727999999</v>
      </c>
      <c r="AG31" s="25">
        <v>0</v>
      </c>
    </row>
    <row r="32" spans="1:33" ht="15.75" customHeight="1">
      <c r="A32" s="14" t="s">
        <v>60</v>
      </c>
      <c r="B32" s="14"/>
      <c r="C32" s="15" t="str">
        <f t="shared" si="1"/>
        <v xml:space="preserve"> - </v>
      </c>
      <c r="D32" s="16">
        <v>0</v>
      </c>
      <c r="E32" s="16">
        <v>0</v>
      </c>
      <c r="F32" s="17">
        <v>0</v>
      </c>
      <c r="G32" s="17">
        <v>0</v>
      </c>
      <c r="H32" s="18" t="e">
        <f t="shared" si="2"/>
        <v>#DIV/0!</v>
      </c>
      <c r="I32" s="18" t="e">
        <f t="shared" si="3"/>
        <v>#DIV/0!</v>
      </c>
      <c r="J32" s="17">
        <f t="shared" si="4"/>
        <v>0</v>
      </c>
      <c r="K32" s="17" t="e">
        <f t="shared" si="5"/>
        <v>#DIV/0!</v>
      </c>
      <c r="L32" s="16">
        <v>0</v>
      </c>
      <c r="M32" s="19" t="str">
        <f t="shared" si="6"/>
        <v>-</v>
      </c>
      <c r="N32" s="16">
        <v>0</v>
      </c>
      <c r="O32" s="20">
        <f t="shared" ref="O32:P32" si="30">D32/7</f>
        <v>0</v>
      </c>
      <c r="P32" s="20">
        <f t="shared" si="30"/>
        <v>0</v>
      </c>
      <c r="Q32" s="16" t="e">
        <f t="shared" si="8"/>
        <v>#DIV/0!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0</v>
      </c>
      <c r="T32" s="14">
        <f ca="1">IFERROR(__xludf.DUMMYFUNCTION("IFERROR(VLOOKUP($B$2,IMPORTRANGE(""https://docs.google.com/spreadsheets/d/1KiWZV1ko8G7lnRucBRBd29jj3Be6ltMfljMDqzOkQmI/edit#gid=1381463014"",""Lookup!A:D""),4,FALSE),"""")"),102)</f>
        <v>102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23" t="str">
        <f ca="1">IFERROR(__xludf.DUMMYFUNCTION("IFERROR(VLOOKUP($B$2,IMPORTRANGE(""https://docs.google.com/spreadsheets/d/1KiWZV1ko8G7lnRucBRBd29jj3Be6ltMfljMDqzOkQmI/edit#gid=1381463014"",""Lookup!A:D""),2,FALSE),"""")"),"No Transit, But 102 At Factory 50-75 days from Earliest Arrival")</f>
        <v>No Transit, But 102 At Factory 50-75 days from Earliest Arrival</v>
      </c>
      <c r="W32" s="30">
        <v>0</v>
      </c>
      <c r="X32" s="24">
        <f t="shared" si="9"/>
        <v>0</v>
      </c>
      <c r="Y32" s="25">
        <f t="shared" si="10"/>
        <v>0</v>
      </c>
      <c r="Z32" s="30">
        <v>0</v>
      </c>
      <c r="AA32" s="14" t="s">
        <v>35</v>
      </c>
      <c r="AB32" s="27">
        <f t="shared" si="11"/>
        <v>-0.69</v>
      </c>
      <c r="AC32" s="28">
        <v>0.26927387962962962</v>
      </c>
      <c r="AD32" s="25">
        <f t="shared" si="12"/>
        <v>0</v>
      </c>
      <c r="AE32" s="25">
        <v>-7.18</v>
      </c>
      <c r="AF32" s="25">
        <v>-22.782193727999999</v>
      </c>
      <c r="AG32" s="25">
        <v>0</v>
      </c>
    </row>
    <row r="33" spans="1:33" ht="15.75" customHeight="1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16"/>
      <c r="S33" s="21"/>
      <c r="T33" s="31"/>
      <c r="U33" s="36"/>
      <c r="V33" s="1"/>
      <c r="W33" s="31"/>
      <c r="X33" s="31"/>
      <c r="Y33" s="31"/>
      <c r="Z33" s="31"/>
      <c r="AA33" s="2"/>
      <c r="AB33" s="31"/>
      <c r="AC33" s="31"/>
      <c r="AD33" s="31"/>
      <c r="AE33" s="37"/>
      <c r="AF33" s="37"/>
      <c r="AG33" s="37"/>
    </row>
    <row r="34" spans="1:33" ht="15.75" customHeight="1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6"/>
      <c r="V34" s="1"/>
      <c r="W34" s="31"/>
      <c r="X34" s="31"/>
      <c r="Y34" s="31"/>
      <c r="Z34" s="31"/>
      <c r="AA34" s="2"/>
      <c r="AB34" s="31"/>
      <c r="AC34" s="31"/>
      <c r="AD34" s="31"/>
      <c r="AE34" s="37"/>
      <c r="AF34" s="37"/>
      <c r="AG34" s="37"/>
    </row>
    <row r="35" spans="1:33" ht="15.75" customHeight="1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6"/>
      <c r="V35" s="1"/>
      <c r="W35" s="31"/>
      <c r="X35" s="31"/>
      <c r="Y35" s="31"/>
      <c r="Z35" s="31"/>
      <c r="AA35" s="2"/>
      <c r="AB35" s="31"/>
      <c r="AC35" s="31"/>
      <c r="AD35" s="31"/>
      <c r="AE35" s="37"/>
      <c r="AF35" s="37"/>
      <c r="AG35" s="37"/>
    </row>
    <row r="36" spans="1:33" ht="15.75" customHeight="1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6"/>
      <c r="V36" s="1"/>
      <c r="W36" s="31"/>
      <c r="X36" s="31"/>
      <c r="Y36" s="31"/>
      <c r="Z36" s="31"/>
      <c r="AA36" s="2"/>
      <c r="AB36" s="31"/>
      <c r="AC36" s="31"/>
      <c r="AD36" s="31"/>
      <c r="AE36" s="37"/>
      <c r="AF36" s="37"/>
      <c r="AG36" s="37"/>
    </row>
    <row r="37" spans="1:33" ht="15.75" customHeight="1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6"/>
      <c r="V37" s="1"/>
      <c r="W37" s="31"/>
      <c r="X37" s="31"/>
      <c r="Y37" s="31"/>
      <c r="Z37" s="31"/>
      <c r="AA37" s="2"/>
      <c r="AB37" s="31"/>
      <c r="AC37" s="31"/>
      <c r="AD37" s="31"/>
      <c r="AE37" s="37"/>
      <c r="AF37" s="37"/>
      <c r="AG37" s="37"/>
    </row>
    <row r="38" spans="1:33" ht="15.75" customHeight="1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6"/>
      <c r="V38" s="1"/>
      <c r="W38" s="31"/>
      <c r="X38" s="31"/>
      <c r="Y38" s="31"/>
      <c r="Z38" s="31"/>
      <c r="AA38" s="2"/>
      <c r="AB38" s="31"/>
      <c r="AC38" s="31"/>
      <c r="AD38" s="31"/>
      <c r="AE38" s="37"/>
      <c r="AF38" s="37"/>
      <c r="AG38" s="37"/>
    </row>
    <row r="39" spans="1:33" ht="15.75" customHeight="1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6"/>
      <c r="V39" s="1"/>
      <c r="W39" s="31"/>
      <c r="X39" s="31"/>
      <c r="Y39" s="31"/>
      <c r="Z39" s="31"/>
      <c r="AA39" s="2"/>
      <c r="AB39" s="31"/>
      <c r="AC39" s="31"/>
      <c r="AD39" s="31"/>
      <c r="AE39" s="37"/>
      <c r="AF39" s="37"/>
      <c r="AG39" s="37"/>
    </row>
    <row r="40" spans="1:33" ht="15.75" customHeight="1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6"/>
      <c r="V40" s="1"/>
      <c r="W40" s="31"/>
      <c r="X40" s="31"/>
      <c r="Y40" s="31"/>
      <c r="Z40" s="31"/>
      <c r="AA40" s="2"/>
      <c r="AB40" s="31"/>
      <c r="AC40" s="31"/>
      <c r="AD40" s="31"/>
      <c r="AE40" s="37"/>
      <c r="AF40" s="37"/>
      <c r="AG40" s="37"/>
    </row>
    <row r="41" spans="1:33" ht="15.75" customHeight="1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6"/>
      <c r="V41" s="1"/>
      <c r="W41" s="31"/>
      <c r="X41" s="31"/>
      <c r="Y41" s="31"/>
      <c r="Z41" s="31"/>
      <c r="AA41" s="2"/>
      <c r="AB41" s="31"/>
      <c r="AC41" s="31"/>
      <c r="AD41" s="31"/>
      <c r="AE41" s="37"/>
      <c r="AF41" s="37"/>
      <c r="AG41" s="37"/>
    </row>
    <row r="42" spans="1:33" ht="15.75" customHeight="1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6"/>
      <c r="V42" s="1"/>
      <c r="W42" s="31"/>
      <c r="X42" s="31"/>
      <c r="Y42" s="31"/>
      <c r="Z42" s="31"/>
      <c r="AA42" s="2"/>
      <c r="AB42" s="31"/>
      <c r="AC42" s="31"/>
      <c r="AD42" s="31"/>
      <c r="AE42" s="37"/>
      <c r="AF42" s="37"/>
      <c r="AG42" s="37"/>
    </row>
    <row r="43" spans="1:33" ht="15.75" customHeight="1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6"/>
      <c r="V43" s="1"/>
      <c r="W43" s="31"/>
      <c r="X43" s="31"/>
      <c r="Y43" s="31"/>
      <c r="Z43" s="31"/>
      <c r="AA43" s="2"/>
      <c r="AB43" s="31"/>
      <c r="AC43" s="31"/>
      <c r="AD43" s="31"/>
      <c r="AE43" s="37"/>
      <c r="AF43" s="37"/>
      <c r="AG43" s="37"/>
    </row>
    <row r="44" spans="1:33" ht="15.75" customHeight="1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6"/>
      <c r="V44" s="1"/>
      <c r="W44" s="31"/>
      <c r="X44" s="31"/>
      <c r="Y44" s="31"/>
      <c r="Z44" s="31"/>
      <c r="AA44" s="2"/>
      <c r="AB44" s="31"/>
      <c r="AC44" s="31"/>
      <c r="AD44" s="31"/>
      <c r="AE44" s="37"/>
      <c r="AF44" s="37"/>
      <c r="AG44" s="37"/>
    </row>
    <row r="45" spans="1:33" ht="15.75" customHeight="1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6"/>
      <c r="V45" s="1"/>
      <c r="W45" s="31"/>
      <c r="X45" s="31"/>
      <c r="Y45" s="31"/>
      <c r="Z45" s="31"/>
      <c r="AA45" s="2"/>
      <c r="AB45" s="31"/>
      <c r="AC45" s="31"/>
      <c r="AD45" s="31"/>
      <c r="AE45" s="37"/>
      <c r="AF45" s="37"/>
      <c r="AG45" s="37"/>
    </row>
    <row r="46" spans="1:33" ht="15.75" customHeight="1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6"/>
      <c r="V46" s="1"/>
      <c r="W46" s="31"/>
      <c r="X46" s="31"/>
      <c r="Y46" s="31"/>
      <c r="Z46" s="31"/>
      <c r="AA46" s="2"/>
      <c r="AB46" s="31"/>
      <c r="AC46" s="31"/>
      <c r="AD46" s="31"/>
      <c r="AE46" s="37"/>
      <c r="AF46" s="37"/>
      <c r="AG46" s="37"/>
    </row>
    <row r="47" spans="1:33" ht="15.75" customHeight="1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6"/>
      <c r="V47" s="1"/>
      <c r="W47" s="31"/>
      <c r="X47" s="31"/>
      <c r="Y47" s="31"/>
      <c r="Z47" s="31"/>
      <c r="AA47" s="2"/>
      <c r="AB47" s="31"/>
      <c r="AC47" s="31"/>
      <c r="AD47" s="31"/>
      <c r="AE47" s="37"/>
      <c r="AF47" s="37"/>
      <c r="AG47" s="37"/>
    </row>
    <row r="48" spans="1:33" ht="15.75" customHeight="1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6"/>
      <c r="V48" s="1"/>
      <c r="W48" s="31"/>
      <c r="X48" s="31"/>
      <c r="Y48" s="31"/>
      <c r="Z48" s="31"/>
      <c r="AA48" s="2"/>
      <c r="AB48" s="31"/>
      <c r="AC48" s="31"/>
      <c r="AD48" s="31"/>
      <c r="AE48" s="37"/>
      <c r="AF48" s="37"/>
      <c r="AG48" s="37"/>
    </row>
    <row r="49" spans="1:33" ht="15.75" customHeight="1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6"/>
      <c r="V49" s="1"/>
      <c r="W49" s="31"/>
      <c r="X49" s="31"/>
      <c r="Y49" s="31"/>
      <c r="Z49" s="31"/>
      <c r="AA49" s="2"/>
      <c r="AB49" s="31"/>
      <c r="AC49" s="31"/>
      <c r="AD49" s="31"/>
      <c r="AE49" s="37"/>
      <c r="AF49" s="37"/>
      <c r="AG49" s="37"/>
    </row>
    <row r="50" spans="1:33" ht="15.75" customHeight="1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6"/>
      <c r="V50" s="1"/>
      <c r="W50" s="31"/>
      <c r="X50" s="31"/>
      <c r="Y50" s="31"/>
      <c r="Z50" s="31"/>
      <c r="AA50" s="2"/>
      <c r="AB50" s="31"/>
      <c r="AC50" s="31"/>
      <c r="AD50" s="31"/>
      <c r="AE50" s="37"/>
      <c r="AF50" s="37"/>
      <c r="AG50" s="37"/>
    </row>
    <row r="51" spans="1:33" ht="15.75" customHeight="1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6"/>
      <c r="V51" s="1"/>
      <c r="W51" s="31"/>
      <c r="X51" s="31"/>
      <c r="Y51" s="31"/>
      <c r="Z51" s="31"/>
      <c r="AA51" s="2"/>
      <c r="AB51" s="31"/>
      <c r="AC51" s="31"/>
      <c r="AD51" s="31"/>
      <c r="AE51" s="37"/>
      <c r="AF51" s="37"/>
      <c r="AG51" s="37"/>
    </row>
    <row r="52" spans="1:33" ht="15.75" customHeight="1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6"/>
      <c r="V52" s="1"/>
      <c r="W52" s="31"/>
      <c r="X52" s="31"/>
      <c r="Y52" s="31"/>
      <c r="Z52" s="31"/>
      <c r="AA52" s="2"/>
      <c r="AB52" s="31"/>
      <c r="AC52" s="31"/>
      <c r="AD52" s="31"/>
      <c r="AE52" s="37"/>
      <c r="AF52" s="37"/>
      <c r="AG52" s="37"/>
    </row>
    <row r="53" spans="1:33" ht="15.75" customHeight="1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6"/>
      <c r="V53" s="1"/>
      <c r="W53" s="31"/>
      <c r="X53" s="31"/>
      <c r="Y53" s="31"/>
      <c r="Z53" s="31"/>
      <c r="AA53" s="2"/>
      <c r="AB53" s="31"/>
      <c r="AC53" s="31"/>
      <c r="AD53" s="31"/>
      <c r="AE53" s="37"/>
      <c r="AF53" s="37"/>
      <c r="AG53" s="37"/>
    </row>
    <row r="54" spans="1:33" ht="15.75" customHeight="1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6"/>
      <c r="V54" s="1"/>
      <c r="W54" s="31"/>
      <c r="X54" s="31"/>
      <c r="Y54" s="31"/>
      <c r="Z54" s="31"/>
      <c r="AA54" s="2"/>
      <c r="AB54" s="31"/>
      <c r="AC54" s="31"/>
      <c r="AD54" s="31"/>
      <c r="AE54" s="37"/>
      <c r="AF54" s="37"/>
      <c r="AG54" s="37"/>
    </row>
    <row r="55" spans="1:33" ht="15.75" customHeight="1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6"/>
      <c r="V55" s="1"/>
      <c r="W55" s="31"/>
      <c r="X55" s="31"/>
      <c r="Y55" s="31"/>
      <c r="Z55" s="31"/>
      <c r="AA55" s="2"/>
      <c r="AB55" s="31"/>
      <c r="AC55" s="31"/>
      <c r="AD55" s="31"/>
      <c r="AE55" s="37"/>
      <c r="AF55" s="37"/>
      <c r="AG55" s="37"/>
    </row>
    <row r="56" spans="1:33" ht="15.75" customHeight="1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6"/>
      <c r="V56" s="1"/>
      <c r="W56" s="31"/>
      <c r="X56" s="31"/>
      <c r="Y56" s="31"/>
      <c r="Z56" s="31"/>
      <c r="AA56" s="2"/>
      <c r="AB56" s="31"/>
      <c r="AC56" s="31"/>
      <c r="AD56" s="31"/>
      <c r="AE56" s="37"/>
      <c r="AF56" s="37"/>
      <c r="AG56" s="37"/>
    </row>
    <row r="57" spans="1:33" ht="15.75" customHeight="1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6"/>
      <c r="V57" s="1"/>
      <c r="W57" s="31"/>
      <c r="X57" s="31"/>
      <c r="Y57" s="31"/>
      <c r="Z57" s="31"/>
      <c r="AA57" s="2"/>
      <c r="AB57" s="31"/>
      <c r="AC57" s="31"/>
      <c r="AD57" s="31"/>
      <c r="AE57" s="37"/>
      <c r="AF57" s="37"/>
      <c r="AG57" s="37"/>
    </row>
    <row r="58" spans="1:33" ht="15.75" customHeight="1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6"/>
      <c r="V58" s="1"/>
      <c r="W58" s="31"/>
      <c r="X58" s="31"/>
      <c r="Y58" s="31"/>
      <c r="Z58" s="31"/>
      <c r="AA58" s="2"/>
      <c r="AB58" s="31"/>
      <c r="AC58" s="31"/>
      <c r="AD58" s="31"/>
      <c r="AE58" s="37"/>
      <c r="AF58" s="37"/>
      <c r="AG58" s="37"/>
    </row>
    <row r="59" spans="1:33" ht="15.75" customHeight="1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6"/>
      <c r="V59" s="1"/>
      <c r="W59" s="31"/>
      <c r="X59" s="31"/>
      <c r="Y59" s="31"/>
      <c r="Z59" s="31"/>
      <c r="AA59" s="2"/>
      <c r="AB59" s="31"/>
      <c r="AC59" s="31"/>
      <c r="AD59" s="31"/>
      <c r="AE59" s="37"/>
      <c r="AF59" s="37"/>
      <c r="AG59" s="37"/>
    </row>
    <row r="60" spans="1:33" ht="15.75" customHeight="1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6"/>
      <c r="V60" s="1"/>
      <c r="W60" s="31"/>
      <c r="X60" s="31"/>
      <c r="Y60" s="31"/>
      <c r="Z60" s="31"/>
      <c r="AA60" s="2"/>
      <c r="AB60" s="31"/>
      <c r="AC60" s="31"/>
      <c r="AD60" s="31"/>
      <c r="AE60" s="37"/>
      <c r="AF60" s="37"/>
      <c r="AG60" s="37"/>
    </row>
    <row r="61" spans="1:33" ht="15.75" customHeight="1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6"/>
      <c r="V61" s="1"/>
      <c r="W61" s="31"/>
      <c r="X61" s="31"/>
      <c r="Y61" s="31"/>
      <c r="Z61" s="31"/>
      <c r="AA61" s="2"/>
      <c r="AB61" s="31"/>
      <c r="AC61" s="31"/>
      <c r="AD61" s="31"/>
      <c r="AE61" s="37"/>
      <c r="AF61" s="37"/>
      <c r="AG61" s="37"/>
    </row>
    <row r="62" spans="1:33" ht="15.75" customHeight="1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6"/>
      <c r="V62" s="1"/>
      <c r="W62" s="31"/>
      <c r="X62" s="31"/>
      <c r="Y62" s="31"/>
      <c r="Z62" s="31"/>
      <c r="AA62" s="2"/>
      <c r="AB62" s="31"/>
      <c r="AC62" s="31"/>
      <c r="AD62" s="31"/>
      <c r="AE62" s="37"/>
      <c r="AF62" s="37"/>
      <c r="AG62" s="37"/>
    </row>
    <row r="63" spans="1:33" ht="15.75" customHeight="1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6"/>
      <c r="V63" s="1"/>
      <c r="W63" s="31"/>
      <c r="X63" s="31"/>
      <c r="Y63" s="31"/>
      <c r="Z63" s="31"/>
      <c r="AA63" s="2"/>
      <c r="AB63" s="31"/>
      <c r="AC63" s="31"/>
      <c r="AD63" s="31"/>
      <c r="AE63" s="37"/>
      <c r="AF63" s="37"/>
      <c r="AG63" s="37"/>
    </row>
    <row r="64" spans="1:33" ht="15.75" customHeight="1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6"/>
      <c r="V64" s="1"/>
      <c r="W64" s="31"/>
      <c r="X64" s="31"/>
      <c r="Y64" s="31"/>
      <c r="Z64" s="31"/>
      <c r="AA64" s="2"/>
      <c r="AB64" s="31"/>
      <c r="AC64" s="31"/>
      <c r="AD64" s="31"/>
      <c r="AE64" s="37"/>
      <c r="AF64" s="37"/>
      <c r="AG64" s="37"/>
    </row>
    <row r="65" spans="1:33" ht="15.75" customHeight="1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6"/>
      <c r="V65" s="1"/>
      <c r="W65" s="31"/>
      <c r="X65" s="31"/>
      <c r="Y65" s="31"/>
      <c r="Z65" s="31"/>
      <c r="AA65" s="2"/>
      <c r="AB65" s="31"/>
      <c r="AC65" s="31"/>
      <c r="AD65" s="31"/>
      <c r="AE65" s="37"/>
      <c r="AF65" s="37"/>
      <c r="AG65" s="37"/>
    </row>
    <row r="66" spans="1:33" ht="15.75" customHeight="1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6"/>
      <c r="V66" s="1"/>
      <c r="W66" s="31"/>
      <c r="X66" s="31"/>
      <c r="Y66" s="31"/>
      <c r="Z66" s="31"/>
      <c r="AA66" s="2"/>
      <c r="AB66" s="31"/>
      <c r="AC66" s="31"/>
      <c r="AD66" s="31"/>
      <c r="AE66" s="37"/>
      <c r="AF66" s="37"/>
      <c r="AG66" s="37"/>
    </row>
    <row r="67" spans="1:33" ht="15.75" customHeight="1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6"/>
      <c r="V67" s="1"/>
      <c r="W67" s="31"/>
      <c r="X67" s="31"/>
      <c r="Y67" s="31"/>
      <c r="Z67" s="31"/>
      <c r="AA67" s="2"/>
      <c r="AB67" s="31"/>
      <c r="AC67" s="31"/>
      <c r="AD67" s="31"/>
      <c r="AE67" s="37"/>
      <c r="AF67" s="37"/>
      <c r="AG67" s="37"/>
    </row>
    <row r="68" spans="1:33" ht="15.75" customHeight="1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6"/>
      <c r="V68" s="1"/>
      <c r="W68" s="31"/>
      <c r="X68" s="31"/>
      <c r="Y68" s="31"/>
      <c r="Z68" s="31"/>
      <c r="AA68" s="2"/>
      <c r="AB68" s="31"/>
      <c r="AC68" s="31"/>
      <c r="AD68" s="31"/>
      <c r="AE68" s="37"/>
      <c r="AF68" s="37"/>
      <c r="AG68" s="37"/>
    </row>
    <row r="69" spans="1:33" ht="15.75" customHeight="1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6"/>
      <c r="V69" s="1"/>
      <c r="W69" s="31"/>
      <c r="X69" s="31"/>
      <c r="Y69" s="31"/>
      <c r="Z69" s="31"/>
      <c r="AA69" s="2"/>
      <c r="AB69" s="31"/>
      <c r="AC69" s="31"/>
      <c r="AD69" s="31"/>
      <c r="AE69" s="37"/>
      <c r="AF69" s="37"/>
      <c r="AG69" s="37"/>
    </row>
    <row r="70" spans="1:33" ht="15.75" customHeight="1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6"/>
      <c r="V70" s="1"/>
      <c r="W70" s="31"/>
      <c r="X70" s="31"/>
      <c r="Y70" s="31"/>
      <c r="Z70" s="31"/>
      <c r="AA70" s="2"/>
      <c r="AB70" s="31"/>
      <c r="AC70" s="31"/>
      <c r="AD70" s="31"/>
      <c r="AE70" s="37"/>
      <c r="AF70" s="37"/>
      <c r="AG70" s="37"/>
    </row>
    <row r="71" spans="1:33" ht="15.75" customHeight="1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6"/>
      <c r="V71" s="1"/>
      <c r="W71" s="31"/>
      <c r="X71" s="31"/>
      <c r="Y71" s="31"/>
      <c r="Z71" s="31"/>
      <c r="AA71" s="2"/>
      <c r="AB71" s="31"/>
      <c r="AC71" s="31"/>
      <c r="AD71" s="31"/>
      <c r="AE71" s="37"/>
      <c r="AF71" s="37"/>
      <c r="AG71" s="37"/>
    </row>
    <row r="72" spans="1:33" ht="15.75" customHeight="1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6"/>
      <c r="V72" s="1"/>
      <c r="W72" s="31"/>
      <c r="X72" s="31"/>
      <c r="Y72" s="31"/>
      <c r="Z72" s="31"/>
      <c r="AA72" s="2"/>
      <c r="AB72" s="31"/>
      <c r="AC72" s="31"/>
      <c r="AD72" s="31"/>
      <c r="AE72" s="37"/>
      <c r="AF72" s="37"/>
      <c r="AG72" s="37"/>
    </row>
    <row r="73" spans="1:33" ht="15.75" customHeight="1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6"/>
      <c r="V73" s="1"/>
      <c r="W73" s="31"/>
      <c r="X73" s="31"/>
      <c r="Y73" s="31"/>
      <c r="Z73" s="31"/>
      <c r="AA73" s="2"/>
      <c r="AB73" s="31"/>
      <c r="AC73" s="31"/>
      <c r="AD73" s="31"/>
      <c r="AE73" s="37"/>
      <c r="AF73" s="37"/>
      <c r="AG73" s="37"/>
    </row>
    <row r="74" spans="1:33" ht="15.75" customHeight="1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6"/>
      <c r="V74" s="1"/>
      <c r="W74" s="31"/>
      <c r="X74" s="31"/>
      <c r="Y74" s="31"/>
      <c r="Z74" s="31"/>
      <c r="AA74" s="2"/>
      <c r="AB74" s="31"/>
      <c r="AC74" s="31"/>
      <c r="AD74" s="31"/>
      <c r="AE74" s="37"/>
      <c r="AF74" s="37"/>
      <c r="AG74" s="37"/>
    </row>
    <row r="75" spans="1:33" ht="15.75" customHeight="1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6"/>
      <c r="V75" s="1"/>
      <c r="W75" s="31"/>
      <c r="X75" s="31"/>
      <c r="Y75" s="31"/>
      <c r="Z75" s="31"/>
      <c r="AA75" s="2"/>
      <c r="AB75" s="31"/>
      <c r="AC75" s="31"/>
      <c r="AD75" s="31"/>
      <c r="AE75" s="37"/>
      <c r="AF75" s="37"/>
      <c r="AG75" s="37"/>
    </row>
    <row r="76" spans="1:33" ht="15.75" customHeight="1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6"/>
      <c r="V76" s="1"/>
      <c r="W76" s="31"/>
      <c r="X76" s="31"/>
      <c r="Y76" s="31"/>
      <c r="Z76" s="31"/>
      <c r="AA76" s="2"/>
      <c r="AB76" s="31"/>
      <c r="AC76" s="31"/>
      <c r="AD76" s="31"/>
      <c r="AE76" s="37"/>
      <c r="AF76" s="37"/>
      <c r="AG76" s="37"/>
    </row>
    <row r="77" spans="1:33" ht="15.75" customHeight="1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6"/>
      <c r="V77" s="1"/>
      <c r="W77" s="31"/>
      <c r="X77" s="31"/>
      <c r="Y77" s="31"/>
      <c r="Z77" s="31"/>
      <c r="AA77" s="2"/>
      <c r="AB77" s="31"/>
      <c r="AC77" s="31"/>
      <c r="AD77" s="31"/>
      <c r="AE77" s="37"/>
      <c r="AF77" s="37"/>
      <c r="AG77" s="37"/>
    </row>
    <row r="78" spans="1:33" ht="15.75" customHeight="1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6"/>
      <c r="V78" s="1"/>
      <c r="W78" s="31"/>
      <c r="X78" s="31"/>
      <c r="Y78" s="31"/>
      <c r="Z78" s="31"/>
      <c r="AA78" s="2"/>
      <c r="AB78" s="31"/>
      <c r="AC78" s="31"/>
      <c r="AD78" s="31"/>
      <c r="AE78" s="37"/>
      <c r="AF78" s="37"/>
      <c r="AG78" s="37"/>
    </row>
    <row r="79" spans="1:33" ht="15.75" customHeight="1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6"/>
      <c r="V79" s="1"/>
      <c r="W79" s="31"/>
      <c r="X79" s="31"/>
      <c r="Y79" s="31"/>
      <c r="Z79" s="31"/>
      <c r="AA79" s="2"/>
      <c r="AB79" s="31"/>
      <c r="AC79" s="31"/>
      <c r="AD79" s="31"/>
      <c r="AE79" s="37"/>
      <c r="AF79" s="37"/>
      <c r="AG79" s="37"/>
    </row>
    <row r="80" spans="1:33" ht="15.75" customHeight="1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6"/>
      <c r="V80" s="1"/>
      <c r="W80" s="31"/>
      <c r="X80" s="31"/>
      <c r="Y80" s="31"/>
      <c r="Z80" s="31"/>
      <c r="AA80" s="2"/>
      <c r="AB80" s="31"/>
      <c r="AC80" s="31"/>
      <c r="AD80" s="31"/>
      <c r="AE80" s="37"/>
      <c r="AF80" s="37"/>
      <c r="AG80" s="37"/>
    </row>
    <row r="81" spans="1:33" ht="15.75" customHeight="1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6"/>
      <c r="V81" s="1"/>
      <c r="W81" s="31"/>
      <c r="X81" s="31"/>
      <c r="Y81" s="31"/>
      <c r="Z81" s="31"/>
      <c r="AA81" s="2"/>
      <c r="AB81" s="31"/>
      <c r="AC81" s="31"/>
      <c r="AD81" s="31"/>
      <c r="AE81" s="37"/>
      <c r="AF81" s="37"/>
      <c r="AG81" s="37"/>
    </row>
    <row r="82" spans="1:33" ht="15.75" customHeight="1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6"/>
      <c r="V82" s="1"/>
      <c r="W82" s="31"/>
      <c r="X82" s="31"/>
      <c r="Y82" s="31"/>
      <c r="Z82" s="31"/>
      <c r="AA82" s="2"/>
      <c r="AB82" s="31"/>
      <c r="AC82" s="31"/>
      <c r="AD82" s="31"/>
      <c r="AE82" s="37"/>
      <c r="AF82" s="37"/>
      <c r="AG82" s="37"/>
    </row>
    <row r="83" spans="1:33" ht="15.75" customHeight="1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6"/>
      <c r="V83" s="1"/>
      <c r="W83" s="31"/>
      <c r="X83" s="31"/>
      <c r="Y83" s="31"/>
      <c r="Z83" s="31"/>
      <c r="AA83" s="2"/>
      <c r="AB83" s="31"/>
      <c r="AC83" s="31"/>
      <c r="AD83" s="31"/>
      <c r="AE83" s="37"/>
      <c r="AF83" s="37"/>
      <c r="AG83" s="37"/>
    </row>
    <row r="84" spans="1:33" ht="15.75" customHeight="1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6"/>
      <c r="V84" s="1"/>
      <c r="W84" s="31"/>
      <c r="X84" s="31"/>
      <c r="Y84" s="31"/>
      <c r="Z84" s="31"/>
      <c r="AA84" s="2"/>
      <c r="AB84" s="31"/>
      <c r="AC84" s="31"/>
      <c r="AD84" s="31"/>
      <c r="AE84" s="37"/>
      <c r="AF84" s="37"/>
      <c r="AG84" s="37"/>
    </row>
    <row r="85" spans="1:33" ht="15.75" customHeight="1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6"/>
      <c r="V85" s="1"/>
      <c r="W85" s="31"/>
      <c r="X85" s="31"/>
      <c r="Y85" s="31"/>
      <c r="Z85" s="31"/>
      <c r="AA85" s="2"/>
      <c r="AB85" s="31"/>
      <c r="AC85" s="31"/>
      <c r="AD85" s="31"/>
      <c r="AE85" s="37"/>
      <c r="AF85" s="37"/>
      <c r="AG85" s="37"/>
    </row>
    <row r="86" spans="1:33" ht="15.75" customHeight="1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6"/>
      <c r="V86" s="1"/>
      <c r="W86" s="31"/>
      <c r="X86" s="31"/>
      <c r="Y86" s="31"/>
      <c r="Z86" s="31"/>
      <c r="AA86" s="2"/>
      <c r="AB86" s="31"/>
      <c r="AC86" s="31"/>
      <c r="AD86" s="31"/>
      <c r="AE86" s="37"/>
      <c r="AF86" s="37"/>
      <c r="AG86" s="37"/>
    </row>
    <row r="87" spans="1:33" ht="15.75" customHeight="1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6"/>
      <c r="V87" s="1"/>
      <c r="W87" s="31"/>
      <c r="X87" s="31"/>
      <c r="Y87" s="31"/>
      <c r="Z87" s="31"/>
      <c r="AA87" s="2"/>
      <c r="AB87" s="31"/>
      <c r="AC87" s="31"/>
      <c r="AD87" s="31"/>
      <c r="AE87" s="37"/>
      <c r="AF87" s="37"/>
      <c r="AG87" s="37"/>
    </row>
    <row r="88" spans="1:33" ht="15.75" customHeight="1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6"/>
      <c r="V88" s="1"/>
      <c r="W88" s="31"/>
      <c r="X88" s="31"/>
      <c r="Y88" s="31"/>
      <c r="Z88" s="31"/>
      <c r="AA88" s="2"/>
      <c r="AB88" s="31"/>
      <c r="AC88" s="31"/>
      <c r="AD88" s="31"/>
      <c r="AE88" s="37"/>
      <c r="AF88" s="37"/>
      <c r="AG88" s="37"/>
    </row>
    <row r="89" spans="1:33" ht="15.75" customHeight="1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6"/>
      <c r="V89" s="1"/>
      <c r="W89" s="31"/>
      <c r="X89" s="31"/>
      <c r="Y89" s="31"/>
      <c r="Z89" s="31"/>
      <c r="AA89" s="2"/>
      <c r="AB89" s="31"/>
      <c r="AC89" s="31"/>
      <c r="AD89" s="31"/>
      <c r="AE89" s="37"/>
      <c r="AF89" s="37"/>
      <c r="AG89" s="37"/>
    </row>
    <row r="90" spans="1:33" ht="15.75" customHeight="1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6"/>
      <c r="V90" s="1"/>
      <c r="W90" s="31"/>
      <c r="X90" s="31"/>
      <c r="Y90" s="31"/>
      <c r="Z90" s="31"/>
      <c r="AA90" s="2"/>
      <c r="AB90" s="31"/>
      <c r="AC90" s="31"/>
      <c r="AD90" s="31"/>
      <c r="AE90" s="37"/>
      <c r="AF90" s="37"/>
      <c r="AG90" s="37"/>
    </row>
    <row r="91" spans="1:33" ht="15.75" customHeight="1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6"/>
      <c r="V91" s="1"/>
      <c r="W91" s="31"/>
      <c r="X91" s="31"/>
      <c r="Y91" s="31"/>
      <c r="Z91" s="31"/>
      <c r="AA91" s="2"/>
      <c r="AB91" s="31"/>
      <c r="AC91" s="31"/>
      <c r="AD91" s="31"/>
      <c r="AE91" s="37"/>
      <c r="AF91" s="37"/>
      <c r="AG91" s="37"/>
    </row>
    <row r="92" spans="1:33" ht="15.75" customHeight="1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6"/>
      <c r="V92" s="1"/>
      <c r="W92" s="31"/>
      <c r="X92" s="31"/>
      <c r="Y92" s="31"/>
      <c r="Z92" s="31"/>
      <c r="AA92" s="2"/>
      <c r="AB92" s="31"/>
      <c r="AC92" s="31"/>
      <c r="AD92" s="31"/>
      <c r="AE92" s="37"/>
      <c r="AF92" s="37"/>
      <c r="AG92" s="37"/>
    </row>
    <row r="93" spans="1:33" ht="15.75" customHeight="1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6"/>
      <c r="V93" s="1"/>
      <c r="W93" s="31"/>
      <c r="X93" s="31"/>
      <c r="Y93" s="31"/>
      <c r="Z93" s="31"/>
      <c r="AA93" s="2"/>
      <c r="AB93" s="31"/>
      <c r="AC93" s="31"/>
      <c r="AD93" s="31"/>
      <c r="AE93" s="37"/>
      <c r="AF93" s="37"/>
      <c r="AG93" s="37"/>
    </row>
    <row r="94" spans="1:33" ht="15.75" customHeight="1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6"/>
      <c r="V94" s="1"/>
      <c r="W94" s="31"/>
      <c r="X94" s="31"/>
      <c r="Y94" s="31"/>
      <c r="Z94" s="31"/>
      <c r="AA94" s="2"/>
      <c r="AB94" s="31"/>
      <c r="AC94" s="31"/>
      <c r="AD94" s="31"/>
      <c r="AE94" s="37"/>
      <c r="AF94" s="37"/>
      <c r="AG94" s="37"/>
    </row>
    <row r="95" spans="1:33" ht="15.75" customHeight="1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6"/>
      <c r="V95" s="1"/>
      <c r="W95" s="31"/>
      <c r="X95" s="31"/>
      <c r="Y95" s="31"/>
      <c r="Z95" s="31"/>
      <c r="AA95" s="2"/>
      <c r="AB95" s="31"/>
      <c r="AC95" s="31"/>
      <c r="AD95" s="31"/>
      <c r="AE95" s="37"/>
      <c r="AF95" s="37"/>
      <c r="AG95" s="37"/>
    </row>
    <row r="96" spans="1:33" ht="15.75" customHeight="1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6"/>
      <c r="V96" s="1"/>
      <c r="W96" s="31"/>
      <c r="X96" s="31"/>
      <c r="Y96" s="31"/>
      <c r="Z96" s="31"/>
      <c r="AA96" s="2"/>
      <c r="AB96" s="31"/>
      <c r="AC96" s="31"/>
      <c r="AD96" s="31"/>
      <c r="AE96" s="37"/>
      <c r="AF96" s="37"/>
      <c r="AG96" s="37"/>
    </row>
    <row r="97" spans="1:33" ht="15.75" customHeight="1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8"/>
      <c r="R97" s="38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8"/>
      <c r="R98" s="38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8"/>
      <c r="R99" s="38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8"/>
      <c r="R100" s="38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8"/>
      <c r="R101" s="38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8"/>
      <c r="R102" s="38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8"/>
      <c r="R103" s="38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8"/>
      <c r="R104" s="38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8"/>
      <c r="R105" s="38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8"/>
      <c r="R106" s="38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8"/>
      <c r="R107" s="38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8"/>
      <c r="R108" s="38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8"/>
      <c r="R109" s="38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8"/>
      <c r="R110" s="38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8"/>
      <c r="R111" s="38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8"/>
      <c r="R112" s="38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8"/>
      <c r="R113" s="38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8"/>
      <c r="R114" s="38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>
      <c r="A115" s="31"/>
      <c r="B115" s="31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>
      <c r="A116" s="31"/>
      <c r="B116" s="31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>
      <c r="A117" s="31"/>
      <c r="B117" s="31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>
      <c r="A118" s="31"/>
      <c r="B118" s="31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>
      <c r="A119" s="31"/>
      <c r="B119" s="31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>
      <c r="A120" s="31"/>
      <c r="B120" s="31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>
      <c r="A121" s="31"/>
      <c r="B121" s="31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>
      <c r="A122" s="31"/>
      <c r="B122" s="31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>
      <c r="A123" s="31"/>
      <c r="B123" s="31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>
      <c r="A124" s="31"/>
      <c r="B124" s="31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>
      <c r="A125" s="31"/>
      <c r="B125" s="31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>
      <c r="A126" s="31"/>
      <c r="B126" s="31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>
      <c r="A127" s="31"/>
      <c r="B127" s="31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>
      <c r="A128" s="31"/>
      <c r="B128" s="31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>
      <c r="A129" s="31"/>
      <c r="B129" s="31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>
      <c r="A130" s="31"/>
      <c r="B130" s="31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>
      <c r="A131" s="31"/>
      <c r="B131" s="31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>
      <c r="A132" s="31"/>
      <c r="B132" s="31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>
      <c r="A133" s="31"/>
      <c r="B133" s="31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>
      <c r="A134" s="31"/>
      <c r="B134" s="31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>
      <c r="A135" s="31"/>
      <c r="B135" s="31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>
      <c r="A136" s="31"/>
      <c r="B136" s="31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>
      <c r="A137" s="31"/>
      <c r="B137" s="31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>
      <c r="A138" s="31"/>
      <c r="B138" s="31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>
      <c r="A139" s="31"/>
      <c r="B139" s="31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>
      <c r="A140" s="31"/>
      <c r="B140" s="31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>
      <c r="A141" s="31"/>
      <c r="B141" s="31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2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>
      <c r="A142" s="31"/>
      <c r="B142" s="31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2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>
      <c r="A143" s="31"/>
      <c r="B143" s="31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2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>
      <c r="A144" s="31"/>
      <c r="B144" s="31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2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>
      <c r="A145" s="31"/>
      <c r="B145" s="31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2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>
      <c r="A146" s="31"/>
      <c r="B146" s="31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2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>
      <c r="A147" s="31"/>
      <c r="B147" s="31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2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>
      <c r="A148" s="31"/>
      <c r="B148" s="31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2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</row>
    <row r="149" spans="1:33" ht="15.75" customHeight="1">
      <c r="A149" s="14"/>
      <c r="B149" s="14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>
      <c r="A150" s="14"/>
      <c r="B150" s="14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>
      <c r="A151" s="14"/>
      <c r="B151" s="14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>
      <c r="A152" s="14"/>
      <c r="B152" s="14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>
      <c r="A153" s="14"/>
      <c r="B153" s="14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>
      <c r="A154" s="14"/>
      <c r="B154" s="14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>
      <c r="A155" s="14"/>
      <c r="B155" s="14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>
      <c r="A156" s="14"/>
      <c r="B156" s="14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>
      <c r="A157" s="14"/>
      <c r="B157" s="14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>
      <c r="A158" s="14"/>
      <c r="B158" s="14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>
      <c r="A159" s="14"/>
      <c r="B159" s="14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>
      <c r="A160" s="14"/>
      <c r="B160" s="14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>
      <c r="A161" s="14"/>
      <c r="B161" s="14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>
      <c r="A162" s="14"/>
      <c r="B162" s="14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>
      <c r="A163" s="14"/>
      <c r="B163" s="14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>
      <c r="A164" s="14"/>
      <c r="B164" s="14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>
      <c r="A165" s="14"/>
      <c r="B165" s="14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>
      <c r="A166" s="14"/>
      <c r="B166" s="14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>
      <c r="A167" s="14"/>
      <c r="B167" s="14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>
      <c r="A168" s="14"/>
      <c r="B168" s="14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>
      <c r="A169" s="14"/>
      <c r="B169" s="14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>
      <c r="A170" s="14"/>
      <c r="B170" s="14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>
      <c r="A171" s="14"/>
      <c r="B171" s="14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>
      <c r="A172" s="14"/>
      <c r="B172" s="14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>
      <c r="A173" s="14"/>
      <c r="B173" s="14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>
      <c r="A174" s="14"/>
      <c r="B174" s="14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>
      <c r="A175" s="14"/>
      <c r="B175" s="14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>
      <c r="A176" s="14"/>
      <c r="B176" s="14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>
      <c r="A177" s="14"/>
      <c r="B177" s="14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>
      <c r="A178" s="14"/>
      <c r="B178" s="14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>
      <c r="A179" s="14"/>
      <c r="B179" s="14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>
      <c r="A180" s="14"/>
      <c r="B180" s="14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>
      <c r="A181" s="14"/>
      <c r="B181" s="14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>
      <c r="A182" s="14"/>
      <c r="B182" s="14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>
      <c r="A183" s="14"/>
      <c r="B183" s="14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>
      <c r="A184" s="14"/>
      <c r="B184" s="14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>
      <c r="A185" s="14"/>
      <c r="B185" s="14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>
      <c r="A186" s="14"/>
      <c r="B186" s="14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>
      <c r="A187" s="14"/>
      <c r="B187" s="14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>
      <c r="A188" s="14"/>
      <c r="B188" s="14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>
      <c r="A189" s="14"/>
      <c r="B189" s="14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>
      <c r="A190" s="14"/>
      <c r="B190" s="14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>
      <c r="A191" s="14"/>
      <c r="B191" s="14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>
      <c r="A192" s="14"/>
      <c r="B192" s="14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>
      <c r="A193" s="14"/>
      <c r="B193" s="14"/>
      <c r="C193" s="39"/>
      <c r="D193" s="39"/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>
      <c r="A194" s="14"/>
      <c r="B194" s="14"/>
      <c r="C194" s="39"/>
      <c r="D194" s="39"/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>
      <c r="A195" s="14"/>
      <c r="B195" s="14"/>
      <c r="C195" s="39"/>
      <c r="D195" s="39"/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>
      <c r="A196" s="14"/>
      <c r="B196" s="14"/>
      <c r="C196" s="39"/>
      <c r="D196" s="39"/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>
      <c r="A197" s="14"/>
      <c r="B197" s="14"/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>
      <c r="A198" s="14"/>
      <c r="B198" s="14"/>
      <c r="C198" s="39"/>
      <c r="D198" s="39"/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>
      <c r="A199" s="14"/>
      <c r="B199" s="14"/>
      <c r="C199" s="39"/>
      <c r="D199" s="39"/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>
      <c r="A200" s="14"/>
      <c r="B200" s="14"/>
      <c r="C200" s="39"/>
      <c r="D200" s="39"/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>
      <c r="A201" s="14"/>
      <c r="B201" s="14"/>
      <c r="C201" s="39"/>
      <c r="D201" s="39"/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>
      <c r="A202" s="14"/>
      <c r="B202" s="14"/>
      <c r="C202" s="39"/>
      <c r="D202" s="39"/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>
      <c r="A203" s="14"/>
      <c r="B203" s="14"/>
      <c r="C203" s="39"/>
      <c r="D203" s="39"/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>
      <c r="A204" s="14"/>
      <c r="B204" s="14"/>
      <c r="C204" s="39"/>
      <c r="D204" s="39"/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>
      <c r="A205" s="14"/>
      <c r="B205" s="14"/>
      <c r="C205" s="39"/>
      <c r="D205" s="39"/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>
      <c r="A206" s="14"/>
      <c r="B206" s="14"/>
      <c r="C206" s="39"/>
      <c r="D206" s="39"/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>
      <c r="A207" s="14"/>
      <c r="B207" s="14"/>
      <c r="C207" s="39"/>
      <c r="D207" s="39"/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>
      <c r="A208" s="14"/>
      <c r="B208" s="14"/>
      <c r="C208" s="39"/>
      <c r="D208" s="39"/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>
      <c r="A209" s="14"/>
      <c r="B209" s="14"/>
      <c r="C209" s="39"/>
      <c r="D209" s="39"/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>
      <c r="A210" s="14"/>
      <c r="B210" s="14"/>
      <c r="C210" s="39"/>
      <c r="D210" s="39"/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>
      <c r="A211" s="14"/>
      <c r="B211" s="14"/>
      <c r="C211" s="39"/>
      <c r="D211" s="39"/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>
      <c r="A212" s="14"/>
      <c r="B212" s="14"/>
      <c r="C212" s="39"/>
      <c r="D212" s="39"/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>
      <c r="A213" s="14"/>
      <c r="B213" s="14"/>
      <c r="C213" s="39"/>
      <c r="D213" s="39"/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>
      <c r="A214" s="14"/>
      <c r="B214" s="14"/>
      <c r="C214" s="39"/>
      <c r="D214" s="39"/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>
      <c r="A215" s="14"/>
      <c r="B215" s="14"/>
      <c r="C215" s="39"/>
      <c r="D215" s="39"/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>
      <c r="A216" s="14"/>
      <c r="B216" s="14"/>
      <c r="C216" s="39"/>
      <c r="D216" s="39"/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>
      <c r="A217" s="14"/>
      <c r="B217" s="14"/>
      <c r="C217" s="39"/>
      <c r="D217" s="39"/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>
      <c r="A218" s="14"/>
      <c r="B218" s="14"/>
      <c r="C218" s="39"/>
      <c r="D218" s="39"/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>
      <c r="A219" s="14"/>
      <c r="B219" s="14"/>
      <c r="C219" s="39"/>
      <c r="D219" s="39"/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>
      <c r="A220" s="14"/>
      <c r="B220" s="14"/>
      <c r="C220" s="39"/>
      <c r="D220" s="39"/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>
      <c r="R221" s="30"/>
      <c r="S221" s="40"/>
    </row>
    <row r="222" spans="1:33" ht="15.75" customHeight="1">
      <c r="R222" s="30"/>
      <c r="S222" s="40"/>
    </row>
    <row r="223" spans="1:33" ht="15.75" customHeight="1">
      <c r="R223" s="30"/>
      <c r="S223" s="40"/>
    </row>
    <row r="224" spans="1:33" ht="15.75" customHeight="1">
      <c r="R224" s="30"/>
      <c r="S224" s="40"/>
    </row>
    <row r="225" spans="18:18" ht="15.75" customHeight="1">
      <c r="R225" s="30"/>
    </row>
    <row r="226" spans="18:18" ht="15.75" customHeight="1">
      <c r="R226" s="30"/>
    </row>
    <row r="227" spans="18:18" ht="15.75" customHeight="1">
      <c r="R227" s="30"/>
    </row>
    <row r="228" spans="18:18" ht="15.75" customHeight="1">
      <c r="R228" s="30"/>
    </row>
    <row r="229" spans="18:18" ht="15.75" customHeight="1">
      <c r="R229" s="30"/>
    </row>
    <row r="230" spans="18:18" ht="15.75" customHeight="1">
      <c r="R230" s="30"/>
    </row>
    <row r="231" spans="18:18" ht="15.75" customHeight="1">
      <c r="R231" s="30"/>
    </row>
    <row r="232" spans="18:18" ht="15.75" customHeight="1">
      <c r="R232" s="30"/>
    </row>
    <row r="233" spans="18:18" ht="15.75" customHeight="1">
      <c r="R233" s="30"/>
    </row>
    <row r="234" spans="18:18" ht="15.75" customHeight="1">
      <c r="R234" s="30"/>
    </row>
    <row r="235" spans="18:18" ht="15.75" customHeight="1">
      <c r="R235" s="30"/>
    </row>
    <row r="236" spans="18:18" ht="15.75" customHeight="1">
      <c r="R236" s="30"/>
    </row>
    <row r="237" spans="18:18" ht="15.75" customHeight="1">
      <c r="R237" s="30"/>
    </row>
    <row r="238" spans="18:18" ht="15.75" customHeight="1">
      <c r="R238" s="30"/>
    </row>
    <row r="239" spans="18:18" ht="15.75" customHeight="1">
      <c r="R239" s="30"/>
    </row>
    <row r="240" spans="18:18" ht="15.75" customHeight="1">
      <c r="R240" s="30"/>
    </row>
    <row r="241" spans="18:18" ht="15.75" customHeight="1">
      <c r="R241" s="30"/>
    </row>
    <row r="242" spans="18:18" ht="15.75" customHeight="1">
      <c r="R242" s="30"/>
    </row>
    <row r="243" spans="18:18" ht="15.75" customHeight="1">
      <c r="R243" s="30"/>
    </row>
    <row r="244" spans="18:18" ht="15.75" customHeight="1">
      <c r="R244" s="30"/>
    </row>
    <row r="245" spans="18:18" ht="15.75" customHeight="1">
      <c r="R245" s="30"/>
    </row>
    <row r="246" spans="18:18" ht="15.75" customHeight="1">
      <c r="R246" s="30"/>
    </row>
    <row r="247" spans="18:18" ht="15.75" customHeight="1">
      <c r="R247" s="30"/>
    </row>
    <row r="248" spans="18:18" ht="15.75" customHeight="1">
      <c r="R248" s="30"/>
    </row>
    <row r="249" spans="18:18" ht="15.75" customHeight="1">
      <c r="R249" s="30"/>
    </row>
    <row r="250" spans="18:18" ht="15.75" customHeight="1">
      <c r="R250" s="30"/>
    </row>
    <row r="251" spans="18:18" ht="15.75" customHeight="1">
      <c r="R251" s="30"/>
    </row>
    <row r="252" spans="18:18" ht="15.75" customHeight="1">
      <c r="R252" s="30"/>
    </row>
    <row r="253" spans="18:18" ht="15.75" customHeight="1">
      <c r="R253" s="30"/>
    </row>
    <row r="254" spans="18:18" ht="15.75" customHeight="1">
      <c r="R254" s="30"/>
    </row>
    <row r="255" spans="18:18" ht="15.75" customHeight="1">
      <c r="R255" s="30"/>
    </row>
    <row r="256" spans="18:18" ht="15.75" customHeight="1">
      <c r="R256" s="30"/>
    </row>
    <row r="257" spans="18:18" ht="15.75" customHeight="1">
      <c r="R257" s="30"/>
    </row>
    <row r="258" spans="18:18" ht="15.75" customHeight="1">
      <c r="R258" s="30"/>
    </row>
    <row r="259" spans="18:18" ht="15.75" customHeight="1">
      <c r="R259" s="30"/>
    </row>
    <row r="260" spans="18:18" ht="15.75" customHeight="1">
      <c r="R260" s="30"/>
    </row>
    <row r="261" spans="18:18" ht="15.75" customHeight="1">
      <c r="R261" s="30"/>
    </row>
    <row r="262" spans="18:18" ht="15.75" customHeight="1">
      <c r="R262" s="30"/>
    </row>
    <row r="263" spans="18:18" ht="15.75" customHeight="1">
      <c r="R263" s="30"/>
    </row>
    <row r="264" spans="18:18" ht="15.75" customHeight="1">
      <c r="R264" s="30"/>
    </row>
    <row r="265" spans="18:18" ht="15.75" customHeight="1">
      <c r="R265" s="30"/>
    </row>
    <row r="266" spans="18:18" ht="15.75" customHeight="1">
      <c r="R266" s="30"/>
    </row>
    <row r="267" spans="18:18" ht="15.75" customHeight="1">
      <c r="R267" s="30"/>
    </row>
    <row r="268" spans="18:18" ht="15.75" customHeight="1">
      <c r="R268" s="30"/>
    </row>
    <row r="269" spans="18:18" ht="15.75" customHeight="1">
      <c r="R269" s="30"/>
    </row>
    <row r="270" spans="18:18" ht="15.75" customHeight="1">
      <c r="R270" s="30"/>
    </row>
    <row r="271" spans="18:18" ht="15.75" customHeight="1">
      <c r="R271" s="30"/>
    </row>
    <row r="272" spans="18:18" ht="15.75" customHeight="1">
      <c r="R272" s="30"/>
    </row>
    <row r="273" spans="18:18" ht="15.75" customHeight="1">
      <c r="R273" s="30"/>
    </row>
    <row r="274" spans="18:18" ht="15.75" customHeight="1">
      <c r="R274" s="30"/>
    </row>
    <row r="275" spans="18:18" ht="15.75" customHeight="1">
      <c r="R275" s="30"/>
    </row>
    <row r="276" spans="18:18" ht="15.75" customHeight="1">
      <c r="R276" s="30"/>
    </row>
    <row r="277" spans="18:18" ht="15.75" customHeight="1">
      <c r="R277" s="30"/>
    </row>
    <row r="278" spans="18:18" ht="15.75" customHeight="1">
      <c r="R278" s="30"/>
    </row>
    <row r="279" spans="18:18" ht="15.75" customHeight="1">
      <c r="R279" s="30"/>
    </row>
    <row r="280" spans="18:18" ht="15.75" customHeight="1">
      <c r="R280" s="30"/>
    </row>
    <row r="281" spans="18:18" ht="15.75" customHeight="1">
      <c r="R281" s="30"/>
    </row>
    <row r="282" spans="18:18" ht="15.75" customHeight="1">
      <c r="R282" s="30"/>
    </row>
    <row r="283" spans="18:18" ht="15.75" customHeight="1">
      <c r="R283" s="30"/>
    </row>
    <row r="284" spans="18:18" ht="15.75" customHeight="1">
      <c r="R284" s="30"/>
    </row>
    <row r="285" spans="18:18" ht="15.75" customHeight="1">
      <c r="R285" s="30"/>
    </row>
    <row r="286" spans="18:18" ht="15.75" customHeight="1">
      <c r="R286" s="30"/>
    </row>
    <row r="287" spans="18:18" ht="15.75" customHeight="1">
      <c r="R287" s="30"/>
    </row>
    <row r="288" spans="18:18" ht="15.75" customHeight="1">
      <c r="R288" s="30"/>
    </row>
    <row r="289" spans="18:18" ht="15.75" customHeight="1">
      <c r="R289" s="30"/>
    </row>
    <row r="290" spans="18:18" ht="15.75" customHeight="1">
      <c r="R290" s="30"/>
    </row>
    <row r="291" spans="18:18" ht="15.75" customHeight="1">
      <c r="R291" s="30"/>
    </row>
    <row r="292" spans="18:18" ht="15.75" customHeight="1">
      <c r="R292" s="30"/>
    </row>
    <row r="293" spans="18:18" ht="15.75" customHeight="1">
      <c r="R293" s="30"/>
    </row>
    <row r="294" spans="18:18" ht="15.75" customHeight="1">
      <c r="R294" s="30"/>
    </row>
    <row r="295" spans="18:18" ht="15.75" customHeight="1">
      <c r="R295" s="30"/>
    </row>
    <row r="296" spans="18:18" ht="15.75" customHeight="1">
      <c r="R296" s="30"/>
    </row>
    <row r="297" spans="18:18" ht="15.75" customHeight="1">
      <c r="R297" s="30"/>
    </row>
    <row r="298" spans="18:18" ht="15.75" customHeight="1">
      <c r="R298" s="30"/>
    </row>
    <row r="299" spans="18:18" ht="15.75" customHeight="1">
      <c r="R299" s="30"/>
    </row>
    <row r="300" spans="18:18" ht="15.75" customHeight="1">
      <c r="R300" s="30"/>
    </row>
    <row r="301" spans="18:18" ht="15.75" customHeight="1">
      <c r="R301" s="30"/>
    </row>
    <row r="302" spans="18:18" ht="15.75" customHeight="1">
      <c r="R302" s="30"/>
    </row>
    <row r="303" spans="18:18" ht="15.75" customHeight="1">
      <c r="R303" s="30"/>
    </row>
    <row r="304" spans="18:18" ht="15.75" customHeight="1">
      <c r="R304" s="30"/>
    </row>
    <row r="305" spans="18:18" ht="15.75" customHeight="1">
      <c r="R305" s="30"/>
    </row>
    <row r="306" spans="18:18" ht="15.75" customHeight="1">
      <c r="R306" s="30"/>
    </row>
    <row r="307" spans="18:18" ht="15.75" customHeight="1">
      <c r="R307" s="30"/>
    </row>
    <row r="308" spans="18:18" ht="15.75" customHeight="1">
      <c r="R308" s="30"/>
    </row>
    <row r="309" spans="18:18" ht="15.75" customHeight="1">
      <c r="R309" s="30"/>
    </row>
    <row r="310" spans="18:18" ht="15.75" customHeight="1">
      <c r="R310" s="30"/>
    </row>
    <row r="311" spans="18:18" ht="15.75" customHeight="1">
      <c r="R311" s="30"/>
    </row>
    <row r="312" spans="18:18" ht="15.75" customHeight="1">
      <c r="R312" s="30"/>
    </row>
    <row r="313" spans="18:18" ht="15.75" customHeight="1">
      <c r="R313" s="30"/>
    </row>
    <row r="314" spans="18:18" ht="15.75" customHeight="1">
      <c r="R314" s="30"/>
    </row>
    <row r="315" spans="18:18" ht="15.75" customHeight="1">
      <c r="R315" s="30"/>
    </row>
    <row r="316" spans="18:18" ht="15.75" customHeight="1">
      <c r="R316" s="30"/>
    </row>
    <row r="317" spans="18:18" ht="15.75" customHeight="1">
      <c r="R317" s="30"/>
    </row>
    <row r="318" spans="18:18" ht="15.75" customHeight="1">
      <c r="R318" s="30"/>
    </row>
    <row r="319" spans="18:18" ht="15.75" customHeight="1">
      <c r="R319" s="30"/>
    </row>
    <row r="320" spans="18:18" ht="15.75" customHeight="1">
      <c r="R320" s="30"/>
    </row>
    <row r="321" spans="18:18" ht="15.75" customHeight="1">
      <c r="R321" s="30"/>
    </row>
    <row r="322" spans="18:18" ht="15.75" customHeight="1">
      <c r="R322" s="30"/>
    </row>
    <row r="323" spans="18:18" ht="15.75" customHeight="1">
      <c r="R323" s="30"/>
    </row>
    <row r="324" spans="18:18" ht="15.75" customHeight="1">
      <c r="R324" s="30"/>
    </row>
    <row r="325" spans="18:18" ht="15.75" customHeight="1">
      <c r="R325" s="30"/>
    </row>
    <row r="326" spans="18:18" ht="15.75" customHeight="1">
      <c r="R326" s="30"/>
    </row>
    <row r="327" spans="18:18" ht="15.75" customHeight="1">
      <c r="R327" s="30"/>
    </row>
    <row r="328" spans="18:18" ht="15.75" customHeight="1">
      <c r="R328" s="30"/>
    </row>
    <row r="329" spans="18:18" ht="15.75" customHeight="1">
      <c r="R329" s="30"/>
    </row>
    <row r="330" spans="18:18" ht="15.75" customHeight="1">
      <c r="R330" s="30"/>
    </row>
    <row r="331" spans="18:18" ht="15.75" customHeight="1">
      <c r="R331" s="30"/>
    </row>
    <row r="332" spans="18:18" ht="15.75" customHeight="1">
      <c r="R332" s="30"/>
    </row>
    <row r="333" spans="18:18" ht="15.75" customHeight="1">
      <c r="R333" s="30"/>
    </row>
    <row r="334" spans="18:18" ht="15.75" customHeight="1">
      <c r="R334" s="30"/>
    </row>
    <row r="335" spans="18:18" ht="15.75" customHeight="1">
      <c r="R335" s="30"/>
    </row>
    <row r="336" spans="18:18" ht="15.75" customHeight="1">
      <c r="R336" s="30"/>
    </row>
    <row r="337" spans="18:18" ht="15.75" customHeight="1">
      <c r="R337" s="30"/>
    </row>
    <row r="338" spans="18:18" ht="15.75" customHeight="1">
      <c r="R338" s="30"/>
    </row>
    <row r="339" spans="18:18" ht="15.75" customHeight="1">
      <c r="R339" s="30"/>
    </row>
    <row r="340" spans="18:18" ht="15.75" customHeight="1">
      <c r="R340" s="30"/>
    </row>
    <row r="341" spans="18:18" ht="15.75" customHeight="1">
      <c r="R341" s="30"/>
    </row>
    <row r="342" spans="18:18" ht="15.75" customHeight="1">
      <c r="R342" s="30"/>
    </row>
    <row r="343" spans="18:18" ht="15.75" customHeight="1">
      <c r="R343" s="30"/>
    </row>
    <row r="344" spans="18:18" ht="15.75" customHeight="1">
      <c r="R344" s="30"/>
    </row>
    <row r="345" spans="18:18" ht="15.75" customHeight="1">
      <c r="R345" s="30"/>
    </row>
    <row r="346" spans="18:18" ht="15.75" customHeight="1">
      <c r="R346" s="30"/>
    </row>
    <row r="347" spans="18:18" ht="15.75" customHeight="1">
      <c r="R347" s="30"/>
    </row>
    <row r="348" spans="18:18" ht="15.75" customHeight="1">
      <c r="R348" s="30"/>
    </row>
    <row r="349" spans="18:18" ht="15.75" customHeight="1">
      <c r="R349" s="30"/>
    </row>
    <row r="350" spans="18:18" ht="15.75" customHeight="1">
      <c r="R350" s="30"/>
    </row>
    <row r="351" spans="18:18" ht="15.75" customHeight="1">
      <c r="R351" s="30"/>
    </row>
    <row r="352" spans="18:18" ht="15.75" customHeight="1">
      <c r="R352" s="30"/>
    </row>
    <row r="353" spans="18:18" ht="15.75" customHeight="1">
      <c r="R353" s="30"/>
    </row>
    <row r="354" spans="18:18" ht="15.75" customHeight="1">
      <c r="R354" s="30"/>
    </row>
    <row r="355" spans="18:18" ht="15.75" customHeight="1">
      <c r="R355" s="30"/>
    </row>
    <row r="356" spans="18:18" ht="15.75" customHeight="1">
      <c r="R356" s="30"/>
    </row>
    <row r="357" spans="18:18" ht="15.75" customHeight="1">
      <c r="R357" s="30"/>
    </row>
    <row r="358" spans="18:18" ht="15.75" customHeight="1">
      <c r="R358" s="30"/>
    </row>
    <row r="359" spans="18:18" ht="15.75" customHeight="1">
      <c r="R359" s="30"/>
    </row>
    <row r="360" spans="18:18" ht="15.75" customHeight="1">
      <c r="R360" s="30"/>
    </row>
    <row r="361" spans="18:18" ht="15.75" customHeight="1">
      <c r="R361" s="30"/>
    </row>
    <row r="362" spans="18:18" ht="15.75" customHeight="1">
      <c r="R362" s="30"/>
    </row>
    <row r="363" spans="18:18" ht="15.75" customHeight="1">
      <c r="R363" s="30"/>
    </row>
    <row r="364" spans="18:18" ht="15.75" customHeight="1">
      <c r="R364" s="30"/>
    </row>
    <row r="365" spans="18:18" ht="15.75" customHeight="1">
      <c r="R365" s="30"/>
    </row>
    <row r="366" spans="18:18" ht="15.75" customHeight="1">
      <c r="R366" s="30"/>
    </row>
    <row r="367" spans="18:18" ht="15.75" customHeight="1">
      <c r="R367" s="30"/>
    </row>
    <row r="368" spans="18:18" ht="15.75" customHeight="1">
      <c r="R368" s="30"/>
    </row>
    <row r="369" spans="18:18" ht="15.75" customHeight="1">
      <c r="R369" s="30"/>
    </row>
    <row r="370" spans="18:18" ht="15.75" customHeight="1">
      <c r="R370" s="30"/>
    </row>
    <row r="371" spans="18:18" ht="15.75" customHeight="1">
      <c r="R371" s="30"/>
    </row>
    <row r="372" spans="18:18" ht="15.75" customHeight="1">
      <c r="R372" s="30"/>
    </row>
    <row r="373" spans="18:18" ht="15.75" customHeight="1">
      <c r="R373" s="30"/>
    </row>
    <row r="374" spans="18:18" ht="15.75" customHeight="1">
      <c r="R374" s="30"/>
    </row>
    <row r="375" spans="18:18" ht="15.75" customHeight="1">
      <c r="R375" s="30"/>
    </row>
    <row r="376" spans="18:18" ht="15.75" customHeight="1">
      <c r="R376" s="30"/>
    </row>
    <row r="377" spans="18:18" ht="15.75" customHeight="1">
      <c r="R377" s="30"/>
    </row>
    <row r="378" spans="18:18" ht="15.75" customHeight="1">
      <c r="R378" s="30"/>
    </row>
    <row r="379" spans="18:18" ht="15.75" customHeight="1">
      <c r="R379" s="30"/>
    </row>
    <row r="380" spans="18:18" ht="15.75" customHeight="1">
      <c r="R380" s="30"/>
    </row>
    <row r="381" spans="18:18" ht="15.75" customHeight="1">
      <c r="R381" s="30"/>
    </row>
    <row r="382" spans="18:18" ht="15.75" customHeight="1">
      <c r="R382" s="30"/>
    </row>
    <row r="383" spans="18:18" ht="15.75" customHeight="1">
      <c r="R383" s="30"/>
    </row>
    <row r="384" spans="18:18" ht="15.75" customHeight="1">
      <c r="R384" s="30"/>
    </row>
    <row r="385" spans="18:18" ht="15.75" customHeight="1">
      <c r="R385" s="30"/>
    </row>
    <row r="386" spans="18:18" ht="15.75" customHeight="1">
      <c r="R386" s="30"/>
    </row>
    <row r="387" spans="18:18" ht="15.75" customHeight="1">
      <c r="R387" s="30"/>
    </row>
    <row r="388" spans="18:18" ht="15.75" customHeight="1">
      <c r="R388" s="30"/>
    </row>
    <row r="389" spans="18:18" ht="15.75" customHeight="1">
      <c r="R389" s="30"/>
    </row>
    <row r="390" spans="18:18" ht="15.75" customHeight="1">
      <c r="R390" s="30"/>
    </row>
    <row r="391" spans="18:18" ht="15.75" customHeight="1">
      <c r="R391" s="30"/>
    </row>
    <row r="392" spans="18:18" ht="15.75" customHeight="1">
      <c r="R392" s="30"/>
    </row>
    <row r="393" spans="18:18" ht="15.75" customHeight="1">
      <c r="R393" s="30"/>
    </row>
    <row r="394" spans="18:18" ht="15.75" customHeight="1">
      <c r="R394" s="30"/>
    </row>
    <row r="395" spans="18:18" ht="15.75" customHeight="1">
      <c r="R395" s="30"/>
    </row>
    <row r="396" spans="18:18" ht="15.75" customHeight="1">
      <c r="R396" s="30"/>
    </row>
    <row r="397" spans="18:18" ht="15.75" customHeight="1">
      <c r="R397" s="30"/>
    </row>
    <row r="398" spans="18:18" ht="15.75" customHeight="1">
      <c r="R398" s="30"/>
    </row>
    <row r="399" spans="18:18" ht="15.75" customHeight="1">
      <c r="R399" s="30"/>
    </row>
    <row r="400" spans="18:18" ht="15.75" customHeight="1">
      <c r="R400" s="30"/>
    </row>
    <row r="401" spans="18:18" ht="15.75" customHeight="1">
      <c r="R401" s="30"/>
    </row>
    <row r="402" spans="18:18" ht="15.75" customHeight="1">
      <c r="R402" s="30"/>
    </row>
    <row r="403" spans="18:18" ht="15.75" customHeight="1">
      <c r="R403" s="30"/>
    </row>
    <row r="404" spans="18:18" ht="15.75" customHeight="1">
      <c r="R404" s="30"/>
    </row>
    <row r="405" spans="18:18" ht="15.75" customHeight="1">
      <c r="R405" s="30"/>
    </row>
    <row r="406" spans="18:18" ht="15.75" customHeight="1">
      <c r="R406" s="30"/>
    </row>
    <row r="407" spans="18:18" ht="15.75" customHeight="1">
      <c r="R407" s="30"/>
    </row>
    <row r="408" spans="18:18" ht="15.75" customHeight="1">
      <c r="R408" s="30"/>
    </row>
    <row r="409" spans="18:18" ht="15.75" customHeight="1">
      <c r="R409" s="30"/>
    </row>
    <row r="410" spans="18:18" ht="15.75" customHeight="1">
      <c r="R410" s="30"/>
    </row>
    <row r="411" spans="18:18" ht="15.75" customHeight="1">
      <c r="R411" s="30"/>
    </row>
    <row r="412" spans="18:18" ht="15.75" customHeight="1">
      <c r="R412" s="30"/>
    </row>
    <row r="413" spans="18:18" ht="15.75" customHeight="1">
      <c r="R413" s="30"/>
    </row>
    <row r="414" spans="18:18" ht="15.75" customHeight="1">
      <c r="R414" s="30"/>
    </row>
    <row r="415" spans="18:18" ht="15.75" customHeight="1">
      <c r="R415" s="30"/>
    </row>
    <row r="416" spans="18:18" ht="15.75" customHeight="1">
      <c r="R416" s="30"/>
    </row>
    <row r="417" spans="18:18" ht="15.75" customHeight="1">
      <c r="R417" s="30"/>
    </row>
    <row r="418" spans="18:18" ht="15.75" customHeight="1">
      <c r="R418" s="30"/>
    </row>
    <row r="419" spans="18:18" ht="15.75" customHeight="1">
      <c r="R419" s="30"/>
    </row>
    <row r="420" spans="18:18" ht="15.75" customHeight="1">
      <c r="R420" s="30"/>
    </row>
    <row r="421" spans="18:18" ht="15.75" customHeight="1">
      <c r="R421" s="30"/>
    </row>
    <row r="422" spans="18:18" ht="15.75" customHeight="1">
      <c r="R422" s="30"/>
    </row>
    <row r="423" spans="18:18" ht="15.75" customHeight="1">
      <c r="R423" s="30"/>
    </row>
    <row r="424" spans="18:18" ht="15.75" customHeight="1">
      <c r="R424" s="30"/>
    </row>
    <row r="425" spans="18:18" ht="15.75" customHeight="1">
      <c r="R425" s="30"/>
    </row>
    <row r="426" spans="18:18" ht="15.75" customHeight="1">
      <c r="R426" s="30"/>
    </row>
    <row r="427" spans="18:18" ht="15.75" customHeight="1">
      <c r="R427" s="30"/>
    </row>
    <row r="428" spans="18:18" ht="15.75" customHeight="1">
      <c r="R428" s="30"/>
    </row>
    <row r="429" spans="18:18" ht="15.75" customHeight="1">
      <c r="R429" s="30"/>
    </row>
    <row r="430" spans="18:18" ht="15.75" customHeight="1">
      <c r="R430" s="30"/>
    </row>
    <row r="431" spans="18:18" ht="15.75" customHeight="1">
      <c r="R431" s="30"/>
    </row>
    <row r="432" spans="18:18" ht="15.75" customHeight="1">
      <c r="R432" s="30"/>
    </row>
    <row r="433" spans="18:18" ht="15.75" customHeight="1">
      <c r="R433" s="30"/>
    </row>
    <row r="434" spans="18:18" ht="15.75" customHeight="1">
      <c r="R434" s="30"/>
    </row>
    <row r="435" spans="18:18" ht="15.75" customHeight="1">
      <c r="R435" s="30"/>
    </row>
    <row r="436" spans="18:18" ht="15.75" customHeight="1">
      <c r="R436" s="30"/>
    </row>
    <row r="437" spans="18:18" ht="15.75" customHeight="1">
      <c r="R437" s="30"/>
    </row>
    <row r="438" spans="18:18" ht="15.75" customHeight="1">
      <c r="R438" s="30"/>
    </row>
    <row r="439" spans="18:18" ht="15.75" customHeight="1">
      <c r="R439" s="30"/>
    </row>
    <row r="440" spans="18:18" ht="15.75" customHeight="1">
      <c r="R440" s="30"/>
    </row>
    <row r="441" spans="18:18" ht="15.75" customHeight="1">
      <c r="R441" s="30"/>
    </row>
    <row r="442" spans="18:18" ht="15.75" customHeight="1">
      <c r="R442" s="30"/>
    </row>
    <row r="443" spans="18:18" ht="15.75" customHeight="1">
      <c r="R443" s="30"/>
    </row>
    <row r="444" spans="18:18" ht="15.75" customHeight="1">
      <c r="R444" s="30"/>
    </row>
    <row r="445" spans="18:18" ht="15.75" customHeight="1">
      <c r="R445" s="30"/>
    </row>
    <row r="446" spans="18:18" ht="15.75" customHeight="1">
      <c r="R446" s="30"/>
    </row>
    <row r="447" spans="18:18" ht="15.75" customHeight="1">
      <c r="R447" s="30"/>
    </row>
    <row r="448" spans="18:18" ht="15.75" customHeight="1">
      <c r="R448" s="30"/>
    </row>
    <row r="449" spans="18:18" ht="15.75" customHeight="1">
      <c r="R449" s="30"/>
    </row>
    <row r="450" spans="18:18" ht="15.75" customHeight="1">
      <c r="R450" s="30"/>
    </row>
    <row r="451" spans="18:18" ht="15.75" customHeight="1">
      <c r="R451" s="30"/>
    </row>
    <row r="452" spans="18:18" ht="15.75" customHeight="1">
      <c r="R452" s="30"/>
    </row>
    <row r="453" spans="18:18" ht="15.75" customHeight="1">
      <c r="R453" s="30"/>
    </row>
    <row r="454" spans="18:18" ht="15.75" customHeight="1">
      <c r="R454" s="30"/>
    </row>
    <row r="455" spans="18:18" ht="15.75" customHeight="1">
      <c r="R455" s="30"/>
    </row>
    <row r="456" spans="18:18" ht="15.75" customHeight="1">
      <c r="R456" s="30"/>
    </row>
    <row r="457" spans="18:18" ht="15.75" customHeight="1">
      <c r="R457" s="30"/>
    </row>
    <row r="458" spans="18:18" ht="15.75" customHeight="1">
      <c r="R458" s="30"/>
    </row>
    <row r="459" spans="18:18" ht="15.75" customHeight="1">
      <c r="R459" s="30"/>
    </row>
    <row r="460" spans="18:18" ht="15.75" customHeight="1">
      <c r="R460" s="30"/>
    </row>
    <row r="461" spans="18:18" ht="15.75" customHeight="1">
      <c r="R461" s="30"/>
    </row>
    <row r="462" spans="18:18" ht="15.75" customHeight="1">
      <c r="R462" s="30"/>
    </row>
    <row r="463" spans="18:18" ht="15.75" customHeight="1">
      <c r="R463" s="30"/>
    </row>
    <row r="464" spans="18:18" ht="15.75" customHeight="1">
      <c r="R464" s="30"/>
    </row>
    <row r="465" spans="18:18" ht="15.75" customHeight="1">
      <c r="R465" s="30"/>
    </row>
    <row r="466" spans="18:18" ht="15.75" customHeight="1">
      <c r="R466" s="30"/>
    </row>
    <row r="467" spans="18:18" ht="15.75" customHeight="1">
      <c r="R467" s="30"/>
    </row>
    <row r="468" spans="18:18" ht="15.75" customHeight="1">
      <c r="R468" s="30"/>
    </row>
    <row r="469" spans="18:18" ht="15.75" customHeight="1">
      <c r="R469" s="30"/>
    </row>
    <row r="470" spans="18:18" ht="15.75" customHeight="1">
      <c r="R470" s="30"/>
    </row>
    <row r="471" spans="18:18" ht="15.75" customHeight="1">
      <c r="R471" s="30"/>
    </row>
    <row r="472" spans="18:18" ht="15.75" customHeight="1">
      <c r="R472" s="30"/>
    </row>
    <row r="473" spans="18:18" ht="15.75" customHeight="1">
      <c r="R473" s="30"/>
    </row>
    <row r="474" spans="18:18" ht="15.75" customHeight="1">
      <c r="R474" s="30"/>
    </row>
    <row r="475" spans="18:18" ht="15.75" customHeight="1">
      <c r="R475" s="30"/>
    </row>
    <row r="476" spans="18:18" ht="15.75" customHeight="1">
      <c r="R476" s="30"/>
    </row>
    <row r="477" spans="18:18" ht="15.75" customHeight="1">
      <c r="R477" s="30"/>
    </row>
    <row r="478" spans="18:18" ht="15.75" customHeight="1">
      <c r="R478" s="30"/>
    </row>
    <row r="479" spans="18:18" ht="15.75" customHeight="1">
      <c r="R479" s="30"/>
    </row>
    <row r="480" spans="18:18" ht="15.75" customHeight="1">
      <c r="R480" s="30"/>
    </row>
    <row r="481" spans="18:18" ht="15.75" customHeight="1">
      <c r="R481" s="30"/>
    </row>
    <row r="482" spans="18:18" ht="15.75" customHeight="1">
      <c r="R482" s="30"/>
    </row>
    <row r="483" spans="18:18" ht="15.75" customHeight="1">
      <c r="R483" s="30"/>
    </row>
    <row r="484" spans="18:18" ht="15.75" customHeight="1">
      <c r="R484" s="30"/>
    </row>
    <row r="485" spans="18:18" ht="15.75" customHeight="1">
      <c r="R485" s="30"/>
    </row>
    <row r="486" spans="18:18" ht="15.75" customHeight="1">
      <c r="R486" s="30"/>
    </row>
    <row r="487" spans="18:18" ht="15.75" customHeight="1">
      <c r="R487" s="30"/>
    </row>
    <row r="488" spans="18:18" ht="15.75" customHeight="1">
      <c r="R488" s="30"/>
    </row>
    <row r="489" spans="18:18" ht="15.75" customHeight="1">
      <c r="R489" s="30"/>
    </row>
    <row r="490" spans="18:18" ht="15.75" customHeight="1">
      <c r="R490" s="30"/>
    </row>
    <row r="491" spans="18:18" ht="15.75" customHeight="1">
      <c r="R491" s="30"/>
    </row>
    <row r="492" spans="18:18" ht="15.75" customHeight="1">
      <c r="R492" s="30"/>
    </row>
    <row r="493" spans="18:18" ht="15.75" customHeight="1">
      <c r="R493" s="30"/>
    </row>
    <row r="494" spans="18:18" ht="15.75" customHeight="1">
      <c r="R494" s="30"/>
    </row>
    <row r="495" spans="18:18" ht="15.75" customHeight="1">
      <c r="R495" s="30"/>
    </row>
    <row r="496" spans="18:18" ht="15.75" customHeight="1">
      <c r="R496" s="30"/>
    </row>
    <row r="497" spans="18:18" ht="15.75" customHeight="1">
      <c r="R497" s="30"/>
    </row>
    <row r="498" spans="18:18" ht="15.75" customHeight="1">
      <c r="R498" s="30"/>
    </row>
    <row r="499" spans="18:18" ht="15.75" customHeight="1">
      <c r="R499" s="30"/>
    </row>
    <row r="500" spans="18:18" ht="15.75" customHeight="1">
      <c r="R500" s="30"/>
    </row>
    <row r="501" spans="18:18" ht="15.75" customHeight="1">
      <c r="R501" s="30"/>
    </row>
    <row r="502" spans="18:18" ht="15.75" customHeight="1">
      <c r="R502" s="30"/>
    </row>
    <row r="503" spans="18:18" ht="15.75" customHeight="1">
      <c r="R503" s="30"/>
    </row>
    <row r="504" spans="18:18" ht="15.75" customHeight="1">
      <c r="R504" s="30"/>
    </row>
    <row r="505" spans="18:18" ht="15.75" customHeight="1">
      <c r="R505" s="30"/>
    </row>
    <row r="506" spans="18:18" ht="15.75" customHeight="1">
      <c r="R506" s="30"/>
    </row>
    <row r="507" spans="18:18" ht="15.75" customHeight="1">
      <c r="R507" s="30"/>
    </row>
    <row r="508" spans="18:18" ht="15.75" customHeight="1">
      <c r="R508" s="30"/>
    </row>
    <row r="509" spans="18:18" ht="15.75" customHeight="1">
      <c r="R509" s="30"/>
    </row>
    <row r="510" spans="18:18" ht="15.75" customHeight="1">
      <c r="R510" s="30"/>
    </row>
    <row r="511" spans="18:18" ht="15.75" customHeight="1">
      <c r="R511" s="30"/>
    </row>
    <row r="512" spans="18:18" ht="15.75" customHeight="1">
      <c r="R512" s="30"/>
    </row>
    <row r="513" spans="18:18" ht="15.75" customHeight="1">
      <c r="R513" s="30"/>
    </row>
    <row r="514" spans="18:18" ht="15.75" customHeight="1">
      <c r="R514" s="30"/>
    </row>
    <row r="515" spans="18:18" ht="15.75" customHeight="1">
      <c r="R515" s="30"/>
    </row>
    <row r="516" spans="18:18" ht="15.75" customHeight="1">
      <c r="R516" s="30"/>
    </row>
    <row r="517" spans="18:18" ht="15.75" customHeight="1">
      <c r="R517" s="30"/>
    </row>
    <row r="518" spans="18:18" ht="15.75" customHeight="1">
      <c r="R518" s="30"/>
    </row>
    <row r="519" spans="18:18" ht="15.75" customHeight="1">
      <c r="R519" s="30"/>
    </row>
    <row r="520" spans="18:18" ht="15.75" customHeight="1">
      <c r="R520" s="30"/>
    </row>
    <row r="521" spans="18:18" ht="15.75" customHeight="1">
      <c r="R521" s="30"/>
    </row>
    <row r="522" spans="18:18" ht="15.75" customHeight="1">
      <c r="R522" s="30"/>
    </row>
    <row r="523" spans="18:18" ht="15.75" customHeight="1">
      <c r="R523" s="30"/>
    </row>
    <row r="524" spans="18:18" ht="15.75" customHeight="1">
      <c r="R524" s="30"/>
    </row>
    <row r="525" spans="18:18" ht="15.75" customHeight="1">
      <c r="R525" s="30"/>
    </row>
    <row r="526" spans="18:18" ht="15.75" customHeight="1">
      <c r="R526" s="30"/>
    </row>
    <row r="527" spans="18:18" ht="15.75" customHeight="1">
      <c r="R527" s="30"/>
    </row>
    <row r="528" spans="18:18" ht="15.75" customHeight="1">
      <c r="R528" s="30"/>
    </row>
    <row r="529" spans="18:18" ht="15.75" customHeight="1">
      <c r="R529" s="30"/>
    </row>
    <row r="530" spans="18:18" ht="15.75" customHeight="1">
      <c r="R530" s="30"/>
    </row>
    <row r="531" spans="18:18" ht="15.75" customHeight="1">
      <c r="R531" s="30"/>
    </row>
    <row r="532" spans="18:18" ht="15.75" customHeight="1">
      <c r="R532" s="30"/>
    </row>
    <row r="533" spans="18:18" ht="15.75" customHeight="1">
      <c r="R533" s="30"/>
    </row>
    <row r="534" spans="18:18" ht="15.75" customHeight="1">
      <c r="R534" s="30"/>
    </row>
    <row r="535" spans="18:18" ht="15.75" customHeight="1">
      <c r="R535" s="30"/>
    </row>
    <row r="536" spans="18:18" ht="15.75" customHeight="1">
      <c r="R536" s="30"/>
    </row>
    <row r="537" spans="18:18" ht="15.75" customHeight="1">
      <c r="R537" s="30"/>
    </row>
    <row r="538" spans="18:18" ht="15.75" customHeight="1">
      <c r="R538" s="30"/>
    </row>
    <row r="539" spans="18:18" ht="15.75" customHeight="1">
      <c r="R539" s="30"/>
    </row>
    <row r="540" spans="18:18" ht="15.75" customHeight="1">
      <c r="R540" s="30"/>
    </row>
    <row r="541" spans="18:18" ht="15.75" customHeight="1">
      <c r="R541" s="30"/>
    </row>
    <row r="542" spans="18:18" ht="15.75" customHeight="1">
      <c r="R542" s="30"/>
    </row>
    <row r="543" spans="18:18" ht="15.75" customHeight="1">
      <c r="R543" s="30"/>
    </row>
    <row r="544" spans="18:18" ht="15.75" customHeight="1">
      <c r="R544" s="30"/>
    </row>
    <row r="545" spans="18:18" ht="15.75" customHeight="1">
      <c r="R545" s="30"/>
    </row>
    <row r="546" spans="18:18" ht="15.75" customHeight="1">
      <c r="R546" s="30"/>
    </row>
    <row r="547" spans="18:18" ht="15.75" customHeight="1">
      <c r="R547" s="30"/>
    </row>
    <row r="548" spans="18:18" ht="15.75" customHeight="1">
      <c r="R548" s="30"/>
    </row>
    <row r="549" spans="18:18" ht="15.75" customHeight="1">
      <c r="R549" s="30"/>
    </row>
    <row r="550" spans="18:18" ht="15.75" customHeight="1">
      <c r="R550" s="30"/>
    </row>
    <row r="551" spans="18:18" ht="15.75" customHeight="1">
      <c r="R551" s="30"/>
    </row>
    <row r="552" spans="18:18" ht="15.75" customHeight="1">
      <c r="R552" s="30"/>
    </row>
    <row r="553" spans="18:18" ht="15.75" customHeight="1">
      <c r="R553" s="30"/>
    </row>
    <row r="554" spans="18:18" ht="15.75" customHeight="1">
      <c r="R554" s="30"/>
    </row>
    <row r="555" spans="18:18" ht="15.75" customHeight="1">
      <c r="R555" s="30"/>
    </row>
    <row r="556" spans="18:18" ht="15.75" customHeight="1">
      <c r="R556" s="30"/>
    </row>
    <row r="557" spans="18:18" ht="15.75" customHeight="1">
      <c r="R557" s="30"/>
    </row>
    <row r="558" spans="18:18" ht="15.75" customHeight="1">
      <c r="R558" s="30"/>
    </row>
    <row r="559" spans="18:18" ht="15.75" customHeight="1">
      <c r="R559" s="30"/>
    </row>
    <row r="560" spans="18:18" ht="15.75" customHeight="1">
      <c r="R560" s="30"/>
    </row>
    <row r="561" spans="18:18" ht="15.75" customHeight="1">
      <c r="R561" s="30"/>
    </row>
    <row r="562" spans="18:18" ht="15.75" customHeight="1">
      <c r="R562" s="30"/>
    </row>
    <row r="563" spans="18:18" ht="15.75" customHeight="1">
      <c r="R563" s="30"/>
    </row>
    <row r="564" spans="18:18" ht="15.75" customHeight="1">
      <c r="R564" s="30"/>
    </row>
    <row r="565" spans="18:18" ht="15.75" customHeight="1">
      <c r="R565" s="30"/>
    </row>
    <row r="566" spans="18:18" ht="15.75" customHeight="1">
      <c r="R566" s="30"/>
    </row>
    <row r="567" spans="18:18" ht="15.75" customHeight="1">
      <c r="R567" s="30"/>
    </row>
    <row r="568" spans="18:18" ht="15.75" customHeight="1">
      <c r="R568" s="30"/>
    </row>
    <row r="569" spans="18:18" ht="15.75" customHeight="1">
      <c r="R569" s="30"/>
    </row>
    <row r="570" spans="18:18" ht="15.75" customHeight="1">
      <c r="R570" s="30"/>
    </row>
    <row r="571" spans="18:18" ht="15.75" customHeight="1">
      <c r="R571" s="30"/>
    </row>
    <row r="572" spans="18:18" ht="15.75" customHeight="1">
      <c r="R572" s="30"/>
    </row>
    <row r="573" spans="18:18" ht="15.75" customHeight="1">
      <c r="R573" s="30"/>
    </row>
    <row r="574" spans="18:18" ht="15.75" customHeight="1">
      <c r="R574" s="30"/>
    </row>
    <row r="575" spans="18:18" ht="15.75" customHeight="1">
      <c r="R575" s="30"/>
    </row>
    <row r="576" spans="18:18" ht="15.75" customHeight="1">
      <c r="R576" s="30"/>
    </row>
    <row r="577" spans="18:18" ht="15.75" customHeight="1">
      <c r="R577" s="30"/>
    </row>
    <row r="578" spans="18:18" ht="15.75" customHeight="1">
      <c r="R578" s="30"/>
    </row>
    <row r="579" spans="18:18" ht="15.75" customHeight="1">
      <c r="R579" s="30"/>
    </row>
    <row r="580" spans="18:18" ht="15.75" customHeight="1">
      <c r="R580" s="30"/>
    </row>
    <row r="581" spans="18:18" ht="15.75" customHeight="1">
      <c r="R581" s="30"/>
    </row>
    <row r="582" spans="18:18" ht="15.75" customHeight="1">
      <c r="R582" s="30"/>
    </row>
    <row r="583" spans="18:18" ht="15.75" customHeight="1">
      <c r="R583" s="30"/>
    </row>
    <row r="584" spans="18:18" ht="15.75" customHeight="1">
      <c r="R584" s="30"/>
    </row>
    <row r="585" spans="18:18" ht="15.75" customHeight="1">
      <c r="R585" s="30"/>
    </row>
    <row r="586" spans="18:18" ht="15.75" customHeight="1">
      <c r="R586" s="30"/>
    </row>
    <row r="587" spans="18:18" ht="15.75" customHeight="1">
      <c r="R587" s="30"/>
    </row>
    <row r="588" spans="18:18" ht="15.75" customHeight="1">
      <c r="R588" s="30"/>
    </row>
    <row r="589" spans="18:18" ht="15.75" customHeight="1">
      <c r="R589" s="30"/>
    </row>
    <row r="590" spans="18:18" ht="15.75" customHeight="1">
      <c r="R590" s="30"/>
    </row>
    <row r="591" spans="18:18" ht="15.75" customHeight="1">
      <c r="R591" s="30"/>
    </row>
    <row r="592" spans="18:18" ht="15.75" customHeight="1">
      <c r="R592" s="30"/>
    </row>
    <row r="593" spans="18:18" ht="15.75" customHeight="1">
      <c r="R593" s="30"/>
    </row>
    <row r="594" spans="18:18" ht="15.75" customHeight="1">
      <c r="R594" s="30"/>
    </row>
    <row r="595" spans="18:18" ht="15.75" customHeight="1">
      <c r="R595" s="30"/>
    </row>
    <row r="596" spans="18:18" ht="15.75" customHeight="1">
      <c r="R596" s="30"/>
    </row>
    <row r="597" spans="18:18" ht="15.75" customHeight="1">
      <c r="R597" s="30"/>
    </row>
    <row r="598" spans="18:18" ht="15.75" customHeight="1">
      <c r="R598" s="30"/>
    </row>
    <row r="599" spans="18:18" ht="15.75" customHeight="1">
      <c r="R599" s="30"/>
    </row>
    <row r="600" spans="18:18" ht="15.75" customHeight="1">
      <c r="R600" s="30"/>
    </row>
    <row r="601" spans="18:18" ht="15.75" customHeight="1">
      <c r="R601" s="30"/>
    </row>
    <row r="602" spans="18:18" ht="15.75" customHeight="1">
      <c r="R602" s="30"/>
    </row>
    <row r="603" spans="18:18" ht="15.75" customHeight="1">
      <c r="R603" s="30"/>
    </row>
    <row r="604" spans="18:18" ht="15.75" customHeight="1">
      <c r="R604" s="30"/>
    </row>
    <row r="605" spans="18:18" ht="15.75" customHeight="1">
      <c r="R605" s="30"/>
    </row>
    <row r="606" spans="18:18" ht="15.75" customHeight="1">
      <c r="R606" s="30"/>
    </row>
    <row r="607" spans="18:18" ht="15.75" customHeight="1">
      <c r="R607" s="30"/>
    </row>
    <row r="608" spans="18:18" ht="15.75" customHeight="1">
      <c r="R608" s="30"/>
    </row>
    <row r="609" spans="18:18" ht="15.75" customHeight="1">
      <c r="R609" s="30"/>
    </row>
    <row r="610" spans="18:18" ht="15.75" customHeight="1">
      <c r="R610" s="30"/>
    </row>
    <row r="611" spans="18:18" ht="15.75" customHeight="1">
      <c r="R611" s="30"/>
    </row>
    <row r="612" spans="18:18" ht="15.75" customHeight="1">
      <c r="R612" s="30"/>
    </row>
    <row r="613" spans="18:18" ht="15.75" customHeight="1">
      <c r="R613" s="30"/>
    </row>
    <row r="614" spans="18:18" ht="15.75" customHeight="1">
      <c r="R614" s="30"/>
    </row>
    <row r="615" spans="18:18" ht="15.75" customHeight="1">
      <c r="R615" s="30"/>
    </row>
    <row r="616" spans="18:18" ht="15.75" customHeight="1">
      <c r="R616" s="30"/>
    </row>
    <row r="617" spans="18:18" ht="15.75" customHeight="1">
      <c r="R617" s="30"/>
    </row>
    <row r="618" spans="18:18" ht="15.75" customHeight="1">
      <c r="R618" s="30"/>
    </row>
    <row r="619" spans="18:18" ht="15.75" customHeight="1">
      <c r="R619" s="30"/>
    </row>
    <row r="620" spans="18:18" ht="15.75" customHeight="1">
      <c r="R620" s="30"/>
    </row>
    <row r="621" spans="18:18" ht="15.75" customHeight="1">
      <c r="R621" s="30"/>
    </row>
    <row r="622" spans="18:18" ht="15.75" customHeight="1">
      <c r="R622" s="30"/>
    </row>
    <row r="623" spans="18:18" ht="15.75" customHeight="1">
      <c r="R623" s="30"/>
    </row>
    <row r="624" spans="18:18" ht="15.75" customHeight="1">
      <c r="R624" s="30"/>
    </row>
    <row r="625" spans="18:18" ht="15.75" customHeight="1">
      <c r="R625" s="30"/>
    </row>
    <row r="626" spans="18:18" ht="15.75" customHeight="1">
      <c r="R626" s="30"/>
    </row>
    <row r="627" spans="18:18" ht="15.75" customHeight="1">
      <c r="R627" s="30"/>
    </row>
    <row r="628" spans="18:18" ht="15.75" customHeight="1">
      <c r="R628" s="30"/>
    </row>
    <row r="629" spans="18:18" ht="15.75" customHeight="1">
      <c r="R629" s="30"/>
    </row>
    <row r="630" spans="18:18" ht="15.75" customHeight="1">
      <c r="R630" s="30"/>
    </row>
    <row r="631" spans="18:18" ht="15.75" customHeight="1">
      <c r="R631" s="30"/>
    </row>
    <row r="632" spans="18:18" ht="15.75" customHeight="1">
      <c r="R632" s="30"/>
    </row>
    <row r="633" spans="18:18" ht="15.75" customHeight="1">
      <c r="R633" s="30"/>
    </row>
    <row r="634" spans="18:18" ht="15.75" customHeight="1">
      <c r="R634" s="30"/>
    </row>
    <row r="635" spans="18:18" ht="15.75" customHeight="1">
      <c r="R635" s="30"/>
    </row>
    <row r="636" spans="18:18" ht="15.75" customHeight="1">
      <c r="R636" s="30"/>
    </row>
    <row r="637" spans="18:18" ht="15.75" customHeight="1">
      <c r="R637" s="30"/>
    </row>
    <row r="638" spans="18:18" ht="15.75" customHeight="1">
      <c r="R638" s="30"/>
    </row>
    <row r="639" spans="18:18" ht="15.75" customHeight="1">
      <c r="R639" s="30"/>
    </row>
    <row r="640" spans="18:18" ht="15.75" customHeight="1">
      <c r="R640" s="30"/>
    </row>
    <row r="641" spans="18:18" ht="15.75" customHeight="1">
      <c r="R641" s="30"/>
    </row>
    <row r="642" spans="18:18" ht="15.75" customHeight="1">
      <c r="R642" s="30"/>
    </row>
    <row r="643" spans="18:18" ht="15.75" customHeight="1">
      <c r="R643" s="30"/>
    </row>
    <row r="644" spans="18:18" ht="15.75" customHeight="1">
      <c r="R644" s="30"/>
    </row>
    <row r="645" spans="18:18" ht="15.75" customHeight="1">
      <c r="R645" s="30"/>
    </row>
    <row r="646" spans="18:18" ht="15.75" customHeight="1">
      <c r="R646" s="30"/>
    </row>
    <row r="647" spans="18:18" ht="15.75" customHeight="1">
      <c r="R647" s="30"/>
    </row>
    <row r="648" spans="18:18" ht="15.75" customHeight="1">
      <c r="R648" s="30"/>
    </row>
    <row r="649" spans="18:18" ht="15.75" customHeight="1">
      <c r="R649" s="30"/>
    </row>
    <row r="650" spans="18:18" ht="15.75" customHeight="1">
      <c r="R650" s="30"/>
    </row>
    <row r="651" spans="18:18" ht="15.75" customHeight="1">
      <c r="R651" s="30"/>
    </row>
    <row r="652" spans="18:18" ht="15.75" customHeight="1">
      <c r="R652" s="30"/>
    </row>
    <row r="653" spans="18:18" ht="15.75" customHeight="1">
      <c r="R653" s="30"/>
    </row>
    <row r="654" spans="18:18" ht="15.75" customHeight="1">
      <c r="R654" s="30"/>
    </row>
    <row r="655" spans="18:18" ht="15.75" customHeight="1">
      <c r="R655" s="30"/>
    </row>
    <row r="656" spans="18:18" ht="15.75" customHeight="1">
      <c r="R656" s="30"/>
    </row>
    <row r="657" spans="18:18" ht="15.75" customHeight="1">
      <c r="R657" s="30"/>
    </row>
    <row r="658" spans="18:18" ht="15.75" customHeight="1">
      <c r="R658" s="30"/>
    </row>
    <row r="659" spans="18:18" ht="15.75" customHeight="1">
      <c r="R659" s="30"/>
    </row>
    <row r="660" spans="18:18" ht="15.75" customHeight="1">
      <c r="R660" s="30"/>
    </row>
    <row r="661" spans="18:18" ht="15.75" customHeight="1">
      <c r="R661" s="30"/>
    </row>
    <row r="662" spans="18:18" ht="15.75" customHeight="1">
      <c r="R662" s="30"/>
    </row>
    <row r="663" spans="18:18" ht="15.75" customHeight="1">
      <c r="R663" s="30"/>
    </row>
    <row r="664" spans="18:18" ht="15.75" customHeight="1">
      <c r="R664" s="30"/>
    </row>
    <row r="665" spans="18:18" ht="15.75" customHeight="1">
      <c r="R665" s="30"/>
    </row>
    <row r="666" spans="18:18" ht="15.75" customHeight="1">
      <c r="R666" s="30"/>
    </row>
    <row r="667" spans="18:18" ht="15.75" customHeight="1">
      <c r="R667" s="30"/>
    </row>
    <row r="668" spans="18:18" ht="15.75" customHeight="1">
      <c r="R668" s="30"/>
    </row>
    <row r="669" spans="18:18" ht="15.75" customHeight="1">
      <c r="R669" s="30"/>
    </row>
    <row r="670" spans="18:18" ht="15.75" customHeight="1">
      <c r="R670" s="30"/>
    </row>
    <row r="671" spans="18:18" ht="15.75" customHeight="1">
      <c r="R671" s="30"/>
    </row>
    <row r="672" spans="18:18" ht="15.75" customHeight="1">
      <c r="R672" s="30"/>
    </row>
    <row r="673" spans="18:18" ht="15.75" customHeight="1">
      <c r="R673" s="30"/>
    </row>
    <row r="674" spans="18:18" ht="15.75" customHeight="1">
      <c r="R674" s="30"/>
    </row>
    <row r="675" spans="18:18" ht="15.75" customHeight="1">
      <c r="R675" s="30"/>
    </row>
    <row r="676" spans="18:18" ht="15.75" customHeight="1">
      <c r="R676" s="30"/>
    </row>
    <row r="677" spans="18:18" ht="15.75" customHeight="1">
      <c r="R677" s="30"/>
    </row>
    <row r="678" spans="18:18" ht="15.75" customHeight="1">
      <c r="R678" s="30"/>
    </row>
    <row r="679" spans="18:18" ht="15.75" customHeight="1">
      <c r="R679" s="30"/>
    </row>
    <row r="680" spans="18:18" ht="15.75" customHeight="1">
      <c r="R680" s="30"/>
    </row>
    <row r="681" spans="18:18" ht="15.75" customHeight="1">
      <c r="R681" s="30"/>
    </row>
    <row r="682" spans="18:18" ht="15.75" customHeight="1">
      <c r="R682" s="30"/>
    </row>
    <row r="683" spans="18:18" ht="15.75" customHeight="1">
      <c r="R683" s="30"/>
    </row>
    <row r="684" spans="18:18" ht="15.75" customHeight="1">
      <c r="R684" s="30"/>
    </row>
    <row r="685" spans="18:18" ht="15.75" customHeight="1">
      <c r="R685" s="30"/>
    </row>
    <row r="686" spans="18:18" ht="15.75" customHeight="1">
      <c r="R686" s="30"/>
    </row>
    <row r="687" spans="18:18" ht="15.75" customHeight="1">
      <c r="R687" s="30"/>
    </row>
    <row r="688" spans="18:18" ht="15.75" customHeight="1">
      <c r="R688" s="30"/>
    </row>
    <row r="689" spans="18:18" ht="15.75" customHeight="1">
      <c r="R689" s="30"/>
    </row>
    <row r="690" spans="18:18" ht="15.75" customHeight="1">
      <c r="R690" s="30"/>
    </row>
    <row r="691" spans="18:18" ht="15.75" customHeight="1">
      <c r="R691" s="30"/>
    </row>
    <row r="692" spans="18:18" ht="15.75" customHeight="1">
      <c r="R692" s="30"/>
    </row>
    <row r="693" spans="18:18" ht="15.75" customHeight="1">
      <c r="R693" s="30"/>
    </row>
    <row r="694" spans="18:18" ht="15.75" customHeight="1">
      <c r="R694" s="30"/>
    </row>
    <row r="695" spans="18:18" ht="15.75" customHeight="1">
      <c r="R695" s="30"/>
    </row>
    <row r="696" spans="18:18" ht="15.75" customHeight="1">
      <c r="R696" s="30"/>
    </row>
    <row r="697" spans="18:18" ht="15.75" customHeight="1">
      <c r="R697" s="30"/>
    </row>
    <row r="698" spans="18:18" ht="15.75" customHeight="1">
      <c r="R698" s="30"/>
    </row>
    <row r="699" spans="18:18" ht="15.75" customHeight="1">
      <c r="R699" s="30"/>
    </row>
    <row r="700" spans="18:18" ht="15.75" customHeight="1">
      <c r="R700" s="30"/>
    </row>
    <row r="701" spans="18:18" ht="15.75" customHeight="1">
      <c r="R701" s="30"/>
    </row>
    <row r="702" spans="18:18" ht="15.75" customHeight="1">
      <c r="R702" s="30"/>
    </row>
    <row r="703" spans="18:18" ht="15.75" customHeight="1">
      <c r="R703" s="30"/>
    </row>
    <row r="704" spans="18:18" ht="15.75" customHeight="1">
      <c r="R704" s="30"/>
    </row>
    <row r="705" spans="18:18" ht="15.75" customHeight="1">
      <c r="R705" s="30"/>
    </row>
    <row r="706" spans="18:18" ht="15.75" customHeight="1">
      <c r="R706" s="30"/>
    </row>
    <row r="707" spans="18:18" ht="15.75" customHeight="1">
      <c r="R707" s="30"/>
    </row>
    <row r="708" spans="18:18" ht="15.75" customHeight="1">
      <c r="R708" s="30"/>
    </row>
    <row r="709" spans="18:18" ht="15.75" customHeight="1">
      <c r="R709" s="30"/>
    </row>
    <row r="710" spans="18:18" ht="15.75" customHeight="1">
      <c r="R710" s="30"/>
    </row>
    <row r="711" spans="18:18" ht="15.75" customHeight="1">
      <c r="R711" s="30"/>
    </row>
    <row r="712" spans="18:18" ht="15.75" customHeight="1">
      <c r="R712" s="30"/>
    </row>
    <row r="713" spans="18:18" ht="15.75" customHeight="1">
      <c r="R713" s="30"/>
    </row>
    <row r="714" spans="18:18" ht="15.75" customHeight="1">
      <c r="R714" s="30"/>
    </row>
    <row r="715" spans="18:18" ht="15.75" customHeight="1">
      <c r="R715" s="30"/>
    </row>
    <row r="716" spans="18:18" ht="15.75" customHeight="1">
      <c r="R716" s="30"/>
    </row>
    <row r="717" spans="18:18" ht="15.75" customHeight="1">
      <c r="R717" s="30"/>
    </row>
    <row r="718" spans="18:18" ht="15.75" customHeight="1">
      <c r="R718" s="30"/>
    </row>
    <row r="719" spans="18:18" ht="15.75" customHeight="1">
      <c r="R719" s="30"/>
    </row>
    <row r="720" spans="18:18" ht="15.75" customHeight="1">
      <c r="R720" s="30"/>
    </row>
    <row r="721" spans="18:18" ht="15.75" customHeight="1">
      <c r="R721" s="30"/>
    </row>
    <row r="722" spans="18:18" ht="15.75" customHeight="1">
      <c r="R722" s="30"/>
    </row>
    <row r="723" spans="18:18" ht="15.75" customHeight="1">
      <c r="R723" s="30"/>
    </row>
    <row r="724" spans="18:18" ht="15.75" customHeight="1">
      <c r="R724" s="30"/>
    </row>
    <row r="725" spans="18:18" ht="15.75" customHeight="1">
      <c r="R725" s="30"/>
    </row>
    <row r="726" spans="18:18" ht="15.75" customHeight="1">
      <c r="R726" s="30"/>
    </row>
    <row r="727" spans="18:18" ht="15.75" customHeight="1">
      <c r="R727" s="30"/>
    </row>
    <row r="728" spans="18:18" ht="15.75" customHeight="1">
      <c r="R728" s="30"/>
    </row>
    <row r="729" spans="18:18" ht="15.75" customHeight="1">
      <c r="R729" s="30"/>
    </row>
    <row r="730" spans="18:18" ht="15.75" customHeight="1">
      <c r="R730" s="30"/>
    </row>
    <row r="731" spans="18:18" ht="15.75" customHeight="1">
      <c r="R731" s="30"/>
    </row>
    <row r="732" spans="18:18" ht="15.75" customHeight="1">
      <c r="R732" s="30"/>
    </row>
    <row r="733" spans="18:18" ht="15.75" customHeight="1">
      <c r="R733" s="30"/>
    </row>
    <row r="734" spans="18:18" ht="15.75" customHeight="1">
      <c r="R734" s="30"/>
    </row>
    <row r="735" spans="18:18" ht="15.75" customHeight="1">
      <c r="R735" s="30"/>
    </row>
    <row r="736" spans="18:18" ht="15.75" customHeight="1">
      <c r="R736" s="30"/>
    </row>
    <row r="737" spans="18:18" ht="15.75" customHeight="1">
      <c r="R737" s="30"/>
    </row>
    <row r="738" spans="18:18" ht="15.75" customHeight="1">
      <c r="R738" s="30"/>
    </row>
    <row r="739" spans="18:18" ht="15.75" customHeight="1">
      <c r="R739" s="30"/>
    </row>
    <row r="740" spans="18:18" ht="15.75" customHeight="1">
      <c r="R740" s="30"/>
    </row>
    <row r="741" spans="18:18" ht="15.75" customHeight="1">
      <c r="R741" s="30"/>
    </row>
    <row r="742" spans="18:18" ht="15.75" customHeight="1">
      <c r="R742" s="30"/>
    </row>
    <row r="743" spans="18:18" ht="15.75" customHeight="1">
      <c r="R743" s="30"/>
    </row>
    <row r="744" spans="18:18" ht="15.75" customHeight="1">
      <c r="R744" s="30"/>
    </row>
    <row r="745" spans="18:18" ht="15.75" customHeight="1">
      <c r="R745" s="30"/>
    </row>
    <row r="746" spans="18:18" ht="15.75" customHeight="1">
      <c r="R746" s="30"/>
    </row>
    <row r="747" spans="18:18" ht="15.75" customHeight="1">
      <c r="R747" s="30"/>
    </row>
    <row r="748" spans="18:18" ht="15.75" customHeight="1">
      <c r="R748" s="30"/>
    </row>
    <row r="749" spans="18:18" ht="15.75" customHeight="1">
      <c r="R749" s="30"/>
    </row>
    <row r="750" spans="18:18" ht="15.75" customHeight="1">
      <c r="R750" s="30"/>
    </row>
    <row r="751" spans="18:18" ht="15.75" customHeight="1">
      <c r="R751" s="30"/>
    </row>
    <row r="752" spans="18:18" ht="15.75" customHeight="1">
      <c r="R752" s="30"/>
    </row>
    <row r="753" spans="18:18" ht="15.75" customHeight="1">
      <c r="R753" s="30"/>
    </row>
    <row r="754" spans="18:18" ht="15.75" customHeight="1">
      <c r="R754" s="30"/>
    </row>
    <row r="755" spans="18:18" ht="15.75" customHeight="1">
      <c r="R755" s="30"/>
    </row>
    <row r="756" spans="18:18" ht="15.75" customHeight="1">
      <c r="R756" s="30"/>
    </row>
    <row r="757" spans="18:18" ht="15.75" customHeight="1">
      <c r="R757" s="30"/>
    </row>
    <row r="758" spans="18:18" ht="15.75" customHeight="1">
      <c r="R758" s="30"/>
    </row>
    <row r="759" spans="18:18" ht="15.75" customHeight="1">
      <c r="R759" s="30"/>
    </row>
    <row r="760" spans="18:18" ht="15.75" customHeight="1">
      <c r="R760" s="30"/>
    </row>
    <row r="761" spans="18:18" ht="15.75" customHeight="1">
      <c r="R761" s="30"/>
    </row>
    <row r="762" spans="18:18" ht="15.75" customHeight="1">
      <c r="R762" s="30"/>
    </row>
    <row r="763" spans="18:18" ht="15.75" customHeight="1">
      <c r="R763" s="30"/>
    </row>
    <row r="764" spans="18:18" ht="15.75" customHeight="1">
      <c r="R764" s="30"/>
    </row>
    <row r="765" spans="18:18" ht="15.75" customHeight="1">
      <c r="R765" s="30"/>
    </row>
    <row r="766" spans="18:18" ht="15.75" customHeight="1">
      <c r="R766" s="30"/>
    </row>
    <row r="767" spans="18:18" ht="15.75" customHeight="1">
      <c r="R767" s="30"/>
    </row>
    <row r="768" spans="18:18" ht="15.75" customHeight="1">
      <c r="R768" s="30"/>
    </row>
    <row r="769" spans="18:18" ht="15.75" customHeight="1">
      <c r="R769" s="30"/>
    </row>
    <row r="770" spans="18:18" ht="15.75" customHeight="1">
      <c r="R770" s="30"/>
    </row>
    <row r="771" spans="18:18" ht="15.75" customHeight="1">
      <c r="R771" s="30"/>
    </row>
    <row r="772" spans="18:18" ht="15.75" customHeight="1">
      <c r="R772" s="30"/>
    </row>
    <row r="773" spans="18:18" ht="15.75" customHeight="1">
      <c r="R773" s="30"/>
    </row>
    <row r="774" spans="18:18" ht="15.75" customHeight="1">
      <c r="R774" s="30"/>
    </row>
    <row r="775" spans="18:18" ht="15.75" customHeight="1">
      <c r="R775" s="30"/>
    </row>
    <row r="776" spans="18:18" ht="15.75" customHeight="1">
      <c r="R776" s="30"/>
    </row>
    <row r="777" spans="18:18" ht="15.75" customHeight="1">
      <c r="R777" s="30"/>
    </row>
    <row r="778" spans="18:18" ht="15.75" customHeight="1">
      <c r="R778" s="30"/>
    </row>
    <row r="779" spans="18:18" ht="15.75" customHeight="1">
      <c r="R779" s="30"/>
    </row>
    <row r="780" spans="18:18" ht="15.75" customHeight="1">
      <c r="R780" s="30"/>
    </row>
    <row r="781" spans="18:18" ht="15.75" customHeight="1">
      <c r="R781" s="30"/>
    </row>
    <row r="782" spans="18:18" ht="15.75" customHeight="1">
      <c r="R782" s="30"/>
    </row>
    <row r="783" spans="18:18" ht="15.75" customHeight="1">
      <c r="R783" s="30"/>
    </row>
    <row r="784" spans="18:18" ht="15.75" customHeight="1">
      <c r="R784" s="30"/>
    </row>
    <row r="785" spans="18:18" ht="15.75" customHeight="1">
      <c r="R785" s="30"/>
    </row>
    <row r="786" spans="18:18" ht="15.75" customHeight="1">
      <c r="R786" s="30"/>
    </row>
    <row r="787" spans="18:18" ht="15.75" customHeight="1">
      <c r="R787" s="30"/>
    </row>
    <row r="788" spans="18:18" ht="15.75" customHeight="1">
      <c r="R788" s="30"/>
    </row>
    <row r="789" spans="18:18" ht="15.75" customHeight="1">
      <c r="R789" s="30"/>
    </row>
    <row r="790" spans="18:18" ht="15.75" customHeight="1">
      <c r="R790" s="30"/>
    </row>
    <row r="791" spans="18:18" ht="15.75" customHeight="1">
      <c r="R791" s="30"/>
    </row>
    <row r="792" spans="18:18" ht="15.75" customHeight="1">
      <c r="R792" s="30"/>
    </row>
    <row r="793" spans="18:18" ht="15.75" customHeight="1">
      <c r="R793" s="30"/>
    </row>
    <row r="794" spans="18:18" ht="15.75" customHeight="1">
      <c r="R794" s="30"/>
    </row>
    <row r="795" spans="18:18" ht="15.75" customHeight="1">
      <c r="R795" s="30"/>
    </row>
    <row r="796" spans="18:18" ht="15.75" customHeight="1">
      <c r="R796" s="30"/>
    </row>
    <row r="797" spans="18:18" ht="15.75" customHeight="1">
      <c r="R797" s="30"/>
    </row>
    <row r="798" spans="18:18" ht="15.75" customHeight="1">
      <c r="R798" s="30"/>
    </row>
    <row r="799" spans="18:18" ht="15.75" customHeight="1">
      <c r="R799" s="30"/>
    </row>
    <row r="800" spans="18:18" ht="15.75" customHeight="1">
      <c r="R800" s="30"/>
    </row>
    <row r="801" spans="18:18" ht="15.75" customHeight="1">
      <c r="R801" s="30"/>
    </row>
    <row r="802" spans="18:18" ht="15.75" customHeight="1">
      <c r="R802" s="30"/>
    </row>
    <row r="803" spans="18:18" ht="15.75" customHeight="1">
      <c r="R803" s="30"/>
    </row>
    <row r="804" spans="18:18" ht="15.75" customHeight="1">
      <c r="R804" s="30"/>
    </row>
    <row r="805" spans="18:18" ht="15.75" customHeight="1">
      <c r="R805" s="30"/>
    </row>
    <row r="806" spans="18:18" ht="15.75" customHeight="1">
      <c r="R806" s="30"/>
    </row>
    <row r="807" spans="18:18" ht="15.75" customHeight="1">
      <c r="R807" s="30"/>
    </row>
    <row r="808" spans="18:18" ht="15.75" customHeight="1">
      <c r="R808" s="30"/>
    </row>
    <row r="809" spans="18:18" ht="15.75" customHeight="1">
      <c r="R809" s="30"/>
    </row>
    <row r="810" spans="18:18" ht="15.75" customHeight="1">
      <c r="R810" s="30"/>
    </row>
    <row r="811" spans="18:18" ht="15.75" customHeight="1">
      <c r="R811" s="30"/>
    </row>
    <row r="812" spans="18:18" ht="15.75" customHeight="1">
      <c r="R812" s="30"/>
    </row>
    <row r="813" spans="18:18" ht="15.75" customHeight="1">
      <c r="R813" s="30"/>
    </row>
    <row r="814" spans="18:18" ht="15.75" customHeight="1">
      <c r="R814" s="30"/>
    </row>
    <row r="815" spans="18:18" ht="15.75" customHeight="1">
      <c r="R815" s="30"/>
    </row>
    <row r="816" spans="18:18" ht="15.75" customHeight="1">
      <c r="R816" s="30"/>
    </row>
    <row r="817" spans="18:18" ht="15.75" customHeight="1">
      <c r="R817" s="30"/>
    </row>
    <row r="818" spans="18:18" ht="15.75" customHeight="1">
      <c r="R818" s="30"/>
    </row>
    <row r="819" spans="18:18" ht="15.75" customHeight="1">
      <c r="R819" s="30"/>
    </row>
    <row r="820" spans="18:18" ht="15.75" customHeight="1">
      <c r="R820" s="30"/>
    </row>
    <row r="821" spans="18:18" ht="15.75" customHeight="1">
      <c r="R821" s="30"/>
    </row>
    <row r="822" spans="18:18" ht="15.75" customHeight="1">
      <c r="R822" s="30"/>
    </row>
    <row r="823" spans="18:18" ht="15.75" customHeight="1">
      <c r="R823" s="30"/>
    </row>
    <row r="824" spans="18:18" ht="15.75" customHeight="1">
      <c r="R824" s="30"/>
    </row>
    <row r="825" spans="18:18" ht="15.75" customHeight="1">
      <c r="R825" s="30"/>
    </row>
    <row r="826" spans="18:18" ht="15.75" customHeight="1">
      <c r="R826" s="30"/>
    </row>
    <row r="827" spans="18:18" ht="15.75" customHeight="1">
      <c r="R827" s="30"/>
    </row>
    <row r="828" spans="18:18" ht="15.75" customHeight="1">
      <c r="R828" s="30"/>
    </row>
    <row r="829" spans="18:18" ht="15.75" customHeight="1">
      <c r="R829" s="30"/>
    </row>
    <row r="830" spans="18:18" ht="15.75" customHeight="1">
      <c r="R830" s="30"/>
    </row>
    <row r="831" spans="18:18" ht="15.75" customHeight="1">
      <c r="R831" s="30"/>
    </row>
    <row r="832" spans="18:18" ht="15.75" customHeight="1">
      <c r="R832" s="30"/>
    </row>
    <row r="833" spans="18:18" ht="15.75" customHeight="1">
      <c r="R833" s="30"/>
    </row>
    <row r="834" spans="18:18" ht="15.75" customHeight="1">
      <c r="R834" s="30"/>
    </row>
    <row r="835" spans="18:18" ht="15.75" customHeight="1">
      <c r="R835" s="30"/>
    </row>
    <row r="836" spans="18:18" ht="15.75" customHeight="1">
      <c r="R836" s="30"/>
    </row>
    <row r="837" spans="18:18" ht="15.75" customHeight="1">
      <c r="R837" s="30"/>
    </row>
    <row r="838" spans="18:18" ht="15.75" customHeight="1">
      <c r="R838" s="30"/>
    </row>
    <row r="839" spans="18:18" ht="15.75" customHeight="1">
      <c r="R839" s="30"/>
    </row>
    <row r="840" spans="18:18" ht="15.75" customHeight="1">
      <c r="R840" s="30"/>
    </row>
    <row r="841" spans="18:18" ht="15.75" customHeight="1">
      <c r="R841" s="30"/>
    </row>
    <row r="842" spans="18:18" ht="15.75" customHeight="1">
      <c r="R842" s="30"/>
    </row>
    <row r="843" spans="18:18" ht="15.75" customHeight="1">
      <c r="R843" s="30"/>
    </row>
    <row r="844" spans="18:18" ht="15.75" customHeight="1">
      <c r="R844" s="30"/>
    </row>
    <row r="845" spans="18:18" ht="15.75" customHeight="1">
      <c r="R845" s="30"/>
    </row>
    <row r="846" spans="18:18" ht="15.75" customHeight="1">
      <c r="R846" s="30"/>
    </row>
    <row r="847" spans="18:18" ht="15.75" customHeight="1">
      <c r="R847" s="30"/>
    </row>
    <row r="848" spans="18:18" ht="15.75" customHeight="1">
      <c r="R848" s="30"/>
    </row>
    <row r="849" spans="18:18" ht="15.75" customHeight="1">
      <c r="R849" s="30"/>
    </row>
    <row r="850" spans="18:18" ht="15.75" customHeight="1">
      <c r="R850" s="30"/>
    </row>
    <row r="851" spans="18:18" ht="15.75" customHeight="1">
      <c r="R851" s="30"/>
    </row>
    <row r="852" spans="18:18" ht="15.75" customHeight="1">
      <c r="R852" s="30"/>
    </row>
    <row r="853" spans="18:18" ht="15.75" customHeight="1">
      <c r="R853" s="30"/>
    </row>
    <row r="854" spans="18:18" ht="15.75" customHeight="1">
      <c r="R854" s="30"/>
    </row>
    <row r="855" spans="18:18" ht="15.75" customHeight="1">
      <c r="R855" s="30"/>
    </row>
    <row r="856" spans="18:18" ht="15.75" customHeight="1">
      <c r="R856" s="30"/>
    </row>
    <row r="857" spans="18:18" ht="15.75" customHeight="1">
      <c r="R857" s="30"/>
    </row>
    <row r="858" spans="18:18" ht="15.75" customHeight="1">
      <c r="R858" s="30"/>
    </row>
    <row r="859" spans="18:18" ht="15.75" customHeight="1">
      <c r="R859" s="30"/>
    </row>
    <row r="860" spans="18:18" ht="15.75" customHeight="1">
      <c r="R860" s="30"/>
    </row>
    <row r="861" spans="18:18" ht="15.75" customHeight="1">
      <c r="R861" s="30"/>
    </row>
    <row r="862" spans="18:18" ht="15.75" customHeight="1">
      <c r="R862" s="30"/>
    </row>
    <row r="863" spans="18:18" ht="15.75" customHeight="1">
      <c r="R863" s="30"/>
    </row>
    <row r="864" spans="18:18" ht="15.75" customHeight="1">
      <c r="R864" s="30"/>
    </row>
    <row r="865" spans="18:18" ht="15.75" customHeight="1">
      <c r="R865" s="30"/>
    </row>
    <row r="866" spans="18:18" ht="15.75" customHeight="1">
      <c r="R866" s="30"/>
    </row>
    <row r="867" spans="18:18" ht="15.75" customHeight="1">
      <c r="R867" s="30"/>
    </row>
    <row r="868" spans="18:18" ht="15.75" customHeight="1">
      <c r="R868" s="30"/>
    </row>
    <row r="869" spans="18:18" ht="15.75" customHeight="1">
      <c r="R869" s="30"/>
    </row>
    <row r="870" spans="18:18" ht="15.75" customHeight="1">
      <c r="R870" s="30"/>
    </row>
    <row r="871" spans="18:18" ht="15.75" customHeight="1">
      <c r="R871" s="30"/>
    </row>
    <row r="872" spans="18:18" ht="15.75" customHeight="1">
      <c r="R872" s="30"/>
    </row>
    <row r="873" spans="18:18" ht="15.75" customHeight="1">
      <c r="R873" s="30"/>
    </row>
    <row r="874" spans="18:18" ht="15.75" customHeight="1">
      <c r="R874" s="30"/>
    </row>
    <row r="875" spans="18:18" ht="15.75" customHeight="1">
      <c r="R875" s="30"/>
    </row>
    <row r="876" spans="18:18" ht="15.75" customHeight="1">
      <c r="R876" s="30"/>
    </row>
    <row r="877" spans="18:18" ht="15.75" customHeight="1">
      <c r="R877" s="30"/>
    </row>
    <row r="878" spans="18:18" ht="15.75" customHeight="1">
      <c r="R878" s="30"/>
    </row>
    <row r="879" spans="18:18" ht="15.75" customHeight="1">
      <c r="R879" s="30"/>
    </row>
    <row r="880" spans="18:18" ht="15.75" customHeight="1">
      <c r="R880" s="30"/>
    </row>
    <row r="881" spans="18:18" ht="15.75" customHeight="1">
      <c r="R881" s="30"/>
    </row>
    <row r="882" spans="18:18" ht="15.75" customHeight="1">
      <c r="R882" s="30"/>
    </row>
    <row r="883" spans="18:18" ht="15.75" customHeight="1">
      <c r="R883" s="30"/>
    </row>
    <row r="884" spans="18:18" ht="15.75" customHeight="1">
      <c r="R884" s="30"/>
    </row>
    <row r="885" spans="18:18" ht="15.75" customHeight="1">
      <c r="R885" s="30"/>
    </row>
    <row r="886" spans="18:18" ht="15.75" customHeight="1">
      <c r="R886" s="30"/>
    </row>
    <row r="887" spans="18:18" ht="15.75" customHeight="1">
      <c r="R887" s="30"/>
    </row>
    <row r="888" spans="18:18" ht="15.75" customHeight="1">
      <c r="R888" s="30"/>
    </row>
    <row r="889" spans="18:18" ht="15.75" customHeight="1">
      <c r="R889" s="30"/>
    </row>
    <row r="890" spans="18:18" ht="15.75" customHeight="1">
      <c r="R890" s="30"/>
    </row>
    <row r="891" spans="18:18" ht="15.75" customHeight="1">
      <c r="R891" s="30"/>
    </row>
    <row r="892" spans="18:18" ht="15.75" customHeight="1">
      <c r="R892" s="30"/>
    </row>
    <row r="893" spans="18:18" ht="15.75" customHeight="1">
      <c r="R893" s="30"/>
    </row>
    <row r="894" spans="18:18" ht="15.75" customHeight="1">
      <c r="R894" s="30"/>
    </row>
    <row r="895" spans="18:18" ht="15.75" customHeight="1">
      <c r="R895" s="30"/>
    </row>
    <row r="896" spans="18:18" ht="15.75" customHeight="1">
      <c r="R896" s="30"/>
    </row>
    <row r="897" spans="18:18" ht="15.75" customHeight="1">
      <c r="R897" s="30"/>
    </row>
    <row r="898" spans="18:18" ht="15.75" customHeight="1">
      <c r="R898" s="30"/>
    </row>
    <row r="899" spans="18:18" ht="15.75" customHeight="1">
      <c r="R899" s="30"/>
    </row>
    <row r="900" spans="18:18" ht="15.75" customHeight="1">
      <c r="R900" s="30"/>
    </row>
    <row r="901" spans="18:18" ht="15.75" customHeight="1">
      <c r="R901" s="30"/>
    </row>
    <row r="902" spans="18:18" ht="15.75" customHeight="1">
      <c r="R902" s="30"/>
    </row>
    <row r="903" spans="18:18" ht="15.75" customHeight="1">
      <c r="R903" s="30"/>
    </row>
    <row r="904" spans="18:18" ht="15.75" customHeight="1">
      <c r="R904" s="30"/>
    </row>
    <row r="905" spans="18:18" ht="15.75" customHeight="1">
      <c r="R905" s="30"/>
    </row>
    <row r="906" spans="18:18" ht="15.75" customHeight="1">
      <c r="R906" s="30"/>
    </row>
    <row r="907" spans="18:18" ht="15.75" customHeight="1">
      <c r="R907" s="30"/>
    </row>
    <row r="908" spans="18:18" ht="15.75" customHeight="1">
      <c r="R908" s="30"/>
    </row>
    <row r="909" spans="18:18" ht="15.75" customHeight="1">
      <c r="R909" s="30"/>
    </row>
    <row r="910" spans="18:18" ht="15.75" customHeight="1">
      <c r="R910" s="30"/>
    </row>
    <row r="911" spans="18:18" ht="15.75" customHeight="1">
      <c r="R911" s="30"/>
    </row>
    <row r="912" spans="18:18" ht="15.75" customHeight="1">
      <c r="R912" s="30"/>
    </row>
    <row r="913" spans="18:18" ht="15.75" customHeight="1">
      <c r="R913" s="30"/>
    </row>
    <row r="914" spans="18:18" ht="15.75" customHeight="1">
      <c r="R914" s="30"/>
    </row>
    <row r="915" spans="18:18" ht="15.75" customHeight="1">
      <c r="R915" s="30"/>
    </row>
    <row r="916" spans="18:18" ht="15.75" customHeight="1">
      <c r="R916" s="30"/>
    </row>
    <row r="917" spans="18:18" ht="15.75" customHeight="1">
      <c r="R917" s="30"/>
    </row>
    <row r="918" spans="18:18" ht="15.75" customHeight="1">
      <c r="R918" s="30"/>
    </row>
    <row r="919" spans="18:18" ht="15.75" customHeight="1">
      <c r="R919" s="30"/>
    </row>
    <row r="920" spans="18:18" ht="15.75" customHeight="1">
      <c r="R920" s="30"/>
    </row>
    <row r="921" spans="18:18" ht="15.75" customHeight="1">
      <c r="R921" s="30"/>
    </row>
    <row r="922" spans="18:18" ht="15.75" customHeight="1">
      <c r="R922" s="30"/>
    </row>
    <row r="923" spans="18:18" ht="15.75" customHeight="1">
      <c r="R923" s="30"/>
    </row>
    <row r="924" spans="18:18" ht="15.75" customHeight="1">
      <c r="R924" s="30"/>
    </row>
    <row r="925" spans="18:18" ht="15.75" customHeight="1">
      <c r="R925" s="30"/>
    </row>
    <row r="926" spans="18:18" ht="15.75" customHeight="1">
      <c r="R926" s="30"/>
    </row>
    <row r="927" spans="18:18" ht="15.75" customHeight="1">
      <c r="R927" s="30"/>
    </row>
    <row r="928" spans="18:18" ht="15.75" customHeight="1">
      <c r="R928" s="30"/>
    </row>
    <row r="929" spans="18:18" ht="15.75" customHeight="1">
      <c r="R929" s="30"/>
    </row>
    <row r="930" spans="18:18" ht="15.75" customHeight="1">
      <c r="R930" s="30"/>
    </row>
    <row r="931" spans="18:18" ht="15.75" customHeight="1">
      <c r="R931" s="30"/>
    </row>
    <row r="932" spans="18:18" ht="15.75" customHeight="1">
      <c r="R932" s="30"/>
    </row>
    <row r="933" spans="18:18" ht="15.75" customHeight="1">
      <c r="R933" s="30"/>
    </row>
    <row r="934" spans="18:18" ht="15.75" customHeight="1">
      <c r="R934" s="30"/>
    </row>
    <row r="935" spans="18:18" ht="15.75" customHeight="1">
      <c r="R935" s="30"/>
    </row>
    <row r="936" spans="18:18" ht="15.75" customHeight="1">
      <c r="R936" s="30"/>
    </row>
    <row r="937" spans="18:18" ht="15.75" customHeight="1">
      <c r="R937" s="30"/>
    </row>
    <row r="938" spans="18:18" ht="15.75" customHeight="1">
      <c r="R938" s="30"/>
    </row>
    <row r="939" spans="18:18" ht="15.75" customHeight="1">
      <c r="R939" s="30"/>
    </row>
    <row r="940" spans="18:18" ht="15.75" customHeight="1">
      <c r="R940" s="30"/>
    </row>
    <row r="941" spans="18:18" ht="15.75" customHeight="1">
      <c r="R941" s="30"/>
    </row>
    <row r="942" spans="18:18" ht="15.75" customHeight="1">
      <c r="R942" s="30"/>
    </row>
    <row r="943" spans="18:18" ht="15.75" customHeight="1">
      <c r="R943" s="30"/>
    </row>
    <row r="944" spans="18:18" ht="15.75" customHeight="1">
      <c r="R944" s="30"/>
    </row>
    <row r="945" spans="18:18" ht="15.75" customHeight="1">
      <c r="R945" s="30"/>
    </row>
    <row r="946" spans="18:18" ht="15.75" customHeight="1">
      <c r="R946" s="30"/>
    </row>
    <row r="947" spans="18:18" ht="15.75" customHeight="1">
      <c r="R947" s="30"/>
    </row>
    <row r="948" spans="18:18" ht="15.75" customHeight="1">
      <c r="R948" s="30"/>
    </row>
    <row r="949" spans="18:18" ht="15.75" customHeight="1">
      <c r="R949" s="30"/>
    </row>
    <row r="950" spans="18:18" ht="15.75" customHeight="1">
      <c r="R950" s="30"/>
    </row>
    <row r="951" spans="18:18" ht="15.75" customHeight="1">
      <c r="R951" s="30"/>
    </row>
    <row r="952" spans="18:18" ht="15.75" customHeight="1">
      <c r="R952" s="30"/>
    </row>
    <row r="953" spans="18:18" ht="15.75" customHeight="1">
      <c r="R953" s="30"/>
    </row>
    <row r="954" spans="18:18" ht="15.75" customHeight="1">
      <c r="R954" s="30"/>
    </row>
    <row r="955" spans="18:18" ht="15.75" customHeight="1">
      <c r="R955" s="30"/>
    </row>
    <row r="956" spans="18:18" ht="15.75" customHeight="1">
      <c r="R956" s="30"/>
    </row>
    <row r="957" spans="18:18" ht="15.75" customHeight="1">
      <c r="R957" s="30"/>
    </row>
    <row r="958" spans="18:18" ht="15.75" customHeight="1">
      <c r="R958" s="30"/>
    </row>
    <row r="959" spans="18:18" ht="15.75" customHeight="1">
      <c r="R959" s="30"/>
    </row>
    <row r="960" spans="18:18" ht="15.75" customHeight="1">
      <c r="R960" s="30"/>
    </row>
    <row r="961" spans="18:18" ht="15.75" customHeight="1">
      <c r="R961" s="30"/>
    </row>
    <row r="962" spans="18:18" ht="15.75" customHeight="1">
      <c r="R962" s="30"/>
    </row>
    <row r="963" spans="18:18" ht="15.75" customHeight="1">
      <c r="R963" s="30"/>
    </row>
    <row r="964" spans="18:18" ht="15.75" customHeight="1">
      <c r="R964" s="30"/>
    </row>
    <row r="965" spans="18:18" ht="15.75" customHeight="1">
      <c r="R965" s="30"/>
    </row>
    <row r="966" spans="18:18" ht="15.75" customHeight="1">
      <c r="R966" s="30"/>
    </row>
    <row r="967" spans="18:18" ht="15.75" customHeight="1">
      <c r="R967" s="30"/>
    </row>
    <row r="968" spans="18:18" ht="15.75" customHeight="1">
      <c r="R968" s="30"/>
    </row>
    <row r="969" spans="18:18" ht="15.75" customHeight="1">
      <c r="R969" s="30"/>
    </row>
    <row r="970" spans="18:18" ht="15.75" customHeight="1">
      <c r="R970" s="30"/>
    </row>
    <row r="971" spans="18:18" ht="15.75" customHeight="1">
      <c r="R971" s="30"/>
    </row>
    <row r="972" spans="18:18" ht="15.75" customHeight="1">
      <c r="R972" s="30"/>
    </row>
    <row r="973" spans="18:18" ht="15.75" customHeight="1">
      <c r="R973" s="30"/>
    </row>
    <row r="974" spans="18:18" ht="15.75" customHeight="1">
      <c r="R974" s="30"/>
    </row>
    <row r="975" spans="18:18" ht="15.75" customHeight="1">
      <c r="R975" s="30"/>
    </row>
    <row r="976" spans="18:18" ht="15.75" customHeight="1">
      <c r="R976" s="30"/>
    </row>
    <row r="977" spans="18:18" ht="15.75" customHeight="1">
      <c r="R977" s="30"/>
    </row>
    <row r="978" spans="18:18" ht="15.75" customHeight="1">
      <c r="R978" s="30"/>
    </row>
    <row r="979" spans="18:18" ht="15.75" customHeight="1">
      <c r="R979" s="30"/>
    </row>
    <row r="980" spans="18:18" ht="15.75" customHeight="1">
      <c r="R980" s="30"/>
    </row>
    <row r="981" spans="18:18" ht="15.75" customHeight="1">
      <c r="R981" s="30"/>
    </row>
    <row r="982" spans="18:18" ht="15.75" customHeight="1">
      <c r="R982" s="30"/>
    </row>
    <row r="983" spans="18:18" ht="15.75" customHeight="1">
      <c r="R983" s="30"/>
    </row>
    <row r="984" spans="18:18" ht="15.75" customHeight="1">
      <c r="R984" s="30"/>
    </row>
    <row r="985" spans="18:18" ht="15.75" customHeight="1">
      <c r="R985" s="30"/>
    </row>
    <row r="986" spans="18:18" ht="15.75" customHeight="1">
      <c r="R986" s="30"/>
    </row>
    <row r="987" spans="18:18" ht="15.75" customHeight="1">
      <c r="R987" s="30"/>
    </row>
    <row r="988" spans="18:18" ht="15.75" customHeight="1">
      <c r="R988" s="30"/>
    </row>
    <row r="989" spans="18:18" ht="15.75" customHeight="1">
      <c r="R989" s="30"/>
    </row>
    <row r="990" spans="18:18" ht="15.75" customHeight="1">
      <c r="R990" s="30"/>
    </row>
    <row r="991" spans="18:18" ht="15.75" customHeight="1">
      <c r="R991" s="30"/>
    </row>
    <row r="992" spans="18:18" ht="15.75" customHeight="1">
      <c r="R992" s="30"/>
    </row>
    <row r="993" spans="18:18" ht="15.75" customHeight="1">
      <c r="R993" s="30"/>
    </row>
    <row r="994" spans="18:18" ht="15.75" customHeight="1">
      <c r="R994" s="30"/>
    </row>
    <row r="995" spans="18:18" ht="15.75" customHeight="1">
      <c r="R995" s="30"/>
    </row>
    <row r="996" spans="18:18" ht="15.75" customHeight="1">
      <c r="R996" s="30"/>
    </row>
    <row r="997" spans="18:18" ht="15.75" customHeight="1">
      <c r="R997" s="30"/>
    </row>
    <row r="998" spans="18:18" ht="15.75" customHeight="1">
      <c r="R998" s="30"/>
    </row>
    <row r="999" spans="18:18" ht="15.75" customHeight="1">
      <c r="R999" s="30"/>
    </row>
    <row r="1000" spans="18:18" ht="15.75" customHeight="1">
      <c r="R1000" s="3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2.6640625" defaultRowHeight="15" customHeight="1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8.6640625" customWidth="1"/>
    <col min="6" max="6" width="9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16.33203125" customWidth="1"/>
    <col min="16" max="16" width="10" customWidth="1"/>
    <col min="17" max="18" width="7.33203125" customWidth="1"/>
    <col min="19" max="19" width="7.1640625" customWidth="1"/>
    <col min="20" max="20" width="11.1640625" customWidth="1"/>
    <col min="21" max="21" width="18.83203125" customWidth="1"/>
    <col min="22" max="22" width="72.664062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6640625" customWidth="1"/>
    <col min="32" max="32" width="10.1640625" customWidth="1"/>
    <col min="33" max="33" width="8.83203125" customWidth="1"/>
  </cols>
  <sheetData>
    <row r="1" spans="1:33" ht="18.75" customHeight="1">
      <c r="A1" s="46" t="str">
        <f ca="1">IFERROR(__xludf.DUMMYFUNCTION("IFERROR(VLOOKUP(B2,IMPORTRANGE(""https://docs.google.com/spreadsheets/d/1x0DhHglkXKoEBOD2MBsuK_EyIr1ouxD2ftIpqOYFa-k/edit?usp=sharing"",""Ubiquitty-SKU-Specific Info!B1:BJ5000""),3,FALSE),"""")"),"2 Pack of 25 Foot Lighted Outdoor Extension Cord - 12/3 SJTW Heavy Duty Yellow Extension Cable Extension Cable with 3 Prong Grounded Plug for Safety - Great for Garden and Major Appliances")</f>
        <v>2 Pack of 25 Foot Lighted Outdoor Extension Cord - 12/3 SJTW Heavy Duty Yellow Extension Cable Extension Cable with 3 Prong Grounded Plug for Safety - Great for Garden and Major Appliances</v>
      </c>
      <c r="B1" s="47"/>
      <c r="C1" s="48" t="s">
        <v>0</v>
      </c>
      <c r="D1" s="50" t="s">
        <v>1</v>
      </c>
      <c r="E1" s="50" t="s">
        <v>2</v>
      </c>
      <c r="F1" s="52" t="s">
        <v>3</v>
      </c>
      <c r="G1" s="52" t="s">
        <v>4</v>
      </c>
      <c r="H1" s="53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58" t="s">
        <v>10</v>
      </c>
      <c r="N1" s="59" t="s">
        <v>11</v>
      </c>
      <c r="O1" s="50" t="s">
        <v>12</v>
      </c>
      <c r="P1" s="50" t="s">
        <v>13</v>
      </c>
      <c r="Q1" s="57" t="s">
        <v>14</v>
      </c>
      <c r="R1" s="57" t="s">
        <v>15</v>
      </c>
      <c r="S1" s="60" t="s">
        <v>16</v>
      </c>
      <c r="T1" s="62" t="s">
        <v>2006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Info!B1:BJ5000""),2,FALSE),"""")"),"B07MTPKX4X")</f>
        <v>B07MTPKX4X</v>
      </c>
      <c r="B2" s="3" t="s">
        <v>1491</v>
      </c>
      <c r="C2" s="49"/>
      <c r="D2" s="49"/>
      <c r="E2" s="51"/>
      <c r="F2" s="49"/>
      <c r="G2" s="49"/>
      <c r="H2" s="54"/>
      <c r="I2" s="49"/>
      <c r="J2" s="49"/>
      <c r="K2" s="54"/>
      <c r="L2" s="54"/>
      <c r="M2" s="54"/>
      <c r="N2" s="49"/>
      <c r="O2" s="49"/>
      <c r="P2" s="51"/>
      <c r="Q2" s="49"/>
      <c r="R2" s="49"/>
      <c r="S2" s="61"/>
      <c r="T2" s="47"/>
      <c r="U2" s="63"/>
      <c r="V2" s="63"/>
      <c r="W2" s="47"/>
      <c r="X2" s="47"/>
      <c r="Y2" s="47"/>
      <c r="Z2" s="47"/>
      <c r="AA2" s="63"/>
      <c r="AB2" s="63"/>
      <c r="AC2" s="63"/>
      <c r="AD2" s="63"/>
      <c r="AE2" s="47"/>
      <c r="AF2" s="47"/>
      <c r="AG2" s="47"/>
    </row>
    <row r="3" spans="1:33" ht="111" customHeight="1">
      <c r="A3" s="55" t="s">
        <v>31</v>
      </c>
      <c r="B3" s="56"/>
      <c r="C3" s="4">
        <f>((AE32+AF32)/0.85)*-1</f>
        <v>29.283169091764705</v>
      </c>
      <c r="D3" s="5">
        <f>SUM(D4:D99765)</f>
        <v>1616</v>
      </c>
      <c r="E3" s="5"/>
      <c r="F3" s="6">
        <f t="shared" ref="F3:G3" si="0">SUM(F4:F99765)</f>
        <v>84947.34</v>
      </c>
      <c r="G3" s="6">
        <f t="shared" si="0"/>
        <v>-0.16</v>
      </c>
      <c r="H3" s="7">
        <f t="shared" ref="H3:H32" si="1">G3/F3*-1</f>
        <v>1.8835198371132046E-6</v>
      </c>
      <c r="I3" s="8">
        <f t="shared" ref="I3:I32" si="2">J3/F3</f>
        <v>0.37124054251796262</v>
      </c>
      <c r="J3" s="6">
        <f>SUM(J4:J99765)</f>
        <v>31535.896587057825</v>
      </c>
      <c r="K3" s="6">
        <f t="shared" ref="K3:K32" si="3">J3/D3</f>
        <v>19.514787491991228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Sheet!a1:g5000""),2,FALSE),"""")"),"11 - March
11 - April
11 - May
11.5 - June
11 - July
11 - Aug
7.5 - Sept
6.5 - Oct
11.5 - Nov
7 - Dec
6.5 - Jan
8.5 - Feb")</f>
        <v>11 - March
11 - April
11 - May
11.5 - June
11 - July
11 - Aug
7.5 - Sept
6.5 - Oct
11.5 - Nov
7 - Dec
6.5 - Jan
8.5 -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QTY-1")</f>
        <v>Del QTY-1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QTY-3")</f>
        <v>US QTY-3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0</v>
      </c>
      <c r="X3" s="7">
        <f>W3/D3</f>
        <v>0</v>
      </c>
      <c r="Y3" s="6"/>
      <c r="Z3" s="5"/>
      <c r="AA3" s="5"/>
      <c r="AB3" s="5"/>
      <c r="AC3" s="5"/>
      <c r="AD3" s="6">
        <f>SUM(AD4:AD99765)</f>
        <v>-615.85474373688362</v>
      </c>
      <c r="AE3" s="6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Info!B2:BZ3000""),37,FALSE)),"""")*-1"),-17.710693728)</f>
        <v>-17.710693727999999</v>
      </c>
      <c r="AG3" s="6">
        <f>SUM(AG4:AG99765)</f>
        <v>0</v>
      </c>
    </row>
    <row r="4" spans="1:33" ht="15.75" customHeight="1">
      <c r="A4" s="14" t="s">
        <v>181</v>
      </c>
      <c r="B4" s="14" t="s">
        <v>1492</v>
      </c>
      <c r="C4" s="15">
        <f t="shared" ref="C4:C32" si="4">IFERROR(F4/D4," - ")</f>
        <v>52.114545454545421</v>
      </c>
      <c r="D4" s="16">
        <v>44</v>
      </c>
      <c r="E4" s="16">
        <v>0</v>
      </c>
      <c r="F4" s="17">
        <v>2293.0399999999986</v>
      </c>
      <c r="G4" s="17">
        <v>0</v>
      </c>
      <c r="H4" s="18">
        <f t="shared" si="1"/>
        <v>0</v>
      </c>
      <c r="I4" s="18">
        <f t="shared" si="2"/>
        <v>0.38962562780559101</v>
      </c>
      <c r="J4" s="17">
        <f t="shared" ref="J4:J32" si="5">F4*0.85+G4+AF4*D4+D4*AE4+AG4+AD4</f>
        <v>893.42714958333192</v>
      </c>
      <c r="K4" s="17">
        <f t="shared" si="3"/>
        <v>20.305162490530272</v>
      </c>
      <c r="L4" s="16">
        <v>132</v>
      </c>
      <c r="M4" s="19">
        <f t="shared" ref="M4:M32" si="6">IFERROR(D4/L4,"-")</f>
        <v>0.33333333333333331</v>
      </c>
      <c r="N4" s="16">
        <v>90</v>
      </c>
      <c r="O4" s="20">
        <f t="shared" ref="O4:P4" si="7">D4/7</f>
        <v>6.2857142857142856</v>
      </c>
      <c r="P4" s="20">
        <f t="shared" si="7"/>
        <v>0</v>
      </c>
      <c r="Q4" s="16">
        <f t="shared" ref="Q4:Q32" si="8">ROUNDDOWN(N4/(O4+P4),0)</f>
        <v>14</v>
      </c>
      <c r="R4" s="16"/>
      <c r="S4" s="21">
        <v>4.3863636363636296</v>
      </c>
      <c r="T4" s="14" t="s">
        <v>34</v>
      </c>
      <c r="U4" s="22" t="s">
        <v>34</v>
      </c>
      <c r="V4" s="23" t="s">
        <v>34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26" t="s">
        <v>35</v>
      </c>
      <c r="AB4" s="27">
        <f t="shared" ref="AB4:AB32" si="11">IF(OR(AA4="UsLargeStandardSize",AA4="UsSmallStandardSize"),-0.69,-0.48)</f>
        <v>-0.69</v>
      </c>
      <c r="AC4" s="28">
        <v>0.27615219907407407</v>
      </c>
      <c r="AD4" s="25">
        <f t="shared" ref="AD4:AD32" si="12">IFERROR(AB4*AC4*D4*2,0)</f>
        <v>-16.767961527777775</v>
      </c>
      <c r="AE4" s="25">
        <v>-7.32</v>
      </c>
      <c r="AF4" s="25">
        <v>-16.29111111111111</v>
      </c>
      <c r="AG4" s="25">
        <v>0</v>
      </c>
    </row>
    <row r="5" spans="1:33" ht="15.75" customHeight="1">
      <c r="A5" s="14" t="s">
        <v>183</v>
      </c>
      <c r="B5" s="14" t="s">
        <v>1493</v>
      </c>
      <c r="C5" s="15">
        <f t="shared" si="4"/>
        <v>57.910666666666657</v>
      </c>
      <c r="D5" s="16">
        <v>30</v>
      </c>
      <c r="E5" s="16">
        <v>0</v>
      </c>
      <c r="F5" s="29">
        <v>1737.3199999999997</v>
      </c>
      <c r="G5" s="29">
        <v>0</v>
      </c>
      <c r="H5" s="18">
        <f t="shared" si="1"/>
        <v>0</v>
      </c>
      <c r="I5" s="18">
        <f t="shared" si="2"/>
        <v>0.43569562199204942</v>
      </c>
      <c r="J5" s="17">
        <f t="shared" si="5"/>
        <v>756.94271799922717</v>
      </c>
      <c r="K5" s="17">
        <f t="shared" si="3"/>
        <v>25.231423933307571</v>
      </c>
      <c r="L5" s="16">
        <v>171</v>
      </c>
      <c r="M5" s="19">
        <f t="shared" si="6"/>
        <v>0.17543859649122806</v>
      </c>
      <c r="N5" s="16">
        <v>158</v>
      </c>
      <c r="O5" s="20">
        <f t="shared" ref="O5:P5" si="13">D5/7</f>
        <v>4.2857142857142856</v>
      </c>
      <c r="P5" s="20">
        <f t="shared" si="13"/>
        <v>0</v>
      </c>
      <c r="Q5" s="16">
        <f t="shared" si="8"/>
        <v>36</v>
      </c>
      <c r="R5" s="16"/>
      <c r="S5" s="21">
        <v>2.2786069651741201</v>
      </c>
      <c r="T5" s="14" t="s">
        <v>34</v>
      </c>
      <c r="U5" s="22" t="s">
        <v>34</v>
      </c>
      <c r="V5" s="23" t="s">
        <v>34</v>
      </c>
      <c r="W5" s="14">
        <v>0</v>
      </c>
      <c r="X5" s="24">
        <f t="shared" si="9"/>
        <v>0</v>
      </c>
      <c r="Y5" s="25">
        <f t="shared" si="10"/>
        <v>0</v>
      </c>
      <c r="Z5" s="14">
        <v>0</v>
      </c>
      <c r="AA5" s="14" t="s">
        <v>35</v>
      </c>
      <c r="AB5" s="27">
        <f t="shared" si="11"/>
        <v>-0.69</v>
      </c>
      <c r="AC5" s="28">
        <v>0.27647219003476248</v>
      </c>
      <c r="AD5" s="25">
        <f t="shared" si="12"/>
        <v>-11.445948667439167</v>
      </c>
      <c r="AE5" s="25">
        <v>-7.32</v>
      </c>
      <c r="AF5" s="25">
        <v>-16.29111111111111</v>
      </c>
      <c r="AG5" s="25">
        <v>0</v>
      </c>
    </row>
    <row r="6" spans="1:33" ht="15.75" customHeight="1">
      <c r="A6" s="14" t="s">
        <v>185</v>
      </c>
      <c r="B6" s="14" t="s">
        <v>1494</v>
      </c>
      <c r="C6" s="15">
        <f t="shared" si="4"/>
        <v>61.509999999999991</v>
      </c>
      <c r="D6" s="16">
        <v>11</v>
      </c>
      <c r="E6" s="16">
        <v>0</v>
      </c>
      <c r="F6" s="29">
        <v>676.6099999999999</v>
      </c>
      <c r="G6" s="29">
        <v>0</v>
      </c>
      <c r="H6" s="18">
        <f t="shared" si="1"/>
        <v>0</v>
      </c>
      <c r="I6" s="18">
        <f t="shared" si="2"/>
        <v>0.45994633155855419</v>
      </c>
      <c r="J6" s="17">
        <f t="shared" si="5"/>
        <v>311.20428739583332</v>
      </c>
      <c r="K6" s="17">
        <f t="shared" si="3"/>
        <v>28.291298854166666</v>
      </c>
      <c r="L6" s="16">
        <v>139</v>
      </c>
      <c r="M6" s="19">
        <f t="shared" si="6"/>
        <v>7.9136690647482008E-2</v>
      </c>
      <c r="N6" s="16">
        <v>147</v>
      </c>
      <c r="O6" s="20">
        <f t="shared" ref="O6:P6" si="14">D6/7</f>
        <v>1.5714285714285714</v>
      </c>
      <c r="P6" s="20">
        <f t="shared" si="14"/>
        <v>0</v>
      </c>
      <c r="Q6" s="16">
        <f t="shared" si="8"/>
        <v>93</v>
      </c>
      <c r="R6" s="16"/>
      <c r="S6" s="21">
        <v>2.7107438016528902</v>
      </c>
      <c r="T6" s="14">
        <v>348</v>
      </c>
      <c r="U6" s="22">
        <v>348</v>
      </c>
      <c r="V6" s="23" t="s">
        <v>1495</v>
      </c>
      <c r="W6" s="14">
        <v>0</v>
      </c>
      <c r="X6" s="24">
        <f t="shared" si="9"/>
        <v>0</v>
      </c>
      <c r="Y6" s="25">
        <f t="shared" si="10"/>
        <v>0</v>
      </c>
      <c r="Z6" s="14">
        <v>0</v>
      </c>
      <c r="AA6" s="14" t="s">
        <v>35</v>
      </c>
      <c r="AB6" s="27">
        <f t="shared" si="11"/>
        <v>-0.69</v>
      </c>
      <c r="AC6" s="28">
        <v>0.27615219907407407</v>
      </c>
      <c r="AD6" s="25">
        <f t="shared" si="12"/>
        <v>-4.1919903819444437</v>
      </c>
      <c r="AE6" s="25">
        <v>-7.32</v>
      </c>
      <c r="AF6" s="25">
        <v>-16.29111111111111</v>
      </c>
      <c r="AG6" s="25">
        <v>0</v>
      </c>
    </row>
    <row r="7" spans="1:33" ht="15.75" customHeight="1">
      <c r="A7" s="14" t="s">
        <v>187</v>
      </c>
      <c r="B7" s="14" t="s">
        <v>68</v>
      </c>
      <c r="C7" s="15">
        <f t="shared" si="4"/>
        <v>57.238250000000015</v>
      </c>
      <c r="D7" s="16">
        <v>40</v>
      </c>
      <c r="E7" s="16">
        <v>0</v>
      </c>
      <c r="F7" s="29">
        <v>2289.5300000000007</v>
      </c>
      <c r="G7" s="29">
        <v>0</v>
      </c>
      <c r="H7" s="18">
        <f t="shared" si="1"/>
        <v>0</v>
      </c>
      <c r="I7" s="18">
        <f t="shared" si="2"/>
        <v>0.43083622148068246</v>
      </c>
      <c r="J7" s="17">
        <f t="shared" si="5"/>
        <v>986.4124541666672</v>
      </c>
      <c r="K7" s="17">
        <f t="shared" si="3"/>
        <v>24.66031135416668</v>
      </c>
      <c r="L7" s="16">
        <v>147</v>
      </c>
      <c r="M7" s="19">
        <f t="shared" si="6"/>
        <v>0.27210884353741499</v>
      </c>
      <c r="N7" s="16">
        <v>182</v>
      </c>
      <c r="O7" s="20">
        <f t="shared" ref="O7:P7" si="15">D7/7</f>
        <v>5.7142857142857144</v>
      </c>
      <c r="P7" s="20">
        <f t="shared" si="15"/>
        <v>0</v>
      </c>
      <c r="Q7" s="16">
        <f t="shared" si="8"/>
        <v>31</v>
      </c>
      <c r="R7" s="16"/>
      <c r="S7" s="21">
        <v>2.90616621983914</v>
      </c>
      <c r="T7" s="14">
        <v>1000</v>
      </c>
      <c r="U7" s="22">
        <v>348</v>
      </c>
      <c r="V7" s="23" t="s">
        <v>1495</v>
      </c>
      <c r="W7" s="14">
        <v>0</v>
      </c>
      <c r="X7" s="24">
        <f t="shared" si="9"/>
        <v>0</v>
      </c>
      <c r="Y7" s="25">
        <f t="shared" si="10"/>
        <v>0</v>
      </c>
      <c r="Z7" s="14">
        <v>0</v>
      </c>
      <c r="AA7" s="14" t="s">
        <v>35</v>
      </c>
      <c r="AB7" s="27">
        <f t="shared" si="11"/>
        <v>-0.69</v>
      </c>
      <c r="AC7" s="28">
        <v>0.27615219907407407</v>
      </c>
      <c r="AD7" s="25">
        <f t="shared" si="12"/>
        <v>-15.243601388888887</v>
      </c>
      <c r="AE7" s="25">
        <v>-7.32</v>
      </c>
      <c r="AF7" s="25">
        <v>-16.29111111111111</v>
      </c>
      <c r="AG7" s="25">
        <v>0</v>
      </c>
    </row>
    <row r="8" spans="1:33" ht="15.75" customHeight="1">
      <c r="A8" s="14" t="s">
        <v>189</v>
      </c>
      <c r="B8" s="14" t="s">
        <v>1496</v>
      </c>
      <c r="C8" s="15">
        <f t="shared" si="4"/>
        <v>48.885178571428582</v>
      </c>
      <c r="D8" s="16">
        <v>56</v>
      </c>
      <c r="E8" s="16">
        <v>0</v>
      </c>
      <c r="F8" s="29">
        <v>2737.5700000000006</v>
      </c>
      <c r="G8" s="29">
        <v>-0.05</v>
      </c>
      <c r="H8" s="18">
        <f t="shared" si="1"/>
        <v>1.8264373148449168E-5</v>
      </c>
      <c r="I8" s="18">
        <f t="shared" si="2"/>
        <v>0.35921764851877958</v>
      </c>
      <c r="J8" s="17">
        <f t="shared" si="5"/>
        <v>983.38345805555559</v>
      </c>
      <c r="K8" s="17">
        <f t="shared" si="3"/>
        <v>17.560418893849207</v>
      </c>
      <c r="L8" s="16">
        <v>151</v>
      </c>
      <c r="M8" s="19">
        <f t="shared" si="6"/>
        <v>0.37086092715231789</v>
      </c>
      <c r="N8" s="16">
        <v>121</v>
      </c>
      <c r="O8" s="20">
        <f t="shared" ref="O8:P8" si="16">D8/7</f>
        <v>8</v>
      </c>
      <c r="P8" s="20">
        <f t="shared" si="16"/>
        <v>0</v>
      </c>
      <c r="Q8" s="16">
        <f t="shared" si="8"/>
        <v>15</v>
      </c>
      <c r="R8" s="16"/>
      <c r="S8" s="21">
        <v>4.4518272425249101</v>
      </c>
      <c r="T8" s="14">
        <v>652</v>
      </c>
      <c r="U8" s="22" t="s">
        <v>34</v>
      </c>
      <c r="V8" s="23" t="s">
        <v>34</v>
      </c>
      <c r="W8" s="14">
        <v>0</v>
      </c>
      <c r="X8" s="24">
        <f t="shared" si="9"/>
        <v>0</v>
      </c>
      <c r="Y8" s="25">
        <f t="shared" si="10"/>
        <v>0</v>
      </c>
      <c r="Z8" s="14">
        <v>0</v>
      </c>
      <c r="AA8" s="14" t="s">
        <v>35</v>
      </c>
      <c r="AB8" s="27">
        <f t="shared" si="11"/>
        <v>-0.69</v>
      </c>
      <c r="AC8" s="28">
        <v>0.27615219907407407</v>
      </c>
      <c r="AD8" s="25">
        <f t="shared" si="12"/>
        <v>-21.341041944444441</v>
      </c>
      <c r="AE8" s="25">
        <v>-7.32</v>
      </c>
      <c r="AF8" s="25">
        <v>-16.29</v>
      </c>
      <c r="AG8" s="25">
        <v>0</v>
      </c>
    </row>
    <row r="9" spans="1:33" ht="15.75" customHeight="1">
      <c r="A9" s="14" t="s">
        <v>191</v>
      </c>
      <c r="B9" s="14" t="s">
        <v>1497</v>
      </c>
      <c r="C9" s="15">
        <f t="shared" si="4"/>
        <v>48.402769230769223</v>
      </c>
      <c r="D9" s="16">
        <v>65</v>
      </c>
      <c r="E9" s="16">
        <v>0</v>
      </c>
      <c r="F9" s="29">
        <v>3146.1799999999994</v>
      </c>
      <c r="G9" s="29">
        <v>0</v>
      </c>
      <c r="H9" s="18">
        <f t="shared" si="1"/>
        <v>0</v>
      </c>
      <c r="I9" s="18">
        <f t="shared" si="2"/>
        <v>0.34734324481284712</v>
      </c>
      <c r="J9" s="17">
        <f t="shared" si="5"/>
        <v>1092.8043699652831</v>
      </c>
      <c r="K9" s="17">
        <f t="shared" si="3"/>
        <v>16.812374922542816</v>
      </c>
      <c r="L9" s="16">
        <v>229</v>
      </c>
      <c r="M9" s="19">
        <f t="shared" si="6"/>
        <v>0.28384279475982532</v>
      </c>
      <c r="N9" s="16">
        <v>56</v>
      </c>
      <c r="O9" s="20">
        <f t="shared" ref="O9:P9" si="17">D9/7</f>
        <v>9.2857142857142865</v>
      </c>
      <c r="P9" s="20">
        <f t="shared" si="17"/>
        <v>0</v>
      </c>
      <c r="Q9" s="16">
        <f t="shared" si="8"/>
        <v>6</v>
      </c>
      <c r="R9" s="16"/>
      <c r="S9" s="21">
        <v>3.5526315789473601</v>
      </c>
      <c r="T9" s="14">
        <v>652</v>
      </c>
      <c r="U9" s="22" t="s">
        <v>34</v>
      </c>
      <c r="V9" s="23" t="s">
        <v>34</v>
      </c>
      <c r="W9" s="14">
        <v>0</v>
      </c>
      <c r="X9" s="24">
        <f t="shared" si="9"/>
        <v>0</v>
      </c>
      <c r="Y9" s="25">
        <f t="shared" si="10"/>
        <v>0</v>
      </c>
      <c r="Z9" s="14">
        <v>0</v>
      </c>
      <c r="AA9" s="14" t="s">
        <v>35</v>
      </c>
      <c r="AB9" s="27">
        <f t="shared" si="11"/>
        <v>-0.69</v>
      </c>
      <c r="AC9" s="28">
        <v>0.27615219907407407</v>
      </c>
      <c r="AD9" s="25">
        <f t="shared" si="12"/>
        <v>-24.770852256944444</v>
      </c>
      <c r="AE9" s="25">
        <v>-7.32</v>
      </c>
      <c r="AF9" s="25">
        <v>-16.628888888888799</v>
      </c>
      <c r="AG9" s="25">
        <v>0</v>
      </c>
    </row>
    <row r="10" spans="1:33" ht="15.75" customHeight="1">
      <c r="A10" s="14" t="s">
        <v>192</v>
      </c>
      <c r="B10" s="14" t="s">
        <v>68</v>
      </c>
      <c r="C10" s="15">
        <f t="shared" si="4"/>
        <v>55.183050847457594</v>
      </c>
      <c r="D10" s="16">
        <v>59</v>
      </c>
      <c r="E10" s="16">
        <v>0</v>
      </c>
      <c r="F10" s="29">
        <v>3255.7999999999979</v>
      </c>
      <c r="G10" s="29">
        <v>0</v>
      </c>
      <c r="H10" s="18">
        <f t="shared" si="1"/>
        <v>0</v>
      </c>
      <c r="I10" s="18">
        <f t="shared" si="2"/>
        <v>0.40910413523771372</v>
      </c>
      <c r="J10" s="17">
        <f t="shared" si="5"/>
        <v>1331.9612435069475</v>
      </c>
      <c r="K10" s="17">
        <f t="shared" si="3"/>
        <v>22.575614296727924</v>
      </c>
      <c r="L10" s="16">
        <v>263</v>
      </c>
      <c r="M10" s="19">
        <f t="shared" si="6"/>
        <v>0.22433460076045628</v>
      </c>
      <c r="N10" s="16">
        <v>258</v>
      </c>
      <c r="O10" s="20">
        <f t="shared" ref="O10:P10" si="18">D10/7</f>
        <v>8.4285714285714288</v>
      </c>
      <c r="P10" s="20">
        <f t="shared" si="18"/>
        <v>0</v>
      </c>
      <c r="Q10" s="16">
        <f t="shared" si="8"/>
        <v>30</v>
      </c>
      <c r="R10" s="16"/>
      <c r="S10" s="21">
        <v>2.828025477707</v>
      </c>
      <c r="T10" s="14">
        <v>652</v>
      </c>
      <c r="U10" s="22">
        <v>200</v>
      </c>
      <c r="V10" s="23" t="s">
        <v>1498</v>
      </c>
      <c r="W10" s="14">
        <v>0</v>
      </c>
      <c r="X10" s="24">
        <f t="shared" si="9"/>
        <v>0</v>
      </c>
      <c r="Y10" s="25">
        <f t="shared" si="10"/>
        <v>0</v>
      </c>
      <c r="Z10" s="14">
        <v>0</v>
      </c>
      <c r="AA10" s="14" t="s">
        <v>35</v>
      </c>
      <c r="AB10" s="27">
        <f t="shared" si="11"/>
        <v>-0.69</v>
      </c>
      <c r="AC10" s="28">
        <v>0.27615219907407407</v>
      </c>
      <c r="AD10" s="25">
        <f t="shared" si="12"/>
        <v>-22.484312048611109</v>
      </c>
      <c r="AE10" s="25">
        <v>-7.32</v>
      </c>
      <c r="AF10" s="25">
        <v>-16.628888888888799</v>
      </c>
      <c r="AG10" s="25">
        <v>0</v>
      </c>
    </row>
    <row r="11" spans="1:33" ht="15.75" customHeight="1">
      <c r="A11" s="14" t="s">
        <v>193</v>
      </c>
      <c r="B11" s="14" t="s">
        <v>68</v>
      </c>
      <c r="C11" s="15">
        <f t="shared" si="4"/>
        <v>55.309890109890127</v>
      </c>
      <c r="D11" s="16">
        <v>91</v>
      </c>
      <c r="E11" s="16">
        <v>0</v>
      </c>
      <c r="F11" s="29">
        <v>5033.2000000000016</v>
      </c>
      <c r="G11" s="29">
        <v>0</v>
      </c>
      <c r="H11" s="18">
        <f t="shared" si="1"/>
        <v>0</v>
      </c>
      <c r="I11" s="18">
        <f t="shared" si="2"/>
        <v>0.41011521853917937</v>
      </c>
      <c r="J11" s="17">
        <f t="shared" si="5"/>
        <v>2064.1919179513984</v>
      </c>
      <c r="K11" s="17">
        <f t="shared" si="3"/>
        <v>22.683427669795588</v>
      </c>
      <c r="L11" s="16">
        <v>185</v>
      </c>
      <c r="M11" s="19">
        <f t="shared" si="6"/>
        <v>0.49189189189189192</v>
      </c>
      <c r="N11" s="16">
        <v>230</v>
      </c>
      <c r="O11" s="20">
        <f t="shared" ref="O11:P11" si="19">D11/7</f>
        <v>13</v>
      </c>
      <c r="P11" s="20">
        <f t="shared" si="19"/>
        <v>0</v>
      </c>
      <c r="Q11" s="16">
        <f t="shared" si="8"/>
        <v>17</v>
      </c>
      <c r="R11" s="16"/>
      <c r="S11" s="21">
        <v>3.3448818897637702</v>
      </c>
      <c r="T11" s="14">
        <v>652</v>
      </c>
      <c r="U11" s="22">
        <v>200</v>
      </c>
      <c r="V11" s="23" t="s">
        <v>1498</v>
      </c>
      <c r="W11" s="14">
        <v>0</v>
      </c>
      <c r="X11" s="24">
        <f t="shared" si="9"/>
        <v>0</v>
      </c>
      <c r="Y11" s="25">
        <f t="shared" si="10"/>
        <v>0</v>
      </c>
      <c r="Z11" s="14">
        <v>0</v>
      </c>
      <c r="AA11" s="14" t="s">
        <v>35</v>
      </c>
      <c r="AB11" s="27">
        <f t="shared" si="11"/>
        <v>-0.69</v>
      </c>
      <c r="AC11" s="28">
        <v>0.27615219907407407</v>
      </c>
      <c r="AD11" s="25">
        <f t="shared" si="12"/>
        <v>-34.679193159722217</v>
      </c>
      <c r="AE11" s="25">
        <v>-7.32</v>
      </c>
      <c r="AF11" s="25">
        <v>-16.628888888888799</v>
      </c>
      <c r="AG11" s="25">
        <v>0</v>
      </c>
    </row>
    <row r="12" spans="1:33" ht="15.75" customHeight="1">
      <c r="A12" s="14" t="s">
        <v>195</v>
      </c>
      <c r="B12" s="14" t="s">
        <v>1499</v>
      </c>
      <c r="C12" s="15">
        <f t="shared" si="4"/>
        <v>59.684509803921564</v>
      </c>
      <c r="D12" s="16">
        <v>51</v>
      </c>
      <c r="E12" s="16">
        <v>0</v>
      </c>
      <c r="F12" s="29">
        <v>3043.91</v>
      </c>
      <c r="G12" s="29">
        <v>0</v>
      </c>
      <c r="H12" s="18">
        <f t="shared" si="1"/>
        <v>0</v>
      </c>
      <c r="I12" s="18">
        <f t="shared" si="2"/>
        <v>0.44235689455201965</v>
      </c>
      <c r="J12" s="17">
        <f t="shared" si="5"/>
        <v>1346.494574895838</v>
      </c>
      <c r="K12" s="17">
        <f t="shared" si="3"/>
        <v>26.401854409722315</v>
      </c>
      <c r="L12" s="16">
        <v>158</v>
      </c>
      <c r="M12" s="19">
        <f t="shared" si="6"/>
        <v>0.32278481012658228</v>
      </c>
      <c r="N12" s="16">
        <v>159</v>
      </c>
      <c r="O12" s="20">
        <f t="shared" ref="O12:P12" si="20">D12/7</f>
        <v>7.2857142857142856</v>
      </c>
      <c r="P12" s="20">
        <f t="shared" si="20"/>
        <v>0</v>
      </c>
      <c r="Q12" s="16">
        <f t="shared" si="8"/>
        <v>21</v>
      </c>
      <c r="R12" s="16"/>
      <c r="S12" s="21">
        <v>4.7109375</v>
      </c>
      <c r="T12" s="14">
        <v>652</v>
      </c>
      <c r="U12" s="22">
        <v>200</v>
      </c>
      <c r="V12" s="23" t="s">
        <v>1500</v>
      </c>
      <c r="W12" s="14">
        <v>0</v>
      </c>
      <c r="X12" s="24">
        <f t="shared" si="9"/>
        <v>0</v>
      </c>
      <c r="Y12" s="25">
        <f t="shared" si="10"/>
        <v>0</v>
      </c>
      <c r="Z12" s="14">
        <v>0</v>
      </c>
      <c r="AA12" s="14" t="s">
        <v>35</v>
      </c>
      <c r="AB12" s="27">
        <f t="shared" si="11"/>
        <v>-0.69</v>
      </c>
      <c r="AC12" s="28">
        <v>0.27615219907407407</v>
      </c>
      <c r="AD12" s="25">
        <f t="shared" si="12"/>
        <v>-19.43559177083333</v>
      </c>
      <c r="AE12" s="25">
        <v>-7.32</v>
      </c>
      <c r="AF12" s="25">
        <v>-16.628888888888799</v>
      </c>
      <c r="AG12" s="25">
        <v>0</v>
      </c>
    </row>
    <row r="13" spans="1:33" ht="15.75" customHeight="1">
      <c r="A13" s="14" t="s">
        <v>197</v>
      </c>
      <c r="B13" s="14" t="s">
        <v>68</v>
      </c>
      <c r="C13" s="15">
        <f t="shared" si="4"/>
        <v>56.970327868852443</v>
      </c>
      <c r="D13" s="16">
        <v>61</v>
      </c>
      <c r="E13" s="16">
        <v>0</v>
      </c>
      <c r="F13" s="17">
        <v>3475.1899999999991</v>
      </c>
      <c r="G13" s="29">
        <v>0</v>
      </c>
      <c r="H13" s="18">
        <f t="shared" si="1"/>
        <v>0</v>
      </c>
      <c r="I13" s="18">
        <f t="shared" si="2"/>
        <v>0.41981541763623903</v>
      </c>
      <c r="J13" s="17">
        <f t="shared" si="5"/>
        <v>1458.9383412152811</v>
      </c>
      <c r="K13" s="17">
        <f t="shared" si="3"/>
        <v>23.917021987135755</v>
      </c>
      <c r="L13" s="16">
        <v>98</v>
      </c>
      <c r="M13" s="19">
        <f t="shared" si="6"/>
        <v>0.62244897959183676</v>
      </c>
      <c r="N13" s="16">
        <v>127</v>
      </c>
      <c r="O13" s="20">
        <f t="shared" ref="O13:P13" si="21">D13/7</f>
        <v>8.7142857142857135</v>
      </c>
      <c r="P13" s="20">
        <f t="shared" si="21"/>
        <v>0</v>
      </c>
      <c r="Q13" s="16">
        <f t="shared" si="8"/>
        <v>14</v>
      </c>
      <c r="R13" s="16"/>
      <c r="S13" s="21">
        <v>5.47272727272727</v>
      </c>
      <c r="T13" s="14">
        <v>652</v>
      </c>
      <c r="U13" s="22">
        <v>200</v>
      </c>
      <c r="V13" s="23" t="s">
        <v>1500</v>
      </c>
      <c r="W13" s="14">
        <v>0</v>
      </c>
      <c r="X13" s="24">
        <f t="shared" si="9"/>
        <v>0</v>
      </c>
      <c r="Y13" s="25">
        <f t="shared" si="10"/>
        <v>0</v>
      </c>
      <c r="Z13" s="14">
        <v>0</v>
      </c>
      <c r="AA13" s="14" t="s">
        <v>35</v>
      </c>
      <c r="AB13" s="27">
        <f t="shared" si="11"/>
        <v>-0.69</v>
      </c>
      <c r="AC13" s="28">
        <v>0.27615219907407407</v>
      </c>
      <c r="AD13" s="25">
        <f t="shared" si="12"/>
        <v>-23.246492118055553</v>
      </c>
      <c r="AE13" s="25">
        <v>-7.32</v>
      </c>
      <c r="AF13" s="25">
        <v>-16.806666666666601</v>
      </c>
      <c r="AG13" s="25">
        <v>0</v>
      </c>
    </row>
    <row r="14" spans="1:33" ht="15.75" customHeight="1">
      <c r="A14" s="14" t="s">
        <v>32</v>
      </c>
      <c r="B14" s="14" t="s">
        <v>68</v>
      </c>
      <c r="C14" s="15">
        <f t="shared" si="4"/>
        <v>54.309302325581413</v>
      </c>
      <c r="D14" s="16">
        <v>86</v>
      </c>
      <c r="E14" s="16">
        <v>0</v>
      </c>
      <c r="F14" s="17">
        <v>4670.6000000000013</v>
      </c>
      <c r="G14" s="29">
        <v>-0.04</v>
      </c>
      <c r="H14" s="18">
        <f t="shared" si="1"/>
        <v>8.5642101657174653E-6</v>
      </c>
      <c r="I14" s="18">
        <f t="shared" si="2"/>
        <v>0.39872884076576071</v>
      </c>
      <c r="J14" s="17">
        <f t="shared" si="5"/>
        <v>1862.3029236805626</v>
      </c>
      <c r="K14" s="17">
        <f t="shared" si="3"/>
        <v>21.654685159076308</v>
      </c>
      <c r="L14" s="16">
        <v>192</v>
      </c>
      <c r="M14" s="19">
        <f t="shared" si="6"/>
        <v>0.44791666666666669</v>
      </c>
      <c r="N14" s="16">
        <v>41</v>
      </c>
      <c r="O14" s="20">
        <f t="shared" ref="O14:P14" si="22">D14/7</f>
        <v>12.285714285714286</v>
      </c>
      <c r="P14" s="20">
        <f t="shared" si="22"/>
        <v>0</v>
      </c>
      <c r="Q14" s="16">
        <f t="shared" si="8"/>
        <v>3</v>
      </c>
      <c r="R14" s="16"/>
      <c r="S14" s="21">
        <v>5.3201581027667899</v>
      </c>
      <c r="T14" s="14">
        <v>200</v>
      </c>
      <c r="U14" s="22">
        <v>200</v>
      </c>
      <c r="V14" s="23" t="s">
        <v>1500</v>
      </c>
      <c r="W14" s="14">
        <v>0</v>
      </c>
      <c r="X14" s="24">
        <f t="shared" si="9"/>
        <v>0</v>
      </c>
      <c r="Y14" s="25">
        <f t="shared" si="10"/>
        <v>0</v>
      </c>
      <c r="Z14" s="14">
        <v>0</v>
      </c>
      <c r="AA14" s="14" t="s">
        <v>35</v>
      </c>
      <c r="AB14" s="27">
        <f t="shared" si="11"/>
        <v>-0.69</v>
      </c>
      <c r="AC14" s="28">
        <v>0.27615219907407407</v>
      </c>
      <c r="AD14" s="25">
        <f t="shared" si="12"/>
        <v>-32.77374298611111</v>
      </c>
      <c r="AE14" s="25">
        <v>-7.32</v>
      </c>
      <c r="AF14" s="25">
        <v>-16.806666666666601</v>
      </c>
      <c r="AG14" s="25">
        <v>0</v>
      </c>
    </row>
    <row r="15" spans="1:33" ht="15.75" customHeight="1">
      <c r="A15" s="14" t="s">
        <v>36</v>
      </c>
      <c r="B15" s="14" t="s">
        <v>68</v>
      </c>
      <c r="C15" s="15">
        <f t="shared" si="4"/>
        <v>54.266874999999992</v>
      </c>
      <c r="D15" s="16">
        <v>48</v>
      </c>
      <c r="E15" s="16">
        <v>0</v>
      </c>
      <c r="F15" s="17">
        <v>2604.8099999999995</v>
      </c>
      <c r="G15" s="29">
        <v>0</v>
      </c>
      <c r="H15" s="18">
        <f t="shared" si="1"/>
        <v>0</v>
      </c>
      <c r="I15" s="18">
        <f t="shared" si="2"/>
        <v>0.38714385246268862</v>
      </c>
      <c r="J15" s="17">
        <f t="shared" si="5"/>
        <v>1008.4361783333358</v>
      </c>
      <c r="K15" s="17">
        <f t="shared" si="3"/>
        <v>21.00908704861116</v>
      </c>
      <c r="L15" s="16">
        <v>177</v>
      </c>
      <c r="M15" s="19">
        <f t="shared" si="6"/>
        <v>0.2711864406779661</v>
      </c>
      <c r="N15" s="16">
        <v>297</v>
      </c>
      <c r="O15" s="20">
        <f t="shared" ref="O15:P15" si="23">D15/7</f>
        <v>6.8571428571428568</v>
      </c>
      <c r="P15" s="20">
        <f t="shared" si="23"/>
        <v>0</v>
      </c>
      <c r="Q15" s="16">
        <f t="shared" si="8"/>
        <v>43</v>
      </c>
      <c r="R15" s="16"/>
      <c r="S15" s="21">
        <v>3.1213872832369902</v>
      </c>
      <c r="T15" s="14">
        <v>200</v>
      </c>
      <c r="U15" s="22">
        <v>200</v>
      </c>
      <c r="V15" s="23" t="s">
        <v>1501</v>
      </c>
      <c r="W15" s="14">
        <v>0</v>
      </c>
      <c r="X15" s="24">
        <f t="shared" si="9"/>
        <v>0</v>
      </c>
      <c r="Y15" s="25">
        <f t="shared" si="10"/>
        <v>0</v>
      </c>
      <c r="Z15" s="14">
        <v>0</v>
      </c>
      <c r="AA15" s="14" t="s">
        <v>35</v>
      </c>
      <c r="AB15" s="27">
        <f t="shared" si="11"/>
        <v>-0.69</v>
      </c>
      <c r="AC15" s="28">
        <v>0.27615219907407407</v>
      </c>
      <c r="AD15" s="25">
        <f t="shared" si="12"/>
        <v>-18.292321666666666</v>
      </c>
      <c r="AE15" s="25">
        <v>-7.32</v>
      </c>
      <c r="AF15" s="25">
        <v>-17.4166666666666</v>
      </c>
      <c r="AG15" s="25">
        <v>0</v>
      </c>
    </row>
    <row r="16" spans="1:33" ht="15.75" customHeight="1">
      <c r="A16" s="14" t="s">
        <v>38</v>
      </c>
      <c r="B16" s="14" t="s">
        <v>1502</v>
      </c>
      <c r="C16" s="15">
        <f t="shared" si="4"/>
        <v>54.218260869565214</v>
      </c>
      <c r="D16" s="16">
        <v>46</v>
      </c>
      <c r="E16" s="16">
        <v>0</v>
      </c>
      <c r="F16" s="17">
        <v>2494.04</v>
      </c>
      <c r="G16" s="29">
        <v>0</v>
      </c>
      <c r="H16" s="18">
        <f t="shared" si="1"/>
        <v>0</v>
      </c>
      <c r="I16" s="18">
        <f t="shared" si="2"/>
        <v>0.38672883824482124</v>
      </c>
      <c r="J16" s="17">
        <f t="shared" si="5"/>
        <v>964.51719173611389</v>
      </c>
      <c r="K16" s="17">
        <f t="shared" si="3"/>
        <v>20.967765037741607</v>
      </c>
      <c r="L16" s="16">
        <v>165</v>
      </c>
      <c r="M16" s="19">
        <f t="shared" si="6"/>
        <v>0.27878787878787881</v>
      </c>
      <c r="N16" s="16">
        <v>250</v>
      </c>
      <c r="O16" s="20">
        <f t="shared" ref="O16:P16" si="24">D16/7</f>
        <v>6.5714285714285712</v>
      </c>
      <c r="P16" s="20">
        <f t="shared" si="24"/>
        <v>0</v>
      </c>
      <c r="Q16" s="16">
        <f t="shared" si="8"/>
        <v>38</v>
      </c>
      <c r="R16" s="16"/>
      <c r="S16" s="21">
        <v>3.5249042145593799</v>
      </c>
      <c r="T16" s="14">
        <v>200</v>
      </c>
      <c r="U16" s="22">
        <v>200</v>
      </c>
      <c r="V16" s="23" t="s">
        <v>1501</v>
      </c>
      <c r="W16" s="14">
        <v>0</v>
      </c>
      <c r="X16" s="24">
        <f t="shared" si="9"/>
        <v>0</v>
      </c>
      <c r="Y16" s="25">
        <f t="shared" si="10"/>
        <v>0</v>
      </c>
      <c r="Z16" s="14">
        <v>0</v>
      </c>
      <c r="AA16" s="14" t="s">
        <v>35</v>
      </c>
      <c r="AB16" s="27">
        <f t="shared" si="11"/>
        <v>-0.69</v>
      </c>
      <c r="AC16" s="28">
        <v>0.27615219907407407</v>
      </c>
      <c r="AD16" s="25">
        <f t="shared" si="12"/>
        <v>-17.530141597222222</v>
      </c>
      <c r="AE16" s="25">
        <v>-7.32</v>
      </c>
      <c r="AF16" s="25">
        <v>-17.4166666666666</v>
      </c>
      <c r="AG16" s="25">
        <v>0</v>
      </c>
    </row>
    <row r="17" spans="1:33" ht="15.75" customHeight="1">
      <c r="A17" s="14" t="s">
        <v>40</v>
      </c>
      <c r="B17" s="14" t="s">
        <v>68</v>
      </c>
      <c r="C17" s="15">
        <f t="shared" si="4"/>
        <v>50.111159420289866</v>
      </c>
      <c r="D17" s="16">
        <v>69</v>
      </c>
      <c r="E17" s="16">
        <v>0</v>
      </c>
      <c r="F17" s="17">
        <v>3457.670000000001</v>
      </c>
      <c r="G17" s="29">
        <v>0</v>
      </c>
      <c r="H17" s="18">
        <f t="shared" si="1"/>
        <v>0</v>
      </c>
      <c r="I17" s="18">
        <f t="shared" si="2"/>
        <v>0.34875921866579862</v>
      </c>
      <c r="J17" s="17">
        <f t="shared" si="5"/>
        <v>1205.8942876041722</v>
      </c>
      <c r="K17" s="17">
        <f t="shared" si="3"/>
        <v>17.476728805857569</v>
      </c>
      <c r="L17" s="16">
        <v>189</v>
      </c>
      <c r="M17" s="19">
        <f t="shared" si="6"/>
        <v>0.36507936507936506</v>
      </c>
      <c r="N17" s="16">
        <v>193</v>
      </c>
      <c r="O17" s="20">
        <f t="shared" ref="O17:P17" si="25">D17/7</f>
        <v>9.8571428571428577</v>
      </c>
      <c r="P17" s="20">
        <f t="shared" si="25"/>
        <v>0</v>
      </c>
      <c r="Q17" s="16">
        <f t="shared" si="8"/>
        <v>19</v>
      </c>
      <c r="R17" s="16"/>
      <c r="S17" s="21">
        <v>4.6123128119800301</v>
      </c>
      <c r="T17" s="14">
        <v>200</v>
      </c>
      <c r="U17" s="22">
        <v>200</v>
      </c>
      <c r="V17" s="23" t="s">
        <v>1501</v>
      </c>
      <c r="W17" s="14">
        <v>0</v>
      </c>
      <c r="X17" s="24">
        <f t="shared" si="9"/>
        <v>0</v>
      </c>
      <c r="Y17" s="25">
        <f t="shared" si="10"/>
        <v>0</v>
      </c>
      <c r="Z17" s="14">
        <v>0</v>
      </c>
      <c r="AA17" s="14" t="s">
        <v>35</v>
      </c>
      <c r="AB17" s="27">
        <f t="shared" si="11"/>
        <v>-0.69</v>
      </c>
      <c r="AC17" s="28">
        <v>0.27615219907407407</v>
      </c>
      <c r="AD17" s="25">
        <f t="shared" si="12"/>
        <v>-26.295212395833332</v>
      </c>
      <c r="AE17" s="25">
        <v>-7.32</v>
      </c>
      <c r="AF17" s="25">
        <v>-17.4166666666666</v>
      </c>
      <c r="AG17" s="25">
        <v>0</v>
      </c>
    </row>
    <row r="18" spans="1:33" ht="15.75" customHeight="1">
      <c r="A18" s="14" t="s">
        <v>42</v>
      </c>
      <c r="B18" s="14" t="s">
        <v>68</v>
      </c>
      <c r="C18" s="15">
        <f t="shared" si="4"/>
        <v>46.741090909090886</v>
      </c>
      <c r="D18" s="16">
        <v>55</v>
      </c>
      <c r="E18" s="16">
        <v>0</v>
      </c>
      <c r="F18" s="17">
        <v>2570.7599999999989</v>
      </c>
      <c r="G18" s="29">
        <v>0</v>
      </c>
      <c r="H18" s="18">
        <f t="shared" si="1"/>
        <v>0</v>
      </c>
      <c r="I18" s="18">
        <f t="shared" si="2"/>
        <v>0.31261937381304128</v>
      </c>
      <c r="J18" s="17">
        <f t="shared" si="5"/>
        <v>803.66938142361369</v>
      </c>
      <c r="K18" s="17">
        <f t="shared" si="3"/>
        <v>14.61217057133843</v>
      </c>
      <c r="L18" s="16">
        <v>235</v>
      </c>
      <c r="M18" s="19">
        <f t="shared" si="6"/>
        <v>0.23404255319148937</v>
      </c>
      <c r="N18" s="16">
        <v>129</v>
      </c>
      <c r="O18" s="20">
        <f t="shared" ref="O18:P18" si="26">D18/7</f>
        <v>7.8571428571428568</v>
      </c>
      <c r="P18" s="20">
        <f t="shared" si="26"/>
        <v>0</v>
      </c>
      <c r="Q18" s="16">
        <f t="shared" si="8"/>
        <v>16</v>
      </c>
      <c r="R18" s="16"/>
      <c r="S18" s="21">
        <v>6.6666666666666599</v>
      </c>
      <c r="T18" s="14">
        <v>200</v>
      </c>
      <c r="U18" s="22">
        <v>0</v>
      </c>
      <c r="V18" s="23" t="s">
        <v>1339</v>
      </c>
      <c r="W18" s="14">
        <v>0</v>
      </c>
      <c r="X18" s="24">
        <f t="shared" si="9"/>
        <v>0</v>
      </c>
      <c r="Y18" s="25">
        <f t="shared" si="10"/>
        <v>0</v>
      </c>
      <c r="Z18" s="14">
        <v>0</v>
      </c>
      <c r="AA18" s="14" t="s">
        <v>35</v>
      </c>
      <c r="AB18" s="27">
        <f t="shared" si="11"/>
        <v>-0.69</v>
      </c>
      <c r="AC18" s="28">
        <v>0.27615219907407407</v>
      </c>
      <c r="AD18" s="25">
        <f t="shared" si="12"/>
        <v>-20.959951909722221</v>
      </c>
      <c r="AE18" s="25">
        <v>-7.32</v>
      </c>
      <c r="AF18" s="25">
        <v>-17.4166666666666</v>
      </c>
      <c r="AG18" s="25">
        <v>0</v>
      </c>
    </row>
    <row r="19" spans="1:33" ht="15.75" customHeight="1">
      <c r="A19" s="14" t="s">
        <v>44</v>
      </c>
      <c r="B19" s="14" t="s">
        <v>1503</v>
      </c>
      <c r="C19" s="15">
        <f t="shared" si="4"/>
        <v>44.312363636363564</v>
      </c>
      <c r="D19" s="16">
        <v>110</v>
      </c>
      <c r="E19" s="16">
        <v>0</v>
      </c>
      <c r="F19" s="17">
        <v>4874.3599999999924</v>
      </c>
      <c r="G19" s="29">
        <v>0</v>
      </c>
      <c r="H19" s="18">
        <f t="shared" si="1"/>
        <v>0</v>
      </c>
      <c r="I19" s="18">
        <f t="shared" si="2"/>
        <v>0.2650784437028077</v>
      </c>
      <c r="J19" s="17">
        <f t="shared" si="5"/>
        <v>1292.0877628472158</v>
      </c>
      <c r="K19" s="17">
        <f t="shared" si="3"/>
        <v>11.746252389520144</v>
      </c>
      <c r="L19" s="16">
        <v>256</v>
      </c>
      <c r="M19" s="19">
        <f t="shared" si="6"/>
        <v>0.4296875</v>
      </c>
      <c r="N19" s="16">
        <v>622</v>
      </c>
      <c r="O19" s="20">
        <f t="shared" ref="O19:P19" si="27">D19/7</f>
        <v>15.714285714285714</v>
      </c>
      <c r="P19" s="20">
        <f t="shared" si="27"/>
        <v>0</v>
      </c>
      <c r="Q19" s="16">
        <f t="shared" si="8"/>
        <v>39</v>
      </c>
      <c r="R19" s="16"/>
      <c r="S19" s="21">
        <v>2.20056497175141</v>
      </c>
      <c r="T19" s="14">
        <v>0</v>
      </c>
      <c r="U19" s="22" t="s">
        <v>34</v>
      </c>
      <c r="V19" s="23" t="s">
        <v>34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14" t="s">
        <v>35</v>
      </c>
      <c r="AB19" s="27">
        <f t="shared" si="11"/>
        <v>-0.69</v>
      </c>
      <c r="AC19" s="28">
        <v>0.27615219907407407</v>
      </c>
      <c r="AD19" s="25">
        <f t="shared" si="12"/>
        <v>-41.919903819444443</v>
      </c>
      <c r="AE19" s="25">
        <v>-7.32</v>
      </c>
      <c r="AF19" s="25">
        <v>-18.218166666666669</v>
      </c>
      <c r="AG19" s="25">
        <v>0</v>
      </c>
    </row>
    <row r="20" spans="1:33" ht="15.75" customHeight="1">
      <c r="A20" s="14" t="s">
        <v>46</v>
      </c>
      <c r="B20" s="14" t="s">
        <v>1504</v>
      </c>
      <c r="C20" s="15">
        <f t="shared" si="4"/>
        <v>45.418484848484852</v>
      </c>
      <c r="D20" s="16">
        <v>132</v>
      </c>
      <c r="E20" s="16">
        <v>0</v>
      </c>
      <c r="F20" s="17">
        <v>5995.2400000000007</v>
      </c>
      <c r="G20" s="29">
        <v>0</v>
      </c>
      <c r="H20" s="18">
        <f t="shared" si="1"/>
        <v>0</v>
      </c>
      <c r="I20" s="18">
        <f t="shared" si="2"/>
        <v>0.2793236159714485</v>
      </c>
      <c r="J20" s="17">
        <f t="shared" si="5"/>
        <v>1674.6121154166672</v>
      </c>
      <c r="K20" s="17">
        <f t="shared" si="3"/>
        <v>12.686455419823236</v>
      </c>
      <c r="L20" s="16">
        <v>233</v>
      </c>
      <c r="M20" s="19">
        <f t="shared" si="6"/>
        <v>0.5665236051502146</v>
      </c>
      <c r="N20" s="16">
        <v>482</v>
      </c>
      <c r="O20" s="20">
        <f t="shared" ref="O20:P20" si="28">D20/7</f>
        <v>18.857142857142858</v>
      </c>
      <c r="P20" s="20">
        <f t="shared" si="28"/>
        <v>0</v>
      </c>
      <c r="Q20" s="16">
        <f t="shared" si="8"/>
        <v>25</v>
      </c>
      <c r="R20" s="16"/>
      <c r="S20" s="21">
        <v>2.8695652173913002</v>
      </c>
      <c r="T20" s="14">
        <v>0</v>
      </c>
      <c r="U20" s="22" t="s">
        <v>34</v>
      </c>
      <c r="V20" s="23" t="s">
        <v>34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14" t="s">
        <v>35</v>
      </c>
      <c r="AB20" s="27">
        <f t="shared" si="11"/>
        <v>-0.69</v>
      </c>
      <c r="AC20" s="28">
        <v>0.27615219907407407</v>
      </c>
      <c r="AD20" s="25">
        <f t="shared" si="12"/>
        <v>-50.303884583333328</v>
      </c>
      <c r="AE20" s="25">
        <v>-7.32</v>
      </c>
      <c r="AF20" s="25">
        <v>-18.218166666666669</v>
      </c>
      <c r="AG20" s="25">
        <v>0</v>
      </c>
    </row>
    <row r="21" spans="1:33" ht="15.75" customHeight="1">
      <c r="A21" s="14" t="s">
        <v>47</v>
      </c>
      <c r="B21" s="14" t="s">
        <v>1505</v>
      </c>
      <c r="C21" s="15">
        <f t="shared" si="4"/>
        <v>53.264074074074081</v>
      </c>
      <c r="D21" s="16">
        <v>108</v>
      </c>
      <c r="E21" s="16">
        <v>0</v>
      </c>
      <c r="F21" s="17">
        <v>5752.52</v>
      </c>
      <c r="G21" s="29">
        <v>0</v>
      </c>
      <c r="H21" s="18">
        <f t="shared" si="1"/>
        <v>0</v>
      </c>
      <c r="I21" s="18">
        <f t="shared" si="2"/>
        <v>0.36338200931939391</v>
      </c>
      <c r="J21" s="17">
        <f t="shared" si="5"/>
        <v>2090.3622762499999</v>
      </c>
      <c r="K21" s="17">
        <f t="shared" si="3"/>
        <v>19.355206261574072</v>
      </c>
      <c r="L21" s="16">
        <v>107</v>
      </c>
      <c r="M21" s="19">
        <f t="shared" si="6"/>
        <v>1.0093457943925233</v>
      </c>
      <c r="N21" s="16">
        <v>382</v>
      </c>
      <c r="O21" s="20">
        <f t="shared" ref="O21:P21" si="29">D21/7</f>
        <v>15.428571428571429</v>
      </c>
      <c r="P21" s="20">
        <f t="shared" si="29"/>
        <v>0</v>
      </c>
      <c r="Q21" s="16">
        <f t="shared" si="8"/>
        <v>24</v>
      </c>
      <c r="R21" s="16"/>
      <c r="S21" s="21">
        <v>3.8174273858921102</v>
      </c>
      <c r="T21" s="14">
        <v>300</v>
      </c>
      <c r="U21" s="22" t="s">
        <v>34</v>
      </c>
      <c r="V21" s="23" t="s">
        <v>34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14" t="s">
        <v>35</v>
      </c>
      <c r="AB21" s="27">
        <f t="shared" si="11"/>
        <v>-0.69</v>
      </c>
      <c r="AC21" s="28">
        <v>0.27615219907407407</v>
      </c>
      <c r="AD21" s="25">
        <f t="shared" si="12"/>
        <v>-41.157723749999995</v>
      </c>
      <c r="AE21" s="25">
        <v>-7.32</v>
      </c>
      <c r="AF21" s="25">
        <v>-18.218166666666669</v>
      </c>
      <c r="AG21" s="25">
        <v>0</v>
      </c>
    </row>
    <row r="22" spans="1:33" ht="15.75" customHeight="1">
      <c r="A22" s="14" t="s">
        <v>48</v>
      </c>
      <c r="B22" s="14" t="s">
        <v>1506</v>
      </c>
      <c r="C22" s="15">
        <f t="shared" si="4"/>
        <v>55.836666666666673</v>
      </c>
      <c r="D22" s="16">
        <v>30</v>
      </c>
      <c r="E22" s="16">
        <v>2</v>
      </c>
      <c r="F22" s="29">
        <v>1675.1000000000001</v>
      </c>
      <c r="G22" s="29">
        <v>0</v>
      </c>
      <c r="H22" s="18">
        <f t="shared" si="1"/>
        <v>0</v>
      </c>
      <c r="I22" s="18">
        <f t="shared" si="2"/>
        <v>0.38580222014108606</v>
      </c>
      <c r="J22" s="17">
        <f t="shared" si="5"/>
        <v>646.25729895833331</v>
      </c>
      <c r="K22" s="17">
        <f t="shared" si="3"/>
        <v>21.541909965277778</v>
      </c>
      <c r="L22" s="16">
        <v>134</v>
      </c>
      <c r="M22" s="19">
        <f t="shared" si="6"/>
        <v>0.22388059701492538</v>
      </c>
      <c r="N22" s="16">
        <v>377</v>
      </c>
      <c r="O22" s="20">
        <f t="shared" ref="O22:P22" si="30">D22/7</f>
        <v>4.2857142857142856</v>
      </c>
      <c r="P22" s="20">
        <f t="shared" si="30"/>
        <v>0.2857142857142857</v>
      </c>
      <c r="Q22" s="16">
        <f t="shared" si="8"/>
        <v>82</v>
      </c>
      <c r="R22" s="16"/>
      <c r="S22" s="21">
        <v>4.8532608695652097</v>
      </c>
      <c r="T22" s="14">
        <v>300</v>
      </c>
      <c r="U22" s="22" t="s">
        <v>34</v>
      </c>
      <c r="V22" s="23" t="s">
        <v>34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35</v>
      </c>
      <c r="AB22" s="27">
        <f t="shared" si="11"/>
        <v>-0.69</v>
      </c>
      <c r="AC22" s="28">
        <v>0.27615219907407407</v>
      </c>
      <c r="AD22" s="25">
        <f t="shared" si="12"/>
        <v>-11.432701041666666</v>
      </c>
      <c r="AE22" s="25">
        <v>-7.32</v>
      </c>
      <c r="AF22" s="25">
        <v>-18.218166666666669</v>
      </c>
      <c r="AG22" s="25">
        <v>0</v>
      </c>
    </row>
    <row r="23" spans="1:33" ht="15.75" customHeight="1">
      <c r="A23" s="14" t="s">
        <v>49</v>
      </c>
      <c r="B23" s="14" t="s">
        <v>1507</v>
      </c>
      <c r="C23" s="15">
        <f t="shared" si="4"/>
        <v>54.721290322580643</v>
      </c>
      <c r="D23" s="16">
        <v>31</v>
      </c>
      <c r="E23" s="16">
        <v>0</v>
      </c>
      <c r="F23" s="17">
        <v>1696.36</v>
      </c>
      <c r="G23" s="29">
        <v>0</v>
      </c>
      <c r="H23" s="18">
        <f t="shared" si="1"/>
        <v>0</v>
      </c>
      <c r="I23" s="18">
        <f t="shared" si="2"/>
        <v>0.37634054225338043</v>
      </c>
      <c r="J23" s="17">
        <f t="shared" si="5"/>
        <v>638.40904225694442</v>
      </c>
      <c r="K23" s="17">
        <f t="shared" si="3"/>
        <v>20.59384007280466</v>
      </c>
      <c r="L23" s="16">
        <v>132</v>
      </c>
      <c r="M23" s="19">
        <f t="shared" si="6"/>
        <v>0.23484848484848486</v>
      </c>
      <c r="N23" s="16">
        <v>374</v>
      </c>
      <c r="O23" s="20">
        <f t="shared" ref="O23:P23" si="31">D23/7</f>
        <v>4.4285714285714288</v>
      </c>
      <c r="P23" s="20">
        <f t="shared" si="31"/>
        <v>0</v>
      </c>
      <c r="Q23" s="16">
        <f t="shared" si="8"/>
        <v>84</v>
      </c>
      <c r="R23" s="16"/>
      <c r="S23" s="21">
        <v>5.4517133956386203</v>
      </c>
      <c r="T23" s="14">
        <v>600</v>
      </c>
      <c r="U23" s="22" t="s">
        <v>34</v>
      </c>
      <c r="V23" s="23" t="s">
        <v>34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35</v>
      </c>
      <c r="AB23" s="27">
        <f t="shared" si="11"/>
        <v>-0.69</v>
      </c>
      <c r="AC23" s="28">
        <v>0.27615219907407407</v>
      </c>
      <c r="AD23" s="25">
        <f t="shared" si="12"/>
        <v>-11.813791076388888</v>
      </c>
      <c r="AE23" s="25">
        <v>-7.32</v>
      </c>
      <c r="AF23" s="25">
        <v>-18.218166666666669</v>
      </c>
      <c r="AG23" s="25">
        <v>0</v>
      </c>
    </row>
    <row r="24" spans="1:33" ht="15.75" customHeight="1">
      <c r="A24" s="14" t="s">
        <v>50</v>
      </c>
      <c r="B24" s="14" t="s">
        <v>1508</v>
      </c>
      <c r="C24" s="15">
        <f t="shared" si="4"/>
        <v>50.77821052631576</v>
      </c>
      <c r="D24" s="16">
        <v>95</v>
      </c>
      <c r="E24" s="16">
        <v>2</v>
      </c>
      <c r="F24" s="17">
        <v>4823.9299999999976</v>
      </c>
      <c r="G24" s="17">
        <v>0</v>
      </c>
      <c r="H24" s="18">
        <f t="shared" si="1"/>
        <v>0</v>
      </c>
      <c r="I24" s="18">
        <f t="shared" si="2"/>
        <v>0.33955946984472285</v>
      </c>
      <c r="J24" s="17">
        <f t="shared" si="5"/>
        <v>1638.011113368053</v>
      </c>
      <c r="K24" s="17">
        <f t="shared" si="3"/>
        <v>17.242222245979505</v>
      </c>
      <c r="L24" s="16">
        <v>136</v>
      </c>
      <c r="M24" s="19">
        <f t="shared" si="6"/>
        <v>0.69852941176470584</v>
      </c>
      <c r="N24" s="16">
        <v>282</v>
      </c>
      <c r="O24" s="20">
        <f t="shared" ref="O24:P24" si="32">D24/7</f>
        <v>13.571428571428571</v>
      </c>
      <c r="P24" s="20">
        <f t="shared" si="32"/>
        <v>0.2857142857142857</v>
      </c>
      <c r="Q24" s="16">
        <f t="shared" si="8"/>
        <v>20</v>
      </c>
      <c r="R24" s="16"/>
      <c r="S24" s="21">
        <v>2.3368983957219198</v>
      </c>
      <c r="T24" s="14">
        <v>600</v>
      </c>
      <c r="U24" s="22" t="s">
        <v>34</v>
      </c>
      <c r="V24" s="23" t="s">
        <v>34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14" t="s">
        <v>35</v>
      </c>
      <c r="AB24" s="27">
        <f t="shared" si="11"/>
        <v>-0.69</v>
      </c>
      <c r="AC24" s="28">
        <v>0.27615219907407407</v>
      </c>
      <c r="AD24" s="25">
        <f t="shared" si="12"/>
        <v>-36.203553298611105</v>
      </c>
      <c r="AE24" s="25">
        <v>-7.32</v>
      </c>
      <c r="AF24" s="25">
        <v>-18.218166666666669</v>
      </c>
      <c r="AG24" s="25">
        <v>0</v>
      </c>
    </row>
    <row r="25" spans="1:33" ht="15.75" customHeight="1">
      <c r="A25" s="14" t="s">
        <v>51</v>
      </c>
      <c r="B25" s="14" t="s">
        <v>1509</v>
      </c>
      <c r="C25" s="15">
        <f t="shared" si="4"/>
        <v>52.450178571428573</v>
      </c>
      <c r="D25" s="16">
        <v>56</v>
      </c>
      <c r="E25" s="16">
        <v>0</v>
      </c>
      <c r="F25" s="17">
        <v>2937.21</v>
      </c>
      <c r="G25" s="17">
        <v>0</v>
      </c>
      <c r="H25" s="18">
        <f t="shared" si="1"/>
        <v>0</v>
      </c>
      <c r="I25" s="18">
        <f t="shared" si="2"/>
        <v>0.35579596217347598</v>
      </c>
      <c r="J25" s="17">
        <f t="shared" si="5"/>
        <v>1045.0474580555554</v>
      </c>
      <c r="K25" s="17">
        <f t="shared" si="3"/>
        <v>18.66156175099206</v>
      </c>
      <c r="L25" s="16">
        <v>147</v>
      </c>
      <c r="M25" s="19">
        <f t="shared" si="6"/>
        <v>0.38095238095238093</v>
      </c>
      <c r="N25" s="16">
        <v>219</v>
      </c>
      <c r="O25" s="20">
        <f t="shared" ref="O25:P25" si="33">D25/7</f>
        <v>8</v>
      </c>
      <c r="P25" s="20">
        <f t="shared" si="33"/>
        <v>0</v>
      </c>
      <c r="Q25" s="16">
        <f t="shared" si="8"/>
        <v>27</v>
      </c>
      <c r="R25" s="16"/>
      <c r="S25" s="21">
        <v>3.0854092526690389</v>
      </c>
      <c r="T25" s="14">
        <v>1101</v>
      </c>
      <c r="U25" s="22" t="s">
        <v>34</v>
      </c>
      <c r="V25" s="23" t="s">
        <v>34</v>
      </c>
      <c r="W25" s="30">
        <v>0</v>
      </c>
      <c r="X25" s="24">
        <f t="shared" si="9"/>
        <v>0</v>
      </c>
      <c r="Y25" s="25">
        <f t="shared" si="10"/>
        <v>0</v>
      </c>
      <c r="Z25" s="30">
        <v>0</v>
      </c>
      <c r="AA25" s="14" t="s">
        <v>35</v>
      </c>
      <c r="AB25" s="27">
        <f t="shared" si="11"/>
        <v>-0.69</v>
      </c>
      <c r="AC25" s="28">
        <v>0.27615219907407407</v>
      </c>
      <c r="AD25" s="25">
        <f t="shared" si="12"/>
        <v>-21.341041944444441</v>
      </c>
      <c r="AE25" s="25">
        <v>-7.32</v>
      </c>
      <c r="AF25" s="25">
        <v>-18.22</v>
      </c>
      <c r="AG25" s="25">
        <v>0</v>
      </c>
    </row>
    <row r="26" spans="1:33" ht="15.75" customHeight="1">
      <c r="A26" s="14" t="s">
        <v>52</v>
      </c>
      <c r="B26" s="14" t="s">
        <v>1510</v>
      </c>
      <c r="C26" s="15">
        <f t="shared" si="4"/>
        <v>53.486829268292681</v>
      </c>
      <c r="D26" s="16">
        <v>41</v>
      </c>
      <c r="E26" s="16">
        <v>0</v>
      </c>
      <c r="F26" s="17">
        <v>2192.96</v>
      </c>
      <c r="G26" s="17">
        <v>0</v>
      </c>
      <c r="H26" s="18">
        <f t="shared" si="1"/>
        <v>0</v>
      </c>
      <c r="I26" s="18">
        <f t="shared" si="2"/>
        <v>0.36802608129790704</v>
      </c>
      <c r="J26" s="17">
        <f t="shared" si="5"/>
        <v>807.06647524305822</v>
      </c>
      <c r="K26" s="17">
        <f t="shared" si="3"/>
        <v>19.684548176659955</v>
      </c>
      <c r="L26" s="16">
        <v>155</v>
      </c>
      <c r="M26" s="19">
        <f t="shared" si="6"/>
        <v>0.26451612903225807</v>
      </c>
      <c r="N26" s="16">
        <v>181</v>
      </c>
      <c r="O26" s="20">
        <f t="shared" ref="O26:P26" si="34">D26/7</f>
        <v>5.8571428571428568</v>
      </c>
      <c r="P26" s="20">
        <f t="shared" si="34"/>
        <v>0</v>
      </c>
      <c r="Q26" s="16">
        <f t="shared" si="8"/>
        <v>30</v>
      </c>
      <c r="R26" s="16"/>
      <c r="S26" s="21">
        <v>3.666666666666667</v>
      </c>
      <c r="T26" s="14">
        <v>1101</v>
      </c>
      <c r="U26" s="22" t="s">
        <v>34</v>
      </c>
      <c r="V26" s="23" t="s">
        <v>34</v>
      </c>
      <c r="W26" s="30">
        <v>0</v>
      </c>
      <c r="X26" s="24">
        <f t="shared" si="9"/>
        <v>0</v>
      </c>
      <c r="Y26" s="25">
        <f t="shared" si="10"/>
        <v>0</v>
      </c>
      <c r="Z26" s="30">
        <v>0</v>
      </c>
      <c r="AA26" s="14" t="s">
        <v>35</v>
      </c>
      <c r="AB26" s="27">
        <f t="shared" si="11"/>
        <v>-0.69</v>
      </c>
      <c r="AC26" s="28">
        <v>0.27615219907407407</v>
      </c>
      <c r="AD26" s="25">
        <f t="shared" si="12"/>
        <v>-15.624691423611109</v>
      </c>
      <c r="AE26" s="25">
        <v>-7.18</v>
      </c>
      <c r="AF26" s="25">
        <v>-18.218166666666601</v>
      </c>
      <c r="AG26" s="25">
        <v>0</v>
      </c>
    </row>
    <row r="27" spans="1:33" ht="15.75" customHeight="1">
      <c r="A27" s="14" t="s">
        <v>53</v>
      </c>
      <c r="B27" s="41" t="s">
        <v>1511</v>
      </c>
      <c r="C27" s="15">
        <f t="shared" si="4"/>
        <v>53.828762886597943</v>
      </c>
      <c r="D27" s="16">
        <v>97</v>
      </c>
      <c r="E27" s="16">
        <v>1</v>
      </c>
      <c r="F27" s="17">
        <v>5221.3900000000003</v>
      </c>
      <c r="G27" s="17">
        <v>-7.0000000000000007E-2</v>
      </c>
      <c r="H27" s="18">
        <f t="shared" si="1"/>
        <v>1.3406391784563115E-5</v>
      </c>
      <c r="I27" s="18">
        <f t="shared" si="2"/>
        <v>0.36978625742033167</v>
      </c>
      <c r="J27" s="17">
        <f t="shared" si="5"/>
        <v>1930.7982666319456</v>
      </c>
      <c r="K27" s="17">
        <f t="shared" si="3"/>
        <v>19.905136769401501</v>
      </c>
      <c r="L27" s="16">
        <v>151</v>
      </c>
      <c r="M27" s="19">
        <f t="shared" si="6"/>
        <v>0.64238410596026485</v>
      </c>
      <c r="N27" s="16">
        <v>97</v>
      </c>
      <c r="O27" s="20">
        <f t="shared" ref="O27:P27" si="35">D27/7</f>
        <v>13.857142857142858</v>
      </c>
      <c r="P27" s="20">
        <f t="shared" si="35"/>
        <v>0.14285714285714285</v>
      </c>
      <c r="Q27" s="16">
        <f t="shared" si="8"/>
        <v>6</v>
      </c>
      <c r="R27" s="16"/>
      <c r="S27" s="21">
        <v>5.1691394658753707</v>
      </c>
      <c r="T27" s="14">
        <v>1101</v>
      </c>
      <c r="U27" s="22" t="s">
        <v>34</v>
      </c>
      <c r="V27" s="23" t="s">
        <v>34</v>
      </c>
      <c r="W27" s="30">
        <v>0</v>
      </c>
      <c r="X27" s="24">
        <f t="shared" si="9"/>
        <v>0</v>
      </c>
      <c r="Y27" s="25">
        <f t="shared" si="10"/>
        <v>0</v>
      </c>
      <c r="Z27" s="30">
        <v>0</v>
      </c>
      <c r="AA27" s="14" t="s">
        <v>35</v>
      </c>
      <c r="AB27" s="27">
        <f t="shared" si="11"/>
        <v>-0.69</v>
      </c>
      <c r="AC27" s="28">
        <v>0.27615219907407407</v>
      </c>
      <c r="AD27" s="25">
        <f t="shared" si="12"/>
        <v>-36.965733368055552</v>
      </c>
      <c r="AE27" s="25">
        <v>-7.18</v>
      </c>
      <c r="AF27" s="25">
        <v>-18.287500000000001</v>
      </c>
      <c r="AG27" s="25">
        <v>0</v>
      </c>
    </row>
    <row r="28" spans="1:33" ht="15.75" customHeight="1">
      <c r="A28" s="14" t="s">
        <v>54</v>
      </c>
      <c r="B28" s="41" t="s">
        <v>1512</v>
      </c>
      <c r="C28" s="15">
        <f t="shared" si="4"/>
        <v>56.31636363636364</v>
      </c>
      <c r="D28" s="16">
        <v>11</v>
      </c>
      <c r="E28" s="16">
        <v>0</v>
      </c>
      <c r="F28" s="17">
        <v>619.48</v>
      </c>
      <c r="G28" s="17">
        <v>0</v>
      </c>
      <c r="H28" s="18">
        <f t="shared" si="1"/>
        <v>0</v>
      </c>
      <c r="I28" s="18">
        <f t="shared" si="2"/>
        <v>0.39101102475956534</v>
      </c>
      <c r="J28" s="17">
        <f t="shared" si="5"/>
        <v>242.22350961805554</v>
      </c>
      <c r="K28" s="17">
        <f t="shared" si="3"/>
        <v>22.020319056186867</v>
      </c>
      <c r="L28" s="16">
        <v>144</v>
      </c>
      <c r="M28" s="19">
        <f t="shared" si="6"/>
        <v>7.6388888888888895E-2</v>
      </c>
      <c r="N28" s="16">
        <v>85</v>
      </c>
      <c r="O28" s="20">
        <f t="shared" ref="O28:P28" si="36">D28/7</f>
        <v>1.5714285714285714</v>
      </c>
      <c r="P28" s="20">
        <f t="shared" si="36"/>
        <v>0</v>
      </c>
      <c r="Q28" s="16">
        <f t="shared" si="8"/>
        <v>54</v>
      </c>
      <c r="R28" s="16"/>
      <c r="S28" s="21">
        <v>2.4471603163191951</v>
      </c>
      <c r="T28" s="14">
        <v>1153</v>
      </c>
      <c r="U28" s="22" t="s">
        <v>34</v>
      </c>
      <c r="V28" s="23" t="s">
        <v>34</v>
      </c>
      <c r="W28" s="30">
        <v>0</v>
      </c>
      <c r="X28" s="24">
        <f t="shared" si="9"/>
        <v>0</v>
      </c>
      <c r="Y28" s="25">
        <f t="shared" si="10"/>
        <v>0</v>
      </c>
      <c r="Z28" s="30">
        <v>0</v>
      </c>
      <c r="AA28" s="14" t="s">
        <v>35</v>
      </c>
      <c r="AB28" s="27">
        <f t="shared" si="11"/>
        <v>-0.69</v>
      </c>
      <c r="AC28" s="28">
        <v>0.27615219907407407</v>
      </c>
      <c r="AD28" s="25">
        <f t="shared" si="12"/>
        <v>-4.1919903819444437</v>
      </c>
      <c r="AE28" s="25">
        <v>-7.18</v>
      </c>
      <c r="AF28" s="25">
        <v>-18.287500000000001</v>
      </c>
      <c r="AG28" s="25">
        <v>0</v>
      </c>
    </row>
    <row r="29" spans="1:33" ht="15.75" customHeight="1">
      <c r="A29" s="14" t="s">
        <v>55</v>
      </c>
      <c r="B29" s="41" t="s">
        <v>278</v>
      </c>
      <c r="C29" s="15">
        <f t="shared" si="4"/>
        <v>58.239999999999995</v>
      </c>
      <c r="D29" s="16">
        <v>19</v>
      </c>
      <c r="E29" s="16">
        <v>0</v>
      </c>
      <c r="F29" s="17">
        <v>1106.56</v>
      </c>
      <c r="G29" s="17">
        <v>0</v>
      </c>
      <c r="H29" s="18">
        <f t="shared" si="1"/>
        <v>0</v>
      </c>
      <c r="I29" s="18">
        <f t="shared" si="2"/>
        <v>0.40617118759062121</v>
      </c>
      <c r="J29" s="17">
        <f t="shared" si="5"/>
        <v>449.45278934027777</v>
      </c>
      <c r="K29" s="17">
        <f t="shared" si="3"/>
        <v>23.655409965277777</v>
      </c>
      <c r="L29" s="16">
        <v>136</v>
      </c>
      <c r="M29" s="19">
        <f t="shared" si="6"/>
        <v>0.13970588235294118</v>
      </c>
      <c r="N29" s="16">
        <v>71</v>
      </c>
      <c r="O29" s="20">
        <f t="shared" ref="O29:P29" si="37">D29/7</f>
        <v>2.7142857142857144</v>
      </c>
      <c r="P29" s="20">
        <f t="shared" si="37"/>
        <v>0</v>
      </c>
      <c r="Q29" s="16">
        <f t="shared" si="8"/>
        <v>26</v>
      </c>
      <c r="R29" s="16"/>
      <c r="S29" s="21">
        <v>3.070821529745043</v>
      </c>
      <c r="T29" s="14">
        <v>1755</v>
      </c>
      <c r="U29" s="22">
        <v>44409</v>
      </c>
      <c r="V29" s="23" t="s">
        <v>1513</v>
      </c>
      <c r="W29" s="30">
        <v>0</v>
      </c>
      <c r="X29" s="24">
        <f t="shared" si="9"/>
        <v>0</v>
      </c>
      <c r="Y29" s="25">
        <f t="shared" si="10"/>
        <v>0</v>
      </c>
      <c r="Z29" s="30">
        <v>0</v>
      </c>
      <c r="AA29" s="14" t="s">
        <v>35</v>
      </c>
      <c r="AB29" s="27">
        <f t="shared" si="11"/>
        <v>-0.69</v>
      </c>
      <c r="AC29" s="28">
        <v>0.27615219907407407</v>
      </c>
      <c r="AD29" s="25">
        <f t="shared" si="12"/>
        <v>-7.2407106597222217</v>
      </c>
      <c r="AE29" s="25">
        <v>-7.18</v>
      </c>
      <c r="AF29" s="25">
        <v>-18.287500000000001</v>
      </c>
      <c r="AG29" s="25">
        <v>0</v>
      </c>
    </row>
    <row r="30" spans="1:33" ht="15.75" customHeight="1">
      <c r="A30" s="14" t="s">
        <v>57</v>
      </c>
      <c r="B30" s="41" t="s">
        <v>1514</v>
      </c>
      <c r="C30" s="15">
        <f t="shared" si="4"/>
        <v>59.260833333333331</v>
      </c>
      <c r="D30" s="16">
        <v>24</v>
      </c>
      <c r="E30" s="16">
        <v>0</v>
      </c>
      <c r="F30" s="17">
        <v>1422.26</v>
      </c>
      <c r="G30" s="17">
        <v>0</v>
      </c>
      <c r="H30" s="18">
        <f t="shared" si="1"/>
        <v>0</v>
      </c>
      <c r="I30" s="18">
        <f t="shared" si="2"/>
        <v>0.42354997658280957</v>
      </c>
      <c r="J30" s="17">
        <f t="shared" si="5"/>
        <v>602.39818969466671</v>
      </c>
      <c r="K30" s="17">
        <f t="shared" si="3"/>
        <v>25.099924570611112</v>
      </c>
      <c r="L30" s="16">
        <v>94</v>
      </c>
      <c r="M30" s="19">
        <f t="shared" si="6"/>
        <v>0.25531914893617019</v>
      </c>
      <c r="N30" s="16">
        <v>50</v>
      </c>
      <c r="O30" s="20">
        <f t="shared" ref="O30:P30" si="38">D30/7</f>
        <v>3.4285714285714284</v>
      </c>
      <c r="P30" s="20">
        <f t="shared" si="38"/>
        <v>0</v>
      </c>
      <c r="Q30" s="16">
        <f t="shared" si="8"/>
        <v>14</v>
      </c>
      <c r="R30" s="16"/>
      <c r="S30" s="21">
        <v>3.321540062434964</v>
      </c>
      <c r="T30" s="14">
        <v>1253</v>
      </c>
      <c r="U30" s="22">
        <v>300</v>
      </c>
      <c r="V30" s="23" t="s">
        <v>1513</v>
      </c>
      <c r="W30" s="30">
        <v>0</v>
      </c>
      <c r="X30" s="24">
        <f t="shared" si="9"/>
        <v>0</v>
      </c>
      <c r="Y30" s="25">
        <f t="shared" si="10"/>
        <v>0</v>
      </c>
      <c r="Z30" s="30">
        <v>0</v>
      </c>
      <c r="AA30" s="14" t="s">
        <v>35</v>
      </c>
      <c r="AB30" s="27">
        <f t="shared" si="11"/>
        <v>-0.69</v>
      </c>
      <c r="AC30" s="28">
        <v>0.27615219907407407</v>
      </c>
      <c r="AD30" s="25">
        <f t="shared" si="12"/>
        <v>-9.1461608333333331</v>
      </c>
      <c r="AE30" s="25">
        <v>-7.18</v>
      </c>
      <c r="AF30" s="25">
        <v>-17.710693727999999</v>
      </c>
      <c r="AG30" s="25">
        <v>0</v>
      </c>
    </row>
    <row r="31" spans="1:33" ht="15.75" customHeight="1">
      <c r="A31" s="14" t="s">
        <v>58</v>
      </c>
      <c r="B31" s="41" t="s">
        <v>157</v>
      </c>
      <c r="C31" s="15">
        <f t="shared" si="4"/>
        <v>60.534000000000006</v>
      </c>
      <c r="D31" s="16">
        <v>30</v>
      </c>
      <c r="E31" s="16">
        <v>0</v>
      </c>
      <c r="F31" s="17">
        <v>1816.0200000000002</v>
      </c>
      <c r="G31" s="17">
        <v>0</v>
      </c>
      <c r="H31" s="18">
        <f t="shared" si="1"/>
        <v>0</v>
      </c>
      <c r="I31" s="18">
        <f t="shared" si="2"/>
        <v>0.43251918322393668</v>
      </c>
      <c r="J31" s="17">
        <f t="shared" si="5"/>
        <v>785.46348711833355</v>
      </c>
      <c r="K31" s="17">
        <f t="shared" si="3"/>
        <v>26.182116237277786</v>
      </c>
      <c r="L31" s="16">
        <v>93</v>
      </c>
      <c r="M31" s="19">
        <f t="shared" si="6"/>
        <v>0.32258064516129031</v>
      </c>
      <c r="N31" s="16">
        <v>19</v>
      </c>
      <c r="O31" s="20">
        <f t="shared" ref="O31:P31" si="39">D31/7</f>
        <v>4.2857142857142856</v>
      </c>
      <c r="P31" s="20">
        <f t="shared" si="39"/>
        <v>0</v>
      </c>
      <c r="Q31" s="16">
        <f t="shared" si="8"/>
        <v>4</v>
      </c>
      <c r="R31" s="16"/>
      <c r="S31" s="21">
        <v>3.9681697612732001</v>
      </c>
      <c r="T31" s="14">
        <v>150</v>
      </c>
      <c r="U31" s="22">
        <v>602</v>
      </c>
      <c r="V31" s="23" t="s">
        <v>1515</v>
      </c>
      <c r="W31" s="30">
        <v>0</v>
      </c>
      <c r="X31" s="24">
        <f t="shared" si="9"/>
        <v>0</v>
      </c>
      <c r="Y31" s="25">
        <f t="shared" si="10"/>
        <v>0</v>
      </c>
      <c r="Z31" s="30">
        <v>0</v>
      </c>
      <c r="AA31" s="14" t="s">
        <v>35</v>
      </c>
      <c r="AB31" s="27">
        <f t="shared" si="11"/>
        <v>-0.69</v>
      </c>
      <c r="AC31" s="28">
        <v>0.27615219907407407</v>
      </c>
      <c r="AD31" s="25">
        <f t="shared" si="12"/>
        <v>-11.432701041666666</v>
      </c>
      <c r="AE31" s="25">
        <v>-7.18</v>
      </c>
      <c r="AF31" s="25">
        <v>-17.710693728000003</v>
      </c>
      <c r="AG31" s="25">
        <v>0</v>
      </c>
    </row>
    <row r="32" spans="1:33" ht="15.75" customHeight="1">
      <c r="A32" s="14" t="s">
        <v>60</v>
      </c>
      <c r="B32" s="41"/>
      <c r="C32" s="15">
        <f t="shared" si="4"/>
        <v>66.385999999999996</v>
      </c>
      <c r="D32" s="16">
        <v>20</v>
      </c>
      <c r="E32" s="16">
        <v>0</v>
      </c>
      <c r="F32" s="17">
        <v>1327.72</v>
      </c>
      <c r="G32" s="17">
        <v>0</v>
      </c>
      <c r="H32" s="18">
        <f t="shared" si="1"/>
        <v>0</v>
      </c>
      <c r="I32" s="18">
        <f t="shared" si="2"/>
        <v>0.4693205832144996</v>
      </c>
      <c r="J32" s="17">
        <f t="shared" si="5"/>
        <v>623.12632474555539</v>
      </c>
      <c r="K32" s="17">
        <f t="shared" si="3"/>
        <v>31.156316237277771</v>
      </c>
      <c r="L32" s="16">
        <v>48</v>
      </c>
      <c r="M32" s="19">
        <f t="shared" si="6"/>
        <v>0.41666666666666669</v>
      </c>
      <c r="N32" s="16">
        <v>7</v>
      </c>
      <c r="O32" s="20">
        <f t="shared" ref="O32:P32" si="40">D32/7</f>
        <v>2.8571428571428572</v>
      </c>
      <c r="P32" s="20">
        <f t="shared" si="40"/>
        <v>0</v>
      </c>
      <c r="Q32" s="16">
        <f t="shared" si="8"/>
        <v>2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2.348525469168901</v>
      </c>
      <c r="T32" s="14">
        <f ca="1">IFERROR(__xludf.DUMMYFUNCTION("IFERROR(VLOOKUP($B$2,IMPORTRANGE(""https://docs.google.com/spreadsheets/d/1KiWZV1ko8G7lnRucBRBd29jj3Be6ltMfljMDqzOkQmI/edit#gid=1381463014"",""Lookup!A:D""),4,FALSE),"""")"),150)</f>
        <v>150</v>
      </c>
      <c r="U32" s="22">
        <f ca="1">IFERROR(__xludf.DUMMYFUNCTION("IFERROR(VLOOKUP($B$2,IMPORTRANGE(""https://docs.google.com/spreadsheets/d/1KiWZV1ko8G7lnRucBRBd29jj3Be6ltMfljMDqzOkQmI/edit#gid=1381463014"",""Lookup!A:D""),3,FALSE),"""")"),602)</f>
        <v>602</v>
      </c>
      <c r="V32" s="23" t="str">
        <f ca="1">IFERROR(__xludf.DUMMYFUNCTION("IFERROR(VLOOKUP($B$2,IMPORTRANGE(""https://docs.google.com/spreadsheets/d/1KiWZV1ko8G7lnRucBRBd29jj3Be6ltMfljMDqzOkQmI/edit#gid=1381463014"",""Lookup!A:D""),2,FALSE),"""")"),"| 417  - 300 units 08/14| 415  - 150 units 08/21| 418  - 152 units 09/03")</f>
        <v>| 417  - 300 units 08/14| 415  - 150 units 08/21| 418  - 152 units 09/03</v>
      </c>
      <c r="W32" s="30">
        <v>0</v>
      </c>
      <c r="X32" s="24">
        <f t="shared" si="9"/>
        <v>0</v>
      </c>
      <c r="Y32" s="25">
        <f t="shared" si="10"/>
        <v>0</v>
      </c>
      <c r="Z32" s="30">
        <v>0</v>
      </c>
      <c r="AA32" s="14" t="s">
        <v>35</v>
      </c>
      <c r="AB32" s="27">
        <f t="shared" si="11"/>
        <v>-0.69</v>
      </c>
      <c r="AC32" s="28">
        <v>0.27615219907407407</v>
      </c>
      <c r="AD32" s="25">
        <f t="shared" si="12"/>
        <v>-7.6218006944444436</v>
      </c>
      <c r="AE32" s="25">
        <v>-7.18</v>
      </c>
      <c r="AF32" s="25">
        <v>-17.710693727999999</v>
      </c>
      <c r="AG32" s="25">
        <v>0</v>
      </c>
    </row>
    <row r="33" spans="1:33" ht="15.75" customHeight="1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16"/>
      <c r="S33" s="21"/>
      <c r="T33" s="31"/>
      <c r="U33" s="36"/>
      <c r="V33" s="1"/>
      <c r="W33" s="31"/>
      <c r="X33" s="31"/>
      <c r="Y33" s="31"/>
      <c r="Z33" s="31"/>
      <c r="AA33" s="2"/>
      <c r="AB33" s="31"/>
      <c r="AC33" s="31"/>
      <c r="AD33" s="31"/>
      <c r="AE33" s="37"/>
      <c r="AF33" s="37"/>
      <c r="AG33" s="37"/>
    </row>
    <row r="34" spans="1:33" ht="15.75" customHeight="1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6"/>
      <c r="V34" s="1"/>
      <c r="W34" s="31"/>
      <c r="X34" s="31"/>
      <c r="Y34" s="31"/>
      <c r="Z34" s="31"/>
      <c r="AA34" s="2"/>
      <c r="AB34" s="31"/>
      <c r="AC34" s="31"/>
      <c r="AD34" s="31"/>
      <c r="AE34" s="37"/>
      <c r="AF34" s="37"/>
      <c r="AG34" s="37"/>
    </row>
    <row r="35" spans="1:33" ht="15.75" customHeight="1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6"/>
      <c r="V35" s="1"/>
      <c r="W35" s="31"/>
      <c r="X35" s="31"/>
      <c r="Y35" s="31"/>
      <c r="Z35" s="31"/>
      <c r="AA35" s="2"/>
      <c r="AB35" s="31"/>
      <c r="AC35" s="31"/>
      <c r="AD35" s="31"/>
      <c r="AE35" s="37"/>
      <c r="AF35" s="37"/>
      <c r="AG35" s="37"/>
    </row>
    <row r="36" spans="1:33" ht="15.75" customHeight="1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6"/>
      <c r="V36" s="1"/>
      <c r="W36" s="31"/>
      <c r="X36" s="31"/>
      <c r="Y36" s="31"/>
      <c r="Z36" s="31"/>
      <c r="AA36" s="2"/>
      <c r="AB36" s="31"/>
      <c r="AC36" s="31"/>
      <c r="AD36" s="31"/>
      <c r="AE36" s="37"/>
      <c r="AF36" s="37"/>
      <c r="AG36" s="37"/>
    </row>
    <row r="37" spans="1:33" ht="15.75" customHeight="1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6"/>
      <c r="V37" s="1"/>
      <c r="W37" s="31"/>
      <c r="X37" s="31"/>
      <c r="Y37" s="31"/>
      <c r="Z37" s="31"/>
      <c r="AA37" s="2"/>
      <c r="AB37" s="31"/>
      <c r="AC37" s="31"/>
      <c r="AD37" s="31"/>
      <c r="AE37" s="37"/>
      <c r="AF37" s="37"/>
      <c r="AG37" s="37"/>
    </row>
    <row r="38" spans="1:33" ht="15.75" customHeight="1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6"/>
      <c r="V38" s="1"/>
      <c r="W38" s="31"/>
      <c r="X38" s="31"/>
      <c r="Y38" s="31"/>
      <c r="Z38" s="31"/>
      <c r="AA38" s="2"/>
      <c r="AB38" s="31"/>
      <c r="AC38" s="31"/>
      <c r="AD38" s="31"/>
      <c r="AE38" s="37"/>
      <c r="AF38" s="37"/>
      <c r="AG38" s="37"/>
    </row>
    <row r="39" spans="1:33" ht="15.75" customHeight="1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6"/>
      <c r="V39" s="1"/>
      <c r="W39" s="31"/>
      <c r="X39" s="31"/>
      <c r="Y39" s="31"/>
      <c r="Z39" s="31"/>
      <c r="AA39" s="2"/>
      <c r="AB39" s="31"/>
      <c r="AC39" s="31"/>
      <c r="AD39" s="31"/>
      <c r="AE39" s="37"/>
      <c r="AF39" s="37"/>
      <c r="AG39" s="37"/>
    </row>
    <row r="40" spans="1:33" ht="15.75" customHeight="1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6"/>
      <c r="V40" s="1"/>
      <c r="W40" s="31"/>
      <c r="X40" s="31"/>
      <c r="Y40" s="31"/>
      <c r="Z40" s="31"/>
      <c r="AA40" s="2"/>
      <c r="AB40" s="31"/>
      <c r="AC40" s="31"/>
      <c r="AD40" s="31"/>
      <c r="AE40" s="37"/>
      <c r="AF40" s="37"/>
      <c r="AG40" s="37"/>
    </row>
    <row r="41" spans="1:33" ht="15.75" customHeight="1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6"/>
      <c r="V41" s="1"/>
      <c r="W41" s="31"/>
      <c r="X41" s="31"/>
      <c r="Y41" s="31"/>
      <c r="Z41" s="31"/>
      <c r="AA41" s="2"/>
      <c r="AB41" s="31"/>
      <c r="AC41" s="31"/>
      <c r="AD41" s="31"/>
      <c r="AE41" s="37"/>
      <c r="AF41" s="37"/>
      <c r="AG41" s="37"/>
    </row>
    <row r="42" spans="1:33" ht="15.75" customHeight="1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6"/>
      <c r="V42" s="1"/>
      <c r="W42" s="31"/>
      <c r="X42" s="31"/>
      <c r="Y42" s="31"/>
      <c r="Z42" s="31"/>
      <c r="AA42" s="2"/>
      <c r="AB42" s="31"/>
      <c r="AC42" s="31"/>
      <c r="AD42" s="31"/>
      <c r="AE42" s="37"/>
      <c r="AF42" s="37"/>
      <c r="AG42" s="37"/>
    </row>
    <row r="43" spans="1:33" ht="15.75" customHeight="1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6"/>
      <c r="V43" s="1"/>
      <c r="W43" s="31"/>
      <c r="X43" s="31"/>
      <c r="Y43" s="31"/>
      <c r="Z43" s="31"/>
      <c r="AA43" s="2"/>
      <c r="AB43" s="31"/>
      <c r="AC43" s="31"/>
      <c r="AD43" s="31"/>
      <c r="AE43" s="37"/>
      <c r="AF43" s="37"/>
      <c r="AG43" s="37"/>
    </row>
    <row r="44" spans="1:33" ht="15.75" customHeight="1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6"/>
      <c r="V44" s="1"/>
      <c r="W44" s="31"/>
      <c r="X44" s="31"/>
      <c r="Y44" s="31"/>
      <c r="Z44" s="31"/>
      <c r="AA44" s="2"/>
      <c r="AB44" s="31"/>
      <c r="AC44" s="31"/>
      <c r="AD44" s="31"/>
      <c r="AE44" s="37"/>
      <c r="AF44" s="37"/>
      <c r="AG44" s="37"/>
    </row>
    <row r="45" spans="1:33" ht="15.75" customHeight="1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6"/>
      <c r="V45" s="1"/>
      <c r="W45" s="31"/>
      <c r="X45" s="31"/>
      <c r="Y45" s="31"/>
      <c r="Z45" s="31"/>
      <c r="AA45" s="2"/>
      <c r="AB45" s="31"/>
      <c r="AC45" s="31"/>
      <c r="AD45" s="31"/>
      <c r="AE45" s="37"/>
      <c r="AF45" s="37"/>
      <c r="AG45" s="37"/>
    </row>
    <row r="46" spans="1:33" ht="15.75" customHeight="1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6"/>
      <c r="V46" s="1"/>
      <c r="W46" s="31"/>
      <c r="X46" s="31"/>
      <c r="Y46" s="31"/>
      <c r="Z46" s="31"/>
      <c r="AA46" s="2"/>
      <c r="AB46" s="31"/>
      <c r="AC46" s="31"/>
      <c r="AD46" s="31"/>
      <c r="AE46" s="37"/>
      <c r="AF46" s="37"/>
      <c r="AG46" s="37"/>
    </row>
    <row r="47" spans="1:33" ht="15.75" customHeight="1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6"/>
      <c r="V47" s="1"/>
      <c r="W47" s="31"/>
      <c r="X47" s="31"/>
      <c r="Y47" s="31"/>
      <c r="Z47" s="31"/>
      <c r="AA47" s="2"/>
      <c r="AB47" s="31"/>
      <c r="AC47" s="31"/>
      <c r="AD47" s="31"/>
      <c r="AE47" s="37"/>
      <c r="AF47" s="37"/>
      <c r="AG47" s="37"/>
    </row>
    <row r="48" spans="1:33" ht="15.75" customHeight="1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6"/>
      <c r="V48" s="1"/>
      <c r="W48" s="31"/>
      <c r="X48" s="31"/>
      <c r="Y48" s="31"/>
      <c r="Z48" s="31"/>
      <c r="AA48" s="2"/>
      <c r="AB48" s="31"/>
      <c r="AC48" s="31"/>
      <c r="AD48" s="31"/>
      <c r="AE48" s="37"/>
      <c r="AF48" s="37"/>
      <c r="AG48" s="37"/>
    </row>
    <row r="49" spans="1:33" ht="15.75" customHeight="1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6"/>
      <c r="V49" s="1"/>
      <c r="W49" s="31"/>
      <c r="X49" s="31"/>
      <c r="Y49" s="31"/>
      <c r="Z49" s="31"/>
      <c r="AA49" s="2"/>
      <c r="AB49" s="31"/>
      <c r="AC49" s="31"/>
      <c r="AD49" s="31"/>
      <c r="AE49" s="37"/>
      <c r="AF49" s="37"/>
      <c r="AG49" s="37"/>
    </row>
    <row r="50" spans="1:33" ht="15.75" customHeight="1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6"/>
      <c r="V50" s="1"/>
      <c r="W50" s="31"/>
      <c r="X50" s="31"/>
      <c r="Y50" s="31"/>
      <c r="Z50" s="31"/>
      <c r="AA50" s="2"/>
      <c r="AB50" s="31"/>
      <c r="AC50" s="31"/>
      <c r="AD50" s="31"/>
      <c r="AE50" s="37"/>
      <c r="AF50" s="37"/>
      <c r="AG50" s="37"/>
    </row>
    <row r="51" spans="1:33" ht="15.75" customHeight="1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6"/>
      <c r="V51" s="1"/>
      <c r="W51" s="31"/>
      <c r="X51" s="31"/>
      <c r="Y51" s="31"/>
      <c r="Z51" s="31"/>
      <c r="AA51" s="2"/>
      <c r="AB51" s="31"/>
      <c r="AC51" s="31"/>
      <c r="AD51" s="31"/>
      <c r="AE51" s="37"/>
      <c r="AF51" s="37"/>
      <c r="AG51" s="37"/>
    </row>
    <row r="52" spans="1:33" ht="15.75" customHeight="1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6"/>
      <c r="V52" s="1"/>
      <c r="W52" s="31"/>
      <c r="X52" s="31"/>
      <c r="Y52" s="31"/>
      <c r="Z52" s="31"/>
      <c r="AA52" s="2"/>
      <c r="AB52" s="31"/>
      <c r="AC52" s="31"/>
      <c r="AD52" s="31"/>
      <c r="AE52" s="37"/>
      <c r="AF52" s="37"/>
      <c r="AG52" s="37"/>
    </row>
    <row r="53" spans="1:33" ht="15.75" customHeight="1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6"/>
      <c r="V53" s="1"/>
      <c r="W53" s="31"/>
      <c r="X53" s="31"/>
      <c r="Y53" s="31"/>
      <c r="Z53" s="31"/>
      <c r="AA53" s="2"/>
      <c r="AB53" s="31"/>
      <c r="AC53" s="31"/>
      <c r="AD53" s="31"/>
      <c r="AE53" s="37"/>
      <c r="AF53" s="37"/>
      <c r="AG53" s="37"/>
    </row>
    <row r="54" spans="1:33" ht="15.75" customHeight="1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6"/>
      <c r="V54" s="1"/>
      <c r="W54" s="31"/>
      <c r="X54" s="31"/>
      <c r="Y54" s="31"/>
      <c r="Z54" s="31"/>
      <c r="AA54" s="2"/>
      <c r="AB54" s="31"/>
      <c r="AC54" s="31"/>
      <c r="AD54" s="31"/>
      <c r="AE54" s="37"/>
      <c r="AF54" s="37"/>
      <c r="AG54" s="37"/>
    </row>
    <row r="55" spans="1:33" ht="15.75" customHeight="1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6"/>
      <c r="V55" s="1"/>
      <c r="W55" s="31"/>
      <c r="X55" s="31"/>
      <c r="Y55" s="31"/>
      <c r="Z55" s="31"/>
      <c r="AA55" s="2"/>
      <c r="AB55" s="31"/>
      <c r="AC55" s="31"/>
      <c r="AD55" s="31"/>
      <c r="AE55" s="37"/>
      <c r="AF55" s="37"/>
      <c r="AG55" s="37"/>
    </row>
    <row r="56" spans="1:33" ht="15.75" customHeight="1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6"/>
      <c r="V56" s="1"/>
      <c r="W56" s="31"/>
      <c r="X56" s="31"/>
      <c r="Y56" s="31"/>
      <c r="Z56" s="31"/>
      <c r="AA56" s="2"/>
      <c r="AB56" s="31"/>
      <c r="AC56" s="31"/>
      <c r="AD56" s="31"/>
      <c r="AE56" s="37"/>
      <c r="AF56" s="37"/>
      <c r="AG56" s="37"/>
    </row>
    <row r="57" spans="1:33" ht="15.75" customHeight="1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6"/>
      <c r="V57" s="1"/>
      <c r="W57" s="31"/>
      <c r="X57" s="31"/>
      <c r="Y57" s="31"/>
      <c r="Z57" s="31"/>
      <c r="AA57" s="2"/>
      <c r="AB57" s="31"/>
      <c r="AC57" s="31"/>
      <c r="AD57" s="31"/>
      <c r="AE57" s="37"/>
      <c r="AF57" s="37"/>
      <c r="AG57" s="37"/>
    </row>
    <row r="58" spans="1:33" ht="15.75" customHeight="1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6"/>
      <c r="V58" s="1"/>
      <c r="W58" s="31"/>
      <c r="X58" s="31"/>
      <c r="Y58" s="31"/>
      <c r="Z58" s="31"/>
      <c r="AA58" s="2"/>
      <c r="AB58" s="31"/>
      <c r="AC58" s="31"/>
      <c r="AD58" s="31"/>
      <c r="AE58" s="37"/>
      <c r="AF58" s="37"/>
      <c r="AG58" s="37"/>
    </row>
    <row r="59" spans="1:33" ht="15.75" customHeight="1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6"/>
      <c r="V59" s="1"/>
      <c r="W59" s="31"/>
      <c r="X59" s="31"/>
      <c r="Y59" s="31"/>
      <c r="Z59" s="31"/>
      <c r="AA59" s="2"/>
      <c r="AB59" s="31"/>
      <c r="AC59" s="31"/>
      <c r="AD59" s="31"/>
      <c r="AE59" s="37"/>
      <c r="AF59" s="37"/>
      <c r="AG59" s="37"/>
    </row>
    <row r="60" spans="1:33" ht="15.75" customHeight="1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6"/>
      <c r="V60" s="1"/>
      <c r="W60" s="31"/>
      <c r="X60" s="31"/>
      <c r="Y60" s="31"/>
      <c r="Z60" s="31"/>
      <c r="AA60" s="2"/>
      <c r="AB60" s="31"/>
      <c r="AC60" s="31"/>
      <c r="AD60" s="31"/>
      <c r="AE60" s="37"/>
      <c r="AF60" s="37"/>
      <c r="AG60" s="37"/>
    </row>
    <row r="61" spans="1:33" ht="15.75" customHeight="1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6"/>
      <c r="V61" s="1"/>
      <c r="W61" s="31"/>
      <c r="X61" s="31"/>
      <c r="Y61" s="31"/>
      <c r="Z61" s="31"/>
      <c r="AA61" s="2"/>
      <c r="AB61" s="31"/>
      <c r="AC61" s="31"/>
      <c r="AD61" s="31"/>
      <c r="AE61" s="37"/>
      <c r="AF61" s="37"/>
      <c r="AG61" s="37"/>
    </row>
    <row r="62" spans="1:33" ht="15.75" customHeight="1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6"/>
      <c r="V62" s="1"/>
      <c r="W62" s="31"/>
      <c r="X62" s="31"/>
      <c r="Y62" s="31"/>
      <c r="Z62" s="31"/>
      <c r="AA62" s="2"/>
      <c r="AB62" s="31"/>
      <c r="AC62" s="31"/>
      <c r="AD62" s="31"/>
      <c r="AE62" s="37"/>
      <c r="AF62" s="37"/>
      <c r="AG62" s="37"/>
    </row>
    <row r="63" spans="1:33" ht="15.75" customHeight="1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6"/>
      <c r="V63" s="1"/>
      <c r="W63" s="31"/>
      <c r="X63" s="31"/>
      <c r="Y63" s="31"/>
      <c r="Z63" s="31"/>
      <c r="AA63" s="2"/>
      <c r="AB63" s="31"/>
      <c r="AC63" s="31"/>
      <c r="AD63" s="31"/>
      <c r="AE63" s="37"/>
      <c r="AF63" s="37"/>
      <c r="AG63" s="37"/>
    </row>
    <row r="64" spans="1:33" ht="15.75" customHeight="1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6"/>
      <c r="V64" s="1"/>
      <c r="W64" s="31"/>
      <c r="X64" s="31"/>
      <c r="Y64" s="31"/>
      <c r="Z64" s="31"/>
      <c r="AA64" s="2"/>
      <c r="AB64" s="31"/>
      <c r="AC64" s="31"/>
      <c r="AD64" s="31"/>
      <c r="AE64" s="37"/>
      <c r="AF64" s="37"/>
      <c r="AG64" s="37"/>
    </row>
    <row r="65" spans="1:33" ht="15.75" customHeight="1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6"/>
      <c r="V65" s="1"/>
      <c r="W65" s="31"/>
      <c r="X65" s="31"/>
      <c r="Y65" s="31"/>
      <c r="Z65" s="31"/>
      <c r="AA65" s="2"/>
      <c r="AB65" s="31"/>
      <c r="AC65" s="31"/>
      <c r="AD65" s="31"/>
      <c r="AE65" s="37"/>
      <c r="AF65" s="37"/>
      <c r="AG65" s="37"/>
    </row>
    <row r="66" spans="1:33" ht="15.75" customHeight="1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6"/>
      <c r="V66" s="1"/>
      <c r="W66" s="31"/>
      <c r="X66" s="31"/>
      <c r="Y66" s="31"/>
      <c r="Z66" s="31"/>
      <c r="AA66" s="2"/>
      <c r="AB66" s="31"/>
      <c r="AC66" s="31"/>
      <c r="AD66" s="31"/>
      <c r="AE66" s="37"/>
      <c r="AF66" s="37"/>
      <c r="AG66" s="37"/>
    </row>
    <row r="67" spans="1:33" ht="15.75" customHeight="1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6"/>
      <c r="V67" s="1"/>
      <c r="W67" s="31"/>
      <c r="X67" s="31"/>
      <c r="Y67" s="31"/>
      <c r="Z67" s="31"/>
      <c r="AA67" s="2"/>
      <c r="AB67" s="31"/>
      <c r="AC67" s="31"/>
      <c r="AD67" s="31"/>
      <c r="AE67" s="37"/>
      <c r="AF67" s="37"/>
      <c r="AG67" s="37"/>
    </row>
    <row r="68" spans="1:33" ht="15.75" customHeight="1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6"/>
      <c r="V68" s="1"/>
      <c r="W68" s="31"/>
      <c r="X68" s="31"/>
      <c r="Y68" s="31"/>
      <c r="Z68" s="31"/>
      <c r="AA68" s="2"/>
      <c r="AB68" s="31"/>
      <c r="AC68" s="31"/>
      <c r="AD68" s="31"/>
      <c r="AE68" s="37"/>
      <c r="AF68" s="37"/>
      <c r="AG68" s="37"/>
    </row>
    <row r="69" spans="1:33" ht="15.75" customHeight="1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6"/>
      <c r="V69" s="1"/>
      <c r="W69" s="31"/>
      <c r="X69" s="31"/>
      <c r="Y69" s="31"/>
      <c r="Z69" s="31"/>
      <c r="AA69" s="2"/>
      <c r="AB69" s="31"/>
      <c r="AC69" s="31"/>
      <c r="AD69" s="31"/>
      <c r="AE69" s="37"/>
      <c r="AF69" s="37"/>
      <c r="AG69" s="37"/>
    </row>
    <row r="70" spans="1:33" ht="15.75" customHeight="1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6"/>
      <c r="V70" s="1"/>
      <c r="W70" s="31"/>
      <c r="X70" s="31"/>
      <c r="Y70" s="31"/>
      <c r="Z70" s="31"/>
      <c r="AA70" s="2"/>
      <c r="AB70" s="31"/>
      <c r="AC70" s="31"/>
      <c r="AD70" s="31"/>
      <c r="AE70" s="37"/>
      <c r="AF70" s="37"/>
      <c r="AG70" s="37"/>
    </row>
    <row r="71" spans="1:33" ht="15.75" customHeight="1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6"/>
      <c r="V71" s="1"/>
      <c r="W71" s="31"/>
      <c r="X71" s="31"/>
      <c r="Y71" s="31"/>
      <c r="Z71" s="31"/>
      <c r="AA71" s="2"/>
      <c r="AB71" s="31"/>
      <c r="AC71" s="31"/>
      <c r="AD71" s="31"/>
      <c r="AE71" s="37"/>
      <c r="AF71" s="37"/>
      <c r="AG71" s="37"/>
    </row>
    <row r="72" spans="1:33" ht="15.75" customHeight="1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6"/>
      <c r="V72" s="1"/>
      <c r="W72" s="31"/>
      <c r="X72" s="31"/>
      <c r="Y72" s="31"/>
      <c r="Z72" s="31"/>
      <c r="AA72" s="2"/>
      <c r="AB72" s="31"/>
      <c r="AC72" s="31"/>
      <c r="AD72" s="31"/>
      <c r="AE72" s="37"/>
      <c r="AF72" s="37"/>
      <c r="AG72" s="37"/>
    </row>
    <row r="73" spans="1:33" ht="15.75" customHeight="1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6"/>
      <c r="V73" s="1"/>
      <c r="W73" s="31"/>
      <c r="X73" s="31"/>
      <c r="Y73" s="31"/>
      <c r="Z73" s="31"/>
      <c r="AA73" s="2"/>
      <c r="AB73" s="31"/>
      <c r="AC73" s="31"/>
      <c r="AD73" s="31"/>
      <c r="AE73" s="37"/>
      <c r="AF73" s="37"/>
      <c r="AG73" s="37"/>
    </row>
    <row r="74" spans="1:33" ht="15.75" customHeight="1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6"/>
      <c r="V74" s="1"/>
      <c r="W74" s="31"/>
      <c r="X74" s="31"/>
      <c r="Y74" s="31"/>
      <c r="Z74" s="31"/>
      <c r="AA74" s="2"/>
      <c r="AB74" s="31"/>
      <c r="AC74" s="31"/>
      <c r="AD74" s="31"/>
      <c r="AE74" s="37"/>
      <c r="AF74" s="37"/>
      <c r="AG74" s="37"/>
    </row>
    <row r="75" spans="1:33" ht="15.75" customHeight="1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6"/>
      <c r="V75" s="1"/>
      <c r="W75" s="31"/>
      <c r="X75" s="31"/>
      <c r="Y75" s="31"/>
      <c r="Z75" s="31"/>
      <c r="AA75" s="2"/>
      <c r="AB75" s="31"/>
      <c r="AC75" s="31"/>
      <c r="AD75" s="31"/>
      <c r="AE75" s="37"/>
      <c r="AF75" s="37"/>
      <c r="AG75" s="37"/>
    </row>
    <row r="76" spans="1:33" ht="15.75" customHeight="1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6"/>
      <c r="V76" s="1"/>
      <c r="W76" s="31"/>
      <c r="X76" s="31"/>
      <c r="Y76" s="31"/>
      <c r="Z76" s="31"/>
      <c r="AA76" s="2"/>
      <c r="AB76" s="31"/>
      <c r="AC76" s="31"/>
      <c r="AD76" s="31"/>
      <c r="AE76" s="37"/>
      <c r="AF76" s="37"/>
      <c r="AG76" s="37"/>
    </row>
    <row r="77" spans="1:33" ht="15.75" customHeight="1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6"/>
      <c r="V77" s="1"/>
      <c r="W77" s="31"/>
      <c r="X77" s="31"/>
      <c r="Y77" s="31"/>
      <c r="Z77" s="31"/>
      <c r="AA77" s="2"/>
      <c r="AB77" s="31"/>
      <c r="AC77" s="31"/>
      <c r="AD77" s="31"/>
      <c r="AE77" s="37"/>
      <c r="AF77" s="37"/>
      <c r="AG77" s="37"/>
    </row>
    <row r="78" spans="1:33" ht="15.75" customHeight="1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6"/>
      <c r="V78" s="1"/>
      <c r="W78" s="31"/>
      <c r="X78" s="31"/>
      <c r="Y78" s="31"/>
      <c r="Z78" s="31"/>
      <c r="AA78" s="2"/>
      <c r="AB78" s="31"/>
      <c r="AC78" s="31"/>
      <c r="AD78" s="31"/>
      <c r="AE78" s="37"/>
      <c r="AF78" s="37"/>
      <c r="AG78" s="37"/>
    </row>
    <row r="79" spans="1:33" ht="15.75" customHeight="1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6"/>
      <c r="V79" s="1"/>
      <c r="W79" s="31"/>
      <c r="X79" s="31"/>
      <c r="Y79" s="31"/>
      <c r="Z79" s="31"/>
      <c r="AA79" s="2"/>
      <c r="AB79" s="31"/>
      <c r="AC79" s="31"/>
      <c r="AD79" s="31"/>
      <c r="AE79" s="37"/>
      <c r="AF79" s="37"/>
      <c r="AG79" s="37"/>
    </row>
    <row r="80" spans="1:33" ht="15.75" customHeight="1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6"/>
      <c r="V80" s="1"/>
      <c r="W80" s="31"/>
      <c r="X80" s="31"/>
      <c r="Y80" s="31"/>
      <c r="Z80" s="31"/>
      <c r="AA80" s="2"/>
      <c r="AB80" s="31"/>
      <c r="AC80" s="31"/>
      <c r="AD80" s="31"/>
      <c r="AE80" s="37"/>
      <c r="AF80" s="37"/>
      <c r="AG80" s="37"/>
    </row>
    <row r="81" spans="1:33" ht="15.75" customHeight="1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6"/>
      <c r="V81" s="1"/>
      <c r="W81" s="31"/>
      <c r="X81" s="31"/>
      <c r="Y81" s="31"/>
      <c r="Z81" s="31"/>
      <c r="AA81" s="2"/>
      <c r="AB81" s="31"/>
      <c r="AC81" s="31"/>
      <c r="AD81" s="31"/>
      <c r="AE81" s="37"/>
      <c r="AF81" s="37"/>
      <c r="AG81" s="37"/>
    </row>
    <row r="82" spans="1:33" ht="15.75" customHeight="1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6"/>
      <c r="V82" s="1"/>
      <c r="W82" s="31"/>
      <c r="X82" s="31"/>
      <c r="Y82" s="31"/>
      <c r="Z82" s="31"/>
      <c r="AA82" s="2"/>
      <c r="AB82" s="31"/>
      <c r="AC82" s="31"/>
      <c r="AD82" s="31"/>
      <c r="AE82" s="37"/>
      <c r="AF82" s="37"/>
      <c r="AG82" s="37"/>
    </row>
    <row r="83" spans="1:33" ht="15.75" customHeight="1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6"/>
      <c r="V83" s="1"/>
      <c r="W83" s="31"/>
      <c r="X83" s="31"/>
      <c r="Y83" s="31"/>
      <c r="Z83" s="31"/>
      <c r="AA83" s="2"/>
      <c r="AB83" s="31"/>
      <c r="AC83" s="31"/>
      <c r="AD83" s="31"/>
      <c r="AE83" s="37"/>
      <c r="AF83" s="37"/>
      <c r="AG83" s="37"/>
    </row>
    <row r="84" spans="1:33" ht="15.75" customHeight="1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6"/>
      <c r="V84" s="1"/>
      <c r="W84" s="31"/>
      <c r="X84" s="31"/>
      <c r="Y84" s="31"/>
      <c r="Z84" s="31"/>
      <c r="AA84" s="2"/>
      <c r="AB84" s="31"/>
      <c r="AC84" s="31"/>
      <c r="AD84" s="31"/>
      <c r="AE84" s="37"/>
      <c r="AF84" s="37"/>
      <c r="AG84" s="37"/>
    </row>
    <row r="85" spans="1:33" ht="15.75" customHeight="1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6"/>
      <c r="V85" s="1"/>
      <c r="W85" s="31"/>
      <c r="X85" s="31"/>
      <c r="Y85" s="31"/>
      <c r="Z85" s="31"/>
      <c r="AA85" s="2"/>
      <c r="AB85" s="31"/>
      <c r="AC85" s="31"/>
      <c r="AD85" s="31"/>
      <c r="AE85" s="37"/>
      <c r="AF85" s="37"/>
      <c r="AG85" s="37"/>
    </row>
    <row r="86" spans="1:33" ht="15.75" customHeight="1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6"/>
      <c r="V86" s="1"/>
      <c r="W86" s="31"/>
      <c r="X86" s="31"/>
      <c r="Y86" s="31"/>
      <c r="Z86" s="31"/>
      <c r="AA86" s="2"/>
      <c r="AB86" s="31"/>
      <c r="AC86" s="31"/>
      <c r="AD86" s="31"/>
      <c r="AE86" s="37"/>
      <c r="AF86" s="37"/>
      <c r="AG86" s="37"/>
    </row>
    <row r="87" spans="1:33" ht="15.75" customHeight="1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6"/>
      <c r="V87" s="1"/>
      <c r="W87" s="31"/>
      <c r="X87" s="31"/>
      <c r="Y87" s="31"/>
      <c r="Z87" s="31"/>
      <c r="AA87" s="2"/>
      <c r="AB87" s="31"/>
      <c r="AC87" s="31"/>
      <c r="AD87" s="31"/>
      <c r="AE87" s="37"/>
      <c r="AF87" s="37"/>
      <c r="AG87" s="37"/>
    </row>
    <row r="88" spans="1:33" ht="15.75" customHeight="1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6"/>
      <c r="V88" s="1"/>
      <c r="W88" s="31"/>
      <c r="X88" s="31"/>
      <c r="Y88" s="31"/>
      <c r="Z88" s="31"/>
      <c r="AA88" s="2"/>
      <c r="AB88" s="31"/>
      <c r="AC88" s="31"/>
      <c r="AD88" s="31"/>
      <c r="AE88" s="37"/>
      <c r="AF88" s="37"/>
      <c r="AG88" s="37"/>
    </row>
    <row r="89" spans="1:33" ht="15.75" customHeight="1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6"/>
      <c r="V89" s="1"/>
      <c r="W89" s="31"/>
      <c r="X89" s="31"/>
      <c r="Y89" s="31"/>
      <c r="Z89" s="31"/>
      <c r="AA89" s="2"/>
      <c r="AB89" s="31"/>
      <c r="AC89" s="31"/>
      <c r="AD89" s="31"/>
      <c r="AE89" s="37"/>
      <c r="AF89" s="37"/>
      <c r="AG89" s="37"/>
    </row>
    <row r="90" spans="1:33" ht="15.75" customHeight="1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6"/>
      <c r="V90" s="1"/>
      <c r="W90" s="31"/>
      <c r="X90" s="31"/>
      <c r="Y90" s="31"/>
      <c r="Z90" s="31"/>
      <c r="AA90" s="2"/>
      <c r="AB90" s="31"/>
      <c r="AC90" s="31"/>
      <c r="AD90" s="31"/>
      <c r="AE90" s="37"/>
      <c r="AF90" s="37"/>
      <c r="AG90" s="37"/>
    </row>
    <row r="91" spans="1:33" ht="15.75" customHeight="1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6"/>
      <c r="V91" s="1"/>
      <c r="W91" s="31"/>
      <c r="X91" s="31"/>
      <c r="Y91" s="31"/>
      <c r="Z91" s="31"/>
      <c r="AA91" s="2"/>
      <c r="AB91" s="31"/>
      <c r="AC91" s="31"/>
      <c r="AD91" s="31"/>
      <c r="AE91" s="37"/>
      <c r="AF91" s="37"/>
      <c r="AG91" s="37"/>
    </row>
    <row r="92" spans="1:33" ht="15.75" customHeight="1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6"/>
      <c r="V92" s="1"/>
      <c r="W92" s="31"/>
      <c r="X92" s="31"/>
      <c r="Y92" s="31"/>
      <c r="Z92" s="31"/>
      <c r="AA92" s="2"/>
      <c r="AB92" s="31"/>
      <c r="AC92" s="31"/>
      <c r="AD92" s="31"/>
      <c r="AE92" s="37"/>
      <c r="AF92" s="37"/>
      <c r="AG92" s="37"/>
    </row>
    <row r="93" spans="1:33" ht="15.75" customHeight="1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6"/>
      <c r="V93" s="1"/>
      <c r="W93" s="31"/>
      <c r="X93" s="31"/>
      <c r="Y93" s="31"/>
      <c r="Z93" s="31"/>
      <c r="AA93" s="2"/>
      <c r="AB93" s="31"/>
      <c r="AC93" s="31"/>
      <c r="AD93" s="31"/>
      <c r="AE93" s="37"/>
      <c r="AF93" s="37"/>
      <c r="AG93" s="37"/>
    </row>
    <row r="94" spans="1:33" ht="15.75" customHeight="1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6"/>
      <c r="V94" s="1"/>
      <c r="W94" s="31"/>
      <c r="X94" s="31"/>
      <c r="Y94" s="31"/>
      <c r="Z94" s="31"/>
      <c r="AA94" s="2"/>
      <c r="AB94" s="31"/>
      <c r="AC94" s="31"/>
      <c r="AD94" s="31"/>
      <c r="AE94" s="37"/>
      <c r="AF94" s="37"/>
      <c r="AG94" s="37"/>
    </row>
    <row r="95" spans="1:33" ht="15.75" customHeight="1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6"/>
      <c r="V95" s="1"/>
      <c r="W95" s="31"/>
      <c r="X95" s="31"/>
      <c r="Y95" s="31"/>
      <c r="Z95" s="31"/>
      <c r="AA95" s="2"/>
      <c r="AB95" s="31"/>
      <c r="AC95" s="31"/>
      <c r="AD95" s="31"/>
      <c r="AE95" s="37"/>
      <c r="AF95" s="37"/>
      <c r="AG95" s="37"/>
    </row>
    <row r="96" spans="1:33" ht="15.75" customHeight="1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6"/>
      <c r="V96" s="1"/>
      <c r="W96" s="31"/>
      <c r="X96" s="31"/>
      <c r="Y96" s="31"/>
      <c r="Z96" s="31"/>
      <c r="AA96" s="2"/>
      <c r="AB96" s="31"/>
      <c r="AC96" s="31"/>
      <c r="AD96" s="31"/>
      <c r="AE96" s="37"/>
      <c r="AF96" s="37"/>
      <c r="AG96" s="37"/>
    </row>
    <row r="97" spans="1:33" ht="15.75" customHeight="1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8"/>
      <c r="R97" s="38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8"/>
      <c r="R98" s="38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8"/>
      <c r="R99" s="38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8"/>
      <c r="R100" s="38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8"/>
      <c r="R101" s="38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8"/>
      <c r="R102" s="38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8"/>
      <c r="R103" s="38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8"/>
      <c r="R104" s="38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8"/>
      <c r="R105" s="38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8"/>
      <c r="R106" s="38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8"/>
      <c r="R107" s="38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8"/>
      <c r="R108" s="38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8"/>
      <c r="R109" s="38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8"/>
      <c r="R110" s="38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8"/>
      <c r="R111" s="38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8"/>
      <c r="R112" s="38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8"/>
      <c r="R113" s="38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8"/>
      <c r="R114" s="38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>
      <c r="A115" s="31"/>
      <c r="B115" s="31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>
      <c r="A116" s="31"/>
      <c r="B116" s="31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>
      <c r="A117" s="31"/>
      <c r="B117" s="31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>
      <c r="A118" s="31"/>
      <c r="B118" s="31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>
      <c r="A119" s="31"/>
      <c r="B119" s="31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>
      <c r="A120" s="31"/>
      <c r="B120" s="31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>
      <c r="A121" s="31"/>
      <c r="B121" s="31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>
      <c r="A122" s="31"/>
      <c r="B122" s="31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>
      <c r="A123" s="31"/>
      <c r="B123" s="31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>
      <c r="A124" s="31"/>
      <c r="B124" s="31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>
      <c r="A125" s="31"/>
      <c r="B125" s="31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>
      <c r="A126" s="31"/>
      <c r="B126" s="31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>
      <c r="A127" s="31"/>
      <c r="B127" s="31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>
      <c r="A128" s="31"/>
      <c r="B128" s="31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>
      <c r="A129" s="31"/>
      <c r="B129" s="31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>
      <c r="A130" s="31"/>
      <c r="B130" s="31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>
      <c r="A131" s="31"/>
      <c r="B131" s="31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>
      <c r="A132" s="31"/>
      <c r="B132" s="31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>
      <c r="A133" s="31"/>
      <c r="B133" s="31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>
      <c r="A134" s="31"/>
      <c r="B134" s="31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>
      <c r="A135" s="31"/>
      <c r="B135" s="31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>
      <c r="A136" s="31"/>
      <c r="B136" s="31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>
      <c r="A137" s="31"/>
      <c r="B137" s="31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>
      <c r="A138" s="31"/>
      <c r="B138" s="31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>
      <c r="A139" s="31"/>
      <c r="B139" s="31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>
      <c r="A140" s="31"/>
      <c r="B140" s="31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>
      <c r="A141" s="31"/>
      <c r="B141" s="31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2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>
      <c r="A142" s="31"/>
      <c r="B142" s="31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2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>
      <c r="A143" s="31"/>
      <c r="B143" s="31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2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>
      <c r="A144" s="31"/>
      <c r="B144" s="31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2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>
      <c r="A145" s="31"/>
      <c r="B145" s="31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2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>
      <c r="A146" s="31"/>
      <c r="B146" s="31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2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>
      <c r="A147" s="31"/>
      <c r="B147" s="31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2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>
      <c r="A148" s="31"/>
      <c r="B148" s="31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2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</row>
    <row r="149" spans="1:33" ht="15.75" customHeight="1">
      <c r="A149" s="14"/>
      <c r="B149" s="14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>
      <c r="A150" s="14"/>
      <c r="B150" s="14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>
      <c r="A151" s="14"/>
      <c r="B151" s="14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>
      <c r="A152" s="14"/>
      <c r="B152" s="14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>
      <c r="A153" s="14"/>
      <c r="B153" s="14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>
      <c r="A154" s="14"/>
      <c r="B154" s="14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>
      <c r="A155" s="14"/>
      <c r="B155" s="14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>
      <c r="A156" s="14"/>
      <c r="B156" s="14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>
      <c r="A157" s="14"/>
      <c r="B157" s="14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>
      <c r="A158" s="14"/>
      <c r="B158" s="14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>
      <c r="A159" s="14"/>
      <c r="B159" s="14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>
      <c r="A160" s="14"/>
      <c r="B160" s="14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>
      <c r="A161" s="14"/>
      <c r="B161" s="14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>
      <c r="A162" s="14"/>
      <c r="B162" s="14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>
      <c r="A163" s="14"/>
      <c r="B163" s="14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>
      <c r="A164" s="14"/>
      <c r="B164" s="14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>
      <c r="A165" s="14"/>
      <c r="B165" s="14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>
      <c r="A166" s="14"/>
      <c r="B166" s="14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>
      <c r="A167" s="14"/>
      <c r="B167" s="14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>
      <c r="A168" s="14"/>
      <c r="B168" s="14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>
      <c r="A169" s="14"/>
      <c r="B169" s="14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>
      <c r="A170" s="14"/>
      <c r="B170" s="14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>
      <c r="A171" s="14"/>
      <c r="B171" s="14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>
      <c r="A172" s="14"/>
      <c r="B172" s="14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>
      <c r="A173" s="14"/>
      <c r="B173" s="14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>
      <c r="A174" s="14"/>
      <c r="B174" s="14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>
      <c r="A175" s="14"/>
      <c r="B175" s="14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>
      <c r="A176" s="14"/>
      <c r="B176" s="14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>
      <c r="A177" s="14"/>
      <c r="B177" s="14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>
      <c r="A178" s="14"/>
      <c r="B178" s="14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>
      <c r="A179" s="14"/>
      <c r="B179" s="14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>
      <c r="A180" s="14"/>
      <c r="B180" s="14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>
      <c r="A181" s="14"/>
      <c r="B181" s="14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>
      <c r="A182" s="14"/>
      <c r="B182" s="14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>
      <c r="A183" s="14"/>
      <c r="B183" s="14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>
      <c r="A184" s="14"/>
      <c r="B184" s="14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>
      <c r="A185" s="14"/>
      <c r="B185" s="14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>
      <c r="A186" s="14"/>
      <c r="B186" s="14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>
      <c r="A187" s="14"/>
      <c r="B187" s="14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>
      <c r="A188" s="14"/>
      <c r="B188" s="14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>
      <c r="A189" s="14"/>
      <c r="B189" s="14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>
      <c r="A190" s="14"/>
      <c r="B190" s="14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>
      <c r="A191" s="14"/>
      <c r="B191" s="14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>
      <c r="A192" s="14"/>
      <c r="B192" s="14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>
      <c r="A193" s="14"/>
      <c r="B193" s="14"/>
      <c r="C193" s="39"/>
      <c r="D193" s="39"/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>
      <c r="A194" s="14"/>
      <c r="B194" s="14"/>
      <c r="C194" s="39"/>
      <c r="D194" s="39"/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>
      <c r="A195" s="14"/>
      <c r="B195" s="14"/>
      <c r="C195" s="39"/>
      <c r="D195" s="39"/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>
      <c r="A196" s="14"/>
      <c r="B196" s="14"/>
      <c r="C196" s="39"/>
      <c r="D196" s="39"/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>
      <c r="A197" s="14"/>
      <c r="B197" s="14"/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>
      <c r="A198" s="14"/>
      <c r="B198" s="14"/>
      <c r="C198" s="39"/>
      <c r="D198" s="39"/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>
      <c r="A199" s="14"/>
      <c r="B199" s="14"/>
      <c r="C199" s="39"/>
      <c r="D199" s="39"/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>
      <c r="A200" s="14"/>
      <c r="B200" s="14"/>
      <c r="C200" s="39"/>
      <c r="D200" s="39"/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>
      <c r="A201" s="14"/>
      <c r="B201" s="14"/>
      <c r="C201" s="39"/>
      <c r="D201" s="39"/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>
      <c r="A202" s="14"/>
      <c r="B202" s="14"/>
      <c r="C202" s="39"/>
      <c r="D202" s="39"/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>
      <c r="A203" s="14"/>
      <c r="B203" s="14"/>
      <c r="C203" s="39"/>
      <c r="D203" s="39"/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>
      <c r="A204" s="14"/>
      <c r="B204" s="14"/>
      <c r="C204" s="39"/>
      <c r="D204" s="39"/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>
      <c r="A205" s="14"/>
      <c r="B205" s="14"/>
      <c r="C205" s="39"/>
      <c r="D205" s="39"/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>
      <c r="A206" s="14"/>
      <c r="B206" s="14"/>
      <c r="C206" s="39"/>
      <c r="D206" s="39"/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>
      <c r="A207" s="14"/>
      <c r="B207" s="14"/>
      <c r="C207" s="39"/>
      <c r="D207" s="39"/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>
      <c r="A208" s="14"/>
      <c r="B208" s="14"/>
      <c r="C208" s="39"/>
      <c r="D208" s="39"/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>
      <c r="A209" s="14"/>
      <c r="B209" s="14"/>
      <c r="C209" s="39"/>
      <c r="D209" s="39"/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>
      <c r="A210" s="14"/>
      <c r="B210" s="14"/>
      <c r="C210" s="39"/>
      <c r="D210" s="39"/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>
      <c r="A211" s="14"/>
      <c r="B211" s="14"/>
      <c r="C211" s="39"/>
      <c r="D211" s="39"/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>
      <c r="A212" s="14"/>
      <c r="B212" s="14"/>
      <c r="C212" s="39"/>
      <c r="D212" s="39"/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>
      <c r="A213" s="14"/>
      <c r="B213" s="14"/>
      <c r="C213" s="39"/>
      <c r="D213" s="39"/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>
      <c r="A214" s="14"/>
      <c r="B214" s="14"/>
      <c r="C214" s="39"/>
      <c r="D214" s="39"/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>
      <c r="A215" s="14"/>
      <c r="B215" s="14"/>
      <c r="C215" s="39"/>
      <c r="D215" s="39"/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>
      <c r="A216" s="14"/>
      <c r="B216" s="14"/>
      <c r="C216" s="39"/>
      <c r="D216" s="39"/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>
      <c r="A217" s="14"/>
      <c r="B217" s="14"/>
      <c r="C217" s="39"/>
      <c r="D217" s="39"/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>
      <c r="A218" s="14"/>
      <c r="B218" s="14"/>
      <c r="C218" s="39"/>
      <c r="D218" s="39"/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>
      <c r="A219" s="14"/>
      <c r="B219" s="14"/>
      <c r="C219" s="39"/>
      <c r="D219" s="39"/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>
      <c r="A220" s="14"/>
      <c r="B220" s="14"/>
      <c r="C220" s="39"/>
      <c r="D220" s="39"/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>
      <c r="R221" s="30"/>
      <c r="S221" s="40"/>
    </row>
    <row r="222" spans="1:33" ht="15.75" customHeight="1">
      <c r="R222" s="30"/>
      <c r="S222" s="40"/>
    </row>
    <row r="223" spans="1:33" ht="15.75" customHeight="1">
      <c r="R223" s="30"/>
      <c r="S223" s="40"/>
    </row>
    <row r="224" spans="1:33" ht="15.75" customHeight="1">
      <c r="R224" s="30"/>
      <c r="S224" s="40"/>
    </row>
    <row r="225" spans="18:18" ht="15.75" customHeight="1">
      <c r="R225" s="30"/>
    </row>
    <row r="226" spans="18:18" ht="15.75" customHeight="1">
      <c r="R226" s="30"/>
    </row>
    <row r="227" spans="18:18" ht="15.75" customHeight="1">
      <c r="R227" s="30"/>
    </row>
    <row r="228" spans="18:18" ht="15.75" customHeight="1">
      <c r="R228" s="30"/>
    </row>
    <row r="229" spans="18:18" ht="15.75" customHeight="1">
      <c r="R229" s="30"/>
    </row>
    <row r="230" spans="18:18" ht="15.75" customHeight="1">
      <c r="R230" s="30"/>
    </row>
    <row r="231" spans="18:18" ht="15.75" customHeight="1">
      <c r="R231" s="30"/>
    </row>
    <row r="232" spans="18:18" ht="15.75" customHeight="1">
      <c r="R232" s="30"/>
    </row>
    <row r="233" spans="18:18" ht="15.75" customHeight="1">
      <c r="R233" s="30"/>
    </row>
    <row r="234" spans="18:18" ht="15.75" customHeight="1">
      <c r="R234" s="30"/>
    </row>
    <row r="235" spans="18:18" ht="15.75" customHeight="1">
      <c r="R235" s="30"/>
    </row>
    <row r="236" spans="18:18" ht="15.75" customHeight="1">
      <c r="R236" s="30"/>
    </row>
    <row r="237" spans="18:18" ht="15.75" customHeight="1">
      <c r="R237" s="30"/>
    </row>
    <row r="238" spans="18:18" ht="15.75" customHeight="1">
      <c r="R238" s="30"/>
    </row>
    <row r="239" spans="18:18" ht="15.75" customHeight="1">
      <c r="R239" s="30"/>
    </row>
    <row r="240" spans="18:18" ht="15.75" customHeight="1">
      <c r="R240" s="30"/>
    </row>
    <row r="241" spans="18:18" ht="15.75" customHeight="1">
      <c r="R241" s="30"/>
    </row>
    <row r="242" spans="18:18" ht="15.75" customHeight="1">
      <c r="R242" s="30"/>
    </row>
    <row r="243" spans="18:18" ht="15.75" customHeight="1">
      <c r="R243" s="30"/>
    </row>
    <row r="244" spans="18:18" ht="15.75" customHeight="1">
      <c r="R244" s="30"/>
    </row>
    <row r="245" spans="18:18" ht="15.75" customHeight="1">
      <c r="R245" s="30"/>
    </row>
    <row r="246" spans="18:18" ht="15.75" customHeight="1">
      <c r="R246" s="30"/>
    </row>
    <row r="247" spans="18:18" ht="15.75" customHeight="1">
      <c r="R247" s="30"/>
    </row>
    <row r="248" spans="18:18" ht="15.75" customHeight="1">
      <c r="R248" s="30"/>
    </row>
    <row r="249" spans="18:18" ht="15.75" customHeight="1">
      <c r="R249" s="30"/>
    </row>
    <row r="250" spans="18:18" ht="15.75" customHeight="1">
      <c r="R250" s="30"/>
    </row>
    <row r="251" spans="18:18" ht="15.75" customHeight="1">
      <c r="R251" s="30"/>
    </row>
    <row r="252" spans="18:18" ht="15.75" customHeight="1">
      <c r="R252" s="30"/>
    </row>
    <row r="253" spans="18:18" ht="15.75" customHeight="1">
      <c r="R253" s="30"/>
    </row>
    <row r="254" spans="18:18" ht="15.75" customHeight="1">
      <c r="R254" s="30"/>
    </row>
    <row r="255" spans="18:18" ht="15.75" customHeight="1">
      <c r="R255" s="30"/>
    </row>
    <row r="256" spans="18:18" ht="15.75" customHeight="1">
      <c r="R256" s="30"/>
    </row>
    <row r="257" spans="18:18" ht="15.75" customHeight="1">
      <c r="R257" s="30"/>
    </row>
    <row r="258" spans="18:18" ht="15.75" customHeight="1">
      <c r="R258" s="30"/>
    </row>
    <row r="259" spans="18:18" ht="15.75" customHeight="1">
      <c r="R259" s="30"/>
    </row>
    <row r="260" spans="18:18" ht="15.75" customHeight="1">
      <c r="R260" s="30"/>
    </row>
    <row r="261" spans="18:18" ht="15.75" customHeight="1">
      <c r="R261" s="30"/>
    </row>
    <row r="262" spans="18:18" ht="15.75" customHeight="1">
      <c r="R262" s="30"/>
    </row>
    <row r="263" spans="18:18" ht="15.75" customHeight="1">
      <c r="R263" s="30"/>
    </row>
    <row r="264" spans="18:18" ht="15.75" customHeight="1">
      <c r="R264" s="30"/>
    </row>
    <row r="265" spans="18:18" ht="15.75" customHeight="1">
      <c r="R265" s="30"/>
    </row>
    <row r="266" spans="18:18" ht="15.75" customHeight="1">
      <c r="R266" s="30"/>
    </row>
    <row r="267" spans="18:18" ht="15.75" customHeight="1">
      <c r="R267" s="30"/>
    </row>
    <row r="268" spans="18:18" ht="15.75" customHeight="1">
      <c r="R268" s="30"/>
    </row>
    <row r="269" spans="18:18" ht="15.75" customHeight="1">
      <c r="R269" s="30"/>
    </row>
    <row r="270" spans="18:18" ht="15.75" customHeight="1">
      <c r="R270" s="30"/>
    </row>
    <row r="271" spans="18:18" ht="15.75" customHeight="1">
      <c r="R271" s="30"/>
    </row>
    <row r="272" spans="18:18" ht="15.75" customHeight="1">
      <c r="R272" s="30"/>
    </row>
    <row r="273" spans="18:18" ht="15.75" customHeight="1">
      <c r="R273" s="30"/>
    </row>
    <row r="274" spans="18:18" ht="15.75" customHeight="1">
      <c r="R274" s="30"/>
    </row>
    <row r="275" spans="18:18" ht="15.75" customHeight="1">
      <c r="R275" s="30"/>
    </row>
    <row r="276" spans="18:18" ht="15.75" customHeight="1">
      <c r="R276" s="30"/>
    </row>
    <row r="277" spans="18:18" ht="15.75" customHeight="1">
      <c r="R277" s="30"/>
    </row>
    <row r="278" spans="18:18" ht="15.75" customHeight="1">
      <c r="R278" s="30"/>
    </row>
    <row r="279" spans="18:18" ht="15.75" customHeight="1">
      <c r="R279" s="30"/>
    </row>
    <row r="280" spans="18:18" ht="15.75" customHeight="1">
      <c r="R280" s="30"/>
    </row>
    <row r="281" spans="18:18" ht="15.75" customHeight="1">
      <c r="R281" s="30"/>
    </row>
    <row r="282" spans="18:18" ht="15.75" customHeight="1">
      <c r="R282" s="30"/>
    </row>
    <row r="283" spans="18:18" ht="15.75" customHeight="1">
      <c r="R283" s="30"/>
    </row>
    <row r="284" spans="18:18" ht="15.75" customHeight="1">
      <c r="R284" s="30"/>
    </row>
    <row r="285" spans="18:18" ht="15.75" customHeight="1">
      <c r="R285" s="30"/>
    </row>
    <row r="286" spans="18:18" ht="15.75" customHeight="1">
      <c r="R286" s="30"/>
    </row>
    <row r="287" spans="18:18" ht="15.75" customHeight="1">
      <c r="R287" s="30"/>
    </row>
    <row r="288" spans="18:18" ht="15.75" customHeight="1">
      <c r="R288" s="30"/>
    </row>
    <row r="289" spans="18:18" ht="15.75" customHeight="1">
      <c r="R289" s="30"/>
    </row>
    <row r="290" spans="18:18" ht="15.75" customHeight="1">
      <c r="R290" s="30"/>
    </row>
    <row r="291" spans="18:18" ht="15.75" customHeight="1">
      <c r="R291" s="30"/>
    </row>
    <row r="292" spans="18:18" ht="15.75" customHeight="1">
      <c r="R292" s="30"/>
    </row>
    <row r="293" spans="18:18" ht="15.75" customHeight="1">
      <c r="R293" s="30"/>
    </row>
    <row r="294" spans="18:18" ht="15.75" customHeight="1">
      <c r="R294" s="30"/>
    </row>
    <row r="295" spans="18:18" ht="15.75" customHeight="1">
      <c r="R295" s="30"/>
    </row>
    <row r="296" spans="18:18" ht="15.75" customHeight="1">
      <c r="R296" s="30"/>
    </row>
    <row r="297" spans="18:18" ht="15.75" customHeight="1">
      <c r="R297" s="30"/>
    </row>
    <row r="298" spans="18:18" ht="15.75" customHeight="1">
      <c r="R298" s="30"/>
    </row>
    <row r="299" spans="18:18" ht="15.75" customHeight="1">
      <c r="R299" s="30"/>
    </row>
    <row r="300" spans="18:18" ht="15.75" customHeight="1">
      <c r="R300" s="30"/>
    </row>
    <row r="301" spans="18:18" ht="15.75" customHeight="1">
      <c r="R301" s="30"/>
    </row>
    <row r="302" spans="18:18" ht="15.75" customHeight="1">
      <c r="R302" s="30"/>
    </row>
    <row r="303" spans="18:18" ht="15.75" customHeight="1">
      <c r="R303" s="30"/>
    </row>
    <row r="304" spans="18:18" ht="15.75" customHeight="1">
      <c r="R304" s="30"/>
    </row>
    <row r="305" spans="18:18" ht="15.75" customHeight="1">
      <c r="R305" s="30"/>
    </row>
    <row r="306" spans="18:18" ht="15.75" customHeight="1">
      <c r="R306" s="30"/>
    </row>
    <row r="307" spans="18:18" ht="15.75" customHeight="1">
      <c r="R307" s="30"/>
    </row>
    <row r="308" spans="18:18" ht="15.75" customHeight="1">
      <c r="R308" s="30"/>
    </row>
    <row r="309" spans="18:18" ht="15.75" customHeight="1">
      <c r="R309" s="30"/>
    </row>
    <row r="310" spans="18:18" ht="15.75" customHeight="1">
      <c r="R310" s="30"/>
    </row>
    <row r="311" spans="18:18" ht="15.75" customHeight="1">
      <c r="R311" s="30"/>
    </row>
    <row r="312" spans="18:18" ht="15.75" customHeight="1">
      <c r="R312" s="30"/>
    </row>
    <row r="313" spans="18:18" ht="15.75" customHeight="1">
      <c r="R313" s="30"/>
    </row>
    <row r="314" spans="18:18" ht="15.75" customHeight="1">
      <c r="R314" s="30"/>
    </row>
    <row r="315" spans="18:18" ht="15.75" customHeight="1">
      <c r="R315" s="30"/>
    </row>
    <row r="316" spans="18:18" ht="15.75" customHeight="1">
      <c r="R316" s="30"/>
    </row>
    <row r="317" spans="18:18" ht="15.75" customHeight="1">
      <c r="R317" s="30"/>
    </row>
    <row r="318" spans="18:18" ht="15.75" customHeight="1">
      <c r="R318" s="30"/>
    </row>
    <row r="319" spans="18:18" ht="15.75" customHeight="1">
      <c r="R319" s="30"/>
    </row>
    <row r="320" spans="18:18" ht="15.75" customHeight="1">
      <c r="R320" s="30"/>
    </row>
    <row r="321" spans="18:18" ht="15.75" customHeight="1">
      <c r="R321" s="30"/>
    </row>
    <row r="322" spans="18:18" ht="15.75" customHeight="1">
      <c r="R322" s="30"/>
    </row>
    <row r="323" spans="18:18" ht="15.75" customHeight="1">
      <c r="R323" s="30"/>
    </row>
    <row r="324" spans="18:18" ht="15.75" customHeight="1">
      <c r="R324" s="30"/>
    </row>
    <row r="325" spans="18:18" ht="15.75" customHeight="1">
      <c r="R325" s="30"/>
    </row>
    <row r="326" spans="18:18" ht="15.75" customHeight="1">
      <c r="R326" s="30"/>
    </row>
    <row r="327" spans="18:18" ht="15.75" customHeight="1">
      <c r="R327" s="30"/>
    </row>
    <row r="328" spans="18:18" ht="15.75" customHeight="1">
      <c r="R328" s="30"/>
    </row>
    <row r="329" spans="18:18" ht="15.75" customHeight="1">
      <c r="R329" s="30"/>
    </row>
    <row r="330" spans="18:18" ht="15.75" customHeight="1">
      <c r="R330" s="30"/>
    </row>
    <row r="331" spans="18:18" ht="15.75" customHeight="1">
      <c r="R331" s="30"/>
    </row>
    <row r="332" spans="18:18" ht="15.75" customHeight="1">
      <c r="R332" s="30"/>
    </row>
    <row r="333" spans="18:18" ht="15.75" customHeight="1">
      <c r="R333" s="30"/>
    </row>
    <row r="334" spans="18:18" ht="15.75" customHeight="1">
      <c r="R334" s="30"/>
    </row>
    <row r="335" spans="18:18" ht="15.75" customHeight="1">
      <c r="R335" s="30"/>
    </row>
    <row r="336" spans="18:18" ht="15.75" customHeight="1">
      <c r="R336" s="30"/>
    </row>
    <row r="337" spans="18:18" ht="15.75" customHeight="1">
      <c r="R337" s="30"/>
    </row>
    <row r="338" spans="18:18" ht="15.75" customHeight="1">
      <c r="R338" s="30"/>
    </row>
    <row r="339" spans="18:18" ht="15.75" customHeight="1">
      <c r="R339" s="30"/>
    </row>
    <row r="340" spans="18:18" ht="15.75" customHeight="1">
      <c r="R340" s="30"/>
    </row>
    <row r="341" spans="18:18" ht="15.75" customHeight="1">
      <c r="R341" s="30"/>
    </row>
    <row r="342" spans="18:18" ht="15.75" customHeight="1">
      <c r="R342" s="30"/>
    </row>
    <row r="343" spans="18:18" ht="15.75" customHeight="1">
      <c r="R343" s="30"/>
    </row>
    <row r="344" spans="18:18" ht="15.75" customHeight="1">
      <c r="R344" s="30"/>
    </row>
    <row r="345" spans="18:18" ht="15.75" customHeight="1">
      <c r="R345" s="30"/>
    </row>
    <row r="346" spans="18:18" ht="15.75" customHeight="1">
      <c r="R346" s="30"/>
    </row>
    <row r="347" spans="18:18" ht="15.75" customHeight="1">
      <c r="R347" s="30"/>
    </row>
    <row r="348" spans="18:18" ht="15.75" customHeight="1">
      <c r="R348" s="30"/>
    </row>
    <row r="349" spans="18:18" ht="15.75" customHeight="1">
      <c r="R349" s="30"/>
    </row>
    <row r="350" spans="18:18" ht="15.75" customHeight="1">
      <c r="R350" s="30"/>
    </row>
    <row r="351" spans="18:18" ht="15.75" customHeight="1">
      <c r="R351" s="30"/>
    </row>
    <row r="352" spans="18:18" ht="15.75" customHeight="1">
      <c r="R352" s="30"/>
    </row>
    <row r="353" spans="18:18" ht="15.75" customHeight="1">
      <c r="R353" s="30"/>
    </row>
    <row r="354" spans="18:18" ht="15.75" customHeight="1">
      <c r="R354" s="30"/>
    </row>
    <row r="355" spans="18:18" ht="15.75" customHeight="1">
      <c r="R355" s="30"/>
    </row>
    <row r="356" spans="18:18" ht="15.75" customHeight="1">
      <c r="R356" s="30"/>
    </row>
    <row r="357" spans="18:18" ht="15.75" customHeight="1">
      <c r="R357" s="30"/>
    </row>
    <row r="358" spans="18:18" ht="15.75" customHeight="1">
      <c r="R358" s="30"/>
    </row>
    <row r="359" spans="18:18" ht="15.75" customHeight="1">
      <c r="R359" s="30"/>
    </row>
    <row r="360" spans="18:18" ht="15.75" customHeight="1">
      <c r="R360" s="30"/>
    </row>
    <row r="361" spans="18:18" ht="15.75" customHeight="1">
      <c r="R361" s="30"/>
    </row>
    <row r="362" spans="18:18" ht="15.75" customHeight="1">
      <c r="R362" s="30"/>
    </row>
    <row r="363" spans="18:18" ht="15.75" customHeight="1">
      <c r="R363" s="30"/>
    </row>
    <row r="364" spans="18:18" ht="15.75" customHeight="1">
      <c r="R364" s="30"/>
    </row>
    <row r="365" spans="18:18" ht="15.75" customHeight="1">
      <c r="R365" s="30"/>
    </row>
    <row r="366" spans="18:18" ht="15.75" customHeight="1">
      <c r="R366" s="30"/>
    </row>
    <row r="367" spans="18:18" ht="15.75" customHeight="1">
      <c r="R367" s="30"/>
    </row>
    <row r="368" spans="18:18" ht="15.75" customHeight="1">
      <c r="R368" s="30"/>
    </row>
    <row r="369" spans="18:18" ht="15.75" customHeight="1">
      <c r="R369" s="30"/>
    </row>
    <row r="370" spans="18:18" ht="15.75" customHeight="1">
      <c r="R370" s="30"/>
    </row>
    <row r="371" spans="18:18" ht="15.75" customHeight="1">
      <c r="R371" s="30"/>
    </row>
    <row r="372" spans="18:18" ht="15.75" customHeight="1">
      <c r="R372" s="30"/>
    </row>
    <row r="373" spans="18:18" ht="15.75" customHeight="1">
      <c r="R373" s="30"/>
    </row>
    <row r="374" spans="18:18" ht="15.75" customHeight="1">
      <c r="R374" s="30"/>
    </row>
    <row r="375" spans="18:18" ht="15.75" customHeight="1">
      <c r="R375" s="30"/>
    </row>
    <row r="376" spans="18:18" ht="15.75" customHeight="1">
      <c r="R376" s="30"/>
    </row>
    <row r="377" spans="18:18" ht="15.75" customHeight="1">
      <c r="R377" s="30"/>
    </row>
    <row r="378" spans="18:18" ht="15.75" customHeight="1">
      <c r="R378" s="30"/>
    </row>
    <row r="379" spans="18:18" ht="15.75" customHeight="1">
      <c r="R379" s="30"/>
    </row>
    <row r="380" spans="18:18" ht="15.75" customHeight="1">
      <c r="R380" s="30"/>
    </row>
    <row r="381" spans="18:18" ht="15.75" customHeight="1">
      <c r="R381" s="30"/>
    </row>
    <row r="382" spans="18:18" ht="15.75" customHeight="1">
      <c r="R382" s="30"/>
    </row>
    <row r="383" spans="18:18" ht="15.75" customHeight="1">
      <c r="R383" s="30"/>
    </row>
    <row r="384" spans="18:18" ht="15.75" customHeight="1">
      <c r="R384" s="30"/>
    </row>
    <row r="385" spans="18:18" ht="15.75" customHeight="1">
      <c r="R385" s="30"/>
    </row>
    <row r="386" spans="18:18" ht="15.75" customHeight="1">
      <c r="R386" s="30"/>
    </row>
    <row r="387" spans="18:18" ht="15.75" customHeight="1">
      <c r="R387" s="30"/>
    </row>
    <row r="388" spans="18:18" ht="15.75" customHeight="1">
      <c r="R388" s="30"/>
    </row>
    <row r="389" spans="18:18" ht="15.75" customHeight="1">
      <c r="R389" s="30"/>
    </row>
    <row r="390" spans="18:18" ht="15.75" customHeight="1">
      <c r="R390" s="30"/>
    </row>
    <row r="391" spans="18:18" ht="15.75" customHeight="1">
      <c r="R391" s="30"/>
    </row>
    <row r="392" spans="18:18" ht="15.75" customHeight="1">
      <c r="R392" s="30"/>
    </row>
    <row r="393" spans="18:18" ht="15.75" customHeight="1">
      <c r="R393" s="30"/>
    </row>
    <row r="394" spans="18:18" ht="15.75" customHeight="1">
      <c r="R394" s="30"/>
    </row>
    <row r="395" spans="18:18" ht="15.75" customHeight="1">
      <c r="R395" s="30"/>
    </row>
    <row r="396" spans="18:18" ht="15.75" customHeight="1">
      <c r="R396" s="30"/>
    </row>
    <row r="397" spans="18:18" ht="15.75" customHeight="1">
      <c r="R397" s="30"/>
    </row>
    <row r="398" spans="18:18" ht="15.75" customHeight="1">
      <c r="R398" s="30"/>
    </row>
    <row r="399" spans="18:18" ht="15.75" customHeight="1">
      <c r="R399" s="30"/>
    </row>
    <row r="400" spans="18:18" ht="15.75" customHeight="1">
      <c r="R400" s="30"/>
    </row>
    <row r="401" spans="18:18" ht="15.75" customHeight="1">
      <c r="R401" s="30"/>
    </row>
    <row r="402" spans="18:18" ht="15.75" customHeight="1">
      <c r="R402" s="30"/>
    </row>
    <row r="403" spans="18:18" ht="15.75" customHeight="1">
      <c r="R403" s="30"/>
    </row>
    <row r="404" spans="18:18" ht="15.75" customHeight="1">
      <c r="R404" s="30"/>
    </row>
    <row r="405" spans="18:18" ht="15.75" customHeight="1">
      <c r="R405" s="30"/>
    </row>
    <row r="406" spans="18:18" ht="15.75" customHeight="1">
      <c r="R406" s="30"/>
    </row>
    <row r="407" spans="18:18" ht="15.75" customHeight="1">
      <c r="R407" s="30"/>
    </row>
    <row r="408" spans="18:18" ht="15.75" customHeight="1">
      <c r="R408" s="30"/>
    </row>
    <row r="409" spans="18:18" ht="15.75" customHeight="1">
      <c r="R409" s="30"/>
    </row>
    <row r="410" spans="18:18" ht="15.75" customHeight="1">
      <c r="R410" s="30"/>
    </row>
    <row r="411" spans="18:18" ht="15.75" customHeight="1">
      <c r="R411" s="30"/>
    </row>
    <row r="412" spans="18:18" ht="15.75" customHeight="1">
      <c r="R412" s="30"/>
    </row>
    <row r="413" spans="18:18" ht="15.75" customHeight="1">
      <c r="R413" s="30"/>
    </row>
    <row r="414" spans="18:18" ht="15.75" customHeight="1">
      <c r="R414" s="30"/>
    </row>
    <row r="415" spans="18:18" ht="15.75" customHeight="1">
      <c r="R415" s="30"/>
    </row>
    <row r="416" spans="18:18" ht="15.75" customHeight="1">
      <c r="R416" s="30"/>
    </row>
    <row r="417" spans="18:18" ht="15.75" customHeight="1">
      <c r="R417" s="30"/>
    </row>
    <row r="418" spans="18:18" ht="15.75" customHeight="1">
      <c r="R418" s="30"/>
    </row>
    <row r="419" spans="18:18" ht="15.75" customHeight="1">
      <c r="R419" s="30"/>
    </row>
    <row r="420" spans="18:18" ht="15.75" customHeight="1">
      <c r="R420" s="30"/>
    </row>
    <row r="421" spans="18:18" ht="15.75" customHeight="1">
      <c r="R421" s="30"/>
    </row>
    <row r="422" spans="18:18" ht="15.75" customHeight="1">
      <c r="R422" s="30"/>
    </row>
    <row r="423" spans="18:18" ht="15.75" customHeight="1">
      <c r="R423" s="30"/>
    </row>
    <row r="424" spans="18:18" ht="15.75" customHeight="1">
      <c r="R424" s="30"/>
    </row>
    <row r="425" spans="18:18" ht="15.75" customHeight="1">
      <c r="R425" s="30"/>
    </row>
    <row r="426" spans="18:18" ht="15.75" customHeight="1">
      <c r="R426" s="30"/>
    </row>
    <row r="427" spans="18:18" ht="15.75" customHeight="1">
      <c r="R427" s="30"/>
    </row>
    <row r="428" spans="18:18" ht="15.75" customHeight="1">
      <c r="R428" s="30"/>
    </row>
    <row r="429" spans="18:18" ht="15.75" customHeight="1">
      <c r="R429" s="30"/>
    </row>
    <row r="430" spans="18:18" ht="15.75" customHeight="1">
      <c r="R430" s="30"/>
    </row>
    <row r="431" spans="18:18" ht="15.75" customHeight="1">
      <c r="R431" s="30"/>
    </row>
    <row r="432" spans="18:18" ht="15.75" customHeight="1">
      <c r="R432" s="30"/>
    </row>
    <row r="433" spans="18:18" ht="15.75" customHeight="1">
      <c r="R433" s="30"/>
    </row>
    <row r="434" spans="18:18" ht="15.75" customHeight="1">
      <c r="R434" s="30"/>
    </row>
    <row r="435" spans="18:18" ht="15.75" customHeight="1">
      <c r="R435" s="30"/>
    </row>
    <row r="436" spans="18:18" ht="15.75" customHeight="1">
      <c r="R436" s="30"/>
    </row>
    <row r="437" spans="18:18" ht="15.75" customHeight="1">
      <c r="R437" s="30"/>
    </row>
    <row r="438" spans="18:18" ht="15.75" customHeight="1">
      <c r="R438" s="30"/>
    </row>
    <row r="439" spans="18:18" ht="15.75" customHeight="1">
      <c r="R439" s="30"/>
    </row>
    <row r="440" spans="18:18" ht="15.75" customHeight="1">
      <c r="R440" s="30"/>
    </row>
    <row r="441" spans="18:18" ht="15.75" customHeight="1">
      <c r="R441" s="30"/>
    </row>
    <row r="442" spans="18:18" ht="15.75" customHeight="1">
      <c r="R442" s="30"/>
    </row>
    <row r="443" spans="18:18" ht="15.75" customHeight="1">
      <c r="R443" s="30"/>
    </row>
    <row r="444" spans="18:18" ht="15.75" customHeight="1">
      <c r="R444" s="30"/>
    </row>
    <row r="445" spans="18:18" ht="15.75" customHeight="1">
      <c r="R445" s="30"/>
    </row>
    <row r="446" spans="18:18" ht="15.75" customHeight="1">
      <c r="R446" s="30"/>
    </row>
    <row r="447" spans="18:18" ht="15.75" customHeight="1">
      <c r="R447" s="30"/>
    </row>
    <row r="448" spans="18:18" ht="15.75" customHeight="1">
      <c r="R448" s="30"/>
    </row>
    <row r="449" spans="18:18" ht="15.75" customHeight="1">
      <c r="R449" s="30"/>
    </row>
    <row r="450" spans="18:18" ht="15.75" customHeight="1">
      <c r="R450" s="30"/>
    </row>
    <row r="451" spans="18:18" ht="15.75" customHeight="1">
      <c r="R451" s="30"/>
    </row>
    <row r="452" spans="18:18" ht="15.75" customHeight="1">
      <c r="R452" s="30"/>
    </row>
    <row r="453" spans="18:18" ht="15.75" customHeight="1">
      <c r="R453" s="30"/>
    </row>
    <row r="454" spans="18:18" ht="15.75" customHeight="1">
      <c r="R454" s="30"/>
    </row>
    <row r="455" spans="18:18" ht="15.75" customHeight="1">
      <c r="R455" s="30"/>
    </row>
    <row r="456" spans="18:18" ht="15.75" customHeight="1">
      <c r="R456" s="30"/>
    </row>
    <row r="457" spans="18:18" ht="15.75" customHeight="1">
      <c r="R457" s="30"/>
    </row>
    <row r="458" spans="18:18" ht="15.75" customHeight="1">
      <c r="R458" s="30"/>
    </row>
    <row r="459" spans="18:18" ht="15.75" customHeight="1">
      <c r="R459" s="30"/>
    </row>
    <row r="460" spans="18:18" ht="15.75" customHeight="1">
      <c r="R460" s="30"/>
    </row>
    <row r="461" spans="18:18" ht="15.75" customHeight="1">
      <c r="R461" s="30"/>
    </row>
    <row r="462" spans="18:18" ht="15.75" customHeight="1">
      <c r="R462" s="30"/>
    </row>
    <row r="463" spans="18:18" ht="15.75" customHeight="1">
      <c r="R463" s="30"/>
    </row>
    <row r="464" spans="18:18" ht="15.75" customHeight="1">
      <c r="R464" s="30"/>
    </row>
    <row r="465" spans="18:18" ht="15.75" customHeight="1">
      <c r="R465" s="30"/>
    </row>
    <row r="466" spans="18:18" ht="15.75" customHeight="1">
      <c r="R466" s="30"/>
    </row>
    <row r="467" spans="18:18" ht="15.75" customHeight="1">
      <c r="R467" s="30"/>
    </row>
    <row r="468" spans="18:18" ht="15.75" customHeight="1">
      <c r="R468" s="30"/>
    </row>
    <row r="469" spans="18:18" ht="15.75" customHeight="1">
      <c r="R469" s="30"/>
    </row>
    <row r="470" spans="18:18" ht="15.75" customHeight="1">
      <c r="R470" s="30"/>
    </row>
    <row r="471" spans="18:18" ht="15.75" customHeight="1">
      <c r="R471" s="30"/>
    </row>
    <row r="472" spans="18:18" ht="15.75" customHeight="1">
      <c r="R472" s="30"/>
    </row>
    <row r="473" spans="18:18" ht="15.75" customHeight="1">
      <c r="R473" s="30"/>
    </row>
    <row r="474" spans="18:18" ht="15.75" customHeight="1">
      <c r="R474" s="30"/>
    </row>
    <row r="475" spans="18:18" ht="15.75" customHeight="1">
      <c r="R475" s="30"/>
    </row>
    <row r="476" spans="18:18" ht="15.75" customHeight="1">
      <c r="R476" s="30"/>
    </row>
    <row r="477" spans="18:18" ht="15.75" customHeight="1">
      <c r="R477" s="30"/>
    </row>
    <row r="478" spans="18:18" ht="15.75" customHeight="1">
      <c r="R478" s="30"/>
    </row>
    <row r="479" spans="18:18" ht="15.75" customHeight="1">
      <c r="R479" s="30"/>
    </row>
    <row r="480" spans="18:18" ht="15.75" customHeight="1">
      <c r="R480" s="30"/>
    </row>
    <row r="481" spans="18:18" ht="15.75" customHeight="1">
      <c r="R481" s="30"/>
    </row>
    <row r="482" spans="18:18" ht="15.75" customHeight="1">
      <c r="R482" s="30"/>
    </row>
    <row r="483" spans="18:18" ht="15.75" customHeight="1">
      <c r="R483" s="30"/>
    </row>
    <row r="484" spans="18:18" ht="15.75" customHeight="1">
      <c r="R484" s="30"/>
    </row>
    <row r="485" spans="18:18" ht="15.75" customHeight="1">
      <c r="R485" s="30"/>
    </row>
    <row r="486" spans="18:18" ht="15.75" customHeight="1">
      <c r="R486" s="30"/>
    </row>
    <row r="487" spans="18:18" ht="15.75" customHeight="1">
      <c r="R487" s="30"/>
    </row>
    <row r="488" spans="18:18" ht="15.75" customHeight="1">
      <c r="R488" s="30"/>
    </row>
    <row r="489" spans="18:18" ht="15.75" customHeight="1">
      <c r="R489" s="30"/>
    </row>
    <row r="490" spans="18:18" ht="15.75" customHeight="1">
      <c r="R490" s="30"/>
    </row>
    <row r="491" spans="18:18" ht="15.75" customHeight="1">
      <c r="R491" s="30"/>
    </row>
    <row r="492" spans="18:18" ht="15.75" customHeight="1">
      <c r="R492" s="30"/>
    </row>
    <row r="493" spans="18:18" ht="15.75" customHeight="1">
      <c r="R493" s="30"/>
    </row>
    <row r="494" spans="18:18" ht="15.75" customHeight="1">
      <c r="R494" s="30"/>
    </row>
    <row r="495" spans="18:18" ht="15.75" customHeight="1">
      <c r="R495" s="30"/>
    </row>
    <row r="496" spans="18:18" ht="15.75" customHeight="1">
      <c r="R496" s="30"/>
    </row>
    <row r="497" spans="18:18" ht="15.75" customHeight="1">
      <c r="R497" s="30"/>
    </row>
    <row r="498" spans="18:18" ht="15.75" customHeight="1">
      <c r="R498" s="30"/>
    </row>
    <row r="499" spans="18:18" ht="15.75" customHeight="1">
      <c r="R499" s="30"/>
    </row>
    <row r="500" spans="18:18" ht="15.75" customHeight="1">
      <c r="R500" s="30"/>
    </row>
    <row r="501" spans="18:18" ht="15.75" customHeight="1">
      <c r="R501" s="30"/>
    </row>
    <row r="502" spans="18:18" ht="15.75" customHeight="1">
      <c r="R502" s="30"/>
    </row>
    <row r="503" spans="18:18" ht="15.75" customHeight="1">
      <c r="R503" s="30"/>
    </row>
    <row r="504" spans="18:18" ht="15.75" customHeight="1">
      <c r="R504" s="30"/>
    </row>
    <row r="505" spans="18:18" ht="15.75" customHeight="1">
      <c r="R505" s="30"/>
    </row>
    <row r="506" spans="18:18" ht="15.75" customHeight="1">
      <c r="R506" s="30"/>
    </row>
    <row r="507" spans="18:18" ht="15.75" customHeight="1">
      <c r="R507" s="30"/>
    </row>
    <row r="508" spans="18:18" ht="15.75" customHeight="1">
      <c r="R508" s="30"/>
    </row>
    <row r="509" spans="18:18" ht="15.75" customHeight="1">
      <c r="R509" s="30"/>
    </row>
    <row r="510" spans="18:18" ht="15.75" customHeight="1">
      <c r="R510" s="30"/>
    </row>
    <row r="511" spans="18:18" ht="15.75" customHeight="1">
      <c r="R511" s="30"/>
    </row>
    <row r="512" spans="18:18" ht="15.75" customHeight="1">
      <c r="R512" s="30"/>
    </row>
    <row r="513" spans="18:18" ht="15.75" customHeight="1">
      <c r="R513" s="30"/>
    </row>
    <row r="514" spans="18:18" ht="15.75" customHeight="1">
      <c r="R514" s="30"/>
    </row>
    <row r="515" spans="18:18" ht="15.75" customHeight="1">
      <c r="R515" s="30"/>
    </row>
    <row r="516" spans="18:18" ht="15.75" customHeight="1">
      <c r="R516" s="30"/>
    </row>
    <row r="517" spans="18:18" ht="15.75" customHeight="1">
      <c r="R517" s="30"/>
    </row>
    <row r="518" spans="18:18" ht="15.75" customHeight="1">
      <c r="R518" s="30"/>
    </row>
    <row r="519" spans="18:18" ht="15.75" customHeight="1">
      <c r="R519" s="30"/>
    </row>
    <row r="520" spans="18:18" ht="15.75" customHeight="1">
      <c r="R520" s="30"/>
    </row>
    <row r="521" spans="18:18" ht="15.75" customHeight="1">
      <c r="R521" s="30"/>
    </row>
    <row r="522" spans="18:18" ht="15.75" customHeight="1">
      <c r="R522" s="30"/>
    </row>
    <row r="523" spans="18:18" ht="15.75" customHeight="1">
      <c r="R523" s="30"/>
    </row>
    <row r="524" spans="18:18" ht="15.75" customHeight="1">
      <c r="R524" s="30"/>
    </row>
    <row r="525" spans="18:18" ht="15.75" customHeight="1">
      <c r="R525" s="30"/>
    </row>
    <row r="526" spans="18:18" ht="15.75" customHeight="1">
      <c r="R526" s="30"/>
    </row>
    <row r="527" spans="18:18" ht="15.75" customHeight="1">
      <c r="R527" s="30"/>
    </row>
    <row r="528" spans="18:18" ht="15.75" customHeight="1">
      <c r="R528" s="30"/>
    </row>
    <row r="529" spans="18:18" ht="15.75" customHeight="1">
      <c r="R529" s="30"/>
    </row>
    <row r="530" spans="18:18" ht="15.75" customHeight="1">
      <c r="R530" s="30"/>
    </row>
    <row r="531" spans="18:18" ht="15.75" customHeight="1">
      <c r="R531" s="30"/>
    </row>
    <row r="532" spans="18:18" ht="15.75" customHeight="1">
      <c r="R532" s="30"/>
    </row>
    <row r="533" spans="18:18" ht="15.75" customHeight="1">
      <c r="R533" s="30"/>
    </row>
    <row r="534" spans="18:18" ht="15.75" customHeight="1">
      <c r="R534" s="30"/>
    </row>
    <row r="535" spans="18:18" ht="15.75" customHeight="1">
      <c r="R535" s="30"/>
    </row>
    <row r="536" spans="18:18" ht="15.75" customHeight="1">
      <c r="R536" s="30"/>
    </row>
    <row r="537" spans="18:18" ht="15.75" customHeight="1">
      <c r="R537" s="30"/>
    </row>
    <row r="538" spans="18:18" ht="15.75" customHeight="1">
      <c r="R538" s="30"/>
    </row>
    <row r="539" spans="18:18" ht="15.75" customHeight="1">
      <c r="R539" s="30"/>
    </row>
    <row r="540" spans="18:18" ht="15.75" customHeight="1">
      <c r="R540" s="30"/>
    </row>
    <row r="541" spans="18:18" ht="15.75" customHeight="1">
      <c r="R541" s="30"/>
    </row>
    <row r="542" spans="18:18" ht="15.75" customHeight="1">
      <c r="R542" s="30"/>
    </row>
    <row r="543" spans="18:18" ht="15.75" customHeight="1">
      <c r="R543" s="30"/>
    </row>
    <row r="544" spans="18:18" ht="15.75" customHeight="1">
      <c r="R544" s="30"/>
    </row>
    <row r="545" spans="18:18" ht="15.75" customHeight="1">
      <c r="R545" s="30"/>
    </row>
    <row r="546" spans="18:18" ht="15.75" customHeight="1">
      <c r="R546" s="30"/>
    </row>
    <row r="547" spans="18:18" ht="15.75" customHeight="1">
      <c r="R547" s="30"/>
    </row>
    <row r="548" spans="18:18" ht="15.75" customHeight="1">
      <c r="R548" s="30"/>
    </row>
    <row r="549" spans="18:18" ht="15.75" customHeight="1">
      <c r="R549" s="30"/>
    </row>
    <row r="550" spans="18:18" ht="15.75" customHeight="1">
      <c r="R550" s="30"/>
    </row>
    <row r="551" spans="18:18" ht="15.75" customHeight="1">
      <c r="R551" s="30"/>
    </row>
    <row r="552" spans="18:18" ht="15.75" customHeight="1">
      <c r="R552" s="30"/>
    </row>
    <row r="553" spans="18:18" ht="15.75" customHeight="1">
      <c r="R553" s="30"/>
    </row>
    <row r="554" spans="18:18" ht="15.75" customHeight="1">
      <c r="R554" s="30"/>
    </row>
    <row r="555" spans="18:18" ht="15.75" customHeight="1">
      <c r="R555" s="30"/>
    </row>
    <row r="556" spans="18:18" ht="15.75" customHeight="1">
      <c r="R556" s="30"/>
    </row>
    <row r="557" spans="18:18" ht="15.75" customHeight="1">
      <c r="R557" s="30"/>
    </row>
    <row r="558" spans="18:18" ht="15.75" customHeight="1">
      <c r="R558" s="30"/>
    </row>
    <row r="559" spans="18:18" ht="15.75" customHeight="1">
      <c r="R559" s="30"/>
    </row>
    <row r="560" spans="18:18" ht="15.75" customHeight="1">
      <c r="R560" s="30"/>
    </row>
    <row r="561" spans="18:18" ht="15.75" customHeight="1">
      <c r="R561" s="30"/>
    </row>
    <row r="562" spans="18:18" ht="15.75" customHeight="1">
      <c r="R562" s="30"/>
    </row>
    <row r="563" spans="18:18" ht="15.75" customHeight="1">
      <c r="R563" s="30"/>
    </row>
    <row r="564" spans="18:18" ht="15.75" customHeight="1">
      <c r="R564" s="30"/>
    </row>
    <row r="565" spans="18:18" ht="15.75" customHeight="1">
      <c r="R565" s="30"/>
    </row>
    <row r="566" spans="18:18" ht="15.75" customHeight="1">
      <c r="R566" s="30"/>
    </row>
    <row r="567" spans="18:18" ht="15.75" customHeight="1">
      <c r="R567" s="30"/>
    </row>
    <row r="568" spans="18:18" ht="15.75" customHeight="1">
      <c r="R568" s="30"/>
    </row>
    <row r="569" spans="18:18" ht="15.75" customHeight="1">
      <c r="R569" s="30"/>
    </row>
    <row r="570" spans="18:18" ht="15.75" customHeight="1">
      <c r="R570" s="30"/>
    </row>
    <row r="571" spans="18:18" ht="15.75" customHeight="1">
      <c r="R571" s="30"/>
    </row>
    <row r="572" spans="18:18" ht="15.75" customHeight="1">
      <c r="R572" s="30"/>
    </row>
    <row r="573" spans="18:18" ht="15.75" customHeight="1">
      <c r="R573" s="30"/>
    </row>
    <row r="574" spans="18:18" ht="15.75" customHeight="1">
      <c r="R574" s="30"/>
    </row>
    <row r="575" spans="18:18" ht="15.75" customHeight="1">
      <c r="R575" s="30"/>
    </row>
    <row r="576" spans="18:18" ht="15.75" customHeight="1">
      <c r="R576" s="30"/>
    </row>
    <row r="577" spans="18:18" ht="15.75" customHeight="1">
      <c r="R577" s="30"/>
    </row>
    <row r="578" spans="18:18" ht="15.75" customHeight="1">
      <c r="R578" s="30"/>
    </row>
    <row r="579" spans="18:18" ht="15.75" customHeight="1">
      <c r="R579" s="30"/>
    </row>
    <row r="580" spans="18:18" ht="15.75" customHeight="1">
      <c r="R580" s="30"/>
    </row>
    <row r="581" spans="18:18" ht="15.75" customHeight="1">
      <c r="R581" s="30"/>
    </row>
    <row r="582" spans="18:18" ht="15.75" customHeight="1">
      <c r="R582" s="30"/>
    </row>
    <row r="583" spans="18:18" ht="15.75" customHeight="1">
      <c r="R583" s="30"/>
    </row>
    <row r="584" spans="18:18" ht="15.75" customHeight="1">
      <c r="R584" s="30"/>
    </row>
    <row r="585" spans="18:18" ht="15.75" customHeight="1">
      <c r="R585" s="30"/>
    </row>
    <row r="586" spans="18:18" ht="15.75" customHeight="1">
      <c r="R586" s="30"/>
    </row>
    <row r="587" spans="18:18" ht="15.75" customHeight="1">
      <c r="R587" s="30"/>
    </row>
    <row r="588" spans="18:18" ht="15.75" customHeight="1">
      <c r="R588" s="30"/>
    </row>
    <row r="589" spans="18:18" ht="15.75" customHeight="1">
      <c r="R589" s="30"/>
    </row>
    <row r="590" spans="18:18" ht="15.75" customHeight="1">
      <c r="R590" s="30"/>
    </row>
    <row r="591" spans="18:18" ht="15.75" customHeight="1">
      <c r="R591" s="30"/>
    </row>
    <row r="592" spans="18:18" ht="15.75" customHeight="1">
      <c r="R592" s="30"/>
    </row>
    <row r="593" spans="18:18" ht="15.75" customHeight="1">
      <c r="R593" s="30"/>
    </row>
    <row r="594" spans="18:18" ht="15.75" customHeight="1">
      <c r="R594" s="30"/>
    </row>
    <row r="595" spans="18:18" ht="15.75" customHeight="1">
      <c r="R595" s="30"/>
    </row>
    <row r="596" spans="18:18" ht="15.75" customHeight="1">
      <c r="R596" s="30"/>
    </row>
    <row r="597" spans="18:18" ht="15.75" customHeight="1">
      <c r="R597" s="30"/>
    </row>
    <row r="598" spans="18:18" ht="15.75" customHeight="1">
      <c r="R598" s="30"/>
    </row>
    <row r="599" spans="18:18" ht="15.75" customHeight="1">
      <c r="R599" s="30"/>
    </row>
    <row r="600" spans="18:18" ht="15.75" customHeight="1">
      <c r="R600" s="30"/>
    </row>
    <row r="601" spans="18:18" ht="15.75" customHeight="1">
      <c r="R601" s="30"/>
    </row>
    <row r="602" spans="18:18" ht="15.75" customHeight="1">
      <c r="R602" s="30"/>
    </row>
    <row r="603" spans="18:18" ht="15.75" customHeight="1">
      <c r="R603" s="30"/>
    </row>
    <row r="604" spans="18:18" ht="15.75" customHeight="1">
      <c r="R604" s="30"/>
    </row>
    <row r="605" spans="18:18" ht="15.75" customHeight="1">
      <c r="R605" s="30"/>
    </row>
    <row r="606" spans="18:18" ht="15.75" customHeight="1">
      <c r="R606" s="30"/>
    </row>
    <row r="607" spans="18:18" ht="15.75" customHeight="1">
      <c r="R607" s="30"/>
    </row>
    <row r="608" spans="18:18" ht="15.75" customHeight="1">
      <c r="R608" s="30"/>
    </row>
    <row r="609" spans="18:18" ht="15.75" customHeight="1">
      <c r="R609" s="30"/>
    </row>
    <row r="610" spans="18:18" ht="15.75" customHeight="1">
      <c r="R610" s="30"/>
    </row>
    <row r="611" spans="18:18" ht="15.75" customHeight="1">
      <c r="R611" s="30"/>
    </row>
    <row r="612" spans="18:18" ht="15.75" customHeight="1">
      <c r="R612" s="30"/>
    </row>
    <row r="613" spans="18:18" ht="15.75" customHeight="1">
      <c r="R613" s="30"/>
    </row>
    <row r="614" spans="18:18" ht="15.75" customHeight="1">
      <c r="R614" s="30"/>
    </row>
    <row r="615" spans="18:18" ht="15.75" customHeight="1">
      <c r="R615" s="30"/>
    </row>
    <row r="616" spans="18:18" ht="15.75" customHeight="1">
      <c r="R616" s="30"/>
    </row>
    <row r="617" spans="18:18" ht="15.75" customHeight="1">
      <c r="R617" s="30"/>
    </row>
    <row r="618" spans="18:18" ht="15.75" customHeight="1">
      <c r="R618" s="30"/>
    </row>
    <row r="619" spans="18:18" ht="15.75" customHeight="1">
      <c r="R619" s="30"/>
    </row>
    <row r="620" spans="18:18" ht="15.75" customHeight="1">
      <c r="R620" s="30"/>
    </row>
    <row r="621" spans="18:18" ht="15.75" customHeight="1">
      <c r="R621" s="30"/>
    </row>
    <row r="622" spans="18:18" ht="15.75" customHeight="1">
      <c r="R622" s="30"/>
    </row>
    <row r="623" spans="18:18" ht="15.75" customHeight="1">
      <c r="R623" s="30"/>
    </row>
    <row r="624" spans="18:18" ht="15.75" customHeight="1">
      <c r="R624" s="30"/>
    </row>
    <row r="625" spans="18:18" ht="15.75" customHeight="1">
      <c r="R625" s="30"/>
    </row>
    <row r="626" spans="18:18" ht="15.75" customHeight="1">
      <c r="R626" s="30"/>
    </row>
    <row r="627" spans="18:18" ht="15.75" customHeight="1">
      <c r="R627" s="30"/>
    </row>
    <row r="628" spans="18:18" ht="15.75" customHeight="1">
      <c r="R628" s="30"/>
    </row>
    <row r="629" spans="18:18" ht="15.75" customHeight="1">
      <c r="R629" s="30"/>
    </row>
    <row r="630" spans="18:18" ht="15.75" customHeight="1">
      <c r="R630" s="30"/>
    </row>
    <row r="631" spans="18:18" ht="15.75" customHeight="1">
      <c r="R631" s="30"/>
    </row>
    <row r="632" spans="18:18" ht="15.75" customHeight="1">
      <c r="R632" s="30"/>
    </row>
    <row r="633" spans="18:18" ht="15.75" customHeight="1">
      <c r="R633" s="30"/>
    </row>
    <row r="634" spans="18:18" ht="15.75" customHeight="1">
      <c r="R634" s="30"/>
    </row>
    <row r="635" spans="18:18" ht="15.75" customHeight="1">
      <c r="R635" s="30"/>
    </row>
    <row r="636" spans="18:18" ht="15.75" customHeight="1">
      <c r="R636" s="30"/>
    </row>
    <row r="637" spans="18:18" ht="15.75" customHeight="1">
      <c r="R637" s="30"/>
    </row>
    <row r="638" spans="18:18" ht="15.75" customHeight="1">
      <c r="R638" s="30"/>
    </row>
    <row r="639" spans="18:18" ht="15.75" customHeight="1">
      <c r="R639" s="30"/>
    </row>
    <row r="640" spans="18:18" ht="15.75" customHeight="1">
      <c r="R640" s="30"/>
    </row>
    <row r="641" spans="18:18" ht="15.75" customHeight="1">
      <c r="R641" s="30"/>
    </row>
    <row r="642" spans="18:18" ht="15.75" customHeight="1">
      <c r="R642" s="30"/>
    </row>
    <row r="643" spans="18:18" ht="15.75" customHeight="1">
      <c r="R643" s="30"/>
    </row>
    <row r="644" spans="18:18" ht="15.75" customHeight="1">
      <c r="R644" s="30"/>
    </row>
    <row r="645" spans="18:18" ht="15.75" customHeight="1">
      <c r="R645" s="30"/>
    </row>
    <row r="646" spans="18:18" ht="15.75" customHeight="1">
      <c r="R646" s="30"/>
    </row>
    <row r="647" spans="18:18" ht="15.75" customHeight="1">
      <c r="R647" s="30"/>
    </row>
    <row r="648" spans="18:18" ht="15.75" customHeight="1">
      <c r="R648" s="30"/>
    </row>
    <row r="649" spans="18:18" ht="15.75" customHeight="1">
      <c r="R649" s="30"/>
    </row>
    <row r="650" spans="18:18" ht="15.75" customHeight="1">
      <c r="R650" s="30"/>
    </row>
    <row r="651" spans="18:18" ht="15.75" customHeight="1">
      <c r="R651" s="30"/>
    </row>
    <row r="652" spans="18:18" ht="15.75" customHeight="1">
      <c r="R652" s="30"/>
    </row>
    <row r="653" spans="18:18" ht="15.75" customHeight="1">
      <c r="R653" s="30"/>
    </row>
    <row r="654" spans="18:18" ht="15.75" customHeight="1">
      <c r="R654" s="30"/>
    </row>
    <row r="655" spans="18:18" ht="15.75" customHeight="1">
      <c r="R655" s="30"/>
    </row>
    <row r="656" spans="18:18" ht="15.75" customHeight="1">
      <c r="R656" s="30"/>
    </row>
    <row r="657" spans="18:18" ht="15.75" customHeight="1">
      <c r="R657" s="30"/>
    </row>
    <row r="658" spans="18:18" ht="15.75" customHeight="1">
      <c r="R658" s="30"/>
    </row>
    <row r="659" spans="18:18" ht="15.75" customHeight="1">
      <c r="R659" s="30"/>
    </row>
    <row r="660" spans="18:18" ht="15.75" customHeight="1">
      <c r="R660" s="30"/>
    </row>
    <row r="661" spans="18:18" ht="15.75" customHeight="1">
      <c r="R661" s="30"/>
    </row>
    <row r="662" spans="18:18" ht="15.75" customHeight="1">
      <c r="R662" s="30"/>
    </row>
    <row r="663" spans="18:18" ht="15.75" customHeight="1">
      <c r="R663" s="30"/>
    </row>
    <row r="664" spans="18:18" ht="15.75" customHeight="1">
      <c r="R664" s="30"/>
    </row>
    <row r="665" spans="18:18" ht="15.75" customHeight="1">
      <c r="R665" s="30"/>
    </row>
    <row r="666" spans="18:18" ht="15.75" customHeight="1">
      <c r="R666" s="30"/>
    </row>
    <row r="667" spans="18:18" ht="15.75" customHeight="1">
      <c r="R667" s="30"/>
    </row>
    <row r="668" spans="18:18" ht="15.75" customHeight="1">
      <c r="R668" s="30"/>
    </row>
    <row r="669" spans="18:18" ht="15.75" customHeight="1">
      <c r="R669" s="30"/>
    </row>
    <row r="670" spans="18:18" ht="15.75" customHeight="1">
      <c r="R670" s="30"/>
    </row>
    <row r="671" spans="18:18" ht="15.75" customHeight="1">
      <c r="R671" s="30"/>
    </row>
    <row r="672" spans="18:18" ht="15.75" customHeight="1">
      <c r="R672" s="30"/>
    </row>
    <row r="673" spans="18:18" ht="15.75" customHeight="1">
      <c r="R673" s="30"/>
    </row>
    <row r="674" spans="18:18" ht="15.75" customHeight="1">
      <c r="R674" s="30"/>
    </row>
    <row r="675" spans="18:18" ht="15.75" customHeight="1">
      <c r="R675" s="30"/>
    </row>
    <row r="676" spans="18:18" ht="15.75" customHeight="1">
      <c r="R676" s="30"/>
    </row>
    <row r="677" spans="18:18" ht="15.75" customHeight="1">
      <c r="R677" s="30"/>
    </row>
    <row r="678" spans="18:18" ht="15.75" customHeight="1">
      <c r="R678" s="30"/>
    </row>
    <row r="679" spans="18:18" ht="15.75" customHeight="1">
      <c r="R679" s="30"/>
    </row>
    <row r="680" spans="18:18" ht="15.75" customHeight="1">
      <c r="R680" s="30"/>
    </row>
    <row r="681" spans="18:18" ht="15.75" customHeight="1">
      <c r="R681" s="30"/>
    </row>
    <row r="682" spans="18:18" ht="15.75" customHeight="1">
      <c r="R682" s="30"/>
    </row>
    <row r="683" spans="18:18" ht="15.75" customHeight="1">
      <c r="R683" s="30"/>
    </row>
    <row r="684" spans="18:18" ht="15.75" customHeight="1">
      <c r="R684" s="30"/>
    </row>
    <row r="685" spans="18:18" ht="15.75" customHeight="1">
      <c r="R685" s="30"/>
    </row>
    <row r="686" spans="18:18" ht="15.75" customHeight="1">
      <c r="R686" s="30"/>
    </row>
    <row r="687" spans="18:18" ht="15.75" customHeight="1">
      <c r="R687" s="30"/>
    </row>
    <row r="688" spans="18:18" ht="15.75" customHeight="1">
      <c r="R688" s="30"/>
    </row>
    <row r="689" spans="18:18" ht="15.75" customHeight="1">
      <c r="R689" s="30"/>
    </row>
    <row r="690" spans="18:18" ht="15.75" customHeight="1">
      <c r="R690" s="30"/>
    </row>
    <row r="691" spans="18:18" ht="15.75" customHeight="1">
      <c r="R691" s="30"/>
    </row>
    <row r="692" spans="18:18" ht="15.75" customHeight="1">
      <c r="R692" s="30"/>
    </row>
    <row r="693" spans="18:18" ht="15.75" customHeight="1">
      <c r="R693" s="30"/>
    </row>
    <row r="694" spans="18:18" ht="15.75" customHeight="1">
      <c r="R694" s="30"/>
    </row>
    <row r="695" spans="18:18" ht="15.75" customHeight="1">
      <c r="R695" s="30"/>
    </row>
    <row r="696" spans="18:18" ht="15.75" customHeight="1">
      <c r="R696" s="30"/>
    </row>
    <row r="697" spans="18:18" ht="15.75" customHeight="1">
      <c r="R697" s="30"/>
    </row>
    <row r="698" spans="18:18" ht="15.75" customHeight="1">
      <c r="R698" s="30"/>
    </row>
    <row r="699" spans="18:18" ht="15.75" customHeight="1">
      <c r="R699" s="30"/>
    </row>
    <row r="700" spans="18:18" ht="15.75" customHeight="1">
      <c r="R700" s="30"/>
    </row>
    <row r="701" spans="18:18" ht="15.75" customHeight="1">
      <c r="R701" s="30"/>
    </row>
    <row r="702" spans="18:18" ht="15.75" customHeight="1">
      <c r="R702" s="30"/>
    </row>
    <row r="703" spans="18:18" ht="15.75" customHeight="1">
      <c r="R703" s="30"/>
    </row>
    <row r="704" spans="18:18" ht="15.75" customHeight="1">
      <c r="R704" s="30"/>
    </row>
    <row r="705" spans="18:18" ht="15.75" customHeight="1">
      <c r="R705" s="30"/>
    </row>
    <row r="706" spans="18:18" ht="15.75" customHeight="1">
      <c r="R706" s="30"/>
    </row>
    <row r="707" spans="18:18" ht="15.75" customHeight="1">
      <c r="R707" s="30"/>
    </row>
    <row r="708" spans="18:18" ht="15.75" customHeight="1">
      <c r="R708" s="30"/>
    </row>
    <row r="709" spans="18:18" ht="15.75" customHeight="1">
      <c r="R709" s="30"/>
    </row>
    <row r="710" spans="18:18" ht="15.75" customHeight="1">
      <c r="R710" s="30"/>
    </row>
    <row r="711" spans="18:18" ht="15.75" customHeight="1">
      <c r="R711" s="30"/>
    </row>
    <row r="712" spans="18:18" ht="15.75" customHeight="1">
      <c r="R712" s="30"/>
    </row>
    <row r="713" spans="18:18" ht="15.75" customHeight="1">
      <c r="R713" s="30"/>
    </row>
    <row r="714" spans="18:18" ht="15.75" customHeight="1">
      <c r="R714" s="30"/>
    </row>
    <row r="715" spans="18:18" ht="15.75" customHeight="1">
      <c r="R715" s="30"/>
    </row>
    <row r="716" spans="18:18" ht="15.75" customHeight="1">
      <c r="R716" s="30"/>
    </row>
    <row r="717" spans="18:18" ht="15.75" customHeight="1">
      <c r="R717" s="30"/>
    </row>
    <row r="718" spans="18:18" ht="15.75" customHeight="1">
      <c r="R718" s="30"/>
    </row>
    <row r="719" spans="18:18" ht="15.75" customHeight="1">
      <c r="R719" s="30"/>
    </row>
    <row r="720" spans="18:18" ht="15.75" customHeight="1">
      <c r="R720" s="30"/>
    </row>
    <row r="721" spans="18:18" ht="15.75" customHeight="1">
      <c r="R721" s="30"/>
    </row>
    <row r="722" spans="18:18" ht="15.75" customHeight="1">
      <c r="R722" s="30"/>
    </row>
    <row r="723" spans="18:18" ht="15.75" customHeight="1">
      <c r="R723" s="30"/>
    </row>
    <row r="724" spans="18:18" ht="15.75" customHeight="1">
      <c r="R724" s="30"/>
    </row>
    <row r="725" spans="18:18" ht="15.75" customHeight="1">
      <c r="R725" s="30"/>
    </row>
    <row r="726" spans="18:18" ht="15.75" customHeight="1">
      <c r="R726" s="30"/>
    </row>
    <row r="727" spans="18:18" ht="15.75" customHeight="1">
      <c r="R727" s="30"/>
    </row>
    <row r="728" spans="18:18" ht="15.75" customHeight="1">
      <c r="R728" s="30"/>
    </row>
    <row r="729" spans="18:18" ht="15.75" customHeight="1">
      <c r="R729" s="30"/>
    </row>
    <row r="730" spans="18:18" ht="15.75" customHeight="1">
      <c r="R730" s="30"/>
    </row>
    <row r="731" spans="18:18" ht="15.75" customHeight="1">
      <c r="R731" s="30"/>
    </row>
    <row r="732" spans="18:18" ht="15.75" customHeight="1">
      <c r="R732" s="30"/>
    </row>
    <row r="733" spans="18:18" ht="15.75" customHeight="1">
      <c r="R733" s="30"/>
    </row>
    <row r="734" spans="18:18" ht="15.75" customHeight="1">
      <c r="R734" s="30"/>
    </row>
    <row r="735" spans="18:18" ht="15.75" customHeight="1">
      <c r="R735" s="30"/>
    </row>
    <row r="736" spans="18:18" ht="15.75" customHeight="1">
      <c r="R736" s="30"/>
    </row>
    <row r="737" spans="18:18" ht="15.75" customHeight="1">
      <c r="R737" s="30"/>
    </row>
    <row r="738" spans="18:18" ht="15.75" customHeight="1">
      <c r="R738" s="30"/>
    </row>
    <row r="739" spans="18:18" ht="15.75" customHeight="1">
      <c r="R739" s="30"/>
    </row>
    <row r="740" spans="18:18" ht="15.75" customHeight="1">
      <c r="R740" s="30"/>
    </row>
    <row r="741" spans="18:18" ht="15.75" customHeight="1">
      <c r="R741" s="30"/>
    </row>
    <row r="742" spans="18:18" ht="15.75" customHeight="1">
      <c r="R742" s="30"/>
    </row>
    <row r="743" spans="18:18" ht="15.75" customHeight="1">
      <c r="R743" s="30"/>
    </row>
    <row r="744" spans="18:18" ht="15.75" customHeight="1">
      <c r="R744" s="30"/>
    </row>
    <row r="745" spans="18:18" ht="15.75" customHeight="1">
      <c r="R745" s="30"/>
    </row>
    <row r="746" spans="18:18" ht="15.75" customHeight="1">
      <c r="R746" s="30"/>
    </row>
    <row r="747" spans="18:18" ht="15.75" customHeight="1">
      <c r="R747" s="30"/>
    </row>
    <row r="748" spans="18:18" ht="15.75" customHeight="1">
      <c r="R748" s="30"/>
    </row>
    <row r="749" spans="18:18" ht="15.75" customHeight="1">
      <c r="R749" s="30"/>
    </row>
    <row r="750" spans="18:18" ht="15.75" customHeight="1">
      <c r="R750" s="30"/>
    </row>
    <row r="751" spans="18:18" ht="15.75" customHeight="1">
      <c r="R751" s="30"/>
    </row>
    <row r="752" spans="18:18" ht="15.75" customHeight="1">
      <c r="R752" s="30"/>
    </row>
    <row r="753" spans="18:18" ht="15.75" customHeight="1">
      <c r="R753" s="30"/>
    </row>
    <row r="754" spans="18:18" ht="15.75" customHeight="1">
      <c r="R754" s="30"/>
    </row>
    <row r="755" spans="18:18" ht="15.75" customHeight="1">
      <c r="R755" s="30"/>
    </row>
    <row r="756" spans="18:18" ht="15.75" customHeight="1">
      <c r="R756" s="30"/>
    </row>
    <row r="757" spans="18:18" ht="15.75" customHeight="1">
      <c r="R757" s="30"/>
    </row>
    <row r="758" spans="18:18" ht="15.75" customHeight="1">
      <c r="R758" s="30"/>
    </row>
    <row r="759" spans="18:18" ht="15.75" customHeight="1">
      <c r="R759" s="30"/>
    </row>
    <row r="760" spans="18:18" ht="15.75" customHeight="1">
      <c r="R760" s="30"/>
    </row>
    <row r="761" spans="18:18" ht="15.75" customHeight="1">
      <c r="R761" s="30"/>
    </row>
    <row r="762" spans="18:18" ht="15.75" customHeight="1">
      <c r="R762" s="30"/>
    </row>
    <row r="763" spans="18:18" ht="15.75" customHeight="1">
      <c r="R763" s="30"/>
    </row>
    <row r="764" spans="18:18" ht="15.75" customHeight="1">
      <c r="R764" s="30"/>
    </row>
    <row r="765" spans="18:18" ht="15.75" customHeight="1">
      <c r="R765" s="30"/>
    </row>
    <row r="766" spans="18:18" ht="15.75" customHeight="1">
      <c r="R766" s="30"/>
    </row>
    <row r="767" spans="18:18" ht="15.75" customHeight="1">
      <c r="R767" s="30"/>
    </row>
    <row r="768" spans="18:18" ht="15.75" customHeight="1">
      <c r="R768" s="30"/>
    </row>
    <row r="769" spans="18:18" ht="15.75" customHeight="1">
      <c r="R769" s="30"/>
    </row>
    <row r="770" spans="18:18" ht="15.75" customHeight="1">
      <c r="R770" s="30"/>
    </row>
    <row r="771" spans="18:18" ht="15.75" customHeight="1">
      <c r="R771" s="30"/>
    </row>
    <row r="772" spans="18:18" ht="15.75" customHeight="1">
      <c r="R772" s="30"/>
    </row>
    <row r="773" spans="18:18" ht="15.75" customHeight="1">
      <c r="R773" s="30"/>
    </row>
    <row r="774" spans="18:18" ht="15.75" customHeight="1">
      <c r="R774" s="30"/>
    </row>
    <row r="775" spans="18:18" ht="15.75" customHeight="1">
      <c r="R775" s="30"/>
    </row>
    <row r="776" spans="18:18" ht="15.75" customHeight="1">
      <c r="R776" s="30"/>
    </row>
    <row r="777" spans="18:18" ht="15.75" customHeight="1">
      <c r="R777" s="30"/>
    </row>
    <row r="778" spans="18:18" ht="15.75" customHeight="1">
      <c r="R778" s="30"/>
    </row>
    <row r="779" spans="18:18" ht="15.75" customHeight="1">
      <c r="R779" s="30"/>
    </row>
    <row r="780" spans="18:18" ht="15.75" customHeight="1">
      <c r="R780" s="30"/>
    </row>
    <row r="781" spans="18:18" ht="15.75" customHeight="1">
      <c r="R781" s="30"/>
    </row>
    <row r="782" spans="18:18" ht="15.75" customHeight="1">
      <c r="R782" s="30"/>
    </row>
    <row r="783" spans="18:18" ht="15.75" customHeight="1">
      <c r="R783" s="30"/>
    </row>
    <row r="784" spans="18:18" ht="15.75" customHeight="1">
      <c r="R784" s="30"/>
    </row>
    <row r="785" spans="18:18" ht="15.75" customHeight="1">
      <c r="R785" s="30"/>
    </row>
    <row r="786" spans="18:18" ht="15.75" customHeight="1">
      <c r="R786" s="30"/>
    </row>
    <row r="787" spans="18:18" ht="15.75" customHeight="1">
      <c r="R787" s="30"/>
    </row>
    <row r="788" spans="18:18" ht="15.75" customHeight="1">
      <c r="R788" s="30"/>
    </row>
    <row r="789" spans="18:18" ht="15.75" customHeight="1">
      <c r="R789" s="30"/>
    </row>
    <row r="790" spans="18:18" ht="15.75" customHeight="1">
      <c r="R790" s="30"/>
    </row>
    <row r="791" spans="18:18" ht="15.75" customHeight="1">
      <c r="R791" s="30"/>
    </row>
    <row r="792" spans="18:18" ht="15.75" customHeight="1">
      <c r="R792" s="30"/>
    </row>
    <row r="793" spans="18:18" ht="15.75" customHeight="1">
      <c r="R793" s="30"/>
    </row>
    <row r="794" spans="18:18" ht="15.75" customHeight="1">
      <c r="R794" s="30"/>
    </row>
    <row r="795" spans="18:18" ht="15.75" customHeight="1">
      <c r="R795" s="30"/>
    </row>
    <row r="796" spans="18:18" ht="15.75" customHeight="1">
      <c r="R796" s="30"/>
    </row>
    <row r="797" spans="18:18" ht="15.75" customHeight="1">
      <c r="R797" s="30"/>
    </row>
    <row r="798" spans="18:18" ht="15.75" customHeight="1">
      <c r="R798" s="30"/>
    </row>
    <row r="799" spans="18:18" ht="15.75" customHeight="1">
      <c r="R799" s="30"/>
    </row>
    <row r="800" spans="18:18" ht="15.75" customHeight="1">
      <c r="R800" s="30"/>
    </row>
    <row r="801" spans="18:18" ht="15.75" customHeight="1">
      <c r="R801" s="30"/>
    </row>
    <row r="802" spans="18:18" ht="15.75" customHeight="1">
      <c r="R802" s="30"/>
    </row>
    <row r="803" spans="18:18" ht="15.75" customHeight="1">
      <c r="R803" s="30"/>
    </row>
    <row r="804" spans="18:18" ht="15.75" customHeight="1">
      <c r="R804" s="30"/>
    </row>
    <row r="805" spans="18:18" ht="15.75" customHeight="1">
      <c r="R805" s="30"/>
    </row>
    <row r="806" spans="18:18" ht="15.75" customHeight="1">
      <c r="R806" s="30"/>
    </row>
    <row r="807" spans="18:18" ht="15.75" customHeight="1">
      <c r="R807" s="30"/>
    </row>
    <row r="808" spans="18:18" ht="15.75" customHeight="1">
      <c r="R808" s="30"/>
    </row>
    <row r="809" spans="18:18" ht="15.75" customHeight="1">
      <c r="R809" s="30"/>
    </row>
    <row r="810" spans="18:18" ht="15.75" customHeight="1">
      <c r="R810" s="30"/>
    </row>
    <row r="811" spans="18:18" ht="15.75" customHeight="1">
      <c r="R811" s="30"/>
    </row>
    <row r="812" spans="18:18" ht="15.75" customHeight="1">
      <c r="R812" s="30"/>
    </row>
    <row r="813" spans="18:18" ht="15.75" customHeight="1">
      <c r="R813" s="30"/>
    </row>
    <row r="814" spans="18:18" ht="15.75" customHeight="1">
      <c r="R814" s="30"/>
    </row>
    <row r="815" spans="18:18" ht="15.75" customHeight="1">
      <c r="R815" s="30"/>
    </row>
    <row r="816" spans="18:18" ht="15.75" customHeight="1">
      <c r="R816" s="30"/>
    </row>
    <row r="817" spans="18:18" ht="15.75" customHeight="1">
      <c r="R817" s="30"/>
    </row>
    <row r="818" spans="18:18" ht="15.75" customHeight="1">
      <c r="R818" s="30"/>
    </row>
    <row r="819" spans="18:18" ht="15.75" customHeight="1">
      <c r="R819" s="30"/>
    </row>
    <row r="820" spans="18:18" ht="15.75" customHeight="1">
      <c r="R820" s="30"/>
    </row>
    <row r="821" spans="18:18" ht="15.75" customHeight="1">
      <c r="R821" s="30"/>
    </row>
    <row r="822" spans="18:18" ht="15.75" customHeight="1">
      <c r="R822" s="30"/>
    </row>
    <row r="823" spans="18:18" ht="15.75" customHeight="1">
      <c r="R823" s="30"/>
    </row>
    <row r="824" spans="18:18" ht="15.75" customHeight="1">
      <c r="R824" s="30"/>
    </row>
    <row r="825" spans="18:18" ht="15.75" customHeight="1">
      <c r="R825" s="30"/>
    </row>
    <row r="826" spans="18:18" ht="15.75" customHeight="1">
      <c r="R826" s="30"/>
    </row>
    <row r="827" spans="18:18" ht="15.75" customHeight="1">
      <c r="R827" s="30"/>
    </row>
    <row r="828" spans="18:18" ht="15.75" customHeight="1">
      <c r="R828" s="30"/>
    </row>
    <row r="829" spans="18:18" ht="15.75" customHeight="1">
      <c r="R829" s="30"/>
    </row>
    <row r="830" spans="18:18" ht="15.75" customHeight="1">
      <c r="R830" s="30"/>
    </row>
    <row r="831" spans="18:18" ht="15.75" customHeight="1">
      <c r="R831" s="30"/>
    </row>
    <row r="832" spans="18:18" ht="15.75" customHeight="1">
      <c r="R832" s="30"/>
    </row>
    <row r="833" spans="18:18" ht="15.75" customHeight="1">
      <c r="R833" s="30"/>
    </row>
    <row r="834" spans="18:18" ht="15.75" customHeight="1">
      <c r="R834" s="30"/>
    </row>
    <row r="835" spans="18:18" ht="15.75" customHeight="1">
      <c r="R835" s="30"/>
    </row>
    <row r="836" spans="18:18" ht="15.75" customHeight="1">
      <c r="R836" s="30"/>
    </row>
    <row r="837" spans="18:18" ht="15.75" customHeight="1">
      <c r="R837" s="30"/>
    </row>
    <row r="838" spans="18:18" ht="15.75" customHeight="1">
      <c r="R838" s="30"/>
    </row>
    <row r="839" spans="18:18" ht="15.75" customHeight="1">
      <c r="R839" s="30"/>
    </row>
    <row r="840" spans="18:18" ht="15.75" customHeight="1">
      <c r="R840" s="30"/>
    </row>
    <row r="841" spans="18:18" ht="15.75" customHeight="1">
      <c r="R841" s="30"/>
    </row>
    <row r="842" spans="18:18" ht="15.75" customHeight="1">
      <c r="R842" s="30"/>
    </row>
    <row r="843" spans="18:18" ht="15.75" customHeight="1">
      <c r="R843" s="30"/>
    </row>
    <row r="844" spans="18:18" ht="15.75" customHeight="1">
      <c r="R844" s="30"/>
    </row>
    <row r="845" spans="18:18" ht="15.75" customHeight="1">
      <c r="R845" s="30"/>
    </row>
    <row r="846" spans="18:18" ht="15.75" customHeight="1">
      <c r="R846" s="30"/>
    </row>
    <row r="847" spans="18:18" ht="15.75" customHeight="1">
      <c r="R847" s="30"/>
    </row>
    <row r="848" spans="18:18" ht="15.75" customHeight="1">
      <c r="R848" s="30"/>
    </row>
    <row r="849" spans="18:18" ht="15.75" customHeight="1">
      <c r="R849" s="30"/>
    </row>
    <row r="850" spans="18:18" ht="15.75" customHeight="1">
      <c r="R850" s="30"/>
    </row>
    <row r="851" spans="18:18" ht="15.75" customHeight="1">
      <c r="R851" s="30"/>
    </row>
    <row r="852" spans="18:18" ht="15.75" customHeight="1">
      <c r="R852" s="30"/>
    </row>
    <row r="853" spans="18:18" ht="15.75" customHeight="1">
      <c r="R853" s="30"/>
    </row>
    <row r="854" spans="18:18" ht="15.75" customHeight="1">
      <c r="R854" s="30"/>
    </row>
    <row r="855" spans="18:18" ht="15.75" customHeight="1">
      <c r="R855" s="30"/>
    </row>
    <row r="856" spans="18:18" ht="15.75" customHeight="1">
      <c r="R856" s="30"/>
    </row>
    <row r="857" spans="18:18" ht="15.75" customHeight="1">
      <c r="R857" s="30"/>
    </row>
    <row r="858" spans="18:18" ht="15.75" customHeight="1">
      <c r="R858" s="30"/>
    </row>
    <row r="859" spans="18:18" ht="15.75" customHeight="1">
      <c r="R859" s="30"/>
    </row>
    <row r="860" spans="18:18" ht="15.75" customHeight="1">
      <c r="R860" s="30"/>
    </row>
    <row r="861" spans="18:18" ht="15.75" customHeight="1">
      <c r="R861" s="30"/>
    </row>
    <row r="862" spans="18:18" ht="15.75" customHeight="1">
      <c r="R862" s="30"/>
    </row>
    <row r="863" spans="18:18" ht="15.75" customHeight="1">
      <c r="R863" s="30"/>
    </row>
    <row r="864" spans="18:18" ht="15.75" customHeight="1">
      <c r="R864" s="30"/>
    </row>
    <row r="865" spans="18:18" ht="15.75" customHeight="1">
      <c r="R865" s="30"/>
    </row>
    <row r="866" spans="18:18" ht="15.75" customHeight="1">
      <c r="R866" s="30"/>
    </row>
    <row r="867" spans="18:18" ht="15.75" customHeight="1">
      <c r="R867" s="30"/>
    </row>
    <row r="868" spans="18:18" ht="15.75" customHeight="1">
      <c r="R868" s="30"/>
    </row>
    <row r="869" spans="18:18" ht="15.75" customHeight="1">
      <c r="R869" s="30"/>
    </row>
    <row r="870" spans="18:18" ht="15.75" customHeight="1">
      <c r="R870" s="30"/>
    </row>
    <row r="871" spans="18:18" ht="15.75" customHeight="1">
      <c r="R871" s="30"/>
    </row>
    <row r="872" spans="18:18" ht="15.75" customHeight="1">
      <c r="R872" s="30"/>
    </row>
    <row r="873" spans="18:18" ht="15.75" customHeight="1">
      <c r="R873" s="30"/>
    </row>
    <row r="874" spans="18:18" ht="15.75" customHeight="1">
      <c r="R874" s="30"/>
    </row>
    <row r="875" spans="18:18" ht="15.75" customHeight="1">
      <c r="R875" s="30"/>
    </row>
    <row r="876" spans="18:18" ht="15.75" customHeight="1">
      <c r="R876" s="30"/>
    </row>
    <row r="877" spans="18:18" ht="15.75" customHeight="1">
      <c r="R877" s="30"/>
    </row>
    <row r="878" spans="18:18" ht="15.75" customHeight="1">
      <c r="R878" s="30"/>
    </row>
    <row r="879" spans="18:18" ht="15.75" customHeight="1">
      <c r="R879" s="30"/>
    </row>
    <row r="880" spans="18:18" ht="15.75" customHeight="1">
      <c r="R880" s="30"/>
    </row>
    <row r="881" spans="18:18" ht="15.75" customHeight="1">
      <c r="R881" s="30"/>
    </row>
    <row r="882" spans="18:18" ht="15.75" customHeight="1">
      <c r="R882" s="30"/>
    </row>
    <row r="883" spans="18:18" ht="15.75" customHeight="1">
      <c r="R883" s="30"/>
    </row>
    <row r="884" spans="18:18" ht="15.75" customHeight="1">
      <c r="R884" s="30"/>
    </row>
    <row r="885" spans="18:18" ht="15.75" customHeight="1">
      <c r="R885" s="30"/>
    </row>
    <row r="886" spans="18:18" ht="15.75" customHeight="1">
      <c r="R886" s="30"/>
    </row>
    <row r="887" spans="18:18" ht="15.75" customHeight="1">
      <c r="R887" s="30"/>
    </row>
    <row r="888" spans="18:18" ht="15.75" customHeight="1">
      <c r="R888" s="30"/>
    </row>
    <row r="889" spans="18:18" ht="15.75" customHeight="1">
      <c r="R889" s="30"/>
    </row>
    <row r="890" spans="18:18" ht="15.75" customHeight="1">
      <c r="R890" s="30"/>
    </row>
    <row r="891" spans="18:18" ht="15.75" customHeight="1">
      <c r="R891" s="30"/>
    </row>
    <row r="892" spans="18:18" ht="15.75" customHeight="1">
      <c r="R892" s="30"/>
    </row>
    <row r="893" spans="18:18" ht="15.75" customHeight="1">
      <c r="R893" s="30"/>
    </row>
    <row r="894" spans="18:18" ht="15.75" customHeight="1">
      <c r="R894" s="30"/>
    </row>
    <row r="895" spans="18:18" ht="15.75" customHeight="1">
      <c r="R895" s="30"/>
    </row>
    <row r="896" spans="18:18" ht="15.75" customHeight="1">
      <c r="R896" s="30"/>
    </row>
    <row r="897" spans="18:18" ht="15.75" customHeight="1">
      <c r="R897" s="30"/>
    </row>
    <row r="898" spans="18:18" ht="15.75" customHeight="1">
      <c r="R898" s="30"/>
    </row>
    <row r="899" spans="18:18" ht="15.75" customHeight="1">
      <c r="R899" s="30"/>
    </row>
    <row r="900" spans="18:18" ht="15.75" customHeight="1">
      <c r="R900" s="30"/>
    </row>
    <row r="901" spans="18:18" ht="15.75" customHeight="1">
      <c r="R901" s="30"/>
    </row>
    <row r="902" spans="18:18" ht="15.75" customHeight="1">
      <c r="R902" s="30"/>
    </row>
    <row r="903" spans="18:18" ht="15.75" customHeight="1">
      <c r="R903" s="30"/>
    </row>
    <row r="904" spans="18:18" ht="15.75" customHeight="1">
      <c r="R904" s="30"/>
    </row>
    <row r="905" spans="18:18" ht="15.75" customHeight="1">
      <c r="R905" s="30"/>
    </row>
    <row r="906" spans="18:18" ht="15.75" customHeight="1">
      <c r="R906" s="30"/>
    </row>
    <row r="907" spans="18:18" ht="15.75" customHeight="1">
      <c r="R907" s="30"/>
    </row>
    <row r="908" spans="18:18" ht="15.75" customHeight="1">
      <c r="R908" s="30"/>
    </row>
    <row r="909" spans="18:18" ht="15.75" customHeight="1">
      <c r="R909" s="30"/>
    </row>
    <row r="910" spans="18:18" ht="15.75" customHeight="1">
      <c r="R910" s="30"/>
    </row>
    <row r="911" spans="18:18" ht="15.75" customHeight="1">
      <c r="R911" s="30"/>
    </row>
    <row r="912" spans="18:18" ht="15.75" customHeight="1">
      <c r="R912" s="30"/>
    </row>
    <row r="913" spans="18:18" ht="15.75" customHeight="1">
      <c r="R913" s="30"/>
    </row>
    <row r="914" spans="18:18" ht="15.75" customHeight="1">
      <c r="R914" s="30"/>
    </row>
    <row r="915" spans="18:18" ht="15.75" customHeight="1">
      <c r="R915" s="30"/>
    </row>
    <row r="916" spans="18:18" ht="15.75" customHeight="1">
      <c r="R916" s="30"/>
    </row>
    <row r="917" spans="18:18" ht="15.75" customHeight="1">
      <c r="R917" s="30"/>
    </row>
    <row r="918" spans="18:18" ht="15.75" customHeight="1">
      <c r="R918" s="30"/>
    </row>
    <row r="919" spans="18:18" ht="15.75" customHeight="1">
      <c r="R919" s="30"/>
    </row>
    <row r="920" spans="18:18" ht="15.75" customHeight="1">
      <c r="R920" s="30"/>
    </row>
    <row r="921" spans="18:18" ht="15.75" customHeight="1">
      <c r="R921" s="30"/>
    </row>
    <row r="922" spans="18:18" ht="15.75" customHeight="1">
      <c r="R922" s="30"/>
    </row>
    <row r="923" spans="18:18" ht="15.75" customHeight="1">
      <c r="R923" s="30"/>
    </row>
    <row r="924" spans="18:18" ht="15.75" customHeight="1">
      <c r="R924" s="30"/>
    </row>
    <row r="925" spans="18:18" ht="15.75" customHeight="1">
      <c r="R925" s="30"/>
    </row>
    <row r="926" spans="18:18" ht="15.75" customHeight="1">
      <c r="R926" s="30"/>
    </row>
    <row r="927" spans="18:18" ht="15.75" customHeight="1">
      <c r="R927" s="30"/>
    </row>
    <row r="928" spans="18:18" ht="15.75" customHeight="1">
      <c r="R928" s="30"/>
    </row>
    <row r="929" spans="18:18" ht="15.75" customHeight="1">
      <c r="R929" s="30"/>
    </row>
    <row r="930" spans="18:18" ht="15.75" customHeight="1">
      <c r="R930" s="30"/>
    </row>
    <row r="931" spans="18:18" ht="15.75" customHeight="1">
      <c r="R931" s="30"/>
    </row>
    <row r="932" spans="18:18" ht="15.75" customHeight="1">
      <c r="R932" s="30"/>
    </row>
    <row r="933" spans="18:18" ht="15.75" customHeight="1">
      <c r="R933" s="30"/>
    </row>
    <row r="934" spans="18:18" ht="15.75" customHeight="1">
      <c r="R934" s="30"/>
    </row>
    <row r="935" spans="18:18" ht="15.75" customHeight="1">
      <c r="R935" s="30"/>
    </row>
    <row r="936" spans="18:18" ht="15.75" customHeight="1">
      <c r="R936" s="30"/>
    </row>
    <row r="937" spans="18:18" ht="15.75" customHeight="1">
      <c r="R937" s="30"/>
    </row>
    <row r="938" spans="18:18" ht="15.75" customHeight="1">
      <c r="R938" s="30"/>
    </row>
    <row r="939" spans="18:18" ht="15.75" customHeight="1">
      <c r="R939" s="30"/>
    </row>
    <row r="940" spans="18:18" ht="15.75" customHeight="1">
      <c r="R940" s="30"/>
    </row>
    <row r="941" spans="18:18" ht="15.75" customHeight="1">
      <c r="R941" s="30"/>
    </row>
    <row r="942" spans="18:18" ht="15.75" customHeight="1">
      <c r="R942" s="30"/>
    </row>
    <row r="943" spans="18:18" ht="15.75" customHeight="1">
      <c r="R943" s="30"/>
    </row>
    <row r="944" spans="18:18" ht="15.75" customHeight="1">
      <c r="R944" s="30"/>
    </row>
    <row r="945" spans="18:18" ht="15.75" customHeight="1">
      <c r="R945" s="30"/>
    </row>
    <row r="946" spans="18:18" ht="15.75" customHeight="1">
      <c r="R946" s="30"/>
    </row>
    <row r="947" spans="18:18" ht="15.75" customHeight="1">
      <c r="R947" s="30"/>
    </row>
    <row r="948" spans="18:18" ht="15.75" customHeight="1">
      <c r="R948" s="30"/>
    </row>
    <row r="949" spans="18:18" ht="15.75" customHeight="1">
      <c r="R949" s="30"/>
    </row>
    <row r="950" spans="18:18" ht="15.75" customHeight="1">
      <c r="R950" s="30"/>
    </row>
    <row r="951" spans="18:18" ht="15.75" customHeight="1">
      <c r="R951" s="30"/>
    </row>
    <row r="952" spans="18:18" ht="15.75" customHeight="1">
      <c r="R952" s="30"/>
    </row>
    <row r="953" spans="18:18" ht="15.75" customHeight="1">
      <c r="R953" s="30"/>
    </row>
    <row r="954" spans="18:18" ht="15.75" customHeight="1">
      <c r="R954" s="30"/>
    </row>
    <row r="955" spans="18:18" ht="15.75" customHeight="1">
      <c r="R955" s="30"/>
    </row>
    <row r="956" spans="18:18" ht="15.75" customHeight="1">
      <c r="R956" s="30"/>
    </row>
    <row r="957" spans="18:18" ht="15.75" customHeight="1">
      <c r="R957" s="30"/>
    </row>
    <row r="958" spans="18:18" ht="15.75" customHeight="1">
      <c r="R958" s="30"/>
    </row>
    <row r="959" spans="18:18" ht="15.75" customHeight="1">
      <c r="R959" s="30"/>
    </row>
    <row r="960" spans="18:18" ht="15.75" customHeight="1">
      <c r="R960" s="30"/>
    </row>
    <row r="961" spans="18:18" ht="15.75" customHeight="1">
      <c r="R961" s="30"/>
    </row>
    <row r="962" spans="18:18" ht="15.75" customHeight="1">
      <c r="R962" s="30"/>
    </row>
    <row r="963" spans="18:18" ht="15.75" customHeight="1">
      <c r="R963" s="30"/>
    </row>
    <row r="964" spans="18:18" ht="15.75" customHeight="1">
      <c r="R964" s="30"/>
    </row>
    <row r="965" spans="18:18" ht="15.75" customHeight="1">
      <c r="R965" s="30"/>
    </row>
    <row r="966" spans="18:18" ht="15.75" customHeight="1">
      <c r="R966" s="30"/>
    </row>
    <row r="967" spans="18:18" ht="15.75" customHeight="1">
      <c r="R967" s="30"/>
    </row>
    <row r="968" spans="18:18" ht="15.75" customHeight="1">
      <c r="R968" s="30"/>
    </row>
    <row r="969" spans="18:18" ht="15.75" customHeight="1">
      <c r="R969" s="30"/>
    </row>
    <row r="970" spans="18:18" ht="15.75" customHeight="1">
      <c r="R970" s="30"/>
    </row>
    <row r="971" spans="18:18" ht="15.75" customHeight="1">
      <c r="R971" s="30"/>
    </row>
    <row r="972" spans="18:18" ht="15.75" customHeight="1">
      <c r="R972" s="30"/>
    </row>
    <row r="973" spans="18:18" ht="15.75" customHeight="1">
      <c r="R973" s="30"/>
    </row>
    <row r="974" spans="18:18" ht="15.75" customHeight="1">
      <c r="R974" s="30"/>
    </row>
    <row r="975" spans="18:18" ht="15.75" customHeight="1">
      <c r="R975" s="30"/>
    </row>
    <row r="976" spans="18:18" ht="15.75" customHeight="1">
      <c r="R976" s="30"/>
    </row>
    <row r="977" spans="18:18" ht="15.75" customHeight="1">
      <c r="R977" s="30"/>
    </row>
    <row r="978" spans="18:18" ht="15.75" customHeight="1">
      <c r="R978" s="30"/>
    </row>
    <row r="979" spans="18:18" ht="15.75" customHeight="1">
      <c r="R979" s="30"/>
    </row>
    <row r="980" spans="18:18" ht="15.75" customHeight="1">
      <c r="R980" s="30"/>
    </row>
    <row r="981" spans="18:18" ht="15.75" customHeight="1">
      <c r="R981" s="30"/>
    </row>
    <row r="982" spans="18:18" ht="15.75" customHeight="1">
      <c r="R982" s="30"/>
    </row>
    <row r="983" spans="18:18" ht="15.75" customHeight="1">
      <c r="R983" s="30"/>
    </row>
    <row r="984" spans="18:18" ht="15.75" customHeight="1">
      <c r="R984" s="30"/>
    </row>
    <row r="985" spans="18:18" ht="15.75" customHeight="1">
      <c r="R985" s="30"/>
    </row>
    <row r="986" spans="18:18" ht="15.75" customHeight="1">
      <c r="R986" s="30"/>
    </row>
    <row r="987" spans="18:18" ht="15.75" customHeight="1">
      <c r="R987" s="30"/>
    </row>
    <row r="988" spans="18:18" ht="15.75" customHeight="1">
      <c r="R988" s="30"/>
    </row>
    <row r="989" spans="18:18" ht="15.75" customHeight="1">
      <c r="R989" s="30"/>
    </row>
    <row r="990" spans="18:18" ht="15.75" customHeight="1">
      <c r="R990" s="30"/>
    </row>
    <row r="991" spans="18:18" ht="15.75" customHeight="1">
      <c r="R991" s="30"/>
    </row>
    <row r="992" spans="18:18" ht="15.75" customHeight="1">
      <c r="R992" s="30"/>
    </row>
    <row r="993" spans="18:18" ht="15.75" customHeight="1">
      <c r="R993" s="30"/>
    </row>
    <row r="994" spans="18:18" ht="15.75" customHeight="1">
      <c r="R994" s="30"/>
    </row>
    <row r="995" spans="18:18" ht="15.75" customHeight="1">
      <c r="R995" s="30"/>
    </row>
    <row r="996" spans="18:18" ht="15.75" customHeight="1">
      <c r="R996" s="30"/>
    </row>
    <row r="997" spans="18:18" ht="15.75" customHeight="1">
      <c r="R997" s="30"/>
    </row>
    <row r="998" spans="18:18" ht="15.75" customHeight="1">
      <c r="R998" s="30"/>
    </row>
    <row r="999" spans="18:18" ht="15.75" customHeight="1">
      <c r="R999" s="30"/>
    </row>
    <row r="1000" spans="18:18" ht="15.75" customHeight="1">
      <c r="R1000" s="3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2.6640625" defaultRowHeight="15" customHeight="1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8.6640625" customWidth="1"/>
    <col min="6" max="6" width="9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17.1640625" customWidth="1"/>
    <col min="16" max="16" width="10" customWidth="1"/>
    <col min="17" max="18" width="7.33203125" customWidth="1"/>
    <col min="19" max="19" width="7.1640625" customWidth="1"/>
    <col min="20" max="20" width="17" customWidth="1"/>
    <col min="21" max="21" width="18.1640625" customWidth="1"/>
    <col min="22" max="22" width="79.664062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6640625" customWidth="1"/>
    <col min="32" max="32" width="10.1640625" customWidth="1"/>
    <col min="33" max="33" width="8.83203125" customWidth="1"/>
  </cols>
  <sheetData>
    <row r="1" spans="1:33" ht="18.75" customHeight="1">
      <c r="A1" s="46" t="str">
        <f ca="1">IFERROR(__xludf.DUMMYFUNCTION("IFERROR(VLOOKUP(B2,IMPORTRANGE(""https://docs.google.com/spreadsheets/d/1x0DhHglkXKoEBOD2MBsuK_EyIr1ouxD2ftIpqOYFa-k/edit?usp=sharing"",""Ubiquitty-SKU-Specific Info!B1:BJ5000""),3,FALSE),"""")"),"Extension cord 12 gauge appliance pass through electrical 3 prong Heavy Duty power block outdoor indoor")</f>
        <v>Extension cord 12 gauge appliance pass through electrical 3 prong Heavy Duty power block outdoor indoor</v>
      </c>
      <c r="B1" s="47"/>
      <c r="C1" s="48" t="s">
        <v>0</v>
      </c>
      <c r="D1" s="50" t="s">
        <v>1</v>
      </c>
      <c r="E1" s="50" t="s">
        <v>2</v>
      </c>
      <c r="F1" s="52" t="s">
        <v>3</v>
      </c>
      <c r="G1" s="52" t="s">
        <v>4</v>
      </c>
      <c r="H1" s="53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58" t="s">
        <v>10</v>
      </c>
      <c r="N1" s="59" t="s">
        <v>11</v>
      </c>
      <c r="O1" s="50" t="s">
        <v>12</v>
      </c>
      <c r="P1" s="50" t="s">
        <v>13</v>
      </c>
      <c r="Q1" s="57" t="s">
        <v>14</v>
      </c>
      <c r="R1" s="57" t="s">
        <v>15</v>
      </c>
      <c r="S1" s="60" t="s">
        <v>16</v>
      </c>
      <c r="T1" s="62" t="s">
        <v>2006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Info!B1:BJ5000""),2,FALSE),"""")"),"B019P9ZDQC")</f>
        <v>B019P9ZDQC</v>
      </c>
      <c r="B2" s="3" t="s">
        <v>1516</v>
      </c>
      <c r="C2" s="49"/>
      <c r="D2" s="49"/>
      <c r="E2" s="51"/>
      <c r="F2" s="49"/>
      <c r="G2" s="49"/>
      <c r="H2" s="54"/>
      <c r="I2" s="49"/>
      <c r="J2" s="49"/>
      <c r="K2" s="54"/>
      <c r="L2" s="54"/>
      <c r="M2" s="54"/>
      <c r="N2" s="49"/>
      <c r="O2" s="49"/>
      <c r="P2" s="51"/>
      <c r="Q2" s="49"/>
      <c r="R2" s="49"/>
      <c r="S2" s="61"/>
      <c r="T2" s="47"/>
      <c r="U2" s="63"/>
      <c r="V2" s="63"/>
      <c r="W2" s="47"/>
      <c r="X2" s="47"/>
      <c r="Y2" s="47"/>
      <c r="Z2" s="47"/>
      <c r="AA2" s="63"/>
      <c r="AB2" s="63"/>
      <c r="AC2" s="63"/>
      <c r="AD2" s="63"/>
      <c r="AE2" s="47"/>
      <c r="AF2" s="47"/>
      <c r="AG2" s="47"/>
    </row>
    <row r="3" spans="1:33" ht="118.5" customHeight="1">
      <c r="A3" s="55" t="s">
        <v>31</v>
      </c>
      <c r="B3" s="56"/>
      <c r="C3" s="4">
        <f>((AE32+AF32)/0.85)*-1</f>
        <v>8.1924460894117637</v>
      </c>
      <c r="D3" s="5">
        <f>SUM(D4:D99765)</f>
        <v>1833</v>
      </c>
      <c r="E3" s="5"/>
      <c r="F3" s="6">
        <f t="shared" ref="F3:G3" si="0">SUM(F4:F99765)</f>
        <v>22625.86</v>
      </c>
      <c r="G3" s="6">
        <f t="shared" si="0"/>
        <v>-252.62</v>
      </c>
      <c r="H3" s="7">
        <f t="shared" ref="H3:H32" si="1">G3/F3*-1</f>
        <v>1.1165100464689518E-2</v>
      </c>
      <c r="I3" s="8">
        <f t="shared" ref="I3:I32" si="2">J3/F3</f>
        <v>0.24629604282139184</v>
      </c>
      <c r="J3" s="6">
        <f>SUM(J4:J99765)</f>
        <v>5572.6597834308168</v>
      </c>
      <c r="K3" s="6">
        <f t="shared" ref="K3:K32" si="3">J3/D3</f>
        <v>3.0401853701204673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Sheet!a1:g5000""),2,FALSE),"""")"),"13.5 - March
16 - April
16 - May
15 - June
16.5 - July
20 - Aug
11.5 - Sept
8.5 - Oct
13 - Nov
40.5 - Dec
5 - Jan
9 - Feb")</f>
        <v>13.5 - March
16 - April
16 - May
15 - June
16.5 - July
20 - Aug
11.5 - Sept
8.5 - Oct
13 - Nov
40.5 - Dec
5 - Jan
9 -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QTY-27")</f>
        <v>Del QTY-27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QTY-48")</f>
        <v>US QTY-48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68</v>
      </c>
      <c r="X3" s="7">
        <f>W3/D3</f>
        <v>3.7097654118930713E-2</v>
      </c>
      <c r="Y3" s="6"/>
      <c r="Z3" s="5"/>
      <c r="AA3" s="5"/>
      <c r="AB3" s="5"/>
      <c r="AC3" s="5"/>
      <c r="AD3" s="6">
        <f>SUM(AD4:AD99765)</f>
        <v>-44.28175649985517</v>
      </c>
      <c r="AE3" s="6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Info!B2:BZ3000""),37,FALSE)),"""")*-1"),-2.713579176)</f>
        <v>-2.7135791760000001</v>
      </c>
      <c r="AG3" s="6">
        <f>SUM(AG4:AG99765)</f>
        <v>0</v>
      </c>
    </row>
    <row r="4" spans="1:33" ht="15.75" customHeight="1">
      <c r="A4" s="14" t="s">
        <v>181</v>
      </c>
      <c r="B4" s="14" t="s">
        <v>1517</v>
      </c>
      <c r="C4" s="15">
        <f t="shared" ref="C4:C32" si="4">IFERROR(F4/D4," - ")</f>
        <v>13.993333333333334</v>
      </c>
      <c r="D4" s="16">
        <v>3</v>
      </c>
      <c r="E4" s="16">
        <v>0</v>
      </c>
      <c r="F4" s="17">
        <v>41.980000000000004</v>
      </c>
      <c r="G4" s="17">
        <v>-0.05</v>
      </c>
      <c r="H4" s="18">
        <f t="shared" si="1"/>
        <v>1.1910433539780848E-3</v>
      </c>
      <c r="I4" s="18">
        <f t="shared" si="2"/>
        <v>0.31924391079085279</v>
      </c>
      <c r="J4" s="17">
        <f t="shared" ref="J4:J32" si="5">F4*0.85+G4+AF4*D4+D4*AE4+AG4+AD4</f>
        <v>13.401859375000003</v>
      </c>
      <c r="K4" s="17">
        <f t="shared" si="3"/>
        <v>4.4672864583333345</v>
      </c>
      <c r="L4" s="16">
        <v>21</v>
      </c>
      <c r="M4" s="19">
        <f t="shared" ref="M4:M32" si="6">IFERROR(D4/L4,"-")</f>
        <v>0.14285714285714285</v>
      </c>
      <c r="N4" s="16">
        <v>1</v>
      </c>
      <c r="O4" s="20">
        <f t="shared" ref="O4:P4" si="7">D4/7</f>
        <v>0.42857142857142855</v>
      </c>
      <c r="P4" s="20">
        <f t="shared" si="7"/>
        <v>0</v>
      </c>
      <c r="Q4" s="16">
        <f t="shared" ref="Q4:Q32" si="8">ROUNDDOWN(N4/(O4+P4),0)</f>
        <v>2</v>
      </c>
      <c r="R4" s="16"/>
      <c r="S4" s="21">
        <v>4.4970930232558102</v>
      </c>
      <c r="T4" s="14">
        <v>1656</v>
      </c>
      <c r="U4" s="22">
        <v>288</v>
      </c>
      <c r="V4" s="23" t="s">
        <v>1518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26" t="s">
        <v>35</v>
      </c>
      <c r="AB4" s="27">
        <f t="shared" ref="AB4:AB32" si="11">IF(OR(AA4="UsLargeStandardSize",AA4="UsSmallStandardSize"),-0.69,-0.48)</f>
        <v>-0.69</v>
      </c>
      <c r="AC4" s="28">
        <v>1.7505787037037042E-2</v>
      </c>
      <c r="AD4" s="25">
        <f t="shared" ref="AD4:AD32" si="12">IFERROR(AB4*AC4*D4*2,0)</f>
        <v>-7.2473958333333352E-2</v>
      </c>
      <c r="AE4" s="25">
        <v>-4.9000000000000004</v>
      </c>
      <c r="AF4" s="25">
        <v>-2.4862222222222226</v>
      </c>
      <c r="AG4" s="25">
        <v>0</v>
      </c>
    </row>
    <row r="5" spans="1:33" ht="15.75" customHeight="1">
      <c r="A5" s="14" t="s">
        <v>183</v>
      </c>
      <c r="B5" s="14" t="s">
        <v>45</v>
      </c>
      <c r="C5" s="15">
        <f t="shared" si="4"/>
        <v>13.887499999999999</v>
      </c>
      <c r="D5" s="16">
        <v>4</v>
      </c>
      <c r="E5" s="16">
        <v>0</v>
      </c>
      <c r="F5" s="29">
        <v>55.55</v>
      </c>
      <c r="G5" s="29">
        <v>0</v>
      </c>
      <c r="H5" s="18">
        <f t="shared" si="1"/>
        <v>0</v>
      </c>
      <c r="I5" s="18">
        <f t="shared" si="2"/>
        <v>0.31639724922666063</v>
      </c>
      <c r="J5" s="17">
        <f t="shared" si="5"/>
        <v>17.575867194540997</v>
      </c>
      <c r="K5" s="17">
        <f t="shared" si="3"/>
        <v>4.3939667986352493</v>
      </c>
      <c r="L5" s="16">
        <v>89</v>
      </c>
      <c r="M5" s="19">
        <f t="shared" si="6"/>
        <v>4.49438202247191E-2</v>
      </c>
      <c r="N5" s="16">
        <v>1</v>
      </c>
      <c r="O5" s="20">
        <f t="shared" ref="O5:P5" si="13">D5/7</f>
        <v>0.5714285714285714</v>
      </c>
      <c r="P5" s="20">
        <f t="shared" si="13"/>
        <v>0</v>
      </c>
      <c r="Q5" s="16">
        <f t="shared" si="8"/>
        <v>1</v>
      </c>
      <c r="R5" s="16"/>
      <c r="S5" s="21">
        <v>11.435114503816701</v>
      </c>
      <c r="T5" s="14">
        <v>1656</v>
      </c>
      <c r="U5" s="22">
        <v>288</v>
      </c>
      <c r="V5" s="23" t="s">
        <v>1518</v>
      </c>
      <c r="W5" s="14">
        <v>0</v>
      </c>
      <c r="X5" s="24">
        <f t="shared" si="9"/>
        <v>0</v>
      </c>
      <c r="Y5" s="25">
        <f t="shared" si="10"/>
        <v>0</v>
      </c>
      <c r="Z5" s="14">
        <v>0</v>
      </c>
      <c r="AA5" s="14" t="s">
        <v>35</v>
      </c>
      <c r="AB5" s="27">
        <f t="shared" si="11"/>
        <v>-0.69</v>
      </c>
      <c r="AC5" s="28">
        <v>1.7526071842410201E-2</v>
      </c>
      <c r="AD5" s="25">
        <f t="shared" si="12"/>
        <v>-9.674391657010431E-2</v>
      </c>
      <c r="AE5" s="25">
        <v>-4.9000000000000004</v>
      </c>
      <c r="AF5" s="25">
        <v>-2.4862222222222226</v>
      </c>
      <c r="AG5" s="25">
        <v>0</v>
      </c>
    </row>
    <row r="6" spans="1:33" ht="15.75" customHeight="1">
      <c r="A6" s="14" t="s">
        <v>185</v>
      </c>
      <c r="B6" s="14" t="s">
        <v>45</v>
      </c>
      <c r="C6" s="15">
        <f t="shared" si="4"/>
        <v>13.344999999999999</v>
      </c>
      <c r="D6" s="16">
        <v>2</v>
      </c>
      <c r="E6" s="16">
        <v>0</v>
      </c>
      <c r="F6" s="29">
        <v>26.689999999999998</v>
      </c>
      <c r="G6" s="29">
        <v>0</v>
      </c>
      <c r="H6" s="18">
        <f t="shared" si="1"/>
        <v>0</v>
      </c>
      <c r="I6" s="18">
        <f t="shared" si="2"/>
        <v>0.29470526778832901</v>
      </c>
      <c r="J6" s="17">
        <f t="shared" si="5"/>
        <v>7.8656835972705004</v>
      </c>
      <c r="K6" s="17">
        <f t="shared" si="3"/>
        <v>3.9328417986352502</v>
      </c>
      <c r="L6" s="16">
        <v>78</v>
      </c>
      <c r="M6" s="19">
        <f t="shared" si="6"/>
        <v>2.564102564102564E-2</v>
      </c>
      <c r="N6" s="16">
        <v>1</v>
      </c>
      <c r="O6" s="20">
        <f t="shared" ref="O6:P6" si="14">D6/7</f>
        <v>0.2857142857142857</v>
      </c>
      <c r="P6" s="20">
        <f t="shared" si="14"/>
        <v>0</v>
      </c>
      <c r="Q6" s="16">
        <f t="shared" si="8"/>
        <v>3</v>
      </c>
      <c r="R6" s="16"/>
      <c r="S6" s="21" t="e">
        <v>#N/A</v>
      </c>
      <c r="T6" s="14">
        <v>1368</v>
      </c>
      <c r="U6" s="22" t="s">
        <v>34</v>
      </c>
      <c r="V6" s="23" t="s">
        <v>186</v>
      </c>
      <c r="W6" s="14">
        <v>0</v>
      </c>
      <c r="X6" s="24">
        <f t="shared" si="9"/>
        <v>0</v>
      </c>
      <c r="Y6" s="25">
        <f t="shared" si="10"/>
        <v>0</v>
      </c>
      <c r="Z6" s="14">
        <v>0</v>
      </c>
      <c r="AA6" s="14" t="s">
        <v>35</v>
      </c>
      <c r="AB6" s="27">
        <f t="shared" si="11"/>
        <v>-0.69</v>
      </c>
      <c r="AC6" s="28">
        <v>1.7526071842410201E-2</v>
      </c>
      <c r="AD6" s="25">
        <f t="shared" si="12"/>
        <v>-4.8371958285052155E-2</v>
      </c>
      <c r="AE6" s="25">
        <v>-4.9000000000000004</v>
      </c>
      <c r="AF6" s="25">
        <v>-2.4862222222222226</v>
      </c>
      <c r="AG6" s="25">
        <v>0</v>
      </c>
    </row>
    <row r="7" spans="1:33" ht="15.75" customHeight="1">
      <c r="A7" s="14" t="s">
        <v>187</v>
      </c>
      <c r="B7" s="14" t="s">
        <v>1519</v>
      </c>
      <c r="C7" s="15">
        <f t="shared" si="4"/>
        <v>13.918000000000001</v>
      </c>
      <c r="D7" s="16">
        <v>10</v>
      </c>
      <c r="E7" s="16">
        <v>0</v>
      </c>
      <c r="F7" s="29">
        <v>139.18</v>
      </c>
      <c r="G7" s="29">
        <v>0</v>
      </c>
      <c r="H7" s="18">
        <f t="shared" si="1"/>
        <v>0</v>
      </c>
      <c r="I7" s="18">
        <f t="shared" si="2"/>
        <v>0.31756860121185987</v>
      </c>
      <c r="J7" s="17">
        <f t="shared" si="5"/>
        <v>44.199197916666655</v>
      </c>
      <c r="K7" s="17">
        <f t="shared" si="3"/>
        <v>4.4199197916666657</v>
      </c>
      <c r="L7" s="16">
        <v>83</v>
      </c>
      <c r="M7" s="19">
        <f t="shared" si="6"/>
        <v>0.12048192771084337</v>
      </c>
      <c r="N7" s="16">
        <v>260</v>
      </c>
      <c r="O7" s="20">
        <f t="shared" ref="O7:P7" si="15">D7/7</f>
        <v>1.4285714285714286</v>
      </c>
      <c r="P7" s="20">
        <f t="shared" si="15"/>
        <v>0</v>
      </c>
      <c r="Q7" s="16">
        <f t="shared" si="8"/>
        <v>182</v>
      </c>
      <c r="R7" s="16"/>
      <c r="S7" s="21">
        <v>16.4252873563218</v>
      </c>
      <c r="T7" s="14">
        <v>1368</v>
      </c>
      <c r="U7" s="22">
        <v>528</v>
      </c>
      <c r="V7" s="23" t="s">
        <v>1520</v>
      </c>
      <c r="W7" s="14">
        <v>0</v>
      </c>
      <c r="X7" s="24">
        <f t="shared" si="9"/>
        <v>0</v>
      </c>
      <c r="Y7" s="25">
        <f t="shared" si="10"/>
        <v>0</v>
      </c>
      <c r="Z7" s="14">
        <v>0</v>
      </c>
      <c r="AA7" s="14" t="s">
        <v>35</v>
      </c>
      <c r="AB7" s="27">
        <f t="shared" si="11"/>
        <v>-0.69</v>
      </c>
      <c r="AC7" s="28">
        <v>1.7505787037037042E-2</v>
      </c>
      <c r="AD7" s="25">
        <f t="shared" si="12"/>
        <v>-0.24157986111111115</v>
      </c>
      <c r="AE7" s="25">
        <v>-4.9000000000000004</v>
      </c>
      <c r="AF7" s="25">
        <v>-2.4862222222222226</v>
      </c>
      <c r="AG7" s="25">
        <v>0</v>
      </c>
    </row>
    <row r="8" spans="1:33" ht="15.75" customHeight="1">
      <c r="A8" s="14" t="s">
        <v>189</v>
      </c>
      <c r="B8" s="14" t="s">
        <v>1521</v>
      </c>
      <c r="C8" s="15">
        <f t="shared" si="4"/>
        <v>12.839714285714289</v>
      </c>
      <c r="D8" s="16">
        <v>70</v>
      </c>
      <c r="E8" s="16">
        <v>0</v>
      </c>
      <c r="F8" s="29">
        <v>898.7800000000002</v>
      </c>
      <c r="G8" s="29">
        <v>-20.53</v>
      </c>
      <c r="H8" s="18">
        <f t="shared" si="1"/>
        <v>2.2842074812523639E-2</v>
      </c>
      <c r="I8" s="18">
        <f t="shared" si="2"/>
        <v>0.24971844163446275</v>
      </c>
      <c r="J8" s="17">
        <f t="shared" si="5"/>
        <v>224.44194097222248</v>
      </c>
      <c r="K8" s="17">
        <f t="shared" si="3"/>
        <v>3.206313442460321</v>
      </c>
      <c r="L8" s="16">
        <v>96</v>
      </c>
      <c r="M8" s="19">
        <f t="shared" si="6"/>
        <v>0.72916666666666663</v>
      </c>
      <c r="N8" s="16">
        <v>194</v>
      </c>
      <c r="O8" s="20">
        <f t="shared" ref="O8:P8" si="16">D8/7</f>
        <v>10</v>
      </c>
      <c r="P8" s="20">
        <f t="shared" si="16"/>
        <v>0</v>
      </c>
      <c r="Q8" s="16">
        <f t="shared" si="8"/>
        <v>19</v>
      </c>
      <c r="R8" s="16"/>
      <c r="S8" s="21">
        <v>4.0698812019566697</v>
      </c>
      <c r="T8" s="14">
        <v>1488</v>
      </c>
      <c r="U8" s="22">
        <v>528</v>
      </c>
      <c r="V8" s="23" t="s">
        <v>1522</v>
      </c>
      <c r="W8" s="14">
        <v>5</v>
      </c>
      <c r="X8" s="24">
        <f t="shared" si="9"/>
        <v>7.1428571428571425E-2</v>
      </c>
      <c r="Y8" s="25">
        <f t="shared" si="10"/>
        <v>2.9328571428571428</v>
      </c>
      <c r="Z8" s="14">
        <v>2</v>
      </c>
      <c r="AA8" s="14" t="s">
        <v>35</v>
      </c>
      <c r="AB8" s="27">
        <f t="shared" si="11"/>
        <v>-0.69</v>
      </c>
      <c r="AC8" s="28">
        <v>1.7505787037037042E-2</v>
      </c>
      <c r="AD8" s="25">
        <f t="shared" si="12"/>
        <v>-1.6910590277777782</v>
      </c>
      <c r="AE8" s="25">
        <v>-4.9000000000000004</v>
      </c>
      <c r="AF8" s="25">
        <v>-2.4900000000000002</v>
      </c>
      <c r="AG8" s="25">
        <v>0</v>
      </c>
    </row>
    <row r="9" spans="1:33" ht="15.75" customHeight="1">
      <c r="A9" s="14" t="s">
        <v>191</v>
      </c>
      <c r="B9" s="14" t="s">
        <v>68</v>
      </c>
      <c r="C9" s="15">
        <f t="shared" si="4"/>
        <v>13.186734693877559</v>
      </c>
      <c r="D9" s="16">
        <v>49</v>
      </c>
      <c r="E9" s="16">
        <v>1</v>
      </c>
      <c r="F9" s="29">
        <v>646.15000000000043</v>
      </c>
      <c r="G9" s="29">
        <v>-26.59</v>
      </c>
      <c r="H9" s="18">
        <f t="shared" si="1"/>
        <v>4.1151435425210839E-2</v>
      </c>
      <c r="I9" s="18">
        <f t="shared" si="2"/>
        <v>0.24465007748888801</v>
      </c>
      <c r="J9" s="17">
        <f t="shared" si="5"/>
        <v>158.08064756944509</v>
      </c>
      <c r="K9" s="17">
        <f t="shared" si="3"/>
        <v>3.2261356646825528</v>
      </c>
      <c r="L9" s="16">
        <v>146</v>
      </c>
      <c r="M9" s="19">
        <f t="shared" si="6"/>
        <v>0.33561643835616439</v>
      </c>
      <c r="N9" s="16">
        <v>148</v>
      </c>
      <c r="O9" s="20">
        <f t="shared" ref="O9:P9" si="17">D9/7</f>
        <v>7</v>
      </c>
      <c r="P9" s="20">
        <f t="shared" si="17"/>
        <v>0.14285714285714285</v>
      </c>
      <c r="Q9" s="16">
        <f t="shared" si="8"/>
        <v>20</v>
      </c>
      <c r="R9" s="16"/>
      <c r="S9" s="21">
        <v>8.2319660537482306</v>
      </c>
      <c r="T9" s="14">
        <v>1488</v>
      </c>
      <c r="U9" s="22">
        <v>528</v>
      </c>
      <c r="V9" s="23" t="s">
        <v>1523</v>
      </c>
      <c r="W9" s="14">
        <v>3</v>
      </c>
      <c r="X9" s="24">
        <f t="shared" si="9"/>
        <v>6.1224489795918366E-2</v>
      </c>
      <c r="Y9" s="25">
        <f t="shared" si="10"/>
        <v>2.2158333333333333</v>
      </c>
      <c r="Z9" s="14">
        <v>9</v>
      </c>
      <c r="AA9" s="14" t="s">
        <v>35</v>
      </c>
      <c r="AB9" s="27">
        <f t="shared" si="11"/>
        <v>-0.69</v>
      </c>
      <c r="AC9" s="28">
        <v>1.7505787037037042E-2</v>
      </c>
      <c r="AD9" s="25">
        <f t="shared" si="12"/>
        <v>-1.1837413194444446</v>
      </c>
      <c r="AE9" s="25">
        <v>-4.9000000000000004</v>
      </c>
      <c r="AF9" s="25">
        <v>-2.5157777777777701</v>
      </c>
      <c r="AG9" s="25">
        <v>0</v>
      </c>
    </row>
    <row r="10" spans="1:33" ht="15.75" customHeight="1">
      <c r="A10" s="14" t="s">
        <v>192</v>
      </c>
      <c r="B10" s="14" t="s">
        <v>68</v>
      </c>
      <c r="C10" s="15">
        <f t="shared" si="4"/>
        <v>13.129512195121952</v>
      </c>
      <c r="D10" s="16">
        <v>41</v>
      </c>
      <c r="E10" s="16">
        <v>0</v>
      </c>
      <c r="F10" s="29">
        <v>538.31000000000006</v>
      </c>
      <c r="G10" s="29">
        <v>-46.309999999999995</v>
      </c>
      <c r="H10" s="18">
        <f t="shared" si="1"/>
        <v>8.6028496591183501E-2</v>
      </c>
      <c r="I10" s="18">
        <f t="shared" si="2"/>
        <v>0.19731406379327135</v>
      </c>
      <c r="J10" s="17">
        <f t="shared" si="5"/>
        <v>106.21613368055591</v>
      </c>
      <c r="K10" s="17">
        <f t="shared" si="3"/>
        <v>2.5906374068428271</v>
      </c>
      <c r="L10" s="16">
        <v>189</v>
      </c>
      <c r="M10" s="19">
        <f t="shared" si="6"/>
        <v>0.21693121693121692</v>
      </c>
      <c r="N10" s="16">
        <v>115</v>
      </c>
      <c r="O10" s="20">
        <f t="shared" ref="O10:P10" si="18">D10/7</f>
        <v>5.8571428571428568</v>
      </c>
      <c r="P10" s="20">
        <f t="shared" si="18"/>
        <v>0</v>
      </c>
      <c r="Q10" s="16">
        <f t="shared" si="8"/>
        <v>19</v>
      </c>
      <c r="R10" s="16"/>
      <c r="S10" s="21">
        <v>20.143884892086302</v>
      </c>
      <c r="T10" s="14">
        <v>1488</v>
      </c>
      <c r="U10" s="22">
        <v>528</v>
      </c>
      <c r="V10" s="23" t="s">
        <v>1524</v>
      </c>
      <c r="W10" s="14">
        <v>5</v>
      </c>
      <c r="X10" s="24">
        <f t="shared" si="9"/>
        <v>0.12195121951219512</v>
      </c>
      <c r="Y10" s="25">
        <f t="shared" si="10"/>
        <v>3.5623076923076917</v>
      </c>
      <c r="Z10" s="14">
        <v>8</v>
      </c>
      <c r="AA10" s="14" t="s">
        <v>35</v>
      </c>
      <c r="AB10" s="27">
        <f t="shared" si="11"/>
        <v>-0.69</v>
      </c>
      <c r="AC10" s="28">
        <v>1.7505787037037042E-2</v>
      </c>
      <c r="AD10" s="25">
        <f t="shared" si="12"/>
        <v>-0.99047743055555582</v>
      </c>
      <c r="AE10" s="25">
        <v>-4.9000000000000004</v>
      </c>
      <c r="AF10" s="25">
        <v>-2.5157777777777701</v>
      </c>
      <c r="AG10" s="25">
        <v>0</v>
      </c>
    </row>
    <row r="11" spans="1:33" ht="15.75" customHeight="1">
      <c r="A11" s="14" t="s">
        <v>193</v>
      </c>
      <c r="B11" s="14" t="s">
        <v>1525</v>
      </c>
      <c r="C11" s="15">
        <f t="shared" si="4"/>
        <v>13.306931818181821</v>
      </c>
      <c r="D11" s="16">
        <v>88</v>
      </c>
      <c r="E11" s="16">
        <v>0</v>
      </c>
      <c r="F11" s="29">
        <v>1171.0100000000002</v>
      </c>
      <c r="G11" s="29">
        <v>-26.619999999999997</v>
      </c>
      <c r="H11" s="18">
        <f t="shared" si="1"/>
        <v>2.2732512958898721E-2</v>
      </c>
      <c r="I11" s="18">
        <f t="shared" si="2"/>
        <v>0.26816521872381838</v>
      </c>
      <c r="J11" s="17">
        <f t="shared" si="5"/>
        <v>314.02415277777862</v>
      </c>
      <c r="K11" s="17">
        <f t="shared" si="3"/>
        <v>3.5684562815656662</v>
      </c>
      <c r="L11" s="16">
        <v>211</v>
      </c>
      <c r="M11" s="19">
        <f t="shared" si="6"/>
        <v>0.41706161137440756</v>
      </c>
      <c r="N11" s="16">
        <v>33</v>
      </c>
      <c r="O11" s="20">
        <f t="shared" ref="O11:P11" si="19">D11/7</f>
        <v>12.571428571428571</v>
      </c>
      <c r="P11" s="20">
        <f t="shared" si="19"/>
        <v>0</v>
      </c>
      <c r="Q11" s="16">
        <f t="shared" si="8"/>
        <v>2</v>
      </c>
      <c r="R11" s="16"/>
      <c r="S11" s="21">
        <v>41.446153846153798</v>
      </c>
      <c r="T11" s="14">
        <v>3768</v>
      </c>
      <c r="U11" s="22">
        <v>528</v>
      </c>
      <c r="V11" s="23" t="s">
        <v>1526</v>
      </c>
      <c r="W11" s="14">
        <v>4</v>
      </c>
      <c r="X11" s="24">
        <f t="shared" si="9"/>
        <v>4.5454545454545456E-2</v>
      </c>
      <c r="Y11" s="25">
        <f t="shared" si="10"/>
        <v>2.42</v>
      </c>
      <c r="Z11" s="14">
        <v>7</v>
      </c>
      <c r="AA11" s="14" t="s">
        <v>35</v>
      </c>
      <c r="AB11" s="27">
        <f t="shared" si="11"/>
        <v>-0.69</v>
      </c>
      <c r="AC11" s="28">
        <v>1.7505787037037042E-2</v>
      </c>
      <c r="AD11" s="25">
        <f t="shared" si="12"/>
        <v>-2.1259027777777781</v>
      </c>
      <c r="AE11" s="25">
        <v>-4.9000000000000004</v>
      </c>
      <c r="AF11" s="25">
        <v>-2.5157777777777701</v>
      </c>
      <c r="AG11" s="25">
        <v>0</v>
      </c>
    </row>
    <row r="12" spans="1:33" ht="15.75" customHeight="1">
      <c r="A12" s="14" t="s">
        <v>195</v>
      </c>
      <c r="B12" s="14" t="s">
        <v>45</v>
      </c>
      <c r="C12" s="15">
        <f t="shared" si="4"/>
        <v>13.788888888888891</v>
      </c>
      <c r="D12" s="16">
        <v>18</v>
      </c>
      <c r="E12" s="16">
        <v>0</v>
      </c>
      <c r="F12" s="29">
        <v>248.20000000000005</v>
      </c>
      <c r="G12" s="29">
        <v>-5.04</v>
      </c>
      <c r="H12" s="18">
        <f t="shared" si="1"/>
        <v>2.0306204673650279E-2</v>
      </c>
      <c r="I12" s="18">
        <f t="shared" si="2"/>
        <v>0.29013358682514168</v>
      </c>
      <c r="J12" s="17">
        <f t="shared" si="5"/>
        <v>72.011156250000184</v>
      </c>
      <c r="K12" s="17">
        <f t="shared" si="3"/>
        <v>4.0006197916666766</v>
      </c>
      <c r="L12" s="16">
        <v>123</v>
      </c>
      <c r="M12" s="19">
        <f t="shared" si="6"/>
        <v>0.14634146341463414</v>
      </c>
      <c r="N12" s="16">
        <v>0</v>
      </c>
      <c r="O12" s="20">
        <f t="shared" ref="O12:P12" si="20">D12/7</f>
        <v>2.5714285714285716</v>
      </c>
      <c r="P12" s="20">
        <f t="shared" si="20"/>
        <v>0</v>
      </c>
      <c r="Q12" s="16">
        <f t="shared" si="8"/>
        <v>0</v>
      </c>
      <c r="R12" s="16"/>
      <c r="S12" s="21" t="e">
        <v>#N/A</v>
      </c>
      <c r="T12" s="14">
        <v>2064</v>
      </c>
      <c r="U12" s="22">
        <v>720</v>
      </c>
      <c r="V12" s="23" t="s">
        <v>1527</v>
      </c>
      <c r="W12" s="14">
        <v>1</v>
      </c>
      <c r="X12" s="24">
        <f t="shared" si="9"/>
        <v>5.5555555555555552E-2</v>
      </c>
      <c r="Y12" s="25">
        <f t="shared" si="10"/>
        <v>5.04</v>
      </c>
      <c r="Z12" s="14">
        <v>0</v>
      </c>
      <c r="AA12" s="14" t="s">
        <v>35</v>
      </c>
      <c r="AB12" s="27">
        <f t="shared" si="11"/>
        <v>-0.69</v>
      </c>
      <c r="AC12" s="28">
        <v>1.7505787037037042E-2</v>
      </c>
      <c r="AD12" s="25">
        <f t="shared" si="12"/>
        <v>-0.43484375000000008</v>
      </c>
      <c r="AE12" s="25">
        <v>-4.9000000000000004</v>
      </c>
      <c r="AF12" s="25">
        <v>-2.5157777777777701</v>
      </c>
      <c r="AG12" s="25">
        <v>0</v>
      </c>
    </row>
    <row r="13" spans="1:33" ht="15.75" customHeight="1">
      <c r="A13" s="14" t="s">
        <v>197</v>
      </c>
      <c r="B13" s="14" t="s">
        <v>1528</v>
      </c>
      <c r="C13" s="15">
        <f t="shared" si="4"/>
        <v>14.905217391304348</v>
      </c>
      <c r="D13" s="16">
        <v>23</v>
      </c>
      <c r="E13" s="16">
        <v>0</v>
      </c>
      <c r="F13" s="17">
        <v>342.82</v>
      </c>
      <c r="G13" s="29">
        <v>-0.35000000000000003</v>
      </c>
      <c r="H13" s="18">
        <f t="shared" si="1"/>
        <v>1.0209439355930226E-3</v>
      </c>
      <c r="I13" s="18">
        <f t="shared" si="2"/>
        <v>0.34878565910033782</v>
      </c>
      <c r="J13" s="17">
        <f t="shared" si="5"/>
        <v>119.5706996527778</v>
      </c>
      <c r="K13" s="17">
        <f t="shared" si="3"/>
        <v>5.1987260718599044</v>
      </c>
      <c r="L13" s="16">
        <v>52</v>
      </c>
      <c r="M13" s="19">
        <f t="shared" si="6"/>
        <v>0.44230769230769229</v>
      </c>
      <c r="N13" s="16">
        <v>516</v>
      </c>
      <c r="O13" s="20">
        <f t="shared" ref="O13:P13" si="21">D13/7</f>
        <v>3.2857142857142856</v>
      </c>
      <c r="P13" s="20">
        <f t="shared" si="21"/>
        <v>0</v>
      </c>
      <c r="Q13" s="16">
        <f t="shared" si="8"/>
        <v>157</v>
      </c>
      <c r="R13" s="16"/>
      <c r="S13" s="21">
        <v>2.8508014796547401</v>
      </c>
      <c r="T13" s="14">
        <v>2064</v>
      </c>
      <c r="U13" s="22">
        <v>720</v>
      </c>
      <c r="V13" s="23" t="s">
        <v>1529</v>
      </c>
      <c r="W13" s="14">
        <v>1</v>
      </c>
      <c r="X13" s="24">
        <f t="shared" si="9"/>
        <v>4.3478260869565216E-2</v>
      </c>
      <c r="Y13" s="25">
        <f t="shared" si="10"/>
        <v>0.17500000000000002</v>
      </c>
      <c r="Z13" s="14">
        <v>1</v>
      </c>
      <c r="AA13" s="14" t="s">
        <v>35</v>
      </c>
      <c r="AB13" s="27">
        <f t="shared" si="11"/>
        <v>-0.69</v>
      </c>
      <c r="AC13" s="28">
        <v>1.7505787037037042E-2</v>
      </c>
      <c r="AD13" s="25">
        <f t="shared" si="12"/>
        <v>-0.55563368055555562</v>
      </c>
      <c r="AE13" s="25">
        <v>-4.9000000000000004</v>
      </c>
      <c r="AF13" s="25">
        <v>-2.5313333333333299</v>
      </c>
      <c r="AG13" s="25">
        <v>0</v>
      </c>
    </row>
    <row r="14" spans="1:33" ht="15.75" customHeight="1">
      <c r="A14" s="14" t="s">
        <v>32</v>
      </c>
      <c r="B14" s="14" t="s">
        <v>68</v>
      </c>
      <c r="C14" s="15">
        <f t="shared" si="4"/>
        <v>15.061500000000002</v>
      </c>
      <c r="D14" s="16">
        <v>60</v>
      </c>
      <c r="E14" s="16">
        <v>0</v>
      </c>
      <c r="F14" s="17">
        <v>903.69000000000017</v>
      </c>
      <c r="G14" s="29">
        <v>-17.200000000000003</v>
      </c>
      <c r="H14" s="18">
        <f t="shared" si="1"/>
        <v>1.9033075501554735E-2</v>
      </c>
      <c r="I14" s="18">
        <f t="shared" si="2"/>
        <v>0.33596368315831043</v>
      </c>
      <c r="J14" s="17">
        <f t="shared" si="5"/>
        <v>303.60702083333359</v>
      </c>
      <c r="K14" s="17">
        <f t="shared" si="3"/>
        <v>5.0601170138888936</v>
      </c>
      <c r="L14" s="16">
        <v>155</v>
      </c>
      <c r="M14" s="19">
        <f t="shared" si="6"/>
        <v>0.38709677419354838</v>
      </c>
      <c r="N14" s="16">
        <v>464</v>
      </c>
      <c r="O14" s="20">
        <f t="shared" ref="O14:P14" si="22">D14/7</f>
        <v>8.5714285714285712</v>
      </c>
      <c r="P14" s="20">
        <f t="shared" si="22"/>
        <v>0</v>
      </c>
      <c r="Q14" s="16">
        <f t="shared" si="8"/>
        <v>54</v>
      </c>
      <c r="R14" s="16"/>
      <c r="S14" s="21">
        <v>2.5373608903020601</v>
      </c>
      <c r="T14" s="14">
        <v>2064</v>
      </c>
      <c r="U14" s="22">
        <v>720</v>
      </c>
      <c r="V14" s="23" t="s">
        <v>1529</v>
      </c>
      <c r="W14" s="14">
        <v>1</v>
      </c>
      <c r="X14" s="24">
        <f t="shared" si="9"/>
        <v>1.6666666666666666E-2</v>
      </c>
      <c r="Y14" s="25">
        <f t="shared" si="10"/>
        <v>3.4400000000000004</v>
      </c>
      <c r="Z14" s="14">
        <v>4</v>
      </c>
      <c r="AA14" s="14" t="s">
        <v>35</v>
      </c>
      <c r="AB14" s="27">
        <f t="shared" si="11"/>
        <v>-0.69</v>
      </c>
      <c r="AC14" s="28">
        <v>1.7505787037037042E-2</v>
      </c>
      <c r="AD14" s="25">
        <f t="shared" si="12"/>
        <v>-1.4494791666666669</v>
      </c>
      <c r="AE14" s="25">
        <v>-4.9000000000000004</v>
      </c>
      <c r="AF14" s="25">
        <v>-2.5313333333333299</v>
      </c>
      <c r="AG14" s="25">
        <v>0</v>
      </c>
    </row>
    <row r="15" spans="1:33" ht="15.75" customHeight="1">
      <c r="A15" s="14" t="s">
        <v>36</v>
      </c>
      <c r="B15" s="14" t="s">
        <v>1530</v>
      </c>
      <c r="C15" s="15">
        <f t="shared" si="4"/>
        <v>12.757153846153852</v>
      </c>
      <c r="D15" s="16">
        <v>130</v>
      </c>
      <c r="E15" s="16">
        <v>2</v>
      </c>
      <c r="F15" s="17">
        <v>1658.4300000000007</v>
      </c>
      <c r="G15" s="29">
        <v>-27.929999999999996</v>
      </c>
      <c r="H15" s="18">
        <f t="shared" si="1"/>
        <v>1.6841229355474746E-2</v>
      </c>
      <c r="I15" s="18">
        <f t="shared" si="2"/>
        <v>0.25736487429208527</v>
      </c>
      <c r="J15" s="17">
        <f t="shared" si="5"/>
        <v>426.82162847222315</v>
      </c>
      <c r="K15" s="17">
        <f t="shared" si="3"/>
        <v>3.2832432959401783</v>
      </c>
      <c r="L15" s="16">
        <v>227</v>
      </c>
      <c r="M15" s="19">
        <f t="shared" si="6"/>
        <v>0.57268722466960353</v>
      </c>
      <c r="N15" s="16">
        <v>342</v>
      </c>
      <c r="O15" s="20">
        <f t="shared" ref="O15:P15" si="23">D15/7</f>
        <v>18.571428571428573</v>
      </c>
      <c r="P15" s="20">
        <f t="shared" si="23"/>
        <v>0.2857142857142857</v>
      </c>
      <c r="Q15" s="16">
        <f t="shared" si="8"/>
        <v>18</v>
      </c>
      <c r="R15" s="16"/>
      <c r="S15" s="21">
        <v>3.6341463414634099</v>
      </c>
      <c r="T15" s="14">
        <v>2064</v>
      </c>
      <c r="U15" s="22">
        <v>720</v>
      </c>
      <c r="V15" s="23" t="s">
        <v>1531</v>
      </c>
      <c r="W15" s="14">
        <v>10</v>
      </c>
      <c r="X15" s="24">
        <f t="shared" si="9"/>
        <v>7.6923076923076927E-2</v>
      </c>
      <c r="Y15" s="25">
        <f t="shared" si="10"/>
        <v>2.1484615384615382</v>
      </c>
      <c r="Z15" s="14">
        <v>3</v>
      </c>
      <c r="AA15" s="14" t="s">
        <v>35</v>
      </c>
      <c r="AB15" s="27">
        <f t="shared" si="11"/>
        <v>-0.69</v>
      </c>
      <c r="AC15" s="28">
        <v>1.7505787037037042E-2</v>
      </c>
      <c r="AD15" s="25">
        <f t="shared" si="12"/>
        <v>-3.1405381944444453</v>
      </c>
      <c r="AE15" s="25">
        <v>-4.9000000000000004</v>
      </c>
      <c r="AF15" s="25">
        <v>-2.42133333333333</v>
      </c>
      <c r="AG15" s="25">
        <v>0</v>
      </c>
    </row>
    <row r="16" spans="1:33" ht="15.75" customHeight="1">
      <c r="A16" s="14" t="s">
        <v>38</v>
      </c>
      <c r="B16" s="14" t="s">
        <v>66</v>
      </c>
      <c r="C16" s="15">
        <f t="shared" si="4"/>
        <v>13.173687150837974</v>
      </c>
      <c r="D16" s="16">
        <v>179</v>
      </c>
      <c r="E16" s="16">
        <v>1</v>
      </c>
      <c r="F16" s="17">
        <v>2358.0899999999974</v>
      </c>
      <c r="G16" s="29">
        <v>-34.69</v>
      </c>
      <c r="H16" s="18">
        <f t="shared" si="1"/>
        <v>1.4711058526180102E-2</v>
      </c>
      <c r="I16" s="18">
        <f t="shared" si="2"/>
        <v>0.27770083152867092</v>
      </c>
      <c r="J16" s="17">
        <f t="shared" si="5"/>
        <v>654.84355381944283</v>
      </c>
      <c r="K16" s="17">
        <f t="shared" si="3"/>
        <v>3.6583438760862728</v>
      </c>
      <c r="L16" s="16">
        <v>292</v>
      </c>
      <c r="M16" s="19">
        <f t="shared" si="6"/>
        <v>0.61301369863013699</v>
      </c>
      <c r="N16" s="16">
        <v>158</v>
      </c>
      <c r="O16" s="20">
        <f t="shared" ref="O16:P16" si="24">D16/7</f>
        <v>25.571428571428573</v>
      </c>
      <c r="P16" s="20">
        <f t="shared" si="24"/>
        <v>0.14285714285714285</v>
      </c>
      <c r="Q16" s="16">
        <f t="shared" si="8"/>
        <v>6</v>
      </c>
      <c r="R16" s="16"/>
      <c r="S16" s="21">
        <v>5.2050209205020899</v>
      </c>
      <c r="T16" s="14">
        <v>2064</v>
      </c>
      <c r="U16" s="22">
        <v>720</v>
      </c>
      <c r="V16" s="23" t="s">
        <v>1532</v>
      </c>
      <c r="W16" s="14">
        <v>26</v>
      </c>
      <c r="X16" s="24">
        <f t="shared" si="9"/>
        <v>0.14525139664804471</v>
      </c>
      <c r="Y16" s="25">
        <f t="shared" si="10"/>
        <v>1.1563333333333332</v>
      </c>
      <c r="Z16" s="14">
        <v>4</v>
      </c>
      <c r="AA16" s="14" t="s">
        <v>35</v>
      </c>
      <c r="AB16" s="27">
        <f t="shared" si="11"/>
        <v>-0.69</v>
      </c>
      <c r="AC16" s="28">
        <v>1.7505787037037042E-2</v>
      </c>
      <c r="AD16" s="25">
        <f t="shared" si="12"/>
        <v>-4.3242795138888894</v>
      </c>
      <c r="AE16" s="25">
        <v>-4.9000000000000004</v>
      </c>
      <c r="AF16" s="25">
        <v>-2.42133333333333</v>
      </c>
      <c r="AG16" s="25">
        <v>0</v>
      </c>
    </row>
    <row r="17" spans="1:33" ht="15.75" customHeight="1">
      <c r="A17" s="14" t="s">
        <v>40</v>
      </c>
      <c r="B17" s="14" t="s">
        <v>1533</v>
      </c>
      <c r="C17" s="15">
        <f t="shared" si="4"/>
        <v>14.32125000000001</v>
      </c>
      <c r="D17" s="16">
        <v>80</v>
      </c>
      <c r="E17" s="16">
        <v>3</v>
      </c>
      <c r="F17" s="17">
        <v>1145.7000000000007</v>
      </c>
      <c r="G17" s="29">
        <v>-4.45</v>
      </c>
      <c r="H17" s="18">
        <f t="shared" si="1"/>
        <v>3.88408833027843E-3</v>
      </c>
      <c r="I17" s="18">
        <f t="shared" si="2"/>
        <v>0.33320737928292316</v>
      </c>
      <c r="J17" s="17">
        <f t="shared" si="5"/>
        <v>381.75569444444528</v>
      </c>
      <c r="K17" s="17">
        <f t="shared" si="3"/>
        <v>4.7719461805555659</v>
      </c>
      <c r="L17" s="16">
        <v>170</v>
      </c>
      <c r="M17" s="19">
        <f t="shared" si="6"/>
        <v>0.47058823529411764</v>
      </c>
      <c r="N17" s="16">
        <v>72</v>
      </c>
      <c r="O17" s="20">
        <f t="shared" ref="O17:P17" si="25">D17/7</f>
        <v>11.428571428571429</v>
      </c>
      <c r="P17" s="20">
        <f t="shared" si="25"/>
        <v>0.42857142857142855</v>
      </c>
      <c r="Q17" s="16">
        <f t="shared" si="8"/>
        <v>6</v>
      </c>
      <c r="R17" s="16"/>
      <c r="S17" s="21">
        <v>3.4619047619047598</v>
      </c>
      <c r="T17" s="14">
        <v>2064</v>
      </c>
      <c r="U17" s="22">
        <v>720</v>
      </c>
      <c r="V17" s="23" t="s">
        <v>1534</v>
      </c>
      <c r="W17" s="14">
        <v>0</v>
      </c>
      <c r="X17" s="24">
        <f t="shared" si="9"/>
        <v>0</v>
      </c>
      <c r="Y17" s="25">
        <f t="shared" si="10"/>
        <v>4.45</v>
      </c>
      <c r="Z17" s="14">
        <v>1</v>
      </c>
      <c r="AA17" s="14" t="s">
        <v>35</v>
      </c>
      <c r="AB17" s="27">
        <f t="shared" si="11"/>
        <v>-0.69</v>
      </c>
      <c r="AC17" s="28">
        <v>1.7505787037037042E-2</v>
      </c>
      <c r="AD17" s="25">
        <f t="shared" si="12"/>
        <v>-1.9326388888888892</v>
      </c>
      <c r="AE17" s="25">
        <v>-4.9000000000000004</v>
      </c>
      <c r="AF17" s="25">
        <v>-2.42133333333333</v>
      </c>
      <c r="AG17" s="25">
        <v>0</v>
      </c>
    </row>
    <row r="18" spans="1:33" ht="15.75" customHeight="1">
      <c r="A18" s="14" t="s">
        <v>42</v>
      </c>
      <c r="B18" s="14" t="s">
        <v>1535</v>
      </c>
      <c r="C18" s="15">
        <f t="shared" si="4"/>
        <v>13.464776119402993</v>
      </c>
      <c r="D18" s="16">
        <v>67</v>
      </c>
      <c r="E18" s="16">
        <v>0</v>
      </c>
      <c r="F18" s="17">
        <v>902.14000000000055</v>
      </c>
      <c r="G18" s="29">
        <v>0</v>
      </c>
      <c r="H18" s="18">
        <f t="shared" si="1"/>
        <v>0</v>
      </c>
      <c r="I18" s="18">
        <f t="shared" si="2"/>
        <v>0.3044661378469225</v>
      </c>
      <c r="J18" s="17">
        <f t="shared" si="5"/>
        <v>274.67108159722284</v>
      </c>
      <c r="K18" s="17">
        <f t="shared" si="3"/>
        <v>4.0995683820481021</v>
      </c>
      <c r="L18" s="16">
        <v>151</v>
      </c>
      <c r="M18" s="19">
        <f t="shared" si="6"/>
        <v>0.44370860927152317</v>
      </c>
      <c r="N18" s="16">
        <v>123</v>
      </c>
      <c r="O18" s="20">
        <f t="shared" ref="O18:P18" si="26">D18/7</f>
        <v>9.5714285714285712</v>
      </c>
      <c r="P18" s="20">
        <f t="shared" si="26"/>
        <v>0</v>
      </c>
      <c r="Q18" s="16">
        <f t="shared" si="8"/>
        <v>12</v>
      </c>
      <c r="R18" s="16"/>
      <c r="S18" s="21">
        <v>4.0771208226221001</v>
      </c>
      <c r="T18" s="14">
        <v>1224</v>
      </c>
      <c r="U18" s="22">
        <v>0</v>
      </c>
      <c r="V18" s="23" t="s">
        <v>1536</v>
      </c>
      <c r="W18" s="14">
        <v>0</v>
      </c>
      <c r="X18" s="24">
        <f t="shared" si="9"/>
        <v>0</v>
      </c>
      <c r="Y18" s="25">
        <f t="shared" si="10"/>
        <v>0</v>
      </c>
      <c r="Z18" s="14">
        <v>0</v>
      </c>
      <c r="AA18" s="14" t="s">
        <v>35</v>
      </c>
      <c r="AB18" s="27">
        <f t="shared" si="11"/>
        <v>-0.69</v>
      </c>
      <c r="AC18" s="28">
        <v>1.7505787037037042E-2</v>
      </c>
      <c r="AD18" s="25">
        <f t="shared" si="12"/>
        <v>-1.6185850694444448</v>
      </c>
      <c r="AE18" s="25">
        <v>-4.9000000000000004</v>
      </c>
      <c r="AF18" s="25">
        <v>-2.42133333333333</v>
      </c>
      <c r="AG18" s="25">
        <v>0</v>
      </c>
    </row>
    <row r="19" spans="1:33" ht="15.75" customHeight="1">
      <c r="A19" s="14" t="s">
        <v>44</v>
      </c>
      <c r="B19" s="14" t="s">
        <v>1537</v>
      </c>
      <c r="C19" s="15">
        <f t="shared" si="4"/>
        <v>14.02222222222222</v>
      </c>
      <c r="D19" s="16">
        <v>36</v>
      </c>
      <c r="E19" s="16">
        <v>9</v>
      </c>
      <c r="F19" s="17">
        <v>504.79999999999995</v>
      </c>
      <c r="G19" s="29">
        <v>-0.05</v>
      </c>
      <c r="H19" s="18">
        <f t="shared" si="1"/>
        <v>9.9049128367670382E-5</v>
      </c>
      <c r="I19" s="18">
        <f t="shared" si="2"/>
        <v>0.31785323395404108</v>
      </c>
      <c r="J19" s="17">
        <f t="shared" si="5"/>
        <v>160.45231249999992</v>
      </c>
      <c r="K19" s="17">
        <f t="shared" si="3"/>
        <v>4.4570086805555533</v>
      </c>
      <c r="L19" s="16">
        <v>156</v>
      </c>
      <c r="M19" s="19">
        <f t="shared" si="6"/>
        <v>0.23076923076923078</v>
      </c>
      <c r="N19" s="16">
        <v>720</v>
      </c>
      <c r="O19" s="20">
        <f t="shared" ref="O19:P19" si="27">D19/7</f>
        <v>5.1428571428571432</v>
      </c>
      <c r="P19" s="20">
        <f t="shared" si="27"/>
        <v>1.2857142857142858</v>
      </c>
      <c r="Q19" s="16">
        <f t="shared" si="8"/>
        <v>112</v>
      </c>
      <c r="R19" s="16"/>
      <c r="S19" s="21">
        <v>2.4545454545454501</v>
      </c>
      <c r="T19" s="14">
        <v>1224</v>
      </c>
      <c r="U19" s="22">
        <v>312</v>
      </c>
      <c r="V19" s="23" t="s">
        <v>1538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14" t="s">
        <v>35</v>
      </c>
      <c r="AB19" s="27">
        <f t="shared" si="11"/>
        <v>-0.69</v>
      </c>
      <c r="AC19" s="28">
        <v>1.7505787037037042E-2</v>
      </c>
      <c r="AD19" s="25">
        <f t="shared" si="12"/>
        <v>-0.86968750000000017</v>
      </c>
      <c r="AE19" s="25">
        <v>-4.9000000000000004</v>
      </c>
      <c r="AF19" s="25">
        <v>-2.5363333333333333</v>
      </c>
      <c r="AG19" s="25">
        <v>0</v>
      </c>
    </row>
    <row r="20" spans="1:33" ht="15.75" customHeight="1">
      <c r="A20" s="14" t="s">
        <v>46</v>
      </c>
      <c r="B20" s="14" t="s">
        <v>68</v>
      </c>
      <c r="C20" s="15">
        <f t="shared" si="4"/>
        <v>11.388260869565221</v>
      </c>
      <c r="D20" s="16">
        <v>92</v>
      </c>
      <c r="E20" s="16">
        <v>1</v>
      </c>
      <c r="F20" s="17">
        <v>1047.7200000000003</v>
      </c>
      <c r="G20" s="29">
        <v>-0.17</v>
      </c>
      <c r="H20" s="18">
        <f t="shared" si="1"/>
        <v>1.6225709158935591E-4</v>
      </c>
      <c r="I20" s="18">
        <f t="shared" si="2"/>
        <v>0.1947340879348598</v>
      </c>
      <c r="J20" s="17">
        <f t="shared" si="5"/>
        <v>204.02679861111136</v>
      </c>
      <c r="K20" s="17">
        <f t="shared" si="3"/>
        <v>2.2176825935990365</v>
      </c>
      <c r="L20" s="16">
        <v>207</v>
      </c>
      <c r="M20" s="19">
        <f t="shared" si="6"/>
        <v>0.44444444444444442</v>
      </c>
      <c r="N20" s="16">
        <v>595</v>
      </c>
      <c r="O20" s="20">
        <f t="shared" ref="O20:P20" si="28">D20/7</f>
        <v>13.142857142857142</v>
      </c>
      <c r="P20" s="20">
        <f t="shared" si="28"/>
        <v>0.14285714285714285</v>
      </c>
      <c r="Q20" s="16">
        <f t="shared" si="8"/>
        <v>44</v>
      </c>
      <c r="R20" s="16"/>
      <c r="S20" s="21">
        <v>2.87590072057646</v>
      </c>
      <c r="T20" s="14">
        <v>312</v>
      </c>
      <c r="U20" s="22">
        <v>312</v>
      </c>
      <c r="V20" s="23" t="s">
        <v>1539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14" t="s">
        <v>35</v>
      </c>
      <c r="AB20" s="27">
        <f t="shared" si="11"/>
        <v>-0.69</v>
      </c>
      <c r="AC20" s="28">
        <v>1.7505787037037042E-2</v>
      </c>
      <c r="AD20" s="25">
        <f t="shared" si="12"/>
        <v>-2.2225347222222225</v>
      </c>
      <c r="AE20" s="25">
        <v>-4.9000000000000004</v>
      </c>
      <c r="AF20" s="25">
        <v>-2.5363333333333333</v>
      </c>
      <c r="AG20" s="25">
        <v>0</v>
      </c>
    </row>
    <row r="21" spans="1:33" ht="15.75" customHeight="1">
      <c r="A21" s="14" t="s">
        <v>47</v>
      </c>
      <c r="B21" s="14" t="s">
        <v>1540</v>
      </c>
      <c r="C21" s="15">
        <f t="shared" si="4"/>
        <v>11.542330097087371</v>
      </c>
      <c r="D21" s="16">
        <v>103</v>
      </c>
      <c r="E21" s="16">
        <v>2</v>
      </c>
      <c r="F21" s="17">
        <v>1188.8599999999992</v>
      </c>
      <c r="G21" s="29">
        <v>-0.24</v>
      </c>
      <c r="H21" s="18">
        <f t="shared" si="1"/>
        <v>2.0187406422959823E-4</v>
      </c>
      <c r="I21" s="18">
        <f t="shared" si="2"/>
        <v>0.20343891971907674</v>
      </c>
      <c r="J21" s="17">
        <f t="shared" si="5"/>
        <v>241.86039409722142</v>
      </c>
      <c r="K21" s="17">
        <f t="shared" si="3"/>
        <v>2.348159165992441</v>
      </c>
      <c r="L21" s="16">
        <v>102</v>
      </c>
      <c r="M21" s="19">
        <f t="shared" si="6"/>
        <v>1.0098039215686274</v>
      </c>
      <c r="N21" s="16">
        <v>444</v>
      </c>
      <c r="O21" s="20">
        <f t="shared" ref="O21:P21" si="29">D21/7</f>
        <v>14.714285714285714</v>
      </c>
      <c r="P21" s="20">
        <f t="shared" si="29"/>
        <v>0.2857142857142857</v>
      </c>
      <c r="Q21" s="16">
        <f t="shared" si="8"/>
        <v>29</v>
      </c>
      <c r="R21" s="16"/>
      <c r="S21" s="21">
        <v>2.8126377663482698</v>
      </c>
      <c r="T21" s="14">
        <v>1224</v>
      </c>
      <c r="U21" s="22">
        <v>312</v>
      </c>
      <c r="V21" s="23" t="s">
        <v>1541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14" t="s">
        <v>35</v>
      </c>
      <c r="AB21" s="27">
        <f t="shared" si="11"/>
        <v>-0.69</v>
      </c>
      <c r="AC21" s="28">
        <v>1.7505787037037042E-2</v>
      </c>
      <c r="AD21" s="25">
        <f t="shared" si="12"/>
        <v>-2.4882725694444447</v>
      </c>
      <c r="AE21" s="25">
        <v>-4.9000000000000004</v>
      </c>
      <c r="AF21" s="25">
        <v>-2.5363333333333333</v>
      </c>
      <c r="AG21" s="25">
        <v>0</v>
      </c>
    </row>
    <row r="22" spans="1:33" ht="15.75" customHeight="1">
      <c r="A22" s="14" t="s">
        <v>48</v>
      </c>
      <c r="B22" s="14" t="s">
        <v>1542</v>
      </c>
      <c r="C22" s="15">
        <f t="shared" si="4"/>
        <v>11.328111111111117</v>
      </c>
      <c r="D22" s="16">
        <v>90</v>
      </c>
      <c r="E22" s="16">
        <v>2</v>
      </c>
      <c r="F22" s="29">
        <v>1019.5300000000005</v>
      </c>
      <c r="G22" s="29">
        <v>-7.0000000000000007E-2</v>
      </c>
      <c r="H22" s="18">
        <f t="shared" si="1"/>
        <v>6.8659088011142354E-5</v>
      </c>
      <c r="I22" s="18">
        <f t="shared" si="2"/>
        <v>0.19134923077300353</v>
      </c>
      <c r="J22" s="17">
        <f t="shared" si="5"/>
        <v>195.08628125000038</v>
      </c>
      <c r="K22" s="17">
        <f t="shared" si="3"/>
        <v>2.1676253472222267</v>
      </c>
      <c r="L22" s="16">
        <v>175</v>
      </c>
      <c r="M22" s="19">
        <f t="shared" si="6"/>
        <v>0.51428571428571423</v>
      </c>
      <c r="N22" s="16">
        <v>403</v>
      </c>
      <c r="O22" s="20">
        <f t="shared" ref="O22:P22" si="30">D22/7</f>
        <v>12.857142857142858</v>
      </c>
      <c r="P22" s="20">
        <f t="shared" si="30"/>
        <v>0.2857142857142857</v>
      </c>
      <c r="Q22" s="16">
        <f t="shared" si="8"/>
        <v>30</v>
      </c>
      <c r="R22" s="16"/>
      <c r="S22" s="21">
        <v>3.5563442768411702</v>
      </c>
      <c r="T22" s="14">
        <v>3024</v>
      </c>
      <c r="U22" s="22">
        <v>312</v>
      </c>
      <c r="V22" s="23" t="s">
        <v>1541</v>
      </c>
      <c r="W22" s="14">
        <v>1</v>
      </c>
      <c r="X22" s="24">
        <f t="shared" si="9"/>
        <v>1.1111111111111112E-2</v>
      </c>
      <c r="Y22" s="25">
        <f t="shared" si="10"/>
        <v>7.0000000000000007E-2</v>
      </c>
      <c r="Z22" s="14">
        <v>0</v>
      </c>
      <c r="AA22" s="14" t="s">
        <v>35</v>
      </c>
      <c r="AB22" s="27">
        <f t="shared" si="11"/>
        <v>-0.69</v>
      </c>
      <c r="AC22" s="28">
        <v>1.7505787037037042E-2</v>
      </c>
      <c r="AD22" s="25">
        <f t="shared" si="12"/>
        <v>-2.1742187500000005</v>
      </c>
      <c r="AE22" s="25">
        <v>-4.9000000000000004</v>
      </c>
      <c r="AF22" s="25">
        <v>-2.5363333333333333</v>
      </c>
      <c r="AG22" s="25">
        <v>0</v>
      </c>
    </row>
    <row r="23" spans="1:33" ht="15.75" customHeight="1">
      <c r="A23" s="14" t="s">
        <v>49</v>
      </c>
      <c r="B23" s="14" t="s">
        <v>68</v>
      </c>
      <c r="C23" s="15">
        <f t="shared" si="4"/>
        <v>11.394883720930238</v>
      </c>
      <c r="D23" s="16">
        <v>86</v>
      </c>
      <c r="E23" s="16">
        <v>2</v>
      </c>
      <c r="F23" s="17">
        <v>979.96000000000049</v>
      </c>
      <c r="G23" s="29">
        <v>-0.14000000000000001</v>
      </c>
      <c r="H23" s="18">
        <f t="shared" si="1"/>
        <v>1.4286297399893869E-4</v>
      </c>
      <c r="I23" s="18">
        <f t="shared" si="2"/>
        <v>0.19513423662983995</v>
      </c>
      <c r="J23" s="17">
        <f t="shared" si="5"/>
        <v>191.22374652777805</v>
      </c>
      <c r="K23" s="17">
        <f t="shared" si="3"/>
        <v>2.2235319363695121</v>
      </c>
      <c r="L23" s="16">
        <v>192</v>
      </c>
      <c r="M23" s="19">
        <f t="shared" si="6"/>
        <v>0.44791666666666669</v>
      </c>
      <c r="N23" s="16">
        <v>304</v>
      </c>
      <c r="O23" s="20">
        <f t="shared" ref="O23:P23" si="31">D23/7</f>
        <v>12.285714285714286</v>
      </c>
      <c r="P23" s="20">
        <f t="shared" si="31"/>
        <v>0.2857142857142857</v>
      </c>
      <c r="Q23" s="16">
        <f t="shared" si="8"/>
        <v>24</v>
      </c>
      <c r="R23" s="16"/>
      <c r="S23" s="21">
        <v>3.9473189087488199</v>
      </c>
      <c r="T23" s="14">
        <v>3024</v>
      </c>
      <c r="U23" s="22">
        <v>312</v>
      </c>
      <c r="V23" s="23" t="s">
        <v>1541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35</v>
      </c>
      <c r="AB23" s="27">
        <f t="shared" si="11"/>
        <v>-0.69</v>
      </c>
      <c r="AC23" s="28">
        <v>1.7505787037037042E-2</v>
      </c>
      <c r="AD23" s="25">
        <f t="shared" si="12"/>
        <v>-2.0775868055555562</v>
      </c>
      <c r="AE23" s="25">
        <v>-4.9000000000000004</v>
      </c>
      <c r="AF23" s="25">
        <v>-2.5363333333333333</v>
      </c>
      <c r="AG23" s="25">
        <v>0</v>
      </c>
    </row>
    <row r="24" spans="1:33" ht="15.75" customHeight="1">
      <c r="A24" s="14" t="s">
        <v>50</v>
      </c>
      <c r="B24" s="14" t="s">
        <v>1543</v>
      </c>
      <c r="C24" s="15">
        <f t="shared" si="4"/>
        <v>11.016046511627922</v>
      </c>
      <c r="D24" s="16">
        <v>86</v>
      </c>
      <c r="E24" s="16">
        <v>7</v>
      </c>
      <c r="F24" s="17">
        <v>947.38000000000125</v>
      </c>
      <c r="G24" s="17">
        <v>-0.08</v>
      </c>
      <c r="H24" s="18">
        <f t="shared" si="1"/>
        <v>8.4443412358293295E-5</v>
      </c>
      <c r="I24" s="18">
        <f t="shared" si="2"/>
        <v>0.17267701083807815</v>
      </c>
      <c r="J24" s="17">
        <f t="shared" si="5"/>
        <v>163.59074652777869</v>
      </c>
      <c r="K24" s="17">
        <f t="shared" si="3"/>
        <v>1.9022179828811476</v>
      </c>
      <c r="L24" s="16">
        <v>183</v>
      </c>
      <c r="M24" s="19">
        <f t="shared" si="6"/>
        <v>0.46994535519125685</v>
      </c>
      <c r="N24" s="16">
        <v>225</v>
      </c>
      <c r="O24" s="20">
        <f t="shared" ref="O24:P24" si="32">D24/7</f>
        <v>12.285714285714286</v>
      </c>
      <c r="P24" s="20">
        <f t="shared" si="32"/>
        <v>1</v>
      </c>
      <c r="Q24" s="16">
        <f t="shared" si="8"/>
        <v>16</v>
      </c>
      <c r="R24" s="16"/>
      <c r="S24" s="21">
        <v>3.0901287553648</v>
      </c>
      <c r="T24" s="14">
        <v>3024</v>
      </c>
      <c r="U24" s="22">
        <v>312</v>
      </c>
      <c r="V24" s="23" t="s">
        <v>1544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14" t="s">
        <v>35</v>
      </c>
      <c r="AB24" s="27">
        <f t="shared" si="11"/>
        <v>-0.69</v>
      </c>
      <c r="AC24" s="28">
        <v>1.7505787037037042E-2</v>
      </c>
      <c r="AD24" s="25">
        <f t="shared" si="12"/>
        <v>-2.0775868055555562</v>
      </c>
      <c r="AE24" s="25">
        <v>-4.9000000000000004</v>
      </c>
      <c r="AF24" s="25">
        <v>-2.5363333333333333</v>
      </c>
      <c r="AG24" s="25">
        <v>0</v>
      </c>
    </row>
    <row r="25" spans="1:33" ht="15.75" customHeight="1">
      <c r="A25" s="14" t="s">
        <v>51</v>
      </c>
      <c r="B25" s="14" t="s">
        <v>1545</v>
      </c>
      <c r="C25" s="15">
        <f t="shared" si="4"/>
        <v>11.8324</v>
      </c>
      <c r="D25" s="16">
        <v>100</v>
      </c>
      <c r="E25" s="16">
        <v>4</v>
      </c>
      <c r="F25" s="17">
        <v>1183.24</v>
      </c>
      <c r="G25" s="17">
        <v>-0.37000000000000011</v>
      </c>
      <c r="H25" s="18">
        <f t="shared" si="1"/>
        <v>3.1270072005679328E-4</v>
      </c>
      <c r="I25" s="18">
        <f t="shared" si="2"/>
        <v>0.21886362985437346</v>
      </c>
      <c r="J25" s="17">
        <f t="shared" si="5"/>
        <v>258.96820138888887</v>
      </c>
      <c r="K25" s="17">
        <f t="shared" si="3"/>
        <v>2.5896820138888885</v>
      </c>
      <c r="L25" s="16">
        <v>210</v>
      </c>
      <c r="M25" s="19">
        <f t="shared" si="6"/>
        <v>0.47619047619047616</v>
      </c>
      <c r="N25" s="16">
        <v>101</v>
      </c>
      <c r="O25" s="20">
        <f t="shared" ref="O25:P25" si="33">D25/7</f>
        <v>14.285714285714286</v>
      </c>
      <c r="P25" s="20">
        <f t="shared" si="33"/>
        <v>0.5714285714285714</v>
      </c>
      <c r="Q25" s="16">
        <f t="shared" si="8"/>
        <v>6</v>
      </c>
      <c r="R25" s="16"/>
      <c r="S25" s="21">
        <v>5.5411042944785276</v>
      </c>
      <c r="T25" s="14">
        <v>4032</v>
      </c>
      <c r="U25" s="22">
        <v>312</v>
      </c>
      <c r="V25" s="23" t="s">
        <v>1546</v>
      </c>
      <c r="W25" s="30">
        <v>0</v>
      </c>
      <c r="X25" s="24">
        <f t="shared" si="9"/>
        <v>0</v>
      </c>
      <c r="Y25" s="25">
        <f t="shared" si="10"/>
        <v>0</v>
      </c>
      <c r="Z25" s="30">
        <v>0</v>
      </c>
      <c r="AA25" s="14" t="s">
        <v>35</v>
      </c>
      <c r="AB25" s="27">
        <f t="shared" si="11"/>
        <v>-0.69</v>
      </c>
      <c r="AC25" s="28">
        <v>1.7505787037037042E-2</v>
      </c>
      <c r="AD25" s="25">
        <f t="shared" si="12"/>
        <v>-2.4157986111111116</v>
      </c>
      <c r="AE25" s="25">
        <v>-4.9000000000000004</v>
      </c>
      <c r="AF25" s="25">
        <v>-2.54</v>
      </c>
      <c r="AG25" s="25">
        <v>0</v>
      </c>
    </row>
    <row r="26" spans="1:33" ht="15.75" customHeight="1">
      <c r="A26" s="14" t="s">
        <v>52</v>
      </c>
      <c r="B26" s="14" t="s">
        <v>1547</v>
      </c>
      <c r="C26" s="15">
        <f t="shared" si="4"/>
        <v>12.154237288135594</v>
      </c>
      <c r="D26" s="16">
        <v>59</v>
      </c>
      <c r="E26" s="16">
        <v>6</v>
      </c>
      <c r="F26" s="17">
        <v>717.1</v>
      </c>
      <c r="G26" s="17">
        <v>-0.04</v>
      </c>
      <c r="H26" s="18">
        <f t="shared" si="1"/>
        <v>5.5780225909914932E-5</v>
      </c>
      <c r="I26" s="18">
        <f t="shared" si="2"/>
        <v>0.28960537184880486</v>
      </c>
      <c r="J26" s="17">
        <f t="shared" si="5"/>
        <v>207.67601215277796</v>
      </c>
      <c r="K26" s="17">
        <f t="shared" si="3"/>
        <v>3.519932409369118</v>
      </c>
      <c r="L26" s="16">
        <v>171</v>
      </c>
      <c r="M26" s="19">
        <f t="shared" si="6"/>
        <v>0.34502923976608185</v>
      </c>
      <c r="N26" s="16">
        <v>58</v>
      </c>
      <c r="O26" s="20">
        <f t="shared" ref="O26:P26" si="34">D26/7</f>
        <v>8.4285714285714288</v>
      </c>
      <c r="P26" s="20">
        <f t="shared" si="34"/>
        <v>0.8571428571428571</v>
      </c>
      <c r="Q26" s="16">
        <f t="shared" si="8"/>
        <v>6</v>
      </c>
      <c r="R26" s="16"/>
      <c r="S26" s="21">
        <v>4.3118766999093383</v>
      </c>
      <c r="T26" s="14">
        <v>4032</v>
      </c>
      <c r="U26" s="22">
        <v>312</v>
      </c>
      <c r="V26" s="23" t="s">
        <v>1548</v>
      </c>
      <c r="W26" s="30">
        <v>0</v>
      </c>
      <c r="X26" s="24">
        <f t="shared" si="9"/>
        <v>0</v>
      </c>
      <c r="Y26" s="25">
        <f t="shared" si="10"/>
        <v>0</v>
      </c>
      <c r="Z26" s="30">
        <v>0</v>
      </c>
      <c r="AA26" s="14" t="s">
        <v>35</v>
      </c>
      <c r="AB26" s="27">
        <f t="shared" si="11"/>
        <v>-0.69</v>
      </c>
      <c r="AC26" s="28">
        <v>1.7505787037037042E-2</v>
      </c>
      <c r="AD26" s="25">
        <f t="shared" si="12"/>
        <v>-1.4253211805555559</v>
      </c>
      <c r="AE26" s="25">
        <v>-4.25</v>
      </c>
      <c r="AF26" s="25">
        <v>-2.5363333333333302</v>
      </c>
      <c r="AG26" s="25">
        <v>0</v>
      </c>
    </row>
    <row r="27" spans="1:33" ht="15.75" customHeight="1">
      <c r="A27" s="14" t="s">
        <v>53</v>
      </c>
      <c r="B27" s="14" t="s">
        <v>1549</v>
      </c>
      <c r="C27" s="15">
        <f t="shared" si="4"/>
        <v>12.209019607843137</v>
      </c>
      <c r="D27" s="16">
        <v>51</v>
      </c>
      <c r="E27" s="16">
        <v>3</v>
      </c>
      <c r="F27" s="17">
        <v>622.66</v>
      </c>
      <c r="G27" s="17">
        <v>-0.15</v>
      </c>
      <c r="H27" s="18">
        <f t="shared" si="1"/>
        <v>2.409019368515723E-4</v>
      </c>
      <c r="I27" s="18">
        <f t="shared" si="2"/>
        <v>0.27767729211501185</v>
      </c>
      <c r="J27" s="17">
        <f t="shared" si="5"/>
        <v>172.89854270833328</v>
      </c>
      <c r="K27" s="17">
        <f t="shared" si="3"/>
        <v>3.3901675040849661</v>
      </c>
      <c r="L27" s="16">
        <v>156</v>
      </c>
      <c r="M27" s="19">
        <f t="shared" si="6"/>
        <v>0.32692307692307693</v>
      </c>
      <c r="N27" s="16">
        <v>322</v>
      </c>
      <c r="O27" s="20">
        <f t="shared" ref="O27:P27" si="35">D27/7</f>
        <v>7.2857142857142856</v>
      </c>
      <c r="P27" s="20">
        <f t="shared" si="35"/>
        <v>0.42857142857142855</v>
      </c>
      <c r="Q27" s="16">
        <f t="shared" si="8"/>
        <v>41</v>
      </c>
      <c r="R27" s="16"/>
      <c r="S27" s="21">
        <v>3.6930305403288961</v>
      </c>
      <c r="T27" s="14">
        <v>3720</v>
      </c>
      <c r="U27" s="22">
        <v>912</v>
      </c>
      <c r="V27" s="23" t="s">
        <v>1550</v>
      </c>
      <c r="W27" s="30">
        <v>0</v>
      </c>
      <c r="X27" s="24">
        <f t="shared" si="9"/>
        <v>0</v>
      </c>
      <c r="Y27" s="25">
        <f t="shared" si="10"/>
        <v>0</v>
      </c>
      <c r="Z27" s="30">
        <v>0</v>
      </c>
      <c r="AA27" s="14" t="s">
        <v>35</v>
      </c>
      <c r="AB27" s="27">
        <f t="shared" si="11"/>
        <v>-0.69</v>
      </c>
      <c r="AC27" s="28">
        <v>1.7505787037037042E-2</v>
      </c>
      <c r="AD27" s="25">
        <f t="shared" si="12"/>
        <v>-1.232057291666667</v>
      </c>
      <c r="AE27" s="25">
        <v>-4.25</v>
      </c>
      <c r="AF27" s="25">
        <v>-2.7103999999999999</v>
      </c>
      <c r="AG27" s="25">
        <v>0</v>
      </c>
    </row>
    <row r="28" spans="1:33" ht="15.75" customHeight="1">
      <c r="A28" s="14" t="s">
        <v>54</v>
      </c>
      <c r="B28" s="14" t="s">
        <v>1551</v>
      </c>
      <c r="C28" s="15">
        <f t="shared" si="4"/>
        <v>11.423272727272726</v>
      </c>
      <c r="D28" s="16">
        <v>55</v>
      </c>
      <c r="E28" s="16">
        <v>1</v>
      </c>
      <c r="F28" s="17">
        <v>628.28</v>
      </c>
      <c r="G28" s="17">
        <v>0</v>
      </c>
      <c r="H28" s="18">
        <f t="shared" si="1"/>
        <v>0</v>
      </c>
      <c r="I28" s="18">
        <f t="shared" si="2"/>
        <v>0.23856769396429761</v>
      </c>
      <c r="J28" s="17">
        <f t="shared" si="5"/>
        <v>149.88731076388891</v>
      </c>
      <c r="K28" s="17">
        <f t="shared" si="3"/>
        <v>2.7252238320707072</v>
      </c>
      <c r="L28" s="16">
        <v>166</v>
      </c>
      <c r="M28" s="19">
        <f t="shared" si="6"/>
        <v>0.33132530120481929</v>
      </c>
      <c r="N28" s="16">
        <v>261</v>
      </c>
      <c r="O28" s="20">
        <f t="shared" ref="O28:P28" si="36">D28/7</f>
        <v>7.8571428571428568</v>
      </c>
      <c r="P28" s="20">
        <f t="shared" si="36"/>
        <v>0.14285714285714285</v>
      </c>
      <c r="Q28" s="16">
        <f t="shared" si="8"/>
        <v>32</v>
      </c>
      <c r="R28" s="16"/>
      <c r="S28" s="21">
        <v>2.8</v>
      </c>
      <c r="T28" s="14">
        <v>3720</v>
      </c>
      <c r="U28" s="22">
        <v>44384</v>
      </c>
      <c r="V28" s="23" t="s">
        <v>1550</v>
      </c>
      <c r="W28" s="30">
        <v>0</v>
      </c>
      <c r="X28" s="24">
        <f t="shared" si="9"/>
        <v>0</v>
      </c>
      <c r="Y28" s="25">
        <f t="shared" si="10"/>
        <v>0</v>
      </c>
      <c r="Z28" s="30">
        <v>0</v>
      </c>
      <c r="AA28" s="14" t="s">
        <v>35</v>
      </c>
      <c r="AB28" s="27">
        <f t="shared" si="11"/>
        <v>-0.69</v>
      </c>
      <c r="AC28" s="28">
        <v>1.7505787037037042E-2</v>
      </c>
      <c r="AD28" s="25">
        <f t="shared" si="12"/>
        <v>-1.3286892361111113</v>
      </c>
      <c r="AE28" s="25">
        <v>-4.25</v>
      </c>
      <c r="AF28" s="25">
        <v>-2.7103999999999999</v>
      </c>
      <c r="AG28" s="25">
        <v>0</v>
      </c>
    </row>
    <row r="29" spans="1:33" ht="15.75" customHeight="1">
      <c r="A29" s="14" t="s">
        <v>55</v>
      </c>
      <c r="B29" s="14" t="s">
        <v>1552</v>
      </c>
      <c r="C29" s="15">
        <f t="shared" si="4"/>
        <v>10.95</v>
      </c>
      <c r="D29" s="16">
        <v>65</v>
      </c>
      <c r="E29" s="16">
        <v>2</v>
      </c>
      <c r="F29" s="17">
        <v>711.75</v>
      </c>
      <c r="G29" s="17">
        <v>-6.3100000000000014</v>
      </c>
      <c r="H29" s="18">
        <f t="shared" si="1"/>
        <v>8.8654724271162652E-3</v>
      </c>
      <c r="I29" s="18">
        <f t="shared" si="2"/>
        <v>0.20327535075908368</v>
      </c>
      <c r="J29" s="17">
        <f t="shared" si="5"/>
        <v>144.6812309027778</v>
      </c>
      <c r="K29" s="17">
        <f t="shared" si="3"/>
        <v>2.2258650908119662</v>
      </c>
      <c r="L29" s="16">
        <v>158</v>
      </c>
      <c r="M29" s="19">
        <f t="shared" si="6"/>
        <v>0.41139240506329117</v>
      </c>
      <c r="N29" s="16">
        <v>173</v>
      </c>
      <c r="O29" s="20">
        <f t="shared" ref="O29:P29" si="37">D29/7</f>
        <v>9.2857142857142865</v>
      </c>
      <c r="P29" s="20">
        <f t="shared" si="37"/>
        <v>0.2857142857142857</v>
      </c>
      <c r="Q29" s="16">
        <f t="shared" si="8"/>
        <v>18</v>
      </c>
      <c r="R29" s="16"/>
      <c r="S29" s="21">
        <v>3.7240110395584178</v>
      </c>
      <c r="T29" s="14">
        <v>3720</v>
      </c>
      <c r="U29" s="22">
        <v>44386</v>
      </c>
      <c r="V29" s="23" t="s">
        <v>1553</v>
      </c>
      <c r="W29" s="30">
        <v>1</v>
      </c>
      <c r="X29" s="24">
        <f t="shared" si="9"/>
        <v>1.5384615384615385E-2</v>
      </c>
      <c r="Y29" s="25">
        <f t="shared" si="10"/>
        <v>2.1033333333333339</v>
      </c>
      <c r="Z29" s="30">
        <v>2</v>
      </c>
      <c r="AA29" s="14" t="s">
        <v>35</v>
      </c>
      <c r="AB29" s="27">
        <f t="shared" si="11"/>
        <v>-0.69</v>
      </c>
      <c r="AC29" s="28">
        <v>1.7505787037037042E-2</v>
      </c>
      <c r="AD29" s="25">
        <f t="shared" si="12"/>
        <v>-1.5702690972222226</v>
      </c>
      <c r="AE29" s="25">
        <v>-4.25</v>
      </c>
      <c r="AF29" s="25">
        <v>-2.7103999999999999</v>
      </c>
      <c r="AG29" s="25">
        <v>0</v>
      </c>
    </row>
    <row r="30" spans="1:33" ht="15.75" customHeight="1">
      <c r="A30" s="14" t="s">
        <v>57</v>
      </c>
      <c r="B30" s="14" t="s">
        <v>66</v>
      </c>
      <c r="C30" s="15">
        <f t="shared" si="4"/>
        <v>10.950000000000005</v>
      </c>
      <c r="D30" s="16">
        <v>63</v>
      </c>
      <c r="E30" s="16">
        <v>3</v>
      </c>
      <c r="F30" s="17">
        <v>689.85000000000025</v>
      </c>
      <c r="G30" s="17">
        <v>-24.24</v>
      </c>
      <c r="H30" s="18">
        <f t="shared" si="1"/>
        <v>3.5138073494237865E-2</v>
      </c>
      <c r="I30" s="18">
        <f t="shared" si="2"/>
        <v>0.1767124139841996</v>
      </c>
      <c r="J30" s="17">
        <f t="shared" si="5"/>
        <v>121.90505878700013</v>
      </c>
      <c r="K30" s="17">
        <f t="shared" si="3"/>
        <v>1.9350009331269862</v>
      </c>
      <c r="L30" s="16">
        <v>144</v>
      </c>
      <c r="M30" s="19">
        <f t="shared" si="6"/>
        <v>0.4375</v>
      </c>
      <c r="N30" s="16">
        <v>160</v>
      </c>
      <c r="O30" s="20">
        <f t="shared" ref="O30:P30" si="38">D30/7</f>
        <v>9</v>
      </c>
      <c r="P30" s="20">
        <f t="shared" si="38"/>
        <v>0.42857142857142855</v>
      </c>
      <c r="Q30" s="16">
        <f t="shared" si="8"/>
        <v>16</v>
      </c>
      <c r="R30" s="16"/>
      <c r="S30" s="21">
        <v>4.325274725274725</v>
      </c>
      <c r="T30" s="14">
        <v>2808</v>
      </c>
      <c r="U30" s="22" t="s">
        <v>34</v>
      </c>
      <c r="V30" s="23" t="s">
        <v>34</v>
      </c>
      <c r="W30" s="30">
        <v>7</v>
      </c>
      <c r="X30" s="24">
        <f t="shared" si="9"/>
        <v>0.1111111111111111</v>
      </c>
      <c r="Y30" s="25">
        <f t="shared" si="10"/>
        <v>1.3466666666666667</v>
      </c>
      <c r="Z30" s="30">
        <v>11</v>
      </c>
      <c r="AA30" s="14" t="s">
        <v>35</v>
      </c>
      <c r="AB30" s="27">
        <f t="shared" si="11"/>
        <v>-0.69</v>
      </c>
      <c r="AC30" s="28">
        <v>1.7505787037037042E-2</v>
      </c>
      <c r="AD30" s="25">
        <f t="shared" si="12"/>
        <v>-1.5219531250000002</v>
      </c>
      <c r="AE30" s="25">
        <v>-4.25</v>
      </c>
      <c r="AF30" s="25">
        <v>-2.7135791760000001</v>
      </c>
      <c r="AG30" s="25">
        <v>0</v>
      </c>
    </row>
    <row r="31" spans="1:33" ht="15.75" customHeight="1">
      <c r="A31" s="14" t="s">
        <v>58</v>
      </c>
      <c r="B31" s="14" t="s">
        <v>1554</v>
      </c>
      <c r="C31" s="15">
        <f t="shared" si="4"/>
        <v>10.950000000000003</v>
      </c>
      <c r="D31" s="16">
        <v>59</v>
      </c>
      <c r="E31" s="16">
        <v>3</v>
      </c>
      <c r="F31" s="17">
        <v>646.05000000000018</v>
      </c>
      <c r="G31" s="17">
        <v>-10.92</v>
      </c>
      <c r="H31" s="18">
        <f t="shared" si="1"/>
        <v>1.6902716508010212E-2</v>
      </c>
      <c r="I31" s="18">
        <f t="shared" si="2"/>
        <v>0.19494777097042745</v>
      </c>
      <c r="J31" s="17">
        <f t="shared" si="5"/>
        <v>125.9460074354447</v>
      </c>
      <c r="K31" s="17">
        <f t="shared" si="3"/>
        <v>2.1346780921261814</v>
      </c>
      <c r="L31" s="16">
        <v>156</v>
      </c>
      <c r="M31" s="19">
        <f t="shared" si="6"/>
        <v>0.37820512820512819</v>
      </c>
      <c r="N31" s="16">
        <v>124</v>
      </c>
      <c r="O31" s="20">
        <f t="shared" ref="O31:P31" si="39">D31/7</f>
        <v>8.4285714285714288</v>
      </c>
      <c r="P31" s="20">
        <f t="shared" si="39"/>
        <v>0.42857142857142855</v>
      </c>
      <c r="Q31" s="16">
        <f t="shared" si="8"/>
        <v>14</v>
      </c>
      <c r="R31" s="16"/>
      <c r="S31" s="21">
        <v>6.3003194888178902</v>
      </c>
      <c r="T31" s="14">
        <v>792</v>
      </c>
      <c r="U31" s="22">
        <v>1920</v>
      </c>
      <c r="V31" s="23" t="s">
        <v>1555</v>
      </c>
      <c r="W31" s="30">
        <v>3</v>
      </c>
      <c r="X31" s="24">
        <f t="shared" si="9"/>
        <v>5.0847457627118647E-2</v>
      </c>
      <c r="Y31" s="25">
        <f t="shared" si="10"/>
        <v>2.73</v>
      </c>
      <c r="Z31" s="30">
        <v>1</v>
      </c>
      <c r="AA31" s="14" t="s">
        <v>35</v>
      </c>
      <c r="AB31" s="27">
        <f t="shared" si="11"/>
        <v>-0.69</v>
      </c>
      <c r="AC31" s="28">
        <v>1.7505787037037042E-2</v>
      </c>
      <c r="AD31" s="25">
        <f t="shared" si="12"/>
        <v>-1.4253211805555559</v>
      </c>
      <c r="AE31" s="25">
        <v>-4.25</v>
      </c>
      <c r="AF31" s="25">
        <v>-2.7135791759999992</v>
      </c>
      <c r="AG31" s="25">
        <v>0</v>
      </c>
    </row>
    <row r="32" spans="1:33" ht="15.75" customHeight="1">
      <c r="A32" s="14" t="s">
        <v>60</v>
      </c>
      <c r="B32" s="14"/>
      <c r="C32" s="15">
        <f t="shared" si="4"/>
        <v>10.343124999999999</v>
      </c>
      <c r="D32" s="16">
        <v>64</v>
      </c>
      <c r="E32" s="16">
        <v>5</v>
      </c>
      <c r="F32" s="17">
        <v>661.95999999999992</v>
      </c>
      <c r="G32" s="17">
        <v>-0.08</v>
      </c>
      <c r="H32" s="18">
        <f t="shared" si="1"/>
        <v>1.2085322375974381E-4</v>
      </c>
      <c r="I32" s="18">
        <f t="shared" si="2"/>
        <v>0.1742866965147272</v>
      </c>
      <c r="J32" s="17">
        <f t="shared" si="5"/>
        <v>115.3708216248888</v>
      </c>
      <c r="K32" s="17">
        <f t="shared" si="3"/>
        <v>1.8026690878888876</v>
      </c>
      <c r="L32" s="16">
        <v>171</v>
      </c>
      <c r="M32" s="19">
        <f t="shared" si="6"/>
        <v>0.3742690058479532</v>
      </c>
      <c r="N32" s="16">
        <v>55</v>
      </c>
      <c r="O32" s="20">
        <f t="shared" ref="O32:P32" si="40">D32/7</f>
        <v>9.1428571428571423</v>
      </c>
      <c r="P32" s="20">
        <f t="shared" si="40"/>
        <v>0.7142857142857143</v>
      </c>
      <c r="Q32" s="16">
        <f t="shared" si="8"/>
        <v>5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2.9304347826086961</v>
      </c>
      <c r="T32" s="14">
        <f ca="1">IFERROR(__xludf.DUMMYFUNCTION("IFERROR(VLOOKUP($B$2,IMPORTRANGE(""https://docs.google.com/spreadsheets/d/1KiWZV1ko8G7lnRucBRBd29jj3Be6ltMfljMDqzOkQmI/edit#gid=1381463014"",""Lookup!A:D""),4,FALSE),"""")"),792)</f>
        <v>792</v>
      </c>
      <c r="U32" s="22">
        <f ca="1">IFERROR(__xludf.DUMMYFUNCTION("IFERROR(VLOOKUP($B$2,IMPORTRANGE(""https://docs.google.com/spreadsheets/d/1KiWZV1ko8G7lnRucBRBd29jj3Be6ltMfljMDqzOkQmI/edit#gid=1381463014"",""Lookup!A:D""),3,FALSE),"""")"),912)</f>
        <v>912</v>
      </c>
      <c r="V32" s="23" t="str">
        <f ca="1">IFERROR(__xludf.DUMMYFUNCTION("IFERROR(VLOOKUP($B$2,IMPORTRANGE(""https://docs.google.com/spreadsheets/d/1KiWZV1ko8G7lnRucBRBd29jj3Be6ltMfljMDqzOkQmI/edit#gid=1381463014"",""Lookup!A:D""),2,FALSE),"""")"),"| 410  - 912 units 07/20| S210711-STAR  - 1008 units 11/01")</f>
        <v>| 410  - 912 units 07/20| S210711-STAR  - 1008 units 11/01</v>
      </c>
      <c r="W32" s="30">
        <v>0</v>
      </c>
      <c r="X32" s="24">
        <f t="shared" si="9"/>
        <v>0</v>
      </c>
      <c r="Y32" s="25">
        <f t="shared" si="10"/>
        <v>0</v>
      </c>
      <c r="Z32" s="30">
        <v>0</v>
      </c>
      <c r="AA32" s="14" t="s">
        <v>35</v>
      </c>
      <c r="AB32" s="27">
        <f t="shared" si="11"/>
        <v>-0.69</v>
      </c>
      <c r="AC32" s="28">
        <v>1.7505787037037042E-2</v>
      </c>
      <c r="AD32" s="25">
        <f t="shared" si="12"/>
        <v>-1.5461111111111114</v>
      </c>
      <c r="AE32" s="25">
        <v>-4.25</v>
      </c>
      <c r="AF32" s="25">
        <v>-2.7135791760000001</v>
      </c>
      <c r="AG32" s="25">
        <v>0</v>
      </c>
    </row>
    <row r="33" spans="1:33" ht="15.75" customHeight="1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16"/>
      <c r="S33" s="21"/>
      <c r="T33" s="31"/>
      <c r="U33" s="36"/>
      <c r="V33" s="1"/>
      <c r="W33" s="31"/>
      <c r="X33" s="31"/>
      <c r="Y33" s="31"/>
      <c r="Z33" s="31"/>
      <c r="AA33" s="2"/>
      <c r="AB33" s="31"/>
      <c r="AC33" s="31"/>
      <c r="AD33" s="31"/>
      <c r="AE33" s="37"/>
      <c r="AF33" s="37"/>
      <c r="AG33" s="37"/>
    </row>
    <row r="34" spans="1:33" ht="15.75" customHeight="1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6"/>
      <c r="V34" s="1"/>
      <c r="W34" s="31"/>
      <c r="X34" s="31"/>
      <c r="Y34" s="31"/>
      <c r="Z34" s="31"/>
      <c r="AA34" s="2"/>
      <c r="AB34" s="31"/>
      <c r="AC34" s="31"/>
      <c r="AD34" s="31"/>
      <c r="AE34" s="37"/>
      <c r="AF34" s="37"/>
      <c r="AG34" s="37"/>
    </row>
    <row r="35" spans="1:33" ht="15.75" customHeight="1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6"/>
      <c r="V35" s="1"/>
      <c r="W35" s="31"/>
      <c r="X35" s="31"/>
      <c r="Y35" s="31"/>
      <c r="Z35" s="31"/>
      <c r="AA35" s="2"/>
      <c r="AB35" s="31"/>
      <c r="AC35" s="31"/>
      <c r="AD35" s="31"/>
      <c r="AE35" s="37"/>
      <c r="AF35" s="37"/>
      <c r="AG35" s="37"/>
    </row>
    <row r="36" spans="1:33" ht="15.75" customHeight="1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6"/>
      <c r="V36" s="1"/>
      <c r="W36" s="31"/>
      <c r="X36" s="31"/>
      <c r="Y36" s="31"/>
      <c r="Z36" s="31"/>
      <c r="AA36" s="2"/>
      <c r="AB36" s="31"/>
      <c r="AC36" s="31"/>
      <c r="AD36" s="31"/>
      <c r="AE36" s="37"/>
      <c r="AF36" s="37"/>
      <c r="AG36" s="37"/>
    </row>
    <row r="37" spans="1:33" ht="15.75" customHeight="1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6"/>
      <c r="V37" s="1"/>
      <c r="W37" s="31"/>
      <c r="X37" s="31"/>
      <c r="Y37" s="31"/>
      <c r="Z37" s="31"/>
      <c r="AA37" s="2"/>
      <c r="AB37" s="31"/>
      <c r="AC37" s="31"/>
      <c r="AD37" s="31"/>
      <c r="AE37" s="37"/>
      <c r="AF37" s="37"/>
      <c r="AG37" s="37"/>
    </row>
    <row r="38" spans="1:33" ht="15.75" customHeight="1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6"/>
      <c r="V38" s="1"/>
      <c r="W38" s="31"/>
      <c r="X38" s="31"/>
      <c r="Y38" s="31"/>
      <c r="Z38" s="31"/>
      <c r="AA38" s="2"/>
      <c r="AB38" s="31"/>
      <c r="AC38" s="31"/>
      <c r="AD38" s="31"/>
      <c r="AE38" s="37"/>
      <c r="AF38" s="37"/>
      <c r="AG38" s="37"/>
    </row>
    <row r="39" spans="1:33" ht="15.75" customHeight="1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6"/>
      <c r="V39" s="1"/>
      <c r="W39" s="31"/>
      <c r="X39" s="31"/>
      <c r="Y39" s="31"/>
      <c r="Z39" s="31"/>
      <c r="AA39" s="2"/>
      <c r="AB39" s="31"/>
      <c r="AC39" s="31"/>
      <c r="AD39" s="31"/>
      <c r="AE39" s="37"/>
      <c r="AF39" s="37"/>
      <c r="AG39" s="37"/>
    </row>
    <row r="40" spans="1:33" ht="15.75" customHeight="1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6"/>
      <c r="V40" s="1"/>
      <c r="W40" s="31"/>
      <c r="X40" s="31"/>
      <c r="Y40" s="31"/>
      <c r="Z40" s="31"/>
      <c r="AA40" s="2"/>
      <c r="AB40" s="31"/>
      <c r="AC40" s="31"/>
      <c r="AD40" s="31"/>
      <c r="AE40" s="37"/>
      <c r="AF40" s="37"/>
      <c r="AG40" s="37"/>
    </row>
    <row r="41" spans="1:33" ht="15.75" customHeight="1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6"/>
      <c r="V41" s="1"/>
      <c r="W41" s="31"/>
      <c r="X41" s="31"/>
      <c r="Y41" s="31"/>
      <c r="Z41" s="31"/>
      <c r="AA41" s="2"/>
      <c r="AB41" s="31"/>
      <c r="AC41" s="31"/>
      <c r="AD41" s="31"/>
      <c r="AE41" s="37"/>
      <c r="AF41" s="37"/>
      <c r="AG41" s="37"/>
    </row>
    <row r="42" spans="1:33" ht="15.75" customHeight="1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6"/>
      <c r="V42" s="1"/>
      <c r="W42" s="31"/>
      <c r="X42" s="31"/>
      <c r="Y42" s="31"/>
      <c r="Z42" s="31"/>
      <c r="AA42" s="2"/>
      <c r="AB42" s="31"/>
      <c r="AC42" s="31"/>
      <c r="AD42" s="31"/>
      <c r="AE42" s="37"/>
      <c r="AF42" s="37"/>
      <c r="AG42" s="37"/>
    </row>
    <row r="43" spans="1:33" ht="15.75" customHeight="1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6"/>
      <c r="V43" s="1"/>
      <c r="W43" s="31"/>
      <c r="X43" s="31"/>
      <c r="Y43" s="31"/>
      <c r="Z43" s="31"/>
      <c r="AA43" s="2"/>
      <c r="AB43" s="31"/>
      <c r="AC43" s="31"/>
      <c r="AD43" s="31"/>
      <c r="AE43" s="37"/>
      <c r="AF43" s="37"/>
      <c r="AG43" s="37"/>
    </row>
    <row r="44" spans="1:33" ht="15.75" customHeight="1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6"/>
      <c r="V44" s="1"/>
      <c r="W44" s="31"/>
      <c r="X44" s="31"/>
      <c r="Y44" s="31"/>
      <c r="Z44" s="31"/>
      <c r="AA44" s="2"/>
      <c r="AB44" s="31"/>
      <c r="AC44" s="31"/>
      <c r="AD44" s="31"/>
      <c r="AE44" s="37"/>
      <c r="AF44" s="37"/>
      <c r="AG44" s="37"/>
    </row>
    <row r="45" spans="1:33" ht="15.75" customHeight="1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6"/>
      <c r="V45" s="1"/>
      <c r="W45" s="31"/>
      <c r="X45" s="31"/>
      <c r="Y45" s="31"/>
      <c r="Z45" s="31"/>
      <c r="AA45" s="2"/>
      <c r="AB45" s="31"/>
      <c r="AC45" s="31"/>
      <c r="AD45" s="31"/>
      <c r="AE45" s="37"/>
      <c r="AF45" s="37"/>
      <c r="AG45" s="37"/>
    </row>
    <row r="46" spans="1:33" ht="15.75" customHeight="1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6"/>
      <c r="V46" s="1"/>
      <c r="W46" s="31"/>
      <c r="X46" s="31"/>
      <c r="Y46" s="31"/>
      <c r="Z46" s="31"/>
      <c r="AA46" s="2"/>
      <c r="AB46" s="31"/>
      <c r="AC46" s="31"/>
      <c r="AD46" s="31"/>
      <c r="AE46" s="37"/>
      <c r="AF46" s="37"/>
      <c r="AG46" s="37"/>
    </row>
    <row r="47" spans="1:33" ht="15.75" customHeight="1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6"/>
      <c r="V47" s="1"/>
      <c r="W47" s="31"/>
      <c r="X47" s="31"/>
      <c r="Y47" s="31"/>
      <c r="Z47" s="31"/>
      <c r="AA47" s="2"/>
      <c r="AB47" s="31"/>
      <c r="AC47" s="31"/>
      <c r="AD47" s="31"/>
      <c r="AE47" s="37"/>
      <c r="AF47" s="37"/>
      <c r="AG47" s="37"/>
    </row>
    <row r="48" spans="1:33" ht="15.75" customHeight="1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6"/>
      <c r="V48" s="1"/>
      <c r="W48" s="31"/>
      <c r="X48" s="31"/>
      <c r="Y48" s="31"/>
      <c r="Z48" s="31"/>
      <c r="AA48" s="2"/>
      <c r="AB48" s="31"/>
      <c r="AC48" s="31"/>
      <c r="AD48" s="31"/>
      <c r="AE48" s="37"/>
      <c r="AF48" s="37"/>
      <c r="AG48" s="37"/>
    </row>
    <row r="49" spans="1:33" ht="15.75" customHeight="1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6"/>
      <c r="V49" s="1"/>
      <c r="W49" s="31"/>
      <c r="X49" s="31"/>
      <c r="Y49" s="31"/>
      <c r="Z49" s="31"/>
      <c r="AA49" s="2"/>
      <c r="AB49" s="31"/>
      <c r="AC49" s="31"/>
      <c r="AD49" s="31"/>
      <c r="AE49" s="37"/>
      <c r="AF49" s="37"/>
      <c r="AG49" s="37"/>
    </row>
    <row r="50" spans="1:33" ht="15.75" customHeight="1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6"/>
      <c r="V50" s="1"/>
      <c r="W50" s="31"/>
      <c r="X50" s="31"/>
      <c r="Y50" s="31"/>
      <c r="Z50" s="31"/>
      <c r="AA50" s="2"/>
      <c r="AB50" s="31"/>
      <c r="AC50" s="31"/>
      <c r="AD50" s="31"/>
      <c r="AE50" s="37"/>
      <c r="AF50" s="37"/>
      <c r="AG50" s="37"/>
    </row>
    <row r="51" spans="1:33" ht="15.75" customHeight="1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6"/>
      <c r="V51" s="1"/>
      <c r="W51" s="31"/>
      <c r="X51" s="31"/>
      <c r="Y51" s="31"/>
      <c r="Z51" s="31"/>
      <c r="AA51" s="2"/>
      <c r="AB51" s="31"/>
      <c r="AC51" s="31"/>
      <c r="AD51" s="31"/>
      <c r="AE51" s="37"/>
      <c r="AF51" s="37"/>
      <c r="AG51" s="37"/>
    </row>
    <row r="52" spans="1:33" ht="15.75" customHeight="1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6"/>
      <c r="V52" s="1"/>
      <c r="W52" s="31"/>
      <c r="X52" s="31"/>
      <c r="Y52" s="31"/>
      <c r="Z52" s="31"/>
      <c r="AA52" s="2"/>
      <c r="AB52" s="31"/>
      <c r="AC52" s="31"/>
      <c r="AD52" s="31"/>
      <c r="AE52" s="37"/>
      <c r="AF52" s="37"/>
      <c r="AG52" s="37"/>
    </row>
    <row r="53" spans="1:33" ht="15.75" customHeight="1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6"/>
      <c r="V53" s="1"/>
      <c r="W53" s="31"/>
      <c r="X53" s="31"/>
      <c r="Y53" s="31"/>
      <c r="Z53" s="31"/>
      <c r="AA53" s="2"/>
      <c r="AB53" s="31"/>
      <c r="AC53" s="31"/>
      <c r="AD53" s="31"/>
      <c r="AE53" s="37"/>
      <c r="AF53" s="37"/>
      <c r="AG53" s="37"/>
    </row>
    <row r="54" spans="1:33" ht="15.75" customHeight="1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6"/>
      <c r="V54" s="1"/>
      <c r="W54" s="31"/>
      <c r="X54" s="31"/>
      <c r="Y54" s="31"/>
      <c r="Z54" s="31"/>
      <c r="AA54" s="2"/>
      <c r="AB54" s="31"/>
      <c r="AC54" s="31"/>
      <c r="AD54" s="31"/>
      <c r="AE54" s="37"/>
      <c r="AF54" s="37"/>
      <c r="AG54" s="37"/>
    </row>
    <row r="55" spans="1:33" ht="15.75" customHeight="1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6"/>
      <c r="V55" s="1"/>
      <c r="W55" s="31"/>
      <c r="X55" s="31"/>
      <c r="Y55" s="31"/>
      <c r="Z55" s="31"/>
      <c r="AA55" s="2"/>
      <c r="AB55" s="31"/>
      <c r="AC55" s="31"/>
      <c r="AD55" s="31"/>
      <c r="AE55" s="37"/>
      <c r="AF55" s="37"/>
      <c r="AG55" s="37"/>
    </row>
    <row r="56" spans="1:33" ht="15.75" customHeight="1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6"/>
      <c r="V56" s="1"/>
      <c r="W56" s="31"/>
      <c r="X56" s="31"/>
      <c r="Y56" s="31"/>
      <c r="Z56" s="31"/>
      <c r="AA56" s="2"/>
      <c r="AB56" s="31"/>
      <c r="AC56" s="31"/>
      <c r="AD56" s="31"/>
      <c r="AE56" s="37"/>
      <c r="AF56" s="37"/>
      <c r="AG56" s="37"/>
    </row>
    <row r="57" spans="1:33" ht="15.75" customHeight="1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6"/>
      <c r="V57" s="1"/>
      <c r="W57" s="31"/>
      <c r="X57" s="31"/>
      <c r="Y57" s="31"/>
      <c r="Z57" s="31"/>
      <c r="AA57" s="2"/>
      <c r="AB57" s="31"/>
      <c r="AC57" s="31"/>
      <c r="AD57" s="31"/>
      <c r="AE57" s="37"/>
      <c r="AF57" s="37"/>
      <c r="AG57" s="37"/>
    </row>
    <row r="58" spans="1:33" ht="15.75" customHeight="1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6"/>
      <c r="V58" s="1"/>
      <c r="W58" s="31"/>
      <c r="X58" s="31"/>
      <c r="Y58" s="31"/>
      <c r="Z58" s="31"/>
      <c r="AA58" s="2"/>
      <c r="AB58" s="31"/>
      <c r="AC58" s="31"/>
      <c r="AD58" s="31"/>
      <c r="AE58" s="37"/>
      <c r="AF58" s="37"/>
      <c r="AG58" s="37"/>
    </row>
    <row r="59" spans="1:33" ht="15.75" customHeight="1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6"/>
      <c r="V59" s="1"/>
      <c r="W59" s="31"/>
      <c r="X59" s="31"/>
      <c r="Y59" s="31"/>
      <c r="Z59" s="31"/>
      <c r="AA59" s="2"/>
      <c r="AB59" s="31"/>
      <c r="AC59" s="31"/>
      <c r="AD59" s="31"/>
      <c r="AE59" s="37"/>
      <c r="AF59" s="37"/>
      <c r="AG59" s="37"/>
    </row>
    <row r="60" spans="1:33" ht="15.75" customHeight="1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6"/>
      <c r="V60" s="1"/>
      <c r="W60" s="31"/>
      <c r="X60" s="31"/>
      <c r="Y60" s="31"/>
      <c r="Z60" s="31"/>
      <c r="AA60" s="2"/>
      <c r="AB60" s="31"/>
      <c r="AC60" s="31"/>
      <c r="AD60" s="31"/>
      <c r="AE60" s="37"/>
      <c r="AF60" s="37"/>
      <c r="AG60" s="37"/>
    </row>
    <row r="61" spans="1:33" ht="15.75" customHeight="1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6"/>
      <c r="V61" s="1"/>
      <c r="W61" s="31"/>
      <c r="X61" s="31"/>
      <c r="Y61" s="31"/>
      <c r="Z61" s="31"/>
      <c r="AA61" s="2"/>
      <c r="AB61" s="31"/>
      <c r="AC61" s="31"/>
      <c r="AD61" s="31"/>
      <c r="AE61" s="37"/>
      <c r="AF61" s="37"/>
      <c r="AG61" s="37"/>
    </row>
    <row r="62" spans="1:33" ht="15.75" customHeight="1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6"/>
      <c r="V62" s="1"/>
      <c r="W62" s="31"/>
      <c r="X62" s="31"/>
      <c r="Y62" s="31"/>
      <c r="Z62" s="31"/>
      <c r="AA62" s="2"/>
      <c r="AB62" s="31"/>
      <c r="AC62" s="31"/>
      <c r="AD62" s="31"/>
      <c r="AE62" s="37"/>
      <c r="AF62" s="37"/>
      <c r="AG62" s="37"/>
    </row>
    <row r="63" spans="1:33" ht="15.75" customHeight="1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6"/>
      <c r="V63" s="1"/>
      <c r="W63" s="31"/>
      <c r="X63" s="31"/>
      <c r="Y63" s="31"/>
      <c r="Z63" s="31"/>
      <c r="AA63" s="2"/>
      <c r="AB63" s="31"/>
      <c r="AC63" s="31"/>
      <c r="AD63" s="31"/>
      <c r="AE63" s="37"/>
      <c r="AF63" s="37"/>
      <c r="AG63" s="37"/>
    </row>
    <row r="64" spans="1:33" ht="15.75" customHeight="1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6"/>
      <c r="V64" s="1"/>
      <c r="W64" s="31"/>
      <c r="X64" s="31"/>
      <c r="Y64" s="31"/>
      <c r="Z64" s="31"/>
      <c r="AA64" s="2"/>
      <c r="AB64" s="31"/>
      <c r="AC64" s="31"/>
      <c r="AD64" s="31"/>
      <c r="AE64" s="37"/>
      <c r="AF64" s="37"/>
      <c r="AG64" s="37"/>
    </row>
    <row r="65" spans="1:33" ht="15.75" customHeight="1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6"/>
      <c r="V65" s="1"/>
      <c r="W65" s="31"/>
      <c r="X65" s="31"/>
      <c r="Y65" s="31"/>
      <c r="Z65" s="31"/>
      <c r="AA65" s="2"/>
      <c r="AB65" s="31"/>
      <c r="AC65" s="31"/>
      <c r="AD65" s="31"/>
      <c r="AE65" s="37"/>
      <c r="AF65" s="37"/>
      <c r="AG65" s="37"/>
    </row>
    <row r="66" spans="1:33" ht="15.75" customHeight="1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6"/>
      <c r="V66" s="1"/>
      <c r="W66" s="31"/>
      <c r="X66" s="31"/>
      <c r="Y66" s="31"/>
      <c r="Z66" s="31"/>
      <c r="AA66" s="2"/>
      <c r="AB66" s="31"/>
      <c r="AC66" s="31"/>
      <c r="AD66" s="31"/>
      <c r="AE66" s="37"/>
      <c r="AF66" s="37"/>
      <c r="AG66" s="37"/>
    </row>
    <row r="67" spans="1:33" ht="15.75" customHeight="1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6"/>
      <c r="V67" s="1"/>
      <c r="W67" s="31"/>
      <c r="X67" s="31"/>
      <c r="Y67" s="31"/>
      <c r="Z67" s="31"/>
      <c r="AA67" s="2"/>
      <c r="AB67" s="31"/>
      <c r="AC67" s="31"/>
      <c r="AD67" s="31"/>
      <c r="AE67" s="37"/>
      <c r="AF67" s="37"/>
      <c r="AG67" s="37"/>
    </row>
    <row r="68" spans="1:33" ht="15.75" customHeight="1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6"/>
      <c r="V68" s="1"/>
      <c r="W68" s="31"/>
      <c r="X68" s="31"/>
      <c r="Y68" s="31"/>
      <c r="Z68" s="31"/>
      <c r="AA68" s="2"/>
      <c r="AB68" s="31"/>
      <c r="AC68" s="31"/>
      <c r="AD68" s="31"/>
      <c r="AE68" s="37"/>
      <c r="AF68" s="37"/>
      <c r="AG68" s="37"/>
    </row>
    <row r="69" spans="1:33" ht="15.75" customHeight="1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6"/>
      <c r="V69" s="1"/>
      <c r="W69" s="31"/>
      <c r="X69" s="31"/>
      <c r="Y69" s="31"/>
      <c r="Z69" s="31"/>
      <c r="AA69" s="2"/>
      <c r="AB69" s="31"/>
      <c r="AC69" s="31"/>
      <c r="AD69" s="31"/>
      <c r="AE69" s="37"/>
      <c r="AF69" s="37"/>
      <c r="AG69" s="37"/>
    </row>
    <row r="70" spans="1:33" ht="15.75" customHeight="1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6"/>
      <c r="V70" s="1"/>
      <c r="W70" s="31"/>
      <c r="X70" s="31"/>
      <c r="Y70" s="31"/>
      <c r="Z70" s="31"/>
      <c r="AA70" s="2"/>
      <c r="AB70" s="31"/>
      <c r="AC70" s="31"/>
      <c r="AD70" s="31"/>
      <c r="AE70" s="37"/>
      <c r="AF70" s="37"/>
      <c r="AG70" s="37"/>
    </row>
    <row r="71" spans="1:33" ht="15.75" customHeight="1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6"/>
      <c r="V71" s="1"/>
      <c r="W71" s="31"/>
      <c r="X71" s="31"/>
      <c r="Y71" s="31"/>
      <c r="Z71" s="31"/>
      <c r="AA71" s="2"/>
      <c r="AB71" s="31"/>
      <c r="AC71" s="31"/>
      <c r="AD71" s="31"/>
      <c r="AE71" s="37"/>
      <c r="AF71" s="37"/>
      <c r="AG71" s="37"/>
    </row>
    <row r="72" spans="1:33" ht="15.75" customHeight="1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6"/>
      <c r="V72" s="1"/>
      <c r="W72" s="31"/>
      <c r="X72" s="31"/>
      <c r="Y72" s="31"/>
      <c r="Z72" s="31"/>
      <c r="AA72" s="2"/>
      <c r="AB72" s="31"/>
      <c r="AC72" s="31"/>
      <c r="AD72" s="31"/>
      <c r="AE72" s="37"/>
      <c r="AF72" s="37"/>
      <c r="AG72" s="37"/>
    </row>
    <row r="73" spans="1:33" ht="15.75" customHeight="1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6"/>
      <c r="V73" s="1"/>
      <c r="W73" s="31"/>
      <c r="X73" s="31"/>
      <c r="Y73" s="31"/>
      <c r="Z73" s="31"/>
      <c r="AA73" s="2"/>
      <c r="AB73" s="31"/>
      <c r="AC73" s="31"/>
      <c r="AD73" s="31"/>
      <c r="AE73" s="37"/>
      <c r="AF73" s="37"/>
      <c r="AG73" s="37"/>
    </row>
    <row r="74" spans="1:33" ht="15.75" customHeight="1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6"/>
      <c r="V74" s="1"/>
      <c r="W74" s="31"/>
      <c r="X74" s="31"/>
      <c r="Y74" s="31"/>
      <c r="Z74" s="31"/>
      <c r="AA74" s="2"/>
      <c r="AB74" s="31"/>
      <c r="AC74" s="31"/>
      <c r="AD74" s="31"/>
      <c r="AE74" s="37"/>
      <c r="AF74" s="37"/>
      <c r="AG74" s="37"/>
    </row>
    <row r="75" spans="1:33" ht="15.75" customHeight="1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6"/>
      <c r="V75" s="1"/>
      <c r="W75" s="31"/>
      <c r="X75" s="31"/>
      <c r="Y75" s="31"/>
      <c r="Z75" s="31"/>
      <c r="AA75" s="2"/>
      <c r="AB75" s="31"/>
      <c r="AC75" s="31"/>
      <c r="AD75" s="31"/>
      <c r="AE75" s="37"/>
      <c r="AF75" s="37"/>
      <c r="AG75" s="37"/>
    </row>
    <row r="76" spans="1:33" ht="15.75" customHeight="1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6"/>
      <c r="V76" s="1"/>
      <c r="W76" s="31"/>
      <c r="X76" s="31"/>
      <c r="Y76" s="31"/>
      <c r="Z76" s="31"/>
      <c r="AA76" s="2"/>
      <c r="AB76" s="31"/>
      <c r="AC76" s="31"/>
      <c r="AD76" s="31"/>
      <c r="AE76" s="37"/>
      <c r="AF76" s="37"/>
      <c r="AG76" s="37"/>
    </row>
    <row r="77" spans="1:33" ht="15.75" customHeight="1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6"/>
      <c r="V77" s="1"/>
      <c r="W77" s="31"/>
      <c r="X77" s="31"/>
      <c r="Y77" s="31"/>
      <c r="Z77" s="31"/>
      <c r="AA77" s="2"/>
      <c r="AB77" s="31"/>
      <c r="AC77" s="31"/>
      <c r="AD77" s="31"/>
      <c r="AE77" s="37"/>
      <c r="AF77" s="37"/>
      <c r="AG77" s="37"/>
    </row>
    <row r="78" spans="1:33" ht="15.75" customHeight="1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6"/>
      <c r="V78" s="1"/>
      <c r="W78" s="31"/>
      <c r="X78" s="31"/>
      <c r="Y78" s="31"/>
      <c r="Z78" s="31"/>
      <c r="AA78" s="2"/>
      <c r="AB78" s="31"/>
      <c r="AC78" s="31"/>
      <c r="AD78" s="31"/>
      <c r="AE78" s="37"/>
      <c r="AF78" s="37"/>
      <c r="AG78" s="37"/>
    </row>
    <row r="79" spans="1:33" ht="15.75" customHeight="1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6"/>
      <c r="V79" s="1"/>
      <c r="W79" s="31"/>
      <c r="X79" s="31"/>
      <c r="Y79" s="31"/>
      <c r="Z79" s="31"/>
      <c r="AA79" s="2"/>
      <c r="AB79" s="31"/>
      <c r="AC79" s="31"/>
      <c r="AD79" s="31"/>
      <c r="AE79" s="37"/>
      <c r="AF79" s="37"/>
      <c r="AG79" s="37"/>
    </row>
    <row r="80" spans="1:33" ht="15.75" customHeight="1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6"/>
      <c r="V80" s="1"/>
      <c r="W80" s="31"/>
      <c r="X80" s="31"/>
      <c r="Y80" s="31"/>
      <c r="Z80" s="31"/>
      <c r="AA80" s="2"/>
      <c r="AB80" s="31"/>
      <c r="AC80" s="31"/>
      <c r="AD80" s="31"/>
      <c r="AE80" s="37"/>
      <c r="AF80" s="37"/>
      <c r="AG80" s="37"/>
    </row>
    <row r="81" spans="1:33" ht="15.75" customHeight="1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6"/>
      <c r="V81" s="1"/>
      <c r="W81" s="31"/>
      <c r="X81" s="31"/>
      <c r="Y81" s="31"/>
      <c r="Z81" s="31"/>
      <c r="AA81" s="2"/>
      <c r="AB81" s="31"/>
      <c r="AC81" s="31"/>
      <c r="AD81" s="31"/>
      <c r="AE81" s="37"/>
      <c r="AF81" s="37"/>
      <c r="AG81" s="37"/>
    </row>
    <row r="82" spans="1:33" ht="15.75" customHeight="1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6"/>
      <c r="V82" s="1"/>
      <c r="W82" s="31"/>
      <c r="X82" s="31"/>
      <c r="Y82" s="31"/>
      <c r="Z82" s="31"/>
      <c r="AA82" s="2"/>
      <c r="AB82" s="31"/>
      <c r="AC82" s="31"/>
      <c r="AD82" s="31"/>
      <c r="AE82" s="37"/>
      <c r="AF82" s="37"/>
      <c r="AG82" s="37"/>
    </row>
    <row r="83" spans="1:33" ht="15.75" customHeight="1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6"/>
      <c r="V83" s="1"/>
      <c r="W83" s="31"/>
      <c r="X83" s="31"/>
      <c r="Y83" s="31"/>
      <c r="Z83" s="31"/>
      <c r="AA83" s="2"/>
      <c r="AB83" s="31"/>
      <c r="AC83" s="31"/>
      <c r="AD83" s="31"/>
      <c r="AE83" s="37"/>
      <c r="AF83" s="37"/>
      <c r="AG83" s="37"/>
    </row>
    <row r="84" spans="1:33" ht="15.75" customHeight="1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6"/>
      <c r="V84" s="1"/>
      <c r="W84" s="31"/>
      <c r="X84" s="31"/>
      <c r="Y84" s="31"/>
      <c r="Z84" s="31"/>
      <c r="AA84" s="2"/>
      <c r="AB84" s="31"/>
      <c r="AC84" s="31"/>
      <c r="AD84" s="31"/>
      <c r="AE84" s="37"/>
      <c r="AF84" s="37"/>
      <c r="AG84" s="37"/>
    </row>
    <row r="85" spans="1:33" ht="15.75" customHeight="1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6"/>
      <c r="V85" s="1"/>
      <c r="W85" s="31"/>
      <c r="X85" s="31"/>
      <c r="Y85" s="31"/>
      <c r="Z85" s="31"/>
      <c r="AA85" s="2"/>
      <c r="AB85" s="31"/>
      <c r="AC85" s="31"/>
      <c r="AD85" s="31"/>
      <c r="AE85" s="37"/>
      <c r="AF85" s="37"/>
      <c r="AG85" s="37"/>
    </row>
    <row r="86" spans="1:33" ht="15.75" customHeight="1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6"/>
      <c r="V86" s="1"/>
      <c r="W86" s="31"/>
      <c r="X86" s="31"/>
      <c r="Y86" s="31"/>
      <c r="Z86" s="31"/>
      <c r="AA86" s="2"/>
      <c r="AB86" s="31"/>
      <c r="AC86" s="31"/>
      <c r="AD86" s="31"/>
      <c r="AE86" s="37"/>
      <c r="AF86" s="37"/>
      <c r="AG86" s="37"/>
    </row>
    <row r="87" spans="1:33" ht="15.75" customHeight="1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6"/>
      <c r="V87" s="1"/>
      <c r="W87" s="31"/>
      <c r="X87" s="31"/>
      <c r="Y87" s="31"/>
      <c r="Z87" s="31"/>
      <c r="AA87" s="2"/>
      <c r="AB87" s="31"/>
      <c r="AC87" s="31"/>
      <c r="AD87" s="31"/>
      <c r="AE87" s="37"/>
      <c r="AF87" s="37"/>
      <c r="AG87" s="37"/>
    </row>
    <row r="88" spans="1:33" ht="15.75" customHeight="1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6"/>
      <c r="V88" s="1"/>
      <c r="W88" s="31"/>
      <c r="X88" s="31"/>
      <c r="Y88" s="31"/>
      <c r="Z88" s="31"/>
      <c r="AA88" s="2"/>
      <c r="AB88" s="31"/>
      <c r="AC88" s="31"/>
      <c r="AD88" s="31"/>
      <c r="AE88" s="37"/>
      <c r="AF88" s="37"/>
      <c r="AG88" s="37"/>
    </row>
    <row r="89" spans="1:33" ht="15.75" customHeight="1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6"/>
      <c r="V89" s="1"/>
      <c r="W89" s="31"/>
      <c r="X89" s="31"/>
      <c r="Y89" s="31"/>
      <c r="Z89" s="31"/>
      <c r="AA89" s="2"/>
      <c r="AB89" s="31"/>
      <c r="AC89" s="31"/>
      <c r="AD89" s="31"/>
      <c r="AE89" s="37"/>
      <c r="AF89" s="37"/>
      <c r="AG89" s="37"/>
    </row>
    <row r="90" spans="1:33" ht="15.75" customHeight="1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6"/>
      <c r="V90" s="1"/>
      <c r="W90" s="31"/>
      <c r="X90" s="31"/>
      <c r="Y90" s="31"/>
      <c r="Z90" s="31"/>
      <c r="AA90" s="2"/>
      <c r="AB90" s="31"/>
      <c r="AC90" s="31"/>
      <c r="AD90" s="31"/>
      <c r="AE90" s="37"/>
      <c r="AF90" s="37"/>
      <c r="AG90" s="37"/>
    </row>
    <row r="91" spans="1:33" ht="15.75" customHeight="1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6"/>
      <c r="V91" s="1"/>
      <c r="W91" s="31"/>
      <c r="X91" s="31"/>
      <c r="Y91" s="31"/>
      <c r="Z91" s="31"/>
      <c r="AA91" s="2"/>
      <c r="AB91" s="31"/>
      <c r="AC91" s="31"/>
      <c r="AD91" s="31"/>
      <c r="AE91" s="37"/>
      <c r="AF91" s="37"/>
      <c r="AG91" s="37"/>
    </row>
    <row r="92" spans="1:33" ht="15.75" customHeight="1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6"/>
      <c r="V92" s="1"/>
      <c r="W92" s="31"/>
      <c r="X92" s="31"/>
      <c r="Y92" s="31"/>
      <c r="Z92" s="31"/>
      <c r="AA92" s="2"/>
      <c r="AB92" s="31"/>
      <c r="AC92" s="31"/>
      <c r="AD92" s="31"/>
      <c r="AE92" s="37"/>
      <c r="AF92" s="37"/>
      <c r="AG92" s="37"/>
    </row>
    <row r="93" spans="1:33" ht="15.75" customHeight="1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6"/>
      <c r="V93" s="1"/>
      <c r="W93" s="31"/>
      <c r="X93" s="31"/>
      <c r="Y93" s="31"/>
      <c r="Z93" s="31"/>
      <c r="AA93" s="2"/>
      <c r="AB93" s="31"/>
      <c r="AC93" s="31"/>
      <c r="AD93" s="31"/>
      <c r="AE93" s="37"/>
      <c r="AF93" s="37"/>
      <c r="AG93" s="37"/>
    </row>
    <row r="94" spans="1:33" ht="15.75" customHeight="1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6"/>
      <c r="V94" s="1"/>
      <c r="W94" s="31"/>
      <c r="X94" s="31"/>
      <c r="Y94" s="31"/>
      <c r="Z94" s="31"/>
      <c r="AA94" s="2"/>
      <c r="AB94" s="31"/>
      <c r="AC94" s="31"/>
      <c r="AD94" s="31"/>
      <c r="AE94" s="37"/>
      <c r="AF94" s="37"/>
      <c r="AG94" s="37"/>
    </row>
    <row r="95" spans="1:33" ht="15.75" customHeight="1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6"/>
      <c r="V95" s="1"/>
      <c r="W95" s="31"/>
      <c r="X95" s="31"/>
      <c r="Y95" s="31"/>
      <c r="Z95" s="31"/>
      <c r="AA95" s="2"/>
      <c r="AB95" s="31"/>
      <c r="AC95" s="31"/>
      <c r="AD95" s="31"/>
      <c r="AE95" s="37"/>
      <c r="AF95" s="37"/>
      <c r="AG95" s="37"/>
    </row>
    <row r="96" spans="1:33" ht="15.75" customHeight="1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6"/>
      <c r="V96" s="1"/>
      <c r="W96" s="31"/>
      <c r="X96" s="31"/>
      <c r="Y96" s="31"/>
      <c r="Z96" s="31"/>
      <c r="AA96" s="2"/>
      <c r="AB96" s="31"/>
      <c r="AC96" s="31"/>
      <c r="AD96" s="31"/>
      <c r="AE96" s="37"/>
      <c r="AF96" s="37"/>
      <c r="AG96" s="37"/>
    </row>
    <row r="97" spans="1:33" ht="15.75" customHeight="1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8"/>
      <c r="R97" s="38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8"/>
      <c r="R98" s="38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8"/>
      <c r="R99" s="38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8"/>
      <c r="R100" s="38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8"/>
      <c r="R101" s="38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8"/>
      <c r="R102" s="38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8"/>
      <c r="R103" s="38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8"/>
      <c r="R104" s="38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8"/>
      <c r="R105" s="38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8"/>
      <c r="R106" s="38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8"/>
      <c r="R107" s="38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8"/>
      <c r="R108" s="38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8"/>
      <c r="R109" s="38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8"/>
      <c r="R110" s="38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8"/>
      <c r="R111" s="38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8"/>
      <c r="R112" s="38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8"/>
      <c r="R113" s="38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8"/>
      <c r="R114" s="38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>
      <c r="A115" s="31"/>
      <c r="B115" s="31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>
      <c r="A116" s="31"/>
      <c r="B116" s="31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>
      <c r="A117" s="31"/>
      <c r="B117" s="31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>
      <c r="A118" s="31"/>
      <c r="B118" s="31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>
      <c r="A119" s="31"/>
      <c r="B119" s="31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>
      <c r="A120" s="31"/>
      <c r="B120" s="31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>
      <c r="A121" s="31"/>
      <c r="B121" s="31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>
      <c r="A122" s="31"/>
      <c r="B122" s="31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>
      <c r="A123" s="31"/>
      <c r="B123" s="31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>
      <c r="A124" s="31"/>
      <c r="B124" s="31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>
      <c r="A125" s="31"/>
      <c r="B125" s="31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>
      <c r="A126" s="31"/>
      <c r="B126" s="31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>
      <c r="A127" s="31"/>
      <c r="B127" s="31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>
      <c r="A128" s="31"/>
      <c r="B128" s="31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>
      <c r="A129" s="31"/>
      <c r="B129" s="31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>
      <c r="A130" s="31"/>
      <c r="B130" s="31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>
      <c r="A131" s="31"/>
      <c r="B131" s="31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>
      <c r="A132" s="31"/>
      <c r="B132" s="31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>
      <c r="A133" s="31"/>
      <c r="B133" s="31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>
      <c r="A134" s="31"/>
      <c r="B134" s="31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>
      <c r="A135" s="31"/>
      <c r="B135" s="31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>
      <c r="A136" s="31"/>
      <c r="B136" s="31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>
      <c r="A137" s="31"/>
      <c r="B137" s="31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>
      <c r="A138" s="31"/>
      <c r="B138" s="31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>
      <c r="A139" s="31"/>
      <c r="B139" s="31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>
      <c r="A140" s="31"/>
      <c r="B140" s="31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>
      <c r="A141" s="31"/>
      <c r="B141" s="31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2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>
      <c r="A142" s="31"/>
      <c r="B142" s="31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2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>
      <c r="A143" s="31"/>
      <c r="B143" s="31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2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>
      <c r="A144" s="31"/>
      <c r="B144" s="31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2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>
      <c r="A145" s="31"/>
      <c r="B145" s="31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2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>
      <c r="A146" s="31"/>
      <c r="B146" s="31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2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>
      <c r="A147" s="31"/>
      <c r="B147" s="31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2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>
      <c r="A148" s="31"/>
      <c r="B148" s="31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2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</row>
    <row r="149" spans="1:33" ht="15.75" customHeight="1">
      <c r="A149" s="14"/>
      <c r="B149" s="14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>
      <c r="A150" s="14"/>
      <c r="B150" s="14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>
      <c r="A151" s="14"/>
      <c r="B151" s="14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>
      <c r="A152" s="14"/>
      <c r="B152" s="14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>
      <c r="A153" s="14"/>
      <c r="B153" s="14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>
      <c r="A154" s="14"/>
      <c r="B154" s="14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>
      <c r="A155" s="14"/>
      <c r="B155" s="14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>
      <c r="A156" s="14"/>
      <c r="B156" s="14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>
      <c r="A157" s="14"/>
      <c r="B157" s="14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>
      <c r="A158" s="14"/>
      <c r="B158" s="14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>
      <c r="A159" s="14"/>
      <c r="B159" s="14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>
      <c r="A160" s="14"/>
      <c r="B160" s="14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>
      <c r="A161" s="14"/>
      <c r="B161" s="14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>
      <c r="A162" s="14"/>
      <c r="B162" s="14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>
      <c r="A163" s="14"/>
      <c r="B163" s="14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>
      <c r="A164" s="14"/>
      <c r="B164" s="14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>
      <c r="A165" s="14"/>
      <c r="B165" s="14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>
      <c r="A166" s="14"/>
      <c r="B166" s="14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>
      <c r="A167" s="14"/>
      <c r="B167" s="14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>
      <c r="A168" s="14"/>
      <c r="B168" s="14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>
      <c r="A169" s="14"/>
      <c r="B169" s="14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>
      <c r="A170" s="14"/>
      <c r="B170" s="14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>
      <c r="A171" s="14"/>
      <c r="B171" s="14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>
      <c r="A172" s="14"/>
      <c r="B172" s="14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>
      <c r="A173" s="14"/>
      <c r="B173" s="14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>
      <c r="A174" s="14"/>
      <c r="B174" s="14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>
      <c r="A175" s="14"/>
      <c r="B175" s="14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>
      <c r="A176" s="14"/>
      <c r="B176" s="14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>
      <c r="A177" s="14"/>
      <c r="B177" s="14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>
      <c r="A178" s="14"/>
      <c r="B178" s="14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>
      <c r="A179" s="14"/>
      <c r="B179" s="14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>
      <c r="A180" s="14"/>
      <c r="B180" s="14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>
      <c r="A181" s="14"/>
      <c r="B181" s="14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>
      <c r="A182" s="14"/>
      <c r="B182" s="14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>
      <c r="A183" s="14"/>
      <c r="B183" s="14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>
      <c r="A184" s="14"/>
      <c r="B184" s="14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>
      <c r="A185" s="14"/>
      <c r="B185" s="14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>
      <c r="A186" s="14"/>
      <c r="B186" s="14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>
      <c r="A187" s="14"/>
      <c r="B187" s="14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>
      <c r="A188" s="14"/>
      <c r="B188" s="14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>
      <c r="A189" s="14"/>
      <c r="B189" s="14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>
      <c r="A190" s="14"/>
      <c r="B190" s="14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>
      <c r="A191" s="14"/>
      <c r="B191" s="14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>
      <c r="A192" s="14"/>
      <c r="B192" s="14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>
      <c r="A193" s="14"/>
      <c r="B193" s="14"/>
      <c r="C193" s="39"/>
      <c r="D193" s="39"/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>
      <c r="A194" s="14"/>
      <c r="B194" s="14"/>
      <c r="C194" s="39"/>
      <c r="D194" s="39"/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>
      <c r="A195" s="14"/>
      <c r="B195" s="14"/>
      <c r="C195" s="39"/>
      <c r="D195" s="39"/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>
      <c r="A196" s="14"/>
      <c r="B196" s="14"/>
      <c r="C196" s="39"/>
      <c r="D196" s="39"/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>
      <c r="A197" s="14"/>
      <c r="B197" s="14"/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>
      <c r="A198" s="14"/>
      <c r="B198" s="14"/>
      <c r="C198" s="39"/>
      <c r="D198" s="39"/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>
      <c r="A199" s="14"/>
      <c r="B199" s="14"/>
      <c r="C199" s="39"/>
      <c r="D199" s="39"/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>
      <c r="A200" s="14"/>
      <c r="B200" s="14"/>
      <c r="C200" s="39"/>
      <c r="D200" s="39"/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>
      <c r="A201" s="14"/>
      <c r="B201" s="14"/>
      <c r="C201" s="39"/>
      <c r="D201" s="39"/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>
      <c r="A202" s="14"/>
      <c r="B202" s="14"/>
      <c r="C202" s="39"/>
      <c r="D202" s="39"/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>
      <c r="A203" s="14"/>
      <c r="B203" s="14"/>
      <c r="C203" s="39"/>
      <c r="D203" s="39"/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>
      <c r="A204" s="14"/>
      <c r="B204" s="14"/>
      <c r="C204" s="39"/>
      <c r="D204" s="39"/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>
      <c r="A205" s="14"/>
      <c r="B205" s="14"/>
      <c r="C205" s="39"/>
      <c r="D205" s="39"/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>
      <c r="A206" s="14"/>
      <c r="B206" s="14"/>
      <c r="C206" s="39"/>
      <c r="D206" s="39"/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>
      <c r="A207" s="14"/>
      <c r="B207" s="14"/>
      <c r="C207" s="39"/>
      <c r="D207" s="39"/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>
      <c r="A208" s="14"/>
      <c r="B208" s="14"/>
      <c r="C208" s="39"/>
      <c r="D208" s="39"/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>
      <c r="A209" s="14"/>
      <c r="B209" s="14"/>
      <c r="C209" s="39"/>
      <c r="D209" s="39"/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>
      <c r="A210" s="14"/>
      <c r="B210" s="14"/>
      <c r="C210" s="39"/>
      <c r="D210" s="39"/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>
      <c r="A211" s="14"/>
      <c r="B211" s="14"/>
      <c r="C211" s="39"/>
      <c r="D211" s="39"/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>
      <c r="A212" s="14"/>
      <c r="B212" s="14"/>
      <c r="C212" s="39"/>
      <c r="D212" s="39"/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>
      <c r="A213" s="14"/>
      <c r="B213" s="14"/>
      <c r="C213" s="39"/>
      <c r="D213" s="39"/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>
      <c r="A214" s="14"/>
      <c r="B214" s="14"/>
      <c r="C214" s="39"/>
      <c r="D214" s="39"/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>
      <c r="A215" s="14"/>
      <c r="B215" s="14"/>
      <c r="C215" s="39"/>
      <c r="D215" s="39"/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>
      <c r="A216" s="14"/>
      <c r="B216" s="14"/>
      <c r="C216" s="39"/>
      <c r="D216" s="39"/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>
      <c r="A217" s="14"/>
      <c r="B217" s="14"/>
      <c r="C217" s="39"/>
      <c r="D217" s="39"/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>
      <c r="A218" s="14"/>
      <c r="B218" s="14"/>
      <c r="C218" s="39"/>
      <c r="D218" s="39"/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>
      <c r="A219" s="14"/>
      <c r="B219" s="14"/>
      <c r="C219" s="39"/>
      <c r="D219" s="39"/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>
      <c r="A220" s="14"/>
      <c r="B220" s="14"/>
      <c r="C220" s="39"/>
      <c r="D220" s="39"/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>
      <c r="R221" s="30"/>
      <c r="S221" s="40"/>
    </row>
    <row r="222" spans="1:33" ht="15.75" customHeight="1">
      <c r="R222" s="30"/>
      <c r="S222" s="40"/>
    </row>
    <row r="223" spans="1:33" ht="15.75" customHeight="1">
      <c r="R223" s="30"/>
      <c r="S223" s="40"/>
    </row>
    <row r="224" spans="1:33" ht="15.75" customHeight="1">
      <c r="R224" s="30"/>
      <c r="S224" s="40"/>
    </row>
    <row r="225" spans="18:18" ht="15.75" customHeight="1">
      <c r="R225" s="30"/>
    </row>
    <row r="226" spans="18:18" ht="15.75" customHeight="1">
      <c r="R226" s="30"/>
    </row>
    <row r="227" spans="18:18" ht="15.75" customHeight="1">
      <c r="R227" s="30"/>
    </row>
    <row r="228" spans="18:18" ht="15.75" customHeight="1">
      <c r="R228" s="30"/>
    </row>
    <row r="229" spans="18:18" ht="15.75" customHeight="1">
      <c r="R229" s="30"/>
    </row>
    <row r="230" spans="18:18" ht="15.75" customHeight="1">
      <c r="R230" s="30"/>
    </row>
    <row r="231" spans="18:18" ht="15.75" customHeight="1">
      <c r="R231" s="30"/>
    </row>
    <row r="232" spans="18:18" ht="15.75" customHeight="1">
      <c r="R232" s="30"/>
    </row>
    <row r="233" spans="18:18" ht="15.75" customHeight="1">
      <c r="R233" s="30"/>
    </row>
    <row r="234" spans="18:18" ht="15.75" customHeight="1">
      <c r="R234" s="30"/>
    </row>
    <row r="235" spans="18:18" ht="15.75" customHeight="1">
      <c r="R235" s="30"/>
    </row>
    <row r="236" spans="18:18" ht="15.75" customHeight="1">
      <c r="R236" s="30"/>
    </row>
    <row r="237" spans="18:18" ht="15.75" customHeight="1">
      <c r="R237" s="30"/>
    </row>
    <row r="238" spans="18:18" ht="15.75" customHeight="1">
      <c r="R238" s="30"/>
    </row>
    <row r="239" spans="18:18" ht="15.75" customHeight="1">
      <c r="R239" s="30"/>
    </row>
    <row r="240" spans="18:18" ht="15.75" customHeight="1">
      <c r="R240" s="30"/>
    </row>
    <row r="241" spans="18:18" ht="15.75" customHeight="1">
      <c r="R241" s="30"/>
    </row>
    <row r="242" spans="18:18" ht="15.75" customHeight="1">
      <c r="R242" s="30"/>
    </row>
    <row r="243" spans="18:18" ht="15.75" customHeight="1">
      <c r="R243" s="30"/>
    </row>
    <row r="244" spans="18:18" ht="15.75" customHeight="1">
      <c r="R244" s="30"/>
    </row>
    <row r="245" spans="18:18" ht="15.75" customHeight="1">
      <c r="R245" s="30"/>
    </row>
    <row r="246" spans="18:18" ht="15.75" customHeight="1">
      <c r="R246" s="30"/>
    </row>
    <row r="247" spans="18:18" ht="15.75" customHeight="1">
      <c r="R247" s="30"/>
    </row>
    <row r="248" spans="18:18" ht="15.75" customHeight="1">
      <c r="R248" s="30"/>
    </row>
    <row r="249" spans="18:18" ht="15.75" customHeight="1">
      <c r="R249" s="30"/>
    </row>
    <row r="250" spans="18:18" ht="15.75" customHeight="1">
      <c r="R250" s="30"/>
    </row>
    <row r="251" spans="18:18" ht="15.75" customHeight="1">
      <c r="R251" s="30"/>
    </row>
    <row r="252" spans="18:18" ht="15.75" customHeight="1">
      <c r="R252" s="30"/>
    </row>
    <row r="253" spans="18:18" ht="15.75" customHeight="1">
      <c r="R253" s="30"/>
    </row>
    <row r="254" spans="18:18" ht="15.75" customHeight="1">
      <c r="R254" s="30"/>
    </row>
    <row r="255" spans="18:18" ht="15.75" customHeight="1">
      <c r="R255" s="30"/>
    </row>
    <row r="256" spans="18:18" ht="15.75" customHeight="1">
      <c r="R256" s="30"/>
    </row>
    <row r="257" spans="18:18" ht="15.75" customHeight="1">
      <c r="R257" s="30"/>
    </row>
    <row r="258" spans="18:18" ht="15.75" customHeight="1">
      <c r="R258" s="30"/>
    </row>
    <row r="259" spans="18:18" ht="15.75" customHeight="1">
      <c r="R259" s="30"/>
    </row>
    <row r="260" spans="18:18" ht="15.75" customHeight="1">
      <c r="R260" s="30"/>
    </row>
    <row r="261" spans="18:18" ht="15.75" customHeight="1">
      <c r="R261" s="30"/>
    </row>
    <row r="262" spans="18:18" ht="15.75" customHeight="1">
      <c r="R262" s="30"/>
    </row>
    <row r="263" spans="18:18" ht="15.75" customHeight="1">
      <c r="R263" s="30"/>
    </row>
    <row r="264" spans="18:18" ht="15.75" customHeight="1">
      <c r="R264" s="30"/>
    </row>
    <row r="265" spans="18:18" ht="15.75" customHeight="1">
      <c r="R265" s="30"/>
    </row>
    <row r="266" spans="18:18" ht="15.75" customHeight="1">
      <c r="R266" s="30"/>
    </row>
    <row r="267" spans="18:18" ht="15.75" customHeight="1">
      <c r="R267" s="30"/>
    </row>
    <row r="268" spans="18:18" ht="15.75" customHeight="1">
      <c r="R268" s="30"/>
    </row>
    <row r="269" spans="18:18" ht="15.75" customHeight="1">
      <c r="R269" s="30"/>
    </row>
    <row r="270" spans="18:18" ht="15.75" customHeight="1">
      <c r="R270" s="30"/>
    </row>
    <row r="271" spans="18:18" ht="15.75" customHeight="1">
      <c r="R271" s="30"/>
    </row>
    <row r="272" spans="18:18" ht="15.75" customHeight="1">
      <c r="R272" s="30"/>
    </row>
    <row r="273" spans="18:18" ht="15.75" customHeight="1">
      <c r="R273" s="30"/>
    </row>
    <row r="274" spans="18:18" ht="15.75" customHeight="1">
      <c r="R274" s="30"/>
    </row>
    <row r="275" spans="18:18" ht="15.75" customHeight="1">
      <c r="R275" s="30"/>
    </row>
    <row r="276" spans="18:18" ht="15.75" customHeight="1">
      <c r="R276" s="30"/>
    </row>
    <row r="277" spans="18:18" ht="15.75" customHeight="1">
      <c r="R277" s="30"/>
    </row>
    <row r="278" spans="18:18" ht="15.75" customHeight="1">
      <c r="R278" s="30"/>
    </row>
    <row r="279" spans="18:18" ht="15.75" customHeight="1">
      <c r="R279" s="30"/>
    </row>
    <row r="280" spans="18:18" ht="15.75" customHeight="1">
      <c r="R280" s="30"/>
    </row>
    <row r="281" spans="18:18" ht="15.75" customHeight="1">
      <c r="R281" s="30"/>
    </row>
    <row r="282" spans="18:18" ht="15.75" customHeight="1">
      <c r="R282" s="30"/>
    </row>
    <row r="283" spans="18:18" ht="15.75" customHeight="1">
      <c r="R283" s="30"/>
    </row>
    <row r="284" spans="18:18" ht="15.75" customHeight="1">
      <c r="R284" s="30"/>
    </row>
    <row r="285" spans="18:18" ht="15.75" customHeight="1">
      <c r="R285" s="30"/>
    </row>
    <row r="286" spans="18:18" ht="15.75" customHeight="1">
      <c r="R286" s="30"/>
    </row>
    <row r="287" spans="18:18" ht="15.75" customHeight="1">
      <c r="R287" s="30"/>
    </row>
    <row r="288" spans="18:18" ht="15.75" customHeight="1">
      <c r="R288" s="30"/>
    </row>
    <row r="289" spans="18:18" ht="15.75" customHeight="1">
      <c r="R289" s="30"/>
    </row>
    <row r="290" spans="18:18" ht="15.75" customHeight="1">
      <c r="R290" s="30"/>
    </row>
    <row r="291" spans="18:18" ht="15.75" customHeight="1">
      <c r="R291" s="30"/>
    </row>
    <row r="292" spans="18:18" ht="15.75" customHeight="1">
      <c r="R292" s="30"/>
    </row>
    <row r="293" spans="18:18" ht="15.75" customHeight="1">
      <c r="R293" s="30"/>
    </row>
    <row r="294" spans="18:18" ht="15.75" customHeight="1">
      <c r="R294" s="30"/>
    </row>
    <row r="295" spans="18:18" ht="15.75" customHeight="1">
      <c r="R295" s="30"/>
    </row>
    <row r="296" spans="18:18" ht="15.75" customHeight="1">
      <c r="R296" s="30"/>
    </row>
    <row r="297" spans="18:18" ht="15.75" customHeight="1">
      <c r="R297" s="30"/>
    </row>
    <row r="298" spans="18:18" ht="15.75" customHeight="1">
      <c r="R298" s="30"/>
    </row>
    <row r="299" spans="18:18" ht="15.75" customHeight="1">
      <c r="R299" s="30"/>
    </row>
    <row r="300" spans="18:18" ht="15.75" customHeight="1">
      <c r="R300" s="30"/>
    </row>
    <row r="301" spans="18:18" ht="15.75" customHeight="1">
      <c r="R301" s="30"/>
    </row>
    <row r="302" spans="18:18" ht="15.75" customHeight="1">
      <c r="R302" s="30"/>
    </row>
    <row r="303" spans="18:18" ht="15.75" customHeight="1">
      <c r="R303" s="30"/>
    </row>
    <row r="304" spans="18:18" ht="15.75" customHeight="1">
      <c r="R304" s="30"/>
    </row>
    <row r="305" spans="18:18" ht="15.75" customHeight="1">
      <c r="R305" s="30"/>
    </row>
    <row r="306" spans="18:18" ht="15.75" customHeight="1">
      <c r="R306" s="30"/>
    </row>
    <row r="307" spans="18:18" ht="15.75" customHeight="1">
      <c r="R307" s="30"/>
    </row>
    <row r="308" spans="18:18" ht="15.75" customHeight="1">
      <c r="R308" s="30"/>
    </row>
    <row r="309" spans="18:18" ht="15.75" customHeight="1">
      <c r="R309" s="30"/>
    </row>
    <row r="310" spans="18:18" ht="15.75" customHeight="1">
      <c r="R310" s="30"/>
    </row>
    <row r="311" spans="18:18" ht="15.75" customHeight="1">
      <c r="R311" s="30"/>
    </row>
    <row r="312" spans="18:18" ht="15.75" customHeight="1">
      <c r="R312" s="30"/>
    </row>
    <row r="313" spans="18:18" ht="15.75" customHeight="1">
      <c r="R313" s="30"/>
    </row>
    <row r="314" spans="18:18" ht="15.75" customHeight="1">
      <c r="R314" s="30"/>
    </row>
    <row r="315" spans="18:18" ht="15.75" customHeight="1">
      <c r="R315" s="30"/>
    </row>
    <row r="316" spans="18:18" ht="15.75" customHeight="1">
      <c r="R316" s="30"/>
    </row>
    <row r="317" spans="18:18" ht="15.75" customHeight="1">
      <c r="R317" s="30"/>
    </row>
    <row r="318" spans="18:18" ht="15.75" customHeight="1">
      <c r="R318" s="30"/>
    </row>
    <row r="319" spans="18:18" ht="15.75" customHeight="1">
      <c r="R319" s="30"/>
    </row>
    <row r="320" spans="18:18" ht="15.75" customHeight="1">
      <c r="R320" s="30"/>
    </row>
    <row r="321" spans="18:18" ht="15.75" customHeight="1">
      <c r="R321" s="30"/>
    </row>
    <row r="322" spans="18:18" ht="15.75" customHeight="1">
      <c r="R322" s="30"/>
    </row>
    <row r="323" spans="18:18" ht="15.75" customHeight="1">
      <c r="R323" s="30"/>
    </row>
    <row r="324" spans="18:18" ht="15.75" customHeight="1">
      <c r="R324" s="30"/>
    </row>
    <row r="325" spans="18:18" ht="15.75" customHeight="1">
      <c r="R325" s="30"/>
    </row>
    <row r="326" spans="18:18" ht="15.75" customHeight="1">
      <c r="R326" s="30"/>
    </row>
    <row r="327" spans="18:18" ht="15.75" customHeight="1">
      <c r="R327" s="30"/>
    </row>
    <row r="328" spans="18:18" ht="15.75" customHeight="1">
      <c r="R328" s="30"/>
    </row>
    <row r="329" spans="18:18" ht="15.75" customHeight="1">
      <c r="R329" s="30"/>
    </row>
    <row r="330" spans="18:18" ht="15.75" customHeight="1">
      <c r="R330" s="30"/>
    </row>
    <row r="331" spans="18:18" ht="15.75" customHeight="1">
      <c r="R331" s="30"/>
    </row>
    <row r="332" spans="18:18" ht="15.75" customHeight="1">
      <c r="R332" s="30"/>
    </row>
    <row r="333" spans="18:18" ht="15.75" customHeight="1">
      <c r="R333" s="30"/>
    </row>
    <row r="334" spans="18:18" ht="15.75" customHeight="1">
      <c r="R334" s="30"/>
    </row>
    <row r="335" spans="18:18" ht="15.75" customHeight="1">
      <c r="R335" s="30"/>
    </row>
    <row r="336" spans="18:18" ht="15.75" customHeight="1">
      <c r="R336" s="30"/>
    </row>
    <row r="337" spans="18:18" ht="15.75" customHeight="1">
      <c r="R337" s="30"/>
    </row>
    <row r="338" spans="18:18" ht="15.75" customHeight="1">
      <c r="R338" s="30"/>
    </row>
    <row r="339" spans="18:18" ht="15.75" customHeight="1">
      <c r="R339" s="30"/>
    </row>
    <row r="340" spans="18:18" ht="15.75" customHeight="1">
      <c r="R340" s="30"/>
    </row>
    <row r="341" spans="18:18" ht="15.75" customHeight="1">
      <c r="R341" s="30"/>
    </row>
    <row r="342" spans="18:18" ht="15.75" customHeight="1">
      <c r="R342" s="30"/>
    </row>
    <row r="343" spans="18:18" ht="15.75" customHeight="1">
      <c r="R343" s="30"/>
    </row>
    <row r="344" spans="18:18" ht="15.75" customHeight="1">
      <c r="R344" s="30"/>
    </row>
    <row r="345" spans="18:18" ht="15.75" customHeight="1">
      <c r="R345" s="30"/>
    </row>
    <row r="346" spans="18:18" ht="15.75" customHeight="1">
      <c r="R346" s="30"/>
    </row>
    <row r="347" spans="18:18" ht="15.75" customHeight="1">
      <c r="R347" s="30"/>
    </row>
    <row r="348" spans="18:18" ht="15.75" customHeight="1">
      <c r="R348" s="30"/>
    </row>
    <row r="349" spans="18:18" ht="15.75" customHeight="1">
      <c r="R349" s="30"/>
    </row>
    <row r="350" spans="18:18" ht="15.75" customHeight="1">
      <c r="R350" s="30"/>
    </row>
    <row r="351" spans="18:18" ht="15.75" customHeight="1">
      <c r="R351" s="30"/>
    </row>
    <row r="352" spans="18:18" ht="15.75" customHeight="1">
      <c r="R352" s="30"/>
    </row>
    <row r="353" spans="18:18" ht="15.75" customHeight="1">
      <c r="R353" s="30"/>
    </row>
    <row r="354" spans="18:18" ht="15.75" customHeight="1">
      <c r="R354" s="30"/>
    </row>
    <row r="355" spans="18:18" ht="15.75" customHeight="1">
      <c r="R355" s="30"/>
    </row>
    <row r="356" spans="18:18" ht="15.75" customHeight="1">
      <c r="R356" s="30"/>
    </row>
    <row r="357" spans="18:18" ht="15.75" customHeight="1">
      <c r="R357" s="30"/>
    </row>
    <row r="358" spans="18:18" ht="15.75" customHeight="1">
      <c r="R358" s="30"/>
    </row>
    <row r="359" spans="18:18" ht="15.75" customHeight="1">
      <c r="R359" s="30"/>
    </row>
    <row r="360" spans="18:18" ht="15.75" customHeight="1">
      <c r="R360" s="30"/>
    </row>
    <row r="361" spans="18:18" ht="15.75" customHeight="1">
      <c r="R361" s="30"/>
    </row>
    <row r="362" spans="18:18" ht="15.75" customHeight="1">
      <c r="R362" s="30"/>
    </row>
    <row r="363" spans="18:18" ht="15.75" customHeight="1">
      <c r="R363" s="30"/>
    </row>
    <row r="364" spans="18:18" ht="15.75" customHeight="1">
      <c r="R364" s="30"/>
    </row>
    <row r="365" spans="18:18" ht="15.75" customHeight="1">
      <c r="R365" s="30"/>
    </row>
    <row r="366" spans="18:18" ht="15.75" customHeight="1">
      <c r="R366" s="30"/>
    </row>
    <row r="367" spans="18:18" ht="15.75" customHeight="1">
      <c r="R367" s="30"/>
    </row>
    <row r="368" spans="18:18" ht="15.75" customHeight="1">
      <c r="R368" s="30"/>
    </row>
    <row r="369" spans="18:18" ht="15.75" customHeight="1">
      <c r="R369" s="30"/>
    </row>
    <row r="370" spans="18:18" ht="15.75" customHeight="1">
      <c r="R370" s="30"/>
    </row>
    <row r="371" spans="18:18" ht="15.75" customHeight="1">
      <c r="R371" s="30"/>
    </row>
    <row r="372" spans="18:18" ht="15.75" customHeight="1">
      <c r="R372" s="30"/>
    </row>
    <row r="373" spans="18:18" ht="15.75" customHeight="1">
      <c r="R373" s="30"/>
    </row>
    <row r="374" spans="18:18" ht="15.75" customHeight="1">
      <c r="R374" s="30"/>
    </row>
    <row r="375" spans="18:18" ht="15.75" customHeight="1">
      <c r="R375" s="30"/>
    </row>
    <row r="376" spans="18:18" ht="15.75" customHeight="1">
      <c r="R376" s="30"/>
    </row>
    <row r="377" spans="18:18" ht="15.75" customHeight="1">
      <c r="R377" s="30"/>
    </row>
    <row r="378" spans="18:18" ht="15.75" customHeight="1">
      <c r="R378" s="30"/>
    </row>
    <row r="379" spans="18:18" ht="15.75" customHeight="1">
      <c r="R379" s="30"/>
    </row>
    <row r="380" spans="18:18" ht="15.75" customHeight="1">
      <c r="R380" s="30"/>
    </row>
    <row r="381" spans="18:18" ht="15.75" customHeight="1">
      <c r="R381" s="30"/>
    </row>
    <row r="382" spans="18:18" ht="15.75" customHeight="1">
      <c r="R382" s="30"/>
    </row>
    <row r="383" spans="18:18" ht="15.75" customHeight="1">
      <c r="R383" s="30"/>
    </row>
    <row r="384" spans="18:18" ht="15.75" customHeight="1">
      <c r="R384" s="30"/>
    </row>
    <row r="385" spans="18:18" ht="15.75" customHeight="1">
      <c r="R385" s="30"/>
    </row>
    <row r="386" spans="18:18" ht="15.75" customHeight="1">
      <c r="R386" s="30"/>
    </row>
    <row r="387" spans="18:18" ht="15.75" customHeight="1">
      <c r="R387" s="30"/>
    </row>
    <row r="388" spans="18:18" ht="15.75" customHeight="1">
      <c r="R388" s="30"/>
    </row>
    <row r="389" spans="18:18" ht="15.75" customHeight="1">
      <c r="R389" s="30"/>
    </row>
    <row r="390" spans="18:18" ht="15.75" customHeight="1">
      <c r="R390" s="30"/>
    </row>
    <row r="391" spans="18:18" ht="15.75" customHeight="1">
      <c r="R391" s="30"/>
    </row>
    <row r="392" spans="18:18" ht="15.75" customHeight="1">
      <c r="R392" s="30"/>
    </row>
    <row r="393" spans="18:18" ht="15.75" customHeight="1">
      <c r="R393" s="30"/>
    </row>
    <row r="394" spans="18:18" ht="15.75" customHeight="1">
      <c r="R394" s="30"/>
    </row>
    <row r="395" spans="18:18" ht="15.75" customHeight="1">
      <c r="R395" s="30"/>
    </row>
    <row r="396" spans="18:18" ht="15.75" customHeight="1">
      <c r="R396" s="30"/>
    </row>
    <row r="397" spans="18:18" ht="15.75" customHeight="1">
      <c r="R397" s="30"/>
    </row>
    <row r="398" spans="18:18" ht="15.75" customHeight="1">
      <c r="R398" s="30"/>
    </row>
    <row r="399" spans="18:18" ht="15.75" customHeight="1">
      <c r="R399" s="30"/>
    </row>
    <row r="400" spans="18:18" ht="15.75" customHeight="1">
      <c r="R400" s="30"/>
    </row>
    <row r="401" spans="18:18" ht="15.75" customHeight="1">
      <c r="R401" s="30"/>
    </row>
    <row r="402" spans="18:18" ht="15.75" customHeight="1">
      <c r="R402" s="30"/>
    </row>
    <row r="403" spans="18:18" ht="15.75" customHeight="1">
      <c r="R403" s="30"/>
    </row>
    <row r="404" spans="18:18" ht="15.75" customHeight="1">
      <c r="R404" s="30"/>
    </row>
    <row r="405" spans="18:18" ht="15.75" customHeight="1">
      <c r="R405" s="30"/>
    </row>
    <row r="406" spans="18:18" ht="15.75" customHeight="1">
      <c r="R406" s="30"/>
    </row>
    <row r="407" spans="18:18" ht="15.75" customHeight="1">
      <c r="R407" s="30"/>
    </row>
    <row r="408" spans="18:18" ht="15.75" customHeight="1">
      <c r="R408" s="30"/>
    </row>
    <row r="409" spans="18:18" ht="15.75" customHeight="1">
      <c r="R409" s="30"/>
    </row>
    <row r="410" spans="18:18" ht="15.75" customHeight="1">
      <c r="R410" s="30"/>
    </row>
    <row r="411" spans="18:18" ht="15.75" customHeight="1">
      <c r="R411" s="30"/>
    </row>
    <row r="412" spans="18:18" ht="15.75" customHeight="1">
      <c r="R412" s="30"/>
    </row>
    <row r="413" spans="18:18" ht="15.75" customHeight="1">
      <c r="R413" s="30"/>
    </row>
    <row r="414" spans="18:18" ht="15.75" customHeight="1">
      <c r="R414" s="30"/>
    </row>
    <row r="415" spans="18:18" ht="15.75" customHeight="1">
      <c r="R415" s="30"/>
    </row>
    <row r="416" spans="18:18" ht="15.75" customHeight="1">
      <c r="R416" s="30"/>
    </row>
    <row r="417" spans="18:18" ht="15.75" customHeight="1">
      <c r="R417" s="30"/>
    </row>
    <row r="418" spans="18:18" ht="15.75" customHeight="1">
      <c r="R418" s="30"/>
    </row>
    <row r="419" spans="18:18" ht="15.75" customHeight="1">
      <c r="R419" s="30"/>
    </row>
    <row r="420" spans="18:18" ht="15.75" customHeight="1">
      <c r="R420" s="30"/>
    </row>
    <row r="421" spans="18:18" ht="15.75" customHeight="1">
      <c r="R421" s="30"/>
    </row>
    <row r="422" spans="18:18" ht="15.75" customHeight="1">
      <c r="R422" s="30"/>
    </row>
    <row r="423" spans="18:18" ht="15.75" customHeight="1">
      <c r="R423" s="30"/>
    </row>
    <row r="424" spans="18:18" ht="15.75" customHeight="1">
      <c r="R424" s="30"/>
    </row>
    <row r="425" spans="18:18" ht="15.75" customHeight="1">
      <c r="R425" s="30"/>
    </row>
    <row r="426" spans="18:18" ht="15.75" customHeight="1">
      <c r="R426" s="30"/>
    </row>
    <row r="427" spans="18:18" ht="15.75" customHeight="1">
      <c r="R427" s="30"/>
    </row>
    <row r="428" spans="18:18" ht="15.75" customHeight="1">
      <c r="R428" s="30"/>
    </row>
    <row r="429" spans="18:18" ht="15.75" customHeight="1">
      <c r="R429" s="30"/>
    </row>
    <row r="430" spans="18:18" ht="15.75" customHeight="1">
      <c r="R430" s="30"/>
    </row>
    <row r="431" spans="18:18" ht="15.75" customHeight="1">
      <c r="R431" s="30"/>
    </row>
    <row r="432" spans="18:18" ht="15.75" customHeight="1">
      <c r="R432" s="30"/>
    </row>
    <row r="433" spans="18:18" ht="15.75" customHeight="1">
      <c r="R433" s="30"/>
    </row>
    <row r="434" spans="18:18" ht="15.75" customHeight="1">
      <c r="R434" s="30"/>
    </row>
    <row r="435" spans="18:18" ht="15.75" customHeight="1">
      <c r="R435" s="30"/>
    </row>
    <row r="436" spans="18:18" ht="15.75" customHeight="1">
      <c r="R436" s="30"/>
    </row>
    <row r="437" spans="18:18" ht="15.75" customHeight="1">
      <c r="R437" s="30"/>
    </row>
    <row r="438" spans="18:18" ht="15.75" customHeight="1">
      <c r="R438" s="30"/>
    </row>
    <row r="439" spans="18:18" ht="15.75" customHeight="1">
      <c r="R439" s="30"/>
    </row>
    <row r="440" spans="18:18" ht="15.75" customHeight="1">
      <c r="R440" s="30"/>
    </row>
    <row r="441" spans="18:18" ht="15.75" customHeight="1">
      <c r="R441" s="30"/>
    </row>
    <row r="442" spans="18:18" ht="15.75" customHeight="1">
      <c r="R442" s="30"/>
    </row>
    <row r="443" spans="18:18" ht="15.75" customHeight="1">
      <c r="R443" s="30"/>
    </row>
    <row r="444" spans="18:18" ht="15.75" customHeight="1">
      <c r="R444" s="30"/>
    </row>
    <row r="445" spans="18:18" ht="15.75" customHeight="1">
      <c r="R445" s="30"/>
    </row>
    <row r="446" spans="18:18" ht="15.75" customHeight="1">
      <c r="R446" s="30"/>
    </row>
    <row r="447" spans="18:18" ht="15.75" customHeight="1">
      <c r="R447" s="30"/>
    </row>
    <row r="448" spans="18:18" ht="15.75" customHeight="1">
      <c r="R448" s="30"/>
    </row>
    <row r="449" spans="18:18" ht="15.75" customHeight="1">
      <c r="R449" s="30"/>
    </row>
    <row r="450" spans="18:18" ht="15.75" customHeight="1">
      <c r="R450" s="30"/>
    </row>
    <row r="451" spans="18:18" ht="15.75" customHeight="1">
      <c r="R451" s="30"/>
    </row>
    <row r="452" spans="18:18" ht="15.75" customHeight="1">
      <c r="R452" s="30"/>
    </row>
    <row r="453" spans="18:18" ht="15.75" customHeight="1">
      <c r="R453" s="30"/>
    </row>
    <row r="454" spans="18:18" ht="15.75" customHeight="1">
      <c r="R454" s="30"/>
    </row>
    <row r="455" spans="18:18" ht="15.75" customHeight="1">
      <c r="R455" s="30"/>
    </row>
    <row r="456" spans="18:18" ht="15.75" customHeight="1">
      <c r="R456" s="30"/>
    </row>
    <row r="457" spans="18:18" ht="15.75" customHeight="1">
      <c r="R457" s="30"/>
    </row>
    <row r="458" spans="18:18" ht="15.75" customHeight="1">
      <c r="R458" s="30"/>
    </row>
    <row r="459" spans="18:18" ht="15.75" customHeight="1">
      <c r="R459" s="30"/>
    </row>
    <row r="460" spans="18:18" ht="15.75" customHeight="1">
      <c r="R460" s="30"/>
    </row>
    <row r="461" spans="18:18" ht="15.75" customHeight="1">
      <c r="R461" s="30"/>
    </row>
    <row r="462" spans="18:18" ht="15.75" customHeight="1">
      <c r="R462" s="30"/>
    </row>
    <row r="463" spans="18:18" ht="15.75" customHeight="1">
      <c r="R463" s="30"/>
    </row>
    <row r="464" spans="18:18" ht="15.75" customHeight="1">
      <c r="R464" s="30"/>
    </row>
    <row r="465" spans="18:18" ht="15.75" customHeight="1">
      <c r="R465" s="30"/>
    </row>
    <row r="466" spans="18:18" ht="15.75" customHeight="1">
      <c r="R466" s="30"/>
    </row>
    <row r="467" spans="18:18" ht="15.75" customHeight="1">
      <c r="R467" s="30"/>
    </row>
    <row r="468" spans="18:18" ht="15.75" customHeight="1">
      <c r="R468" s="30"/>
    </row>
    <row r="469" spans="18:18" ht="15.75" customHeight="1">
      <c r="R469" s="30"/>
    </row>
    <row r="470" spans="18:18" ht="15.75" customHeight="1">
      <c r="R470" s="30"/>
    </row>
    <row r="471" spans="18:18" ht="15.75" customHeight="1">
      <c r="R471" s="30"/>
    </row>
    <row r="472" spans="18:18" ht="15.75" customHeight="1">
      <c r="R472" s="30"/>
    </row>
    <row r="473" spans="18:18" ht="15.75" customHeight="1">
      <c r="R473" s="30"/>
    </row>
    <row r="474" spans="18:18" ht="15.75" customHeight="1">
      <c r="R474" s="30"/>
    </row>
    <row r="475" spans="18:18" ht="15.75" customHeight="1">
      <c r="R475" s="30"/>
    </row>
    <row r="476" spans="18:18" ht="15.75" customHeight="1">
      <c r="R476" s="30"/>
    </row>
    <row r="477" spans="18:18" ht="15.75" customHeight="1">
      <c r="R477" s="30"/>
    </row>
    <row r="478" spans="18:18" ht="15.75" customHeight="1">
      <c r="R478" s="30"/>
    </row>
    <row r="479" spans="18:18" ht="15.75" customHeight="1">
      <c r="R479" s="30"/>
    </row>
    <row r="480" spans="18:18" ht="15.75" customHeight="1">
      <c r="R480" s="30"/>
    </row>
    <row r="481" spans="18:18" ht="15.75" customHeight="1">
      <c r="R481" s="30"/>
    </row>
    <row r="482" spans="18:18" ht="15.75" customHeight="1">
      <c r="R482" s="30"/>
    </row>
    <row r="483" spans="18:18" ht="15.75" customHeight="1">
      <c r="R483" s="30"/>
    </row>
    <row r="484" spans="18:18" ht="15.75" customHeight="1">
      <c r="R484" s="30"/>
    </row>
    <row r="485" spans="18:18" ht="15.75" customHeight="1">
      <c r="R485" s="30"/>
    </row>
    <row r="486" spans="18:18" ht="15.75" customHeight="1">
      <c r="R486" s="30"/>
    </row>
    <row r="487" spans="18:18" ht="15.75" customHeight="1">
      <c r="R487" s="30"/>
    </row>
    <row r="488" spans="18:18" ht="15.75" customHeight="1">
      <c r="R488" s="30"/>
    </row>
    <row r="489" spans="18:18" ht="15.75" customHeight="1">
      <c r="R489" s="30"/>
    </row>
    <row r="490" spans="18:18" ht="15.75" customHeight="1">
      <c r="R490" s="30"/>
    </row>
    <row r="491" spans="18:18" ht="15.75" customHeight="1">
      <c r="R491" s="30"/>
    </row>
    <row r="492" spans="18:18" ht="15.75" customHeight="1">
      <c r="R492" s="30"/>
    </row>
    <row r="493" spans="18:18" ht="15.75" customHeight="1">
      <c r="R493" s="30"/>
    </row>
    <row r="494" spans="18:18" ht="15.75" customHeight="1">
      <c r="R494" s="30"/>
    </row>
    <row r="495" spans="18:18" ht="15.75" customHeight="1">
      <c r="R495" s="30"/>
    </row>
    <row r="496" spans="18:18" ht="15.75" customHeight="1">
      <c r="R496" s="30"/>
    </row>
    <row r="497" spans="18:18" ht="15.75" customHeight="1">
      <c r="R497" s="30"/>
    </row>
    <row r="498" spans="18:18" ht="15.75" customHeight="1">
      <c r="R498" s="30"/>
    </row>
    <row r="499" spans="18:18" ht="15.75" customHeight="1">
      <c r="R499" s="30"/>
    </row>
    <row r="500" spans="18:18" ht="15.75" customHeight="1">
      <c r="R500" s="30"/>
    </row>
    <row r="501" spans="18:18" ht="15.75" customHeight="1">
      <c r="R501" s="30"/>
    </row>
    <row r="502" spans="18:18" ht="15.75" customHeight="1">
      <c r="R502" s="30"/>
    </row>
    <row r="503" spans="18:18" ht="15.75" customHeight="1">
      <c r="R503" s="30"/>
    </row>
    <row r="504" spans="18:18" ht="15.75" customHeight="1">
      <c r="R504" s="30"/>
    </row>
    <row r="505" spans="18:18" ht="15.75" customHeight="1">
      <c r="R505" s="30"/>
    </row>
    <row r="506" spans="18:18" ht="15.75" customHeight="1">
      <c r="R506" s="30"/>
    </row>
    <row r="507" spans="18:18" ht="15.75" customHeight="1">
      <c r="R507" s="30"/>
    </row>
    <row r="508" spans="18:18" ht="15.75" customHeight="1">
      <c r="R508" s="30"/>
    </row>
    <row r="509" spans="18:18" ht="15.75" customHeight="1">
      <c r="R509" s="30"/>
    </row>
    <row r="510" spans="18:18" ht="15.75" customHeight="1">
      <c r="R510" s="30"/>
    </row>
    <row r="511" spans="18:18" ht="15.75" customHeight="1">
      <c r="R511" s="30"/>
    </row>
    <row r="512" spans="18:18" ht="15.75" customHeight="1">
      <c r="R512" s="30"/>
    </row>
    <row r="513" spans="18:18" ht="15.75" customHeight="1">
      <c r="R513" s="30"/>
    </row>
    <row r="514" spans="18:18" ht="15.75" customHeight="1">
      <c r="R514" s="30"/>
    </row>
    <row r="515" spans="18:18" ht="15.75" customHeight="1">
      <c r="R515" s="30"/>
    </row>
    <row r="516" spans="18:18" ht="15.75" customHeight="1">
      <c r="R516" s="30"/>
    </row>
    <row r="517" spans="18:18" ht="15.75" customHeight="1">
      <c r="R517" s="30"/>
    </row>
    <row r="518" spans="18:18" ht="15.75" customHeight="1">
      <c r="R518" s="30"/>
    </row>
    <row r="519" spans="18:18" ht="15.75" customHeight="1">
      <c r="R519" s="30"/>
    </row>
    <row r="520" spans="18:18" ht="15.75" customHeight="1">
      <c r="R520" s="30"/>
    </row>
    <row r="521" spans="18:18" ht="15.75" customHeight="1">
      <c r="R521" s="30"/>
    </row>
    <row r="522" spans="18:18" ht="15.75" customHeight="1">
      <c r="R522" s="30"/>
    </row>
    <row r="523" spans="18:18" ht="15.75" customHeight="1">
      <c r="R523" s="30"/>
    </row>
    <row r="524" spans="18:18" ht="15.75" customHeight="1">
      <c r="R524" s="30"/>
    </row>
    <row r="525" spans="18:18" ht="15.75" customHeight="1">
      <c r="R525" s="30"/>
    </row>
    <row r="526" spans="18:18" ht="15.75" customHeight="1">
      <c r="R526" s="30"/>
    </row>
    <row r="527" spans="18:18" ht="15.75" customHeight="1">
      <c r="R527" s="30"/>
    </row>
    <row r="528" spans="18:18" ht="15.75" customHeight="1">
      <c r="R528" s="30"/>
    </row>
    <row r="529" spans="18:18" ht="15.75" customHeight="1">
      <c r="R529" s="30"/>
    </row>
    <row r="530" spans="18:18" ht="15.75" customHeight="1">
      <c r="R530" s="30"/>
    </row>
    <row r="531" spans="18:18" ht="15.75" customHeight="1">
      <c r="R531" s="30"/>
    </row>
    <row r="532" spans="18:18" ht="15.75" customHeight="1">
      <c r="R532" s="30"/>
    </row>
    <row r="533" spans="18:18" ht="15.75" customHeight="1">
      <c r="R533" s="30"/>
    </row>
    <row r="534" spans="18:18" ht="15.75" customHeight="1">
      <c r="R534" s="30"/>
    </row>
    <row r="535" spans="18:18" ht="15.75" customHeight="1">
      <c r="R535" s="30"/>
    </row>
    <row r="536" spans="18:18" ht="15.75" customHeight="1">
      <c r="R536" s="30"/>
    </row>
    <row r="537" spans="18:18" ht="15.75" customHeight="1">
      <c r="R537" s="30"/>
    </row>
    <row r="538" spans="18:18" ht="15.75" customHeight="1">
      <c r="R538" s="30"/>
    </row>
    <row r="539" spans="18:18" ht="15.75" customHeight="1">
      <c r="R539" s="30"/>
    </row>
    <row r="540" spans="18:18" ht="15.75" customHeight="1">
      <c r="R540" s="30"/>
    </row>
    <row r="541" spans="18:18" ht="15.75" customHeight="1">
      <c r="R541" s="30"/>
    </row>
    <row r="542" spans="18:18" ht="15.75" customHeight="1">
      <c r="R542" s="30"/>
    </row>
    <row r="543" spans="18:18" ht="15.75" customHeight="1">
      <c r="R543" s="30"/>
    </row>
    <row r="544" spans="18:18" ht="15.75" customHeight="1">
      <c r="R544" s="30"/>
    </row>
    <row r="545" spans="18:18" ht="15.75" customHeight="1">
      <c r="R545" s="30"/>
    </row>
    <row r="546" spans="18:18" ht="15.75" customHeight="1">
      <c r="R546" s="30"/>
    </row>
    <row r="547" spans="18:18" ht="15.75" customHeight="1">
      <c r="R547" s="30"/>
    </row>
    <row r="548" spans="18:18" ht="15.75" customHeight="1">
      <c r="R548" s="30"/>
    </row>
    <row r="549" spans="18:18" ht="15.75" customHeight="1">
      <c r="R549" s="30"/>
    </row>
    <row r="550" spans="18:18" ht="15.75" customHeight="1">
      <c r="R550" s="30"/>
    </row>
    <row r="551" spans="18:18" ht="15.75" customHeight="1">
      <c r="R551" s="30"/>
    </row>
    <row r="552" spans="18:18" ht="15.75" customHeight="1">
      <c r="R552" s="30"/>
    </row>
    <row r="553" spans="18:18" ht="15.75" customHeight="1">
      <c r="R553" s="30"/>
    </row>
    <row r="554" spans="18:18" ht="15.75" customHeight="1">
      <c r="R554" s="30"/>
    </row>
    <row r="555" spans="18:18" ht="15.75" customHeight="1">
      <c r="R555" s="30"/>
    </row>
    <row r="556" spans="18:18" ht="15.75" customHeight="1">
      <c r="R556" s="30"/>
    </row>
    <row r="557" spans="18:18" ht="15.75" customHeight="1">
      <c r="R557" s="30"/>
    </row>
    <row r="558" spans="18:18" ht="15.75" customHeight="1">
      <c r="R558" s="30"/>
    </row>
    <row r="559" spans="18:18" ht="15.75" customHeight="1">
      <c r="R559" s="30"/>
    </row>
    <row r="560" spans="18:18" ht="15.75" customHeight="1">
      <c r="R560" s="30"/>
    </row>
    <row r="561" spans="18:18" ht="15.75" customHeight="1">
      <c r="R561" s="30"/>
    </row>
    <row r="562" spans="18:18" ht="15.75" customHeight="1">
      <c r="R562" s="30"/>
    </row>
    <row r="563" spans="18:18" ht="15.75" customHeight="1">
      <c r="R563" s="30"/>
    </row>
    <row r="564" spans="18:18" ht="15.75" customHeight="1">
      <c r="R564" s="30"/>
    </row>
    <row r="565" spans="18:18" ht="15.75" customHeight="1">
      <c r="R565" s="30"/>
    </row>
    <row r="566" spans="18:18" ht="15.75" customHeight="1">
      <c r="R566" s="30"/>
    </row>
    <row r="567" spans="18:18" ht="15.75" customHeight="1">
      <c r="R567" s="30"/>
    </row>
    <row r="568" spans="18:18" ht="15.75" customHeight="1">
      <c r="R568" s="30"/>
    </row>
    <row r="569" spans="18:18" ht="15.75" customHeight="1">
      <c r="R569" s="30"/>
    </row>
    <row r="570" spans="18:18" ht="15.75" customHeight="1">
      <c r="R570" s="30"/>
    </row>
    <row r="571" spans="18:18" ht="15.75" customHeight="1">
      <c r="R571" s="30"/>
    </row>
    <row r="572" spans="18:18" ht="15.75" customHeight="1">
      <c r="R572" s="30"/>
    </row>
    <row r="573" spans="18:18" ht="15.75" customHeight="1">
      <c r="R573" s="30"/>
    </row>
    <row r="574" spans="18:18" ht="15.75" customHeight="1">
      <c r="R574" s="30"/>
    </row>
    <row r="575" spans="18:18" ht="15.75" customHeight="1">
      <c r="R575" s="30"/>
    </row>
    <row r="576" spans="18:18" ht="15.75" customHeight="1">
      <c r="R576" s="30"/>
    </row>
    <row r="577" spans="18:18" ht="15.75" customHeight="1">
      <c r="R577" s="30"/>
    </row>
    <row r="578" spans="18:18" ht="15.75" customHeight="1">
      <c r="R578" s="30"/>
    </row>
    <row r="579" spans="18:18" ht="15.75" customHeight="1">
      <c r="R579" s="30"/>
    </row>
    <row r="580" spans="18:18" ht="15.75" customHeight="1">
      <c r="R580" s="30"/>
    </row>
    <row r="581" spans="18:18" ht="15.75" customHeight="1">
      <c r="R581" s="30"/>
    </row>
    <row r="582" spans="18:18" ht="15.75" customHeight="1">
      <c r="R582" s="30"/>
    </row>
    <row r="583" spans="18:18" ht="15.75" customHeight="1">
      <c r="R583" s="30"/>
    </row>
    <row r="584" spans="18:18" ht="15.75" customHeight="1">
      <c r="R584" s="30"/>
    </row>
    <row r="585" spans="18:18" ht="15.75" customHeight="1">
      <c r="R585" s="30"/>
    </row>
    <row r="586" spans="18:18" ht="15.75" customHeight="1">
      <c r="R586" s="30"/>
    </row>
    <row r="587" spans="18:18" ht="15.75" customHeight="1">
      <c r="R587" s="30"/>
    </row>
    <row r="588" spans="18:18" ht="15.75" customHeight="1">
      <c r="R588" s="30"/>
    </row>
    <row r="589" spans="18:18" ht="15.75" customHeight="1">
      <c r="R589" s="30"/>
    </row>
    <row r="590" spans="18:18" ht="15.75" customHeight="1">
      <c r="R590" s="30"/>
    </row>
    <row r="591" spans="18:18" ht="15.75" customHeight="1">
      <c r="R591" s="30"/>
    </row>
    <row r="592" spans="18:18" ht="15.75" customHeight="1">
      <c r="R592" s="30"/>
    </row>
    <row r="593" spans="18:18" ht="15.75" customHeight="1">
      <c r="R593" s="30"/>
    </row>
    <row r="594" spans="18:18" ht="15.75" customHeight="1">
      <c r="R594" s="30"/>
    </row>
    <row r="595" spans="18:18" ht="15.75" customHeight="1">
      <c r="R595" s="30"/>
    </row>
    <row r="596" spans="18:18" ht="15.75" customHeight="1">
      <c r="R596" s="30"/>
    </row>
    <row r="597" spans="18:18" ht="15.75" customHeight="1">
      <c r="R597" s="30"/>
    </row>
    <row r="598" spans="18:18" ht="15.75" customHeight="1">
      <c r="R598" s="30"/>
    </row>
    <row r="599" spans="18:18" ht="15.75" customHeight="1">
      <c r="R599" s="30"/>
    </row>
    <row r="600" spans="18:18" ht="15.75" customHeight="1">
      <c r="R600" s="30"/>
    </row>
    <row r="601" spans="18:18" ht="15.75" customHeight="1">
      <c r="R601" s="30"/>
    </row>
    <row r="602" spans="18:18" ht="15.75" customHeight="1">
      <c r="R602" s="30"/>
    </row>
    <row r="603" spans="18:18" ht="15.75" customHeight="1">
      <c r="R603" s="30"/>
    </row>
    <row r="604" spans="18:18" ht="15.75" customHeight="1">
      <c r="R604" s="30"/>
    </row>
    <row r="605" spans="18:18" ht="15.75" customHeight="1">
      <c r="R605" s="30"/>
    </row>
    <row r="606" spans="18:18" ht="15.75" customHeight="1">
      <c r="R606" s="30"/>
    </row>
    <row r="607" spans="18:18" ht="15.75" customHeight="1">
      <c r="R607" s="30"/>
    </row>
    <row r="608" spans="18:18" ht="15.75" customHeight="1">
      <c r="R608" s="30"/>
    </row>
    <row r="609" spans="18:18" ht="15.75" customHeight="1">
      <c r="R609" s="30"/>
    </row>
    <row r="610" spans="18:18" ht="15.75" customHeight="1">
      <c r="R610" s="30"/>
    </row>
    <row r="611" spans="18:18" ht="15.75" customHeight="1">
      <c r="R611" s="30"/>
    </row>
    <row r="612" spans="18:18" ht="15.75" customHeight="1">
      <c r="R612" s="30"/>
    </row>
    <row r="613" spans="18:18" ht="15.75" customHeight="1">
      <c r="R613" s="30"/>
    </row>
    <row r="614" spans="18:18" ht="15.75" customHeight="1">
      <c r="R614" s="30"/>
    </row>
    <row r="615" spans="18:18" ht="15.75" customHeight="1">
      <c r="R615" s="30"/>
    </row>
    <row r="616" spans="18:18" ht="15.75" customHeight="1">
      <c r="R616" s="30"/>
    </row>
    <row r="617" spans="18:18" ht="15.75" customHeight="1">
      <c r="R617" s="30"/>
    </row>
    <row r="618" spans="18:18" ht="15.75" customHeight="1">
      <c r="R618" s="30"/>
    </row>
    <row r="619" spans="18:18" ht="15.75" customHeight="1">
      <c r="R619" s="30"/>
    </row>
    <row r="620" spans="18:18" ht="15.75" customHeight="1">
      <c r="R620" s="30"/>
    </row>
    <row r="621" spans="18:18" ht="15.75" customHeight="1">
      <c r="R621" s="30"/>
    </row>
    <row r="622" spans="18:18" ht="15.75" customHeight="1">
      <c r="R622" s="30"/>
    </row>
    <row r="623" spans="18:18" ht="15.75" customHeight="1">
      <c r="R623" s="30"/>
    </row>
    <row r="624" spans="18:18" ht="15.75" customHeight="1">
      <c r="R624" s="30"/>
    </row>
    <row r="625" spans="18:18" ht="15.75" customHeight="1">
      <c r="R625" s="30"/>
    </row>
    <row r="626" spans="18:18" ht="15.75" customHeight="1">
      <c r="R626" s="30"/>
    </row>
    <row r="627" spans="18:18" ht="15.75" customHeight="1">
      <c r="R627" s="30"/>
    </row>
    <row r="628" spans="18:18" ht="15.75" customHeight="1">
      <c r="R628" s="30"/>
    </row>
    <row r="629" spans="18:18" ht="15.75" customHeight="1">
      <c r="R629" s="30"/>
    </row>
    <row r="630" spans="18:18" ht="15.75" customHeight="1">
      <c r="R630" s="30"/>
    </row>
    <row r="631" spans="18:18" ht="15.75" customHeight="1">
      <c r="R631" s="30"/>
    </row>
    <row r="632" spans="18:18" ht="15.75" customHeight="1">
      <c r="R632" s="30"/>
    </row>
    <row r="633" spans="18:18" ht="15.75" customHeight="1">
      <c r="R633" s="30"/>
    </row>
    <row r="634" spans="18:18" ht="15.75" customHeight="1">
      <c r="R634" s="30"/>
    </row>
    <row r="635" spans="18:18" ht="15.75" customHeight="1">
      <c r="R635" s="30"/>
    </row>
    <row r="636" spans="18:18" ht="15.75" customHeight="1">
      <c r="R636" s="30"/>
    </row>
    <row r="637" spans="18:18" ht="15.75" customHeight="1">
      <c r="R637" s="30"/>
    </row>
    <row r="638" spans="18:18" ht="15.75" customHeight="1">
      <c r="R638" s="30"/>
    </row>
    <row r="639" spans="18:18" ht="15.75" customHeight="1">
      <c r="R639" s="30"/>
    </row>
    <row r="640" spans="18:18" ht="15.75" customHeight="1">
      <c r="R640" s="30"/>
    </row>
    <row r="641" spans="18:18" ht="15.75" customHeight="1">
      <c r="R641" s="30"/>
    </row>
    <row r="642" spans="18:18" ht="15.75" customHeight="1">
      <c r="R642" s="30"/>
    </row>
    <row r="643" spans="18:18" ht="15.75" customHeight="1">
      <c r="R643" s="30"/>
    </row>
    <row r="644" spans="18:18" ht="15.75" customHeight="1">
      <c r="R644" s="30"/>
    </row>
    <row r="645" spans="18:18" ht="15.75" customHeight="1">
      <c r="R645" s="30"/>
    </row>
    <row r="646" spans="18:18" ht="15.75" customHeight="1">
      <c r="R646" s="30"/>
    </row>
    <row r="647" spans="18:18" ht="15.75" customHeight="1">
      <c r="R647" s="30"/>
    </row>
    <row r="648" spans="18:18" ht="15.75" customHeight="1">
      <c r="R648" s="30"/>
    </row>
    <row r="649" spans="18:18" ht="15.75" customHeight="1">
      <c r="R649" s="30"/>
    </row>
    <row r="650" spans="18:18" ht="15.75" customHeight="1">
      <c r="R650" s="30"/>
    </row>
    <row r="651" spans="18:18" ht="15.75" customHeight="1">
      <c r="R651" s="30"/>
    </row>
    <row r="652" spans="18:18" ht="15.75" customHeight="1">
      <c r="R652" s="30"/>
    </row>
    <row r="653" spans="18:18" ht="15.75" customHeight="1">
      <c r="R653" s="30"/>
    </row>
    <row r="654" spans="18:18" ht="15.75" customHeight="1">
      <c r="R654" s="30"/>
    </row>
    <row r="655" spans="18:18" ht="15.75" customHeight="1">
      <c r="R655" s="30"/>
    </row>
    <row r="656" spans="18:18" ht="15.75" customHeight="1">
      <c r="R656" s="30"/>
    </row>
    <row r="657" spans="18:18" ht="15.75" customHeight="1">
      <c r="R657" s="30"/>
    </row>
    <row r="658" spans="18:18" ht="15.75" customHeight="1">
      <c r="R658" s="30"/>
    </row>
    <row r="659" spans="18:18" ht="15.75" customHeight="1">
      <c r="R659" s="30"/>
    </row>
    <row r="660" spans="18:18" ht="15.75" customHeight="1">
      <c r="R660" s="30"/>
    </row>
    <row r="661" spans="18:18" ht="15.75" customHeight="1">
      <c r="R661" s="30"/>
    </row>
    <row r="662" spans="18:18" ht="15.75" customHeight="1">
      <c r="R662" s="30"/>
    </row>
    <row r="663" spans="18:18" ht="15.75" customHeight="1">
      <c r="R663" s="30"/>
    </row>
    <row r="664" spans="18:18" ht="15.75" customHeight="1">
      <c r="R664" s="30"/>
    </row>
    <row r="665" spans="18:18" ht="15.75" customHeight="1">
      <c r="R665" s="30"/>
    </row>
    <row r="666" spans="18:18" ht="15.75" customHeight="1">
      <c r="R666" s="30"/>
    </row>
    <row r="667" spans="18:18" ht="15.75" customHeight="1">
      <c r="R667" s="30"/>
    </row>
    <row r="668" spans="18:18" ht="15.75" customHeight="1">
      <c r="R668" s="30"/>
    </row>
    <row r="669" spans="18:18" ht="15.75" customHeight="1">
      <c r="R669" s="30"/>
    </row>
    <row r="670" spans="18:18" ht="15.75" customHeight="1">
      <c r="R670" s="30"/>
    </row>
    <row r="671" spans="18:18" ht="15.75" customHeight="1">
      <c r="R671" s="30"/>
    </row>
    <row r="672" spans="18:18" ht="15.75" customHeight="1">
      <c r="R672" s="30"/>
    </row>
    <row r="673" spans="18:18" ht="15.75" customHeight="1">
      <c r="R673" s="30"/>
    </row>
    <row r="674" spans="18:18" ht="15.75" customHeight="1">
      <c r="R674" s="30"/>
    </row>
    <row r="675" spans="18:18" ht="15.75" customHeight="1">
      <c r="R675" s="30"/>
    </row>
    <row r="676" spans="18:18" ht="15.75" customHeight="1">
      <c r="R676" s="30"/>
    </row>
    <row r="677" spans="18:18" ht="15.75" customHeight="1">
      <c r="R677" s="30"/>
    </row>
    <row r="678" spans="18:18" ht="15.75" customHeight="1">
      <c r="R678" s="30"/>
    </row>
    <row r="679" spans="18:18" ht="15.75" customHeight="1">
      <c r="R679" s="30"/>
    </row>
    <row r="680" spans="18:18" ht="15.75" customHeight="1">
      <c r="R680" s="30"/>
    </row>
    <row r="681" spans="18:18" ht="15.75" customHeight="1">
      <c r="R681" s="30"/>
    </row>
    <row r="682" spans="18:18" ht="15.75" customHeight="1">
      <c r="R682" s="30"/>
    </row>
    <row r="683" spans="18:18" ht="15.75" customHeight="1">
      <c r="R683" s="30"/>
    </row>
    <row r="684" spans="18:18" ht="15.75" customHeight="1">
      <c r="R684" s="30"/>
    </row>
    <row r="685" spans="18:18" ht="15.75" customHeight="1">
      <c r="R685" s="30"/>
    </row>
    <row r="686" spans="18:18" ht="15.75" customHeight="1">
      <c r="R686" s="30"/>
    </row>
    <row r="687" spans="18:18" ht="15.75" customHeight="1">
      <c r="R687" s="30"/>
    </row>
    <row r="688" spans="18:18" ht="15.75" customHeight="1">
      <c r="R688" s="30"/>
    </row>
    <row r="689" spans="18:18" ht="15.75" customHeight="1">
      <c r="R689" s="30"/>
    </row>
    <row r="690" spans="18:18" ht="15.75" customHeight="1">
      <c r="R690" s="30"/>
    </row>
    <row r="691" spans="18:18" ht="15.75" customHeight="1">
      <c r="R691" s="30"/>
    </row>
    <row r="692" spans="18:18" ht="15.75" customHeight="1">
      <c r="R692" s="30"/>
    </row>
    <row r="693" spans="18:18" ht="15.75" customHeight="1">
      <c r="R693" s="30"/>
    </row>
    <row r="694" spans="18:18" ht="15.75" customHeight="1">
      <c r="R694" s="30"/>
    </row>
    <row r="695" spans="18:18" ht="15.75" customHeight="1">
      <c r="R695" s="30"/>
    </row>
    <row r="696" spans="18:18" ht="15.75" customHeight="1">
      <c r="R696" s="30"/>
    </row>
    <row r="697" spans="18:18" ht="15.75" customHeight="1">
      <c r="R697" s="30"/>
    </row>
    <row r="698" spans="18:18" ht="15.75" customHeight="1">
      <c r="R698" s="30"/>
    </row>
    <row r="699" spans="18:18" ht="15.75" customHeight="1">
      <c r="R699" s="30"/>
    </row>
    <row r="700" spans="18:18" ht="15.75" customHeight="1">
      <c r="R700" s="30"/>
    </row>
    <row r="701" spans="18:18" ht="15.75" customHeight="1">
      <c r="R701" s="30"/>
    </row>
    <row r="702" spans="18:18" ht="15.75" customHeight="1">
      <c r="R702" s="30"/>
    </row>
    <row r="703" spans="18:18" ht="15.75" customHeight="1">
      <c r="R703" s="30"/>
    </row>
    <row r="704" spans="18:18" ht="15.75" customHeight="1">
      <c r="R704" s="30"/>
    </row>
    <row r="705" spans="18:18" ht="15.75" customHeight="1">
      <c r="R705" s="30"/>
    </row>
    <row r="706" spans="18:18" ht="15.75" customHeight="1">
      <c r="R706" s="30"/>
    </row>
    <row r="707" spans="18:18" ht="15.75" customHeight="1">
      <c r="R707" s="30"/>
    </row>
    <row r="708" spans="18:18" ht="15.75" customHeight="1">
      <c r="R708" s="30"/>
    </row>
    <row r="709" spans="18:18" ht="15.75" customHeight="1">
      <c r="R709" s="30"/>
    </row>
    <row r="710" spans="18:18" ht="15.75" customHeight="1">
      <c r="R710" s="30"/>
    </row>
    <row r="711" spans="18:18" ht="15.75" customHeight="1">
      <c r="R711" s="30"/>
    </row>
    <row r="712" spans="18:18" ht="15.75" customHeight="1">
      <c r="R712" s="30"/>
    </row>
    <row r="713" spans="18:18" ht="15.75" customHeight="1">
      <c r="R713" s="30"/>
    </row>
    <row r="714" spans="18:18" ht="15.75" customHeight="1">
      <c r="R714" s="30"/>
    </row>
    <row r="715" spans="18:18" ht="15.75" customHeight="1">
      <c r="R715" s="30"/>
    </row>
    <row r="716" spans="18:18" ht="15.75" customHeight="1">
      <c r="R716" s="30"/>
    </row>
    <row r="717" spans="18:18" ht="15.75" customHeight="1">
      <c r="R717" s="30"/>
    </row>
    <row r="718" spans="18:18" ht="15.75" customHeight="1">
      <c r="R718" s="30"/>
    </row>
    <row r="719" spans="18:18" ht="15.75" customHeight="1">
      <c r="R719" s="30"/>
    </row>
    <row r="720" spans="18:18" ht="15.75" customHeight="1">
      <c r="R720" s="30"/>
    </row>
    <row r="721" spans="18:18" ht="15.75" customHeight="1">
      <c r="R721" s="30"/>
    </row>
    <row r="722" spans="18:18" ht="15.75" customHeight="1">
      <c r="R722" s="30"/>
    </row>
    <row r="723" spans="18:18" ht="15.75" customHeight="1">
      <c r="R723" s="30"/>
    </row>
    <row r="724" spans="18:18" ht="15.75" customHeight="1">
      <c r="R724" s="30"/>
    </row>
    <row r="725" spans="18:18" ht="15.75" customHeight="1">
      <c r="R725" s="30"/>
    </row>
    <row r="726" spans="18:18" ht="15.75" customHeight="1">
      <c r="R726" s="30"/>
    </row>
    <row r="727" spans="18:18" ht="15.75" customHeight="1">
      <c r="R727" s="30"/>
    </row>
    <row r="728" spans="18:18" ht="15.75" customHeight="1">
      <c r="R728" s="30"/>
    </row>
    <row r="729" spans="18:18" ht="15.75" customHeight="1">
      <c r="R729" s="30"/>
    </row>
    <row r="730" spans="18:18" ht="15.75" customHeight="1">
      <c r="R730" s="30"/>
    </row>
    <row r="731" spans="18:18" ht="15.75" customHeight="1">
      <c r="R731" s="30"/>
    </row>
    <row r="732" spans="18:18" ht="15.75" customHeight="1">
      <c r="R732" s="30"/>
    </row>
    <row r="733" spans="18:18" ht="15.75" customHeight="1">
      <c r="R733" s="30"/>
    </row>
    <row r="734" spans="18:18" ht="15.75" customHeight="1">
      <c r="R734" s="30"/>
    </row>
    <row r="735" spans="18:18" ht="15.75" customHeight="1">
      <c r="R735" s="30"/>
    </row>
    <row r="736" spans="18:18" ht="15.75" customHeight="1">
      <c r="R736" s="30"/>
    </row>
    <row r="737" spans="18:18" ht="15.75" customHeight="1">
      <c r="R737" s="30"/>
    </row>
    <row r="738" spans="18:18" ht="15.75" customHeight="1">
      <c r="R738" s="30"/>
    </row>
    <row r="739" spans="18:18" ht="15.75" customHeight="1">
      <c r="R739" s="30"/>
    </row>
    <row r="740" spans="18:18" ht="15.75" customHeight="1">
      <c r="R740" s="30"/>
    </row>
    <row r="741" spans="18:18" ht="15.75" customHeight="1">
      <c r="R741" s="30"/>
    </row>
    <row r="742" spans="18:18" ht="15.75" customHeight="1">
      <c r="R742" s="30"/>
    </row>
    <row r="743" spans="18:18" ht="15.75" customHeight="1">
      <c r="R743" s="30"/>
    </row>
    <row r="744" spans="18:18" ht="15.75" customHeight="1">
      <c r="R744" s="30"/>
    </row>
    <row r="745" spans="18:18" ht="15.75" customHeight="1">
      <c r="R745" s="30"/>
    </row>
    <row r="746" spans="18:18" ht="15.75" customHeight="1">
      <c r="R746" s="30"/>
    </row>
    <row r="747" spans="18:18" ht="15.75" customHeight="1">
      <c r="R747" s="30"/>
    </row>
    <row r="748" spans="18:18" ht="15.75" customHeight="1">
      <c r="R748" s="30"/>
    </row>
    <row r="749" spans="18:18" ht="15.75" customHeight="1">
      <c r="R749" s="30"/>
    </row>
    <row r="750" spans="18:18" ht="15.75" customHeight="1">
      <c r="R750" s="30"/>
    </row>
    <row r="751" spans="18:18" ht="15.75" customHeight="1">
      <c r="R751" s="30"/>
    </row>
    <row r="752" spans="18:18" ht="15.75" customHeight="1">
      <c r="R752" s="30"/>
    </row>
    <row r="753" spans="18:18" ht="15.75" customHeight="1">
      <c r="R753" s="30"/>
    </row>
    <row r="754" spans="18:18" ht="15.75" customHeight="1">
      <c r="R754" s="30"/>
    </row>
    <row r="755" spans="18:18" ht="15.75" customHeight="1">
      <c r="R755" s="30"/>
    </row>
    <row r="756" spans="18:18" ht="15.75" customHeight="1">
      <c r="R756" s="30"/>
    </row>
    <row r="757" spans="18:18" ht="15.75" customHeight="1">
      <c r="R757" s="30"/>
    </row>
    <row r="758" spans="18:18" ht="15.75" customHeight="1">
      <c r="R758" s="30"/>
    </row>
    <row r="759" spans="18:18" ht="15.75" customHeight="1">
      <c r="R759" s="30"/>
    </row>
    <row r="760" spans="18:18" ht="15.75" customHeight="1">
      <c r="R760" s="30"/>
    </row>
    <row r="761" spans="18:18" ht="15.75" customHeight="1">
      <c r="R761" s="30"/>
    </row>
    <row r="762" spans="18:18" ht="15.75" customHeight="1">
      <c r="R762" s="30"/>
    </row>
    <row r="763" spans="18:18" ht="15.75" customHeight="1">
      <c r="R763" s="30"/>
    </row>
    <row r="764" spans="18:18" ht="15.75" customHeight="1">
      <c r="R764" s="30"/>
    </row>
    <row r="765" spans="18:18" ht="15.75" customHeight="1">
      <c r="R765" s="30"/>
    </row>
    <row r="766" spans="18:18" ht="15.75" customHeight="1">
      <c r="R766" s="30"/>
    </row>
    <row r="767" spans="18:18" ht="15.75" customHeight="1">
      <c r="R767" s="30"/>
    </row>
    <row r="768" spans="18:18" ht="15.75" customHeight="1">
      <c r="R768" s="30"/>
    </row>
    <row r="769" spans="18:18" ht="15.75" customHeight="1">
      <c r="R769" s="30"/>
    </row>
    <row r="770" spans="18:18" ht="15.75" customHeight="1">
      <c r="R770" s="30"/>
    </row>
    <row r="771" spans="18:18" ht="15.75" customHeight="1">
      <c r="R771" s="30"/>
    </row>
    <row r="772" spans="18:18" ht="15.75" customHeight="1">
      <c r="R772" s="30"/>
    </row>
    <row r="773" spans="18:18" ht="15.75" customHeight="1">
      <c r="R773" s="30"/>
    </row>
    <row r="774" spans="18:18" ht="15.75" customHeight="1">
      <c r="R774" s="30"/>
    </row>
    <row r="775" spans="18:18" ht="15.75" customHeight="1">
      <c r="R775" s="30"/>
    </row>
    <row r="776" spans="18:18" ht="15.75" customHeight="1">
      <c r="R776" s="30"/>
    </row>
    <row r="777" spans="18:18" ht="15.75" customHeight="1">
      <c r="R777" s="30"/>
    </row>
    <row r="778" spans="18:18" ht="15.75" customHeight="1">
      <c r="R778" s="30"/>
    </row>
    <row r="779" spans="18:18" ht="15.75" customHeight="1">
      <c r="R779" s="30"/>
    </row>
    <row r="780" spans="18:18" ht="15.75" customHeight="1">
      <c r="R780" s="30"/>
    </row>
    <row r="781" spans="18:18" ht="15.75" customHeight="1">
      <c r="R781" s="30"/>
    </row>
    <row r="782" spans="18:18" ht="15.75" customHeight="1">
      <c r="R782" s="30"/>
    </row>
    <row r="783" spans="18:18" ht="15.75" customHeight="1">
      <c r="R783" s="30"/>
    </row>
    <row r="784" spans="18:18" ht="15.75" customHeight="1">
      <c r="R784" s="30"/>
    </row>
    <row r="785" spans="18:18" ht="15.75" customHeight="1">
      <c r="R785" s="30"/>
    </row>
    <row r="786" spans="18:18" ht="15.75" customHeight="1">
      <c r="R786" s="30"/>
    </row>
    <row r="787" spans="18:18" ht="15.75" customHeight="1">
      <c r="R787" s="30"/>
    </row>
    <row r="788" spans="18:18" ht="15.75" customHeight="1">
      <c r="R788" s="30"/>
    </row>
    <row r="789" spans="18:18" ht="15.75" customHeight="1">
      <c r="R789" s="30"/>
    </row>
    <row r="790" spans="18:18" ht="15.75" customHeight="1">
      <c r="R790" s="30"/>
    </row>
    <row r="791" spans="18:18" ht="15.75" customHeight="1">
      <c r="R791" s="30"/>
    </row>
    <row r="792" spans="18:18" ht="15.75" customHeight="1">
      <c r="R792" s="30"/>
    </row>
    <row r="793" spans="18:18" ht="15.75" customHeight="1">
      <c r="R793" s="30"/>
    </row>
    <row r="794" spans="18:18" ht="15.75" customHeight="1">
      <c r="R794" s="30"/>
    </row>
    <row r="795" spans="18:18" ht="15.75" customHeight="1">
      <c r="R795" s="30"/>
    </row>
    <row r="796" spans="18:18" ht="15.75" customHeight="1">
      <c r="R796" s="30"/>
    </row>
    <row r="797" spans="18:18" ht="15.75" customHeight="1">
      <c r="R797" s="30"/>
    </row>
    <row r="798" spans="18:18" ht="15.75" customHeight="1">
      <c r="R798" s="30"/>
    </row>
    <row r="799" spans="18:18" ht="15.75" customHeight="1">
      <c r="R799" s="30"/>
    </row>
    <row r="800" spans="18:18" ht="15.75" customHeight="1">
      <c r="R800" s="30"/>
    </row>
    <row r="801" spans="18:18" ht="15.75" customHeight="1">
      <c r="R801" s="30"/>
    </row>
    <row r="802" spans="18:18" ht="15.75" customHeight="1">
      <c r="R802" s="30"/>
    </row>
    <row r="803" spans="18:18" ht="15.75" customHeight="1">
      <c r="R803" s="30"/>
    </row>
    <row r="804" spans="18:18" ht="15.75" customHeight="1">
      <c r="R804" s="30"/>
    </row>
    <row r="805" spans="18:18" ht="15.75" customHeight="1">
      <c r="R805" s="30"/>
    </row>
    <row r="806" spans="18:18" ht="15.75" customHeight="1">
      <c r="R806" s="30"/>
    </row>
    <row r="807" spans="18:18" ht="15.75" customHeight="1">
      <c r="R807" s="30"/>
    </row>
    <row r="808" spans="18:18" ht="15.75" customHeight="1">
      <c r="R808" s="30"/>
    </row>
    <row r="809" spans="18:18" ht="15.75" customHeight="1">
      <c r="R809" s="30"/>
    </row>
    <row r="810" spans="18:18" ht="15.75" customHeight="1">
      <c r="R810" s="30"/>
    </row>
    <row r="811" spans="18:18" ht="15.75" customHeight="1">
      <c r="R811" s="30"/>
    </row>
    <row r="812" spans="18:18" ht="15.75" customHeight="1">
      <c r="R812" s="30"/>
    </row>
    <row r="813" spans="18:18" ht="15.75" customHeight="1">
      <c r="R813" s="30"/>
    </row>
    <row r="814" spans="18:18" ht="15.75" customHeight="1">
      <c r="R814" s="30"/>
    </row>
    <row r="815" spans="18:18" ht="15.75" customHeight="1">
      <c r="R815" s="30"/>
    </row>
    <row r="816" spans="18:18" ht="15.75" customHeight="1">
      <c r="R816" s="30"/>
    </row>
    <row r="817" spans="18:18" ht="15.75" customHeight="1">
      <c r="R817" s="30"/>
    </row>
    <row r="818" spans="18:18" ht="15.75" customHeight="1">
      <c r="R818" s="30"/>
    </row>
    <row r="819" spans="18:18" ht="15.75" customHeight="1">
      <c r="R819" s="30"/>
    </row>
    <row r="820" spans="18:18" ht="15.75" customHeight="1">
      <c r="R820" s="30"/>
    </row>
    <row r="821" spans="18:18" ht="15.75" customHeight="1">
      <c r="R821" s="30"/>
    </row>
    <row r="822" spans="18:18" ht="15.75" customHeight="1">
      <c r="R822" s="30"/>
    </row>
    <row r="823" spans="18:18" ht="15.75" customHeight="1">
      <c r="R823" s="30"/>
    </row>
    <row r="824" spans="18:18" ht="15.75" customHeight="1">
      <c r="R824" s="30"/>
    </row>
    <row r="825" spans="18:18" ht="15.75" customHeight="1">
      <c r="R825" s="30"/>
    </row>
    <row r="826" spans="18:18" ht="15.75" customHeight="1">
      <c r="R826" s="30"/>
    </row>
    <row r="827" spans="18:18" ht="15.75" customHeight="1">
      <c r="R827" s="30"/>
    </row>
    <row r="828" spans="18:18" ht="15.75" customHeight="1">
      <c r="R828" s="30"/>
    </row>
    <row r="829" spans="18:18" ht="15.75" customHeight="1">
      <c r="R829" s="30"/>
    </row>
    <row r="830" spans="18:18" ht="15.75" customHeight="1">
      <c r="R830" s="30"/>
    </row>
    <row r="831" spans="18:18" ht="15.75" customHeight="1">
      <c r="R831" s="30"/>
    </row>
    <row r="832" spans="18:18" ht="15.75" customHeight="1">
      <c r="R832" s="30"/>
    </row>
    <row r="833" spans="18:18" ht="15.75" customHeight="1">
      <c r="R833" s="30"/>
    </row>
    <row r="834" spans="18:18" ht="15.75" customHeight="1">
      <c r="R834" s="30"/>
    </row>
    <row r="835" spans="18:18" ht="15.75" customHeight="1">
      <c r="R835" s="30"/>
    </row>
    <row r="836" spans="18:18" ht="15.75" customHeight="1">
      <c r="R836" s="30"/>
    </row>
    <row r="837" spans="18:18" ht="15.75" customHeight="1">
      <c r="R837" s="30"/>
    </row>
    <row r="838" spans="18:18" ht="15.75" customHeight="1">
      <c r="R838" s="30"/>
    </row>
    <row r="839" spans="18:18" ht="15.75" customHeight="1">
      <c r="R839" s="30"/>
    </row>
    <row r="840" spans="18:18" ht="15.75" customHeight="1">
      <c r="R840" s="30"/>
    </row>
    <row r="841" spans="18:18" ht="15.75" customHeight="1">
      <c r="R841" s="30"/>
    </row>
    <row r="842" spans="18:18" ht="15.75" customHeight="1">
      <c r="R842" s="30"/>
    </row>
    <row r="843" spans="18:18" ht="15.75" customHeight="1">
      <c r="R843" s="30"/>
    </row>
    <row r="844" spans="18:18" ht="15.75" customHeight="1">
      <c r="R844" s="30"/>
    </row>
    <row r="845" spans="18:18" ht="15.75" customHeight="1">
      <c r="R845" s="30"/>
    </row>
    <row r="846" spans="18:18" ht="15.75" customHeight="1">
      <c r="R846" s="30"/>
    </row>
    <row r="847" spans="18:18" ht="15.75" customHeight="1">
      <c r="R847" s="30"/>
    </row>
    <row r="848" spans="18:18" ht="15.75" customHeight="1">
      <c r="R848" s="30"/>
    </row>
    <row r="849" spans="18:18" ht="15.75" customHeight="1">
      <c r="R849" s="30"/>
    </row>
    <row r="850" spans="18:18" ht="15.75" customHeight="1">
      <c r="R850" s="30"/>
    </row>
    <row r="851" spans="18:18" ht="15.75" customHeight="1">
      <c r="R851" s="30"/>
    </row>
    <row r="852" spans="18:18" ht="15.75" customHeight="1">
      <c r="R852" s="30"/>
    </row>
    <row r="853" spans="18:18" ht="15.75" customHeight="1">
      <c r="R853" s="30"/>
    </row>
    <row r="854" spans="18:18" ht="15.75" customHeight="1">
      <c r="R854" s="30"/>
    </row>
    <row r="855" spans="18:18" ht="15.75" customHeight="1">
      <c r="R855" s="30"/>
    </row>
    <row r="856" spans="18:18" ht="15.75" customHeight="1">
      <c r="R856" s="30"/>
    </row>
    <row r="857" spans="18:18" ht="15.75" customHeight="1">
      <c r="R857" s="30"/>
    </row>
    <row r="858" spans="18:18" ht="15.75" customHeight="1">
      <c r="R858" s="30"/>
    </row>
    <row r="859" spans="18:18" ht="15.75" customHeight="1">
      <c r="R859" s="30"/>
    </row>
    <row r="860" spans="18:18" ht="15.75" customHeight="1">
      <c r="R860" s="30"/>
    </row>
    <row r="861" spans="18:18" ht="15.75" customHeight="1">
      <c r="R861" s="30"/>
    </row>
    <row r="862" spans="18:18" ht="15.75" customHeight="1">
      <c r="R862" s="30"/>
    </row>
    <row r="863" spans="18:18" ht="15.75" customHeight="1">
      <c r="R863" s="30"/>
    </row>
    <row r="864" spans="18:18" ht="15.75" customHeight="1">
      <c r="R864" s="30"/>
    </row>
    <row r="865" spans="18:18" ht="15.75" customHeight="1">
      <c r="R865" s="30"/>
    </row>
    <row r="866" spans="18:18" ht="15.75" customHeight="1">
      <c r="R866" s="30"/>
    </row>
    <row r="867" spans="18:18" ht="15.75" customHeight="1">
      <c r="R867" s="30"/>
    </row>
    <row r="868" spans="18:18" ht="15.75" customHeight="1">
      <c r="R868" s="30"/>
    </row>
    <row r="869" spans="18:18" ht="15.75" customHeight="1">
      <c r="R869" s="30"/>
    </row>
    <row r="870" spans="18:18" ht="15.75" customHeight="1">
      <c r="R870" s="30"/>
    </row>
    <row r="871" spans="18:18" ht="15.75" customHeight="1">
      <c r="R871" s="30"/>
    </row>
    <row r="872" spans="18:18" ht="15.75" customHeight="1">
      <c r="R872" s="30"/>
    </row>
    <row r="873" spans="18:18" ht="15.75" customHeight="1">
      <c r="R873" s="30"/>
    </row>
    <row r="874" spans="18:18" ht="15.75" customHeight="1">
      <c r="R874" s="30"/>
    </row>
    <row r="875" spans="18:18" ht="15.75" customHeight="1">
      <c r="R875" s="30"/>
    </row>
    <row r="876" spans="18:18" ht="15.75" customHeight="1">
      <c r="R876" s="30"/>
    </row>
    <row r="877" spans="18:18" ht="15.75" customHeight="1">
      <c r="R877" s="30"/>
    </row>
    <row r="878" spans="18:18" ht="15.75" customHeight="1">
      <c r="R878" s="30"/>
    </row>
    <row r="879" spans="18:18" ht="15.75" customHeight="1">
      <c r="R879" s="30"/>
    </row>
    <row r="880" spans="18:18" ht="15.75" customHeight="1">
      <c r="R880" s="30"/>
    </row>
    <row r="881" spans="18:18" ht="15.75" customHeight="1">
      <c r="R881" s="30"/>
    </row>
    <row r="882" spans="18:18" ht="15.75" customHeight="1">
      <c r="R882" s="30"/>
    </row>
    <row r="883" spans="18:18" ht="15.75" customHeight="1">
      <c r="R883" s="30"/>
    </row>
    <row r="884" spans="18:18" ht="15.75" customHeight="1">
      <c r="R884" s="30"/>
    </row>
    <row r="885" spans="18:18" ht="15.75" customHeight="1">
      <c r="R885" s="30"/>
    </row>
    <row r="886" spans="18:18" ht="15.75" customHeight="1">
      <c r="R886" s="30"/>
    </row>
    <row r="887" spans="18:18" ht="15.75" customHeight="1">
      <c r="R887" s="30"/>
    </row>
    <row r="888" spans="18:18" ht="15.75" customHeight="1">
      <c r="R888" s="30"/>
    </row>
    <row r="889" spans="18:18" ht="15.75" customHeight="1">
      <c r="R889" s="30"/>
    </row>
    <row r="890" spans="18:18" ht="15.75" customHeight="1">
      <c r="R890" s="30"/>
    </row>
    <row r="891" spans="18:18" ht="15.75" customHeight="1">
      <c r="R891" s="30"/>
    </row>
    <row r="892" spans="18:18" ht="15.75" customHeight="1">
      <c r="R892" s="30"/>
    </row>
    <row r="893" spans="18:18" ht="15.75" customHeight="1">
      <c r="R893" s="30"/>
    </row>
    <row r="894" spans="18:18" ht="15.75" customHeight="1">
      <c r="R894" s="30"/>
    </row>
    <row r="895" spans="18:18" ht="15.75" customHeight="1">
      <c r="R895" s="30"/>
    </row>
    <row r="896" spans="18:18" ht="15.75" customHeight="1">
      <c r="R896" s="30"/>
    </row>
    <row r="897" spans="18:18" ht="15.75" customHeight="1">
      <c r="R897" s="30"/>
    </row>
    <row r="898" spans="18:18" ht="15.75" customHeight="1">
      <c r="R898" s="30"/>
    </row>
    <row r="899" spans="18:18" ht="15.75" customHeight="1">
      <c r="R899" s="30"/>
    </row>
    <row r="900" spans="18:18" ht="15.75" customHeight="1">
      <c r="R900" s="30"/>
    </row>
    <row r="901" spans="18:18" ht="15.75" customHeight="1">
      <c r="R901" s="30"/>
    </row>
    <row r="902" spans="18:18" ht="15.75" customHeight="1">
      <c r="R902" s="30"/>
    </row>
    <row r="903" spans="18:18" ht="15.75" customHeight="1">
      <c r="R903" s="30"/>
    </row>
    <row r="904" spans="18:18" ht="15.75" customHeight="1">
      <c r="R904" s="30"/>
    </row>
    <row r="905" spans="18:18" ht="15.75" customHeight="1">
      <c r="R905" s="30"/>
    </row>
    <row r="906" spans="18:18" ht="15.75" customHeight="1">
      <c r="R906" s="30"/>
    </row>
    <row r="907" spans="18:18" ht="15.75" customHeight="1">
      <c r="R907" s="30"/>
    </row>
    <row r="908" spans="18:18" ht="15.75" customHeight="1">
      <c r="R908" s="30"/>
    </row>
    <row r="909" spans="18:18" ht="15.75" customHeight="1">
      <c r="R909" s="30"/>
    </row>
    <row r="910" spans="18:18" ht="15.75" customHeight="1">
      <c r="R910" s="30"/>
    </row>
    <row r="911" spans="18:18" ht="15.75" customHeight="1">
      <c r="R911" s="30"/>
    </row>
    <row r="912" spans="18:18" ht="15.75" customHeight="1">
      <c r="R912" s="30"/>
    </row>
    <row r="913" spans="18:18" ht="15.75" customHeight="1">
      <c r="R913" s="30"/>
    </row>
    <row r="914" spans="18:18" ht="15.75" customHeight="1">
      <c r="R914" s="30"/>
    </row>
    <row r="915" spans="18:18" ht="15.75" customHeight="1">
      <c r="R915" s="30"/>
    </row>
    <row r="916" spans="18:18" ht="15.75" customHeight="1">
      <c r="R916" s="30"/>
    </row>
    <row r="917" spans="18:18" ht="15.75" customHeight="1">
      <c r="R917" s="30"/>
    </row>
    <row r="918" spans="18:18" ht="15.75" customHeight="1">
      <c r="R918" s="30"/>
    </row>
    <row r="919" spans="18:18" ht="15.75" customHeight="1">
      <c r="R919" s="30"/>
    </row>
    <row r="920" spans="18:18" ht="15.75" customHeight="1">
      <c r="R920" s="30"/>
    </row>
    <row r="921" spans="18:18" ht="15.75" customHeight="1">
      <c r="R921" s="30"/>
    </row>
    <row r="922" spans="18:18" ht="15.75" customHeight="1">
      <c r="R922" s="30"/>
    </row>
    <row r="923" spans="18:18" ht="15.75" customHeight="1">
      <c r="R923" s="30"/>
    </row>
    <row r="924" spans="18:18" ht="15.75" customHeight="1">
      <c r="R924" s="30"/>
    </row>
    <row r="925" spans="18:18" ht="15.75" customHeight="1">
      <c r="R925" s="30"/>
    </row>
    <row r="926" spans="18:18" ht="15.75" customHeight="1">
      <c r="R926" s="30"/>
    </row>
    <row r="927" spans="18:18" ht="15.75" customHeight="1">
      <c r="R927" s="30"/>
    </row>
    <row r="928" spans="18:18" ht="15.75" customHeight="1">
      <c r="R928" s="30"/>
    </row>
    <row r="929" spans="18:18" ht="15.75" customHeight="1">
      <c r="R929" s="30"/>
    </row>
    <row r="930" spans="18:18" ht="15.75" customHeight="1">
      <c r="R930" s="30"/>
    </row>
    <row r="931" spans="18:18" ht="15.75" customHeight="1">
      <c r="R931" s="30"/>
    </row>
    <row r="932" spans="18:18" ht="15.75" customHeight="1">
      <c r="R932" s="30"/>
    </row>
    <row r="933" spans="18:18" ht="15.75" customHeight="1">
      <c r="R933" s="30"/>
    </row>
    <row r="934" spans="18:18" ht="15.75" customHeight="1">
      <c r="R934" s="30"/>
    </row>
    <row r="935" spans="18:18" ht="15.75" customHeight="1">
      <c r="R935" s="30"/>
    </row>
    <row r="936" spans="18:18" ht="15.75" customHeight="1">
      <c r="R936" s="30"/>
    </row>
    <row r="937" spans="18:18" ht="15.75" customHeight="1">
      <c r="R937" s="30"/>
    </row>
    <row r="938" spans="18:18" ht="15.75" customHeight="1">
      <c r="R938" s="30"/>
    </row>
    <row r="939" spans="18:18" ht="15.75" customHeight="1">
      <c r="R939" s="30"/>
    </row>
    <row r="940" spans="18:18" ht="15.75" customHeight="1">
      <c r="R940" s="30"/>
    </row>
    <row r="941" spans="18:18" ht="15.75" customHeight="1">
      <c r="R941" s="30"/>
    </row>
    <row r="942" spans="18:18" ht="15.75" customHeight="1">
      <c r="R942" s="30"/>
    </row>
    <row r="943" spans="18:18" ht="15.75" customHeight="1">
      <c r="R943" s="30"/>
    </row>
    <row r="944" spans="18:18" ht="15.75" customHeight="1">
      <c r="R944" s="30"/>
    </row>
    <row r="945" spans="18:18" ht="15.75" customHeight="1">
      <c r="R945" s="30"/>
    </row>
    <row r="946" spans="18:18" ht="15.75" customHeight="1">
      <c r="R946" s="30"/>
    </row>
    <row r="947" spans="18:18" ht="15.75" customHeight="1">
      <c r="R947" s="30"/>
    </row>
    <row r="948" spans="18:18" ht="15.75" customHeight="1">
      <c r="R948" s="30"/>
    </row>
    <row r="949" spans="18:18" ht="15.75" customHeight="1">
      <c r="R949" s="30"/>
    </row>
    <row r="950" spans="18:18" ht="15.75" customHeight="1">
      <c r="R950" s="30"/>
    </row>
    <row r="951" spans="18:18" ht="15.75" customHeight="1">
      <c r="R951" s="30"/>
    </row>
    <row r="952" spans="18:18" ht="15.75" customHeight="1">
      <c r="R952" s="30"/>
    </row>
    <row r="953" spans="18:18" ht="15.75" customHeight="1">
      <c r="R953" s="30"/>
    </row>
    <row r="954" spans="18:18" ht="15.75" customHeight="1">
      <c r="R954" s="30"/>
    </row>
    <row r="955" spans="18:18" ht="15.75" customHeight="1">
      <c r="R955" s="30"/>
    </row>
    <row r="956" spans="18:18" ht="15.75" customHeight="1">
      <c r="R956" s="30"/>
    </row>
    <row r="957" spans="18:18" ht="15.75" customHeight="1">
      <c r="R957" s="30"/>
    </row>
    <row r="958" spans="18:18" ht="15.75" customHeight="1">
      <c r="R958" s="30"/>
    </row>
    <row r="959" spans="18:18" ht="15.75" customHeight="1">
      <c r="R959" s="30"/>
    </row>
    <row r="960" spans="18:18" ht="15.75" customHeight="1">
      <c r="R960" s="30"/>
    </row>
    <row r="961" spans="18:18" ht="15.75" customHeight="1">
      <c r="R961" s="30"/>
    </row>
    <row r="962" spans="18:18" ht="15.75" customHeight="1">
      <c r="R962" s="30"/>
    </row>
    <row r="963" spans="18:18" ht="15.75" customHeight="1">
      <c r="R963" s="30"/>
    </row>
    <row r="964" spans="18:18" ht="15.75" customHeight="1">
      <c r="R964" s="30"/>
    </row>
    <row r="965" spans="18:18" ht="15.75" customHeight="1">
      <c r="R965" s="30"/>
    </row>
    <row r="966" spans="18:18" ht="15.75" customHeight="1">
      <c r="R966" s="30"/>
    </row>
    <row r="967" spans="18:18" ht="15.75" customHeight="1">
      <c r="R967" s="30"/>
    </row>
    <row r="968" spans="18:18" ht="15.75" customHeight="1">
      <c r="R968" s="30"/>
    </row>
    <row r="969" spans="18:18" ht="15.75" customHeight="1">
      <c r="R969" s="30"/>
    </row>
    <row r="970" spans="18:18" ht="15.75" customHeight="1">
      <c r="R970" s="30"/>
    </row>
    <row r="971" spans="18:18" ht="15.75" customHeight="1">
      <c r="R971" s="30"/>
    </row>
    <row r="972" spans="18:18" ht="15.75" customHeight="1">
      <c r="R972" s="30"/>
    </row>
    <row r="973" spans="18:18" ht="15.75" customHeight="1">
      <c r="R973" s="30"/>
    </row>
    <row r="974" spans="18:18" ht="15.75" customHeight="1">
      <c r="R974" s="30"/>
    </row>
    <row r="975" spans="18:18" ht="15.75" customHeight="1">
      <c r="R975" s="30"/>
    </row>
    <row r="976" spans="18:18" ht="15.75" customHeight="1">
      <c r="R976" s="30"/>
    </row>
    <row r="977" spans="18:18" ht="15.75" customHeight="1">
      <c r="R977" s="30"/>
    </row>
    <row r="978" spans="18:18" ht="15.75" customHeight="1">
      <c r="R978" s="30"/>
    </row>
    <row r="979" spans="18:18" ht="15.75" customHeight="1">
      <c r="R979" s="30"/>
    </row>
    <row r="980" spans="18:18" ht="15.75" customHeight="1">
      <c r="R980" s="30"/>
    </row>
    <row r="981" spans="18:18" ht="15.75" customHeight="1">
      <c r="R981" s="30"/>
    </row>
    <row r="982" spans="18:18" ht="15.75" customHeight="1">
      <c r="R982" s="30"/>
    </row>
    <row r="983" spans="18:18" ht="15.75" customHeight="1">
      <c r="R983" s="30"/>
    </row>
    <row r="984" spans="18:18" ht="15.75" customHeight="1">
      <c r="R984" s="30"/>
    </row>
    <row r="985" spans="18:18" ht="15.75" customHeight="1">
      <c r="R985" s="30"/>
    </row>
    <row r="986" spans="18:18" ht="15.75" customHeight="1">
      <c r="R986" s="30"/>
    </row>
    <row r="987" spans="18:18" ht="15.75" customHeight="1">
      <c r="R987" s="30"/>
    </row>
    <row r="988" spans="18:18" ht="15.75" customHeight="1">
      <c r="R988" s="30"/>
    </row>
    <row r="989" spans="18:18" ht="15.75" customHeight="1">
      <c r="R989" s="30"/>
    </row>
    <row r="990" spans="18:18" ht="15.75" customHeight="1">
      <c r="R990" s="30"/>
    </row>
    <row r="991" spans="18:18" ht="15.75" customHeight="1">
      <c r="R991" s="30"/>
    </row>
    <row r="992" spans="18:18" ht="15.75" customHeight="1">
      <c r="R992" s="30"/>
    </row>
    <row r="993" spans="18:18" ht="15.75" customHeight="1">
      <c r="R993" s="30"/>
    </row>
    <row r="994" spans="18:18" ht="15.75" customHeight="1">
      <c r="R994" s="30"/>
    </row>
    <row r="995" spans="18:18" ht="15.75" customHeight="1">
      <c r="R995" s="30"/>
    </row>
    <row r="996" spans="18:18" ht="15.75" customHeight="1">
      <c r="R996" s="30"/>
    </row>
    <row r="997" spans="18:18" ht="15.75" customHeight="1">
      <c r="R997" s="30"/>
    </row>
    <row r="998" spans="18:18" ht="15.75" customHeight="1">
      <c r="R998" s="30"/>
    </row>
    <row r="999" spans="18:18" ht="15.75" customHeight="1">
      <c r="R999" s="30"/>
    </row>
    <row r="1000" spans="18:18" ht="15.75" customHeight="1">
      <c r="R1000" s="3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2.6640625" defaultRowHeight="15" customHeight="1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8.6640625" customWidth="1"/>
    <col min="6" max="6" width="9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17.1640625" customWidth="1"/>
    <col min="16" max="16" width="10" customWidth="1"/>
    <col min="17" max="18" width="7.33203125" customWidth="1"/>
    <col min="19" max="19" width="7.1640625" customWidth="1"/>
    <col min="20" max="20" width="11.1640625" customWidth="1"/>
    <col min="21" max="21" width="20.1640625" customWidth="1"/>
    <col min="22" max="22" width="84.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6640625" customWidth="1"/>
    <col min="32" max="32" width="10.1640625" customWidth="1"/>
    <col min="33" max="33" width="8.83203125" customWidth="1"/>
  </cols>
  <sheetData>
    <row r="1" spans="1:33" ht="18.75" customHeight="1">
      <c r="A1" s="46" t="str">
        <f ca="1">IFERROR(__xludf.DUMMYFUNCTION("IFERROR(VLOOKUP(B2,IMPORTRANGE(""https://docs.google.com/spreadsheets/d/1x0DhHglkXKoEBOD2MBsuK_EyIr1ouxD2ftIpqOYFa-k/edit?usp=sharing"",""Ubiquitty-SKU-Specific Info!B1:BJ5000""),3,FALSE),"""")"),"2 Pack of 2 Foot Lighted Outdoor Extension Cord with 3 Electrical Power Outlets-12/3 SJTW Heavy Duty Yellow Extension Cable with 3 Prong Grounded Plug for Safety-Great for Garden and Major Appliances")</f>
        <v>2 Pack of 2 Foot Lighted Outdoor Extension Cord with 3 Electrical Power Outlets-12/3 SJTW Heavy Duty Yellow Extension Cable with 3 Prong Grounded Plug for Safety-Great for Garden and Major Appliances</v>
      </c>
      <c r="B1" s="47"/>
      <c r="C1" s="48" t="s">
        <v>0</v>
      </c>
      <c r="D1" s="50" t="s">
        <v>1</v>
      </c>
      <c r="E1" s="50" t="s">
        <v>2</v>
      </c>
      <c r="F1" s="52" t="s">
        <v>3</v>
      </c>
      <c r="G1" s="52" t="s">
        <v>4</v>
      </c>
      <c r="H1" s="53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58" t="s">
        <v>10</v>
      </c>
      <c r="N1" s="59" t="s">
        <v>11</v>
      </c>
      <c r="O1" s="50" t="s">
        <v>12</v>
      </c>
      <c r="P1" s="50" t="s">
        <v>13</v>
      </c>
      <c r="Q1" s="57" t="s">
        <v>14</v>
      </c>
      <c r="R1" s="57" t="s">
        <v>15</v>
      </c>
      <c r="S1" s="60" t="s">
        <v>16</v>
      </c>
      <c r="T1" s="62" t="s">
        <v>2006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Info!B1:BJ5000""),2,FALSE),"""")"),"B081HD729N")</f>
        <v>B081HD729N</v>
      </c>
      <c r="B2" s="3" t="s">
        <v>1556</v>
      </c>
      <c r="C2" s="49"/>
      <c r="D2" s="49"/>
      <c r="E2" s="51"/>
      <c r="F2" s="49"/>
      <c r="G2" s="49"/>
      <c r="H2" s="54"/>
      <c r="I2" s="49"/>
      <c r="J2" s="49"/>
      <c r="K2" s="54"/>
      <c r="L2" s="54"/>
      <c r="M2" s="54"/>
      <c r="N2" s="49"/>
      <c r="O2" s="49"/>
      <c r="P2" s="51"/>
      <c r="Q2" s="49"/>
      <c r="R2" s="49"/>
      <c r="S2" s="61"/>
      <c r="T2" s="47"/>
      <c r="U2" s="63"/>
      <c r="V2" s="63"/>
      <c r="W2" s="47"/>
      <c r="X2" s="47"/>
      <c r="Y2" s="47"/>
      <c r="Z2" s="47"/>
      <c r="AA2" s="63"/>
      <c r="AB2" s="63"/>
      <c r="AC2" s="63"/>
      <c r="AD2" s="63"/>
      <c r="AE2" s="47"/>
      <c r="AF2" s="47"/>
      <c r="AG2" s="47"/>
    </row>
    <row r="3" spans="1:33" ht="134.25" customHeight="1">
      <c r="A3" s="55" t="s">
        <v>31</v>
      </c>
      <c r="B3" s="56"/>
      <c r="C3" s="4">
        <f>((AE32+AF32)/0.85)*-1</f>
        <v>11.281690281176472</v>
      </c>
      <c r="D3" s="5">
        <f>SUM(D4:D99765)</f>
        <v>606</v>
      </c>
      <c r="E3" s="5"/>
      <c r="F3" s="6">
        <f t="shared" ref="F3:G3" si="0">SUM(F4:F99765)</f>
        <v>10900.910000000002</v>
      </c>
      <c r="G3" s="6">
        <f t="shared" si="0"/>
        <v>-0.45</v>
      </c>
      <c r="H3" s="7">
        <f t="shared" ref="H3:H32" si="1">G3/F3*-1</f>
        <v>4.1280957277878627E-5</v>
      </c>
      <c r="I3" s="8">
        <f t="shared" ref="I3:I32" si="2">J3/F3</f>
        <v>0.30202688479236489</v>
      </c>
      <c r="J3" s="6">
        <f>SUM(J4:J99765)</f>
        <v>3292.3678887019387</v>
      </c>
      <c r="K3" s="6">
        <f t="shared" ref="K3:K32" si="3">J3/D3</f>
        <v>5.4329503113893374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Sheet!a1:g5000""),2,FALSE),"""")"),"4 - March
4 - April
4 - May
4 - June
4 - July
6 - Aug
5 - Sept
4 - Oct
6.5 - Nov
7 - Dec
3 - Jan
3 - Feb")</f>
        <v>4 - March
4 - April
4 - May
4 - June
4 - July
6 - Aug
5 - Sept
4 - Oct
6.5 - Nov
7 - Dec
3 - Jan
3 -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QTY-0")</f>
        <v>Del QTY-0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QTY-340")</f>
        <v>US QTY-340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0</v>
      </c>
      <c r="X3" s="7">
        <f>W3/D3</f>
        <v>0</v>
      </c>
      <c r="Y3" s="6"/>
      <c r="Z3" s="5"/>
      <c r="AA3" s="5"/>
      <c r="AB3" s="5"/>
      <c r="AC3" s="5"/>
      <c r="AD3" s="6">
        <f>SUM(AD4:AD99765)</f>
        <v>-107.540215635625</v>
      </c>
      <c r="AE3" s="6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Info!B2:BZ3000""),37,FALSE)),"""")*-1"),-4.639436739)</f>
        <v>-4.6394367389999998</v>
      </c>
      <c r="AG3" s="6">
        <f>SUM(AG4:AG99765)</f>
        <v>0</v>
      </c>
    </row>
    <row r="4" spans="1:33" ht="15.75" customHeight="1">
      <c r="A4" s="14" t="s">
        <v>181</v>
      </c>
      <c r="B4" s="14" t="s">
        <v>577</v>
      </c>
      <c r="C4" s="15" t="str">
        <f t="shared" ref="C4:C32" si="4">IFERROR(F4/D4," - ")</f>
        <v xml:space="preserve"> - </v>
      </c>
      <c r="D4" s="16">
        <v>0</v>
      </c>
      <c r="E4" s="16">
        <v>0</v>
      </c>
      <c r="F4" s="17">
        <v>0</v>
      </c>
      <c r="G4" s="17">
        <v>0</v>
      </c>
      <c r="H4" s="18" t="e">
        <f t="shared" si="1"/>
        <v>#DIV/0!</v>
      </c>
      <c r="I4" s="18" t="e">
        <f t="shared" si="2"/>
        <v>#DIV/0!</v>
      </c>
      <c r="J4" s="17">
        <f t="shared" ref="J4:J32" si="5">F4*0.85+G4+AF4*D4+D4*AE4+AG4+AD4</f>
        <v>0</v>
      </c>
      <c r="K4" s="17" t="e">
        <f t="shared" si="3"/>
        <v>#DIV/0!</v>
      </c>
      <c r="L4" s="16">
        <v>0</v>
      </c>
      <c r="M4" s="19" t="str">
        <f t="shared" ref="M4:M32" si="6">IFERROR(D4/L4,"-")</f>
        <v>-</v>
      </c>
      <c r="N4" s="16">
        <v>0</v>
      </c>
      <c r="O4" s="20">
        <f t="shared" ref="O4:P4" si="7">D4/7</f>
        <v>0</v>
      </c>
      <c r="P4" s="20">
        <f t="shared" si="7"/>
        <v>0</v>
      </c>
      <c r="Q4" s="16" t="e">
        <f t="shared" ref="Q4:Q32" si="8">ROUNDDOWN(N4/(O4+P4),0)</f>
        <v>#DIV/0!</v>
      </c>
      <c r="R4" s="16"/>
      <c r="S4" s="21" t="e">
        <v>#N/A</v>
      </c>
      <c r="T4" s="14">
        <v>1100</v>
      </c>
      <c r="U4" s="22">
        <v>80</v>
      </c>
      <c r="V4" s="23" t="s">
        <v>1557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26" t="e">
        <v>#N/A</v>
      </c>
      <c r="AB4" s="27" t="e">
        <f t="shared" ref="AB4:AB32" si="11">IF(OR(AA4="UsLargeStandardSize",AA4="UsSmallStandardSize"),-0.69,-0.48)</f>
        <v>#N/A</v>
      </c>
      <c r="AC4" s="28" t="e">
        <v>#N/A</v>
      </c>
      <c r="AD4" s="25">
        <f t="shared" ref="AD4:AD32" si="12">IFERROR(AB4*AC4*D4*2,0)</f>
        <v>0</v>
      </c>
      <c r="AE4" s="25">
        <v>0</v>
      </c>
      <c r="AF4" s="25">
        <v>-4.8831282051282052</v>
      </c>
      <c r="AG4" s="25">
        <v>0</v>
      </c>
    </row>
    <row r="5" spans="1:33" ht="15.75" customHeight="1">
      <c r="A5" s="14" t="s">
        <v>183</v>
      </c>
      <c r="B5" s="14"/>
      <c r="C5" s="15" t="str">
        <f t="shared" si="4"/>
        <v xml:space="preserve"> - </v>
      </c>
      <c r="D5" s="16">
        <v>0</v>
      </c>
      <c r="E5" s="16">
        <v>0</v>
      </c>
      <c r="F5" s="29">
        <v>0</v>
      </c>
      <c r="G5" s="29">
        <v>0</v>
      </c>
      <c r="H5" s="18" t="e">
        <f t="shared" si="1"/>
        <v>#DIV/0!</v>
      </c>
      <c r="I5" s="18" t="e">
        <f t="shared" si="2"/>
        <v>#DIV/0!</v>
      </c>
      <c r="J5" s="17">
        <f t="shared" si="5"/>
        <v>0</v>
      </c>
      <c r="K5" s="17" t="e">
        <f t="shared" si="3"/>
        <v>#DIV/0!</v>
      </c>
      <c r="L5" s="16">
        <v>0</v>
      </c>
      <c r="M5" s="19" t="str">
        <f t="shared" si="6"/>
        <v>-</v>
      </c>
      <c r="N5" s="16">
        <v>1</v>
      </c>
      <c r="O5" s="20">
        <f t="shared" ref="O5:P5" si="13">D5/7</f>
        <v>0</v>
      </c>
      <c r="P5" s="20">
        <f t="shared" si="13"/>
        <v>0</v>
      </c>
      <c r="Q5" s="16" t="e">
        <f t="shared" si="8"/>
        <v>#DIV/0!</v>
      </c>
      <c r="R5" s="16"/>
      <c r="S5" s="21" t="e">
        <v>#N/A</v>
      </c>
      <c r="T5" s="14">
        <v>1100</v>
      </c>
      <c r="U5" s="22">
        <v>80</v>
      </c>
      <c r="V5" s="23" t="s">
        <v>1557</v>
      </c>
      <c r="W5" s="14">
        <v>0</v>
      </c>
      <c r="X5" s="24">
        <f t="shared" si="9"/>
        <v>0</v>
      </c>
      <c r="Y5" s="25">
        <f t="shared" si="10"/>
        <v>0</v>
      </c>
      <c r="Z5" s="14">
        <v>0</v>
      </c>
      <c r="AA5" s="14" t="e">
        <v>#N/A</v>
      </c>
      <c r="AB5" s="27" t="e">
        <f t="shared" si="11"/>
        <v>#N/A</v>
      </c>
      <c r="AC5" s="28" t="e">
        <v>#N/A</v>
      </c>
      <c r="AD5" s="25">
        <f t="shared" si="12"/>
        <v>0</v>
      </c>
      <c r="AE5" s="25">
        <v>0</v>
      </c>
      <c r="AF5" s="25">
        <v>-4.8831282051282052</v>
      </c>
      <c r="AG5" s="25">
        <v>0</v>
      </c>
    </row>
    <row r="6" spans="1:33" ht="15.75" customHeight="1">
      <c r="A6" s="14" t="s">
        <v>185</v>
      </c>
      <c r="B6" s="14"/>
      <c r="C6" s="15">
        <f t="shared" si="4"/>
        <v>18.45</v>
      </c>
      <c r="D6" s="16">
        <v>1</v>
      </c>
      <c r="E6" s="16">
        <v>0</v>
      </c>
      <c r="F6" s="29">
        <v>18.45</v>
      </c>
      <c r="G6" s="29">
        <v>0</v>
      </c>
      <c r="H6" s="18">
        <f t="shared" si="1"/>
        <v>0</v>
      </c>
      <c r="I6" s="18">
        <f t="shared" si="2"/>
        <v>0.29044291571120839</v>
      </c>
      <c r="J6" s="17">
        <f t="shared" si="5"/>
        <v>5.3586717948717943</v>
      </c>
      <c r="K6" s="17">
        <f t="shared" si="3"/>
        <v>5.3586717948717943</v>
      </c>
      <c r="L6" s="16">
        <v>7</v>
      </c>
      <c r="M6" s="19">
        <f t="shared" si="6"/>
        <v>0.14285714285714285</v>
      </c>
      <c r="N6" s="16">
        <v>0</v>
      </c>
      <c r="O6" s="20">
        <f t="shared" ref="O6:P6" si="14">D6/7</f>
        <v>0.14285714285714285</v>
      </c>
      <c r="P6" s="20">
        <f t="shared" si="14"/>
        <v>0</v>
      </c>
      <c r="Q6" s="16">
        <f t="shared" si="8"/>
        <v>0</v>
      </c>
      <c r="R6" s="16"/>
      <c r="S6" s="21" t="e">
        <v>#N/A</v>
      </c>
      <c r="T6" s="14">
        <v>1020</v>
      </c>
      <c r="U6" s="22" t="s">
        <v>34</v>
      </c>
      <c r="V6" s="23" t="s">
        <v>186</v>
      </c>
      <c r="W6" s="14">
        <v>0</v>
      </c>
      <c r="X6" s="24">
        <f t="shared" si="9"/>
        <v>0</v>
      </c>
      <c r="Y6" s="25">
        <f t="shared" si="10"/>
        <v>0</v>
      </c>
      <c r="Z6" s="14">
        <v>0</v>
      </c>
      <c r="AA6" s="14" t="s">
        <v>35</v>
      </c>
      <c r="AB6" s="27">
        <f t="shared" si="11"/>
        <v>-0.69</v>
      </c>
      <c r="AC6" s="28">
        <v>1.4999999999999999E-2</v>
      </c>
      <c r="AD6" s="25">
        <f t="shared" si="12"/>
        <v>-2.0699999999999996E-2</v>
      </c>
      <c r="AE6" s="25">
        <v>-5.42</v>
      </c>
      <c r="AF6" s="25">
        <v>-4.8831282051282052</v>
      </c>
      <c r="AG6" s="25">
        <v>0</v>
      </c>
    </row>
    <row r="7" spans="1:33" ht="15.75" customHeight="1">
      <c r="A7" s="14" t="s">
        <v>187</v>
      </c>
      <c r="B7" s="14" t="s">
        <v>1558</v>
      </c>
      <c r="C7" s="15">
        <f t="shared" si="4"/>
        <v>18.45</v>
      </c>
      <c r="D7" s="16">
        <v>5</v>
      </c>
      <c r="E7" s="16">
        <v>0</v>
      </c>
      <c r="F7" s="29">
        <v>92.25</v>
      </c>
      <c r="G7" s="29">
        <v>-0.05</v>
      </c>
      <c r="H7" s="18">
        <f t="shared" si="1"/>
        <v>5.4200542005420054E-4</v>
      </c>
      <c r="I7" s="18">
        <f t="shared" si="2"/>
        <v>0.28990480595511081</v>
      </c>
      <c r="J7" s="17">
        <f t="shared" si="5"/>
        <v>26.743718349358971</v>
      </c>
      <c r="K7" s="17">
        <f t="shared" si="3"/>
        <v>5.3487436698717943</v>
      </c>
      <c r="L7" s="16">
        <v>7</v>
      </c>
      <c r="M7" s="19">
        <f t="shared" si="6"/>
        <v>0.7142857142857143</v>
      </c>
      <c r="N7" s="16">
        <v>77</v>
      </c>
      <c r="O7" s="20">
        <f t="shared" ref="O7:P7" si="15">D7/7</f>
        <v>0.7142857142857143</v>
      </c>
      <c r="P7" s="20">
        <f t="shared" si="15"/>
        <v>0</v>
      </c>
      <c r="Q7" s="16">
        <f t="shared" si="8"/>
        <v>107</v>
      </c>
      <c r="R7" s="16"/>
      <c r="S7" s="21">
        <v>6.35944700460829</v>
      </c>
      <c r="T7" s="14">
        <v>1320</v>
      </c>
      <c r="U7" s="22">
        <v>1200</v>
      </c>
      <c r="V7" s="23" t="s">
        <v>1559</v>
      </c>
      <c r="W7" s="14">
        <v>0</v>
      </c>
      <c r="X7" s="24">
        <f t="shared" si="9"/>
        <v>0</v>
      </c>
      <c r="Y7" s="25">
        <f t="shared" si="10"/>
        <v>0</v>
      </c>
      <c r="Z7" s="14">
        <v>0</v>
      </c>
      <c r="AA7" s="14" t="s">
        <v>35</v>
      </c>
      <c r="AB7" s="27">
        <f t="shared" si="11"/>
        <v>-0.69</v>
      </c>
      <c r="AC7" s="28">
        <v>1.4947916666666668E-2</v>
      </c>
      <c r="AD7" s="25">
        <f t="shared" si="12"/>
        <v>-0.103140625</v>
      </c>
      <c r="AE7" s="25">
        <v>-5.42</v>
      </c>
      <c r="AF7" s="25">
        <v>-4.8831282051282052</v>
      </c>
      <c r="AG7" s="25">
        <v>0</v>
      </c>
    </row>
    <row r="8" spans="1:33" ht="15.75" customHeight="1">
      <c r="A8" s="14" t="s">
        <v>189</v>
      </c>
      <c r="B8" s="14" t="s">
        <v>68</v>
      </c>
      <c r="C8" s="15">
        <f t="shared" si="4"/>
        <v>16.228749999999998</v>
      </c>
      <c r="D8" s="16">
        <v>16</v>
      </c>
      <c r="E8" s="16">
        <v>1</v>
      </c>
      <c r="F8" s="29">
        <v>259.65999999999997</v>
      </c>
      <c r="G8" s="29">
        <v>-0.08</v>
      </c>
      <c r="H8" s="18">
        <f t="shared" si="1"/>
        <v>3.0809520141723796E-4</v>
      </c>
      <c r="I8" s="18">
        <f t="shared" si="2"/>
        <v>0.21374470461372541</v>
      </c>
      <c r="J8" s="17">
        <f t="shared" si="5"/>
        <v>55.500949999999932</v>
      </c>
      <c r="K8" s="17">
        <f t="shared" si="3"/>
        <v>3.4688093749999958</v>
      </c>
      <c r="L8" s="16">
        <v>31</v>
      </c>
      <c r="M8" s="19">
        <f t="shared" si="6"/>
        <v>0.5161290322580645</v>
      </c>
      <c r="N8" s="16">
        <v>62</v>
      </c>
      <c r="O8" s="20">
        <f t="shared" ref="O8:P8" si="16">D8/7</f>
        <v>2.2857142857142856</v>
      </c>
      <c r="P8" s="20">
        <f t="shared" si="16"/>
        <v>0.14285714285714285</v>
      </c>
      <c r="Q8" s="16">
        <f t="shared" si="8"/>
        <v>25</v>
      </c>
      <c r="R8" s="16"/>
      <c r="S8" s="21">
        <v>3.9072463768115901</v>
      </c>
      <c r="T8" s="14">
        <v>1020</v>
      </c>
      <c r="U8" s="22">
        <v>900</v>
      </c>
      <c r="V8" s="23" t="s">
        <v>1560</v>
      </c>
      <c r="W8" s="14">
        <v>0</v>
      </c>
      <c r="X8" s="24">
        <f t="shared" si="9"/>
        <v>0</v>
      </c>
      <c r="Y8" s="25">
        <f t="shared" si="10"/>
        <v>0</v>
      </c>
      <c r="Z8" s="14">
        <v>0</v>
      </c>
      <c r="AA8" s="14" t="s">
        <v>35</v>
      </c>
      <c r="AB8" s="27">
        <f t="shared" si="11"/>
        <v>-0.69</v>
      </c>
      <c r="AC8" s="28">
        <v>1.4947916666666668E-2</v>
      </c>
      <c r="AD8" s="25">
        <f t="shared" si="12"/>
        <v>-0.33005000000000001</v>
      </c>
      <c r="AE8" s="25">
        <v>-5.42</v>
      </c>
      <c r="AF8" s="25">
        <v>-4.88</v>
      </c>
      <c r="AG8" s="25">
        <v>0</v>
      </c>
    </row>
    <row r="9" spans="1:33" ht="15.75" customHeight="1">
      <c r="A9" s="14" t="s">
        <v>191</v>
      </c>
      <c r="B9" s="14" t="s">
        <v>1561</v>
      </c>
      <c r="C9" s="15">
        <f t="shared" si="4"/>
        <v>16.521999999999998</v>
      </c>
      <c r="D9" s="16">
        <v>30</v>
      </c>
      <c r="E9" s="16">
        <v>1</v>
      </c>
      <c r="F9" s="29">
        <v>495.65999999999991</v>
      </c>
      <c r="G9" s="29">
        <v>-0.1</v>
      </c>
      <c r="H9" s="18">
        <f t="shared" si="1"/>
        <v>2.0175120041964254E-4</v>
      </c>
      <c r="I9" s="18">
        <f t="shared" si="2"/>
        <v>0.22205948110367227</v>
      </c>
      <c r="J9" s="17">
        <f t="shared" si="5"/>
        <v>110.06600240384617</v>
      </c>
      <c r="K9" s="17">
        <f t="shared" si="3"/>
        <v>3.6688667467948721</v>
      </c>
      <c r="L9" s="16">
        <v>50</v>
      </c>
      <c r="M9" s="19">
        <f t="shared" si="6"/>
        <v>0.6</v>
      </c>
      <c r="N9" s="16">
        <v>37</v>
      </c>
      <c r="O9" s="20">
        <f t="shared" ref="O9:P9" si="17">D9/7</f>
        <v>4.2857142857142856</v>
      </c>
      <c r="P9" s="20">
        <f t="shared" si="17"/>
        <v>0.14285714285714285</v>
      </c>
      <c r="Q9" s="16">
        <f t="shared" si="8"/>
        <v>8</v>
      </c>
      <c r="R9" s="16"/>
      <c r="S9" s="21">
        <v>8.3076923076922995</v>
      </c>
      <c r="T9" s="14">
        <v>1020</v>
      </c>
      <c r="U9" s="22">
        <v>120</v>
      </c>
      <c r="V9" s="23" t="s">
        <v>1562</v>
      </c>
      <c r="W9" s="14">
        <v>0</v>
      </c>
      <c r="X9" s="24">
        <f t="shared" si="9"/>
        <v>0</v>
      </c>
      <c r="Y9" s="25">
        <f t="shared" si="10"/>
        <v>0</v>
      </c>
      <c r="Z9" s="14">
        <v>0</v>
      </c>
      <c r="AA9" s="14" t="s">
        <v>35</v>
      </c>
      <c r="AB9" s="27">
        <f t="shared" si="11"/>
        <v>-0.69</v>
      </c>
      <c r="AC9" s="28">
        <v>1.4947916666666668E-2</v>
      </c>
      <c r="AD9" s="25">
        <f t="shared" si="12"/>
        <v>-0.61884375000000003</v>
      </c>
      <c r="AE9" s="25">
        <v>-5.42</v>
      </c>
      <c r="AF9" s="25">
        <v>-4.9308717948717904</v>
      </c>
      <c r="AG9" s="25">
        <v>0</v>
      </c>
    </row>
    <row r="10" spans="1:33" ht="15.75" customHeight="1">
      <c r="A10" s="14" t="s">
        <v>192</v>
      </c>
      <c r="B10" s="14" t="s">
        <v>1563</v>
      </c>
      <c r="C10" s="15">
        <f t="shared" si="4"/>
        <v>18.693103448275863</v>
      </c>
      <c r="D10" s="16">
        <v>29</v>
      </c>
      <c r="E10" s="16">
        <v>0</v>
      </c>
      <c r="F10" s="29">
        <v>542.1</v>
      </c>
      <c r="G10" s="29">
        <v>-0.08</v>
      </c>
      <c r="H10" s="18">
        <f t="shared" si="1"/>
        <v>1.4757424829367274E-4</v>
      </c>
      <c r="I10" s="18">
        <f t="shared" si="2"/>
        <v>0.31366262764417185</v>
      </c>
      <c r="J10" s="17">
        <f t="shared" si="5"/>
        <v>170.03651044590558</v>
      </c>
      <c r="K10" s="17">
        <f t="shared" si="3"/>
        <v>5.8633279464105375</v>
      </c>
      <c r="L10" s="16">
        <v>51</v>
      </c>
      <c r="M10" s="19">
        <f t="shared" si="6"/>
        <v>0.56862745098039214</v>
      </c>
      <c r="N10" s="16">
        <v>7</v>
      </c>
      <c r="O10" s="20">
        <f t="shared" ref="O10:P10" si="18">D10/7</f>
        <v>4.1428571428571432</v>
      </c>
      <c r="P10" s="20">
        <f t="shared" si="18"/>
        <v>0</v>
      </c>
      <c r="Q10" s="16">
        <f t="shared" si="8"/>
        <v>1</v>
      </c>
      <c r="R10" s="16"/>
      <c r="S10" s="21">
        <v>39.466666666666598</v>
      </c>
      <c r="T10" s="14">
        <v>1020</v>
      </c>
      <c r="U10" s="22">
        <v>120</v>
      </c>
      <c r="V10" s="23" t="s">
        <v>1564</v>
      </c>
      <c r="W10" s="14">
        <v>0</v>
      </c>
      <c r="X10" s="24">
        <f t="shared" si="9"/>
        <v>0</v>
      </c>
      <c r="Y10" s="25">
        <f t="shared" si="10"/>
        <v>0</v>
      </c>
      <c r="Z10" s="14">
        <v>0</v>
      </c>
      <c r="AA10" s="14" t="s">
        <v>35</v>
      </c>
      <c r="AB10" s="27">
        <f t="shared" si="11"/>
        <v>-0.69</v>
      </c>
      <c r="AC10" s="28">
        <v>0.13926055729166667</v>
      </c>
      <c r="AD10" s="25">
        <f t="shared" si="12"/>
        <v>-5.5732075028125001</v>
      </c>
      <c r="AE10" s="25">
        <v>-4.9000000000000004</v>
      </c>
      <c r="AF10" s="25">
        <v>-4.9308717948717904</v>
      </c>
      <c r="AG10" s="25">
        <v>0</v>
      </c>
    </row>
    <row r="11" spans="1:33" ht="15.75" customHeight="1">
      <c r="A11" s="14" t="s">
        <v>193</v>
      </c>
      <c r="B11" s="14" t="s">
        <v>1563</v>
      </c>
      <c r="C11" s="15">
        <f t="shared" si="4"/>
        <v>19.747499999999999</v>
      </c>
      <c r="D11" s="16">
        <v>4</v>
      </c>
      <c r="E11" s="16">
        <v>0</v>
      </c>
      <c r="F11" s="29">
        <v>78.989999999999995</v>
      </c>
      <c r="G11" s="29">
        <v>0</v>
      </c>
      <c r="H11" s="18">
        <f t="shared" si="1"/>
        <v>0</v>
      </c>
      <c r="I11" s="18">
        <f t="shared" si="2"/>
        <v>0.34243948024133219</v>
      </c>
      <c r="J11" s="17">
        <f t="shared" si="5"/>
        <v>27.049294544262828</v>
      </c>
      <c r="K11" s="17">
        <f t="shared" si="3"/>
        <v>6.7623236360657071</v>
      </c>
      <c r="L11" s="16">
        <v>11</v>
      </c>
      <c r="M11" s="19">
        <f t="shared" si="6"/>
        <v>0.36363636363636365</v>
      </c>
      <c r="N11" s="16">
        <v>2</v>
      </c>
      <c r="O11" s="20">
        <f t="shared" ref="O11:P11" si="19">D11/7</f>
        <v>0.5714285714285714</v>
      </c>
      <c r="P11" s="20">
        <f t="shared" si="19"/>
        <v>0</v>
      </c>
      <c r="Q11" s="16">
        <f t="shared" si="8"/>
        <v>3</v>
      </c>
      <c r="R11" s="16"/>
      <c r="S11" s="21">
        <v>13.647058823529401</v>
      </c>
      <c r="T11" s="14">
        <v>1020</v>
      </c>
      <c r="U11" s="22">
        <v>120</v>
      </c>
      <c r="V11" s="23" t="s">
        <v>1565</v>
      </c>
      <c r="W11" s="14">
        <v>0</v>
      </c>
      <c r="X11" s="24">
        <f t="shared" si="9"/>
        <v>0</v>
      </c>
      <c r="Y11" s="25">
        <f t="shared" si="10"/>
        <v>0</v>
      </c>
      <c r="Z11" s="14">
        <v>0</v>
      </c>
      <c r="AA11" s="14" t="s">
        <v>35</v>
      </c>
      <c r="AB11" s="27">
        <f t="shared" si="11"/>
        <v>-0.69</v>
      </c>
      <c r="AC11" s="28">
        <v>0.13926055729166667</v>
      </c>
      <c r="AD11" s="25">
        <f t="shared" si="12"/>
        <v>-0.76871827625</v>
      </c>
      <c r="AE11" s="25">
        <v>-4.9000000000000004</v>
      </c>
      <c r="AF11" s="25">
        <v>-4.9308717948717904</v>
      </c>
      <c r="AG11" s="25">
        <v>0</v>
      </c>
    </row>
    <row r="12" spans="1:33" ht="15.75" customHeight="1">
      <c r="A12" s="14" t="s">
        <v>195</v>
      </c>
      <c r="B12" s="14" t="s">
        <v>1563</v>
      </c>
      <c r="C12" s="15">
        <f t="shared" si="4"/>
        <v>18.88</v>
      </c>
      <c r="D12" s="16">
        <v>2</v>
      </c>
      <c r="E12" s="16">
        <v>0</v>
      </c>
      <c r="F12" s="29">
        <v>37.76</v>
      </c>
      <c r="G12" s="29">
        <v>0</v>
      </c>
      <c r="H12" s="18">
        <f t="shared" si="1"/>
        <v>0</v>
      </c>
      <c r="I12" s="18">
        <f t="shared" si="2"/>
        <v>0.31911804216449718</v>
      </c>
      <c r="J12" s="17">
        <f t="shared" si="5"/>
        <v>12.049897272131414</v>
      </c>
      <c r="K12" s="17">
        <f t="shared" si="3"/>
        <v>6.024948636065707</v>
      </c>
      <c r="L12" s="16">
        <v>4</v>
      </c>
      <c r="M12" s="19">
        <f t="shared" si="6"/>
        <v>0.5</v>
      </c>
      <c r="N12" s="16">
        <v>1</v>
      </c>
      <c r="O12" s="20">
        <f t="shared" ref="O12:P12" si="20">D12/7</f>
        <v>0.2857142857142857</v>
      </c>
      <c r="P12" s="20">
        <f t="shared" si="20"/>
        <v>0</v>
      </c>
      <c r="Q12" s="16">
        <f t="shared" si="8"/>
        <v>3</v>
      </c>
      <c r="R12" s="16"/>
      <c r="S12" s="21">
        <v>4.0144404332129904</v>
      </c>
      <c r="T12" s="14">
        <v>900</v>
      </c>
      <c r="U12" s="22">
        <v>900</v>
      </c>
      <c r="V12" s="23" t="s">
        <v>1566</v>
      </c>
      <c r="W12" s="14">
        <v>0</v>
      </c>
      <c r="X12" s="24">
        <f t="shared" si="9"/>
        <v>0</v>
      </c>
      <c r="Y12" s="25">
        <f t="shared" si="10"/>
        <v>0</v>
      </c>
      <c r="Z12" s="14">
        <v>0</v>
      </c>
      <c r="AA12" s="14" t="s">
        <v>35</v>
      </c>
      <c r="AB12" s="27">
        <f t="shared" si="11"/>
        <v>-0.69</v>
      </c>
      <c r="AC12" s="28">
        <v>0.13926055729166667</v>
      </c>
      <c r="AD12" s="25">
        <f t="shared" si="12"/>
        <v>-0.384359138125</v>
      </c>
      <c r="AE12" s="25">
        <v>-4.9000000000000004</v>
      </c>
      <c r="AF12" s="25">
        <v>-4.9308717948717904</v>
      </c>
      <c r="AG12" s="25">
        <v>0</v>
      </c>
    </row>
    <row r="13" spans="1:33" ht="15.75" customHeight="1">
      <c r="A13" s="14" t="s">
        <v>197</v>
      </c>
      <c r="B13" s="14" t="s">
        <v>1567</v>
      </c>
      <c r="C13" s="15">
        <f t="shared" si="4"/>
        <v>18.93</v>
      </c>
      <c r="D13" s="16">
        <v>10</v>
      </c>
      <c r="E13" s="16">
        <v>0</v>
      </c>
      <c r="F13" s="17">
        <v>189.29999999999998</v>
      </c>
      <c r="G13" s="29">
        <v>-0.06</v>
      </c>
      <c r="H13" s="18">
        <f t="shared" si="1"/>
        <v>3.1695721077654518E-4</v>
      </c>
      <c r="I13" s="18">
        <f t="shared" si="2"/>
        <v>0.31887588119057098</v>
      </c>
      <c r="J13" s="17">
        <f t="shared" si="5"/>
        <v>60.363204309375085</v>
      </c>
      <c r="K13" s="17">
        <f t="shared" si="3"/>
        <v>6.0363204309375087</v>
      </c>
      <c r="L13" s="16">
        <v>15</v>
      </c>
      <c r="M13" s="19">
        <f t="shared" si="6"/>
        <v>0.66666666666666663</v>
      </c>
      <c r="N13" s="16">
        <v>113</v>
      </c>
      <c r="O13" s="20">
        <f t="shared" ref="O13:P13" si="21">D13/7</f>
        <v>1.4285714285714286</v>
      </c>
      <c r="P13" s="20">
        <f t="shared" si="21"/>
        <v>0</v>
      </c>
      <c r="Q13" s="16">
        <f t="shared" si="8"/>
        <v>79</v>
      </c>
      <c r="R13" s="16"/>
      <c r="S13" s="21">
        <v>2.72727272727272</v>
      </c>
      <c r="T13" s="14">
        <v>900</v>
      </c>
      <c r="U13" s="22">
        <v>900</v>
      </c>
      <c r="V13" s="23" t="s">
        <v>1568</v>
      </c>
      <c r="W13" s="14">
        <v>0</v>
      </c>
      <c r="X13" s="24">
        <f t="shared" si="9"/>
        <v>0</v>
      </c>
      <c r="Y13" s="25">
        <f t="shared" si="10"/>
        <v>0</v>
      </c>
      <c r="Z13" s="14">
        <v>0</v>
      </c>
      <c r="AA13" s="14" t="s">
        <v>35</v>
      </c>
      <c r="AB13" s="27">
        <f t="shared" si="11"/>
        <v>-0.69</v>
      </c>
      <c r="AC13" s="28">
        <v>0.13926055729166667</v>
      </c>
      <c r="AD13" s="25">
        <f t="shared" si="12"/>
        <v>-1.921795690625</v>
      </c>
      <c r="AE13" s="25">
        <v>-4.9000000000000004</v>
      </c>
      <c r="AF13" s="25">
        <v>-4.9559999999999897</v>
      </c>
      <c r="AG13" s="25">
        <v>0</v>
      </c>
    </row>
    <row r="14" spans="1:33" ht="15.75" customHeight="1">
      <c r="A14" s="14" t="s">
        <v>32</v>
      </c>
      <c r="B14" s="14" t="s">
        <v>68</v>
      </c>
      <c r="C14" s="15">
        <f t="shared" si="4"/>
        <v>18.531333333333336</v>
      </c>
      <c r="D14" s="16">
        <v>30</v>
      </c>
      <c r="E14" s="16">
        <v>0</v>
      </c>
      <c r="F14" s="17">
        <v>555.94000000000005</v>
      </c>
      <c r="G14" s="29">
        <v>0</v>
      </c>
      <c r="H14" s="18">
        <f t="shared" si="1"/>
        <v>0</v>
      </c>
      <c r="I14" s="18">
        <f t="shared" si="2"/>
        <v>0.30777352399202312</v>
      </c>
      <c r="J14" s="17">
        <f t="shared" si="5"/>
        <v>171.10361292812536</v>
      </c>
      <c r="K14" s="17">
        <f t="shared" si="3"/>
        <v>5.7034537642708454</v>
      </c>
      <c r="L14" s="16">
        <v>44</v>
      </c>
      <c r="M14" s="19">
        <f t="shared" si="6"/>
        <v>0.68181818181818177</v>
      </c>
      <c r="N14" s="16">
        <v>88</v>
      </c>
      <c r="O14" s="20">
        <f t="shared" ref="O14:P14" si="22">D14/7</f>
        <v>4.2857142857142856</v>
      </c>
      <c r="P14" s="20">
        <f t="shared" si="22"/>
        <v>0</v>
      </c>
      <c r="Q14" s="16">
        <f t="shared" si="8"/>
        <v>20</v>
      </c>
      <c r="R14" s="16"/>
      <c r="S14" s="21">
        <v>4.0629921259842501</v>
      </c>
      <c r="T14" s="14">
        <v>900</v>
      </c>
      <c r="U14" s="22">
        <v>900</v>
      </c>
      <c r="V14" s="23" t="s">
        <v>1568</v>
      </c>
      <c r="W14" s="14">
        <v>0</v>
      </c>
      <c r="X14" s="24">
        <f t="shared" si="9"/>
        <v>0</v>
      </c>
      <c r="Y14" s="25">
        <f t="shared" si="10"/>
        <v>0</v>
      </c>
      <c r="Z14" s="14">
        <v>0</v>
      </c>
      <c r="AA14" s="14" t="s">
        <v>35</v>
      </c>
      <c r="AB14" s="27">
        <f t="shared" si="11"/>
        <v>-0.69</v>
      </c>
      <c r="AC14" s="28">
        <v>0.13926055729166667</v>
      </c>
      <c r="AD14" s="25">
        <f t="shared" si="12"/>
        <v>-5.7653870718749998</v>
      </c>
      <c r="AE14" s="25">
        <v>-4.9000000000000004</v>
      </c>
      <c r="AF14" s="25">
        <v>-4.9559999999999897</v>
      </c>
      <c r="AG14" s="25">
        <v>0</v>
      </c>
    </row>
    <row r="15" spans="1:33" ht="15.75" customHeight="1">
      <c r="A15" s="14" t="s">
        <v>36</v>
      </c>
      <c r="B15" s="14" t="s">
        <v>68</v>
      </c>
      <c r="C15" s="15">
        <f t="shared" si="4"/>
        <v>21.580370370370375</v>
      </c>
      <c r="D15" s="16">
        <v>27</v>
      </c>
      <c r="E15" s="16">
        <v>1</v>
      </c>
      <c r="F15" s="17">
        <v>582.67000000000007</v>
      </c>
      <c r="G15" s="29">
        <v>0</v>
      </c>
      <c r="H15" s="18">
        <f t="shared" si="1"/>
        <v>0</v>
      </c>
      <c r="I15" s="18">
        <f t="shared" si="2"/>
        <v>0.40616241034429867</v>
      </c>
      <c r="J15" s="17">
        <f t="shared" si="5"/>
        <v>236.65865163531254</v>
      </c>
      <c r="K15" s="17">
        <f t="shared" si="3"/>
        <v>8.7651352457523171</v>
      </c>
      <c r="L15" s="16">
        <v>78</v>
      </c>
      <c r="M15" s="19">
        <f t="shared" si="6"/>
        <v>0.34615384615384615</v>
      </c>
      <c r="N15" s="16">
        <v>58</v>
      </c>
      <c r="O15" s="20">
        <f t="shared" ref="O15:P15" si="23">D15/7</f>
        <v>3.8571428571428572</v>
      </c>
      <c r="P15" s="20">
        <f t="shared" si="23"/>
        <v>0.14285714285714285</v>
      </c>
      <c r="Q15" s="16">
        <f t="shared" si="8"/>
        <v>14</v>
      </c>
      <c r="R15" s="16"/>
      <c r="S15" s="21">
        <v>8.8358208955223798</v>
      </c>
      <c r="T15" s="14">
        <v>900</v>
      </c>
      <c r="U15" s="22">
        <v>900</v>
      </c>
      <c r="V15" s="23" t="s">
        <v>1568</v>
      </c>
      <c r="W15" s="14">
        <v>0</v>
      </c>
      <c r="X15" s="24">
        <f t="shared" si="9"/>
        <v>0</v>
      </c>
      <c r="Y15" s="25">
        <f t="shared" si="10"/>
        <v>0</v>
      </c>
      <c r="Z15" s="14">
        <v>0</v>
      </c>
      <c r="AA15" s="14" t="s">
        <v>35</v>
      </c>
      <c r="AB15" s="27">
        <f t="shared" si="11"/>
        <v>-0.69</v>
      </c>
      <c r="AC15" s="28">
        <v>0.13926055729166667</v>
      </c>
      <c r="AD15" s="25">
        <f t="shared" si="12"/>
        <v>-5.1888483646874999</v>
      </c>
      <c r="AE15" s="25">
        <v>-4.9000000000000004</v>
      </c>
      <c r="AF15" s="25">
        <v>-4.4859999999999998</v>
      </c>
      <c r="AG15" s="25">
        <v>0</v>
      </c>
    </row>
    <row r="16" spans="1:33" ht="15.75" customHeight="1">
      <c r="A16" s="14" t="s">
        <v>38</v>
      </c>
      <c r="B16" s="14" t="s">
        <v>1569</v>
      </c>
      <c r="C16" s="15">
        <f t="shared" si="4"/>
        <v>26.828571428571429</v>
      </c>
      <c r="D16" s="16">
        <v>7</v>
      </c>
      <c r="E16" s="16">
        <v>0</v>
      </c>
      <c r="F16" s="17">
        <v>187.8</v>
      </c>
      <c r="G16" s="29">
        <v>0</v>
      </c>
      <c r="H16" s="18">
        <f t="shared" si="1"/>
        <v>0</v>
      </c>
      <c r="I16" s="18">
        <f t="shared" si="2"/>
        <v>0.49298585205837325</v>
      </c>
      <c r="J16" s="17">
        <f t="shared" si="5"/>
        <v>92.582743016562503</v>
      </c>
      <c r="K16" s="17">
        <f t="shared" si="3"/>
        <v>13.226106145223214</v>
      </c>
      <c r="L16" s="16">
        <v>69</v>
      </c>
      <c r="M16" s="19">
        <f t="shared" si="6"/>
        <v>0.10144927536231885</v>
      </c>
      <c r="N16" s="16">
        <v>48</v>
      </c>
      <c r="O16" s="20">
        <f t="shared" ref="O16:P16" si="24">D16/7</f>
        <v>1</v>
      </c>
      <c r="P16" s="20">
        <f t="shared" si="24"/>
        <v>0</v>
      </c>
      <c r="Q16" s="16">
        <f t="shared" si="8"/>
        <v>48</v>
      </c>
      <c r="R16" s="16"/>
      <c r="S16" s="21">
        <v>5.0625</v>
      </c>
      <c r="T16" s="14">
        <v>900</v>
      </c>
      <c r="U16" s="22">
        <v>900</v>
      </c>
      <c r="V16" s="23" t="s">
        <v>1568</v>
      </c>
      <c r="W16" s="14">
        <v>0</v>
      </c>
      <c r="X16" s="24">
        <f t="shared" si="9"/>
        <v>0</v>
      </c>
      <c r="Y16" s="25">
        <f t="shared" si="10"/>
        <v>0</v>
      </c>
      <c r="Z16" s="14">
        <v>0</v>
      </c>
      <c r="AA16" s="14" t="s">
        <v>35</v>
      </c>
      <c r="AB16" s="27">
        <f t="shared" si="11"/>
        <v>-0.69</v>
      </c>
      <c r="AC16" s="28">
        <v>0.13926055729166667</v>
      </c>
      <c r="AD16" s="25">
        <f t="shared" si="12"/>
        <v>-1.3452569834374999</v>
      </c>
      <c r="AE16" s="25">
        <v>-4.9000000000000004</v>
      </c>
      <c r="AF16" s="25">
        <v>-4.4859999999999998</v>
      </c>
      <c r="AG16" s="25">
        <v>0</v>
      </c>
    </row>
    <row r="17" spans="1:33" ht="15.75" customHeight="1">
      <c r="A17" s="14" t="s">
        <v>40</v>
      </c>
      <c r="B17" s="14" t="s">
        <v>1570</v>
      </c>
      <c r="C17" s="15">
        <f t="shared" si="4"/>
        <v>23.694545454545452</v>
      </c>
      <c r="D17" s="16">
        <v>11</v>
      </c>
      <c r="E17" s="16">
        <v>0</v>
      </c>
      <c r="F17" s="17">
        <v>260.64</v>
      </c>
      <c r="G17" s="29">
        <v>0</v>
      </c>
      <c r="H17" s="18">
        <f t="shared" si="1"/>
        <v>0</v>
      </c>
      <c r="I17" s="18">
        <f t="shared" si="2"/>
        <v>0.44576436748124804</v>
      </c>
      <c r="J17" s="17">
        <f t="shared" si="5"/>
        <v>116.18402474031248</v>
      </c>
      <c r="K17" s="17">
        <f t="shared" si="3"/>
        <v>10.562184067301134</v>
      </c>
      <c r="L17" s="16">
        <v>46</v>
      </c>
      <c r="M17" s="19">
        <f t="shared" si="6"/>
        <v>0.2391304347826087</v>
      </c>
      <c r="N17" s="16">
        <v>180</v>
      </c>
      <c r="O17" s="20">
        <f t="shared" ref="O17:P17" si="25">D17/7</f>
        <v>1.5714285714285714</v>
      </c>
      <c r="P17" s="20">
        <f t="shared" si="25"/>
        <v>0</v>
      </c>
      <c r="Q17" s="16">
        <f t="shared" si="8"/>
        <v>114</v>
      </c>
      <c r="R17" s="16"/>
      <c r="S17" s="21">
        <v>1.7934782608695601</v>
      </c>
      <c r="T17" s="14">
        <v>900</v>
      </c>
      <c r="U17" s="22">
        <v>900</v>
      </c>
      <c r="V17" s="23" t="s">
        <v>1571</v>
      </c>
      <c r="W17" s="14">
        <v>0</v>
      </c>
      <c r="X17" s="24">
        <f t="shared" si="9"/>
        <v>0</v>
      </c>
      <c r="Y17" s="25">
        <f t="shared" si="10"/>
        <v>0</v>
      </c>
      <c r="Z17" s="14">
        <v>0</v>
      </c>
      <c r="AA17" s="14" t="s">
        <v>35</v>
      </c>
      <c r="AB17" s="27">
        <f t="shared" si="11"/>
        <v>-0.69</v>
      </c>
      <c r="AC17" s="28">
        <v>0.13926055729166667</v>
      </c>
      <c r="AD17" s="25">
        <f t="shared" si="12"/>
        <v>-2.1139752596874999</v>
      </c>
      <c r="AE17" s="25">
        <v>-4.9000000000000004</v>
      </c>
      <c r="AF17" s="25">
        <v>-4.4859999999999998</v>
      </c>
      <c r="AG17" s="25">
        <v>0</v>
      </c>
    </row>
    <row r="18" spans="1:33" ht="15.75" customHeight="1">
      <c r="A18" s="14" t="s">
        <v>42</v>
      </c>
      <c r="B18" s="14" t="s">
        <v>1572</v>
      </c>
      <c r="C18" s="15">
        <f t="shared" si="4"/>
        <v>23.164210526315788</v>
      </c>
      <c r="D18" s="16">
        <v>19</v>
      </c>
      <c r="E18" s="16">
        <v>0</v>
      </c>
      <c r="F18" s="17">
        <v>440.11999999999995</v>
      </c>
      <c r="G18" s="29">
        <v>0</v>
      </c>
      <c r="H18" s="18">
        <f t="shared" si="1"/>
        <v>0</v>
      </c>
      <c r="I18" s="18">
        <f t="shared" si="2"/>
        <v>0.43650956145554043</v>
      </c>
      <c r="J18" s="17">
        <f t="shared" si="5"/>
        <v>192.11658818781243</v>
      </c>
      <c r="K18" s="17">
        <f t="shared" si="3"/>
        <v>10.111399378305917</v>
      </c>
      <c r="L18" s="16">
        <v>35</v>
      </c>
      <c r="M18" s="19">
        <f t="shared" si="6"/>
        <v>0.54285714285714282</v>
      </c>
      <c r="N18" s="16">
        <v>157</v>
      </c>
      <c r="O18" s="20">
        <f t="shared" ref="O18:P18" si="26">D18/7</f>
        <v>2.7142857142857144</v>
      </c>
      <c r="P18" s="20">
        <f t="shared" si="26"/>
        <v>0</v>
      </c>
      <c r="Q18" s="16">
        <f t="shared" si="8"/>
        <v>57</v>
      </c>
      <c r="R18" s="16"/>
      <c r="S18" s="21">
        <v>2.5979381443298899</v>
      </c>
      <c r="T18" s="14">
        <v>0</v>
      </c>
      <c r="U18" s="22">
        <v>0</v>
      </c>
      <c r="V18" s="23" t="s">
        <v>34</v>
      </c>
      <c r="W18" s="14">
        <v>0</v>
      </c>
      <c r="X18" s="24">
        <f t="shared" si="9"/>
        <v>0</v>
      </c>
      <c r="Y18" s="25">
        <f t="shared" si="10"/>
        <v>0</v>
      </c>
      <c r="Z18" s="14">
        <v>0</v>
      </c>
      <c r="AA18" s="14" t="s">
        <v>35</v>
      </c>
      <c r="AB18" s="27">
        <f t="shared" si="11"/>
        <v>-0.69</v>
      </c>
      <c r="AC18" s="28">
        <v>0.13926055729166667</v>
      </c>
      <c r="AD18" s="25">
        <f t="shared" si="12"/>
        <v>-3.6514118121874999</v>
      </c>
      <c r="AE18" s="25">
        <v>-4.9000000000000004</v>
      </c>
      <c r="AF18" s="25">
        <v>-4.4859999999999998</v>
      </c>
      <c r="AG18" s="25">
        <v>0</v>
      </c>
    </row>
    <row r="19" spans="1:33" ht="15.75" customHeight="1">
      <c r="A19" s="14" t="s">
        <v>44</v>
      </c>
      <c r="B19" s="14" t="s">
        <v>1573</v>
      </c>
      <c r="C19" s="15">
        <f t="shared" si="4"/>
        <v>19.446774193548389</v>
      </c>
      <c r="D19" s="16">
        <v>31</v>
      </c>
      <c r="E19" s="16">
        <v>0</v>
      </c>
      <c r="F19" s="17">
        <v>602.85</v>
      </c>
      <c r="G19" s="29">
        <v>0</v>
      </c>
      <c r="H19" s="18">
        <f t="shared" si="1"/>
        <v>0</v>
      </c>
      <c r="I19" s="18">
        <f t="shared" si="2"/>
        <v>0.34643681406496224</v>
      </c>
      <c r="J19" s="17">
        <f t="shared" si="5"/>
        <v>208.84943335906249</v>
      </c>
      <c r="K19" s="17">
        <f t="shared" si="3"/>
        <v>6.7370784954536287</v>
      </c>
      <c r="L19" s="16">
        <v>45</v>
      </c>
      <c r="M19" s="19">
        <f t="shared" si="6"/>
        <v>0.68888888888888888</v>
      </c>
      <c r="N19" s="16">
        <v>134</v>
      </c>
      <c r="O19" s="20">
        <f t="shared" ref="O19:P19" si="27">D19/7</f>
        <v>4.4285714285714288</v>
      </c>
      <c r="P19" s="20">
        <f t="shared" si="27"/>
        <v>0</v>
      </c>
      <c r="Q19" s="16">
        <f t="shared" si="8"/>
        <v>30</v>
      </c>
      <c r="R19" s="16"/>
      <c r="S19" s="21">
        <v>3.5616438356164299</v>
      </c>
      <c r="T19" s="14">
        <v>0</v>
      </c>
      <c r="U19" s="22" t="s">
        <v>34</v>
      </c>
      <c r="V19" s="23" t="s">
        <v>34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14" t="s">
        <v>35</v>
      </c>
      <c r="AB19" s="27">
        <f t="shared" si="11"/>
        <v>-0.69</v>
      </c>
      <c r="AC19" s="28">
        <v>0.13926055729166667</v>
      </c>
      <c r="AD19" s="25">
        <f t="shared" si="12"/>
        <v>-5.9575666409375003</v>
      </c>
      <c r="AE19" s="25">
        <v>-4.9000000000000004</v>
      </c>
      <c r="AF19" s="25">
        <v>-4.7004999999999999</v>
      </c>
      <c r="AG19" s="25">
        <v>0</v>
      </c>
    </row>
    <row r="20" spans="1:33" ht="15.75" customHeight="1">
      <c r="A20" s="14" t="s">
        <v>46</v>
      </c>
      <c r="B20" s="14" t="s">
        <v>68</v>
      </c>
      <c r="C20" s="15">
        <f t="shared" si="4"/>
        <v>18.867297297297302</v>
      </c>
      <c r="D20" s="16">
        <v>37</v>
      </c>
      <c r="E20" s="16">
        <v>0</v>
      </c>
      <c r="F20" s="17">
        <v>698.09000000000015</v>
      </c>
      <c r="G20" s="29">
        <v>0</v>
      </c>
      <c r="H20" s="18">
        <f t="shared" si="1"/>
        <v>0</v>
      </c>
      <c r="I20" s="18">
        <f t="shared" si="2"/>
        <v>0.33097072862336879</v>
      </c>
      <c r="J20" s="17">
        <f t="shared" si="5"/>
        <v>231.04735594468758</v>
      </c>
      <c r="K20" s="17">
        <f t="shared" si="3"/>
        <v>6.2445231336402047</v>
      </c>
      <c r="L20" s="16">
        <v>60</v>
      </c>
      <c r="M20" s="19">
        <f t="shared" si="6"/>
        <v>0.6166666666666667</v>
      </c>
      <c r="N20" s="16">
        <v>102</v>
      </c>
      <c r="O20" s="20">
        <f t="shared" ref="O20:P20" si="28">D20/7</f>
        <v>5.2857142857142856</v>
      </c>
      <c r="P20" s="20">
        <f t="shared" si="28"/>
        <v>0</v>
      </c>
      <c r="Q20" s="16">
        <f t="shared" si="8"/>
        <v>19</v>
      </c>
      <c r="R20" s="16"/>
      <c r="S20" s="21">
        <v>3.85245901639344</v>
      </c>
      <c r="T20" s="14">
        <v>0</v>
      </c>
      <c r="U20" s="22" t="s">
        <v>34</v>
      </c>
      <c r="V20" s="23" t="s">
        <v>34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14" t="s">
        <v>35</v>
      </c>
      <c r="AB20" s="27">
        <f t="shared" si="11"/>
        <v>-0.69</v>
      </c>
      <c r="AC20" s="28">
        <v>0.13926055729166667</v>
      </c>
      <c r="AD20" s="25">
        <f t="shared" si="12"/>
        <v>-7.1106440553125001</v>
      </c>
      <c r="AE20" s="25">
        <v>-4.9000000000000004</v>
      </c>
      <c r="AF20" s="25">
        <v>-4.7004999999999999</v>
      </c>
      <c r="AG20" s="25">
        <v>0</v>
      </c>
    </row>
    <row r="21" spans="1:33" ht="15.75" customHeight="1">
      <c r="A21" s="14" t="s">
        <v>47</v>
      </c>
      <c r="B21" s="14" t="s">
        <v>68</v>
      </c>
      <c r="C21" s="15">
        <f t="shared" si="4"/>
        <v>18.514782608695651</v>
      </c>
      <c r="D21" s="16">
        <v>46</v>
      </c>
      <c r="E21" s="16">
        <v>1</v>
      </c>
      <c r="F21" s="17">
        <v>851.68</v>
      </c>
      <c r="G21" s="29">
        <v>0</v>
      </c>
      <c r="H21" s="18">
        <f t="shared" si="1"/>
        <v>0</v>
      </c>
      <c r="I21" s="18">
        <f t="shared" si="2"/>
        <v>0.32108860114494286</v>
      </c>
      <c r="J21" s="17">
        <f t="shared" si="5"/>
        <v>273.46473982312494</v>
      </c>
      <c r="K21" s="17">
        <f t="shared" si="3"/>
        <v>5.9448856483288033</v>
      </c>
      <c r="L21" s="16">
        <v>24</v>
      </c>
      <c r="M21" s="19">
        <f t="shared" si="6"/>
        <v>1.9166666666666667</v>
      </c>
      <c r="N21" s="16">
        <v>60</v>
      </c>
      <c r="O21" s="20">
        <f t="shared" ref="O21:P21" si="29">D21/7</f>
        <v>6.5714285714285712</v>
      </c>
      <c r="P21" s="20">
        <f t="shared" si="29"/>
        <v>0.14285714285714285</v>
      </c>
      <c r="Q21" s="16">
        <f t="shared" si="8"/>
        <v>8</v>
      </c>
      <c r="R21" s="16"/>
      <c r="S21" s="21">
        <v>2.4722222222222201</v>
      </c>
      <c r="T21" s="14">
        <v>0</v>
      </c>
      <c r="U21" s="22" t="s">
        <v>34</v>
      </c>
      <c r="V21" s="23" t="s">
        <v>34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14" t="s">
        <v>35</v>
      </c>
      <c r="AB21" s="27">
        <f t="shared" si="11"/>
        <v>-0.69</v>
      </c>
      <c r="AC21" s="28">
        <v>0.13926055729166667</v>
      </c>
      <c r="AD21" s="25">
        <f t="shared" si="12"/>
        <v>-8.8402601768750007</v>
      </c>
      <c r="AE21" s="25">
        <v>-4.9000000000000004</v>
      </c>
      <c r="AF21" s="25">
        <v>-4.7004999999999999</v>
      </c>
      <c r="AG21" s="25">
        <v>0</v>
      </c>
    </row>
    <row r="22" spans="1:33" ht="15.75" customHeight="1">
      <c r="A22" s="14" t="s">
        <v>48</v>
      </c>
      <c r="B22" s="14" t="s">
        <v>68</v>
      </c>
      <c r="C22" s="15">
        <f t="shared" si="4"/>
        <v>17.185999999999993</v>
      </c>
      <c r="D22" s="16">
        <v>25</v>
      </c>
      <c r="E22" s="16">
        <v>2</v>
      </c>
      <c r="F22" s="29">
        <v>429.64999999999986</v>
      </c>
      <c r="G22" s="29">
        <v>-0.08</v>
      </c>
      <c r="H22" s="18">
        <f t="shared" si="1"/>
        <v>1.8619806819504254E-4</v>
      </c>
      <c r="I22" s="18">
        <f t="shared" si="2"/>
        <v>0.28000817124039901</v>
      </c>
      <c r="J22" s="17">
        <f t="shared" si="5"/>
        <v>120.30551077343739</v>
      </c>
      <c r="K22" s="17">
        <f t="shared" si="3"/>
        <v>4.8122204309374954</v>
      </c>
      <c r="L22" s="16">
        <v>50</v>
      </c>
      <c r="M22" s="19">
        <f t="shared" si="6"/>
        <v>0.5</v>
      </c>
      <c r="N22" s="16">
        <v>28</v>
      </c>
      <c r="O22" s="20">
        <f t="shared" ref="O22:P22" si="30">D22/7</f>
        <v>3.5714285714285716</v>
      </c>
      <c r="P22" s="20">
        <f t="shared" si="30"/>
        <v>0.2857142857142857</v>
      </c>
      <c r="Q22" s="16">
        <f t="shared" si="8"/>
        <v>7</v>
      </c>
      <c r="R22" s="16"/>
      <c r="S22" s="21">
        <v>3.1862464183380999</v>
      </c>
      <c r="T22" s="14">
        <v>0</v>
      </c>
      <c r="U22" s="22" t="s">
        <v>34</v>
      </c>
      <c r="V22" s="23" t="s">
        <v>34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35</v>
      </c>
      <c r="AB22" s="27">
        <f t="shared" si="11"/>
        <v>-0.69</v>
      </c>
      <c r="AC22" s="28">
        <v>0.13926055729166667</v>
      </c>
      <c r="AD22" s="25">
        <f t="shared" si="12"/>
        <v>-4.8044892265624997</v>
      </c>
      <c r="AE22" s="25">
        <v>-4.9000000000000004</v>
      </c>
      <c r="AF22" s="25">
        <v>-4.7004999999999999</v>
      </c>
      <c r="AG22" s="25">
        <v>0</v>
      </c>
    </row>
    <row r="23" spans="1:33" ht="15.75" customHeight="1">
      <c r="A23" s="14" t="s">
        <v>49</v>
      </c>
      <c r="B23" s="14" t="s">
        <v>1563</v>
      </c>
      <c r="C23" s="15">
        <f t="shared" si="4"/>
        <v>15.713684210526315</v>
      </c>
      <c r="D23" s="16">
        <v>19</v>
      </c>
      <c r="E23" s="16">
        <v>3</v>
      </c>
      <c r="F23" s="17">
        <v>298.56</v>
      </c>
      <c r="G23" s="29">
        <v>0</v>
      </c>
      <c r="H23" s="18">
        <f t="shared" si="1"/>
        <v>0</v>
      </c>
      <c r="I23" s="18">
        <f t="shared" si="2"/>
        <v>0.2268056276387074</v>
      </c>
      <c r="J23" s="17">
        <f t="shared" si="5"/>
        <v>67.715088187812484</v>
      </c>
      <c r="K23" s="17">
        <f t="shared" si="3"/>
        <v>3.5639520098848676</v>
      </c>
      <c r="L23" s="16">
        <v>53</v>
      </c>
      <c r="M23" s="19">
        <f t="shared" si="6"/>
        <v>0.35849056603773582</v>
      </c>
      <c r="N23" s="16">
        <v>3</v>
      </c>
      <c r="O23" s="20">
        <f t="shared" ref="O23:P23" si="31">D23/7</f>
        <v>2.7142857142857144</v>
      </c>
      <c r="P23" s="20">
        <f t="shared" si="31"/>
        <v>0.42857142857142855</v>
      </c>
      <c r="Q23" s="16">
        <f t="shared" si="8"/>
        <v>0</v>
      </c>
      <c r="R23" s="16"/>
      <c r="S23" s="21">
        <v>3.8853046594982001</v>
      </c>
      <c r="T23" s="14">
        <v>0</v>
      </c>
      <c r="U23" s="22" t="s">
        <v>34</v>
      </c>
      <c r="V23" s="23" t="s">
        <v>34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35</v>
      </c>
      <c r="AB23" s="27">
        <f t="shared" si="11"/>
        <v>-0.69</v>
      </c>
      <c r="AC23" s="28">
        <v>0.13926055729166667</v>
      </c>
      <c r="AD23" s="25">
        <f t="shared" si="12"/>
        <v>-3.6514118121874999</v>
      </c>
      <c r="AE23" s="25">
        <v>-4.9000000000000004</v>
      </c>
      <c r="AF23" s="25">
        <v>-4.7004999999999999</v>
      </c>
      <c r="AG23" s="25">
        <v>0</v>
      </c>
    </row>
    <row r="24" spans="1:33" ht="15.75" customHeight="1">
      <c r="A24" s="14" t="s">
        <v>50</v>
      </c>
      <c r="B24" s="14" t="s">
        <v>45</v>
      </c>
      <c r="C24" s="15">
        <f t="shared" si="4"/>
        <v>15.006666666666666</v>
      </c>
      <c r="D24" s="16">
        <v>3</v>
      </c>
      <c r="E24" s="16">
        <v>0</v>
      </c>
      <c r="F24" s="17">
        <v>45.019999999999996</v>
      </c>
      <c r="G24" s="17">
        <v>0</v>
      </c>
      <c r="H24" s="18">
        <f t="shared" si="1"/>
        <v>0</v>
      </c>
      <c r="I24" s="18">
        <f t="shared" si="2"/>
        <v>0.19744471996473775</v>
      </c>
      <c r="J24" s="17">
        <f t="shared" si="5"/>
        <v>8.8889612928124926</v>
      </c>
      <c r="K24" s="17">
        <f t="shared" si="3"/>
        <v>2.9629870976041643</v>
      </c>
      <c r="L24" s="16">
        <v>36</v>
      </c>
      <c r="M24" s="19">
        <f t="shared" si="6"/>
        <v>8.3333333333333329E-2</v>
      </c>
      <c r="N24" s="16">
        <v>2</v>
      </c>
      <c r="O24" s="20">
        <f t="shared" ref="O24:P24" si="32">D24/7</f>
        <v>0.42857142857142855</v>
      </c>
      <c r="P24" s="20">
        <f t="shared" si="32"/>
        <v>0</v>
      </c>
      <c r="Q24" s="16">
        <f t="shared" si="8"/>
        <v>4</v>
      </c>
      <c r="R24" s="16"/>
      <c r="S24" s="21">
        <v>5.4715025906735697</v>
      </c>
      <c r="T24" s="14">
        <v>0</v>
      </c>
      <c r="U24" s="22" t="s">
        <v>34</v>
      </c>
      <c r="V24" s="23" t="s">
        <v>34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14" t="s">
        <v>35</v>
      </c>
      <c r="AB24" s="27">
        <f t="shared" si="11"/>
        <v>-0.69</v>
      </c>
      <c r="AC24" s="28">
        <v>0.13926055729166667</v>
      </c>
      <c r="AD24" s="25">
        <f t="shared" si="12"/>
        <v>-0.5765387071875</v>
      </c>
      <c r="AE24" s="25">
        <v>-4.9000000000000004</v>
      </c>
      <c r="AF24" s="25">
        <v>-4.7004999999999999</v>
      </c>
      <c r="AG24" s="25">
        <v>0</v>
      </c>
    </row>
    <row r="25" spans="1:33" ht="15.75" customHeight="1">
      <c r="A25" s="14" t="s">
        <v>51</v>
      </c>
      <c r="B25" s="14" t="s">
        <v>1574</v>
      </c>
      <c r="C25" s="15">
        <f t="shared" si="4"/>
        <v>14.99</v>
      </c>
      <c r="D25" s="16">
        <v>4</v>
      </c>
      <c r="E25" s="16">
        <v>0</v>
      </c>
      <c r="F25" s="17">
        <v>59.96</v>
      </c>
      <c r="G25" s="17">
        <v>0</v>
      </c>
      <c r="H25" s="18">
        <f t="shared" si="1"/>
        <v>0</v>
      </c>
      <c r="I25" s="18">
        <f t="shared" si="2"/>
        <v>0.19675253041611065</v>
      </c>
      <c r="J25" s="17">
        <f t="shared" si="5"/>
        <v>11.797281723749995</v>
      </c>
      <c r="K25" s="17">
        <f t="shared" si="3"/>
        <v>2.9493204309374987</v>
      </c>
      <c r="L25" s="16">
        <v>40</v>
      </c>
      <c r="M25" s="19">
        <f t="shared" si="6"/>
        <v>0.1</v>
      </c>
      <c r="N25" s="16">
        <v>319</v>
      </c>
      <c r="O25" s="20">
        <f t="shared" ref="O25:P25" si="33">D25/7</f>
        <v>0.5714285714285714</v>
      </c>
      <c r="P25" s="20">
        <f t="shared" si="33"/>
        <v>0</v>
      </c>
      <c r="Q25" s="16">
        <f t="shared" si="8"/>
        <v>558</v>
      </c>
      <c r="R25" s="16"/>
      <c r="S25" s="21">
        <v>3.1319648093841641</v>
      </c>
      <c r="T25" s="14">
        <v>600</v>
      </c>
      <c r="U25" s="22" t="s">
        <v>34</v>
      </c>
      <c r="V25" s="23" t="s">
        <v>34</v>
      </c>
      <c r="W25" s="30">
        <v>0</v>
      </c>
      <c r="X25" s="24">
        <f t="shared" si="9"/>
        <v>0</v>
      </c>
      <c r="Y25" s="25">
        <f t="shared" si="10"/>
        <v>0</v>
      </c>
      <c r="Z25" s="30">
        <v>0</v>
      </c>
      <c r="AA25" s="14" t="s">
        <v>35</v>
      </c>
      <c r="AB25" s="27">
        <f t="shared" si="11"/>
        <v>-0.69</v>
      </c>
      <c r="AC25" s="28">
        <v>0.13926055729166667</v>
      </c>
      <c r="AD25" s="25">
        <f t="shared" si="12"/>
        <v>-0.76871827625</v>
      </c>
      <c r="AE25" s="25">
        <v>-4.9000000000000004</v>
      </c>
      <c r="AF25" s="25">
        <v>-4.7</v>
      </c>
      <c r="AG25" s="25">
        <v>0</v>
      </c>
    </row>
    <row r="26" spans="1:33" ht="15.75" customHeight="1">
      <c r="A26" s="14" t="s">
        <v>52</v>
      </c>
      <c r="B26" s="14" t="s">
        <v>1295</v>
      </c>
      <c r="C26" s="15">
        <f t="shared" si="4"/>
        <v>15.374571428571429</v>
      </c>
      <c r="D26" s="16">
        <v>35</v>
      </c>
      <c r="E26" s="16">
        <v>2</v>
      </c>
      <c r="F26" s="17">
        <v>538.11</v>
      </c>
      <c r="G26" s="17">
        <v>0</v>
      </c>
      <c r="H26" s="18">
        <f t="shared" si="1"/>
        <v>0</v>
      </c>
      <c r="I26" s="18">
        <f t="shared" si="2"/>
        <v>0.20980787400868323</v>
      </c>
      <c r="J26" s="17">
        <f t="shared" si="5"/>
        <v>112.89971508281253</v>
      </c>
      <c r="K26" s="17">
        <f t="shared" si="3"/>
        <v>3.2257061452232154</v>
      </c>
      <c r="L26" s="16">
        <v>54</v>
      </c>
      <c r="M26" s="19">
        <f t="shared" si="6"/>
        <v>0.64814814814814814</v>
      </c>
      <c r="N26" s="16">
        <v>283</v>
      </c>
      <c r="O26" s="20">
        <f t="shared" ref="O26:P26" si="34">D26/7</f>
        <v>5</v>
      </c>
      <c r="P26" s="20">
        <f t="shared" si="34"/>
        <v>0.2857142857142857</v>
      </c>
      <c r="Q26" s="16">
        <f t="shared" si="8"/>
        <v>53</v>
      </c>
      <c r="R26" s="16"/>
      <c r="S26" s="21">
        <v>1.862838915470495</v>
      </c>
      <c r="T26" s="14">
        <v>600</v>
      </c>
      <c r="U26" s="22" t="s">
        <v>34</v>
      </c>
      <c r="V26" s="23" t="s">
        <v>34</v>
      </c>
      <c r="W26" s="30">
        <v>0</v>
      </c>
      <c r="X26" s="24">
        <f t="shared" si="9"/>
        <v>0</v>
      </c>
      <c r="Y26" s="25">
        <f t="shared" si="10"/>
        <v>0</v>
      </c>
      <c r="Z26" s="30">
        <v>0</v>
      </c>
      <c r="AA26" s="14" t="s">
        <v>35</v>
      </c>
      <c r="AB26" s="27">
        <f t="shared" si="11"/>
        <v>-0.69</v>
      </c>
      <c r="AC26" s="28">
        <v>0.13926055729166667</v>
      </c>
      <c r="AD26" s="25">
        <f t="shared" si="12"/>
        <v>-6.7262849171874999</v>
      </c>
      <c r="AE26" s="25">
        <v>-4.95</v>
      </c>
      <c r="AF26" s="25">
        <v>-4.7004999999999999</v>
      </c>
      <c r="AG26" s="25">
        <v>0</v>
      </c>
    </row>
    <row r="27" spans="1:33" ht="15.75" customHeight="1">
      <c r="A27" s="14" t="s">
        <v>53</v>
      </c>
      <c r="B27" s="14" t="s">
        <v>68</v>
      </c>
      <c r="C27" s="15">
        <f t="shared" si="4"/>
        <v>16.871666666666666</v>
      </c>
      <c r="D27" s="16">
        <v>24</v>
      </c>
      <c r="E27" s="16">
        <v>2</v>
      </c>
      <c r="F27" s="17">
        <v>404.92</v>
      </c>
      <c r="G27" s="17">
        <v>0</v>
      </c>
      <c r="H27" s="18">
        <f t="shared" si="1"/>
        <v>0</v>
      </c>
      <c r="I27" s="18">
        <f t="shared" si="2"/>
        <v>0.26603400756322232</v>
      </c>
      <c r="J27" s="17">
        <f t="shared" si="5"/>
        <v>107.7224903425</v>
      </c>
      <c r="K27" s="17">
        <f t="shared" si="3"/>
        <v>4.4884370976041668</v>
      </c>
      <c r="L27" s="16">
        <v>63</v>
      </c>
      <c r="M27" s="19">
        <f t="shared" si="6"/>
        <v>0.38095238095238093</v>
      </c>
      <c r="N27" s="16">
        <v>251</v>
      </c>
      <c r="O27" s="20">
        <f t="shared" ref="O27:P27" si="35">D27/7</f>
        <v>3.4285714285714284</v>
      </c>
      <c r="P27" s="20">
        <f t="shared" si="35"/>
        <v>0.2857142857142857</v>
      </c>
      <c r="Q27" s="16">
        <f t="shared" si="8"/>
        <v>67</v>
      </c>
      <c r="R27" s="16"/>
      <c r="S27" s="21">
        <v>2.2605363984674329</v>
      </c>
      <c r="T27" s="14">
        <v>600</v>
      </c>
      <c r="U27" s="22" t="s">
        <v>34</v>
      </c>
      <c r="V27" s="23" t="s">
        <v>34</v>
      </c>
      <c r="W27" s="30">
        <v>0</v>
      </c>
      <c r="X27" s="24">
        <f t="shared" si="9"/>
        <v>0</v>
      </c>
      <c r="Y27" s="25">
        <f t="shared" si="10"/>
        <v>0</v>
      </c>
      <c r="Z27" s="30">
        <v>0</v>
      </c>
      <c r="AA27" s="14" t="s">
        <v>35</v>
      </c>
      <c r="AB27" s="27">
        <f t="shared" si="11"/>
        <v>-0.69</v>
      </c>
      <c r="AC27" s="28">
        <v>0.13926055729166667</v>
      </c>
      <c r="AD27" s="25">
        <f t="shared" si="12"/>
        <v>-4.6123096575</v>
      </c>
      <c r="AE27" s="25">
        <v>-4.95</v>
      </c>
      <c r="AF27" s="25">
        <v>-4.7103000000000002</v>
      </c>
      <c r="AG27" s="25">
        <v>0</v>
      </c>
    </row>
    <row r="28" spans="1:33" ht="15.75" customHeight="1">
      <c r="A28" s="14" t="s">
        <v>54</v>
      </c>
      <c r="B28" s="14" t="s">
        <v>1575</v>
      </c>
      <c r="C28" s="15">
        <f t="shared" si="4"/>
        <v>16.95</v>
      </c>
      <c r="D28" s="16">
        <v>36</v>
      </c>
      <c r="E28" s="16">
        <v>2</v>
      </c>
      <c r="F28" s="17">
        <v>610.19999999999993</v>
      </c>
      <c r="G28" s="17">
        <v>0</v>
      </c>
      <c r="H28" s="18">
        <f t="shared" si="1"/>
        <v>0</v>
      </c>
      <c r="I28" s="18">
        <f t="shared" si="2"/>
        <v>0.26873276878687308</v>
      </c>
      <c r="J28" s="17">
        <f t="shared" si="5"/>
        <v>163.98073551374992</v>
      </c>
      <c r="K28" s="17">
        <f t="shared" si="3"/>
        <v>4.555020430937498</v>
      </c>
      <c r="L28" s="16">
        <v>50</v>
      </c>
      <c r="M28" s="19">
        <f t="shared" si="6"/>
        <v>0.72</v>
      </c>
      <c r="N28" s="16">
        <v>196</v>
      </c>
      <c r="O28" s="20">
        <f t="shared" ref="O28:P28" si="36">D28/7</f>
        <v>5.1428571428571432</v>
      </c>
      <c r="P28" s="20">
        <f t="shared" si="36"/>
        <v>0.2857142857142857</v>
      </c>
      <c r="Q28" s="16">
        <f t="shared" si="8"/>
        <v>36</v>
      </c>
      <c r="R28" s="16"/>
      <c r="S28" s="21">
        <v>2.7226107226107228</v>
      </c>
      <c r="T28" s="14">
        <v>600</v>
      </c>
      <c r="U28" s="22" t="s">
        <v>34</v>
      </c>
      <c r="V28" s="23" t="s">
        <v>34</v>
      </c>
      <c r="W28" s="30">
        <v>0</v>
      </c>
      <c r="X28" s="24">
        <f t="shared" si="9"/>
        <v>0</v>
      </c>
      <c r="Y28" s="25">
        <f t="shared" si="10"/>
        <v>0</v>
      </c>
      <c r="Z28" s="30">
        <v>0</v>
      </c>
      <c r="AA28" s="14" t="s">
        <v>35</v>
      </c>
      <c r="AB28" s="27">
        <f t="shared" si="11"/>
        <v>-0.69</v>
      </c>
      <c r="AC28" s="28">
        <v>0.13926055729166667</v>
      </c>
      <c r="AD28" s="25">
        <f t="shared" si="12"/>
        <v>-6.9184644862500004</v>
      </c>
      <c r="AE28" s="25">
        <v>-4.95</v>
      </c>
      <c r="AF28" s="25">
        <v>-4.7103000000000002</v>
      </c>
      <c r="AG28" s="25">
        <v>0</v>
      </c>
    </row>
    <row r="29" spans="1:33" ht="15.75" customHeight="1">
      <c r="A29" s="14" t="s">
        <v>55</v>
      </c>
      <c r="B29" s="14" t="s">
        <v>1576</v>
      </c>
      <c r="C29" s="15">
        <f t="shared" si="4"/>
        <v>17.1005</v>
      </c>
      <c r="D29" s="16">
        <v>20</v>
      </c>
      <c r="E29" s="16">
        <v>2</v>
      </c>
      <c r="F29" s="17">
        <v>342.01</v>
      </c>
      <c r="G29" s="17">
        <v>0</v>
      </c>
      <c r="H29" s="18">
        <f t="shared" si="1"/>
        <v>0</v>
      </c>
      <c r="I29" s="18">
        <f t="shared" si="2"/>
        <v>0.27384845068492136</v>
      </c>
      <c r="J29" s="17">
        <f t="shared" si="5"/>
        <v>93.658908618749948</v>
      </c>
      <c r="K29" s="17">
        <f t="shared" si="3"/>
        <v>4.6829454309374974</v>
      </c>
      <c r="L29" s="16">
        <v>64</v>
      </c>
      <c r="M29" s="19">
        <f t="shared" si="6"/>
        <v>0.3125</v>
      </c>
      <c r="N29" s="16">
        <v>193</v>
      </c>
      <c r="O29" s="20">
        <f t="shared" ref="O29:P29" si="37">D29/7</f>
        <v>2.8571428571428572</v>
      </c>
      <c r="P29" s="20">
        <f t="shared" si="37"/>
        <v>0.2857142857142857</v>
      </c>
      <c r="Q29" s="16">
        <f t="shared" si="8"/>
        <v>61</v>
      </c>
      <c r="R29" s="16"/>
      <c r="S29" s="21">
        <v>3.5850144092219018</v>
      </c>
      <c r="T29" s="14">
        <v>600</v>
      </c>
      <c r="U29" s="22" t="s">
        <v>34</v>
      </c>
      <c r="V29" s="23" t="s">
        <v>34</v>
      </c>
      <c r="W29" s="30">
        <v>0</v>
      </c>
      <c r="X29" s="24">
        <f t="shared" si="9"/>
        <v>0</v>
      </c>
      <c r="Y29" s="25">
        <f t="shared" si="10"/>
        <v>0</v>
      </c>
      <c r="Z29" s="30">
        <v>0</v>
      </c>
      <c r="AA29" s="14" t="s">
        <v>35</v>
      </c>
      <c r="AB29" s="27">
        <f t="shared" si="11"/>
        <v>-0.69</v>
      </c>
      <c r="AC29" s="28">
        <v>0.13926055729166667</v>
      </c>
      <c r="AD29" s="25">
        <f t="shared" si="12"/>
        <v>-3.84359138125</v>
      </c>
      <c r="AE29" s="25">
        <v>-4.95</v>
      </c>
      <c r="AF29" s="25">
        <v>-4.7103000000000002</v>
      </c>
      <c r="AG29" s="25">
        <v>0</v>
      </c>
    </row>
    <row r="30" spans="1:33" ht="15.75" customHeight="1">
      <c r="A30" s="14" t="s">
        <v>57</v>
      </c>
      <c r="B30" s="14" t="s">
        <v>1575</v>
      </c>
      <c r="C30" s="15">
        <f t="shared" si="4"/>
        <v>16.983103448275859</v>
      </c>
      <c r="D30" s="16">
        <v>29</v>
      </c>
      <c r="E30" s="16">
        <v>1</v>
      </c>
      <c r="F30" s="17">
        <v>492.50999999999988</v>
      </c>
      <c r="G30" s="17">
        <v>0</v>
      </c>
      <c r="H30" s="18">
        <f t="shared" si="1"/>
        <v>0</v>
      </c>
      <c r="I30" s="18">
        <f t="shared" si="2"/>
        <v>0.27403834859431769</v>
      </c>
      <c r="J30" s="17">
        <f t="shared" si="5"/>
        <v>134.96662706618739</v>
      </c>
      <c r="K30" s="17">
        <f t="shared" si="3"/>
        <v>4.6540216229719791</v>
      </c>
      <c r="L30" s="16">
        <v>52</v>
      </c>
      <c r="M30" s="19">
        <f t="shared" si="6"/>
        <v>0.55769230769230771</v>
      </c>
      <c r="N30" s="16">
        <v>166</v>
      </c>
      <c r="O30" s="20">
        <f t="shared" ref="O30:P30" si="38">D30/7</f>
        <v>4.1428571428571432</v>
      </c>
      <c r="P30" s="20">
        <f t="shared" si="38"/>
        <v>0.14285714285714285</v>
      </c>
      <c r="Q30" s="16">
        <f t="shared" si="8"/>
        <v>38</v>
      </c>
      <c r="R30" s="16"/>
      <c r="S30" s="21">
        <v>1.746031746031746</v>
      </c>
      <c r="T30" s="14">
        <v>600</v>
      </c>
      <c r="U30" s="22" t="s">
        <v>34</v>
      </c>
      <c r="V30" s="23" t="s">
        <v>34</v>
      </c>
      <c r="W30" s="30">
        <v>0</v>
      </c>
      <c r="X30" s="24">
        <f t="shared" si="9"/>
        <v>0</v>
      </c>
      <c r="Y30" s="25">
        <f t="shared" si="10"/>
        <v>0</v>
      </c>
      <c r="Z30" s="30">
        <v>0</v>
      </c>
      <c r="AA30" s="14" t="s">
        <v>35</v>
      </c>
      <c r="AB30" s="27">
        <f t="shared" si="11"/>
        <v>-0.69</v>
      </c>
      <c r="AC30" s="28">
        <v>0.13926055729166667</v>
      </c>
      <c r="AD30" s="25">
        <f t="shared" si="12"/>
        <v>-5.5732075028125001</v>
      </c>
      <c r="AE30" s="25">
        <v>-4.95</v>
      </c>
      <c r="AF30" s="25">
        <v>-4.6394367389999998</v>
      </c>
      <c r="AG30" s="25">
        <v>0</v>
      </c>
    </row>
    <row r="31" spans="1:33" ht="15.75" customHeight="1">
      <c r="A31" s="14" t="s">
        <v>58</v>
      </c>
      <c r="B31" s="14" t="s">
        <v>1577</v>
      </c>
      <c r="C31" s="15">
        <f t="shared" si="4"/>
        <v>16.08388888888889</v>
      </c>
      <c r="D31" s="16">
        <v>36</v>
      </c>
      <c r="E31" s="16">
        <v>0</v>
      </c>
      <c r="F31" s="17">
        <v>579.02</v>
      </c>
      <c r="G31" s="17">
        <v>0</v>
      </c>
      <c r="H31" s="18">
        <f t="shared" si="1"/>
        <v>0</v>
      </c>
      <c r="I31" s="18">
        <f t="shared" si="2"/>
        <v>0.24183760994395689</v>
      </c>
      <c r="J31" s="17">
        <f t="shared" si="5"/>
        <v>140.02881290974992</v>
      </c>
      <c r="K31" s="17">
        <f t="shared" si="3"/>
        <v>3.8896892474930533</v>
      </c>
      <c r="L31" s="16">
        <v>57</v>
      </c>
      <c r="M31" s="19">
        <f t="shared" si="6"/>
        <v>0.63157894736842102</v>
      </c>
      <c r="N31" s="16">
        <v>132</v>
      </c>
      <c r="O31" s="20">
        <f t="shared" ref="O31:P31" si="39">D31/7</f>
        <v>5.1428571428571432</v>
      </c>
      <c r="P31" s="20">
        <f t="shared" si="39"/>
        <v>0</v>
      </c>
      <c r="Q31" s="16">
        <f t="shared" si="8"/>
        <v>25</v>
      </c>
      <c r="R31" s="16"/>
      <c r="S31" s="21">
        <v>2.1829855537720699</v>
      </c>
      <c r="T31" s="14" t="s">
        <v>34</v>
      </c>
      <c r="U31" s="22" t="s">
        <v>34</v>
      </c>
      <c r="V31" s="23" t="s">
        <v>296</v>
      </c>
      <c r="W31" s="30">
        <v>0</v>
      </c>
      <c r="X31" s="24">
        <f t="shared" si="9"/>
        <v>0</v>
      </c>
      <c r="Y31" s="25">
        <f t="shared" si="10"/>
        <v>0</v>
      </c>
      <c r="Z31" s="30">
        <v>0</v>
      </c>
      <c r="AA31" s="14" t="s">
        <v>35</v>
      </c>
      <c r="AB31" s="27">
        <f t="shared" si="11"/>
        <v>-0.69</v>
      </c>
      <c r="AC31" s="28">
        <v>0.13926055729166667</v>
      </c>
      <c r="AD31" s="25">
        <f t="shared" si="12"/>
        <v>-6.9184644862500004</v>
      </c>
      <c r="AE31" s="25">
        <v>-4.95</v>
      </c>
      <c r="AF31" s="25">
        <v>-4.6394367390000006</v>
      </c>
      <c r="AG31" s="25">
        <v>0</v>
      </c>
    </row>
    <row r="32" spans="1:33" ht="15.75" customHeight="1">
      <c r="A32" s="14" t="s">
        <v>60</v>
      </c>
      <c r="B32" s="14"/>
      <c r="C32" s="15">
        <f t="shared" si="4"/>
        <v>17.242714285714285</v>
      </c>
      <c r="D32" s="16">
        <v>70</v>
      </c>
      <c r="E32" s="16">
        <v>0</v>
      </c>
      <c r="F32" s="17">
        <v>1206.99</v>
      </c>
      <c r="G32" s="17">
        <v>0</v>
      </c>
      <c r="H32" s="18">
        <f t="shared" si="1"/>
        <v>0</v>
      </c>
      <c r="I32" s="18">
        <f t="shared" si="2"/>
        <v>0.28271017857283393</v>
      </c>
      <c r="J32" s="17">
        <f t="shared" si="5"/>
        <v>341.22835843562484</v>
      </c>
      <c r="K32" s="17">
        <f t="shared" si="3"/>
        <v>4.8746908347946407</v>
      </c>
      <c r="L32" s="16">
        <v>56</v>
      </c>
      <c r="M32" s="19">
        <f t="shared" si="6"/>
        <v>1.25</v>
      </c>
      <c r="N32" s="16">
        <v>62</v>
      </c>
      <c r="O32" s="20">
        <f t="shared" ref="O32:P32" si="40">D32/7</f>
        <v>10</v>
      </c>
      <c r="P32" s="20">
        <f t="shared" si="40"/>
        <v>0</v>
      </c>
      <c r="Q32" s="16">
        <f t="shared" si="8"/>
        <v>6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4.01007556675063</v>
      </c>
      <c r="T32" s="14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23" t="str">
        <f ca="1">IFERROR(__xludf.DUMMYFUNCTION("IFERROR(VLOOKUP($B$2,IMPORTRANGE(""https://docs.google.com/spreadsheets/d/1KiWZV1ko8G7lnRucBRBd29jj3Be6ltMfljMDqzOkQmI/edit#gid=1381463014"",""Lookup!A:D""),2,FALSE),"""")"),"No Transit or Factory Storage, 600 In Production 60-100 days from Earliest Arrival")</f>
        <v>No Transit or Factory Storage, 600 In Production 60-100 days from Earliest Arrival</v>
      </c>
      <c r="W32" s="30">
        <v>0</v>
      </c>
      <c r="X32" s="24">
        <f t="shared" si="9"/>
        <v>0</v>
      </c>
      <c r="Y32" s="25">
        <f t="shared" si="10"/>
        <v>0</v>
      </c>
      <c r="Z32" s="30">
        <v>0</v>
      </c>
      <c r="AA32" s="14" t="s">
        <v>35</v>
      </c>
      <c r="AB32" s="27">
        <f t="shared" si="11"/>
        <v>-0.69</v>
      </c>
      <c r="AC32" s="28">
        <v>0.13926055729166667</v>
      </c>
      <c r="AD32" s="25">
        <f t="shared" si="12"/>
        <v>-13.452569834375</v>
      </c>
      <c r="AE32" s="25">
        <v>-4.95</v>
      </c>
      <c r="AF32" s="25">
        <v>-4.6394367389999998</v>
      </c>
      <c r="AG32" s="25">
        <v>0</v>
      </c>
    </row>
    <row r="33" spans="1:33" ht="15.75" customHeight="1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16"/>
      <c r="S33" s="21"/>
      <c r="T33" s="31"/>
      <c r="U33" s="36"/>
      <c r="V33" s="1"/>
      <c r="W33" s="31"/>
      <c r="X33" s="31"/>
      <c r="Y33" s="31"/>
      <c r="Z33" s="31"/>
      <c r="AA33" s="2"/>
      <c r="AB33" s="31"/>
      <c r="AC33" s="31"/>
      <c r="AD33" s="31"/>
      <c r="AE33" s="37"/>
      <c r="AF33" s="37"/>
      <c r="AG33" s="37"/>
    </row>
    <row r="34" spans="1:33" ht="15.75" customHeight="1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6"/>
      <c r="V34" s="1"/>
      <c r="W34" s="31"/>
      <c r="X34" s="31"/>
      <c r="Y34" s="31"/>
      <c r="Z34" s="31"/>
      <c r="AA34" s="2"/>
      <c r="AB34" s="31"/>
      <c r="AC34" s="31"/>
      <c r="AD34" s="31"/>
      <c r="AE34" s="37"/>
      <c r="AF34" s="37"/>
      <c r="AG34" s="37"/>
    </row>
    <row r="35" spans="1:33" ht="15.75" customHeight="1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6"/>
      <c r="V35" s="1"/>
      <c r="W35" s="31"/>
      <c r="X35" s="31"/>
      <c r="Y35" s="31"/>
      <c r="Z35" s="31"/>
      <c r="AA35" s="2"/>
      <c r="AB35" s="31"/>
      <c r="AC35" s="31"/>
      <c r="AD35" s="31"/>
      <c r="AE35" s="37"/>
      <c r="AF35" s="37"/>
      <c r="AG35" s="37"/>
    </row>
    <row r="36" spans="1:33" ht="15.75" customHeight="1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6"/>
      <c r="V36" s="1"/>
      <c r="W36" s="31"/>
      <c r="X36" s="31"/>
      <c r="Y36" s="31"/>
      <c r="Z36" s="31"/>
      <c r="AA36" s="2"/>
      <c r="AB36" s="31"/>
      <c r="AC36" s="31"/>
      <c r="AD36" s="31"/>
      <c r="AE36" s="37"/>
      <c r="AF36" s="37"/>
      <c r="AG36" s="37"/>
    </row>
    <row r="37" spans="1:33" ht="15.75" customHeight="1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6"/>
      <c r="V37" s="1"/>
      <c r="W37" s="31"/>
      <c r="X37" s="31"/>
      <c r="Y37" s="31"/>
      <c r="Z37" s="31"/>
      <c r="AA37" s="2"/>
      <c r="AB37" s="31"/>
      <c r="AC37" s="31"/>
      <c r="AD37" s="31"/>
      <c r="AE37" s="37"/>
      <c r="AF37" s="37"/>
      <c r="AG37" s="37"/>
    </row>
    <row r="38" spans="1:33" ht="15.75" customHeight="1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6"/>
      <c r="V38" s="1"/>
      <c r="W38" s="31"/>
      <c r="X38" s="31"/>
      <c r="Y38" s="31"/>
      <c r="Z38" s="31"/>
      <c r="AA38" s="2"/>
      <c r="AB38" s="31"/>
      <c r="AC38" s="31"/>
      <c r="AD38" s="31"/>
      <c r="AE38" s="37"/>
      <c r="AF38" s="37"/>
      <c r="AG38" s="37"/>
    </row>
    <row r="39" spans="1:33" ht="15.75" customHeight="1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6"/>
      <c r="V39" s="1"/>
      <c r="W39" s="31"/>
      <c r="X39" s="31"/>
      <c r="Y39" s="31"/>
      <c r="Z39" s="31"/>
      <c r="AA39" s="2"/>
      <c r="AB39" s="31"/>
      <c r="AC39" s="31"/>
      <c r="AD39" s="31"/>
      <c r="AE39" s="37"/>
      <c r="AF39" s="37"/>
      <c r="AG39" s="37"/>
    </row>
    <row r="40" spans="1:33" ht="15.75" customHeight="1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6"/>
      <c r="V40" s="1"/>
      <c r="W40" s="31"/>
      <c r="X40" s="31"/>
      <c r="Y40" s="31"/>
      <c r="Z40" s="31"/>
      <c r="AA40" s="2"/>
      <c r="AB40" s="31"/>
      <c r="AC40" s="31"/>
      <c r="AD40" s="31"/>
      <c r="AE40" s="37"/>
      <c r="AF40" s="37"/>
      <c r="AG40" s="37"/>
    </row>
    <row r="41" spans="1:33" ht="15.75" customHeight="1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6"/>
      <c r="V41" s="1"/>
      <c r="W41" s="31"/>
      <c r="X41" s="31"/>
      <c r="Y41" s="31"/>
      <c r="Z41" s="31"/>
      <c r="AA41" s="2"/>
      <c r="AB41" s="31"/>
      <c r="AC41" s="31"/>
      <c r="AD41" s="31"/>
      <c r="AE41" s="37"/>
      <c r="AF41" s="37"/>
      <c r="AG41" s="37"/>
    </row>
    <row r="42" spans="1:33" ht="15.75" customHeight="1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6"/>
      <c r="V42" s="1"/>
      <c r="W42" s="31"/>
      <c r="X42" s="31"/>
      <c r="Y42" s="31"/>
      <c r="Z42" s="31"/>
      <c r="AA42" s="2"/>
      <c r="AB42" s="31"/>
      <c r="AC42" s="31"/>
      <c r="AD42" s="31"/>
      <c r="AE42" s="37"/>
      <c r="AF42" s="37"/>
      <c r="AG42" s="37"/>
    </row>
    <row r="43" spans="1:33" ht="15.75" customHeight="1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6"/>
      <c r="V43" s="1"/>
      <c r="W43" s="31"/>
      <c r="X43" s="31"/>
      <c r="Y43" s="31"/>
      <c r="Z43" s="31"/>
      <c r="AA43" s="2"/>
      <c r="AB43" s="31"/>
      <c r="AC43" s="31"/>
      <c r="AD43" s="31"/>
      <c r="AE43" s="37"/>
      <c r="AF43" s="37"/>
      <c r="AG43" s="37"/>
    </row>
    <row r="44" spans="1:33" ht="15.75" customHeight="1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6"/>
      <c r="V44" s="1"/>
      <c r="W44" s="31"/>
      <c r="X44" s="31"/>
      <c r="Y44" s="31"/>
      <c r="Z44" s="31"/>
      <c r="AA44" s="2"/>
      <c r="AB44" s="31"/>
      <c r="AC44" s="31"/>
      <c r="AD44" s="31"/>
      <c r="AE44" s="37"/>
      <c r="AF44" s="37"/>
      <c r="AG44" s="37"/>
    </row>
    <row r="45" spans="1:33" ht="15.75" customHeight="1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6"/>
      <c r="V45" s="1"/>
      <c r="W45" s="31"/>
      <c r="X45" s="31"/>
      <c r="Y45" s="31"/>
      <c r="Z45" s="31"/>
      <c r="AA45" s="2"/>
      <c r="AB45" s="31"/>
      <c r="AC45" s="31"/>
      <c r="AD45" s="31"/>
      <c r="AE45" s="37"/>
      <c r="AF45" s="37"/>
      <c r="AG45" s="37"/>
    </row>
    <row r="46" spans="1:33" ht="15.75" customHeight="1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6"/>
      <c r="V46" s="1"/>
      <c r="W46" s="31"/>
      <c r="X46" s="31"/>
      <c r="Y46" s="31"/>
      <c r="Z46" s="31"/>
      <c r="AA46" s="2"/>
      <c r="AB46" s="31"/>
      <c r="AC46" s="31"/>
      <c r="AD46" s="31"/>
      <c r="AE46" s="37"/>
      <c r="AF46" s="37"/>
      <c r="AG46" s="37"/>
    </row>
    <row r="47" spans="1:33" ht="15.75" customHeight="1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6"/>
      <c r="V47" s="1"/>
      <c r="W47" s="31"/>
      <c r="X47" s="31"/>
      <c r="Y47" s="31"/>
      <c r="Z47" s="31"/>
      <c r="AA47" s="2"/>
      <c r="AB47" s="31"/>
      <c r="AC47" s="31"/>
      <c r="AD47" s="31"/>
      <c r="AE47" s="37"/>
      <c r="AF47" s="37"/>
      <c r="AG47" s="37"/>
    </row>
    <row r="48" spans="1:33" ht="15.75" customHeight="1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6"/>
      <c r="V48" s="1"/>
      <c r="W48" s="31"/>
      <c r="X48" s="31"/>
      <c r="Y48" s="31"/>
      <c r="Z48" s="31"/>
      <c r="AA48" s="2"/>
      <c r="AB48" s="31"/>
      <c r="AC48" s="31"/>
      <c r="AD48" s="31"/>
      <c r="AE48" s="37"/>
      <c r="AF48" s="37"/>
      <c r="AG48" s="37"/>
    </row>
    <row r="49" spans="1:33" ht="15.75" customHeight="1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6"/>
      <c r="V49" s="1"/>
      <c r="W49" s="31"/>
      <c r="X49" s="31"/>
      <c r="Y49" s="31"/>
      <c r="Z49" s="31"/>
      <c r="AA49" s="2"/>
      <c r="AB49" s="31"/>
      <c r="AC49" s="31"/>
      <c r="AD49" s="31"/>
      <c r="AE49" s="37"/>
      <c r="AF49" s="37"/>
      <c r="AG49" s="37"/>
    </row>
    <row r="50" spans="1:33" ht="15.75" customHeight="1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6"/>
      <c r="V50" s="1"/>
      <c r="W50" s="31"/>
      <c r="X50" s="31"/>
      <c r="Y50" s="31"/>
      <c r="Z50" s="31"/>
      <c r="AA50" s="2"/>
      <c r="AB50" s="31"/>
      <c r="AC50" s="31"/>
      <c r="AD50" s="31"/>
      <c r="AE50" s="37"/>
      <c r="AF50" s="37"/>
      <c r="AG50" s="37"/>
    </row>
    <row r="51" spans="1:33" ht="15.75" customHeight="1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6"/>
      <c r="V51" s="1"/>
      <c r="W51" s="31"/>
      <c r="X51" s="31"/>
      <c r="Y51" s="31"/>
      <c r="Z51" s="31"/>
      <c r="AA51" s="2"/>
      <c r="AB51" s="31"/>
      <c r="AC51" s="31"/>
      <c r="AD51" s="31"/>
      <c r="AE51" s="37"/>
      <c r="AF51" s="37"/>
      <c r="AG51" s="37"/>
    </row>
    <row r="52" spans="1:33" ht="15.75" customHeight="1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6"/>
      <c r="V52" s="1"/>
      <c r="W52" s="31"/>
      <c r="X52" s="31"/>
      <c r="Y52" s="31"/>
      <c r="Z52" s="31"/>
      <c r="AA52" s="2"/>
      <c r="AB52" s="31"/>
      <c r="AC52" s="31"/>
      <c r="AD52" s="31"/>
      <c r="AE52" s="37"/>
      <c r="AF52" s="37"/>
      <c r="AG52" s="37"/>
    </row>
    <row r="53" spans="1:33" ht="15.75" customHeight="1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6"/>
      <c r="V53" s="1"/>
      <c r="W53" s="31"/>
      <c r="X53" s="31"/>
      <c r="Y53" s="31"/>
      <c r="Z53" s="31"/>
      <c r="AA53" s="2"/>
      <c r="AB53" s="31"/>
      <c r="AC53" s="31"/>
      <c r="AD53" s="31"/>
      <c r="AE53" s="37"/>
      <c r="AF53" s="37"/>
      <c r="AG53" s="37"/>
    </row>
    <row r="54" spans="1:33" ht="15.75" customHeight="1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6"/>
      <c r="V54" s="1"/>
      <c r="W54" s="31"/>
      <c r="X54" s="31"/>
      <c r="Y54" s="31"/>
      <c r="Z54" s="31"/>
      <c r="AA54" s="2"/>
      <c r="AB54" s="31"/>
      <c r="AC54" s="31"/>
      <c r="AD54" s="31"/>
      <c r="AE54" s="37"/>
      <c r="AF54" s="37"/>
      <c r="AG54" s="37"/>
    </row>
    <row r="55" spans="1:33" ht="15.75" customHeight="1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6"/>
      <c r="V55" s="1"/>
      <c r="W55" s="31"/>
      <c r="X55" s="31"/>
      <c r="Y55" s="31"/>
      <c r="Z55" s="31"/>
      <c r="AA55" s="2"/>
      <c r="AB55" s="31"/>
      <c r="AC55" s="31"/>
      <c r="AD55" s="31"/>
      <c r="AE55" s="37"/>
      <c r="AF55" s="37"/>
      <c r="AG55" s="37"/>
    </row>
    <row r="56" spans="1:33" ht="15.75" customHeight="1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6"/>
      <c r="V56" s="1"/>
      <c r="W56" s="31"/>
      <c r="X56" s="31"/>
      <c r="Y56" s="31"/>
      <c r="Z56" s="31"/>
      <c r="AA56" s="2"/>
      <c r="AB56" s="31"/>
      <c r="AC56" s="31"/>
      <c r="AD56" s="31"/>
      <c r="AE56" s="37"/>
      <c r="AF56" s="37"/>
      <c r="AG56" s="37"/>
    </row>
    <row r="57" spans="1:33" ht="15.75" customHeight="1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6"/>
      <c r="V57" s="1"/>
      <c r="W57" s="31"/>
      <c r="X57" s="31"/>
      <c r="Y57" s="31"/>
      <c r="Z57" s="31"/>
      <c r="AA57" s="2"/>
      <c r="AB57" s="31"/>
      <c r="AC57" s="31"/>
      <c r="AD57" s="31"/>
      <c r="AE57" s="37"/>
      <c r="AF57" s="37"/>
      <c r="AG57" s="37"/>
    </row>
    <row r="58" spans="1:33" ht="15.75" customHeight="1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6"/>
      <c r="V58" s="1"/>
      <c r="W58" s="31"/>
      <c r="X58" s="31"/>
      <c r="Y58" s="31"/>
      <c r="Z58" s="31"/>
      <c r="AA58" s="2"/>
      <c r="AB58" s="31"/>
      <c r="AC58" s="31"/>
      <c r="AD58" s="31"/>
      <c r="AE58" s="37"/>
      <c r="AF58" s="37"/>
      <c r="AG58" s="37"/>
    </row>
    <row r="59" spans="1:33" ht="15.75" customHeight="1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6"/>
      <c r="V59" s="1"/>
      <c r="W59" s="31"/>
      <c r="X59" s="31"/>
      <c r="Y59" s="31"/>
      <c r="Z59" s="31"/>
      <c r="AA59" s="2"/>
      <c r="AB59" s="31"/>
      <c r="AC59" s="31"/>
      <c r="AD59" s="31"/>
      <c r="AE59" s="37"/>
      <c r="AF59" s="37"/>
      <c r="AG59" s="37"/>
    </row>
    <row r="60" spans="1:33" ht="15.75" customHeight="1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6"/>
      <c r="V60" s="1"/>
      <c r="W60" s="31"/>
      <c r="X60" s="31"/>
      <c r="Y60" s="31"/>
      <c r="Z60" s="31"/>
      <c r="AA60" s="2"/>
      <c r="AB60" s="31"/>
      <c r="AC60" s="31"/>
      <c r="AD60" s="31"/>
      <c r="AE60" s="37"/>
      <c r="AF60" s="37"/>
      <c r="AG60" s="37"/>
    </row>
    <row r="61" spans="1:33" ht="15.75" customHeight="1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6"/>
      <c r="V61" s="1"/>
      <c r="W61" s="31"/>
      <c r="X61" s="31"/>
      <c r="Y61" s="31"/>
      <c r="Z61" s="31"/>
      <c r="AA61" s="2"/>
      <c r="AB61" s="31"/>
      <c r="AC61" s="31"/>
      <c r="AD61" s="31"/>
      <c r="AE61" s="37"/>
      <c r="AF61" s="37"/>
      <c r="AG61" s="37"/>
    </row>
    <row r="62" spans="1:33" ht="15.75" customHeight="1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6"/>
      <c r="V62" s="1"/>
      <c r="W62" s="31"/>
      <c r="X62" s="31"/>
      <c r="Y62" s="31"/>
      <c r="Z62" s="31"/>
      <c r="AA62" s="2"/>
      <c r="AB62" s="31"/>
      <c r="AC62" s="31"/>
      <c r="AD62" s="31"/>
      <c r="AE62" s="37"/>
      <c r="AF62" s="37"/>
      <c r="AG62" s="37"/>
    </row>
    <row r="63" spans="1:33" ht="15.75" customHeight="1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6"/>
      <c r="V63" s="1"/>
      <c r="W63" s="31"/>
      <c r="X63" s="31"/>
      <c r="Y63" s="31"/>
      <c r="Z63" s="31"/>
      <c r="AA63" s="2"/>
      <c r="AB63" s="31"/>
      <c r="AC63" s="31"/>
      <c r="AD63" s="31"/>
      <c r="AE63" s="37"/>
      <c r="AF63" s="37"/>
      <c r="AG63" s="37"/>
    </row>
    <row r="64" spans="1:33" ht="15.75" customHeight="1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6"/>
      <c r="V64" s="1"/>
      <c r="W64" s="31"/>
      <c r="X64" s="31"/>
      <c r="Y64" s="31"/>
      <c r="Z64" s="31"/>
      <c r="AA64" s="2"/>
      <c r="AB64" s="31"/>
      <c r="AC64" s="31"/>
      <c r="AD64" s="31"/>
      <c r="AE64" s="37"/>
      <c r="AF64" s="37"/>
      <c r="AG64" s="37"/>
    </row>
    <row r="65" spans="1:33" ht="15.75" customHeight="1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6"/>
      <c r="V65" s="1"/>
      <c r="W65" s="31"/>
      <c r="X65" s="31"/>
      <c r="Y65" s="31"/>
      <c r="Z65" s="31"/>
      <c r="AA65" s="2"/>
      <c r="AB65" s="31"/>
      <c r="AC65" s="31"/>
      <c r="AD65" s="31"/>
      <c r="AE65" s="37"/>
      <c r="AF65" s="37"/>
      <c r="AG65" s="37"/>
    </row>
    <row r="66" spans="1:33" ht="15.75" customHeight="1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6"/>
      <c r="V66" s="1"/>
      <c r="W66" s="31"/>
      <c r="X66" s="31"/>
      <c r="Y66" s="31"/>
      <c r="Z66" s="31"/>
      <c r="AA66" s="2"/>
      <c r="AB66" s="31"/>
      <c r="AC66" s="31"/>
      <c r="AD66" s="31"/>
      <c r="AE66" s="37"/>
      <c r="AF66" s="37"/>
      <c r="AG66" s="37"/>
    </row>
    <row r="67" spans="1:33" ht="15.75" customHeight="1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6"/>
      <c r="V67" s="1"/>
      <c r="W67" s="31"/>
      <c r="X67" s="31"/>
      <c r="Y67" s="31"/>
      <c r="Z67" s="31"/>
      <c r="AA67" s="2"/>
      <c r="AB67" s="31"/>
      <c r="AC67" s="31"/>
      <c r="AD67" s="31"/>
      <c r="AE67" s="37"/>
      <c r="AF67" s="37"/>
      <c r="AG67" s="37"/>
    </row>
    <row r="68" spans="1:33" ht="15.75" customHeight="1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6"/>
      <c r="V68" s="1"/>
      <c r="W68" s="31"/>
      <c r="X68" s="31"/>
      <c r="Y68" s="31"/>
      <c r="Z68" s="31"/>
      <c r="AA68" s="2"/>
      <c r="AB68" s="31"/>
      <c r="AC68" s="31"/>
      <c r="AD68" s="31"/>
      <c r="AE68" s="37"/>
      <c r="AF68" s="37"/>
      <c r="AG68" s="37"/>
    </row>
    <row r="69" spans="1:33" ht="15.75" customHeight="1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6"/>
      <c r="V69" s="1"/>
      <c r="W69" s="31"/>
      <c r="X69" s="31"/>
      <c r="Y69" s="31"/>
      <c r="Z69" s="31"/>
      <c r="AA69" s="2"/>
      <c r="AB69" s="31"/>
      <c r="AC69" s="31"/>
      <c r="AD69" s="31"/>
      <c r="AE69" s="37"/>
      <c r="AF69" s="37"/>
      <c r="AG69" s="37"/>
    </row>
    <row r="70" spans="1:33" ht="15.75" customHeight="1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6"/>
      <c r="V70" s="1"/>
      <c r="W70" s="31"/>
      <c r="X70" s="31"/>
      <c r="Y70" s="31"/>
      <c r="Z70" s="31"/>
      <c r="AA70" s="2"/>
      <c r="AB70" s="31"/>
      <c r="AC70" s="31"/>
      <c r="AD70" s="31"/>
      <c r="AE70" s="37"/>
      <c r="AF70" s="37"/>
      <c r="AG70" s="37"/>
    </row>
    <row r="71" spans="1:33" ht="15.75" customHeight="1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6"/>
      <c r="V71" s="1"/>
      <c r="W71" s="31"/>
      <c r="X71" s="31"/>
      <c r="Y71" s="31"/>
      <c r="Z71" s="31"/>
      <c r="AA71" s="2"/>
      <c r="AB71" s="31"/>
      <c r="AC71" s="31"/>
      <c r="AD71" s="31"/>
      <c r="AE71" s="37"/>
      <c r="AF71" s="37"/>
      <c r="AG71" s="37"/>
    </row>
    <row r="72" spans="1:33" ht="15.75" customHeight="1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6"/>
      <c r="V72" s="1"/>
      <c r="W72" s="31"/>
      <c r="X72" s="31"/>
      <c r="Y72" s="31"/>
      <c r="Z72" s="31"/>
      <c r="AA72" s="2"/>
      <c r="AB72" s="31"/>
      <c r="AC72" s="31"/>
      <c r="AD72" s="31"/>
      <c r="AE72" s="37"/>
      <c r="AF72" s="37"/>
      <c r="AG72" s="37"/>
    </row>
    <row r="73" spans="1:33" ht="15.75" customHeight="1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6"/>
      <c r="V73" s="1"/>
      <c r="W73" s="31"/>
      <c r="X73" s="31"/>
      <c r="Y73" s="31"/>
      <c r="Z73" s="31"/>
      <c r="AA73" s="2"/>
      <c r="AB73" s="31"/>
      <c r="AC73" s="31"/>
      <c r="AD73" s="31"/>
      <c r="AE73" s="37"/>
      <c r="AF73" s="37"/>
      <c r="AG73" s="37"/>
    </row>
    <row r="74" spans="1:33" ht="15.75" customHeight="1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6"/>
      <c r="V74" s="1"/>
      <c r="W74" s="31"/>
      <c r="X74" s="31"/>
      <c r="Y74" s="31"/>
      <c r="Z74" s="31"/>
      <c r="AA74" s="2"/>
      <c r="AB74" s="31"/>
      <c r="AC74" s="31"/>
      <c r="AD74" s="31"/>
      <c r="AE74" s="37"/>
      <c r="AF74" s="37"/>
      <c r="AG74" s="37"/>
    </row>
    <row r="75" spans="1:33" ht="15.75" customHeight="1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6"/>
      <c r="V75" s="1"/>
      <c r="W75" s="31"/>
      <c r="X75" s="31"/>
      <c r="Y75" s="31"/>
      <c r="Z75" s="31"/>
      <c r="AA75" s="2"/>
      <c r="AB75" s="31"/>
      <c r="AC75" s="31"/>
      <c r="AD75" s="31"/>
      <c r="AE75" s="37"/>
      <c r="AF75" s="37"/>
      <c r="AG75" s="37"/>
    </row>
    <row r="76" spans="1:33" ht="15.75" customHeight="1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6"/>
      <c r="V76" s="1"/>
      <c r="W76" s="31"/>
      <c r="X76" s="31"/>
      <c r="Y76" s="31"/>
      <c r="Z76" s="31"/>
      <c r="AA76" s="2"/>
      <c r="AB76" s="31"/>
      <c r="AC76" s="31"/>
      <c r="AD76" s="31"/>
      <c r="AE76" s="37"/>
      <c r="AF76" s="37"/>
      <c r="AG76" s="37"/>
    </row>
    <row r="77" spans="1:33" ht="15.75" customHeight="1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6"/>
      <c r="V77" s="1"/>
      <c r="W77" s="31"/>
      <c r="X77" s="31"/>
      <c r="Y77" s="31"/>
      <c r="Z77" s="31"/>
      <c r="AA77" s="2"/>
      <c r="AB77" s="31"/>
      <c r="AC77" s="31"/>
      <c r="AD77" s="31"/>
      <c r="AE77" s="37"/>
      <c r="AF77" s="37"/>
      <c r="AG77" s="37"/>
    </row>
    <row r="78" spans="1:33" ht="15.75" customHeight="1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6"/>
      <c r="V78" s="1"/>
      <c r="W78" s="31"/>
      <c r="X78" s="31"/>
      <c r="Y78" s="31"/>
      <c r="Z78" s="31"/>
      <c r="AA78" s="2"/>
      <c r="AB78" s="31"/>
      <c r="AC78" s="31"/>
      <c r="AD78" s="31"/>
      <c r="AE78" s="37"/>
      <c r="AF78" s="37"/>
      <c r="AG78" s="37"/>
    </row>
    <row r="79" spans="1:33" ht="15.75" customHeight="1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6"/>
      <c r="V79" s="1"/>
      <c r="W79" s="31"/>
      <c r="X79" s="31"/>
      <c r="Y79" s="31"/>
      <c r="Z79" s="31"/>
      <c r="AA79" s="2"/>
      <c r="AB79" s="31"/>
      <c r="AC79" s="31"/>
      <c r="AD79" s="31"/>
      <c r="AE79" s="37"/>
      <c r="AF79" s="37"/>
      <c r="AG79" s="37"/>
    </row>
    <row r="80" spans="1:33" ht="15.75" customHeight="1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6"/>
      <c r="V80" s="1"/>
      <c r="W80" s="31"/>
      <c r="X80" s="31"/>
      <c r="Y80" s="31"/>
      <c r="Z80" s="31"/>
      <c r="AA80" s="2"/>
      <c r="AB80" s="31"/>
      <c r="AC80" s="31"/>
      <c r="AD80" s="31"/>
      <c r="AE80" s="37"/>
      <c r="AF80" s="37"/>
      <c r="AG80" s="37"/>
    </row>
    <row r="81" spans="1:33" ht="15.75" customHeight="1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6"/>
      <c r="V81" s="1"/>
      <c r="W81" s="31"/>
      <c r="X81" s="31"/>
      <c r="Y81" s="31"/>
      <c r="Z81" s="31"/>
      <c r="AA81" s="2"/>
      <c r="AB81" s="31"/>
      <c r="AC81" s="31"/>
      <c r="AD81" s="31"/>
      <c r="AE81" s="37"/>
      <c r="AF81" s="37"/>
      <c r="AG81" s="37"/>
    </row>
    <row r="82" spans="1:33" ht="15.75" customHeight="1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6"/>
      <c r="V82" s="1"/>
      <c r="W82" s="31"/>
      <c r="X82" s="31"/>
      <c r="Y82" s="31"/>
      <c r="Z82" s="31"/>
      <c r="AA82" s="2"/>
      <c r="AB82" s="31"/>
      <c r="AC82" s="31"/>
      <c r="AD82" s="31"/>
      <c r="AE82" s="37"/>
      <c r="AF82" s="37"/>
      <c r="AG82" s="37"/>
    </row>
    <row r="83" spans="1:33" ht="15.75" customHeight="1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6"/>
      <c r="V83" s="1"/>
      <c r="W83" s="31"/>
      <c r="X83" s="31"/>
      <c r="Y83" s="31"/>
      <c r="Z83" s="31"/>
      <c r="AA83" s="2"/>
      <c r="AB83" s="31"/>
      <c r="AC83" s="31"/>
      <c r="AD83" s="31"/>
      <c r="AE83" s="37"/>
      <c r="AF83" s="37"/>
      <c r="AG83" s="37"/>
    </row>
    <row r="84" spans="1:33" ht="15.75" customHeight="1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6"/>
      <c r="V84" s="1"/>
      <c r="W84" s="31"/>
      <c r="X84" s="31"/>
      <c r="Y84" s="31"/>
      <c r="Z84" s="31"/>
      <c r="AA84" s="2"/>
      <c r="AB84" s="31"/>
      <c r="AC84" s="31"/>
      <c r="AD84" s="31"/>
      <c r="AE84" s="37"/>
      <c r="AF84" s="37"/>
      <c r="AG84" s="37"/>
    </row>
    <row r="85" spans="1:33" ht="15.75" customHeight="1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6"/>
      <c r="V85" s="1"/>
      <c r="W85" s="31"/>
      <c r="X85" s="31"/>
      <c r="Y85" s="31"/>
      <c r="Z85" s="31"/>
      <c r="AA85" s="2"/>
      <c r="AB85" s="31"/>
      <c r="AC85" s="31"/>
      <c r="AD85" s="31"/>
      <c r="AE85" s="37"/>
      <c r="AF85" s="37"/>
      <c r="AG85" s="37"/>
    </row>
    <row r="86" spans="1:33" ht="15.75" customHeight="1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6"/>
      <c r="V86" s="1"/>
      <c r="W86" s="31"/>
      <c r="X86" s="31"/>
      <c r="Y86" s="31"/>
      <c r="Z86" s="31"/>
      <c r="AA86" s="2"/>
      <c r="AB86" s="31"/>
      <c r="AC86" s="31"/>
      <c r="AD86" s="31"/>
      <c r="AE86" s="37"/>
      <c r="AF86" s="37"/>
      <c r="AG86" s="37"/>
    </row>
    <row r="87" spans="1:33" ht="15.75" customHeight="1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6"/>
      <c r="V87" s="1"/>
      <c r="W87" s="31"/>
      <c r="X87" s="31"/>
      <c r="Y87" s="31"/>
      <c r="Z87" s="31"/>
      <c r="AA87" s="2"/>
      <c r="AB87" s="31"/>
      <c r="AC87" s="31"/>
      <c r="AD87" s="31"/>
      <c r="AE87" s="37"/>
      <c r="AF87" s="37"/>
      <c r="AG87" s="37"/>
    </row>
    <row r="88" spans="1:33" ht="15.75" customHeight="1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6"/>
      <c r="V88" s="1"/>
      <c r="W88" s="31"/>
      <c r="X88" s="31"/>
      <c r="Y88" s="31"/>
      <c r="Z88" s="31"/>
      <c r="AA88" s="2"/>
      <c r="AB88" s="31"/>
      <c r="AC88" s="31"/>
      <c r="AD88" s="31"/>
      <c r="AE88" s="37"/>
      <c r="AF88" s="37"/>
      <c r="AG88" s="37"/>
    </row>
    <row r="89" spans="1:33" ht="15.75" customHeight="1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6"/>
      <c r="V89" s="1"/>
      <c r="W89" s="31"/>
      <c r="X89" s="31"/>
      <c r="Y89" s="31"/>
      <c r="Z89" s="31"/>
      <c r="AA89" s="2"/>
      <c r="AB89" s="31"/>
      <c r="AC89" s="31"/>
      <c r="AD89" s="31"/>
      <c r="AE89" s="37"/>
      <c r="AF89" s="37"/>
      <c r="AG89" s="37"/>
    </row>
    <row r="90" spans="1:33" ht="15.75" customHeight="1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6"/>
      <c r="V90" s="1"/>
      <c r="W90" s="31"/>
      <c r="X90" s="31"/>
      <c r="Y90" s="31"/>
      <c r="Z90" s="31"/>
      <c r="AA90" s="2"/>
      <c r="AB90" s="31"/>
      <c r="AC90" s="31"/>
      <c r="AD90" s="31"/>
      <c r="AE90" s="37"/>
      <c r="AF90" s="37"/>
      <c r="AG90" s="37"/>
    </row>
    <row r="91" spans="1:33" ht="15.75" customHeight="1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6"/>
      <c r="V91" s="1"/>
      <c r="W91" s="31"/>
      <c r="X91" s="31"/>
      <c r="Y91" s="31"/>
      <c r="Z91" s="31"/>
      <c r="AA91" s="2"/>
      <c r="AB91" s="31"/>
      <c r="AC91" s="31"/>
      <c r="AD91" s="31"/>
      <c r="AE91" s="37"/>
      <c r="AF91" s="37"/>
      <c r="AG91" s="37"/>
    </row>
    <row r="92" spans="1:33" ht="15.75" customHeight="1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6"/>
      <c r="V92" s="1"/>
      <c r="W92" s="31"/>
      <c r="X92" s="31"/>
      <c r="Y92" s="31"/>
      <c r="Z92" s="31"/>
      <c r="AA92" s="2"/>
      <c r="AB92" s="31"/>
      <c r="AC92" s="31"/>
      <c r="AD92" s="31"/>
      <c r="AE92" s="37"/>
      <c r="AF92" s="37"/>
      <c r="AG92" s="37"/>
    </row>
    <row r="93" spans="1:33" ht="15.75" customHeight="1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6"/>
      <c r="V93" s="1"/>
      <c r="W93" s="31"/>
      <c r="X93" s="31"/>
      <c r="Y93" s="31"/>
      <c r="Z93" s="31"/>
      <c r="AA93" s="2"/>
      <c r="AB93" s="31"/>
      <c r="AC93" s="31"/>
      <c r="AD93" s="31"/>
      <c r="AE93" s="37"/>
      <c r="AF93" s="37"/>
      <c r="AG93" s="37"/>
    </row>
    <row r="94" spans="1:33" ht="15.75" customHeight="1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6"/>
      <c r="V94" s="1"/>
      <c r="W94" s="31"/>
      <c r="X94" s="31"/>
      <c r="Y94" s="31"/>
      <c r="Z94" s="31"/>
      <c r="AA94" s="2"/>
      <c r="AB94" s="31"/>
      <c r="AC94" s="31"/>
      <c r="AD94" s="31"/>
      <c r="AE94" s="37"/>
      <c r="AF94" s="37"/>
      <c r="AG94" s="37"/>
    </row>
    <row r="95" spans="1:33" ht="15.75" customHeight="1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6"/>
      <c r="V95" s="1"/>
      <c r="W95" s="31"/>
      <c r="X95" s="31"/>
      <c r="Y95" s="31"/>
      <c r="Z95" s="31"/>
      <c r="AA95" s="2"/>
      <c r="AB95" s="31"/>
      <c r="AC95" s="31"/>
      <c r="AD95" s="31"/>
      <c r="AE95" s="37"/>
      <c r="AF95" s="37"/>
      <c r="AG95" s="37"/>
    </row>
    <row r="96" spans="1:33" ht="15.75" customHeight="1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6"/>
      <c r="V96" s="1"/>
      <c r="W96" s="31"/>
      <c r="X96" s="31"/>
      <c r="Y96" s="31"/>
      <c r="Z96" s="31"/>
      <c r="AA96" s="2"/>
      <c r="AB96" s="31"/>
      <c r="AC96" s="31"/>
      <c r="AD96" s="31"/>
      <c r="AE96" s="37"/>
      <c r="AF96" s="37"/>
      <c r="AG96" s="37"/>
    </row>
    <row r="97" spans="1:33" ht="15.75" customHeight="1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8"/>
      <c r="R97" s="38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8"/>
      <c r="R98" s="38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8"/>
      <c r="R99" s="38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8"/>
      <c r="R100" s="38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8"/>
      <c r="R101" s="38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8"/>
      <c r="R102" s="38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8"/>
      <c r="R103" s="38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8"/>
      <c r="R104" s="38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8"/>
      <c r="R105" s="38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8"/>
      <c r="R106" s="38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8"/>
      <c r="R107" s="38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8"/>
      <c r="R108" s="38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8"/>
      <c r="R109" s="38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8"/>
      <c r="R110" s="38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8"/>
      <c r="R111" s="38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8"/>
      <c r="R112" s="38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8"/>
      <c r="R113" s="38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8"/>
      <c r="R114" s="38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>
      <c r="A115" s="31"/>
      <c r="B115" s="31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>
      <c r="A116" s="31"/>
      <c r="B116" s="31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>
      <c r="A117" s="31"/>
      <c r="B117" s="31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>
      <c r="A118" s="31"/>
      <c r="B118" s="31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>
      <c r="A119" s="31"/>
      <c r="B119" s="31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>
      <c r="A120" s="31"/>
      <c r="B120" s="31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>
      <c r="A121" s="31"/>
      <c r="B121" s="31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>
      <c r="A122" s="31"/>
      <c r="B122" s="31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>
      <c r="A123" s="31"/>
      <c r="B123" s="31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>
      <c r="A124" s="31"/>
      <c r="B124" s="31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>
      <c r="A125" s="31"/>
      <c r="B125" s="31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>
      <c r="A126" s="31"/>
      <c r="B126" s="31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>
      <c r="A127" s="31"/>
      <c r="B127" s="31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>
      <c r="A128" s="31"/>
      <c r="B128" s="31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>
      <c r="A129" s="31"/>
      <c r="B129" s="31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>
      <c r="A130" s="31"/>
      <c r="B130" s="31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>
      <c r="A131" s="31"/>
      <c r="B131" s="31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>
      <c r="A132" s="31"/>
      <c r="B132" s="31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>
      <c r="A133" s="31"/>
      <c r="B133" s="31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>
      <c r="A134" s="31"/>
      <c r="B134" s="31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>
      <c r="A135" s="31"/>
      <c r="B135" s="31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>
      <c r="A136" s="31"/>
      <c r="B136" s="31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>
      <c r="A137" s="31"/>
      <c r="B137" s="31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>
      <c r="A138" s="31"/>
      <c r="B138" s="31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>
      <c r="A139" s="31"/>
      <c r="B139" s="31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>
      <c r="A140" s="31"/>
      <c r="B140" s="31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>
      <c r="A141" s="31"/>
      <c r="B141" s="31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2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>
      <c r="A142" s="31"/>
      <c r="B142" s="31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2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>
      <c r="A143" s="31"/>
      <c r="B143" s="31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2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>
      <c r="A144" s="31"/>
      <c r="B144" s="31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2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>
      <c r="A145" s="31"/>
      <c r="B145" s="31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2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>
      <c r="A146" s="31"/>
      <c r="B146" s="31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2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>
      <c r="A147" s="31"/>
      <c r="B147" s="31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2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>
      <c r="A148" s="31"/>
      <c r="B148" s="31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2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</row>
    <row r="149" spans="1:33" ht="15.75" customHeight="1">
      <c r="A149" s="14"/>
      <c r="B149" s="14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>
      <c r="A150" s="14"/>
      <c r="B150" s="14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>
      <c r="A151" s="14"/>
      <c r="B151" s="14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>
      <c r="A152" s="14"/>
      <c r="B152" s="14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>
      <c r="A153" s="14"/>
      <c r="B153" s="14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>
      <c r="A154" s="14"/>
      <c r="B154" s="14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>
      <c r="A155" s="14"/>
      <c r="B155" s="14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>
      <c r="A156" s="14"/>
      <c r="B156" s="14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>
      <c r="A157" s="14"/>
      <c r="B157" s="14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>
      <c r="A158" s="14"/>
      <c r="B158" s="14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>
      <c r="A159" s="14"/>
      <c r="B159" s="14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>
      <c r="A160" s="14"/>
      <c r="B160" s="14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>
      <c r="A161" s="14"/>
      <c r="B161" s="14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>
      <c r="A162" s="14"/>
      <c r="B162" s="14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>
      <c r="A163" s="14"/>
      <c r="B163" s="14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>
      <c r="A164" s="14"/>
      <c r="B164" s="14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>
      <c r="A165" s="14"/>
      <c r="B165" s="14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>
      <c r="A166" s="14"/>
      <c r="B166" s="14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>
      <c r="A167" s="14"/>
      <c r="B167" s="14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>
      <c r="A168" s="14"/>
      <c r="B168" s="14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>
      <c r="A169" s="14"/>
      <c r="B169" s="14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>
      <c r="A170" s="14"/>
      <c r="B170" s="14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>
      <c r="A171" s="14"/>
      <c r="B171" s="14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>
      <c r="A172" s="14"/>
      <c r="B172" s="14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>
      <c r="A173" s="14"/>
      <c r="B173" s="14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>
      <c r="A174" s="14"/>
      <c r="B174" s="14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>
      <c r="A175" s="14"/>
      <c r="B175" s="14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>
      <c r="A176" s="14"/>
      <c r="B176" s="14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>
      <c r="A177" s="14"/>
      <c r="B177" s="14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>
      <c r="A178" s="14"/>
      <c r="B178" s="14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>
      <c r="A179" s="14"/>
      <c r="B179" s="14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>
      <c r="A180" s="14"/>
      <c r="B180" s="14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>
      <c r="A181" s="14"/>
      <c r="B181" s="14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>
      <c r="A182" s="14"/>
      <c r="B182" s="14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>
      <c r="A183" s="14"/>
      <c r="B183" s="14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>
      <c r="A184" s="14"/>
      <c r="B184" s="14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>
      <c r="A185" s="14"/>
      <c r="B185" s="14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>
      <c r="A186" s="14"/>
      <c r="B186" s="14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>
      <c r="A187" s="14"/>
      <c r="B187" s="14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>
      <c r="A188" s="14"/>
      <c r="B188" s="14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>
      <c r="A189" s="14"/>
      <c r="B189" s="14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>
      <c r="A190" s="14"/>
      <c r="B190" s="14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>
      <c r="A191" s="14"/>
      <c r="B191" s="14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>
      <c r="A192" s="14"/>
      <c r="B192" s="14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>
      <c r="A193" s="14"/>
      <c r="B193" s="14"/>
      <c r="C193" s="39"/>
      <c r="D193" s="39"/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>
      <c r="A194" s="14"/>
      <c r="B194" s="14"/>
      <c r="C194" s="39"/>
      <c r="D194" s="39"/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>
      <c r="A195" s="14"/>
      <c r="B195" s="14"/>
      <c r="C195" s="39"/>
      <c r="D195" s="39"/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>
      <c r="A196" s="14"/>
      <c r="B196" s="14"/>
      <c r="C196" s="39"/>
      <c r="D196" s="39"/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>
      <c r="A197" s="14"/>
      <c r="B197" s="14"/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>
      <c r="A198" s="14"/>
      <c r="B198" s="14"/>
      <c r="C198" s="39"/>
      <c r="D198" s="39"/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>
      <c r="A199" s="14"/>
      <c r="B199" s="14"/>
      <c r="C199" s="39"/>
      <c r="D199" s="39"/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>
      <c r="A200" s="14"/>
      <c r="B200" s="14"/>
      <c r="C200" s="39"/>
      <c r="D200" s="39"/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>
      <c r="A201" s="14"/>
      <c r="B201" s="14"/>
      <c r="C201" s="39"/>
      <c r="D201" s="39"/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>
      <c r="A202" s="14"/>
      <c r="B202" s="14"/>
      <c r="C202" s="39"/>
      <c r="D202" s="39"/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>
      <c r="A203" s="14"/>
      <c r="B203" s="14"/>
      <c r="C203" s="39"/>
      <c r="D203" s="39"/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>
      <c r="A204" s="14"/>
      <c r="B204" s="14"/>
      <c r="C204" s="39"/>
      <c r="D204" s="39"/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>
      <c r="A205" s="14"/>
      <c r="B205" s="14"/>
      <c r="C205" s="39"/>
      <c r="D205" s="39"/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>
      <c r="A206" s="14"/>
      <c r="B206" s="14"/>
      <c r="C206" s="39"/>
      <c r="D206" s="39"/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>
      <c r="A207" s="14"/>
      <c r="B207" s="14"/>
      <c r="C207" s="39"/>
      <c r="D207" s="39"/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>
      <c r="A208" s="14"/>
      <c r="B208" s="14"/>
      <c r="C208" s="39"/>
      <c r="D208" s="39"/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>
      <c r="A209" s="14"/>
      <c r="B209" s="14"/>
      <c r="C209" s="39"/>
      <c r="D209" s="39"/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>
      <c r="A210" s="14"/>
      <c r="B210" s="14"/>
      <c r="C210" s="39"/>
      <c r="D210" s="39"/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>
      <c r="A211" s="14"/>
      <c r="B211" s="14"/>
      <c r="C211" s="39"/>
      <c r="D211" s="39"/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>
      <c r="A212" s="14"/>
      <c r="B212" s="14"/>
      <c r="C212" s="39"/>
      <c r="D212" s="39"/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>
      <c r="A213" s="14"/>
      <c r="B213" s="14"/>
      <c r="C213" s="39"/>
      <c r="D213" s="39"/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>
      <c r="A214" s="14"/>
      <c r="B214" s="14"/>
      <c r="C214" s="39"/>
      <c r="D214" s="39"/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>
      <c r="A215" s="14"/>
      <c r="B215" s="14"/>
      <c r="C215" s="39"/>
      <c r="D215" s="39"/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>
      <c r="A216" s="14"/>
      <c r="B216" s="14"/>
      <c r="C216" s="39"/>
      <c r="D216" s="39"/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>
      <c r="A217" s="14"/>
      <c r="B217" s="14"/>
      <c r="C217" s="39"/>
      <c r="D217" s="39"/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>
      <c r="A218" s="14"/>
      <c r="B218" s="14"/>
      <c r="C218" s="39"/>
      <c r="D218" s="39"/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>
      <c r="A219" s="14"/>
      <c r="B219" s="14"/>
      <c r="C219" s="39"/>
      <c r="D219" s="39"/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>
      <c r="A220" s="14"/>
      <c r="B220" s="14"/>
      <c r="C220" s="39"/>
      <c r="D220" s="39"/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>
      <c r="R221" s="30"/>
      <c r="S221" s="40"/>
    </row>
    <row r="222" spans="1:33" ht="15.75" customHeight="1">
      <c r="R222" s="30"/>
      <c r="S222" s="40"/>
    </row>
    <row r="223" spans="1:33" ht="15.75" customHeight="1">
      <c r="R223" s="30"/>
      <c r="S223" s="40"/>
    </row>
    <row r="224" spans="1:33" ht="15.75" customHeight="1">
      <c r="R224" s="30"/>
      <c r="S224" s="40"/>
    </row>
    <row r="225" spans="18:18" ht="15.75" customHeight="1">
      <c r="R225" s="30"/>
    </row>
    <row r="226" spans="18:18" ht="15.75" customHeight="1">
      <c r="R226" s="30"/>
    </row>
    <row r="227" spans="18:18" ht="15.75" customHeight="1">
      <c r="R227" s="30"/>
    </row>
    <row r="228" spans="18:18" ht="15.75" customHeight="1">
      <c r="R228" s="30"/>
    </row>
    <row r="229" spans="18:18" ht="15.75" customHeight="1">
      <c r="R229" s="30"/>
    </row>
    <row r="230" spans="18:18" ht="15.75" customHeight="1">
      <c r="R230" s="30"/>
    </row>
    <row r="231" spans="18:18" ht="15.75" customHeight="1">
      <c r="R231" s="30"/>
    </row>
    <row r="232" spans="18:18" ht="15.75" customHeight="1">
      <c r="R232" s="30"/>
    </row>
    <row r="233" spans="18:18" ht="15.75" customHeight="1">
      <c r="R233" s="30"/>
    </row>
    <row r="234" spans="18:18" ht="15.75" customHeight="1">
      <c r="R234" s="30"/>
    </row>
    <row r="235" spans="18:18" ht="15.75" customHeight="1">
      <c r="R235" s="30"/>
    </row>
    <row r="236" spans="18:18" ht="15.75" customHeight="1">
      <c r="R236" s="30"/>
    </row>
    <row r="237" spans="18:18" ht="15.75" customHeight="1">
      <c r="R237" s="30"/>
    </row>
    <row r="238" spans="18:18" ht="15.75" customHeight="1">
      <c r="R238" s="30"/>
    </row>
    <row r="239" spans="18:18" ht="15.75" customHeight="1">
      <c r="R239" s="30"/>
    </row>
    <row r="240" spans="18:18" ht="15.75" customHeight="1">
      <c r="R240" s="30"/>
    </row>
    <row r="241" spans="18:18" ht="15.75" customHeight="1">
      <c r="R241" s="30"/>
    </row>
    <row r="242" spans="18:18" ht="15.75" customHeight="1">
      <c r="R242" s="30"/>
    </row>
    <row r="243" spans="18:18" ht="15.75" customHeight="1">
      <c r="R243" s="30"/>
    </row>
    <row r="244" spans="18:18" ht="15.75" customHeight="1">
      <c r="R244" s="30"/>
    </row>
    <row r="245" spans="18:18" ht="15.75" customHeight="1">
      <c r="R245" s="30"/>
    </row>
    <row r="246" spans="18:18" ht="15.75" customHeight="1">
      <c r="R246" s="30"/>
    </row>
    <row r="247" spans="18:18" ht="15.75" customHeight="1">
      <c r="R247" s="30"/>
    </row>
    <row r="248" spans="18:18" ht="15.75" customHeight="1">
      <c r="R248" s="30"/>
    </row>
    <row r="249" spans="18:18" ht="15.75" customHeight="1">
      <c r="R249" s="30"/>
    </row>
    <row r="250" spans="18:18" ht="15.75" customHeight="1">
      <c r="R250" s="30"/>
    </row>
    <row r="251" spans="18:18" ht="15.75" customHeight="1">
      <c r="R251" s="30"/>
    </row>
    <row r="252" spans="18:18" ht="15.75" customHeight="1">
      <c r="R252" s="30"/>
    </row>
    <row r="253" spans="18:18" ht="15.75" customHeight="1">
      <c r="R253" s="30"/>
    </row>
    <row r="254" spans="18:18" ht="15.75" customHeight="1">
      <c r="R254" s="30"/>
    </row>
    <row r="255" spans="18:18" ht="15.75" customHeight="1">
      <c r="R255" s="30"/>
    </row>
    <row r="256" spans="18:18" ht="15.75" customHeight="1">
      <c r="R256" s="30"/>
    </row>
    <row r="257" spans="18:18" ht="15.75" customHeight="1">
      <c r="R257" s="30"/>
    </row>
    <row r="258" spans="18:18" ht="15.75" customHeight="1">
      <c r="R258" s="30"/>
    </row>
    <row r="259" spans="18:18" ht="15.75" customHeight="1">
      <c r="R259" s="30"/>
    </row>
    <row r="260" spans="18:18" ht="15.75" customHeight="1">
      <c r="R260" s="30"/>
    </row>
    <row r="261" spans="18:18" ht="15.75" customHeight="1">
      <c r="R261" s="30"/>
    </row>
    <row r="262" spans="18:18" ht="15.75" customHeight="1">
      <c r="R262" s="30"/>
    </row>
    <row r="263" spans="18:18" ht="15.75" customHeight="1">
      <c r="R263" s="30"/>
    </row>
    <row r="264" spans="18:18" ht="15.75" customHeight="1">
      <c r="R264" s="30"/>
    </row>
    <row r="265" spans="18:18" ht="15.75" customHeight="1">
      <c r="R265" s="30"/>
    </row>
    <row r="266" spans="18:18" ht="15.75" customHeight="1">
      <c r="R266" s="30"/>
    </row>
    <row r="267" spans="18:18" ht="15.75" customHeight="1">
      <c r="R267" s="30"/>
    </row>
    <row r="268" spans="18:18" ht="15.75" customHeight="1">
      <c r="R268" s="30"/>
    </row>
    <row r="269" spans="18:18" ht="15.75" customHeight="1">
      <c r="R269" s="30"/>
    </row>
    <row r="270" spans="18:18" ht="15.75" customHeight="1">
      <c r="R270" s="30"/>
    </row>
    <row r="271" spans="18:18" ht="15.75" customHeight="1">
      <c r="R271" s="30"/>
    </row>
    <row r="272" spans="18:18" ht="15.75" customHeight="1">
      <c r="R272" s="30"/>
    </row>
    <row r="273" spans="18:18" ht="15.75" customHeight="1">
      <c r="R273" s="30"/>
    </row>
    <row r="274" spans="18:18" ht="15.75" customHeight="1">
      <c r="R274" s="30"/>
    </row>
    <row r="275" spans="18:18" ht="15.75" customHeight="1">
      <c r="R275" s="30"/>
    </row>
    <row r="276" spans="18:18" ht="15.75" customHeight="1">
      <c r="R276" s="30"/>
    </row>
    <row r="277" spans="18:18" ht="15.75" customHeight="1">
      <c r="R277" s="30"/>
    </row>
    <row r="278" spans="18:18" ht="15.75" customHeight="1">
      <c r="R278" s="30"/>
    </row>
    <row r="279" spans="18:18" ht="15.75" customHeight="1">
      <c r="R279" s="30"/>
    </row>
    <row r="280" spans="18:18" ht="15.75" customHeight="1">
      <c r="R280" s="30"/>
    </row>
    <row r="281" spans="18:18" ht="15.75" customHeight="1">
      <c r="R281" s="30"/>
    </row>
    <row r="282" spans="18:18" ht="15.75" customHeight="1">
      <c r="R282" s="30"/>
    </row>
    <row r="283" spans="18:18" ht="15.75" customHeight="1">
      <c r="R283" s="30"/>
    </row>
    <row r="284" spans="18:18" ht="15.75" customHeight="1">
      <c r="R284" s="30"/>
    </row>
    <row r="285" spans="18:18" ht="15.75" customHeight="1">
      <c r="R285" s="30"/>
    </row>
    <row r="286" spans="18:18" ht="15.75" customHeight="1">
      <c r="R286" s="30"/>
    </row>
    <row r="287" spans="18:18" ht="15.75" customHeight="1">
      <c r="R287" s="30"/>
    </row>
    <row r="288" spans="18:18" ht="15.75" customHeight="1">
      <c r="R288" s="30"/>
    </row>
    <row r="289" spans="18:18" ht="15.75" customHeight="1">
      <c r="R289" s="30"/>
    </row>
    <row r="290" spans="18:18" ht="15.75" customHeight="1">
      <c r="R290" s="30"/>
    </row>
    <row r="291" spans="18:18" ht="15.75" customHeight="1">
      <c r="R291" s="30"/>
    </row>
    <row r="292" spans="18:18" ht="15.75" customHeight="1">
      <c r="R292" s="30"/>
    </row>
    <row r="293" spans="18:18" ht="15.75" customHeight="1">
      <c r="R293" s="30"/>
    </row>
    <row r="294" spans="18:18" ht="15.75" customHeight="1">
      <c r="R294" s="30"/>
    </row>
    <row r="295" spans="18:18" ht="15.75" customHeight="1">
      <c r="R295" s="30"/>
    </row>
    <row r="296" spans="18:18" ht="15.75" customHeight="1">
      <c r="R296" s="30"/>
    </row>
    <row r="297" spans="18:18" ht="15.75" customHeight="1">
      <c r="R297" s="30"/>
    </row>
    <row r="298" spans="18:18" ht="15.75" customHeight="1">
      <c r="R298" s="30"/>
    </row>
    <row r="299" spans="18:18" ht="15.75" customHeight="1">
      <c r="R299" s="30"/>
    </row>
    <row r="300" spans="18:18" ht="15.75" customHeight="1">
      <c r="R300" s="30"/>
    </row>
    <row r="301" spans="18:18" ht="15.75" customHeight="1">
      <c r="R301" s="30"/>
    </row>
    <row r="302" spans="18:18" ht="15.75" customHeight="1">
      <c r="R302" s="30"/>
    </row>
    <row r="303" spans="18:18" ht="15.75" customHeight="1">
      <c r="R303" s="30"/>
    </row>
    <row r="304" spans="18:18" ht="15.75" customHeight="1">
      <c r="R304" s="30"/>
    </row>
    <row r="305" spans="18:18" ht="15.75" customHeight="1">
      <c r="R305" s="30"/>
    </row>
    <row r="306" spans="18:18" ht="15.75" customHeight="1">
      <c r="R306" s="30"/>
    </row>
    <row r="307" spans="18:18" ht="15.75" customHeight="1">
      <c r="R307" s="30"/>
    </row>
    <row r="308" spans="18:18" ht="15.75" customHeight="1">
      <c r="R308" s="30"/>
    </row>
    <row r="309" spans="18:18" ht="15.75" customHeight="1">
      <c r="R309" s="30"/>
    </row>
    <row r="310" spans="18:18" ht="15.75" customHeight="1">
      <c r="R310" s="30"/>
    </row>
    <row r="311" spans="18:18" ht="15.75" customHeight="1">
      <c r="R311" s="30"/>
    </row>
    <row r="312" spans="18:18" ht="15.75" customHeight="1">
      <c r="R312" s="30"/>
    </row>
    <row r="313" spans="18:18" ht="15.75" customHeight="1">
      <c r="R313" s="30"/>
    </row>
    <row r="314" spans="18:18" ht="15.75" customHeight="1">
      <c r="R314" s="30"/>
    </row>
    <row r="315" spans="18:18" ht="15.75" customHeight="1">
      <c r="R315" s="30"/>
    </row>
    <row r="316" spans="18:18" ht="15.75" customHeight="1">
      <c r="R316" s="30"/>
    </row>
    <row r="317" spans="18:18" ht="15.75" customHeight="1">
      <c r="R317" s="30"/>
    </row>
    <row r="318" spans="18:18" ht="15.75" customHeight="1">
      <c r="R318" s="30"/>
    </row>
    <row r="319" spans="18:18" ht="15.75" customHeight="1">
      <c r="R319" s="30"/>
    </row>
    <row r="320" spans="18:18" ht="15.75" customHeight="1">
      <c r="R320" s="30"/>
    </row>
    <row r="321" spans="18:18" ht="15.75" customHeight="1">
      <c r="R321" s="30"/>
    </row>
    <row r="322" spans="18:18" ht="15.75" customHeight="1">
      <c r="R322" s="30"/>
    </row>
    <row r="323" spans="18:18" ht="15.75" customHeight="1">
      <c r="R323" s="30"/>
    </row>
    <row r="324" spans="18:18" ht="15.75" customHeight="1">
      <c r="R324" s="30"/>
    </row>
    <row r="325" spans="18:18" ht="15.75" customHeight="1">
      <c r="R325" s="30"/>
    </row>
    <row r="326" spans="18:18" ht="15.75" customHeight="1">
      <c r="R326" s="30"/>
    </row>
    <row r="327" spans="18:18" ht="15.75" customHeight="1">
      <c r="R327" s="30"/>
    </row>
    <row r="328" spans="18:18" ht="15.75" customHeight="1">
      <c r="R328" s="30"/>
    </row>
    <row r="329" spans="18:18" ht="15.75" customHeight="1">
      <c r="R329" s="30"/>
    </row>
    <row r="330" spans="18:18" ht="15.75" customHeight="1">
      <c r="R330" s="30"/>
    </row>
    <row r="331" spans="18:18" ht="15.75" customHeight="1">
      <c r="R331" s="30"/>
    </row>
    <row r="332" spans="18:18" ht="15.75" customHeight="1">
      <c r="R332" s="30"/>
    </row>
    <row r="333" spans="18:18" ht="15.75" customHeight="1">
      <c r="R333" s="30"/>
    </row>
    <row r="334" spans="18:18" ht="15.75" customHeight="1">
      <c r="R334" s="30"/>
    </row>
    <row r="335" spans="18:18" ht="15.75" customHeight="1">
      <c r="R335" s="30"/>
    </row>
    <row r="336" spans="18:18" ht="15.75" customHeight="1">
      <c r="R336" s="30"/>
    </row>
    <row r="337" spans="18:18" ht="15.75" customHeight="1">
      <c r="R337" s="30"/>
    </row>
    <row r="338" spans="18:18" ht="15.75" customHeight="1">
      <c r="R338" s="30"/>
    </row>
    <row r="339" spans="18:18" ht="15.75" customHeight="1">
      <c r="R339" s="30"/>
    </row>
    <row r="340" spans="18:18" ht="15.75" customHeight="1">
      <c r="R340" s="30"/>
    </row>
    <row r="341" spans="18:18" ht="15.75" customHeight="1">
      <c r="R341" s="30"/>
    </row>
    <row r="342" spans="18:18" ht="15.75" customHeight="1">
      <c r="R342" s="30"/>
    </row>
    <row r="343" spans="18:18" ht="15.75" customHeight="1">
      <c r="R343" s="30"/>
    </row>
    <row r="344" spans="18:18" ht="15.75" customHeight="1">
      <c r="R344" s="30"/>
    </row>
    <row r="345" spans="18:18" ht="15.75" customHeight="1">
      <c r="R345" s="30"/>
    </row>
    <row r="346" spans="18:18" ht="15.75" customHeight="1">
      <c r="R346" s="30"/>
    </row>
    <row r="347" spans="18:18" ht="15.75" customHeight="1">
      <c r="R347" s="30"/>
    </row>
    <row r="348" spans="18:18" ht="15.75" customHeight="1">
      <c r="R348" s="30"/>
    </row>
    <row r="349" spans="18:18" ht="15.75" customHeight="1">
      <c r="R349" s="30"/>
    </row>
    <row r="350" spans="18:18" ht="15.75" customHeight="1">
      <c r="R350" s="30"/>
    </row>
    <row r="351" spans="18:18" ht="15.75" customHeight="1">
      <c r="R351" s="30"/>
    </row>
    <row r="352" spans="18:18" ht="15.75" customHeight="1">
      <c r="R352" s="30"/>
    </row>
    <row r="353" spans="18:18" ht="15.75" customHeight="1">
      <c r="R353" s="30"/>
    </row>
    <row r="354" spans="18:18" ht="15.75" customHeight="1">
      <c r="R354" s="30"/>
    </row>
    <row r="355" spans="18:18" ht="15.75" customHeight="1">
      <c r="R355" s="30"/>
    </row>
    <row r="356" spans="18:18" ht="15.75" customHeight="1">
      <c r="R356" s="30"/>
    </row>
    <row r="357" spans="18:18" ht="15.75" customHeight="1">
      <c r="R357" s="30"/>
    </row>
    <row r="358" spans="18:18" ht="15.75" customHeight="1">
      <c r="R358" s="30"/>
    </row>
    <row r="359" spans="18:18" ht="15.75" customHeight="1">
      <c r="R359" s="30"/>
    </row>
    <row r="360" spans="18:18" ht="15.75" customHeight="1">
      <c r="R360" s="30"/>
    </row>
    <row r="361" spans="18:18" ht="15.75" customHeight="1">
      <c r="R361" s="30"/>
    </row>
    <row r="362" spans="18:18" ht="15.75" customHeight="1">
      <c r="R362" s="30"/>
    </row>
    <row r="363" spans="18:18" ht="15.75" customHeight="1">
      <c r="R363" s="30"/>
    </row>
    <row r="364" spans="18:18" ht="15.75" customHeight="1">
      <c r="R364" s="30"/>
    </row>
    <row r="365" spans="18:18" ht="15.75" customHeight="1">
      <c r="R365" s="30"/>
    </row>
    <row r="366" spans="18:18" ht="15.75" customHeight="1">
      <c r="R366" s="30"/>
    </row>
    <row r="367" spans="18:18" ht="15.75" customHeight="1">
      <c r="R367" s="30"/>
    </row>
    <row r="368" spans="18:18" ht="15.75" customHeight="1">
      <c r="R368" s="30"/>
    </row>
    <row r="369" spans="18:18" ht="15.75" customHeight="1">
      <c r="R369" s="30"/>
    </row>
    <row r="370" spans="18:18" ht="15.75" customHeight="1">
      <c r="R370" s="30"/>
    </row>
    <row r="371" spans="18:18" ht="15.75" customHeight="1">
      <c r="R371" s="30"/>
    </row>
    <row r="372" spans="18:18" ht="15.75" customHeight="1">
      <c r="R372" s="30"/>
    </row>
    <row r="373" spans="18:18" ht="15.75" customHeight="1">
      <c r="R373" s="30"/>
    </row>
    <row r="374" spans="18:18" ht="15.75" customHeight="1">
      <c r="R374" s="30"/>
    </row>
    <row r="375" spans="18:18" ht="15.75" customHeight="1">
      <c r="R375" s="30"/>
    </row>
    <row r="376" spans="18:18" ht="15.75" customHeight="1">
      <c r="R376" s="30"/>
    </row>
    <row r="377" spans="18:18" ht="15.75" customHeight="1">
      <c r="R377" s="30"/>
    </row>
    <row r="378" spans="18:18" ht="15.75" customHeight="1">
      <c r="R378" s="30"/>
    </row>
    <row r="379" spans="18:18" ht="15.75" customHeight="1">
      <c r="R379" s="30"/>
    </row>
    <row r="380" spans="18:18" ht="15.75" customHeight="1">
      <c r="R380" s="30"/>
    </row>
    <row r="381" spans="18:18" ht="15.75" customHeight="1">
      <c r="R381" s="30"/>
    </row>
    <row r="382" spans="18:18" ht="15.75" customHeight="1">
      <c r="R382" s="30"/>
    </row>
    <row r="383" spans="18:18" ht="15.75" customHeight="1">
      <c r="R383" s="30"/>
    </row>
    <row r="384" spans="18:18" ht="15.75" customHeight="1">
      <c r="R384" s="30"/>
    </row>
    <row r="385" spans="18:18" ht="15.75" customHeight="1">
      <c r="R385" s="30"/>
    </row>
    <row r="386" spans="18:18" ht="15.75" customHeight="1">
      <c r="R386" s="30"/>
    </row>
    <row r="387" spans="18:18" ht="15.75" customHeight="1">
      <c r="R387" s="30"/>
    </row>
    <row r="388" spans="18:18" ht="15.75" customHeight="1">
      <c r="R388" s="30"/>
    </row>
    <row r="389" spans="18:18" ht="15.75" customHeight="1">
      <c r="R389" s="30"/>
    </row>
    <row r="390" spans="18:18" ht="15.75" customHeight="1">
      <c r="R390" s="30"/>
    </row>
    <row r="391" spans="18:18" ht="15.75" customHeight="1">
      <c r="R391" s="30"/>
    </row>
    <row r="392" spans="18:18" ht="15.75" customHeight="1">
      <c r="R392" s="30"/>
    </row>
    <row r="393" spans="18:18" ht="15.75" customHeight="1">
      <c r="R393" s="30"/>
    </row>
    <row r="394" spans="18:18" ht="15.75" customHeight="1">
      <c r="R394" s="30"/>
    </row>
    <row r="395" spans="18:18" ht="15.75" customHeight="1">
      <c r="R395" s="30"/>
    </row>
    <row r="396" spans="18:18" ht="15.75" customHeight="1">
      <c r="R396" s="30"/>
    </row>
    <row r="397" spans="18:18" ht="15.75" customHeight="1">
      <c r="R397" s="30"/>
    </row>
    <row r="398" spans="18:18" ht="15.75" customHeight="1">
      <c r="R398" s="30"/>
    </row>
    <row r="399" spans="18:18" ht="15.75" customHeight="1">
      <c r="R399" s="30"/>
    </row>
    <row r="400" spans="18:18" ht="15.75" customHeight="1">
      <c r="R400" s="30"/>
    </row>
    <row r="401" spans="18:18" ht="15.75" customHeight="1">
      <c r="R401" s="30"/>
    </row>
    <row r="402" spans="18:18" ht="15.75" customHeight="1">
      <c r="R402" s="30"/>
    </row>
    <row r="403" spans="18:18" ht="15.75" customHeight="1">
      <c r="R403" s="30"/>
    </row>
    <row r="404" spans="18:18" ht="15.75" customHeight="1">
      <c r="R404" s="30"/>
    </row>
    <row r="405" spans="18:18" ht="15.75" customHeight="1">
      <c r="R405" s="30"/>
    </row>
    <row r="406" spans="18:18" ht="15.75" customHeight="1">
      <c r="R406" s="30"/>
    </row>
    <row r="407" spans="18:18" ht="15.75" customHeight="1">
      <c r="R407" s="30"/>
    </row>
    <row r="408" spans="18:18" ht="15.75" customHeight="1">
      <c r="R408" s="30"/>
    </row>
    <row r="409" spans="18:18" ht="15.75" customHeight="1">
      <c r="R409" s="30"/>
    </row>
    <row r="410" spans="18:18" ht="15.75" customHeight="1">
      <c r="R410" s="30"/>
    </row>
    <row r="411" spans="18:18" ht="15.75" customHeight="1">
      <c r="R411" s="30"/>
    </row>
    <row r="412" spans="18:18" ht="15.75" customHeight="1">
      <c r="R412" s="30"/>
    </row>
    <row r="413" spans="18:18" ht="15.75" customHeight="1">
      <c r="R413" s="30"/>
    </row>
    <row r="414" spans="18:18" ht="15.75" customHeight="1">
      <c r="R414" s="30"/>
    </row>
    <row r="415" spans="18:18" ht="15.75" customHeight="1">
      <c r="R415" s="30"/>
    </row>
    <row r="416" spans="18:18" ht="15.75" customHeight="1">
      <c r="R416" s="30"/>
    </row>
    <row r="417" spans="18:18" ht="15.75" customHeight="1">
      <c r="R417" s="30"/>
    </row>
    <row r="418" spans="18:18" ht="15.75" customHeight="1">
      <c r="R418" s="30"/>
    </row>
    <row r="419" spans="18:18" ht="15.75" customHeight="1">
      <c r="R419" s="30"/>
    </row>
    <row r="420" spans="18:18" ht="15.75" customHeight="1">
      <c r="R420" s="30"/>
    </row>
    <row r="421" spans="18:18" ht="15.75" customHeight="1">
      <c r="R421" s="30"/>
    </row>
    <row r="422" spans="18:18" ht="15.75" customHeight="1">
      <c r="R422" s="30"/>
    </row>
    <row r="423" spans="18:18" ht="15.75" customHeight="1">
      <c r="R423" s="30"/>
    </row>
    <row r="424" spans="18:18" ht="15.75" customHeight="1">
      <c r="R424" s="30"/>
    </row>
    <row r="425" spans="18:18" ht="15.75" customHeight="1">
      <c r="R425" s="30"/>
    </row>
    <row r="426" spans="18:18" ht="15.75" customHeight="1">
      <c r="R426" s="30"/>
    </row>
    <row r="427" spans="18:18" ht="15.75" customHeight="1">
      <c r="R427" s="30"/>
    </row>
    <row r="428" spans="18:18" ht="15.75" customHeight="1">
      <c r="R428" s="30"/>
    </row>
    <row r="429" spans="18:18" ht="15.75" customHeight="1">
      <c r="R429" s="30"/>
    </row>
    <row r="430" spans="18:18" ht="15.75" customHeight="1">
      <c r="R430" s="30"/>
    </row>
    <row r="431" spans="18:18" ht="15.75" customHeight="1">
      <c r="R431" s="30"/>
    </row>
    <row r="432" spans="18:18" ht="15.75" customHeight="1">
      <c r="R432" s="30"/>
    </row>
    <row r="433" spans="18:18" ht="15.75" customHeight="1">
      <c r="R433" s="30"/>
    </row>
    <row r="434" spans="18:18" ht="15.75" customHeight="1">
      <c r="R434" s="30"/>
    </row>
    <row r="435" spans="18:18" ht="15.75" customHeight="1">
      <c r="R435" s="30"/>
    </row>
    <row r="436" spans="18:18" ht="15.75" customHeight="1">
      <c r="R436" s="30"/>
    </row>
    <row r="437" spans="18:18" ht="15.75" customHeight="1">
      <c r="R437" s="30"/>
    </row>
    <row r="438" spans="18:18" ht="15.75" customHeight="1">
      <c r="R438" s="30"/>
    </row>
    <row r="439" spans="18:18" ht="15.75" customHeight="1">
      <c r="R439" s="30"/>
    </row>
    <row r="440" spans="18:18" ht="15.75" customHeight="1">
      <c r="R440" s="30"/>
    </row>
    <row r="441" spans="18:18" ht="15.75" customHeight="1">
      <c r="R441" s="30"/>
    </row>
    <row r="442" spans="18:18" ht="15.75" customHeight="1">
      <c r="R442" s="30"/>
    </row>
    <row r="443" spans="18:18" ht="15.75" customHeight="1">
      <c r="R443" s="30"/>
    </row>
    <row r="444" spans="18:18" ht="15.75" customHeight="1">
      <c r="R444" s="30"/>
    </row>
    <row r="445" spans="18:18" ht="15.75" customHeight="1">
      <c r="R445" s="30"/>
    </row>
    <row r="446" spans="18:18" ht="15.75" customHeight="1">
      <c r="R446" s="30"/>
    </row>
    <row r="447" spans="18:18" ht="15.75" customHeight="1">
      <c r="R447" s="30"/>
    </row>
    <row r="448" spans="18:18" ht="15.75" customHeight="1">
      <c r="R448" s="30"/>
    </row>
    <row r="449" spans="18:18" ht="15.75" customHeight="1">
      <c r="R449" s="30"/>
    </row>
    <row r="450" spans="18:18" ht="15.75" customHeight="1">
      <c r="R450" s="30"/>
    </row>
    <row r="451" spans="18:18" ht="15.75" customHeight="1">
      <c r="R451" s="30"/>
    </row>
    <row r="452" spans="18:18" ht="15.75" customHeight="1">
      <c r="R452" s="30"/>
    </row>
    <row r="453" spans="18:18" ht="15.75" customHeight="1">
      <c r="R453" s="30"/>
    </row>
    <row r="454" spans="18:18" ht="15.75" customHeight="1">
      <c r="R454" s="30"/>
    </row>
    <row r="455" spans="18:18" ht="15.75" customHeight="1">
      <c r="R455" s="30"/>
    </row>
    <row r="456" spans="18:18" ht="15.75" customHeight="1">
      <c r="R456" s="30"/>
    </row>
    <row r="457" spans="18:18" ht="15.75" customHeight="1">
      <c r="R457" s="30"/>
    </row>
    <row r="458" spans="18:18" ht="15.75" customHeight="1">
      <c r="R458" s="30"/>
    </row>
    <row r="459" spans="18:18" ht="15.75" customHeight="1">
      <c r="R459" s="30"/>
    </row>
    <row r="460" spans="18:18" ht="15.75" customHeight="1">
      <c r="R460" s="30"/>
    </row>
    <row r="461" spans="18:18" ht="15.75" customHeight="1">
      <c r="R461" s="30"/>
    </row>
    <row r="462" spans="18:18" ht="15.75" customHeight="1">
      <c r="R462" s="30"/>
    </row>
    <row r="463" spans="18:18" ht="15.75" customHeight="1">
      <c r="R463" s="30"/>
    </row>
    <row r="464" spans="18:18" ht="15.75" customHeight="1">
      <c r="R464" s="30"/>
    </row>
    <row r="465" spans="18:18" ht="15.75" customHeight="1">
      <c r="R465" s="30"/>
    </row>
    <row r="466" spans="18:18" ht="15.75" customHeight="1">
      <c r="R466" s="30"/>
    </row>
    <row r="467" spans="18:18" ht="15.75" customHeight="1">
      <c r="R467" s="30"/>
    </row>
    <row r="468" spans="18:18" ht="15.75" customHeight="1">
      <c r="R468" s="30"/>
    </row>
    <row r="469" spans="18:18" ht="15.75" customHeight="1">
      <c r="R469" s="30"/>
    </row>
    <row r="470" spans="18:18" ht="15.75" customHeight="1">
      <c r="R470" s="30"/>
    </row>
    <row r="471" spans="18:18" ht="15.75" customHeight="1">
      <c r="R471" s="30"/>
    </row>
    <row r="472" spans="18:18" ht="15.75" customHeight="1">
      <c r="R472" s="30"/>
    </row>
    <row r="473" spans="18:18" ht="15.75" customHeight="1">
      <c r="R473" s="30"/>
    </row>
    <row r="474" spans="18:18" ht="15.75" customHeight="1">
      <c r="R474" s="30"/>
    </row>
    <row r="475" spans="18:18" ht="15.75" customHeight="1">
      <c r="R475" s="30"/>
    </row>
    <row r="476" spans="18:18" ht="15.75" customHeight="1">
      <c r="R476" s="30"/>
    </row>
    <row r="477" spans="18:18" ht="15.75" customHeight="1">
      <c r="R477" s="30"/>
    </row>
    <row r="478" spans="18:18" ht="15.75" customHeight="1">
      <c r="R478" s="30"/>
    </row>
    <row r="479" spans="18:18" ht="15.75" customHeight="1">
      <c r="R479" s="30"/>
    </row>
    <row r="480" spans="18:18" ht="15.75" customHeight="1">
      <c r="R480" s="30"/>
    </row>
    <row r="481" spans="18:18" ht="15.75" customHeight="1">
      <c r="R481" s="30"/>
    </row>
    <row r="482" spans="18:18" ht="15.75" customHeight="1">
      <c r="R482" s="30"/>
    </row>
    <row r="483" spans="18:18" ht="15.75" customHeight="1">
      <c r="R483" s="30"/>
    </row>
    <row r="484" spans="18:18" ht="15.75" customHeight="1">
      <c r="R484" s="30"/>
    </row>
    <row r="485" spans="18:18" ht="15.75" customHeight="1">
      <c r="R485" s="30"/>
    </row>
    <row r="486" spans="18:18" ht="15.75" customHeight="1">
      <c r="R486" s="30"/>
    </row>
    <row r="487" spans="18:18" ht="15.75" customHeight="1">
      <c r="R487" s="30"/>
    </row>
    <row r="488" spans="18:18" ht="15.75" customHeight="1">
      <c r="R488" s="30"/>
    </row>
    <row r="489" spans="18:18" ht="15.75" customHeight="1">
      <c r="R489" s="30"/>
    </row>
    <row r="490" spans="18:18" ht="15.75" customHeight="1">
      <c r="R490" s="30"/>
    </row>
    <row r="491" spans="18:18" ht="15.75" customHeight="1">
      <c r="R491" s="30"/>
    </row>
    <row r="492" spans="18:18" ht="15.75" customHeight="1">
      <c r="R492" s="30"/>
    </row>
    <row r="493" spans="18:18" ht="15.75" customHeight="1">
      <c r="R493" s="30"/>
    </row>
    <row r="494" spans="18:18" ht="15.75" customHeight="1">
      <c r="R494" s="30"/>
    </row>
    <row r="495" spans="18:18" ht="15.75" customHeight="1">
      <c r="R495" s="30"/>
    </row>
    <row r="496" spans="18:18" ht="15.75" customHeight="1">
      <c r="R496" s="30"/>
    </row>
    <row r="497" spans="18:18" ht="15.75" customHeight="1">
      <c r="R497" s="30"/>
    </row>
    <row r="498" spans="18:18" ht="15.75" customHeight="1">
      <c r="R498" s="30"/>
    </row>
    <row r="499" spans="18:18" ht="15.75" customHeight="1">
      <c r="R499" s="30"/>
    </row>
    <row r="500" spans="18:18" ht="15.75" customHeight="1">
      <c r="R500" s="30"/>
    </row>
    <row r="501" spans="18:18" ht="15.75" customHeight="1">
      <c r="R501" s="30"/>
    </row>
    <row r="502" spans="18:18" ht="15.75" customHeight="1">
      <c r="R502" s="30"/>
    </row>
    <row r="503" spans="18:18" ht="15.75" customHeight="1">
      <c r="R503" s="30"/>
    </row>
    <row r="504" spans="18:18" ht="15.75" customHeight="1">
      <c r="R504" s="30"/>
    </row>
    <row r="505" spans="18:18" ht="15.75" customHeight="1">
      <c r="R505" s="30"/>
    </row>
    <row r="506" spans="18:18" ht="15.75" customHeight="1">
      <c r="R506" s="30"/>
    </row>
    <row r="507" spans="18:18" ht="15.75" customHeight="1">
      <c r="R507" s="30"/>
    </row>
    <row r="508" spans="18:18" ht="15.75" customHeight="1">
      <c r="R508" s="30"/>
    </row>
    <row r="509" spans="18:18" ht="15.75" customHeight="1">
      <c r="R509" s="30"/>
    </row>
    <row r="510" spans="18:18" ht="15.75" customHeight="1">
      <c r="R510" s="30"/>
    </row>
    <row r="511" spans="18:18" ht="15.75" customHeight="1">
      <c r="R511" s="30"/>
    </row>
    <row r="512" spans="18:18" ht="15.75" customHeight="1">
      <c r="R512" s="30"/>
    </row>
    <row r="513" spans="18:18" ht="15.75" customHeight="1">
      <c r="R513" s="30"/>
    </row>
    <row r="514" spans="18:18" ht="15.75" customHeight="1">
      <c r="R514" s="30"/>
    </row>
    <row r="515" spans="18:18" ht="15.75" customHeight="1">
      <c r="R515" s="30"/>
    </row>
    <row r="516" spans="18:18" ht="15.75" customHeight="1">
      <c r="R516" s="30"/>
    </row>
    <row r="517" spans="18:18" ht="15.75" customHeight="1">
      <c r="R517" s="30"/>
    </row>
    <row r="518" spans="18:18" ht="15.75" customHeight="1">
      <c r="R518" s="30"/>
    </row>
    <row r="519" spans="18:18" ht="15.75" customHeight="1">
      <c r="R519" s="30"/>
    </row>
    <row r="520" spans="18:18" ht="15.75" customHeight="1">
      <c r="R520" s="30"/>
    </row>
    <row r="521" spans="18:18" ht="15.75" customHeight="1">
      <c r="R521" s="30"/>
    </row>
    <row r="522" spans="18:18" ht="15.75" customHeight="1">
      <c r="R522" s="30"/>
    </row>
    <row r="523" spans="18:18" ht="15.75" customHeight="1">
      <c r="R523" s="30"/>
    </row>
    <row r="524" spans="18:18" ht="15.75" customHeight="1">
      <c r="R524" s="30"/>
    </row>
    <row r="525" spans="18:18" ht="15.75" customHeight="1">
      <c r="R525" s="30"/>
    </row>
    <row r="526" spans="18:18" ht="15.75" customHeight="1">
      <c r="R526" s="30"/>
    </row>
    <row r="527" spans="18:18" ht="15.75" customHeight="1">
      <c r="R527" s="30"/>
    </row>
    <row r="528" spans="18:18" ht="15.75" customHeight="1">
      <c r="R528" s="30"/>
    </row>
    <row r="529" spans="18:18" ht="15.75" customHeight="1">
      <c r="R529" s="30"/>
    </row>
    <row r="530" spans="18:18" ht="15.75" customHeight="1">
      <c r="R530" s="30"/>
    </row>
    <row r="531" spans="18:18" ht="15.75" customHeight="1">
      <c r="R531" s="30"/>
    </row>
    <row r="532" spans="18:18" ht="15.75" customHeight="1">
      <c r="R532" s="30"/>
    </row>
    <row r="533" spans="18:18" ht="15.75" customHeight="1">
      <c r="R533" s="30"/>
    </row>
    <row r="534" spans="18:18" ht="15.75" customHeight="1">
      <c r="R534" s="30"/>
    </row>
    <row r="535" spans="18:18" ht="15.75" customHeight="1">
      <c r="R535" s="30"/>
    </row>
    <row r="536" spans="18:18" ht="15.75" customHeight="1">
      <c r="R536" s="30"/>
    </row>
    <row r="537" spans="18:18" ht="15.75" customHeight="1">
      <c r="R537" s="30"/>
    </row>
    <row r="538" spans="18:18" ht="15.75" customHeight="1">
      <c r="R538" s="30"/>
    </row>
    <row r="539" spans="18:18" ht="15.75" customHeight="1">
      <c r="R539" s="30"/>
    </row>
    <row r="540" spans="18:18" ht="15.75" customHeight="1">
      <c r="R540" s="30"/>
    </row>
    <row r="541" spans="18:18" ht="15.75" customHeight="1">
      <c r="R541" s="30"/>
    </row>
    <row r="542" spans="18:18" ht="15.75" customHeight="1">
      <c r="R542" s="30"/>
    </row>
    <row r="543" spans="18:18" ht="15.75" customHeight="1">
      <c r="R543" s="30"/>
    </row>
    <row r="544" spans="18:18" ht="15.75" customHeight="1">
      <c r="R544" s="30"/>
    </row>
    <row r="545" spans="18:18" ht="15.75" customHeight="1">
      <c r="R545" s="30"/>
    </row>
    <row r="546" spans="18:18" ht="15.75" customHeight="1">
      <c r="R546" s="30"/>
    </row>
    <row r="547" spans="18:18" ht="15.75" customHeight="1">
      <c r="R547" s="30"/>
    </row>
    <row r="548" spans="18:18" ht="15.75" customHeight="1">
      <c r="R548" s="30"/>
    </row>
    <row r="549" spans="18:18" ht="15.75" customHeight="1">
      <c r="R549" s="30"/>
    </row>
    <row r="550" spans="18:18" ht="15.75" customHeight="1">
      <c r="R550" s="30"/>
    </row>
    <row r="551" spans="18:18" ht="15.75" customHeight="1">
      <c r="R551" s="30"/>
    </row>
    <row r="552" spans="18:18" ht="15.75" customHeight="1">
      <c r="R552" s="30"/>
    </row>
    <row r="553" spans="18:18" ht="15.75" customHeight="1">
      <c r="R553" s="30"/>
    </row>
    <row r="554" spans="18:18" ht="15.75" customHeight="1">
      <c r="R554" s="30"/>
    </row>
    <row r="555" spans="18:18" ht="15.75" customHeight="1">
      <c r="R555" s="30"/>
    </row>
    <row r="556" spans="18:18" ht="15.75" customHeight="1">
      <c r="R556" s="30"/>
    </row>
    <row r="557" spans="18:18" ht="15.75" customHeight="1">
      <c r="R557" s="30"/>
    </row>
    <row r="558" spans="18:18" ht="15.75" customHeight="1">
      <c r="R558" s="30"/>
    </row>
    <row r="559" spans="18:18" ht="15.75" customHeight="1">
      <c r="R559" s="30"/>
    </row>
    <row r="560" spans="18:18" ht="15.75" customHeight="1">
      <c r="R560" s="30"/>
    </row>
    <row r="561" spans="18:18" ht="15.75" customHeight="1">
      <c r="R561" s="30"/>
    </row>
    <row r="562" spans="18:18" ht="15.75" customHeight="1">
      <c r="R562" s="30"/>
    </row>
    <row r="563" spans="18:18" ht="15.75" customHeight="1">
      <c r="R563" s="30"/>
    </row>
    <row r="564" spans="18:18" ht="15.75" customHeight="1">
      <c r="R564" s="30"/>
    </row>
    <row r="565" spans="18:18" ht="15.75" customHeight="1">
      <c r="R565" s="30"/>
    </row>
    <row r="566" spans="18:18" ht="15.75" customHeight="1">
      <c r="R566" s="30"/>
    </row>
    <row r="567" spans="18:18" ht="15.75" customHeight="1">
      <c r="R567" s="30"/>
    </row>
    <row r="568" spans="18:18" ht="15.75" customHeight="1">
      <c r="R568" s="30"/>
    </row>
    <row r="569" spans="18:18" ht="15.75" customHeight="1">
      <c r="R569" s="30"/>
    </row>
    <row r="570" spans="18:18" ht="15.75" customHeight="1">
      <c r="R570" s="30"/>
    </row>
    <row r="571" spans="18:18" ht="15.75" customHeight="1">
      <c r="R571" s="30"/>
    </row>
    <row r="572" spans="18:18" ht="15.75" customHeight="1">
      <c r="R572" s="30"/>
    </row>
    <row r="573" spans="18:18" ht="15.75" customHeight="1">
      <c r="R573" s="30"/>
    </row>
    <row r="574" spans="18:18" ht="15.75" customHeight="1">
      <c r="R574" s="30"/>
    </row>
    <row r="575" spans="18:18" ht="15.75" customHeight="1">
      <c r="R575" s="30"/>
    </row>
    <row r="576" spans="18:18" ht="15.75" customHeight="1">
      <c r="R576" s="30"/>
    </row>
    <row r="577" spans="18:18" ht="15.75" customHeight="1">
      <c r="R577" s="30"/>
    </row>
    <row r="578" spans="18:18" ht="15.75" customHeight="1">
      <c r="R578" s="30"/>
    </row>
    <row r="579" spans="18:18" ht="15.75" customHeight="1">
      <c r="R579" s="30"/>
    </row>
    <row r="580" spans="18:18" ht="15.75" customHeight="1">
      <c r="R580" s="30"/>
    </row>
    <row r="581" spans="18:18" ht="15.75" customHeight="1">
      <c r="R581" s="30"/>
    </row>
    <row r="582" spans="18:18" ht="15.75" customHeight="1">
      <c r="R582" s="30"/>
    </row>
    <row r="583" spans="18:18" ht="15.75" customHeight="1">
      <c r="R583" s="30"/>
    </row>
    <row r="584" spans="18:18" ht="15.75" customHeight="1">
      <c r="R584" s="30"/>
    </row>
    <row r="585" spans="18:18" ht="15.75" customHeight="1">
      <c r="R585" s="30"/>
    </row>
    <row r="586" spans="18:18" ht="15.75" customHeight="1">
      <c r="R586" s="30"/>
    </row>
    <row r="587" spans="18:18" ht="15.75" customHeight="1">
      <c r="R587" s="30"/>
    </row>
    <row r="588" spans="18:18" ht="15.75" customHeight="1">
      <c r="R588" s="30"/>
    </row>
    <row r="589" spans="18:18" ht="15.75" customHeight="1">
      <c r="R589" s="30"/>
    </row>
    <row r="590" spans="18:18" ht="15.75" customHeight="1">
      <c r="R590" s="30"/>
    </row>
    <row r="591" spans="18:18" ht="15.75" customHeight="1">
      <c r="R591" s="30"/>
    </row>
    <row r="592" spans="18:18" ht="15.75" customHeight="1">
      <c r="R592" s="30"/>
    </row>
    <row r="593" spans="18:18" ht="15.75" customHeight="1">
      <c r="R593" s="30"/>
    </row>
    <row r="594" spans="18:18" ht="15.75" customHeight="1">
      <c r="R594" s="30"/>
    </row>
    <row r="595" spans="18:18" ht="15.75" customHeight="1">
      <c r="R595" s="30"/>
    </row>
    <row r="596" spans="18:18" ht="15.75" customHeight="1">
      <c r="R596" s="30"/>
    </row>
    <row r="597" spans="18:18" ht="15.75" customHeight="1">
      <c r="R597" s="30"/>
    </row>
    <row r="598" spans="18:18" ht="15.75" customHeight="1">
      <c r="R598" s="30"/>
    </row>
    <row r="599" spans="18:18" ht="15.75" customHeight="1">
      <c r="R599" s="30"/>
    </row>
    <row r="600" spans="18:18" ht="15.75" customHeight="1">
      <c r="R600" s="30"/>
    </row>
    <row r="601" spans="18:18" ht="15.75" customHeight="1">
      <c r="R601" s="30"/>
    </row>
    <row r="602" spans="18:18" ht="15.75" customHeight="1">
      <c r="R602" s="30"/>
    </row>
    <row r="603" spans="18:18" ht="15.75" customHeight="1">
      <c r="R603" s="30"/>
    </row>
    <row r="604" spans="18:18" ht="15.75" customHeight="1">
      <c r="R604" s="30"/>
    </row>
    <row r="605" spans="18:18" ht="15.75" customHeight="1">
      <c r="R605" s="30"/>
    </row>
    <row r="606" spans="18:18" ht="15.75" customHeight="1">
      <c r="R606" s="30"/>
    </row>
    <row r="607" spans="18:18" ht="15.75" customHeight="1">
      <c r="R607" s="30"/>
    </row>
    <row r="608" spans="18:18" ht="15.75" customHeight="1">
      <c r="R608" s="30"/>
    </row>
    <row r="609" spans="18:18" ht="15.75" customHeight="1">
      <c r="R609" s="30"/>
    </row>
    <row r="610" spans="18:18" ht="15.75" customHeight="1">
      <c r="R610" s="30"/>
    </row>
    <row r="611" spans="18:18" ht="15.75" customHeight="1">
      <c r="R611" s="30"/>
    </row>
    <row r="612" spans="18:18" ht="15.75" customHeight="1">
      <c r="R612" s="30"/>
    </row>
    <row r="613" spans="18:18" ht="15.75" customHeight="1">
      <c r="R613" s="30"/>
    </row>
    <row r="614" spans="18:18" ht="15.75" customHeight="1">
      <c r="R614" s="30"/>
    </row>
    <row r="615" spans="18:18" ht="15.75" customHeight="1">
      <c r="R615" s="30"/>
    </row>
    <row r="616" spans="18:18" ht="15.75" customHeight="1">
      <c r="R616" s="30"/>
    </row>
    <row r="617" spans="18:18" ht="15.75" customHeight="1">
      <c r="R617" s="30"/>
    </row>
    <row r="618" spans="18:18" ht="15.75" customHeight="1">
      <c r="R618" s="30"/>
    </row>
    <row r="619" spans="18:18" ht="15.75" customHeight="1">
      <c r="R619" s="30"/>
    </row>
    <row r="620" spans="18:18" ht="15.75" customHeight="1">
      <c r="R620" s="30"/>
    </row>
    <row r="621" spans="18:18" ht="15.75" customHeight="1">
      <c r="R621" s="30"/>
    </row>
    <row r="622" spans="18:18" ht="15.75" customHeight="1">
      <c r="R622" s="30"/>
    </row>
    <row r="623" spans="18:18" ht="15.75" customHeight="1">
      <c r="R623" s="30"/>
    </row>
    <row r="624" spans="18:18" ht="15.75" customHeight="1">
      <c r="R624" s="30"/>
    </row>
    <row r="625" spans="18:18" ht="15.75" customHeight="1">
      <c r="R625" s="30"/>
    </row>
    <row r="626" spans="18:18" ht="15.75" customHeight="1">
      <c r="R626" s="30"/>
    </row>
    <row r="627" spans="18:18" ht="15.75" customHeight="1">
      <c r="R627" s="30"/>
    </row>
    <row r="628" spans="18:18" ht="15.75" customHeight="1">
      <c r="R628" s="30"/>
    </row>
    <row r="629" spans="18:18" ht="15.75" customHeight="1">
      <c r="R629" s="30"/>
    </row>
    <row r="630" spans="18:18" ht="15.75" customHeight="1">
      <c r="R630" s="30"/>
    </row>
    <row r="631" spans="18:18" ht="15.75" customHeight="1">
      <c r="R631" s="30"/>
    </row>
    <row r="632" spans="18:18" ht="15.75" customHeight="1">
      <c r="R632" s="30"/>
    </row>
    <row r="633" spans="18:18" ht="15.75" customHeight="1">
      <c r="R633" s="30"/>
    </row>
    <row r="634" spans="18:18" ht="15.75" customHeight="1">
      <c r="R634" s="30"/>
    </row>
    <row r="635" spans="18:18" ht="15.75" customHeight="1">
      <c r="R635" s="30"/>
    </row>
    <row r="636" spans="18:18" ht="15.75" customHeight="1">
      <c r="R636" s="30"/>
    </row>
    <row r="637" spans="18:18" ht="15.75" customHeight="1">
      <c r="R637" s="30"/>
    </row>
    <row r="638" spans="18:18" ht="15.75" customHeight="1">
      <c r="R638" s="30"/>
    </row>
    <row r="639" spans="18:18" ht="15.75" customHeight="1">
      <c r="R639" s="30"/>
    </row>
    <row r="640" spans="18:18" ht="15.75" customHeight="1">
      <c r="R640" s="30"/>
    </row>
    <row r="641" spans="18:18" ht="15.75" customHeight="1">
      <c r="R641" s="30"/>
    </row>
    <row r="642" spans="18:18" ht="15.75" customHeight="1">
      <c r="R642" s="30"/>
    </row>
    <row r="643" spans="18:18" ht="15.75" customHeight="1">
      <c r="R643" s="30"/>
    </row>
    <row r="644" spans="18:18" ht="15.75" customHeight="1">
      <c r="R644" s="30"/>
    </row>
    <row r="645" spans="18:18" ht="15.75" customHeight="1">
      <c r="R645" s="30"/>
    </row>
    <row r="646" spans="18:18" ht="15.75" customHeight="1">
      <c r="R646" s="30"/>
    </row>
    <row r="647" spans="18:18" ht="15.75" customHeight="1">
      <c r="R647" s="30"/>
    </row>
    <row r="648" spans="18:18" ht="15.75" customHeight="1">
      <c r="R648" s="30"/>
    </row>
    <row r="649" spans="18:18" ht="15.75" customHeight="1">
      <c r="R649" s="30"/>
    </row>
    <row r="650" spans="18:18" ht="15.75" customHeight="1">
      <c r="R650" s="30"/>
    </row>
    <row r="651" spans="18:18" ht="15.75" customHeight="1">
      <c r="R651" s="30"/>
    </row>
    <row r="652" spans="18:18" ht="15.75" customHeight="1">
      <c r="R652" s="30"/>
    </row>
    <row r="653" spans="18:18" ht="15.75" customHeight="1">
      <c r="R653" s="30"/>
    </row>
    <row r="654" spans="18:18" ht="15.75" customHeight="1">
      <c r="R654" s="30"/>
    </row>
    <row r="655" spans="18:18" ht="15.75" customHeight="1">
      <c r="R655" s="30"/>
    </row>
    <row r="656" spans="18:18" ht="15.75" customHeight="1">
      <c r="R656" s="30"/>
    </row>
    <row r="657" spans="18:18" ht="15.75" customHeight="1">
      <c r="R657" s="30"/>
    </row>
    <row r="658" spans="18:18" ht="15.75" customHeight="1">
      <c r="R658" s="30"/>
    </row>
    <row r="659" spans="18:18" ht="15.75" customHeight="1">
      <c r="R659" s="30"/>
    </row>
    <row r="660" spans="18:18" ht="15.75" customHeight="1">
      <c r="R660" s="30"/>
    </row>
    <row r="661" spans="18:18" ht="15.75" customHeight="1">
      <c r="R661" s="30"/>
    </row>
    <row r="662" spans="18:18" ht="15.75" customHeight="1">
      <c r="R662" s="30"/>
    </row>
    <row r="663" spans="18:18" ht="15.75" customHeight="1">
      <c r="R663" s="30"/>
    </row>
    <row r="664" spans="18:18" ht="15.75" customHeight="1">
      <c r="R664" s="30"/>
    </row>
    <row r="665" spans="18:18" ht="15.75" customHeight="1">
      <c r="R665" s="30"/>
    </row>
    <row r="666" spans="18:18" ht="15.75" customHeight="1">
      <c r="R666" s="30"/>
    </row>
    <row r="667" spans="18:18" ht="15.75" customHeight="1">
      <c r="R667" s="30"/>
    </row>
    <row r="668" spans="18:18" ht="15.75" customHeight="1">
      <c r="R668" s="30"/>
    </row>
    <row r="669" spans="18:18" ht="15.75" customHeight="1">
      <c r="R669" s="30"/>
    </row>
    <row r="670" spans="18:18" ht="15.75" customHeight="1">
      <c r="R670" s="30"/>
    </row>
    <row r="671" spans="18:18" ht="15.75" customHeight="1">
      <c r="R671" s="30"/>
    </row>
    <row r="672" spans="18:18" ht="15.75" customHeight="1">
      <c r="R672" s="30"/>
    </row>
    <row r="673" spans="18:18" ht="15.75" customHeight="1">
      <c r="R673" s="30"/>
    </row>
    <row r="674" spans="18:18" ht="15.75" customHeight="1">
      <c r="R674" s="30"/>
    </row>
    <row r="675" spans="18:18" ht="15.75" customHeight="1">
      <c r="R675" s="30"/>
    </row>
    <row r="676" spans="18:18" ht="15.75" customHeight="1">
      <c r="R676" s="30"/>
    </row>
    <row r="677" spans="18:18" ht="15.75" customHeight="1">
      <c r="R677" s="30"/>
    </row>
    <row r="678" spans="18:18" ht="15.75" customHeight="1">
      <c r="R678" s="30"/>
    </row>
    <row r="679" spans="18:18" ht="15.75" customHeight="1">
      <c r="R679" s="30"/>
    </row>
    <row r="680" spans="18:18" ht="15.75" customHeight="1">
      <c r="R680" s="30"/>
    </row>
    <row r="681" spans="18:18" ht="15.75" customHeight="1">
      <c r="R681" s="30"/>
    </row>
    <row r="682" spans="18:18" ht="15.75" customHeight="1">
      <c r="R682" s="30"/>
    </row>
    <row r="683" spans="18:18" ht="15.75" customHeight="1">
      <c r="R683" s="30"/>
    </row>
    <row r="684" spans="18:18" ht="15.75" customHeight="1">
      <c r="R684" s="30"/>
    </row>
    <row r="685" spans="18:18" ht="15.75" customHeight="1">
      <c r="R685" s="30"/>
    </row>
    <row r="686" spans="18:18" ht="15.75" customHeight="1">
      <c r="R686" s="30"/>
    </row>
    <row r="687" spans="18:18" ht="15.75" customHeight="1">
      <c r="R687" s="30"/>
    </row>
    <row r="688" spans="18:18" ht="15.75" customHeight="1">
      <c r="R688" s="30"/>
    </row>
    <row r="689" spans="18:18" ht="15.75" customHeight="1">
      <c r="R689" s="30"/>
    </row>
    <row r="690" spans="18:18" ht="15.75" customHeight="1">
      <c r="R690" s="30"/>
    </row>
    <row r="691" spans="18:18" ht="15.75" customHeight="1">
      <c r="R691" s="30"/>
    </row>
    <row r="692" spans="18:18" ht="15.75" customHeight="1">
      <c r="R692" s="30"/>
    </row>
    <row r="693" spans="18:18" ht="15.75" customHeight="1">
      <c r="R693" s="30"/>
    </row>
    <row r="694" spans="18:18" ht="15.75" customHeight="1">
      <c r="R694" s="30"/>
    </row>
    <row r="695" spans="18:18" ht="15.75" customHeight="1">
      <c r="R695" s="30"/>
    </row>
    <row r="696" spans="18:18" ht="15.75" customHeight="1">
      <c r="R696" s="30"/>
    </row>
    <row r="697" spans="18:18" ht="15.75" customHeight="1">
      <c r="R697" s="30"/>
    </row>
    <row r="698" spans="18:18" ht="15.75" customHeight="1">
      <c r="R698" s="30"/>
    </row>
    <row r="699" spans="18:18" ht="15.75" customHeight="1">
      <c r="R699" s="30"/>
    </row>
    <row r="700" spans="18:18" ht="15.75" customHeight="1">
      <c r="R700" s="30"/>
    </row>
    <row r="701" spans="18:18" ht="15.75" customHeight="1">
      <c r="R701" s="30"/>
    </row>
    <row r="702" spans="18:18" ht="15.75" customHeight="1">
      <c r="R702" s="30"/>
    </row>
    <row r="703" spans="18:18" ht="15.75" customHeight="1">
      <c r="R703" s="30"/>
    </row>
    <row r="704" spans="18:18" ht="15.75" customHeight="1">
      <c r="R704" s="30"/>
    </row>
    <row r="705" spans="18:18" ht="15.75" customHeight="1">
      <c r="R705" s="30"/>
    </row>
    <row r="706" spans="18:18" ht="15.75" customHeight="1">
      <c r="R706" s="30"/>
    </row>
    <row r="707" spans="18:18" ht="15.75" customHeight="1">
      <c r="R707" s="30"/>
    </row>
    <row r="708" spans="18:18" ht="15.75" customHeight="1">
      <c r="R708" s="30"/>
    </row>
    <row r="709" spans="18:18" ht="15.75" customHeight="1">
      <c r="R709" s="30"/>
    </row>
    <row r="710" spans="18:18" ht="15.75" customHeight="1">
      <c r="R710" s="30"/>
    </row>
    <row r="711" spans="18:18" ht="15.75" customHeight="1">
      <c r="R711" s="30"/>
    </row>
    <row r="712" spans="18:18" ht="15.75" customHeight="1">
      <c r="R712" s="30"/>
    </row>
    <row r="713" spans="18:18" ht="15.75" customHeight="1">
      <c r="R713" s="30"/>
    </row>
    <row r="714" spans="18:18" ht="15.75" customHeight="1">
      <c r="R714" s="30"/>
    </row>
    <row r="715" spans="18:18" ht="15.75" customHeight="1">
      <c r="R715" s="30"/>
    </row>
    <row r="716" spans="18:18" ht="15.75" customHeight="1">
      <c r="R716" s="30"/>
    </row>
    <row r="717" spans="18:18" ht="15.75" customHeight="1">
      <c r="R717" s="30"/>
    </row>
    <row r="718" spans="18:18" ht="15.75" customHeight="1">
      <c r="R718" s="30"/>
    </row>
    <row r="719" spans="18:18" ht="15.75" customHeight="1">
      <c r="R719" s="30"/>
    </row>
    <row r="720" spans="18:18" ht="15.75" customHeight="1">
      <c r="R720" s="30"/>
    </row>
    <row r="721" spans="18:18" ht="15.75" customHeight="1">
      <c r="R721" s="30"/>
    </row>
    <row r="722" spans="18:18" ht="15.75" customHeight="1">
      <c r="R722" s="30"/>
    </row>
    <row r="723" spans="18:18" ht="15.75" customHeight="1">
      <c r="R723" s="30"/>
    </row>
    <row r="724" spans="18:18" ht="15.75" customHeight="1">
      <c r="R724" s="30"/>
    </row>
    <row r="725" spans="18:18" ht="15.75" customHeight="1">
      <c r="R725" s="30"/>
    </row>
    <row r="726" spans="18:18" ht="15.75" customHeight="1">
      <c r="R726" s="30"/>
    </row>
    <row r="727" spans="18:18" ht="15.75" customHeight="1">
      <c r="R727" s="30"/>
    </row>
    <row r="728" spans="18:18" ht="15.75" customHeight="1">
      <c r="R728" s="30"/>
    </row>
    <row r="729" spans="18:18" ht="15.75" customHeight="1">
      <c r="R729" s="30"/>
    </row>
    <row r="730" spans="18:18" ht="15.75" customHeight="1">
      <c r="R730" s="30"/>
    </row>
    <row r="731" spans="18:18" ht="15.75" customHeight="1">
      <c r="R731" s="30"/>
    </row>
    <row r="732" spans="18:18" ht="15.75" customHeight="1">
      <c r="R732" s="30"/>
    </row>
    <row r="733" spans="18:18" ht="15.75" customHeight="1">
      <c r="R733" s="30"/>
    </row>
    <row r="734" spans="18:18" ht="15.75" customHeight="1">
      <c r="R734" s="30"/>
    </row>
    <row r="735" spans="18:18" ht="15.75" customHeight="1">
      <c r="R735" s="30"/>
    </row>
    <row r="736" spans="18:18" ht="15.75" customHeight="1">
      <c r="R736" s="30"/>
    </row>
    <row r="737" spans="18:18" ht="15.75" customHeight="1">
      <c r="R737" s="30"/>
    </row>
    <row r="738" spans="18:18" ht="15.75" customHeight="1">
      <c r="R738" s="30"/>
    </row>
    <row r="739" spans="18:18" ht="15.75" customHeight="1">
      <c r="R739" s="30"/>
    </row>
    <row r="740" spans="18:18" ht="15.75" customHeight="1">
      <c r="R740" s="30"/>
    </row>
    <row r="741" spans="18:18" ht="15.75" customHeight="1">
      <c r="R741" s="30"/>
    </row>
    <row r="742" spans="18:18" ht="15.75" customHeight="1">
      <c r="R742" s="30"/>
    </row>
    <row r="743" spans="18:18" ht="15.75" customHeight="1">
      <c r="R743" s="30"/>
    </row>
    <row r="744" spans="18:18" ht="15.75" customHeight="1">
      <c r="R744" s="30"/>
    </row>
    <row r="745" spans="18:18" ht="15.75" customHeight="1">
      <c r="R745" s="30"/>
    </row>
    <row r="746" spans="18:18" ht="15.75" customHeight="1">
      <c r="R746" s="30"/>
    </row>
    <row r="747" spans="18:18" ht="15.75" customHeight="1">
      <c r="R747" s="30"/>
    </row>
    <row r="748" spans="18:18" ht="15.75" customHeight="1">
      <c r="R748" s="30"/>
    </row>
    <row r="749" spans="18:18" ht="15.75" customHeight="1">
      <c r="R749" s="30"/>
    </row>
    <row r="750" spans="18:18" ht="15.75" customHeight="1">
      <c r="R750" s="30"/>
    </row>
    <row r="751" spans="18:18" ht="15.75" customHeight="1">
      <c r="R751" s="30"/>
    </row>
    <row r="752" spans="18:18" ht="15.75" customHeight="1">
      <c r="R752" s="30"/>
    </row>
    <row r="753" spans="18:18" ht="15.75" customHeight="1">
      <c r="R753" s="30"/>
    </row>
    <row r="754" spans="18:18" ht="15.75" customHeight="1">
      <c r="R754" s="30"/>
    </row>
    <row r="755" spans="18:18" ht="15.75" customHeight="1">
      <c r="R755" s="30"/>
    </row>
    <row r="756" spans="18:18" ht="15.75" customHeight="1">
      <c r="R756" s="30"/>
    </row>
    <row r="757" spans="18:18" ht="15.75" customHeight="1">
      <c r="R757" s="30"/>
    </row>
    <row r="758" spans="18:18" ht="15.75" customHeight="1">
      <c r="R758" s="30"/>
    </row>
    <row r="759" spans="18:18" ht="15.75" customHeight="1">
      <c r="R759" s="30"/>
    </row>
    <row r="760" spans="18:18" ht="15.75" customHeight="1">
      <c r="R760" s="30"/>
    </row>
    <row r="761" spans="18:18" ht="15.75" customHeight="1">
      <c r="R761" s="30"/>
    </row>
    <row r="762" spans="18:18" ht="15.75" customHeight="1">
      <c r="R762" s="30"/>
    </row>
    <row r="763" spans="18:18" ht="15.75" customHeight="1">
      <c r="R763" s="30"/>
    </row>
    <row r="764" spans="18:18" ht="15.75" customHeight="1">
      <c r="R764" s="30"/>
    </row>
    <row r="765" spans="18:18" ht="15.75" customHeight="1">
      <c r="R765" s="30"/>
    </row>
    <row r="766" spans="18:18" ht="15.75" customHeight="1">
      <c r="R766" s="30"/>
    </row>
    <row r="767" spans="18:18" ht="15.75" customHeight="1">
      <c r="R767" s="30"/>
    </row>
    <row r="768" spans="18:18" ht="15.75" customHeight="1">
      <c r="R768" s="30"/>
    </row>
    <row r="769" spans="18:18" ht="15.75" customHeight="1">
      <c r="R769" s="30"/>
    </row>
    <row r="770" spans="18:18" ht="15.75" customHeight="1">
      <c r="R770" s="30"/>
    </row>
    <row r="771" spans="18:18" ht="15.75" customHeight="1">
      <c r="R771" s="30"/>
    </row>
    <row r="772" spans="18:18" ht="15.75" customHeight="1">
      <c r="R772" s="30"/>
    </row>
    <row r="773" spans="18:18" ht="15.75" customHeight="1">
      <c r="R773" s="30"/>
    </row>
    <row r="774" spans="18:18" ht="15.75" customHeight="1">
      <c r="R774" s="30"/>
    </row>
    <row r="775" spans="18:18" ht="15.75" customHeight="1">
      <c r="R775" s="30"/>
    </row>
    <row r="776" spans="18:18" ht="15.75" customHeight="1">
      <c r="R776" s="30"/>
    </row>
    <row r="777" spans="18:18" ht="15.75" customHeight="1">
      <c r="R777" s="30"/>
    </row>
    <row r="778" spans="18:18" ht="15.75" customHeight="1">
      <c r="R778" s="30"/>
    </row>
    <row r="779" spans="18:18" ht="15.75" customHeight="1">
      <c r="R779" s="30"/>
    </row>
    <row r="780" spans="18:18" ht="15.75" customHeight="1">
      <c r="R780" s="30"/>
    </row>
    <row r="781" spans="18:18" ht="15.75" customHeight="1">
      <c r="R781" s="30"/>
    </row>
    <row r="782" spans="18:18" ht="15.75" customHeight="1">
      <c r="R782" s="30"/>
    </row>
    <row r="783" spans="18:18" ht="15.75" customHeight="1">
      <c r="R783" s="30"/>
    </row>
    <row r="784" spans="18:18" ht="15.75" customHeight="1">
      <c r="R784" s="30"/>
    </row>
    <row r="785" spans="18:18" ht="15.75" customHeight="1">
      <c r="R785" s="30"/>
    </row>
    <row r="786" spans="18:18" ht="15.75" customHeight="1">
      <c r="R786" s="30"/>
    </row>
    <row r="787" spans="18:18" ht="15.75" customHeight="1">
      <c r="R787" s="30"/>
    </row>
    <row r="788" spans="18:18" ht="15.75" customHeight="1">
      <c r="R788" s="30"/>
    </row>
    <row r="789" spans="18:18" ht="15.75" customHeight="1">
      <c r="R789" s="30"/>
    </row>
    <row r="790" spans="18:18" ht="15.75" customHeight="1">
      <c r="R790" s="30"/>
    </row>
    <row r="791" spans="18:18" ht="15.75" customHeight="1">
      <c r="R791" s="30"/>
    </row>
    <row r="792" spans="18:18" ht="15.75" customHeight="1">
      <c r="R792" s="30"/>
    </row>
    <row r="793" spans="18:18" ht="15.75" customHeight="1">
      <c r="R793" s="30"/>
    </row>
    <row r="794" spans="18:18" ht="15.75" customHeight="1">
      <c r="R794" s="30"/>
    </row>
    <row r="795" spans="18:18" ht="15.75" customHeight="1">
      <c r="R795" s="30"/>
    </row>
    <row r="796" spans="18:18" ht="15.75" customHeight="1">
      <c r="R796" s="30"/>
    </row>
    <row r="797" spans="18:18" ht="15.75" customHeight="1">
      <c r="R797" s="30"/>
    </row>
    <row r="798" spans="18:18" ht="15.75" customHeight="1">
      <c r="R798" s="30"/>
    </row>
    <row r="799" spans="18:18" ht="15.75" customHeight="1">
      <c r="R799" s="30"/>
    </row>
    <row r="800" spans="18:18" ht="15.75" customHeight="1">
      <c r="R800" s="30"/>
    </row>
    <row r="801" spans="18:18" ht="15.75" customHeight="1">
      <c r="R801" s="30"/>
    </row>
    <row r="802" spans="18:18" ht="15.75" customHeight="1">
      <c r="R802" s="30"/>
    </row>
    <row r="803" spans="18:18" ht="15.75" customHeight="1">
      <c r="R803" s="30"/>
    </row>
    <row r="804" spans="18:18" ht="15.75" customHeight="1">
      <c r="R804" s="30"/>
    </row>
    <row r="805" spans="18:18" ht="15.75" customHeight="1">
      <c r="R805" s="30"/>
    </row>
    <row r="806" spans="18:18" ht="15.75" customHeight="1">
      <c r="R806" s="30"/>
    </row>
    <row r="807" spans="18:18" ht="15.75" customHeight="1">
      <c r="R807" s="30"/>
    </row>
    <row r="808" spans="18:18" ht="15.75" customHeight="1">
      <c r="R808" s="30"/>
    </row>
    <row r="809" spans="18:18" ht="15.75" customHeight="1">
      <c r="R809" s="30"/>
    </row>
    <row r="810" spans="18:18" ht="15.75" customHeight="1">
      <c r="R810" s="30"/>
    </row>
    <row r="811" spans="18:18" ht="15.75" customHeight="1">
      <c r="R811" s="30"/>
    </row>
    <row r="812" spans="18:18" ht="15.75" customHeight="1">
      <c r="R812" s="30"/>
    </row>
    <row r="813" spans="18:18" ht="15.75" customHeight="1">
      <c r="R813" s="30"/>
    </row>
    <row r="814" spans="18:18" ht="15.75" customHeight="1">
      <c r="R814" s="30"/>
    </row>
    <row r="815" spans="18:18" ht="15.75" customHeight="1">
      <c r="R815" s="30"/>
    </row>
    <row r="816" spans="18:18" ht="15.75" customHeight="1">
      <c r="R816" s="30"/>
    </row>
    <row r="817" spans="18:18" ht="15.75" customHeight="1">
      <c r="R817" s="30"/>
    </row>
    <row r="818" spans="18:18" ht="15.75" customHeight="1">
      <c r="R818" s="30"/>
    </row>
    <row r="819" spans="18:18" ht="15.75" customHeight="1">
      <c r="R819" s="30"/>
    </row>
    <row r="820" spans="18:18" ht="15.75" customHeight="1">
      <c r="R820" s="30"/>
    </row>
    <row r="821" spans="18:18" ht="15.75" customHeight="1">
      <c r="R821" s="30"/>
    </row>
    <row r="822" spans="18:18" ht="15.75" customHeight="1">
      <c r="R822" s="30"/>
    </row>
    <row r="823" spans="18:18" ht="15.75" customHeight="1">
      <c r="R823" s="30"/>
    </row>
    <row r="824" spans="18:18" ht="15.75" customHeight="1">
      <c r="R824" s="30"/>
    </row>
    <row r="825" spans="18:18" ht="15.75" customHeight="1">
      <c r="R825" s="30"/>
    </row>
    <row r="826" spans="18:18" ht="15.75" customHeight="1">
      <c r="R826" s="30"/>
    </row>
    <row r="827" spans="18:18" ht="15.75" customHeight="1">
      <c r="R827" s="30"/>
    </row>
    <row r="828" spans="18:18" ht="15.75" customHeight="1">
      <c r="R828" s="30"/>
    </row>
    <row r="829" spans="18:18" ht="15.75" customHeight="1">
      <c r="R829" s="30"/>
    </row>
    <row r="830" spans="18:18" ht="15.75" customHeight="1">
      <c r="R830" s="30"/>
    </row>
    <row r="831" spans="18:18" ht="15.75" customHeight="1">
      <c r="R831" s="30"/>
    </row>
    <row r="832" spans="18:18" ht="15.75" customHeight="1">
      <c r="R832" s="30"/>
    </row>
    <row r="833" spans="18:18" ht="15.75" customHeight="1">
      <c r="R833" s="30"/>
    </row>
    <row r="834" spans="18:18" ht="15.75" customHeight="1">
      <c r="R834" s="30"/>
    </row>
    <row r="835" spans="18:18" ht="15.75" customHeight="1">
      <c r="R835" s="30"/>
    </row>
    <row r="836" spans="18:18" ht="15.75" customHeight="1">
      <c r="R836" s="30"/>
    </row>
    <row r="837" spans="18:18" ht="15.75" customHeight="1">
      <c r="R837" s="30"/>
    </row>
    <row r="838" spans="18:18" ht="15.75" customHeight="1">
      <c r="R838" s="30"/>
    </row>
    <row r="839" spans="18:18" ht="15.75" customHeight="1">
      <c r="R839" s="30"/>
    </row>
    <row r="840" spans="18:18" ht="15.75" customHeight="1">
      <c r="R840" s="30"/>
    </row>
    <row r="841" spans="18:18" ht="15.75" customHeight="1">
      <c r="R841" s="30"/>
    </row>
    <row r="842" spans="18:18" ht="15.75" customHeight="1">
      <c r="R842" s="30"/>
    </row>
    <row r="843" spans="18:18" ht="15.75" customHeight="1">
      <c r="R843" s="30"/>
    </row>
    <row r="844" spans="18:18" ht="15.75" customHeight="1">
      <c r="R844" s="30"/>
    </row>
    <row r="845" spans="18:18" ht="15.75" customHeight="1">
      <c r="R845" s="30"/>
    </row>
    <row r="846" spans="18:18" ht="15.75" customHeight="1">
      <c r="R846" s="30"/>
    </row>
    <row r="847" spans="18:18" ht="15.75" customHeight="1">
      <c r="R847" s="30"/>
    </row>
    <row r="848" spans="18:18" ht="15.75" customHeight="1">
      <c r="R848" s="30"/>
    </row>
    <row r="849" spans="18:18" ht="15.75" customHeight="1">
      <c r="R849" s="30"/>
    </row>
    <row r="850" spans="18:18" ht="15.75" customHeight="1">
      <c r="R850" s="30"/>
    </row>
    <row r="851" spans="18:18" ht="15.75" customHeight="1">
      <c r="R851" s="30"/>
    </row>
    <row r="852" spans="18:18" ht="15.75" customHeight="1">
      <c r="R852" s="30"/>
    </row>
    <row r="853" spans="18:18" ht="15.75" customHeight="1">
      <c r="R853" s="30"/>
    </row>
    <row r="854" spans="18:18" ht="15.75" customHeight="1">
      <c r="R854" s="30"/>
    </row>
    <row r="855" spans="18:18" ht="15.75" customHeight="1">
      <c r="R855" s="30"/>
    </row>
    <row r="856" spans="18:18" ht="15.75" customHeight="1">
      <c r="R856" s="30"/>
    </row>
    <row r="857" spans="18:18" ht="15.75" customHeight="1">
      <c r="R857" s="30"/>
    </row>
    <row r="858" spans="18:18" ht="15.75" customHeight="1">
      <c r="R858" s="30"/>
    </row>
    <row r="859" spans="18:18" ht="15.75" customHeight="1">
      <c r="R859" s="30"/>
    </row>
    <row r="860" spans="18:18" ht="15.75" customHeight="1">
      <c r="R860" s="30"/>
    </row>
    <row r="861" spans="18:18" ht="15.75" customHeight="1">
      <c r="R861" s="30"/>
    </row>
    <row r="862" spans="18:18" ht="15.75" customHeight="1">
      <c r="R862" s="30"/>
    </row>
    <row r="863" spans="18:18" ht="15.75" customHeight="1">
      <c r="R863" s="30"/>
    </row>
    <row r="864" spans="18:18" ht="15.75" customHeight="1">
      <c r="R864" s="30"/>
    </row>
    <row r="865" spans="18:18" ht="15.75" customHeight="1">
      <c r="R865" s="30"/>
    </row>
    <row r="866" spans="18:18" ht="15.75" customHeight="1">
      <c r="R866" s="30"/>
    </row>
    <row r="867" spans="18:18" ht="15.75" customHeight="1">
      <c r="R867" s="30"/>
    </row>
    <row r="868" spans="18:18" ht="15.75" customHeight="1">
      <c r="R868" s="30"/>
    </row>
    <row r="869" spans="18:18" ht="15.75" customHeight="1">
      <c r="R869" s="30"/>
    </row>
    <row r="870" spans="18:18" ht="15.75" customHeight="1">
      <c r="R870" s="30"/>
    </row>
    <row r="871" spans="18:18" ht="15.75" customHeight="1">
      <c r="R871" s="30"/>
    </row>
    <row r="872" spans="18:18" ht="15.75" customHeight="1">
      <c r="R872" s="30"/>
    </row>
    <row r="873" spans="18:18" ht="15.75" customHeight="1">
      <c r="R873" s="30"/>
    </row>
    <row r="874" spans="18:18" ht="15.75" customHeight="1">
      <c r="R874" s="30"/>
    </row>
    <row r="875" spans="18:18" ht="15.75" customHeight="1">
      <c r="R875" s="30"/>
    </row>
    <row r="876" spans="18:18" ht="15.75" customHeight="1">
      <c r="R876" s="30"/>
    </row>
    <row r="877" spans="18:18" ht="15.75" customHeight="1">
      <c r="R877" s="30"/>
    </row>
    <row r="878" spans="18:18" ht="15.75" customHeight="1">
      <c r="R878" s="30"/>
    </row>
    <row r="879" spans="18:18" ht="15.75" customHeight="1">
      <c r="R879" s="30"/>
    </row>
    <row r="880" spans="18:18" ht="15.75" customHeight="1">
      <c r="R880" s="30"/>
    </row>
    <row r="881" spans="18:18" ht="15.75" customHeight="1">
      <c r="R881" s="30"/>
    </row>
    <row r="882" spans="18:18" ht="15.75" customHeight="1">
      <c r="R882" s="30"/>
    </row>
    <row r="883" spans="18:18" ht="15.75" customHeight="1">
      <c r="R883" s="30"/>
    </row>
    <row r="884" spans="18:18" ht="15.75" customHeight="1">
      <c r="R884" s="30"/>
    </row>
    <row r="885" spans="18:18" ht="15.75" customHeight="1">
      <c r="R885" s="30"/>
    </row>
    <row r="886" spans="18:18" ht="15.75" customHeight="1">
      <c r="R886" s="30"/>
    </row>
    <row r="887" spans="18:18" ht="15.75" customHeight="1">
      <c r="R887" s="30"/>
    </row>
    <row r="888" spans="18:18" ht="15.75" customHeight="1">
      <c r="R888" s="30"/>
    </row>
    <row r="889" spans="18:18" ht="15.75" customHeight="1">
      <c r="R889" s="30"/>
    </row>
    <row r="890" spans="18:18" ht="15.75" customHeight="1">
      <c r="R890" s="30"/>
    </row>
    <row r="891" spans="18:18" ht="15.75" customHeight="1">
      <c r="R891" s="30"/>
    </row>
    <row r="892" spans="18:18" ht="15.75" customHeight="1">
      <c r="R892" s="30"/>
    </row>
    <row r="893" spans="18:18" ht="15.75" customHeight="1">
      <c r="R893" s="30"/>
    </row>
    <row r="894" spans="18:18" ht="15.75" customHeight="1">
      <c r="R894" s="30"/>
    </row>
    <row r="895" spans="18:18" ht="15.75" customHeight="1">
      <c r="R895" s="30"/>
    </row>
    <row r="896" spans="18:18" ht="15.75" customHeight="1">
      <c r="R896" s="30"/>
    </row>
    <row r="897" spans="18:18" ht="15.75" customHeight="1">
      <c r="R897" s="30"/>
    </row>
    <row r="898" spans="18:18" ht="15.75" customHeight="1">
      <c r="R898" s="30"/>
    </row>
    <row r="899" spans="18:18" ht="15.75" customHeight="1">
      <c r="R899" s="30"/>
    </row>
    <row r="900" spans="18:18" ht="15.75" customHeight="1">
      <c r="R900" s="30"/>
    </row>
    <row r="901" spans="18:18" ht="15.75" customHeight="1">
      <c r="R901" s="30"/>
    </row>
    <row r="902" spans="18:18" ht="15.75" customHeight="1">
      <c r="R902" s="30"/>
    </row>
    <row r="903" spans="18:18" ht="15.75" customHeight="1">
      <c r="R903" s="30"/>
    </row>
    <row r="904" spans="18:18" ht="15.75" customHeight="1">
      <c r="R904" s="30"/>
    </row>
    <row r="905" spans="18:18" ht="15.75" customHeight="1">
      <c r="R905" s="30"/>
    </row>
    <row r="906" spans="18:18" ht="15.75" customHeight="1">
      <c r="R906" s="30"/>
    </row>
    <row r="907" spans="18:18" ht="15.75" customHeight="1">
      <c r="R907" s="30"/>
    </row>
    <row r="908" spans="18:18" ht="15.75" customHeight="1">
      <c r="R908" s="30"/>
    </row>
    <row r="909" spans="18:18" ht="15.75" customHeight="1">
      <c r="R909" s="30"/>
    </row>
    <row r="910" spans="18:18" ht="15.75" customHeight="1">
      <c r="R910" s="30"/>
    </row>
    <row r="911" spans="18:18" ht="15.75" customHeight="1">
      <c r="R911" s="30"/>
    </row>
    <row r="912" spans="18:18" ht="15.75" customHeight="1">
      <c r="R912" s="30"/>
    </row>
    <row r="913" spans="18:18" ht="15.75" customHeight="1">
      <c r="R913" s="30"/>
    </row>
    <row r="914" spans="18:18" ht="15.75" customHeight="1">
      <c r="R914" s="30"/>
    </row>
    <row r="915" spans="18:18" ht="15.75" customHeight="1">
      <c r="R915" s="30"/>
    </row>
    <row r="916" spans="18:18" ht="15.75" customHeight="1">
      <c r="R916" s="30"/>
    </row>
    <row r="917" spans="18:18" ht="15.75" customHeight="1">
      <c r="R917" s="30"/>
    </row>
    <row r="918" spans="18:18" ht="15.75" customHeight="1">
      <c r="R918" s="30"/>
    </row>
    <row r="919" spans="18:18" ht="15.75" customHeight="1">
      <c r="R919" s="30"/>
    </row>
    <row r="920" spans="18:18" ht="15.75" customHeight="1">
      <c r="R920" s="30"/>
    </row>
    <row r="921" spans="18:18" ht="15.75" customHeight="1">
      <c r="R921" s="30"/>
    </row>
    <row r="922" spans="18:18" ht="15.75" customHeight="1">
      <c r="R922" s="30"/>
    </row>
    <row r="923" spans="18:18" ht="15.75" customHeight="1">
      <c r="R923" s="30"/>
    </row>
    <row r="924" spans="18:18" ht="15.75" customHeight="1">
      <c r="R924" s="30"/>
    </row>
    <row r="925" spans="18:18" ht="15.75" customHeight="1">
      <c r="R925" s="30"/>
    </row>
    <row r="926" spans="18:18" ht="15.75" customHeight="1">
      <c r="R926" s="30"/>
    </row>
    <row r="927" spans="18:18" ht="15.75" customHeight="1">
      <c r="R927" s="30"/>
    </row>
    <row r="928" spans="18:18" ht="15.75" customHeight="1">
      <c r="R928" s="30"/>
    </row>
    <row r="929" spans="18:18" ht="15.75" customHeight="1">
      <c r="R929" s="30"/>
    </row>
    <row r="930" spans="18:18" ht="15.75" customHeight="1">
      <c r="R930" s="30"/>
    </row>
    <row r="931" spans="18:18" ht="15.75" customHeight="1">
      <c r="R931" s="30"/>
    </row>
    <row r="932" spans="18:18" ht="15.75" customHeight="1">
      <c r="R932" s="30"/>
    </row>
    <row r="933" spans="18:18" ht="15.75" customHeight="1">
      <c r="R933" s="30"/>
    </row>
    <row r="934" spans="18:18" ht="15.75" customHeight="1">
      <c r="R934" s="30"/>
    </row>
    <row r="935" spans="18:18" ht="15.75" customHeight="1">
      <c r="R935" s="30"/>
    </row>
    <row r="936" spans="18:18" ht="15.75" customHeight="1">
      <c r="R936" s="30"/>
    </row>
    <row r="937" spans="18:18" ht="15.75" customHeight="1">
      <c r="R937" s="30"/>
    </row>
    <row r="938" spans="18:18" ht="15.75" customHeight="1">
      <c r="R938" s="30"/>
    </row>
    <row r="939" spans="18:18" ht="15.75" customHeight="1">
      <c r="R939" s="30"/>
    </row>
    <row r="940" spans="18:18" ht="15.75" customHeight="1">
      <c r="R940" s="30"/>
    </row>
    <row r="941" spans="18:18" ht="15.75" customHeight="1">
      <c r="R941" s="30"/>
    </row>
    <row r="942" spans="18:18" ht="15.75" customHeight="1">
      <c r="R942" s="30"/>
    </row>
    <row r="943" spans="18:18" ht="15.75" customHeight="1">
      <c r="R943" s="30"/>
    </row>
    <row r="944" spans="18:18" ht="15.75" customHeight="1">
      <c r="R944" s="30"/>
    </row>
    <row r="945" spans="18:18" ht="15.75" customHeight="1">
      <c r="R945" s="30"/>
    </row>
    <row r="946" spans="18:18" ht="15.75" customHeight="1">
      <c r="R946" s="30"/>
    </row>
    <row r="947" spans="18:18" ht="15.75" customHeight="1">
      <c r="R947" s="30"/>
    </row>
    <row r="948" spans="18:18" ht="15.75" customHeight="1">
      <c r="R948" s="30"/>
    </row>
    <row r="949" spans="18:18" ht="15.75" customHeight="1">
      <c r="R949" s="30"/>
    </row>
    <row r="950" spans="18:18" ht="15.75" customHeight="1">
      <c r="R950" s="30"/>
    </row>
    <row r="951" spans="18:18" ht="15.75" customHeight="1">
      <c r="R951" s="30"/>
    </row>
    <row r="952" spans="18:18" ht="15.75" customHeight="1">
      <c r="R952" s="30"/>
    </row>
    <row r="953" spans="18:18" ht="15.75" customHeight="1">
      <c r="R953" s="30"/>
    </row>
    <row r="954" spans="18:18" ht="15.75" customHeight="1">
      <c r="R954" s="30"/>
    </row>
    <row r="955" spans="18:18" ht="15.75" customHeight="1">
      <c r="R955" s="30"/>
    </row>
    <row r="956" spans="18:18" ht="15.75" customHeight="1">
      <c r="R956" s="30"/>
    </row>
    <row r="957" spans="18:18" ht="15.75" customHeight="1">
      <c r="R957" s="30"/>
    </row>
    <row r="958" spans="18:18" ht="15.75" customHeight="1">
      <c r="R958" s="30"/>
    </row>
    <row r="959" spans="18:18" ht="15.75" customHeight="1">
      <c r="R959" s="30"/>
    </row>
    <row r="960" spans="18:18" ht="15.75" customHeight="1">
      <c r="R960" s="30"/>
    </row>
    <row r="961" spans="18:18" ht="15.75" customHeight="1">
      <c r="R961" s="30"/>
    </row>
    <row r="962" spans="18:18" ht="15.75" customHeight="1">
      <c r="R962" s="30"/>
    </row>
    <row r="963" spans="18:18" ht="15.75" customHeight="1">
      <c r="R963" s="30"/>
    </row>
    <row r="964" spans="18:18" ht="15.75" customHeight="1">
      <c r="R964" s="30"/>
    </row>
    <row r="965" spans="18:18" ht="15.75" customHeight="1">
      <c r="R965" s="30"/>
    </row>
    <row r="966" spans="18:18" ht="15.75" customHeight="1">
      <c r="R966" s="30"/>
    </row>
    <row r="967" spans="18:18" ht="15.75" customHeight="1">
      <c r="R967" s="30"/>
    </row>
    <row r="968" spans="18:18" ht="15.75" customHeight="1">
      <c r="R968" s="30"/>
    </row>
    <row r="969" spans="18:18" ht="15.75" customHeight="1">
      <c r="R969" s="30"/>
    </row>
    <row r="970" spans="18:18" ht="15.75" customHeight="1">
      <c r="R970" s="30"/>
    </row>
    <row r="971" spans="18:18" ht="15.75" customHeight="1">
      <c r="R971" s="30"/>
    </row>
    <row r="972" spans="18:18" ht="15.75" customHeight="1">
      <c r="R972" s="30"/>
    </row>
    <row r="973" spans="18:18" ht="15.75" customHeight="1">
      <c r="R973" s="30"/>
    </row>
    <row r="974" spans="18:18" ht="15.75" customHeight="1">
      <c r="R974" s="30"/>
    </row>
    <row r="975" spans="18:18" ht="15.75" customHeight="1">
      <c r="R975" s="30"/>
    </row>
    <row r="976" spans="18:18" ht="15.75" customHeight="1">
      <c r="R976" s="30"/>
    </row>
    <row r="977" spans="18:18" ht="15.75" customHeight="1">
      <c r="R977" s="30"/>
    </row>
    <row r="978" spans="18:18" ht="15.75" customHeight="1">
      <c r="R978" s="30"/>
    </row>
    <row r="979" spans="18:18" ht="15.75" customHeight="1">
      <c r="R979" s="30"/>
    </row>
    <row r="980" spans="18:18" ht="15.75" customHeight="1">
      <c r="R980" s="30"/>
    </row>
    <row r="981" spans="18:18" ht="15.75" customHeight="1">
      <c r="R981" s="30"/>
    </row>
    <row r="982" spans="18:18" ht="15.75" customHeight="1">
      <c r="R982" s="30"/>
    </row>
    <row r="983" spans="18:18" ht="15.75" customHeight="1">
      <c r="R983" s="30"/>
    </row>
    <row r="984" spans="18:18" ht="15.75" customHeight="1">
      <c r="R984" s="30"/>
    </row>
    <row r="985" spans="18:18" ht="15.75" customHeight="1">
      <c r="R985" s="30"/>
    </row>
    <row r="986" spans="18:18" ht="15.75" customHeight="1">
      <c r="R986" s="30"/>
    </row>
    <row r="987" spans="18:18" ht="15.75" customHeight="1">
      <c r="R987" s="30"/>
    </row>
    <row r="988" spans="18:18" ht="15.75" customHeight="1">
      <c r="R988" s="30"/>
    </row>
    <row r="989" spans="18:18" ht="15.75" customHeight="1">
      <c r="R989" s="30"/>
    </row>
    <row r="990" spans="18:18" ht="15.75" customHeight="1">
      <c r="R990" s="30"/>
    </row>
    <row r="991" spans="18:18" ht="15.75" customHeight="1">
      <c r="R991" s="30"/>
    </row>
    <row r="992" spans="18:18" ht="15.75" customHeight="1">
      <c r="R992" s="30"/>
    </row>
    <row r="993" spans="18:18" ht="15.75" customHeight="1">
      <c r="R993" s="30"/>
    </row>
    <row r="994" spans="18:18" ht="15.75" customHeight="1">
      <c r="R994" s="30"/>
    </row>
    <row r="995" spans="18:18" ht="15.75" customHeight="1">
      <c r="R995" s="30"/>
    </row>
    <row r="996" spans="18:18" ht="15.75" customHeight="1">
      <c r="R996" s="30"/>
    </row>
    <row r="997" spans="18:18" ht="15.75" customHeight="1">
      <c r="R997" s="30"/>
    </row>
    <row r="998" spans="18:18" ht="15.75" customHeight="1">
      <c r="R998" s="30"/>
    </row>
    <row r="999" spans="18:18" ht="15.75" customHeight="1">
      <c r="R999" s="30"/>
    </row>
    <row r="1000" spans="18:18" ht="15.75" customHeight="1">
      <c r="R1000" s="3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2.6640625" defaultRowHeight="15" customHeight="1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8.6640625" customWidth="1"/>
    <col min="6" max="6" width="10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17.1640625" customWidth="1"/>
    <col min="16" max="16" width="10" customWidth="1"/>
    <col min="17" max="18" width="7.33203125" customWidth="1"/>
    <col min="19" max="19" width="7.1640625" customWidth="1"/>
    <col min="20" max="20" width="11.1640625" customWidth="1"/>
    <col min="21" max="21" width="13.5" customWidth="1"/>
    <col min="22" max="22" width="83.8320312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6640625" customWidth="1"/>
    <col min="32" max="32" width="10.1640625" customWidth="1"/>
    <col min="33" max="33" width="8.83203125" customWidth="1"/>
  </cols>
  <sheetData>
    <row r="1" spans="1:33" ht="18.75" customHeight="1">
      <c r="A1" s="46" t="str">
        <f ca="1">IFERROR(__xludf.DUMMYFUNCTION("IFERROR(VLOOKUP(B2,IMPORTRANGE(""https://docs.google.com/spreadsheets/d/1x0DhHglkXKoEBOD2MBsuK_EyIr1ouxD2ftIpqOYFa-k/edit?usp=sharing"",""Ubiquitty-SKU-Specific Info!B1:BJ5000""),3,FALSE),"""")"),"Yellow Extension Cord - 12/3 Gauge, 3ft GFCI")</f>
        <v>Yellow Extension Cord - 12/3 Gauge, 3ft GFCI</v>
      </c>
      <c r="B1" s="47"/>
      <c r="C1" s="48" t="s">
        <v>0</v>
      </c>
      <c r="D1" s="50" t="s">
        <v>1</v>
      </c>
      <c r="E1" s="50" t="s">
        <v>2</v>
      </c>
      <c r="F1" s="52" t="s">
        <v>3</v>
      </c>
      <c r="G1" s="52" t="s">
        <v>4</v>
      </c>
      <c r="H1" s="53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58" t="s">
        <v>10</v>
      </c>
      <c r="N1" s="59" t="s">
        <v>11</v>
      </c>
      <c r="O1" s="50" t="s">
        <v>12</v>
      </c>
      <c r="P1" s="50" t="s">
        <v>13</v>
      </c>
      <c r="Q1" s="57" t="s">
        <v>14</v>
      </c>
      <c r="R1" s="57" t="s">
        <v>15</v>
      </c>
      <c r="S1" s="60" t="s">
        <v>16</v>
      </c>
      <c r="T1" s="62" t="s">
        <v>2006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Info!B1:BJ5000""),2,FALSE),"""")"),"B073ZMLZGW")</f>
        <v>B073ZMLZGW</v>
      </c>
      <c r="B2" s="3" t="s">
        <v>1578</v>
      </c>
      <c r="C2" s="49"/>
      <c r="D2" s="49"/>
      <c r="E2" s="51"/>
      <c r="F2" s="49"/>
      <c r="G2" s="49"/>
      <c r="H2" s="54"/>
      <c r="I2" s="49"/>
      <c r="J2" s="49"/>
      <c r="K2" s="54"/>
      <c r="L2" s="54"/>
      <c r="M2" s="54"/>
      <c r="N2" s="49"/>
      <c r="O2" s="49"/>
      <c r="P2" s="51"/>
      <c r="Q2" s="49"/>
      <c r="R2" s="49"/>
      <c r="S2" s="61"/>
      <c r="T2" s="47"/>
      <c r="U2" s="63"/>
      <c r="V2" s="63"/>
      <c r="W2" s="47"/>
      <c r="X2" s="47"/>
      <c r="Y2" s="47"/>
      <c r="Z2" s="47"/>
      <c r="AA2" s="63"/>
      <c r="AB2" s="63"/>
      <c r="AC2" s="63"/>
      <c r="AD2" s="63"/>
      <c r="AE2" s="47"/>
      <c r="AF2" s="47"/>
      <c r="AG2" s="47"/>
    </row>
    <row r="3" spans="1:33" ht="147" customHeight="1">
      <c r="A3" s="55" t="s">
        <v>31</v>
      </c>
      <c r="B3" s="56"/>
      <c r="C3" s="4">
        <f>((AE32+AF32)/0.85)*-1</f>
        <v>19.188930361323411</v>
      </c>
      <c r="D3" s="5">
        <f>SUM(D4:D99765)</f>
        <v>5539</v>
      </c>
      <c r="E3" s="5"/>
      <c r="F3" s="6">
        <f t="shared" ref="F3:G3" si="0">SUM(F4:F99765)</f>
        <v>141028.60999999993</v>
      </c>
      <c r="G3" s="6">
        <f t="shared" si="0"/>
        <v>-1895.2599999999995</v>
      </c>
      <c r="H3" s="7">
        <f t="shared" ref="H3:H32" si="1">G3/F3*-1</f>
        <v>1.34388334395411E-2</v>
      </c>
      <c r="I3" s="8">
        <f t="shared" ref="I3:I32" si="2">J3/F3</f>
        <v>0.21425602436410063</v>
      </c>
      <c r="J3" s="6">
        <f>SUM(J4:J99765)</f>
        <v>30216.229300195231</v>
      </c>
      <c r="K3" s="6">
        <f t="shared" ref="K3:K32" si="3">J3/D3</f>
        <v>5.4551777035918452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Sheet!a1:g5000""),2,FALSE),"""")"),"34.5 - March
34.5 - April
36 - May
30 - June
31.5 - July
37 - Aug
31.5 - Sept
38.5 - Oct
34.5 - Nov
36.5 - Dec
28.5 - Jan
34.5 - Feb")</f>
        <v>34.5 - March
34.5 - April
36 - May
30 - June
31.5 - July
37 - Aug
31.5 - Sept
38.5 - Oct
34.5 - Nov
36.5 - Dec
28.5 - Jan
34.5 -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QTY-244")</f>
        <v>Del QTY-244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QTY-0")</f>
        <v>US QTY-0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844</v>
      </c>
      <c r="X3" s="7">
        <f>W3/D3</f>
        <v>0.15237407474273335</v>
      </c>
      <c r="Y3" s="6"/>
      <c r="Z3" s="5"/>
      <c r="AA3" s="5"/>
      <c r="AB3" s="5"/>
      <c r="AC3" s="5"/>
      <c r="AD3" s="6">
        <f>SUM(AD4:AD99765)</f>
        <v>-452.88748798611107</v>
      </c>
      <c r="AE3" s="6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Info!B2:BZ3000""),37,FALSE)),"""")*-1"),-11.3605908071249)</f>
        <v>-11.3605908071249</v>
      </c>
      <c r="AG3" s="6">
        <f>SUM(AG4:AG99765)</f>
        <v>0</v>
      </c>
    </row>
    <row r="4" spans="1:33" ht="15.75" customHeight="1">
      <c r="A4" s="14" t="s">
        <v>181</v>
      </c>
      <c r="B4" s="14" t="s">
        <v>1579</v>
      </c>
      <c r="C4" s="15">
        <f t="shared" ref="C4:C32" si="4">IFERROR(F4/D4," - ")</f>
        <v>31.117187499999972</v>
      </c>
      <c r="D4" s="16">
        <v>96</v>
      </c>
      <c r="E4" s="16">
        <v>0</v>
      </c>
      <c r="F4" s="17">
        <v>2987.2499999999973</v>
      </c>
      <c r="G4" s="17">
        <v>-0.13</v>
      </c>
      <c r="H4" s="18">
        <f t="shared" si="1"/>
        <v>4.35182860490418E-5</v>
      </c>
      <c r="I4" s="18">
        <f t="shared" si="2"/>
        <v>0.35507483917761545</v>
      </c>
      <c r="J4" s="17">
        <f t="shared" ref="J4:J32" si="5">F4*0.85+G4+AF4*D4+D4*AE4+AG4+AD4</f>
        <v>1060.6973133333308</v>
      </c>
      <c r="K4" s="17">
        <f t="shared" si="3"/>
        <v>11.048930347222196</v>
      </c>
      <c r="L4" s="16">
        <v>275</v>
      </c>
      <c r="M4" s="19">
        <f t="shared" ref="M4:M32" si="6">IFERROR(D4/L4,"-")</f>
        <v>0.34909090909090912</v>
      </c>
      <c r="N4" s="16">
        <v>42</v>
      </c>
      <c r="O4" s="20">
        <f t="shared" ref="O4:P4" si="7">D4/7</f>
        <v>13.714285714285714</v>
      </c>
      <c r="P4" s="20">
        <f t="shared" si="7"/>
        <v>0</v>
      </c>
      <c r="Q4" s="16">
        <f t="shared" ref="Q4:Q32" si="8">ROUNDDOWN(N4/(O4+P4),0)</f>
        <v>3</v>
      </c>
      <c r="R4" s="16"/>
      <c r="S4" s="21">
        <v>1.9503401360544199</v>
      </c>
      <c r="T4" s="14" t="s">
        <v>34</v>
      </c>
      <c r="U4" s="22" t="s">
        <v>34</v>
      </c>
      <c r="V4" s="23" t="s">
        <v>34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26" t="s">
        <v>35</v>
      </c>
      <c r="AB4" s="27">
        <f t="shared" ref="AB4:AB32" si="11">IF(OR(AA4="UsLargeStandardSize",AA4="UsSmallStandardSize"),-0.69,-0.48)</f>
        <v>-0.69</v>
      </c>
      <c r="AC4" s="28">
        <v>5.9248842592592589E-2</v>
      </c>
      <c r="AD4" s="25">
        <f t="shared" ref="AD4:AD32" si="12">IFERROR(AB4*AC4*D4*2,0)</f>
        <v>-7.8492866666666661</v>
      </c>
      <c r="AE4" s="25">
        <v>-4.9000000000000004</v>
      </c>
      <c r="AF4" s="25">
        <v>-10.417561458333333</v>
      </c>
      <c r="AG4" s="25">
        <v>0</v>
      </c>
    </row>
    <row r="5" spans="1:33" ht="15.75" customHeight="1">
      <c r="A5" s="14" t="s">
        <v>183</v>
      </c>
      <c r="B5" s="14" t="s">
        <v>45</v>
      </c>
      <c r="C5" s="15">
        <f t="shared" si="4"/>
        <v>34.871785714285714</v>
      </c>
      <c r="D5" s="16">
        <v>28</v>
      </c>
      <c r="E5" s="16">
        <v>0</v>
      </c>
      <c r="F5" s="29">
        <v>976.41000000000008</v>
      </c>
      <c r="G5" s="29">
        <v>-7.0000000000000007E-2</v>
      </c>
      <c r="H5" s="18">
        <f t="shared" si="1"/>
        <v>7.1691195297057594E-5</v>
      </c>
      <c r="I5" s="18">
        <f t="shared" si="2"/>
        <v>0.40832990638040256</v>
      </c>
      <c r="J5" s="17">
        <f t="shared" si="5"/>
        <v>398.69740388888891</v>
      </c>
      <c r="K5" s="17">
        <f t="shared" si="3"/>
        <v>14.239192996031747</v>
      </c>
      <c r="L5" s="16">
        <v>275</v>
      </c>
      <c r="M5" s="19">
        <f t="shared" si="6"/>
        <v>0.10181818181818182</v>
      </c>
      <c r="N5" s="16">
        <v>4</v>
      </c>
      <c r="O5" s="20">
        <f t="shared" ref="O5:P5" si="13">D5/7</f>
        <v>4</v>
      </c>
      <c r="P5" s="20">
        <f t="shared" si="13"/>
        <v>0</v>
      </c>
      <c r="Q5" s="16">
        <f t="shared" si="8"/>
        <v>1</v>
      </c>
      <c r="R5" s="16"/>
      <c r="S5" s="21">
        <v>2.1675350701402798</v>
      </c>
      <c r="T5" s="14" t="s">
        <v>34</v>
      </c>
      <c r="U5" s="22" t="s">
        <v>34</v>
      </c>
      <c r="V5" s="23" t="s">
        <v>34</v>
      </c>
      <c r="W5" s="14">
        <v>0</v>
      </c>
      <c r="X5" s="24">
        <f t="shared" si="9"/>
        <v>0</v>
      </c>
      <c r="Y5" s="25">
        <f t="shared" si="10"/>
        <v>0</v>
      </c>
      <c r="Z5" s="14">
        <v>0</v>
      </c>
      <c r="AA5" s="26" t="s">
        <v>35</v>
      </c>
      <c r="AB5" s="27">
        <f t="shared" si="11"/>
        <v>-0.69</v>
      </c>
      <c r="AC5" s="28">
        <v>5.9248842592592589E-2</v>
      </c>
      <c r="AD5" s="25">
        <f t="shared" si="12"/>
        <v>-2.2893752777777774</v>
      </c>
      <c r="AE5" s="25">
        <v>-4.9000000000000004</v>
      </c>
      <c r="AF5" s="25">
        <v>-10.417561458333333</v>
      </c>
      <c r="AG5" s="25">
        <v>0</v>
      </c>
    </row>
    <row r="6" spans="1:33" ht="15.75" customHeight="1">
      <c r="A6" s="14" t="s">
        <v>185</v>
      </c>
      <c r="B6" s="14" t="s">
        <v>45</v>
      </c>
      <c r="C6" s="15">
        <f t="shared" si="4"/>
        <v>35.14</v>
      </c>
      <c r="D6" s="16">
        <v>3</v>
      </c>
      <c r="E6" s="16">
        <v>0</v>
      </c>
      <c r="F6" s="29">
        <v>105.42</v>
      </c>
      <c r="G6" s="29">
        <v>0</v>
      </c>
      <c r="H6" s="18">
        <f t="shared" si="1"/>
        <v>0</v>
      </c>
      <c r="I6" s="18">
        <f t="shared" si="2"/>
        <v>0.41177220087902355</v>
      </c>
      <c r="J6" s="17">
        <f t="shared" si="5"/>
        <v>43.409025416666665</v>
      </c>
      <c r="K6" s="17">
        <f t="shared" si="3"/>
        <v>14.469675138888888</v>
      </c>
      <c r="L6" s="16">
        <v>229</v>
      </c>
      <c r="M6" s="19">
        <f t="shared" si="6"/>
        <v>1.3100436681222707E-2</v>
      </c>
      <c r="N6" s="16">
        <v>4</v>
      </c>
      <c r="O6" s="20">
        <f t="shared" ref="O6:P6" si="14">D6/7</f>
        <v>0.42857142857142855</v>
      </c>
      <c r="P6" s="20">
        <f t="shared" si="14"/>
        <v>0</v>
      </c>
      <c r="Q6" s="16">
        <f t="shared" si="8"/>
        <v>9</v>
      </c>
      <c r="R6" s="16"/>
      <c r="S6" s="21">
        <v>2.3032575580032799</v>
      </c>
      <c r="T6" s="14">
        <v>2880</v>
      </c>
      <c r="U6" s="22" t="s">
        <v>34</v>
      </c>
      <c r="V6" s="23" t="s">
        <v>186</v>
      </c>
      <c r="W6" s="14">
        <v>0</v>
      </c>
      <c r="X6" s="24">
        <f t="shared" si="9"/>
        <v>0</v>
      </c>
      <c r="Y6" s="25">
        <f t="shared" si="10"/>
        <v>0</v>
      </c>
      <c r="Z6" s="14">
        <v>0</v>
      </c>
      <c r="AA6" s="14" t="s">
        <v>35</v>
      </c>
      <c r="AB6" s="27">
        <f t="shared" si="11"/>
        <v>-0.69</v>
      </c>
      <c r="AC6" s="28">
        <v>5.9248842592592589E-2</v>
      </c>
      <c r="AD6" s="25">
        <f t="shared" si="12"/>
        <v>-0.24529020833333331</v>
      </c>
      <c r="AE6" s="25">
        <v>-4.9000000000000004</v>
      </c>
      <c r="AF6" s="25">
        <v>-10.417561458333333</v>
      </c>
      <c r="AG6" s="25">
        <v>0</v>
      </c>
    </row>
    <row r="7" spans="1:33" ht="15.75" customHeight="1">
      <c r="A7" s="14" t="s">
        <v>187</v>
      </c>
      <c r="B7" s="14" t="s">
        <v>1580</v>
      </c>
      <c r="C7" s="15">
        <f t="shared" si="4"/>
        <v>36.682380952380946</v>
      </c>
      <c r="D7" s="16">
        <v>21</v>
      </c>
      <c r="E7" s="16">
        <v>0</v>
      </c>
      <c r="F7" s="29">
        <v>770.32999999999993</v>
      </c>
      <c r="G7" s="29">
        <v>-0.08</v>
      </c>
      <c r="H7" s="18">
        <f t="shared" si="1"/>
        <v>1.038515960692171E-4</v>
      </c>
      <c r="I7" s="18">
        <f t="shared" si="2"/>
        <v>0.43009447628505521</v>
      </c>
      <c r="J7" s="17">
        <f t="shared" si="5"/>
        <v>331.31467791666654</v>
      </c>
      <c r="K7" s="17">
        <f t="shared" si="3"/>
        <v>15.776889424603169</v>
      </c>
      <c r="L7" s="16">
        <v>233</v>
      </c>
      <c r="M7" s="19">
        <f t="shared" si="6"/>
        <v>9.012875536480687E-2</v>
      </c>
      <c r="N7" s="16">
        <v>985</v>
      </c>
      <c r="O7" s="20">
        <f t="shared" ref="O7:P7" si="15">D7/7</f>
        <v>3</v>
      </c>
      <c r="P7" s="20">
        <f t="shared" si="15"/>
        <v>0</v>
      </c>
      <c r="Q7" s="16">
        <f t="shared" si="8"/>
        <v>328</v>
      </c>
      <c r="R7" s="16"/>
      <c r="S7" s="21">
        <v>2.13647767185148</v>
      </c>
      <c r="T7" s="14">
        <v>2880</v>
      </c>
      <c r="U7" s="22">
        <v>400</v>
      </c>
      <c r="V7" s="23" t="s">
        <v>1581</v>
      </c>
      <c r="W7" s="14">
        <v>0</v>
      </c>
      <c r="X7" s="24">
        <f t="shared" si="9"/>
        <v>0</v>
      </c>
      <c r="Y7" s="25">
        <f t="shared" si="10"/>
        <v>0</v>
      </c>
      <c r="Z7" s="14">
        <v>0</v>
      </c>
      <c r="AA7" s="14" t="s">
        <v>35</v>
      </c>
      <c r="AB7" s="27">
        <f t="shared" si="11"/>
        <v>-0.69</v>
      </c>
      <c r="AC7" s="28">
        <v>5.9248842592592589E-2</v>
      </c>
      <c r="AD7" s="25">
        <f t="shared" si="12"/>
        <v>-1.7170314583333333</v>
      </c>
      <c r="AE7" s="25">
        <v>-4.9000000000000004</v>
      </c>
      <c r="AF7" s="25">
        <v>-10.417561458333333</v>
      </c>
      <c r="AG7" s="25">
        <v>0</v>
      </c>
    </row>
    <row r="8" spans="1:33" ht="15.75" customHeight="1">
      <c r="A8" s="14" t="s">
        <v>189</v>
      </c>
      <c r="B8" s="14" t="s">
        <v>1582</v>
      </c>
      <c r="C8" s="15">
        <f t="shared" si="4"/>
        <v>32.704756097560953</v>
      </c>
      <c r="D8" s="16">
        <v>82</v>
      </c>
      <c r="E8" s="16">
        <v>0</v>
      </c>
      <c r="F8" s="29">
        <v>2681.7899999999981</v>
      </c>
      <c r="G8" s="29">
        <v>-0.04</v>
      </c>
      <c r="H8" s="18">
        <f t="shared" si="1"/>
        <v>1.4915410975505177E-5</v>
      </c>
      <c r="I8" s="18">
        <f t="shared" si="2"/>
        <v>0.37905164124417701</v>
      </c>
      <c r="J8" s="17">
        <f t="shared" si="5"/>
        <v>1016.5369009722207</v>
      </c>
      <c r="K8" s="17">
        <f t="shared" si="3"/>
        <v>12.396791475270984</v>
      </c>
      <c r="L8" s="16">
        <v>234</v>
      </c>
      <c r="M8" s="19">
        <f t="shared" si="6"/>
        <v>0.3504273504273504</v>
      </c>
      <c r="N8" s="16">
        <v>915</v>
      </c>
      <c r="O8" s="20">
        <f t="shared" ref="O8:P8" si="16">D8/7</f>
        <v>11.714285714285714</v>
      </c>
      <c r="P8" s="20">
        <f t="shared" si="16"/>
        <v>0</v>
      </c>
      <c r="Q8" s="16">
        <f t="shared" si="8"/>
        <v>78</v>
      </c>
      <c r="R8" s="16"/>
      <c r="S8" s="21">
        <v>2.0299872935196901</v>
      </c>
      <c r="T8" s="14">
        <v>2880</v>
      </c>
      <c r="U8" s="22">
        <v>400</v>
      </c>
      <c r="V8" s="23" t="s">
        <v>1583</v>
      </c>
      <c r="W8" s="14">
        <v>0</v>
      </c>
      <c r="X8" s="24">
        <f t="shared" si="9"/>
        <v>0</v>
      </c>
      <c r="Y8" s="25">
        <f t="shared" si="10"/>
        <v>0.04</v>
      </c>
      <c r="Z8" s="14">
        <v>1</v>
      </c>
      <c r="AA8" s="14" t="s">
        <v>35</v>
      </c>
      <c r="AB8" s="27">
        <f t="shared" si="11"/>
        <v>-0.69</v>
      </c>
      <c r="AC8" s="28">
        <v>5.9248842592592589E-2</v>
      </c>
      <c r="AD8" s="25">
        <f t="shared" si="12"/>
        <v>-6.7045990277777774</v>
      </c>
      <c r="AE8" s="25">
        <v>-4.9000000000000004</v>
      </c>
      <c r="AF8" s="25">
        <v>-10.42</v>
      </c>
      <c r="AG8" s="25">
        <v>0</v>
      </c>
    </row>
    <row r="9" spans="1:33" ht="15.75" customHeight="1">
      <c r="A9" s="14" t="s">
        <v>191</v>
      </c>
      <c r="B9" s="14" t="s">
        <v>1091</v>
      </c>
      <c r="C9" s="15">
        <f t="shared" si="4"/>
        <v>27.867590361445782</v>
      </c>
      <c r="D9" s="16">
        <v>166</v>
      </c>
      <c r="E9" s="16">
        <v>0</v>
      </c>
      <c r="F9" s="29">
        <v>4626.0199999999995</v>
      </c>
      <c r="G9" s="29">
        <v>-62.76</v>
      </c>
      <c r="H9" s="18">
        <f t="shared" si="1"/>
        <v>1.35667377140609E-2</v>
      </c>
      <c r="I9" s="18">
        <f t="shared" si="2"/>
        <v>0.28179102845907117</v>
      </c>
      <c r="J9" s="17">
        <f t="shared" si="5"/>
        <v>1303.5709334722324</v>
      </c>
      <c r="K9" s="17">
        <f t="shared" si="3"/>
        <v>7.8528369486279059</v>
      </c>
      <c r="L9" s="16">
        <v>373</v>
      </c>
      <c r="M9" s="19">
        <f t="shared" si="6"/>
        <v>0.44504021447721182</v>
      </c>
      <c r="N9" s="16">
        <v>710</v>
      </c>
      <c r="O9" s="20">
        <f t="shared" ref="O9:P9" si="17">D9/7</f>
        <v>23.714285714285715</v>
      </c>
      <c r="P9" s="20">
        <f t="shared" si="17"/>
        <v>0</v>
      </c>
      <c r="Q9" s="16">
        <f t="shared" si="8"/>
        <v>29</v>
      </c>
      <c r="R9" s="16"/>
      <c r="S9" s="21">
        <v>2.4075000000000002</v>
      </c>
      <c r="T9" s="14">
        <v>2880</v>
      </c>
      <c r="U9" s="22">
        <v>400</v>
      </c>
      <c r="V9" s="23" t="s">
        <v>1584</v>
      </c>
      <c r="W9" s="14">
        <v>36</v>
      </c>
      <c r="X9" s="24">
        <f t="shared" si="9"/>
        <v>0.21686746987951808</v>
      </c>
      <c r="Y9" s="25">
        <f t="shared" si="10"/>
        <v>1.6092307692307692</v>
      </c>
      <c r="Z9" s="14">
        <v>3</v>
      </c>
      <c r="AA9" s="14" t="s">
        <v>35</v>
      </c>
      <c r="AB9" s="27">
        <f t="shared" si="11"/>
        <v>-0.69</v>
      </c>
      <c r="AC9" s="28">
        <v>5.9248842592592589E-2</v>
      </c>
      <c r="AD9" s="25">
        <f t="shared" si="12"/>
        <v>-13.57272486111111</v>
      </c>
      <c r="AE9" s="25">
        <v>-4.9000000000000004</v>
      </c>
      <c r="AF9" s="25">
        <v>-10.4747791666666</v>
      </c>
      <c r="AG9" s="25">
        <v>0</v>
      </c>
    </row>
    <row r="10" spans="1:33" ht="15.75" customHeight="1">
      <c r="A10" s="14" t="s">
        <v>192</v>
      </c>
      <c r="B10" s="14" t="s">
        <v>68</v>
      </c>
      <c r="C10" s="15">
        <f t="shared" si="4"/>
        <v>25.942781690140819</v>
      </c>
      <c r="D10" s="16">
        <v>284</v>
      </c>
      <c r="E10" s="16">
        <v>0</v>
      </c>
      <c r="F10" s="29">
        <v>7367.7499999999927</v>
      </c>
      <c r="G10" s="29">
        <v>-91.869999999999976</v>
      </c>
      <c r="H10" s="18">
        <f t="shared" si="1"/>
        <v>1.2469207017067635E-2</v>
      </c>
      <c r="I10" s="18">
        <f t="shared" si="2"/>
        <v>0.24173722103461592</v>
      </c>
      <c r="J10" s="17">
        <f t="shared" si="5"/>
        <v>1781.0594102777898</v>
      </c>
      <c r="K10" s="17">
        <f t="shared" si="3"/>
        <v>6.2713359516823584</v>
      </c>
      <c r="L10" s="16">
        <v>499</v>
      </c>
      <c r="M10" s="19">
        <f t="shared" si="6"/>
        <v>0.56913827655310623</v>
      </c>
      <c r="N10" s="16">
        <v>491</v>
      </c>
      <c r="O10" s="20">
        <f t="shared" ref="O10:P10" si="18">D10/7</f>
        <v>40.571428571428569</v>
      </c>
      <c r="P10" s="20">
        <f t="shared" si="18"/>
        <v>0</v>
      </c>
      <c r="Q10" s="16">
        <f t="shared" si="8"/>
        <v>12</v>
      </c>
      <c r="R10" s="16"/>
      <c r="S10" s="21">
        <v>3.1631262525050099</v>
      </c>
      <c r="T10" s="14">
        <v>2880</v>
      </c>
      <c r="U10" s="22">
        <v>400</v>
      </c>
      <c r="V10" s="23" t="s">
        <v>1585</v>
      </c>
      <c r="W10" s="14">
        <v>34</v>
      </c>
      <c r="X10" s="24">
        <f t="shared" si="9"/>
        <v>0.11971830985915492</v>
      </c>
      <c r="Y10" s="25">
        <f t="shared" si="10"/>
        <v>1.8013725490196073</v>
      </c>
      <c r="Z10" s="14">
        <v>17</v>
      </c>
      <c r="AA10" s="14" t="s">
        <v>35</v>
      </c>
      <c r="AB10" s="27">
        <f t="shared" si="11"/>
        <v>-0.69</v>
      </c>
      <c r="AC10" s="28">
        <v>5.9248842592592589E-2</v>
      </c>
      <c r="AD10" s="25">
        <f t="shared" si="12"/>
        <v>-23.220806388888889</v>
      </c>
      <c r="AE10" s="25">
        <v>-4.9000000000000004</v>
      </c>
      <c r="AF10" s="25">
        <v>-10.4747791666666</v>
      </c>
      <c r="AG10" s="25">
        <v>0</v>
      </c>
    </row>
    <row r="11" spans="1:33" ht="15.75" customHeight="1">
      <c r="A11" s="14" t="s">
        <v>193</v>
      </c>
      <c r="B11" s="14" t="s">
        <v>68</v>
      </c>
      <c r="C11" s="15">
        <f t="shared" si="4"/>
        <v>24.46639004149381</v>
      </c>
      <c r="D11" s="16">
        <v>241</v>
      </c>
      <c r="E11" s="16">
        <v>0</v>
      </c>
      <c r="F11" s="29">
        <v>5896.4000000000078</v>
      </c>
      <c r="G11" s="29">
        <v>-123.91000000000004</v>
      </c>
      <c r="H11" s="18">
        <f t="shared" si="1"/>
        <v>2.1014517332609707E-2</v>
      </c>
      <c r="I11" s="18">
        <f t="shared" si="2"/>
        <v>0.19723954290141618</v>
      </c>
      <c r="J11" s="17">
        <f t="shared" si="5"/>
        <v>1163.0032407639119</v>
      </c>
      <c r="K11" s="17">
        <f t="shared" si="3"/>
        <v>4.8257395882319996</v>
      </c>
      <c r="L11" s="16">
        <v>375</v>
      </c>
      <c r="M11" s="19">
        <f t="shared" si="6"/>
        <v>0.64266666666666672</v>
      </c>
      <c r="N11" s="16">
        <v>1102</v>
      </c>
      <c r="O11" s="20">
        <f t="shared" ref="O11:P11" si="19">D11/7</f>
        <v>34.428571428571431</v>
      </c>
      <c r="P11" s="20">
        <f t="shared" si="19"/>
        <v>0</v>
      </c>
      <c r="Q11" s="16">
        <f t="shared" si="8"/>
        <v>32</v>
      </c>
      <c r="R11" s="16"/>
      <c r="S11" s="21">
        <v>2.5990115321251999</v>
      </c>
      <c r="T11" s="14">
        <v>3880</v>
      </c>
      <c r="U11" s="22">
        <v>400</v>
      </c>
      <c r="V11" s="23" t="s">
        <v>1586</v>
      </c>
      <c r="W11" s="14">
        <v>58</v>
      </c>
      <c r="X11" s="24">
        <f t="shared" si="9"/>
        <v>0.24066390041493776</v>
      </c>
      <c r="Y11" s="25">
        <f t="shared" si="10"/>
        <v>1.4577647058823533</v>
      </c>
      <c r="Z11" s="14">
        <v>27</v>
      </c>
      <c r="AA11" s="14" t="s">
        <v>35</v>
      </c>
      <c r="AB11" s="27">
        <f t="shared" si="11"/>
        <v>-0.69</v>
      </c>
      <c r="AC11" s="28">
        <v>5.9248842592592589E-2</v>
      </c>
      <c r="AD11" s="25">
        <f t="shared" si="12"/>
        <v>-19.704980069444442</v>
      </c>
      <c r="AE11" s="25">
        <v>-4.9000000000000004</v>
      </c>
      <c r="AF11" s="25">
        <v>-10.4747791666666</v>
      </c>
      <c r="AG11" s="25">
        <v>0</v>
      </c>
    </row>
    <row r="12" spans="1:33" ht="15.75" customHeight="1">
      <c r="A12" s="14" t="s">
        <v>195</v>
      </c>
      <c r="B12" s="14" t="s">
        <v>260</v>
      </c>
      <c r="C12" s="15">
        <f t="shared" si="4"/>
        <v>24.758350877192949</v>
      </c>
      <c r="D12" s="16">
        <v>285</v>
      </c>
      <c r="E12" s="16">
        <v>5</v>
      </c>
      <c r="F12" s="29">
        <v>7056.129999999991</v>
      </c>
      <c r="G12" s="29">
        <v>-107.22999999999999</v>
      </c>
      <c r="H12" s="18">
        <f t="shared" si="1"/>
        <v>1.5196715480015267E-2</v>
      </c>
      <c r="I12" s="18">
        <f t="shared" si="2"/>
        <v>0.21050715728144842</v>
      </c>
      <c r="J12" s="17">
        <f t="shared" si="5"/>
        <v>1485.3658677083447</v>
      </c>
      <c r="K12" s="17">
        <f t="shared" si="3"/>
        <v>5.2118100621345427</v>
      </c>
      <c r="L12" s="16">
        <v>389</v>
      </c>
      <c r="M12" s="19">
        <f t="shared" si="6"/>
        <v>0.73264781491002573</v>
      </c>
      <c r="N12" s="16">
        <v>855</v>
      </c>
      <c r="O12" s="20">
        <f t="shared" ref="O12:P12" si="20">D12/7</f>
        <v>40.714285714285715</v>
      </c>
      <c r="P12" s="20">
        <f t="shared" si="20"/>
        <v>0.7142857142857143</v>
      </c>
      <c r="Q12" s="16">
        <f t="shared" si="8"/>
        <v>20</v>
      </c>
      <c r="R12" s="16"/>
      <c r="S12" s="21">
        <v>2.7508261731658901</v>
      </c>
      <c r="T12" s="14">
        <v>3480</v>
      </c>
      <c r="U12" s="22">
        <v>1600</v>
      </c>
      <c r="V12" s="23" t="s">
        <v>1587</v>
      </c>
      <c r="W12" s="14">
        <v>59</v>
      </c>
      <c r="X12" s="24">
        <f t="shared" si="9"/>
        <v>0.20701754385964913</v>
      </c>
      <c r="Y12" s="25">
        <f t="shared" si="10"/>
        <v>1.6496923076923076</v>
      </c>
      <c r="Z12" s="14">
        <v>6</v>
      </c>
      <c r="AA12" s="14" t="s">
        <v>35</v>
      </c>
      <c r="AB12" s="27">
        <f t="shared" si="11"/>
        <v>-0.69</v>
      </c>
      <c r="AC12" s="28">
        <v>5.9248842592592589E-2</v>
      </c>
      <c r="AD12" s="25">
        <f t="shared" si="12"/>
        <v>-23.302569791666667</v>
      </c>
      <c r="AE12" s="25">
        <v>-4.9000000000000004</v>
      </c>
      <c r="AF12" s="25">
        <v>-10.4747791666666</v>
      </c>
      <c r="AG12" s="25">
        <v>0</v>
      </c>
    </row>
    <row r="13" spans="1:33" ht="15.75" customHeight="1">
      <c r="A13" s="14" t="s">
        <v>197</v>
      </c>
      <c r="B13" s="14" t="s">
        <v>68</v>
      </c>
      <c r="C13" s="15">
        <f t="shared" si="4"/>
        <v>25.569469696969676</v>
      </c>
      <c r="D13" s="16">
        <v>264</v>
      </c>
      <c r="E13" s="16">
        <v>2</v>
      </c>
      <c r="F13" s="17">
        <v>6750.3399999999947</v>
      </c>
      <c r="G13" s="29">
        <v>-71.289999999999978</v>
      </c>
      <c r="H13" s="18">
        <f t="shared" si="1"/>
        <v>1.0560949522542573E-2</v>
      </c>
      <c r="I13" s="18">
        <f t="shared" si="2"/>
        <v>0.23376918965069754</v>
      </c>
      <c r="J13" s="17">
        <f t="shared" si="5"/>
        <v>1578.0215116666884</v>
      </c>
      <c r="K13" s="17">
        <f t="shared" si="3"/>
        <v>5.9773542108586684</v>
      </c>
      <c r="L13" s="16">
        <v>266</v>
      </c>
      <c r="M13" s="19">
        <f t="shared" si="6"/>
        <v>0.99248120300751874</v>
      </c>
      <c r="N13" s="16">
        <v>899</v>
      </c>
      <c r="O13" s="20">
        <f t="shared" ref="O13:P13" si="21">D13/7</f>
        <v>37.714285714285715</v>
      </c>
      <c r="P13" s="20">
        <f t="shared" si="21"/>
        <v>0.2857142857142857</v>
      </c>
      <c r="Q13" s="16">
        <f t="shared" si="8"/>
        <v>23</v>
      </c>
      <c r="R13" s="16"/>
      <c r="S13" s="21">
        <v>2.6107255520504702</v>
      </c>
      <c r="T13" s="14">
        <v>3480</v>
      </c>
      <c r="U13" s="22">
        <v>1600</v>
      </c>
      <c r="V13" s="23" t="s">
        <v>1588</v>
      </c>
      <c r="W13" s="14">
        <v>50</v>
      </c>
      <c r="X13" s="24">
        <f t="shared" si="9"/>
        <v>0.18939393939393939</v>
      </c>
      <c r="Y13" s="25">
        <f t="shared" si="10"/>
        <v>1.3709615384615381</v>
      </c>
      <c r="Z13" s="14">
        <v>2</v>
      </c>
      <c r="AA13" s="14" t="s">
        <v>35</v>
      </c>
      <c r="AB13" s="27">
        <f t="shared" si="11"/>
        <v>-0.69</v>
      </c>
      <c r="AC13" s="28">
        <v>5.9248842592592589E-2</v>
      </c>
      <c r="AD13" s="25">
        <f t="shared" si="12"/>
        <v>-21.585538333333332</v>
      </c>
      <c r="AE13" s="25">
        <v>-4.9000000000000004</v>
      </c>
      <c r="AF13" s="25">
        <v>-10.5048937499999</v>
      </c>
      <c r="AG13" s="25">
        <v>0</v>
      </c>
    </row>
    <row r="14" spans="1:33" ht="15.75" customHeight="1">
      <c r="A14" s="14" t="s">
        <v>32</v>
      </c>
      <c r="B14" s="14" t="s">
        <v>260</v>
      </c>
      <c r="C14" s="15">
        <f t="shared" si="4"/>
        <v>25.847553648068597</v>
      </c>
      <c r="D14" s="16">
        <v>233</v>
      </c>
      <c r="E14" s="16">
        <v>7</v>
      </c>
      <c r="F14" s="17">
        <v>6022.4799999999832</v>
      </c>
      <c r="G14" s="29">
        <v>-85.389999999999986</v>
      </c>
      <c r="H14" s="18">
        <f t="shared" si="1"/>
        <v>1.4178544387029965E-2</v>
      </c>
      <c r="I14" s="18">
        <f t="shared" si="2"/>
        <v>0.23666776533965916</v>
      </c>
      <c r="J14" s="17">
        <f t="shared" si="5"/>
        <v>1425.3268834027865</v>
      </c>
      <c r="K14" s="17">
        <f t="shared" si="3"/>
        <v>6.1172827613853498</v>
      </c>
      <c r="L14" s="16">
        <v>388</v>
      </c>
      <c r="M14" s="19">
        <f t="shared" si="6"/>
        <v>0.60051546391752575</v>
      </c>
      <c r="N14" s="16">
        <v>673</v>
      </c>
      <c r="O14" s="20">
        <f t="shared" ref="O14:P14" si="22">D14/7</f>
        <v>33.285714285714285</v>
      </c>
      <c r="P14" s="20">
        <f t="shared" si="22"/>
        <v>1</v>
      </c>
      <c r="Q14" s="16">
        <f t="shared" si="8"/>
        <v>19</v>
      </c>
      <c r="R14" s="16"/>
      <c r="S14" s="21">
        <v>4.3752711496746199</v>
      </c>
      <c r="T14" s="14">
        <v>3480</v>
      </c>
      <c r="U14" s="22">
        <v>1600</v>
      </c>
      <c r="V14" s="23" t="s">
        <v>1588</v>
      </c>
      <c r="W14" s="14">
        <v>35</v>
      </c>
      <c r="X14" s="24">
        <f t="shared" si="9"/>
        <v>0.15021459227467812</v>
      </c>
      <c r="Y14" s="25">
        <f t="shared" si="10"/>
        <v>2.0826829268292681</v>
      </c>
      <c r="Z14" s="14">
        <v>6</v>
      </c>
      <c r="AA14" s="14" t="s">
        <v>35</v>
      </c>
      <c r="AB14" s="27">
        <f t="shared" si="11"/>
        <v>-0.69</v>
      </c>
      <c r="AC14" s="28">
        <v>5.9248842592592589E-2</v>
      </c>
      <c r="AD14" s="25">
        <f t="shared" si="12"/>
        <v>-19.05087284722222</v>
      </c>
      <c r="AE14" s="25">
        <v>-4.9000000000000004</v>
      </c>
      <c r="AF14" s="25">
        <v>-10.5048937499999</v>
      </c>
      <c r="AG14" s="25">
        <v>0</v>
      </c>
    </row>
    <row r="15" spans="1:33" ht="15.75" customHeight="1">
      <c r="A15" s="14" t="s">
        <v>36</v>
      </c>
      <c r="B15" s="14" t="s">
        <v>66</v>
      </c>
      <c r="C15" s="15">
        <f t="shared" si="4"/>
        <v>25.159648562300312</v>
      </c>
      <c r="D15" s="16">
        <v>313</v>
      </c>
      <c r="E15" s="16">
        <v>1</v>
      </c>
      <c r="F15" s="17">
        <v>7874.9699999999975</v>
      </c>
      <c r="G15" s="29">
        <v>-125.75999999999999</v>
      </c>
      <c r="H15" s="18">
        <f t="shared" si="1"/>
        <v>1.596958464603675E-2</v>
      </c>
      <c r="I15" s="18">
        <f t="shared" si="2"/>
        <v>0.21690505629615778</v>
      </c>
      <c r="J15" s="17">
        <f t="shared" si="5"/>
        <v>1708.1208111805531</v>
      </c>
      <c r="K15" s="17">
        <f t="shared" si="3"/>
        <v>5.4572549877972945</v>
      </c>
      <c r="L15" s="16">
        <v>419</v>
      </c>
      <c r="M15" s="19">
        <f t="shared" si="6"/>
        <v>0.74701670644391405</v>
      </c>
      <c r="N15" s="16">
        <v>351</v>
      </c>
      <c r="O15" s="20">
        <f t="shared" ref="O15:P15" si="23">D15/7</f>
        <v>44.714285714285715</v>
      </c>
      <c r="P15" s="20">
        <f t="shared" si="23"/>
        <v>0.14285714285714285</v>
      </c>
      <c r="Q15" s="16">
        <f t="shared" si="8"/>
        <v>7</v>
      </c>
      <c r="R15" s="16"/>
      <c r="S15" s="21">
        <v>7.9511737089201802</v>
      </c>
      <c r="T15" s="14">
        <v>3480</v>
      </c>
      <c r="U15" s="22">
        <v>1600</v>
      </c>
      <c r="V15" s="23" t="s">
        <v>1588</v>
      </c>
      <c r="W15" s="14">
        <v>83</v>
      </c>
      <c r="X15" s="24">
        <f t="shared" si="9"/>
        <v>0.26517571884984026</v>
      </c>
      <c r="Y15" s="25">
        <f t="shared" si="10"/>
        <v>1.3099999999999998</v>
      </c>
      <c r="Z15" s="14">
        <v>13</v>
      </c>
      <c r="AA15" s="14" t="s">
        <v>35</v>
      </c>
      <c r="AB15" s="27">
        <f t="shared" si="11"/>
        <v>-0.69</v>
      </c>
      <c r="AC15" s="28">
        <v>5.9248842592592589E-2</v>
      </c>
      <c r="AD15" s="25">
        <f t="shared" si="12"/>
        <v>-25.591945069444442</v>
      </c>
      <c r="AE15" s="25">
        <v>-4.9000000000000004</v>
      </c>
      <c r="AF15" s="25">
        <v>-10.54489375</v>
      </c>
      <c r="AG15" s="25">
        <v>0</v>
      </c>
    </row>
    <row r="16" spans="1:33" ht="15.75" customHeight="1">
      <c r="A16" s="14" t="s">
        <v>38</v>
      </c>
      <c r="B16" s="14" t="s">
        <v>1589</v>
      </c>
      <c r="C16" s="15">
        <f t="shared" si="4"/>
        <v>27.015060975609764</v>
      </c>
      <c r="D16" s="16">
        <v>164</v>
      </c>
      <c r="E16" s="16">
        <v>2</v>
      </c>
      <c r="F16" s="17">
        <v>4430.4700000000012</v>
      </c>
      <c r="G16" s="29">
        <v>-8.3500000000000014</v>
      </c>
      <c r="H16" s="18">
        <f t="shared" si="1"/>
        <v>1.8846758921739679E-3</v>
      </c>
      <c r="I16" s="18">
        <f t="shared" si="2"/>
        <v>0.27337454648027071</v>
      </c>
      <c r="J16" s="17">
        <f t="shared" si="5"/>
        <v>1211.1777269444453</v>
      </c>
      <c r="K16" s="17">
        <f t="shared" si="3"/>
        <v>7.3852300423441788</v>
      </c>
      <c r="L16" s="16">
        <v>357</v>
      </c>
      <c r="M16" s="19">
        <f t="shared" si="6"/>
        <v>0.45938375350140054</v>
      </c>
      <c r="N16" s="16">
        <v>640</v>
      </c>
      <c r="O16" s="20">
        <f t="shared" ref="O16:P16" si="24">D16/7</f>
        <v>23.428571428571427</v>
      </c>
      <c r="P16" s="20">
        <f t="shared" si="24"/>
        <v>0.2857142857142857</v>
      </c>
      <c r="Q16" s="16">
        <f t="shared" si="8"/>
        <v>26</v>
      </c>
      <c r="R16" s="16"/>
      <c r="S16" s="21">
        <v>3.13018597997138</v>
      </c>
      <c r="T16" s="14">
        <v>3480</v>
      </c>
      <c r="U16" s="22">
        <v>1600</v>
      </c>
      <c r="V16" s="23" t="s">
        <v>1588</v>
      </c>
      <c r="W16" s="14">
        <v>4</v>
      </c>
      <c r="X16" s="24">
        <f t="shared" si="9"/>
        <v>2.4390243902439025E-2</v>
      </c>
      <c r="Y16" s="25">
        <f t="shared" si="10"/>
        <v>2.0875000000000004</v>
      </c>
      <c r="Z16" s="14">
        <v>0</v>
      </c>
      <c r="AA16" s="14" t="s">
        <v>35</v>
      </c>
      <c r="AB16" s="27">
        <f t="shared" si="11"/>
        <v>-0.69</v>
      </c>
      <c r="AC16" s="28">
        <v>5.9248842592592589E-2</v>
      </c>
      <c r="AD16" s="25">
        <f t="shared" si="12"/>
        <v>-13.409198055555555</v>
      </c>
      <c r="AE16" s="25">
        <v>-4.9000000000000004</v>
      </c>
      <c r="AF16" s="25">
        <v>-10.54489375</v>
      </c>
      <c r="AG16" s="25">
        <v>0</v>
      </c>
    </row>
    <row r="17" spans="1:33" ht="15.75" customHeight="1">
      <c r="A17" s="14" t="s">
        <v>40</v>
      </c>
      <c r="B17" s="14" t="s">
        <v>68</v>
      </c>
      <c r="C17" s="15">
        <f t="shared" si="4"/>
        <v>23.644725738396627</v>
      </c>
      <c r="D17" s="16">
        <v>237</v>
      </c>
      <c r="E17" s="16">
        <v>0</v>
      </c>
      <c r="F17" s="17">
        <v>5603.8</v>
      </c>
      <c r="G17" s="29">
        <v>-27.43</v>
      </c>
      <c r="H17" s="18">
        <f t="shared" si="1"/>
        <v>4.8948927513473E-3</v>
      </c>
      <c r="I17" s="18">
        <f t="shared" si="2"/>
        <v>0.1884403895199091</v>
      </c>
      <c r="J17" s="17">
        <f t="shared" si="5"/>
        <v>1055.9822547916667</v>
      </c>
      <c r="K17" s="17">
        <f t="shared" si="3"/>
        <v>4.4556213282348809</v>
      </c>
      <c r="L17" s="16">
        <v>294</v>
      </c>
      <c r="M17" s="19">
        <f t="shared" si="6"/>
        <v>0.80612244897959184</v>
      </c>
      <c r="N17" s="16">
        <v>1425</v>
      </c>
      <c r="O17" s="20">
        <f t="shared" ref="O17:P17" si="25">D17/7</f>
        <v>33.857142857142854</v>
      </c>
      <c r="P17" s="20">
        <f t="shared" si="25"/>
        <v>0</v>
      </c>
      <c r="Q17" s="16">
        <f t="shared" si="8"/>
        <v>42</v>
      </c>
      <c r="R17" s="16"/>
      <c r="S17" s="21">
        <v>2.7728365384615299</v>
      </c>
      <c r="T17" s="14">
        <v>3480</v>
      </c>
      <c r="U17" s="22">
        <v>1600</v>
      </c>
      <c r="V17" s="23" t="s">
        <v>1590</v>
      </c>
      <c r="W17" s="14">
        <v>15</v>
      </c>
      <c r="X17" s="24">
        <f t="shared" si="9"/>
        <v>6.3291139240506333E-2</v>
      </c>
      <c r="Y17" s="25">
        <f t="shared" si="10"/>
        <v>1.714375</v>
      </c>
      <c r="Z17" s="14">
        <v>1</v>
      </c>
      <c r="AA17" s="14" t="s">
        <v>35</v>
      </c>
      <c r="AB17" s="27">
        <f t="shared" si="11"/>
        <v>-0.69</v>
      </c>
      <c r="AC17" s="28">
        <v>5.9248842592592589E-2</v>
      </c>
      <c r="AD17" s="25">
        <f t="shared" si="12"/>
        <v>-19.377926458333331</v>
      </c>
      <c r="AE17" s="25">
        <v>-4.9000000000000004</v>
      </c>
      <c r="AF17" s="25">
        <v>-10.54489375</v>
      </c>
      <c r="AG17" s="25">
        <v>0</v>
      </c>
    </row>
    <row r="18" spans="1:33" ht="15.75" customHeight="1">
      <c r="A18" s="14" t="s">
        <v>42</v>
      </c>
      <c r="B18" s="14" t="s">
        <v>1591</v>
      </c>
      <c r="C18" s="15">
        <f t="shared" si="4"/>
        <v>22.741174603174571</v>
      </c>
      <c r="D18" s="16">
        <v>315</v>
      </c>
      <c r="E18" s="16">
        <v>0</v>
      </c>
      <c r="F18" s="17">
        <v>7163.4699999999893</v>
      </c>
      <c r="G18" s="29">
        <v>-70.70999999999998</v>
      </c>
      <c r="H18" s="18">
        <f t="shared" si="1"/>
        <v>9.8709145148929336E-3</v>
      </c>
      <c r="I18" s="18">
        <f t="shared" si="2"/>
        <v>0.15737380024973824</v>
      </c>
      <c r="J18" s="17">
        <f t="shared" si="5"/>
        <v>1127.3424968749907</v>
      </c>
      <c r="K18" s="17">
        <f t="shared" si="3"/>
        <v>3.5788650694444151</v>
      </c>
      <c r="L18" s="16">
        <v>361</v>
      </c>
      <c r="M18" s="19">
        <f t="shared" si="6"/>
        <v>0.87257617728531855</v>
      </c>
      <c r="N18" s="16">
        <v>1120</v>
      </c>
      <c r="O18" s="20">
        <f t="shared" ref="O18:P18" si="26">D18/7</f>
        <v>45</v>
      </c>
      <c r="P18" s="20">
        <f t="shared" si="26"/>
        <v>0</v>
      </c>
      <c r="Q18" s="16">
        <f t="shared" si="8"/>
        <v>24</v>
      </c>
      <c r="R18" s="16"/>
      <c r="S18" s="21">
        <v>3.6819172113289702</v>
      </c>
      <c r="T18" s="14">
        <v>2880</v>
      </c>
      <c r="U18" s="22">
        <v>0</v>
      </c>
      <c r="V18" s="23" t="s">
        <v>1592</v>
      </c>
      <c r="W18" s="14">
        <v>46</v>
      </c>
      <c r="X18" s="24">
        <f t="shared" si="9"/>
        <v>0.14603174603174604</v>
      </c>
      <c r="Y18" s="25">
        <f t="shared" si="10"/>
        <v>1.4430612244897956</v>
      </c>
      <c r="Z18" s="14">
        <v>3</v>
      </c>
      <c r="AA18" s="14" t="s">
        <v>35</v>
      </c>
      <c r="AB18" s="27">
        <f t="shared" si="11"/>
        <v>-0.69</v>
      </c>
      <c r="AC18" s="28">
        <v>5.9248842592592589E-2</v>
      </c>
      <c r="AD18" s="25">
        <f t="shared" si="12"/>
        <v>-25.755471874999998</v>
      </c>
      <c r="AE18" s="25">
        <v>-4.9000000000000004</v>
      </c>
      <c r="AF18" s="25">
        <v>-10.54489375</v>
      </c>
      <c r="AG18" s="25">
        <v>0</v>
      </c>
    </row>
    <row r="19" spans="1:33" ht="15.75" customHeight="1">
      <c r="A19" s="14" t="s">
        <v>44</v>
      </c>
      <c r="B19" s="14" t="s">
        <v>1593</v>
      </c>
      <c r="C19" s="15">
        <f t="shared" si="4"/>
        <v>23.588416666666696</v>
      </c>
      <c r="D19" s="16">
        <v>240</v>
      </c>
      <c r="E19" s="16">
        <v>0</v>
      </c>
      <c r="F19" s="17">
        <v>5661.2200000000066</v>
      </c>
      <c r="G19" s="29">
        <v>-49.550000000000004</v>
      </c>
      <c r="H19" s="18">
        <f t="shared" si="1"/>
        <v>8.752530373311751E-3</v>
      </c>
      <c r="I19" s="18">
        <f t="shared" si="2"/>
        <v>0.16116124851769364</v>
      </c>
      <c r="J19" s="17">
        <f t="shared" si="5"/>
        <v>912.36928333333867</v>
      </c>
      <c r="K19" s="17">
        <f t="shared" si="3"/>
        <v>3.801538680555578</v>
      </c>
      <c r="L19" s="16">
        <v>335</v>
      </c>
      <c r="M19" s="19">
        <f t="shared" si="6"/>
        <v>0.71641791044776115</v>
      </c>
      <c r="N19" s="16">
        <v>820</v>
      </c>
      <c r="O19" s="20">
        <f t="shared" ref="O19:P19" si="27">D19/7</f>
        <v>34.285714285714285</v>
      </c>
      <c r="P19" s="20">
        <f t="shared" si="27"/>
        <v>0</v>
      </c>
      <c r="Q19" s="16">
        <f t="shared" si="8"/>
        <v>23</v>
      </c>
      <c r="R19" s="16"/>
      <c r="S19" s="21">
        <v>5.3639024390243897</v>
      </c>
      <c r="T19" s="14">
        <v>2880</v>
      </c>
      <c r="U19" s="22">
        <v>880</v>
      </c>
      <c r="V19" s="23" t="s">
        <v>1592</v>
      </c>
      <c r="W19" s="14">
        <v>60</v>
      </c>
      <c r="X19" s="24">
        <f t="shared" si="9"/>
        <v>0.25</v>
      </c>
      <c r="Y19" s="25">
        <f t="shared" si="10"/>
        <v>0.82583333333333342</v>
      </c>
      <c r="Z19" s="14">
        <v>0</v>
      </c>
      <c r="AA19" s="14" t="s">
        <v>35</v>
      </c>
      <c r="AB19" s="27">
        <f t="shared" si="11"/>
        <v>-0.69</v>
      </c>
      <c r="AC19" s="28">
        <v>5.9248842592592589E-2</v>
      </c>
      <c r="AD19" s="25">
        <f t="shared" si="12"/>
        <v>-19.623216666666664</v>
      </c>
      <c r="AE19" s="25">
        <v>-4.9000000000000004</v>
      </c>
      <c r="AF19" s="25">
        <v>-11.060393750000001</v>
      </c>
      <c r="AG19" s="25">
        <v>0</v>
      </c>
    </row>
    <row r="20" spans="1:33" ht="15.75" customHeight="1">
      <c r="A20" s="14" t="s">
        <v>46</v>
      </c>
      <c r="B20" s="14" t="s">
        <v>1277</v>
      </c>
      <c r="C20" s="15">
        <f t="shared" si="4"/>
        <v>27.680795454545464</v>
      </c>
      <c r="D20" s="16">
        <v>176</v>
      </c>
      <c r="E20" s="16">
        <v>0</v>
      </c>
      <c r="F20" s="17">
        <v>4871.8200000000015</v>
      </c>
      <c r="G20" s="29">
        <v>-0.02</v>
      </c>
      <c r="H20" s="18">
        <f t="shared" si="1"/>
        <v>4.1052419834887156E-6</v>
      </c>
      <c r="I20" s="18">
        <f t="shared" si="2"/>
        <v>0.27045484872411357</v>
      </c>
      <c r="J20" s="17">
        <f t="shared" si="5"/>
        <v>1317.6073411111115</v>
      </c>
      <c r="K20" s="17">
        <f t="shared" si="3"/>
        <v>7.4864053472222247</v>
      </c>
      <c r="L20" s="16">
        <v>332</v>
      </c>
      <c r="M20" s="19">
        <f t="shared" si="6"/>
        <v>0.53012048192771088</v>
      </c>
      <c r="N20" s="16">
        <v>641</v>
      </c>
      <c r="O20" s="20">
        <f t="shared" ref="O20:P20" si="28">D20/7</f>
        <v>25.142857142857142</v>
      </c>
      <c r="P20" s="20">
        <f t="shared" si="28"/>
        <v>0</v>
      </c>
      <c r="Q20" s="16">
        <f t="shared" si="8"/>
        <v>25</v>
      </c>
      <c r="R20" s="16"/>
      <c r="S20" s="21">
        <v>3.2745314222712198</v>
      </c>
      <c r="T20" s="14">
        <v>1880</v>
      </c>
      <c r="U20" s="22">
        <v>880</v>
      </c>
      <c r="V20" s="23" t="s">
        <v>1592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14" t="s">
        <v>35</v>
      </c>
      <c r="AB20" s="27">
        <f t="shared" si="11"/>
        <v>-0.69</v>
      </c>
      <c r="AC20" s="28">
        <v>5.9248842592592589E-2</v>
      </c>
      <c r="AD20" s="25">
        <f t="shared" si="12"/>
        <v>-14.390358888888887</v>
      </c>
      <c r="AE20" s="25">
        <v>-4.9000000000000004</v>
      </c>
      <c r="AF20" s="25">
        <v>-11.060393750000001</v>
      </c>
      <c r="AG20" s="25">
        <v>0</v>
      </c>
    </row>
    <row r="21" spans="1:33" ht="15.75" customHeight="1">
      <c r="A21" s="14" t="s">
        <v>47</v>
      </c>
      <c r="B21" s="14" t="s">
        <v>1594</v>
      </c>
      <c r="C21" s="15">
        <f t="shared" si="4"/>
        <v>29.912660550458703</v>
      </c>
      <c r="D21" s="16">
        <v>109</v>
      </c>
      <c r="E21" s="16">
        <v>0</v>
      </c>
      <c r="F21" s="17">
        <v>3260.4799999999987</v>
      </c>
      <c r="G21" s="29">
        <v>0</v>
      </c>
      <c r="H21" s="18">
        <f t="shared" si="1"/>
        <v>0</v>
      </c>
      <c r="I21" s="18">
        <f t="shared" si="2"/>
        <v>0.31370009027726636</v>
      </c>
      <c r="J21" s="17">
        <f t="shared" si="5"/>
        <v>1022.812870347221</v>
      </c>
      <c r="K21" s="17">
        <f t="shared" si="3"/>
        <v>9.3836043151121196</v>
      </c>
      <c r="L21" s="16">
        <v>147</v>
      </c>
      <c r="M21" s="19">
        <f t="shared" si="6"/>
        <v>0.74149659863945583</v>
      </c>
      <c r="N21" s="16">
        <v>1867</v>
      </c>
      <c r="O21" s="20">
        <f t="shared" ref="O21:P21" si="29">D21/7</f>
        <v>15.571428571428571</v>
      </c>
      <c r="P21" s="20">
        <f t="shared" si="29"/>
        <v>0</v>
      </c>
      <c r="Q21" s="16">
        <f t="shared" si="8"/>
        <v>119</v>
      </c>
      <c r="R21" s="16"/>
      <c r="S21" s="21">
        <v>2.1609607456533402</v>
      </c>
      <c r="T21" s="14">
        <v>2880</v>
      </c>
      <c r="U21" s="22">
        <v>880</v>
      </c>
      <c r="V21" s="23" t="s">
        <v>1595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14" t="s">
        <v>35</v>
      </c>
      <c r="AB21" s="27">
        <f t="shared" si="11"/>
        <v>-0.69</v>
      </c>
      <c r="AC21" s="28">
        <v>5.9248842592592589E-2</v>
      </c>
      <c r="AD21" s="25">
        <f t="shared" si="12"/>
        <v>-8.9122109027777778</v>
      </c>
      <c r="AE21" s="25">
        <v>-4.9000000000000004</v>
      </c>
      <c r="AF21" s="25">
        <v>-11.060393750000001</v>
      </c>
      <c r="AG21" s="25">
        <v>0</v>
      </c>
    </row>
    <row r="22" spans="1:33" ht="15.75" customHeight="1">
      <c r="A22" s="14" t="s">
        <v>48</v>
      </c>
      <c r="B22" s="14" t="s">
        <v>911</v>
      </c>
      <c r="C22" s="15">
        <f t="shared" si="4"/>
        <v>28.18681415929202</v>
      </c>
      <c r="D22" s="16">
        <v>113</v>
      </c>
      <c r="E22" s="16">
        <v>5</v>
      </c>
      <c r="F22" s="29">
        <v>3185.1099999999983</v>
      </c>
      <c r="G22" s="29">
        <v>0</v>
      </c>
      <c r="H22" s="18">
        <f t="shared" si="1"/>
        <v>0</v>
      </c>
      <c r="I22" s="18">
        <f t="shared" si="2"/>
        <v>0.28086306021961882</v>
      </c>
      <c r="J22" s="17">
        <f t="shared" si="5"/>
        <v>894.57974173610955</v>
      </c>
      <c r="K22" s="17">
        <f t="shared" si="3"/>
        <v>7.9166348826204382</v>
      </c>
      <c r="L22" s="16">
        <v>211</v>
      </c>
      <c r="M22" s="19">
        <f t="shared" si="6"/>
        <v>0.53554502369668244</v>
      </c>
      <c r="N22" s="16">
        <v>1764</v>
      </c>
      <c r="O22" s="20">
        <f t="shared" ref="O22:P22" si="30">D22/7</f>
        <v>16.142857142857142</v>
      </c>
      <c r="P22" s="20">
        <f t="shared" si="30"/>
        <v>0.7142857142857143</v>
      </c>
      <c r="Q22" s="16">
        <f t="shared" si="8"/>
        <v>104</v>
      </c>
      <c r="R22" s="16"/>
      <c r="S22" s="21">
        <v>2.5508982035928098</v>
      </c>
      <c r="T22" s="14">
        <v>5880</v>
      </c>
      <c r="U22" s="22">
        <v>880</v>
      </c>
      <c r="V22" s="23" t="s">
        <v>1595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35</v>
      </c>
      <c r="AB22" s="27">
        <f t="shared" si="11"/>
        <v>-0.69</v>
      </c>
      <c r="AC22" s="28">
        <v>5.9248842592592589E-2</v>
      </c>
      <c r="AD22" s="25">
        <f t="shared" si="12"/>
        <v>-9.2392645138888874</v>
      </c>
      <c r="AE22" s="25">
        <v>-4.9000000000000004</v>
      </c>
      <c r="AF22" s="25">
        <v>-11.060393750000001</v>
      </c>
      <c r="AG22" s="25">
        <v>0</v>
      </c>
    </row>
    <row r="23" spans="1:33" ht="15.75" customHeight="1">
      <c r="A23" s="14" t="s">
        <v>49</v>
      </c>
      <c r="B23" s="14" t="s">
        <v>64</v>
      </c>
      <c r="C23" s="15">
        <f t="shared" si="4"/>
        <v>24.469835164835111</v>
      </c>
      <c r="D23" s="16">
        <v>182</v>
      </c>
      <c r="E23" s="16">
        <v>0</v>
      </c>
      <c r="F23" s="17">
        <v>4453.5099999999902</v>
      </c>
      <c r="G23" s="29">
        <v>0</v>
      </c>
      <c r="H23" s="18">
        <f t="shared" si="1"/>
        <v>0</v>
      </c>
      <c r="I23" s="18">
        <f t="shared" si="2"/>
        <v>0.19441090245546494</v>
      </c>
      <c r="J23" s="17">
        <f t="shared" si="5"/>
        <v>865.81089819443571</v>
      </c>
      <c r="K23" s="17">
        <f t="shared" si="3"/>
        <v>4.7572027373320642</v>
      </c>
      <c r="L23" s="16">
        <v>285</v>
      </c>
      <c r="M23" s="19">
        <f t="shared" si="6"/>
        <v>0.63859649122807016</v>
      </c>
      <c r="N23" s="16">
        <v>1441</v>
      </c>
      <c r="O23" s="20">
        <f t="shared" ref="O23:P23" si="31">D23/7</f>
        <v>26</v>
      </c>
      <c r="P23" s="20">
        <f t="shared" si="31"/>
        <v>0</v>
      </c>
      <c r="Q23" s="16">
        <f t="shared" si="8"/>
        <v>55</v>
      </c>
      <c r="R23" s="16"/>
      <c r="S23" s="21">
        <v>3.0793308148947598</v>
      </c>
      <c r="T23" s="14">
        <v>4880</v>
      </c>
      <c r="U23" s="22">
        <v>880</v>
      </c>
      <c r="V23" s="23" t="s">
        <v>1596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35</v>
      </c>
      <c r="AB23" s="27">
        <f t="shared" si="11"/>
        <v>-0.69</v>
      </c>
      <c r="AC23" s="28">
        <v>5.9248842592592589E-2</v>
      </c>
      <c r="AD23" s="25">
        <f t="shared" si="12"/>
        <v>-14.880939305555554</v>
      </c>
      <c r="AE23" s="25">
        <v>-4.9000000000000004</v>
      </c>
      <c r="AF23" s="25">
        <v>-11.060393750000001</v>
      </c>
      <c r="AG23" s="25">
        <v>0</v>
      </c>
    </row>
    <row r="24" spans="1:33" ht="15.75" customHeight="1">
      <c r="A24" s="14" t="s">
        <v>50</v>
      </c>
      <c r="B24" s="14" t="s">
        <v>1597</v>
      </c>
      <c r="C24" s="15">
        <f t="shared" si="4"/>
        <v>23.949999999999953</v>
      </c>
      <c r="D24" s="16">
        <v>175</v>
      </c>
      <c r="E24" s="16">
        <v>5</v>
      </c>
      <c r="F24" s="17">
        <v>4191.2499999999918</v>
      </c>
      <c r="G24" s="17">
        <v>-67.27</v>
      </c>
      <c r="H24" s="18">
        <f t="shared" si="1"/>
        <v>1.6050104384133641E-2</v>
      </c>
      <c r="I24" s="18">
        <f t="shared" si="2"/>
        <v>0.16413122535374472</v>
      </c>
      <c r="J24" s="17">
        <f t="shared" si="5"/>
        <v>687.91499826388122</v>
      </c>
      <c r="K24" s="17">
        <f t="shared" si="3"/>
        <v>3.9309428472221786</v>
      </c>
      <c r="L24" s="16">
        <v>314</v>
      </c>
      <c r="M24" s="19">
        <f t="shared" si="6"/>
        <v>0.5573248407643312</v>
      </c>
      <c r="N24" s="16">
        <v>1375</v>
      </c>
      <c r="O24" s="20">
        <f t="shared" ref="O24:P24" si="32">D24/7</f>
        <v>25</v>
      </c>
      <c r="P24" s="20">
        <f t="shared" si="32"/>
        <v>0.7142857142857143</v>
      </c>
      <c r="Q24" s="16">
        <f t="shared" si="8"/>
        <v>53</v>
      </c>
      <c r="R24" s="16"/>
      <c r="S24" s="21">
        <v>2.9498028909329799</v>
      </c>
      <c r="T24" s="14">
        <v>4880</v>
      </c>
      <c r="U24" s="22">
        <v>880</v>
      </c>
      <c r="V24" s="23" t="s">
        <v>1596</v>
      </c>
      <c r="W24" s="14">
        <v>24</v>
      </c>
      <c r="X24" s="24">
        <f t="shared" si="9"/>
        <v>0.13714285714285715</v>
      </c>
      <c r="Y24" s="25">
        <f t="shared" si="10"/>
        <v>2.4914814814814812</v>
      </c>
      <c r="Z24" s="14">
        <v>3</v>
      </c>
      <c r="AA24" s="14" t="s">
        <v>35</v>
      </c>
      <c r="AB24" s="27">
        <f t="shared" si="11"/>
        <v>-0.69</v>
      </c>
      <c r="AC24" s="28">
        <v>5.9248842592592589E-2</v>
      </c>
      <c r="AD24" s="25">
        <f t="shared" si="12"/>
        <v>-14.308595486111111</v>
      </c>
      <c r="AE24" s="25">
        <v>-4.9000000000000004</v>
      </c>
      <c r="AF24" s="25">
        <v>-11.060393750000001</v>
      </c>
      <c r="AG24" s="25">
        <v>0</v>
      </c>
    </row>
    <row r="25" spans="1:33" ht="15.75" customHeight="1">
      <c r="A25" s="14" t="s">
        <v>51</v>
      </c>
      <c r="B25" s="14" t="s">
        <v>1598</v>
      </c>
      <c r="C25" s="15">
        <f t="shared" si="4"/>
        <v>23.969831649831651</v>
      </c>
      <c r="D25" s="16">
        <v>297</v>
      </c>
      <c r="E25" s="16">
        <v>5</v>
      </c>
      <c r="F25" s="17">
        <v>7119.04</v>
      </c>
      <c r="G25" s="17">
        <v>-266.6099999999999</v>
      </c>
      <c r="H25" s="18">
        <f t="shared" si="1"/>
        <v>3.7450274194273374E-2</v>
      </c>
      <c r="I25" s="18">
        <f t="shared" si="2"/>
        <v>0.14330166277686321</v>
      </c>
      <c r="J25" s="17">
        <f t="shared" si="5"/>
        <v>1020.1702693750002</v>
      </c>
      <c r="K25" s="17">
        <f t="shared" si="3"/>
        <v>3.4349167319023577</v>
      </c>
      <c r="L25" s="16">
        <v>445</v>
      </c>
      <c r="M25" s="19">
        <f t="shared" si="6"/>
        <v>0.66741573033707868</v>
      </c>
      <c r="N25" s="16">
        <v>1053</v>
      </c>
      <c r="O25" s="20">
        <f t="shared" ref="O25:P25" si="33">D25/7</f>
        <v>42.428571428571431</v>
      </c>
      <c r="P25" s="20">
        <f t="shared" si="33"/>
        <v>0.7142857142857143</v>
      </c>
      <c r="Q25" s="16">
        <f t="shared" si="8"/>
        <v>24</v>
      </c>
      <c r="R25" s="16"/>
      <c r="S25" s="21">
        <v>2.3901063137339991</v>
      </c>
      <c r="T25" s="14">
        <v>4880</v>
      </c>
      <c r="U25" s="22">
        <v>880</v>
      </c>
      <c r="V25" s="23" t="s">
        <v>1596</v>
      </c>
      <c r="W25" s="30">
        <v>91</v>
      </c>
      <c r="X25" s="24">
        <f t="shared" si="9"/>
        <v>0.30639730639730639</v>
      </c>
      <c r="Y25" s="25">
        <f t="shared" si="10"/>
        <v>2.6138235294117638</v>
      </c>
      <c r="Z25" s="30">
        <v>11</v>
      </c>
      <c r="AA25" s="14" t="s">
        <v>35</v>
      </c>
      <c r="AB25" s="27">
        <f t="shared" si="11"/>
        <v>-0.69</v>
      </c>
      <c r="AC25" s="28">
        <v>5.9248842592592589E-2</v>
      </c>
      <c r="AD25" s="25">
        <f t="shared" si="12"/>
        <v>-24.283730624999997</v>
      </c>
      <c r="AE25" s="25">
        <v>-4.9000000000000004</v>
      </c>
      <c r="AF25" s="25">
        <v>-11.06</v>
      </c>
      <c r="AG25" s="25">
        <v>0</v>
      </c>
    </row>
    <row r="26" spans="1:33" ht="15.75" customHeight="1">
      <c r="A26" s="14" t="s">
        <v>52</v>
      </c>
      <c r="B26" s="14" t="s">
        <v>1599</v>
      </c>
      <c r="C26" s="15">
        <f t="shared" si="4"/>
        <v>24.512844827586203</v>
      </c>
      <c r="D26" s="16">
        <v>232</v>
      </c>
      <c r="E26" s="16">
        <v>0</v>
      </c>
      <c r="F26" s="17">
        <v>5686.98</v>
      </c>
      <c r="G26" s="17">
        <v>-161.69999999999999</v>
      </c>
      <c r="H26" s="18">
        <f t="shared" si="1"/>
        <v>2.843336885306437E-2</v>
      </c>
      <c r="I26" s="18">
        <f t="shared" si="2"/>
        <v>0.16508806792982481</v>
      </c>
      <c r="J26" s="17">
        <f t="shared" si="5"/>
        <v>938.85254055555492</v>
      </c>
      <c r="K26" s="17">
        <f t="shared" si="3"/>
        <v>4.046778192049806</v>
      </c>
      <c r="L26" s="16">
        <v>395</v>
      </c>
      <c r="M26" s="19">
        <f t="shared" si="6"/>
        <v>0.58734177215189876</v>
      </c>
      <c r="N26" s="16">
        <v>917</v>
      </c>
      <c r="O26" s="20">
        <f t="shared" ref="O26:P26" si="34">D26/7</f>
        <v>33.142857142857146</v>
      </c>
      <c r="P26" s="20">
        <f t="shared" si="34"/>
        <v>0</v>
      </c>
      <c r="Q26" s="16">
        <f t="shared" si="8"/>
        <v>27</v>
      </c>
      <c r="R26" s="16"/>
      <c r="S26" s="21">
        <v>2.086890243902439</v>
      </c>
      <c r="T26" s="14">
        <v>4880</v>
      </c>
      <c r="U26" s="22">
        <v>880</v>
      </c>
      <c r="V26" s="23" t="s">
        <v>1600</v>
      </c>
      <c r="W26" s="30">
        <v>41</v>
      </c>
      <c r="X26" s="24">
        <f t="shared" si="9"/>
        <v>0.17672413793103448</v>
      </c>
      <c r="Y26" s="25">
        <f t="shared" si="10"/>
        <v>3.1096153846153842</v>
      </c>
      <c r="Z26" s="30">
        <v>11</v>
      </c>
      <c r="AA26" s="14" t="s">
        <v>35</v>
      </c>
      <c r="AB26" s="27">
        <f t="shared" si="11"/>
        <v>-0.69</v>
      </c>
      <c r="AC26" s="28">
        <v>5.9248842592592589E-2</v>
      </c>
      <c r="AD26" s="25">
        <f t="shared" si="12"/>
        <v>-18.969109444444442</v>
      </c>
      <c r="AE26" s="25">
        <v>-4.95</v>
      </c>
      <c r="AF26" s="25">
        <v>-11.060393749999999</v>
      </c>
      <c r="AG26" s="25">
        <v>0</v>
      </c>
    </row>
    <row r="27" spans="1:33" ht="15.75" customHeight="1">
      <c r="A27" s="14" t="s">
        <v>53</v>
      </c>
      <c r="B27" s="14" t="s">
        <v>68</v>
      </c>
      <c r="C27" s="15">
        <f t="shared" si="4"/>
        <v>25.409458128078818</v>
      </c>
      <c r="D27" s="16">
        <v>203</v>
      </c>
      <c r="E27" s="16">
        <v>0</v>
      </c>
      <c r="F27" s="17">
        <v>5158.12</v>
      </c>
      <c r="G27" s="17">
        <v>-112.61</v>
      </c>
      <c r="H27" s="18">
        <f t="shared" si="1"/>
        <v>2.1831597558800493E-2</v>
      </c>
      <c r="I27" s="18">
        <f t="shared" si="2"/>
        <v>0.1848881814350212</v>
      </c>
      <c r="J27" s="17">
        <f t="shared" si="5"/>
        <v>953.6754264236115</v>
      </c>
      <c r="K27" s="17">
        <f t="shared" si="3"/>
        <v>4.6979085045498099</v>
      </c>
      <c r="L27" s="16">
        <v>334</v>
      </c>
      <c r="M27" s="19">
        <f t="shared" si="6"/>
        <v>0.60778443113772451</v>
      </c>
      <c r="N27" s="16">
        <v>696</v>
      </c>
      <c r="O27" s="20">
        <f t="shared" ref="O27:P27" si="35">D27/7</f>
        <v>29</v>
      </c>
      <c r="P27" s="20">
        <f t="shared" si="35"/>
        <v>0</v>
      </c>
      <c r="Q27" s="16">
        <f t="shared" si="8"/>
        <v>24</v>
      </c>
      <c r="R27" s="16"/>
      <c r="S27" s="21">
        <v>2.813480833547723</v>
      </c>
      <c r="T27" s="14">
        <v>4880</v>
      </c>
      <c r="U27" s="22">
        <v>880</v>
      </c>
      <c r="V27" s="23" t="s">
        <v>1601</v>
      </c>
      <c r="W27" s="30">
        <v>31</v>
      </c>
      <c r="X27" s="24">
        <f t="shared" si="9"/>
        <v>0.15270935960591134</v>
      </c>
      <c r="Y27" s="25">
        <f t="shared" si="10"/>
        <v>3.3120588235294117</v>
      </c>
      <c r="Z27" s="30">
        <v>3</v>
      </c>
      <c r="AA27" s="14" t="s">
        <v>35</v>
      </c>
      <c r="AB27" s="27">
        <f t="shared" si="11"/>
        <v>-0.69</v>
      </c>
      <c r="AC27" s="28">
        <v>5.9248842592592589E-2</v>
      </c>
      <c r="AD27" s="25">
        <f t="shared" si="12"/>
        <v>-16.597970763888888</v>
      </c>
      <c r="AE27" s="25">
        <v>-4.95</v>
      </c>
      <c r="AF27" s="25">
        <v>-11.3136384375</v>
      </c>
      <c r="AG27" s="25">
        <v>0</v>
      </c>
    </row>
    <row r="28" spans="1:33" ht="15.75" customHeight="1">
      <c r="A28" s="14" t="s">
        <v>54</v>
      </c>
      <c r="B28" s="14" t="s">
        <v>1602</v>
      </c>
      <c r="C28" s="15">
        <f t="shared" si="4"/>
        <v>25.102142857142859</v>
      </c>
      <c r="D28" s="16">
        <v>224</v>
      </c>
      <c r="E28" s="16">
        <v>3</v>
      </c>
      <c r="F28" s="17">
        <v>5622.88</v>
      </c>
      <c r="G28" s="17">
        <v>-86.799999999999983</v>
      </c>
      <c r="H28" s="18">
        <f t="shared" si="1"/>
        <v>1.5436929118174313E-2</v>
      </c>
      <c r="I28" s="18">
        <f t="shared" si="2"/>
        <v>0.18340743316197006</v>
      </c>
      <c r="J28" s="17">
        <f t="shared" si="5"/>
        <v>1031.2779877777782</v>
      </c>
      <c r="K28" s="17">
        <f t="shared" si="3"/>
        <v>4.6039195882936523</v>
      </c>
      <c r="L28" s="16">
        <v>341</v>
      </c>
      <c r="M28" s="19">
        <f t="shared" si="6"/>
        <v>0.65689149560117299</v>
      </c>
      <c r="N28" s="16">
        <v>452</v>
      </c>
      <c r="O28" s="20">
        <f t="shared" ref="O28:P28" si="36">D28/7</f>
        <v>32</v>
      </c>
      <c r="P28" s="20">
        <f t="shared" si="36"/>
        <v>0.42857142857142855</v>
      </c>
      <c r="Q28" s="16">
        <f t="shared" si="8"/>
        <v>13</v>
      </c>
      <c r="R28" s="16"/>
      <c r="S28" s="21">
        <v>3.3513513513513509</v>
      </c>
      <c r="T28" s="14">
        <v>4000</v>
      </c>
      <c r="U28" s="22">
        <v>44384</v>
      </c>
      <c r="V28" s="23" t="s">
        <v>1603</v>
      </c>
      <c r="W28" s="30">
        <v>37</v>
      </c>
      <c r="X28" s="24">
        <f t="shared" si="9"/>
        <v>0.16517857142857142</v>
      </c>
      <c r="Y28" s="25">
        <f t="shared" si="10"/>
        <v>2.284210526315789</v>
      </c>
      <c r="Z28" s="30">
        <v>1</v>
      </c>
      <c r="AA28" s="14" t="s">
        <v>35</v>
      </c>
      <c r="AB28" s="27">
        <f t="shared" si="11"/>
        <v>-0.69</v>
      </c>
      <c r="AC28" s="28">
        <v>5.9248842592592589E-2</v>
      </c>
      <c r="AD28" s="25">
        <f t="shared" si="12"/>
        <v>-18.315002222222219</v>
      </c>
      <c r="AE28" s="25">
        <v>-4.95</v>
      </c>
      <c r="AF28" s="25">
        <v>-11.3136384375</v>
      </c>
      <c r="AG28" s="25">
        <v>0</v>
      </c>
    </row>
    <row r="29" spans="1:33" ht="15.75" customHeight="1">
      <c r="A29" s="14" t="s">
        <v>55</v>
      </c>
      <c r="B29" s="14" t="s">
        <v>101</v>
      </c>
      <c r="C29" s="15">
        <f t="shared" si="4"/>
        <v>25.151796116504858</v>
      </c>
      <c r="D29" s="16">
        <v>206</v>
      </c>
      <c r="E29" s="16">
        <v>0</v>
      </c>
      <c r="F29" s="17">
        <v>5181.2700000000004</v>
      </c>
      <c r="G29" s="17">
        <v>-136.61999999999989</v>
      </c>
      <c r="H29" s="18">
        <f t="shared" si="1"/>
        <v>2.6368052620303492E-2</v>
      </c>
      <c r="I29" s="18">
        <f t="shared" si="2"/>
        <v>0.17376178444720655</v>
      </c>
      <c r="J29" s="17">
        <f t="shared" si="5"/>
        <v>900.3067209027779</v>
      </c>
      <c r="K29" s="17">
        <f t="shared" si="3"/>
        <v>4.3704209752562031</v>
      </c>
      <c r="L29" s="16">
        <v>388</v>
      </c>
      <c r="M29" s="19">
        <f t="shared" si="6"/>
        <v>0.53092783505154639</v>
      </c>
      <c r="N29" s="16">
        <v>1121</v>
      </c>
      <c r="O29" s="20">
        <f t="shared" ref="O29:P29" si="37">D29/7</f>
        <v>29.428571428571427</v>
      </c>
      <c r="P29" s="20">
        <f t="shared" si="37"/>
        <v>0</v>
      </c>
      <c r="Q29" s="16">
        <f t="shared" si="8"/>
        <v>38</v>
      </c>
      <c r="R29" s="16"/>
      <c r="S29" s="21">
        <v>2.1365717698586502</v>
      </c>
      <c r="T29" s="14">
        <v>4000</v>
      </c>
      <c r="U29" s="22">
        <v>44386</v>
      </c>
      <c r="V29" s="23" t="s">
        <v>1604</v>
      </c>
      <c r="W29" s="30">
        <v>30</v>
      </c>
      <c r="X29" s="24">
        <f t="shared" si="9"/>
        <v>0.14563106796116504</v>
      </c>
      <c r="Y29" s="25">
        <f t="shared" si="10"/>
        <v>3.9034285714285684</v>
      </c>
      <c r="Z29" s="30">
        <v>5</v>
      </c>
      <c r="AA29" s="14" t="s">
        <v>35</v>
      </c>
      <c r="AB29" s="27">
        <f t="shared" si="11"/>
        <v>-0.69</v>
      </c>
      <c r="AC29" s="28">
        <v>5.9248842592592589E-2</v>
      </c>
      <c r="AD29" s="25">
        <f t="shared" si="12"/>
        <v>-16.843260972222222</v>
      </c>
      <c r="AE29" s="25">
        <v>-4.95</v>
      </c>
      <c r="AF29" s="25">
        <v>-11.3136384375</v>
      </c>
      <c r="AG29" s="25">
        <v>0</v>
      </c>
    </row>
    <row r="30" spans="1:33" ht="15.75" customHeight="1">
      <c r="A30" s="14" t="s">
        <v>57</v>
      </c>
      <c r="B30" s="14" t="s">
        <v>68</v>
      </c>
      <c r="C30" s="15">
        <f t="shared" si="4"/>
        <v>25.03205882352939</v>
      </c>
      <c r="D30" s="16">
        <v>170</v>
      </c>
      <c r="E30" s="16">
        <v>2</v>
      </c>
      <c r="F30" s="17">
        <v>4255.4499999999962</v>
      </c>
      <c r="G30" s="17">
        <v>-111.04</v>
      </c>
      <c r="H30" s="18">
        <f t="shared" si="1"/>
        <v>2.6093597621873153E-2</v>
      </c>
      <c r="I30" s="18">
        <f t="shared" si="2"/>
        <v>0.16905198846574204</v>
      </c>
      <c r="J30" s="17">
        <f t="shared" si="5"/>
        <v>719.39228431654135</v>
      </c>
      <c r="K30" s="17">
        <f t="shared" si="3"/>
        <v>4.2317193195090663</v>
      </c>
      <c r="L30" s="16">
        <v>302</v>
      </c>
      <c r="M30" s="19">
        <f t="shared" si="6"/>
        <v>0.5629139072847682</v>
      </c>
      <c r="N30" s="16">
        <v>960</v>
      </c>
      <c r="O30" s="20">
        <f t="shared" ref="O30:P30" si="38">D30/7</f>
        <v>24.285714285714285</v>
      </c>
      <c r="P30" s="20">
        <f t="shared" si="38"/>
        <v>0.2857142857142857</v>
      </c>
      <c r="Q30" s="16">
        <f t="shared" si="8"/>
        <v>39</v>
      </c>
      <c r="R30" s="16"/>
      <c r="S30" s="21">
        <v>1.8831099195710459</v>
      </c>
      <c r="T30" s="14">
        <v>1000</v>
      </c>
      <c r="U30" s="22" t="s">
        <v>34</v>
      </c>
      <c r="V30" s="23" t="s">
        <v>34</v>
      </c>
      <c r="W30" s="30">
        <v>31</v>
      </c>
      <c r="X30" s="24">
        <f t="shared" si="9"/>
        <v>0.18235294117647058</v>
      </c>
      <c r="Y30" s="25">
        <f t="shared" si="10"/>
        <v>3.1725714285714286</v>
      </c>
      <c r="Z30" s="30">
        <v>4</v>
      </c>
      <c r="AA30" s="14" t="s">
        <v>35</v>
      </c>
      <c r="AB30" s="27">
        <f t="shared" si="11"/>
        <v>-0.69</v>
      </c>
      <c r="AC30" s="28">
        <v>5.9248842592592589E-2</v>
      </c>
      <c r="AD30" s="25">
        <f t="shared" si="12"/>
        <v>-13.899778472222222</v>
      </c>
      <c r="AE30" s="25">
        <v>-4.95</v>
      </c>
      <c r="AF30" s="25">
        <v>-11.3605908071249</v>
      </c>
      <c r="AG30" s="25">
        <v>0</v>
      </c>
    </row>
    <row r="31" spans="1:33" ht="15.75" customHeight="1">
      <c r="A31" s="14" t="s">
        <v>58</v>
      </c>
      <c r="B31" s="14" t="s">
        <v>66</v>
      </c>
      <c r="C31" s="15">
        <f t="shared" si="4"/>
        <v>24.943480392156843</v>
      </c>
      <c r="D31" s="16">
        <v>204</v>
      </c>
      <c r="E31" s="16">
        <v>1</v>
      </c>
      <c r="F31" s="17">
        <v>5088.4699999999957</v>
      </c>
      <c r="G31" s="17">
        <v>-114.12999999999998</v>
      </c>
      <c r="H31" s="18">
        <f t="shared" si="1"/>
        <v>2.2429138817758595E-2</v>
      </c>
      <c r="I31" s="18">
        <f t="shared" si="2"/>
        <v>0.17039095075333652</v>
      </c>
      <c r="J31" s="17">
        <f t="shared" si="5"/>
        <v>867.02924117982957</v>
      </c>
      <c r="K31" s="17">
        <f t="shared" si="3"/>
        <v>4.2501433391168115</v>
      </c>
      <c r="L31" s="16">
        <v>305</v>
      </c>
      <c r="M31" s="19">
        <f t="shared" si="6"/>
        <v>0.66885245901639345</v>
      </c>
      <c r="N31" s="16">
        <v>740</v>
      </c>
      <c r="O31" s="20">
        <f t="shared" ref="O31:P31" si="39">D31/7</f>
        <v>29.142857142857142</v>
      </c>
      <c r="P31" s="20">
        <f t="shared" si="39"/>
        <v>0.14285714285714285</v>
      </c>
      <c r="Q31" s="16">
        <f t="shared" si="8"/>
        <v>25</v>
      </c>
      <c r="R31" s="16"/>
      <c r="S31" s="21">
        <v>2.1543039319872399</v>
      </c>
      <c r="T31" s="14">
        <v>3000</v>
      </c>
      <c r="U31" s="22" t="s">
        <v>34</v>
      </c>
      <c r="V31" s="23" t="s">
        <v>1605</v>
      </c>
      <c r="W31" s="30">
        <v>29</v>
      </c>
      <c r="X31" s="24">
        <f t="shared" si="9"/>
        <v>0.14215686274509803</v>
      </c>
      <c r="Y31" s="25">
        <f t="shared" si="10"/>
        <v>3.3567647058823522</v>
      </c>
      <c r="Z31" s="30">
        <v>5</v>
      </c>
      <c r="AA31" s="14" t="s">
        <v>35</v>
      </c>
      <c r="AB31" s="27">
        <f t="shared" si="11"/>
        <v>-0.69</v>
      </c>
      <c r="AC31" s="28">
        <v>5.9248842592592589E-2</v>
      </c>
      <c r="AD31" s="25">
        <f t="shared" si="12"/>
        <v>-16.679734166666666</v>
      </c>
      <c r="AE31" s="25">
        <v>-4.95</v>
      </c>
      <c r="AF31" s="25">
        <v>-11.360590807124998</v>
      </c>
      <c r="AG31" s="25">
        <v>0</v>
      </c>
    </row>
    <row r="32" spans="1:33" ht="15.75" customHeight="1">
      <c r="A32" s="14" t="s">
        <v>60</v>
      </c>
      <c r="B32" s="14"/>
      <c r="C32" s="15">
        <f t="shared" si="4"/>
        <v>25.289782608695649</v>
      </c>
      <c r="D32" s="16">
        <v>276</v>
      </c>
      <c r="E32" s="16">
        <v>0</v>
      </c>
      <c r="F32" s="17">
        <v>6979.98</v>
      </c>
      <c r="G32" s="17">
        <v>-13.89</v>
      </c>
      <c r="H32" s="18">
        <f t="shared" si="1"/>
        <v>1.9899770486448386E-3</v>
      </c>
      <c r="I32" s="18">
        <f t="shared" si="2"/>
        <v>0.19982911671191894</v>
      </c>
      <c r="J32" s="17">
        <f t="shared" si="5"/>
        <v>1394.8032380668599</v>
      </c>
      <c r="K32" s="17">
        <f t="shared" si="3"/>
        <v>5.0536349205321009</v>
      </c>
      <c r="L32" s="16">
        <v>307</v>
      </c>
      <c r="M32" s="19">
        <f t="shared" si="6"/>
        <v>0.89902280130293155</v>
      </c>
      <c r="N32" s="16">
        <v>462</v>
      </c>
      <c r="O32" s="20">
        <f t="shared" ref="O32:P32" si="40">D32/7</f>
        <v>39.428571428571431</v>
      </c>
      <c r="P32" s="20">
        <f t="shared" si="40"/>
        <v>0</v>
      </c>
      <c r="Q32" s="16">
        <f t="shared" si="8"/>
        <v>11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2.852686308492201</v>
      </c>
      <c r="T32" s="14">
        <f ca="1">IFERROR(__xludf.DUMMYFUNCTION("IFERROR(VLOOKUP($B$2,IMPORTRANGE(""https://docs.google.com/spreadsheets/d/1KiWZV1ko8G7lnRucBRBd29jj3Be6ltMfljMDqzOkQmI/edit#gid=1381463014"",""Lookup!A:D""),4,FALSE),"""")"),3000)</f>
        <v>3000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23" t="str">
        <f ca="1">IFERROR(__xludf.DUMMYFUNCTION("IFERROR(VLOOKUP($B$2,IMPORTRANGE(""https://docs.google.com/spreadsheets/d/1KiWZV1ko8G7lnRucBRBd29jj3Be6ltMfljMDqzOkQmI/edit#gid=1381463014"",""Lookup!A:D""),2,FALSE),"""")"),"No Transit, But 3000 At Factory 50-75 days from Earliest Arrival")</f>
        <v>No Transit, But 3000 At Factory 50-75 days from Earliest Arrival</v>
      </c>
      <c r="W32" s="30">
        <v>50</v>
      </c>
      <c r="X32" s="24">
        <f t="shared" si="9"/>
        <v>0.18115942028985507</v>
      </c>
      <c r="Y32" s="25">
        <f t="shared" si="10"/>
        <v>0.18276315789473685</v>
      </c>
      <c r="Z32" s="30">
        <v>26</v>
      </c>
      <c r="AA32" s="14" t="s">
        <v>35</v>
      </c>
      <c r="AB32" s="27">
        <f t="shared" si="11"/>
        <v>-0.69</v>
      </c>
      <c r="AC32" s="28">
        <v>5.9248842592592589E-2</v>
      </c>
      <c r="AD32" s="25">
        <f t="shared" si="12"/>
        <v>-22.566699166666666</v>
      </c>
      <c r="AE32" s="25">
        <v>-4.95</v>
      </c>
      <c r="AF32" s="25">
        <v>-11.3605908071249</v>
      </c>
      <c r="AG32" s="25">
        <v>0</v>
      </c>
    </row>
    <row r="33" spans="1:33" ht="15.75" customHeight="1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16"/>
      <c r="S33" s="21"/>
      <c r="T33" s="31"/>
      <c r="U33" s="36"/>
      <c r="V33" s="1"/>
      <c r="W33" s="31"/>
      <c r="X33" s="31"/>
      <c r="Y33" s="31"/>
      <c r="Z33" s="31"/>
      <c r="AA33" s="2"/>
      <c r="AB33" s="31"/>
      <c r="AC33" s="31"/>
      <c r="AD33" s="31"/>
      <c r="AE33" s="37"/>
      <c r="AF33" s="37"/>
      <c r="AG33" s="37"/>
    </row>
    <row r="34" spans="1:33" ht="15.75" customHeight="1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6"/>
      <c r="V34" s="1"/>
      <c r="W34" s="31"/>
      <c r="X34" s="31"/>
      <c r="Y34" s="31"/>
      <c r="Z34" s="31"/>
      <c r="AA34" s="2"/>
      <c r="AB34" s="31"/>
      <c r="AC34" s="31"/>
      <c r="AD34" s="31"/>
      <c r="AE34" s="37"/>
      <c r="AF34" s="37"/>
      <c r="AG34" s="37"/>
    </row>
    <row r="35" spans="1:33" ht="15.75" customHeight="1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6"/>
      <c r="V35" s="1"/>
      <c r="W35" s="31"/>
      <c r="X35" s="31"/>
      <c r="Y35" s="31"/>
      <c r="Z35" s="31"/>
      <c r="AA35" s="2"/>
      <c r="AB35" s="31"/>
      <c r="AC35" s="31"/>
      <c r="AD35" s="31"/>
      <c r="AE35" s="37"/>
      <c r="AF35" s="37"/>
      <c r="AG35" s="37"/>
    </row>
    <row r="36" spans="1:33" ht="15.75" customHeight="1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6"/>
      <c r="V36" s="1"/>
      <c r="W36" s="31"/>
      <c r="X36" s="31"/>
      <c r="Y36" s="31"/>
      <c r="Z36" s="31"/>
      <c r="AA36" s="2"/>
      <c r="AB36" s="31"/>
      <c r="AC36" s="31"/>
      <c r="AD36" s="31"/>
      <c r="AE36" s="37"/>
      <c r="AF36" s="37"/>
      <c r="AG36" s="37"/>
    </row>
    <row r="37" spans="1:33" ht="15.75" customHeight="1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6"/>
      <c r="V37" s="1"/>
      <c r="W37" s="31"/>
      <c r="X37" s="31"/>
      <c r="Y37" s="31"/>
      <c r="Z37" s="31"/>
      <c r="AA37" s="2"/>
      <c r="AB37" s="31"/>
      <c r="AC37" s="31"/>
      <c r="AD37" s="31"/>
      <c r="AE37" s="37"/>
      <c r="AF37" s="37"/>
      <c r="AG37" s="37"/>
    </row>
    <row r="38" spans="1:33" ht="15.75" customHeight="1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6"/>
      <c r="V38" s="1"/>
      <c r="W38" s="31"/>
      <c r="X38" s="31"/>
      <c r="Y38" s="31"/>
      <c r="Z38" s="31"/>
      <c r="AA38" s="2"/>
      <c r="AB38" s="31"/>
      <c r="AC38" s="31"/>
      <c r="AD38" s="31"/>
      <c r="AE38" s="37"/>
      <c r="AF38" s="37"/>
      <c r="AG38" s="37"/>
    </row>
    <row r="39" spans="1:33" ht="15.75" customHeight="1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6"/>
      <c r="V39" s="1"/>
      <c r="W39" s="31"/>
      <c r="X39" s="31"/>
      <c r="Y39" s="31"/>
      <c r="Z39" s="31"/>
      <c r="AA39" s="2"/>
      <c r="AB39" s="31"/>
      <c r="AC39" s="31"/>
      <c r="AD39" s="31"/>
      <c r="AE39" s="37"/>
      <c r="AF39" s="37"/>
      <c r="AG39" s="37"/>
    </row>
    <row r="40" spans="1:33" ht="15.75" customHeight="1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6"/>
      <c r="V40" s="1"/>
      <c r="W40" s="31"/>
      <c r="X40" s="31"/>
      <c r="Y40" s="31"/>
      <c r="Z40" s="31"/>
      <c r="AA40" s="2"/>
      <c r="AB40" s="31"/>
      <c r="AC40" s="31"/>
      <c r="AD40" s="31"/>
      <c r="AE40" s="37"/>
      <c r="AF40" s="37"/>
      <c r="AG40" s="37"/>
    </row>
    <row r="41" spans="1:33" ht="15.75" customHeight="1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6"/>
      <c r="V41" s="1"/>
      <c r="W41" s="31"/>
      <c r="X41" s="31"/>
      <c r="Y41" s="31"/>
      <c r="Z41" s="31"/>
      <c r="AA41" s="2"/>
      <c r="AB41" s="31"/>
      <c r="AC41" s="31"/>
      <c r="AD41" s="31"/>
      <c r="AE41" s="37"/>
      <c r="AF41" s="37"/>
      <c r="AG41" s="37"/>
    </row>
    <row r="42" spans="1:33" ht="15.75" customHeight="1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6"/>
      <c r="V42" s="1"/>
      <c r="W42" s="31"/>
      <c r="X42" s="31"/>
      <c r="Y42" s="31"/>
      <c r="Z42" s="31"/>
      <c r="AA42" s="2"/>
      <c r="AB42" s="31"/>
      <c r="AC42" s="31"/>
      <c r="AD42" s="31"/>
      <c r="AE42" s="37"/>
      <c r="AF42" s="37"/>
      <c r="AG42" s="37"/>
    </row>
    <row r="43" spans="1:33" ht="15.75" customHeight="1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6"/>
      <c r="V43" s="1"/>
      <c r="W43" s="31"/>
      <c r="X43" s="31"/>
      <c r="Y43" s="31"/>
      <c r="Z43" s="31"/>
      <c r="AA43" s="2"/>
      <c r="AB43" s="31"/>
      <c r="AC43" s="31"/>
      <c r="AD43" s="31"/>
      <c r="AE43" s="37"/>
      <c r="AF43" s="37"/>
      <c r="AG43" s="37"/>
    </row>
    <row r="44" spans="1:33" ht="15.75" customHeight="1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6"/>
      <c r="V44" s="1"/>
      <c r="W44" s="31"/>
      <c r="X44" s="31"/>
      <c r="Y44" s="31"/>
      <c r="Z44" s="31"/>
      <c r="AA44" s="2"/>
      <c r="AB44" s="31"/>
      <c r="AC44" s="31"/>
      <c r="AD44" s="31"/>
      <c r="AE44" s="37"/>
      <c r="AF44" s="37"/>
      <c r="AG44" s="37"/>
    </row>
    <row r="45" spans="1:33" ht="15.75" customHeight="1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6"/>
      <c r="V45" s="1"/>
      <c r="W45" s="31"/>
      <c r="X45" s="31"/>
      <c r="Y45" s="31"/>
      <c r="Z45" s="31"/>
      <c r="AA45" s="2"/>
      <c r="AB45" s="31"/>
      <c r="AC45" s="31"/>
      <c r="AD45" s="31"/>
      <c r="AE45" s="37"/>
      <c r="AF45" s="37"/>
      <c r="AG45" s="37"/>
    </row>
    <row r="46" spans="1:33" ht="15.75" customHeight="1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6"/>
      <c r="V46" s="1"/>
      <c r="W46" s="31"/>
      <c r="X46" s="31"/>
      <c r="Y46" s="31"/>
      <c r="Z46" s="31"/>
      <c r="AA46" s="2"/>
      <c r="AB46" s="31"/>
      <c r="AC46" s="31"/>
      <c r="AD46" s="31"/>
      <c r="AE46" s="37"/>
      <c r="AF46" s="37"/>
      <c r="AG46" s="37"/>
    </row>
    <row r="47" spans="1:33" ht="15.75" customHeight="1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6"/>
      <c r="V47" s="1"/>
      <c r="W47" s="31"/>
      <c r="X47" s="31"/>
      <c r="Y47" s="31"/>
      <c r="Z47" s="31"/>
      <c r="AA47" s="2"/>
      <c r="AB47" s="31"/>
      <c r="AC47" s="31"/>
      <c r="AD47" s="31"/>
      <c r="AE47" s="37"/>
      <c r="AF47" s="37"/>
      <c r="AG47" s="37"/>
    </row>
    <row r="48" spans="1:33" ht="15.75" customHeight="1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6"/>
      <c r="V48" s="1"/>
      <c r="W48" s="31"/>
      <c r="X48" s="31"/>
      <c r="Y48" s="31"/>
      <c r="Z48" s="31"/>
      <c r="AA48" s="2"/>
      <c r="AB48" s="31"/>
      <c r="AC48" s="31"/>
      <c r="AD48" s="31"/>
      <c r="AE48" s="37"/>
      <c r="AF48" s="37"/>
      <c r="AG48" s="37"/>
    </row>
    <row r="49" spans="1:33" ht="15.75" customHeight="1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6"/>
      <c r="V49" s="1"/>
      <c r="W49" s="31"/>
      <c r="X49" s="31"/>
      <c r="Y49" s="31"/>
      <c r="Z49" s="31"/>
      <c r="AA49" s="2"/>
      <c r="AB49" s="31"/>
      <c r="AC49" s="31"/>
      <c r="AD49" s="31"/>
      <c r="AE49" s="37"/>
      <c r="AF49" s="37"/>
      <c r="AG49" s="37"/>
    </row>
    <row r="50" spans="1:33" ht="15.75" customHeight="1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6"/>
      <c r="V50" s="1"/>
      <c r="W50" s="31"/>
      <c r="X50" s="31"/>
      <c r="Y50" s="31"/>
      <c r="Z50" s="31"/>
      <c r="AA50" s="2"/>
      <c r="AB50" s="31"/>
      <c r="AC50" s="31"/>
      <c r="AD50" s="31"/>
      <c r="AE50" s="37"/>
      <c r="AF50" s="37"/>
      <c r="AG50" s="37"/>
    </row>
    <row r="51" spans="1:33" ht="15.75" customHeight="1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6"/>
      <c r="V51" s="1"/>
      <c r="W51" s="31"/>
      <c r="X51" s="31"/>
      <c r="Y51" s="31"/>
      <c r="Z51" s="31"/>
      <c r="AA51" s="2"/>
      <c r="AB51" s="31"/>
      <c r="AC51" s="31"/>
      <c r="AD51" s="31"/>
      <c r="AE51" s="37"/>
      <c r="AF51" s="37"/>
      <c r="AG51" s="37"/>
    </row>
    <row r="52" spans="1:33" ht="15.75" customHeight="1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6"/>
      <c r="V52" s="1"/>
      <c r="W52" s="31"/>
      <c r="X52" s="31"/>
      <c r="Y52" s="31"/>
      <c r="Z52" s="31"/>
      <c r="AA52" s="2"/>
      <c r="AB52" s="31"/>
      <c r="AC52" s="31"/>
      <c r="AD52" s="31"/>
      <c r="AE52" s="37"/>
      <c r="AF52" s="37"/>
      <c r="AG52" s="37"/>
    </row>
    <row r="53" spans="1:33" ht="15.75" customHeight="1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6"/>
      <c r="V53" s="1"/>
      <c r="W53" s="31"/>
      <c r="X53" s="31"/>
      <c r="Y53" s="31"/>
      <c r="Z53" s="31"/>
      <c r="AA53" s="2"/>
      <c r="AB53" s="31"/>
      <c r="AC53" s="31"/>
      <c r="AD53" s="31"/>
      <c r="AE53" s="37"/>
      <c r="AF53" s="37"/>
      <c r="AG53" s="37"/>
    </row>
    <row r="54" spans="1:33" ht="15.75" customHeight="1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6"/>
      <c r="V54" s="1"/>
      <c r="W54" s="31"/>
      <c r="X54" s="31"/>
      <c r="Y54" s="31"/>
      <c r="Z54" s="31"/>
      <c r="AA54" s="2"/>
      <c r="AB54" s="31"/>
      <c r="AC54" s="31"/>
      <c r="AD54" s="31"/>
      <c r="AE54" s="37"/>
      <c r="AF54" s="37"/>
      <c r="AG54" s="37"/>
    </row>
    <row r="55" spans="1:33" ht="15.75" customHeight="1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6"/>
      <c r="V55" s="1"/>
      <c r="W55" s="31"/>
      <c r="X55" s="31"/>
      <c r="Y55" s="31"/>
      <c r="Z55" s="31"/>
      <c r="AA55" s="2"/>
      <c r="AB55" s="31"/>
      <c r="AC55" s="31"/>
      <c r="AD55" s="31"/>
      <c r="AE55" s="37"/>
      <c r="AF55" s="37"/>
      <c r="AG55" s="37"/>
    </row>
    <row r="56" spans="1:33" ht="15.75" customHeight="1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6"/>
      <c r="V56" s="1"/>
      <c r="W56" s="31"/>
      <c r="X56" s="31"/>
      <c r="Y56" s="31"/>
      <c r="Z56" s="31"/>
      <c r="AA56" s="2"/>
      <c r="AB56" s="31"/>
      <c r="AC56" s="31"/>
      <c r="AD56" s="31"/>
      <c r="AE56" s="37"/>
      <c r="AF56" s="37"/>
      <c r="AG56" s="37"/>
    </row>
    <row r="57" spans="1:33" ht="15.75" customHeight="1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6"/>
      <c r="V57" s="1"/>
      <c r="W57" s="31"/>
      <c r="X57" s="31"/>
      <c r="Y57" s="31"/>
      <c r="Z57" s="31"/>
      <c r="AA57" s="2"/>
      <c r="AB57" s="31"/>
      <c r="AC57" s="31"/>
      <c r="AD57" s="31"/>
      <c r="AE57" s="37"/>
      <c r="AF57" s="37"/>
      <c r="AG57" s="37"/>
    </row>
    <row r="58" spans="1:33" ht="15.75" customHeight="1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6"/>
      <c r="V58" s="1"/>
      <c r="W58" s="31"/>
      <c r="X58" s="31"/>
      <c r="Y58" s="31"/>
      <c r="Z58" s="31"/>
      <c r="AA58" s="2"/>
      <c r="AB58" s="31"/>
      <c r="AC58" s="31"/>
      <c r="AD58" s="31"/>
      <c r="AE58" s="37"/>
      <c r="AF58" s="37"/>
      <c r="AG58" s="37"/>
    </row>
    <row r="59" spans="1:33" ht="15.75" customHeight="1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6"/>
      <c r="V59" s="1"/>
      <c r="W59" s="31"/>
      <c r="X59" s="31"/>
      <c r="Y59" s="31"/>
      <c r="Z59" s="31"/>
      <c r="AA59" s="2"/>
      <c r="AB59" s="31"/>
      <c r="AC59" s="31"/>
      <c r="AD59" s="31"/>
      <c r="AE59" s="37"/>
      <c r="AF59" s="37"/>
      <c r="AG59" s="37"/>
    </row>
    <row r="60" spans="1:33" ht="15.75" customHeight="1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6"/>
      <c r="V60" s="1"/>
      <c r="W60" s="31"/>
      <c r="X60" s="31"/>
      <c r="Y60" s="31"/>
      <c r="Z60" s="31"/>
      <c r="AA60" s="2"/>
      <c r="AB60" s="31"/>
      <c r="AC60" s="31"/>
      <c r="AD60" s="31"/>
      <c r="AE60" s="37"/>
      <c r="AF60" s="37"/>
      <c r="AG60" s="37"/>
    </row>
    <row r="61" spans="1:33" ht="15.75" customHeight="1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6"/>
      <c r="V61" s="1"/>
      <c r="W61" s="31"/>
      <c r="X61" s="31"/>
      <c r="Y61" s="31"/>
      <c r="Z61" s="31"/>
      <c r="AA61" s="2"/>
      <c r="AB61" s="31"/>
      <c r="AC61" s="31"/>
      <c r="AD61" s="31"/>
      <c r="AE61" s="37"/>
      <c r="AF61" s="37"/>
      <c r="AG61" s="37"/>
    </row>
    <row r="62" spans="1:33" ht="15.75" customHeight="1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6"/>
      <c r="V62" s="1"/>
      <c r="W62" s="31"/>
      <c r="X62" s="31"/>
      <c r="Y62" s="31"/>
      <c r="Z62" s="31"/>
      <c r="AA62" s="2"/>
      <c r="AB62" s="31"/>
      <c r="AC62" s="31"/>
      <c r="AD62" s="31"/>
      <c r="AE62" s="37"/>
      <c r="AF62" s="37"/>
      <c r="AG62" s="37"/>
    </row>
    <row r="63" spans="1:33" ht="15.75" customHeight="1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6"/>
      <c r="V63" s="1"/>
      <c r="W63" s="31"/>
      <c r="X63" s="31"/>
      <c r="Y63" s="31"/>
      <c r="Z63" s="31"/>
      <c r="AA63" s="2"/>
      <c r="AB63" s="31"/>
      <c r="AC63" s="31"/>
      <c r="AD63" s="31"/>
      <c r="AE63" s="37"/>
      <c r="AF63" s="37"/>
      <c r="AG63" s="37"/>
    </row>
    <row r="64" spans="1:33" ht="15.75" customHeight="1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6"/>
      <c r="V64" s="1"/>
      <c r="W64" s="31"/>
      <c r="X64" s="31"/>
      <c r="Y64" s="31"/>
      <c r="Z64" s="31"/>
      <c r="AA64" s="2"/>
      <c r="AB64" s="31"/>
      <c r="AC64" s="31"/>
      <c r="AD64" s="31"/>
      <c r="AE64" s="37"/>
      <c r="AF64" s="37"/>
      <c r="AG64" s="37"/>
    </row>
    <row r="65" spans="1:33" ht="15.75" customHeight="1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6"/>
      <c r="V65" s="1"/>
      <c r="W65" s="31"/>
      <c r="X65" s="31"/>
      <c r="Y65" s="31"/>
      <c r="Z65" s="31"/>
      <c r="AA65" s="2"/>
      <c r="AB65" s="31"/>
      <c r="AC65" s="31"/>
      <c r="AD65" s="31"/>
      <c r="AE65" s="37"/>
      <c r="AF65" s="37"/>
      <c r="AG65" s="37"/>
    </row>
    <row r="66" spans="1:33" ht="15.75" customHeight="1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6"/>
      <c r="V66" s="1"/>
      <c r="W66" s="31"/>
      <c r="X66" s="31"/>
      <c r="Y66" s="31"/>
      <c r="Z66" s="31"/>
      <c r="AA66" s="2"/>
      <c r="AB66" s="31"/>
      <c r="AC66" s="31"/>
      <c r="AD66" s="31"/>
      <c r="AE66" s="37"/>
      <c r="AF66" s="37"/>
      <c r="AG66" s="37"/>
    </row>
    <row r="67" spans="1:33" ht="15.75" customHeight="1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6"/>
      <c r="V67" s="1"/>
      <c r="W67" s="31"/>
      <c r="X67" s="31"/>
      <c r="Y67" s="31"/>
      <c r="Z67" s="31"/>
      <c r="AA67" s="2"/>
      <c r="AB67" s="31"/>
      <c r="AC67" s="31"/>
      <c r="AD67" s="31"/>
      <c r="AE67" s="37"/>
      <c r="AF67" s="37"/>
      <c r="AG67" s="37"/>
    </row>
    <row r="68" spans="1:33" ht="15.75" customHeight="1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6"/>
      <c r="V68" s="1"/>
      <c r="W68" s="31"/>
      <c r="X68" s="31"/>
      <c r="Y68" s="31"/>
      <c r="Z68" s="31"/>
      <c r="AA68" s="2"/>
      <c r="AB68" s="31"/>
      <c r="AC68" s="31"/>
      <c r="AD68" s="31"/>
      <c r="AE68" s="37"/>
      <c r="AF68" s="37"/>
      <c r="AG68" s="37"/>
    </row>
    <row r="69" spans="1:33" ht="15.75" customHeight="1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6"/>
      <c r="V69" s="1"/>
      <c r="W69" s="31"/>
      <c r="X69" s="31"/>
      <c r="Y69" s="31"/>
      <c r="Z69" s="31"/>
      <c r="AA69" s="2"/>
      <c r="AB69" s="31"/>
      <c r="AC69" s="31"/>
      <c r="AD69" s="31"/>
      <c r="AE69" s="37"/>
      <c r="AF69" s="37"/>
      <c r="AG69" s="37"/>
    </row>
    <row r="70" spans="1:33" ht="15.75" customHeight="1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6"/>
      <c r="V70" s="1"/>
      <c r="W70" s="31"/>
      <c r="X70" s="31"/>
      <c r="Y70" s="31"/>
      <c r="Z70" s="31"/>
      <c r="AA70" s="2"/>
      <c r="AB70" s="31"/>
      <c r="AC70" s="31"/>
      <c r="AD70" s="31"/>
      <c r="AE70" s="37"/>
      <c r="AF70" s="37"/>
      <c r="AG70" s="37"/>
    </row>
    <row r="71" spans="1:33" ht="15.75" customHeight="1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6"/>
      <c r="V71" s="1"/>
      <c r="W71" s="31"/>
      <c r="X71" s="31"/>
      <c r="Y71" s="31"/>
      <c r="Z71" s="31"/>
      <c r="AA71" s="2"/>
      <c r="AB71" s="31"/>
      <c r="AC71" s="31"/>
      <c r="AD71" s="31"/>
      <c r="AE71" s="37"/>
      <c r="AF71" s="37"/>
      <c r="AG71" s="37"/>
    </row>
    <row r="72" spans="1:33" ht="15.75" customHeight="1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6"/>
      <c r="V72" s="1"/>
      <c r="W72" s="31"/>
      <c r="X72" s="31"/>
      <c r="Y72" s="31"/>
      <c r="Z72" s="31"/>
      <c r="AA72" s="2"/>
      <c r="AB72" s="31"/>
      <c r="AC72" s="31"/>
      <c r="AD72" s="31"/>
      <c r="AE72" s="37"/>
      <c r="AF72" s="37"/>
      <c r="AG72" s="37"/>
    </row>
    <row r="73" spans="1:33" ht="15.75" customHeight="1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6"/>
      <c r="V73" s="1"/>
      <c r="W73" s="31"/>
      <c r="X73" s="31"/>
      <c r="Y73" s="31"/>
      <c r="Z73" s="31"/>
      <c r="AA73" s="2"/>
      <c r="AB73" s="31"/>
      <c r="AC73" s="31"/>
      <c r="AD73" s="31"/>
      <c r="AE73" s="37"/>
      <c r="AF73" s="37"/>
      <c r="AG73" s="37"/>
    </row>
    <row r="74" spans="1:33" ht="15.75" customHeight="1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6"/>
      <c r="V74" s="1"/>
      <c r="W74" s="31"/>
      <c r="X74" s="31"/>
      <c r="Y74" s="31"/>
      <c r="Z74" s="31"/>
      <c r="AA74" s="2"/>
      <c r="AB74" s="31"/>
      <c r="AC74" s="31"/>
      <c r="AD74" s="31"/>
      <c r="AE74" s="37"/>
      <c r="AF74" s="37"/>
      <c r="AG74" s="37"/>
    </row>
    <row r="75" spans="1:33" ht="15.75" customHeight="1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6"/>
      <c r="V75" s="1"/>
      <c r="W75" s="31"/>
      <c r="X75" s="31"/>
      <c r="Y75" s="31"/>
      <c r="Z75" s="31"/>
      <c r="AA75" s="2"/>
      <c r="AB75" s="31"/>
      <c r="AC75" s="31"/>
      <c r="AD75" s="31"/>
      <c r="AE75" s="37"/>
      <c r="AF75" s="37"/>
      <c r="AG75" s="37"/>
    </row>
    <row r="76" spans="1:33" ht="15.75" customHeight="1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6"/>
      <c r="V76" s="1"/>
      <c r="W76" s="31"/>
      <c r="X76" s="31"/>
      <c r="Y76" s="31"/>
      <c r="Z76" s="31"/>
      <c r="AA76" s="2"/>
      <c r="AB76" s="31"/>
      <c r="AC76" s="31"/>
      <c r="AD76" s="31"/>
      <c r="AE76" s="37"/>
      <c r="AF76" s="37"/>
      <c r="AG76" s="37"/>
    </row>
    <row r="77" spans="1:33" ht="15.75" customHeight="1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6"/>
      <c r="V77" s="1"/>
      <c r="W77" s="31"/>
      <c r="X77" s="31"/>
      <c r="Y77" s="31"/>
      <c r="Z77" s="31"/>
      <c r="AA77" s="2"/>
      <c r="AB77" s="31"/>
      <c r="AC77" s="31"/>
      <c r="AD77" s="31"/>
      <c r="AE77" s="37"/>
      <c r="AF77" s="37"/>
      <c r="AG77" s="37"/>
    </row>
    <row r="78" spans="1:33" ht="15.75" customHeight="1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6"/>
      <c r="V78" s="1"/>
      <c r="W78" s="31"/>
      <c r="X78" s="31"/>
      <c r="Y78" s="31"/>
      <c r="Z78" s="31"/>
      <c r="AA78" s="2"/>
      <c r="AB78" s="31"/>
      <c r="AC78" s="31"/>
      <c r="AD78" s="31"/>
      <c r="AE78" s="37"/>
      <c r="AF78" s="37"/>
      <c r="AG78" s="37"/>
    </row>
    <row r="79" spans="1:33" ht="15.75" customHeight="1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6"/>
      <c r="V79" s="1"/>
      <c r="W79" s="31"/>
      <c r="X79" s="31"/>
      <c r="Y79" s="31"/>
      <c r="Z79" s="31"/>
      <c r="AA79" s="2"/>
      <c r="AB79" s="31"/>
      <c r="AC79" s="31"/>
      <c r="AD79" s="31"/>
      <c r="AE79" s="37"/>
      <c r="AF79" s="37"/>
      <c r="AG79" s="37"/>
    </row>
    <row r="80" spans="1:33" ht="15.75" customHeight="1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6"/>
      <c r="V80" s="1"/>
      <c r="W80" s="31"/>
      <c r="X80" s="31"/>
      <c r="Y80" s="31"/>
      <c r="Z80" s="31"/>
      <c r="AA80" s="2"/>
      <c r="AB80" s="31"/>
      <c r="AC80" s="31"/>
      <c r="AD80" s="31"/>
      <c r="AE80" s="37"/>
      <c r="AF80" s="37"/>
      <c r="AG80" s="37"/>
    </row>
    <row r="81" spans="1:33" ht="15.75" customHeight="1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6"/>
      <c r="V81" s="1"/>
      <c r="W81" s="31"/>
      <c r="X81" s="31"/>
      <c r="Y81" s="31"/>
      <c r="Z81" s="31"/>
      <c r="AA81" s="2"/>
      <c r="AB81" s="31"/>
      <c r="AC81" s="31"/>
      <c r="AD81" s="31"/>
      <c r="AE81" s="37"/>
      <c r="AF81" s="37"/>
      <c r="AG81" s="37"/>
    </row>
    <row r="82" spans="1:33" ht="15.75" customHeight="1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6"/>
      <c r="V82" s="1"/>
      <c r="W82" s="31"/>
      <c r="X82" s="31"/>
      <c r="Y82" s="31"/>
      <c r="Z82" s="31"/>
      <c r="AA82" s="2"/>
      <c r="AB82" s="31"/>
      <c r="AC82" s="31"/>
      <c r="AD82" s="31"/>
      <c r="AE82" s="37"/>
      <c r="AF82" s="37"/>
      <c r="AG82" s="37"/>
    </row>
    <row r="83" spans="1:33" ht="15.75" customHeight="1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6"/>
      <c r="V83" s="1"/>
      <c r="W83" s="31"/>
      <c r="X83" s="31"/>
      <c r="Y83" s="31"/>
      <c r="Z83" s="31"/>
      <c r="AA83" s="2"/>
      <c r="AB83" s="31"/>
      <c r="AC83" s="31"/>
      <c r="AD83" s="31"/>
      <c r="AE83" s="37"/>
      <c r="AF83" s="37"/>
      <c r="AG83" s="37"/>
    </row>
    <row r="84" spans="1:33" ht="15.75" customHeight="1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6"/>
      <c r="V84" s="1"/>
      <c r="W84" s="31"/>
      <c r="X84" s="31"/>
      <c r="Y84" s="31"/>
      <c r="Z84" s="31"/>
      <c r="AA84" s="2"/>
      <c r="AB84" s="31"/>
      <c r="AC84" s="31"/>
      <c r="AD84" s="31"/>
      <c r="AE84" s="37"/>
      <c r="AF84" s="37"/>
      <c r="AG84" s="37"/>
    </row>
    <row r="85" spans="1:33" ht="15.75" customHeight="1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6"/>
      <c r="V85" s="1"/>
      <c r="W85" s="31"/>
      <c r="X85" s="31"/>
      <c r="Y85" s="31"/>
      <c r="Z85" s="31"/>
      <c r="AA85" s="2"/>
      <c r="AB85" s="31"/>
      <c r="AC85" s="31"/>
      <c r="AD85" s="31"/>
      <c r="AE85" s="37"/>
      <c r="AF85" s="37"/>
      <c r="AG85" s="37"/>
    </row>
    <row r="86" spans="1:33" ht="15.75" customHeight="1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6"/>
      <c r="V86" s="1"/>
      <c r="W86" s="31"/>
      <c r="X86" s="31"/>
      <c r="Y86" s="31"/>
      <c r="Z86" s="31"/>
      <c r="AA86" s="2"/>
      <c r="AB86" s="31"/>
      <c r="AC86" s="31"/>
      <c r="AD86" s="31"/>
      <c r="AE86" s="37"/>
      <c r="AF86" s="37"/>
      <c r="AG86" s="37"/>
    </row>
    <row r="87" spans="1:33" ht="15.75" customHeight="1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6"/>
      <c r="V87" s="1"/>
      <c r="W87" s="31"/>
      <c r="X87" s="31"/>
      <c r="Y87" s="31"/>
      <c r="Z87" s="31"/>
      <c r="AA87" s="2"/>
      <c r="AB87" s="31"/>
      <c r="AC87" s="31"/>
      <c r="AD87" s="31"/>
      <c r="AE87" s="37"/>
      <c r="AF87" s="37"/>
      <c r="AG87" s="37"/>
    </row>
    <row r="88" spans="1:33" ht="15.75" customHeight="1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6"/>
      <c r="V88" s="1"/>
      <c r="W88" s="31"/>
      <c r="X88" s="31"/>
      <c r="Y88" s="31"/>
      <c r="Z88" s="31"/>
      <c r="AA88" s="2"/>
      <c r="AB88" s="31"/>
      <c r="AC88" s="31"/>
      <c r="AD88" s="31"/>
      <c r="AE88" s="37"/>
      <c r="AF88" s="37"/>
      <c r="AG88" s="37"/>
    </row>
    <row r="89" spans="1:33" ht="15.75" customHeight="1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6"/>
      <c r="V89" s="1"/>
      <c r="W89" s="31"/>
      <c r="X89" s="31"/>
      <c r="Y89" s="31"/>
      <c r="Z89" s="31"/>
      <c r="AA89" s="2"/>
      <c r="AB89" s="31"/>
      <c r="AC89" s="31"/>
      <c r="AD89" s="31"/>
      <c r="AE89" s="37"/>
      <c r="AF89" s="37"/>
      <c r="AG89" s="37"/>
    </row>
    <row r="90" spans="1:33" ht="15.75" customHeight="1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6"/>
      <c r="V90" s="1"/>
      <c r="W90" s="31"/>
      <c r="X90" s="31"/>
      <c r="Y90" s="31"/>
      <c r="Z90" s="31"/>
      <c r="AA90" s="2"/>
      <c r="AB90" s="31"/>
      <c r="AC90" s="31"/>
      <c r="AD90" s="31"/>
      <c r="AE90" s="37"/>
      <c r="AF90" s="37"/>
      <c r="AG90" s="37"/>
    </row>
    <row r="91" spans="1:33" ht="15.75" customHeight="1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6"/>
      <c r="V91" s="1"/>
      <c r="W91" s="31"/>
      <c r="X91" s="31"/>
      <c r="Y91" s="31"/>
      <c r="Z91" s="31"/>
      <c r="AA91" s="2"/>
      <c r="AB91" s="31"/>
      <c r="AC91" s="31"/>
      <c r="AD91" s="31"/>
      <c r="AE91" s="37"/>
      <c r="AF91" s="37"/>
      <c r="AG91" s="37"/>
    </row>
    <row r="92" spans="1:33" ht="15.75" customHeight="1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6"/>
      <c r="V92" s="1"/>
      <c r="W92" s="31"/>
      <c r="X92" s="31"/>
      <c r="Y92" s="31"/>
      <c r="Z92" s="31"/>
      <c r="AA92" s="2"/>
      <c r="AB92" s="31"/>
      <c r="AC92" s="31"/>
      <c r="AD92" s="31"/>
      <c r="AE92" s="37"/>
      <c r="AF92" s="37"/>
      <c r="AG92" s="37"/>
    </row>
    <row r="93" spans="1:33" ht="15.75" customHeight="1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6"/>
      <c r="V93" s="1"/>
      <c r="W93" s="31"/>
      <c r="X93" s="31"/>
      <c r="Y93" s="31"/>
      <c r="Z93" s="31"/>
      <c r="AA93" s="2"/>
      <c r="AB93" s="31"/>
      <c r="AC93" s="31"/>
      <c r="AD93" s="31"/>
      <c r="AE93" s="37"/>
      <c r="AF93" s="37"/>
      <c r="AG93" s="37"/>
    </row>
    <row r="94" spans="1:33" ht="15.75" customHeight="1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6"/>
      <c r="V94" s="1"/>
      <c r="W94" s="31"/>
      <c r="X94" s="31"/>
      <c r="Y94" s="31"/>
      <c r="Z94" s="31"/>
      <c r="AA94" s="2"/>
      <c r="AB94" s="31"/>
      <c r="AC94" s="31"/>
      <c r="AD94" s="31"/>
      <c r="AE94" s="37"/>
      <c r="AF94" s="37"/>
      <c r="AG94" s="37"/>
    </row>
    <row r="95" spans="1:33" ht="15.75" customHeight="1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6"/>
      <c r="V95" s="1"/>
      <c r="W95" s="31"/>
      <c r="X95" s="31"/>
      <c r="Y95" s="31"/>
      <c r="Z95" s="31"/>
      <c r="AA95" s="2"/>
      <c r="AB95" s="31"/>
      <c r="AC95" s="31"/>
      <c r="AD95" s="31"/>
      <c r="AE95" s="37"/>
      <c r="AF95" s="37"/>
      <c r="AG95" s="37"/>
    </row>
    <row r="96" spans="1:33" ht="15.75" customHeight="1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6"/>
      <c r="V96" s="1"/>
      <c r="W96" s="31"/>
      <c r="X96" s="31"/>
      <c r="Y96" s="31"/>
      <c r="Z96" s="31"/>
      <c r="AA96" s="2"/>
      <c r="AB96" s="31"/>
      <c r="AC96" s="31"/>
      <c r="AD96" s="31"/>
      <c r="AE96" s="37"/>
      <c r="AF96" s="37"/>
      <c r="AG96" s="37"/>
    </row>
    <row r="97" spans="1:33" ht="15.75" customHeight="1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8"/>
      <c r="R97" s="38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8"/>
      <c r="R98" s="38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8"/>
      <c r="R99" s="38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8"/>
      <c r="R100" s="38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8"/>
      <c r="R101" s="38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8"/>
      <c r="R102" s="38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8"/>
      <c r="R103" s="38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8"/>
      <c r="R104" s="38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8"/>
      <c r="R105" s="38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8"/>
      <c r="R106" s="38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8"/>
      <c r="R107" s="38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8"/>
      <c r="R108" s="38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8"/>
      <c r="R109" s="38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8"/>
      <c r="R110" s="38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8"/>
      <c r="R111" s="38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8"/>
      <c r="R112" s="38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8"/>
      <c r="R113" s="38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8"/>
      <c r="R114" s="38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>
      <c r="A115" s="31"/>
      <c r="B115" s="31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>
      <c r="A116" s="31"/>
      <c r="B116" s="31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>
      <c r="A117" s="31"/>
      <c r="B117" s="31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>
      <c r="A118" s="31"/>
      <c r="B118" s="31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>
      <c r="A119" s="31"/>
      <c r="B119" s="31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>
      <c r="A120" s="31"/>
      <c r="B120" s="31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>
      <c r="A121" s="31"/>
      <c r="B121" s="31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>
      <c r="A122" s="31"/>
      <c r="B122" s="31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>
      <c r="A123" s="31"/>
      <c r="B123" s="31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>
      <c r="A124" s="31"/>
      <c r="B124" s="31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>
      <c r="A125" s="31"/>
      <c r="B125" s="31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>
      <c r="A126" s="31"/>
      <c r="B126" s="31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>
      <c r="A127" s="31"/>
      <c r="B127" s="31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>
      <c r="A128" s="31"/>
      <c r="B128" s="31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>
      <c r="A129" s="31"/>
      <c r="B129" s="31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>
      <c r="A130" s="31"/>
      <c r="B130" s="31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>
      <c r="A131" s="31"/>
      <c r="B131" s="31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>
      <c r="A132" s="31"/>
      <c r="B132" s="31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>
      <c r="A133" s="31"/>
      <c r="B133" s="31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>
      <c r="A134" s="31"/>
      <c r="B134" s="31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>
      <c r="A135" s="31"/>
      <c r="B135" s="31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>
      <c r="A136" s="31"/>
      <c r="B136" s="31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>
      <c r="A137" s="31"/>
      <c r="B137" s="31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>
      <c r="A138" s="31"/>
      <c r="B138" s="31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>
      <c r="A139" s="31"/>
      <c r="B139" s="31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>
      <c r="A140" s="31"/>
      <c r="B140" s="31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>
      <c r="A141" s="31"/>
      <c r="B141" s="31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2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>
      <c r="A142" s="31"/>
      <c r="B142" s="31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2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>
      <c r="A143" s="31"/>
      <c r="B143" s="31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2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>
      <c r="A144" s="31"/>
      <c r="B144" s="31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2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>
      <c r="A145" s="31"/>
      <c r="B145" s="31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2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>
      <c r="A146" s="31"/>
      <c r="B146" s="31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2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>
      <c r="A147" s="31"/>
      <c r="B147" s="31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2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>
      <c r="A148" s="31"/>
      <c r="B148" s="31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2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</row>
    <row r="149" spans="1:33" ht="15.75" customHeight="1">
      <c r="A149" s="14"/>
      <c r="B149" s="14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>
      <c r="A150" s="14"/>
      <c r="B150" s="14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>
      <c r="A151" s="14"/>
      <c r="B151" s="14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>
      <c r="A152" s="14"/>
      <c r="B152" s="14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>
      <c r="A153" s="14"/>
      <c r="B153" s="14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>
      <c r="A154" s="14"/>
      <c r="B154" s="14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>
      <c r="A155" s="14"/>
      <c r="B155" s="14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>
      <c r="A156" s="14"/>
      <c r="B156" s="14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>
      <c r="A157" s="14"/>
      <c r="B157" s="14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>
      <c r="A158" s="14"/>
      <c r="B158" s="14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>
      <c r="A159" s="14"/>
      <c r="B159" s="14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>
      <c r="A160" s="14"/>
      <c r="B160" s="14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>
      <c r="A161" s="14"/>
      <c r="B161" s="14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>
      <c r="A162" s="14"/>
      <c r="B162" s="14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>
      <c r="A163" s="14"/>
      <c r="B163" s="14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>
      <c r="A164" s="14"/>
      <c r="B164" s="14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>
      <c r="A165" s="14"/>
      <c r="B165" s="14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>
      <c r="A166" s="14"/>
      <c r="B166" s="14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>
      <c r="A167" s="14"/>
      <c r="B167" s="14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>
      <c r="A168" s="14"/>
      <c r="B168" s="14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>
      <c r="A169" s="14"/>
      <c r="B169" s="14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>
      <c r="A170" s="14"/>
      <c r="B170" s="14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>
      <c r="A171" s="14"/>
      <c r="B171" s="14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>
      <c r="A172" s="14"/>
      <c r="B172" s="14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>
      <c r="A173" s="14"/>
      <c r="B173" s="14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>
      <c r="A174" s="14"/>
      <c r="B174" s="14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>
      <c r="A175" s="14"/>
      <c r="B175" s="14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>
      <c r="A176" s="14"/>
      <c r="B176" s="14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>
      <c r="A177" s="14"/>
      <c r="B177" s="14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>
      <c r="A178" s="14"/>
      <c r="B178" s="14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>
      <c r="A179" s="14"/>
      <c r="B179" s="14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>
      <c r="A180" s="14"/>
      <c r="B180" s="14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>
      <c r="A181" s="14"/>
      <c r="B181" s="14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>
      <c r="A182" s="14"/>
      <c r="B182" s="14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>
      <c r="A183" s="14"/>
      <c r="B183" s="14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>
      <c r="A184" s="14"/>
      <c r="B184" s="14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>
      <c r="A185" s="14"/>
      <c r="B185" s="14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>
      <c r="A186" s="14"/>
      <c r="B186" s="14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>
      <c r="A187" s="14"/>
      <c r="B187" s="14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>
      <c r="A188" s="14"/>
      <c r="B188" s="14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>
      <c r="A189" s="14"/>
      <c r="B189" s="14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>
      <c r="A190" s="14"/>
      <c r="B190" s="14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>
      <c r="A191" s="14"/>
      <c r="B191" s="14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>
      <c r="A192" s="14"/>
      <c r="B192" s="14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>
      <c r="A193" s="14"/>
      <c r="B193" s="14"/>
      <c r="C193" s="39"/>
      <c r="D193" s="39"/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>
      <c r="A194" s="14"/>
      <c r="B194" s="14"/>
      <c r="C194" s="39"/>
      <c r="D194" s="39"/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>
      <c r="A195" s="14"/>
      <c r="B195" s="14"/>
      <c r="C195" s="39"/>
      <c r="D195" s="39"/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>
      <c r="A196" s="14"/>
      <c r="B196" s="14"/>
      <c r="C196" s="39"/>
      <c r="D196" s="39"/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>
      <c r="A197" s="14"/>
      <c r="B197" s="14"/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>
      <c r="A198" s="14"/>
      <c r="B198" s="14"/>
      <c r="C198" s="39"/>
      <c r="D198" s="39"/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>
      <c r="A199" s="14"/>
      <c r="B199" s="14"/>
      <c r="C199" s="39"/>
      <c r="D199" s="39"/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>
      <c r="A200" s="14"/>
      <c r="B200" s="14"/>
      <c r="C200" s="39"/>
      <c r="D200" s="39"/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>
      <c r="A201" s="14"/>
      <c r="B201" s="14"/>
      <c r="C201" s="39"/>
      <c r="D201" s="39"/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>
      <c r="A202" s="14"/>
      <c r="B202" s="14"/>
      <c r="C202" s="39"/>
      <c r="D202" s="39"/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>
      <c r="A203" s="14"/>
      <c r="B203" s="14"/>
      <c r="C203" s="39"/>
      <c r="D203" s="39"/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>
      <c r="A204" s="14"/>
      <c r="B204" s="14"/>
      <c r="C204" s="39"/>
      <c r="D204" s="39"/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>
      <c r="A205" s="14"/>
      <c r="B205" s="14"/>
      <c r="C205" s="39"/>
      <c r="D205" s="39"/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>
      <c r="A206" s="14"/>
      <c r="B206" s="14"/>
      <c r="C206" s="39"/>
      <c r="D206" s="39"/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>
      <c r="A207" s="14"/>
      <c r="B207" s="14"/>
      <c r="C207" s="39"/>
      <c r="D207" s="39"/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>
      <c r="A208" s="14"/>
      <c r="B208" s="14"/>
      <c r="C208" s="39"/>
      <c r="D208" s="39"/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>
      <c r="A209" s="14"/>
      <c r="B209" s="14"/>
      <c r="C209" s="39"/>
      <c r="D209" s="39"/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>
      <c r="A210" s="14"/>
      <c r="B210" s="14"/>
      <c r="C210" s="39"/>
      <c r="D210" s="39"/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>
      <c r="A211" s="14"/>
      <c r="B211" s="14"/>
      <c r="C211" s="39"/>
      <c r="D211" s="39"/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>
      <c r="A212" s="14"/>
      <c r="B212" s="14"/>
      <c r="C212" s="39"/>
      <c r="D212" s="39"/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>
      <c r="A213" s="14"/>
      <c r="B213" s="14"/>
      <c r="C213" s="39"/>
      <c r="D213" s="39"/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>
      <c r="A214" s="14"/>
      <c r="B214" s="14"/>
      <c r="C214" s="39"/>
      <c r="D214" s="39"/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>
      <c r="A215" s="14"/>
      <c r="B215" s="14"/>
      <c r="C215" s="39"/>
      <c r="D215" s="39"/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>
      <c r="A216" s="14"/>
      <c r="B216" s="14"/>
      <c r="C216" s="39"/>
      <c r="D216" s="39"/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>
      <c r="A217" s="14"/>
      <c r="B217" s="14"/>
      <c r="C217" s="39"/>
      <c r="D217" s="39"/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>
      <c r="A218" s="14"/>
      <c r="B218" s="14"/>
      <c r="C218" s="39"/>
      <c r="D218" s="39"/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>
      <c r="A219" s="14"/>
      <c r="B219" s="14"/>
      <c r="C219" s="39"/>
      <c r="D219" s="39"/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>
      <c r="A220" s="14"/>
      <c r="B220" s="14"/>
      <c r="C220" s="39"/>
      <c r="D220" s="39"/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>
      <c r="R221" s="30"/>
      <c r="S221" s="40"/>
    </row>
    <row r="222" spans="1:33" ht="15.75" customHeight="1">
      <c r="R222" s="30"/>
      <c r="S222" s="40"/>
    </row>
    <row r="223" spans="1:33" ht="15.75" customHeight="1">
      <c r="R223" s="30"/>
      <c r="S223" s="40"/>
    </row>
    <row r="224" spans="1:33" ht="15.75" customHeight="1">
      <c r="R224" s="30"/>
      <c r="S224" s="40"/>
    </row>
    <row r="225" spans="18:18" ht="15.75" customHeight="1">
      <c r="R225" s="30"/>
    </row>
    <row r="226" spans="18:18" ht="15.75" customHeight="1">
      <c r="R226" s="30"/>
    </row>
    <row r="227" spans="18:18" ht="15.75" customHeight="1">
      <c r="R227" s="30"/>
    </row>
    <row r="228" spans="18:18" ht="15.75" customHeight="1">
      <c r="R228" s="30"/>
    </row>
    <row r="229" spans="18:18" ht="15.75" customHeight="1">
      <c r="R229" s="30"/>
    </row>
    <row r="230" spans="18:18" ht="15.75" customHeight="1">
      <c r="R230" s="30"/>
    </row>
    <row r="231" spans="18:18" ht="15.75" customHeight="1">
      <c r="R231" s="30"/>
    </row>
    <row r="232" spans="18:18" ht="15.75" customHeight="1">
      <c r="R232" s="30"/>
    </row>
    <row r="233" spans="18:18" ht="15.75" customHeight="1">
      <c r="R233" s="30"/>
    </row>
    <row r="234" spans="18:18" ht="15.75" customHeight="1">
      <c r="R234" s="30"/>
    </row>
    <row r="235" spans="18:18" ht="15.75" customHeight="1">
      <c r="R235" s="30"/>
    </row>
    <row r="236" spans="18:18" ht="15.75" customHeight="1">
      <c r="R236" s="30"/>
    </row>
    <row r="237" spans="18:18" ht="15.75" customHeight="1">
      <c r="R237" s="30"/>
    </row>
    <row r="238" spans="18:18" ht="15.75" customHeight="1">
      <c r="R238" s="30"/>
    </row>
    <row r="239" spans="18:18" ht="15.75" customHeight="1">
      <c r="R239" s="30"/>
    </row>
    <row r="240" spans="18:18" ht="15.75" customHeight="1">
      <c r="R240" s="30"/>
    </row>
    <row r="241" spans="18:18" ht="15.75" customHeight="1">
      <c r="R241" s="30"/>
    </row>
    <row r="242" spans="18:18" ht="15.75" customHeight="1">
      <c r="R242" s="30"/>
    </row>
    <row r="243" spans="18:18" ht="15.75" customHeight="1">
      <c r="R243" s="30"/>
    </row>
    <row r="244" spans="18:18" ht="15.75" customHeight="1">
      <c r="R244" s="30"/>
    </row>
    <row r="245" spans="18:18" ht="15.75" customHeight="1">
      <c r="R245" s="30"/>
    </row>
    <row r="246" spans="18:18" ht="15.75" customHeight="1">
      <c r="R246" s="30"/>
    </row>
    <row r="247" spans="18:18" ht="15.75" customHeight="1">
      <c r="R247" s="30"/>
    </row>
    <row r="248" spans="18:18" ht="15.75" customHeight="1">
      <c r="R248" s="30"/>
    </row>
    <row r="249" spans="18:18" ht="15.75" customHeight="1">
      <c r="R249" s="30"/>
    </row>
    <row r="250" spans="18:18" ht="15.75" customHeight="1">
      <c r="R250" s="30"/>
    </row>
    <row r="251" spans="18:18" ht="15.75" customHeight="1">
      <c r="R251" s="30"/>
    </row>
    <row r="252" spans="18:18" ht="15.75" customHeight="1">
      <c r="R252" s="30"/>
    </row>
    <row r="253" spans="18:18" ht="15.75" customHeight="1">
      <c r="R253" s="30"/>
    </row>
    <row r="254" spans="18:18" ht="15.75" customHeight="1">
      <c r="R254" s="30"/>
    </row>
    <row r="255" spans="18:18" ht="15.75" customHeight="1">
      <c r="R255" s="30"/>
    </row>
    <row r="256" spans="18:18" ht="15.75" customHeight="1">
      <c r="R256" s="30"/>
    </row>
    <row r="257" spans="18:18" ht="15.75" customHeight="1">
      <c r="R257" s="30"/>
    </row>
    <row r="258" spans="18:18" ht="15.75" customHeight="1">
      <c r="R258" s="30"/>
    </row>
    <row r="259" spans="18:18" ht="15.75" customHeight="1">
      <c r="R259" s="30"/>
    </row>
    <row r="260" spans="18:18" ht="15.75" customHeight="1">
      <c r="R260" s="30"/>
    </row>
    <row r="261" spans="18:18" ht="15.75" customHeight="1">
      <c r="R261" s="30"/>
    </row>
    <row r="262" spans="18:18" ht="15.75" customHeight="1">
      <c r="R262" s="30"/>
    </row>
    <row r="263" spans="18:18" ht="15.75" customHeight="1">
      <c r="R263" s="30"/>
    </row>
    <row r="264" spans="18:18" ht="15.75" customHeight="1">
      <c r="R264" s="30"/>
    </row>
    <row r="265" spans="18:18" ht="15.75" customHeight="1">
      <c r="R265" s="30"/>
    </row>
    <row r="266" spans="18:18" ht="15.75" customHeight="1">
      <c r="R266" s="30"/>
    </row>
    <row r="267" spans="18:18" ht="15.75" customHeight="1">
      <c r="R267" s="30"/>
    </row>
    <row r="268" spans="18:18" ht="15.75" customHeight="1">
      <c r="R268" s="30"/>
    </row>
    <row r="269" spans="18:18" ht="15.75" customHeight="1">
      <c r="R269" s="30"/>
    </row>
    <row r="270" spans="18:18" ht="15.75" customHeight="1">
      <c r="R270" s="30"/>
    </row>
    <row r="271" spans="18:18" ht="15.75" customHeight="1">
      <c r="R271" s="30"/>
    </row>
    <row r="272" spans="18:18" ht="15.75" customHeight="1">
      <c r="R272" s="30"/>
    </row>
    <row r="273" spans="18:18" ht="15.75" customHeight="1">
      <c r="R273" s="30"/>
    </row>
    <row r="274" spans="18:18" ht="15.75" customHeight="1">
      <c r="R274" s="30"/>
    </row>
    <row r="275" spans="18:18" ht="15.75" customHeight="1">
      <c r="R275" s="30"/>
    </row>
    <row r="276" spans="18:18" ht="15.75" customHeight="1">
      <c r="R276" s="30"/>
    </row>
    <row r="277" spans="18:18" ht="15.75" customHeight="1">
      <c r="R277" s="30"/>
    </row>
    <row r="278" spans="18:18" ht="15.75" customHeight="1">
      <c r="R278" s="30"/>
    </row>
    <row r="279" spans="18:18" ht="15.75" customHeight="1">
      <c r="R279" s="30"/>
    </row>
    <row r="280" spans="18:18" ht="15.75" customHeight="1">
      <c r="R280" s="30"/>
    </row>
    <row r="281" spans="18:18" ht="15.75" customHeight="1">
      <c r="R281" s="30"/>
    </row>
    <row r="282" spans="18:18" ht="15.75" customHeight="1">
      <c r="R282" s="30"/>
    </row>
    <row r="283" spans="18:18" ht="15.75" customHeight="1">
      <c r="R283" s="30"/>
    </row>
    <row r="284" spans="18:18" ht="15.75" customHeight="1">
      <c r="R284" s="30"/>
    </row>
    <row r="285" spans="18:18" ht="15.75" customHeight="1">
      <c r="R285" s="30"/>
    </row>
    <row r="286" spans="18:18" ht="15.75" customHeight="1">
      <c r="R286" s="30"/>
    </row>
    <row r="287" spans="18:18" ht="15.75" customHeight="1">
      <c r="R287" s="30"/>
    </row>
    <row r="288" spans="18:18" ht="15.75" customHeight="1">
      <c r="R288" s="30"/>
    </row>
    <row r="289" spans="18:18" ht="15.75" customHeight="1">
      <c r="R289" s="30"/>
    </row>
    <row r="290" spans="18:18" ht="15.75" customHeight="1">
      <c r="R290" s="30"/>
    </row>
    <row r="291" spans="18:18" ht="15.75" customHeight="1">
      <c r="R291" s="30"/>
    </row>
    <row r="292" spans="18:18" ht="15.75" customHeight="1">
      <c r="R292" s="30"/>
    </row>
    <row r="293" spans="18:18" ht="15.75" customHeight="1">
      <c r="R293" s="30"/>
    </row>
    <row r="294" spans="18:18" ht="15.75" customHeight="1">
      <c r="R294" s="30"/>
    </row>
    <row r="295" spans="18:18" ht="15.75" customHeight="1">
      <c r="R295" s="30"/>
    </row>
    <row r="296" spans="18:18" ht="15.75" customHeight="1">
      <c r="R296" s="30"/>
    </row>
    <row r="297" spans="18:18" ht="15.75" customHeight="1">
      <c r="R297" s="30"/>
    </row>
    <row r="298" spans="18:18" ht="15.75" customHeight="1">
      <c r="R298" s="30"/>
    </row>
    <row r="299" spans="18:18" ht="15.75" customHeight="1">
      <c r="R299" s="30"/>
    </row>
    <row r="300" spans="18:18" ht="15.75" customHeight="1">
      <c r="R300" s="30"/>
    </row>
    <row r="301" spans="18:18" ht="15.75" customHeight="1">
      <c r="R301" s="30"/>
    </row>
    <row r="302" spans="18:18" ht="15.75" customHeight="1">
      <c r="R302" s="30"/>
    </row>
    <row r="303" spans="18:18" ht="15.75" customHeight="1">
      <c r="R303" s="30"/>
    </row>
    <row r="304" spans="18:18" ht="15.75" customHeight="1">
      <c r="R304" s="30"/>
    </row>
    <row r="305" spans="18:18" ht="15.75" customHeight="1">
      <c r="R305" s="30"/>
    </row>
    <row r="306" spans="18:18" ht="15.75" customHeight="1">
      <c r="R306" s="30"/>
    </row>
    <row r="307" spans="18:18" ht="15.75" customHeight="1">
      <c r="R307" s="30"/>
    </row>
    <row r="308" spans="18:18" ht="15.75" customHeight="1">
      <c r="R308" s="30"/>
    </row>
    <row r="309" spans="18:18" ht="15.75" customHeight="1">
      <c r="R309" s="30"/>
    </row>
    <row r="310" spans="18:18" ht="15.75" customHeight="1">
      <c r="R310" s="30"/>
    </row>
    <row r="311" spans="18:18" ht="15.75" customHeight="1">
      <c r="R311" s="30"/>
    </row>
    <row r="312" spans="18:18" ht="15.75" customHeight="1">
      <c r="R312" s="30"/>
    </row>
    <row r="313" spans="18:18" ht="15.75" customHeight="1">
      <c r="R313" s="30"/>
    </row>
    <row r="314" spans="18:18" ht="15.75" customHeight="1">
      <c r="R314" s="30"/>
    </row>
    <row r="315" spans="18:18" ht="15.75" customHeight="1">
      <c r="R315" s="30"/>
    </row>
    <row r="316" spans="18:18" ht="15.75" customHeight="1">
      <c r="R316" s="30"/>
    </row>
    <row r="317" spans="18:18" ht="15.75" customHeight="1">
      <c r="R317" s="30"/>
    </row>
    <row r="318" spans="18:18" ht="15.75" customHeight="1">
      <c r="R318" s="30"/>
    </row>
    <row r="319" spans="18:18" ht="15.75" customHeight="1">
      <c r="R319" s="30"/>
    </row>
    <row r="320" spans="18:18" ht="15.75" customHeight="1">
      <c r="R320" s="30"/>
    </row>
    <row r="321" spans="18:18" ht="15.75" customHeight="1">
      <c r="R321" s="30"/>
    </row>
    <row r="322" spans="18:18" ht="15.75" customHeight="1">
      <c r="R322" s="30"/>
    </row>
    <row r="323" spans="18:18" ht="15.75" customHeight="1">
      <c r="R323" s="30"/>
    </row>
    <row r="324" spans="18:18" ht="15.75" customHeight="1">
      <c r="R324" s="30"/>
    </row>
    <row r="325" spans="18:18" ht="15.75" customHeight="1">
      <c r="R325" s="30"/>
    </row>
    <row r="326" spans="18:18" ht="15.75" customHeight="1">
      <c r="R326" s="30"/>
    </row>
    <row r="327" spans="18:18" ht="15.75" customHeight="1">
      <c r="R327" s="30"/>
    </row>
    <row r="328" spans="18:18" ht="15.75" customHeight="1">
      <c r="R328" s="30"/>
    </row>
    <row r="329" spans="18:18" ht="15.75" customHeight="1">
      <c r="R329" s="30"/>
    </row>
    <row r="330" spans="18:18" ht="15.75" customHeight="1">
      <c r="R330" s="30"/>
    </row>
    <row r="331" spans="18:18" ht="15.75" customHeight="1">
      <c r="R331" s="30"/>
    </row>
    <row r="332" spans="18:18" ht="15.75" customHeight="1">
      <c r="R332" s="30"/>
    </row>
    <row r="333" spans="18:18" ht="15.75" customHeight="1">
      <c r="R333" s="30"/>
    </row>
    <row r="334" spans="18:18" ht="15.75" customHeight="1">
      <c r="R334" s="30"/>
    </row>
    <row r="335" spans="18:18" ht="15.75" customHeight="1">
      <c r="R335" s="30"/>
    </row>
    <row r="336" spans="18:18" ht="15.75" customHeight="1">
      <c r="R336" s="30"/>
    </row>
    <row r="337" spans="18:18" ht="15.75" customHeight="1">
      <c r="R337" s="30"/>
    </row>
    <row r="338" spans="18:18" ht="15.75" customHeight="1">
      <c r="R338" s="30"/>
    </row>
    <row r="339" spans="18:18" ht="15.75" customHeight="1">
      <c r="R339" s="30"/>
    </row>
    <row r="340" spans="18:18" ht="15.75" customHeight="1">
      <c r="R340" s="30"/>
    </row>
    <row r="341" spans="18:18" ht="15.75" customHeight="1">
      <c r="R341" s="30"/>
    </row>
    <row r="342" spans="18:18" ht="15.75" customHeight="1">
      <c r="R342" s="30"/>
    </row>
    <row r="343" spans="18:18" ht="15.75" customHeight="1">
      <c r="R343" s="30"/>
    </row>
    <row r="344" spans="18:18" ht="15.75" customHeight="1">
      <c r="R344" s="30"/>
    </row>
    <row r="345" spans="18:18" ht="15.75" customHeight="1">
      <c r="R345" s="30"/>
    </row>
    <row r="346" spans="18:18" ht="15.75" customHeight="1">
      <c r="R346" s="30"/>
    </row>
    <row r="347" spans="18:18" ht="15.75" customHeight="1">
      <c r="R347" s="30"/>
    </row>
    <row r="348" spans="18:18" ht="15.75" customHeight="1">
      <c r="R348" s="30"/>
    </row>
    <row r="349" spans="18:18" ht="15.75" customHeight="1">
      <c r="R349" s="30"/>
    </row>
    <row r="350" spans="18:18" ht="15.75" customHeight="1">
      <c r="R350" s="30"/>
    </row>
    <row r="351" spans="18:18" ht="15.75" customHeight="1">
      <c r="R351" s="30"/>
    </row>
    <row r="352" spans="18:18" ht="15.75" customHeight="1">
      <c r="R352" s="30"/>
    </row>
    <row r="353" spans="18:18" ht="15.75" customHeight="1">
      <c r="R353" s="30"/>
    </row>
    <row r="354" spans="18:18" ht="15.75" customHeight="1">
      <c r="R354" s="30"/>
    </row>
    <row r="355" spans="18:18" ht="15.75" customHeight="1">
      <c r="R355" s="30"/>
    </row>
    <row r="356" spans="18:18" ht="15.75" customHeight="1">
      <c r="R356" s="30"/>
    </row>
    <row r="357" spans="18:18" ht="15.75" customHeight="1">
      <c r="R357" s="30"/>
    </row>
    <row r="358" spans="18:18" ht="15.75" customHeight="1">
      <c r="R358" s="30"/>
    </row>
    <row r="359" spans="18:18" ht="15.75" customHeight="1">
      <c r="R359" s="30"/>
    </row>
    <row r="360" spans="18:18" ht="15.75" customHeight="1">
      <c r="R360" s="30"/>
    </row>
    <row r="361" spans="18:18" ht="15.75" customHeight="1">
      <c r="R361" s="30"/>
    </row>
    <row r="362" spans="18:18" ht="15.75" customHeight="1">
      <c r="R362" s="30"/>
    </row>
    <row r="363" spans="18:18" ht="15.75" customHeight="1">
      <c r="R363" s="30"/>
    </row>
    <row r="364" spans="18:18" ht="15.75" customHeight="1">
      <c r="R364" s="30"/>
    </row>
    <row r="365" spans="18:18" ht="15.75" customHeight="1">
      <c r="R365" s="30"/>
    </row>
    <row r="366" spans="18:18" ht="15.75" customHeight="1">
      <c r="R366" s="30"/>
    </row>
    <row r="367" spans="18:18" ht="15.75" customHeight="1">
      <c r="R367" s="30"/>
    </row>
    <row r="368" spans="18:18" ht="15.75" customHeight="1">
      <c r="R368" s="30"/>
    </row>
    <row r="369" spans="18:18" ht="15.75" customHeight="1">
      <c r="R369" s="30"/>
    </row>
    <row r="370" spans="18:18" ht="15.75" customHeight="1">
      <c r="R370" s="30"/>
    </row>
    <row r="371" spans="18:18" ht="15.75" customHeight="1">
      <c r="R371" s="30"/>
    </row>
    <row r="372" spans="18:18" ht="15.75" customHeight="1">
      <c r="R372" s="30"/>
    </row>
    <row r="373" spans="18:18" ht="15.75" customHeight="1">
      <c r="R373" s="30"/>
    </row>
    <row r="374" spans="18:18" ht="15.75" customHeight="1">
      <c r="R374" s="30"/>
    </row>
    <row r="375" spans="18:18" ht="15.75" customHeight="1">
      <c r="R375" s="30"/>
    </row>
    <row r="376" spans="18:18" ht="15.75" customHeight="1">
      <c r="R376" s="30"/>
    </row>
    <row r="377" spans="18:18" ht="15.75" customHeight="1">
      <c r="R377" s="30"/>
    </row>
    <row r="378" spans="18:18" ht="15.75" customHeight="1">
      <c r="R378" s="30"/>
    </row>
    <row r="379" spans="18:18" ht="15.75" customHeight="1">
      <c r="R379" s="30"/>
    </row>
    <row r="380" spans="18:18" ht="15.75" customHeight="1">
      <c r="R380" s="30"/>
    </row>
    <row r="381" spans="18:18" ht="15.75" customHeight="1">
      <c r="R381" s="30"/>
    </row>
    <row r="382" spans="18:18" ht="15.75" customHeight="1">
      <c r="R382" s="30"/>
    </row>
    <row r="383" spans="18:18" ht="15.75" customHeight="1">
      <c r="R383" s="30"/>
    </row>
    <row r="384" spans="18:18" ht="15.75" customHeight="1">
      <c r="R384" s="30"/>
    </row>
    <row r="385" spans="18:18" ht="15.75" customHeight="1">
      <c r="R385" s="30"/>
    </row>
    <row r="386" spans="18:18" ht="15.75" customHeight="1">
      <c r="R386" s="30"/>
    </row>
    <row r="387" spans="18:18" ht="15.75" customHeight="1">
      <c r="R387" s="30"/>
    </row>
    <row r="388" spans="18:18" ht="15.75" customHeight="1">
      <c r="R388" s="30"/>
    </row>
    <row r="389" spans="18:18" ht="15.75" customHeight="1">
      <c r="R389" s="30"/>
    </row>
    <row r="390" spans="18:18" ht="15.75" customHeight="1">
      <c r="R390" s="30"/>
    </row>
    <row r="391" spans="18:18" ht="15.75" customHeight="1">
      <c r="R391" s="30"/>
    </row>
    <row r="392" spans="18:18" ht="15.75" customHeight="1">
      <c r="R392" s="30"/>
    </row>
    <row r="393" spans="18:18" ht="15.75" customHeight="1">
      <c r="R393" s="30"/>
    </row>
    <row r="394" spans="18:18" ht="15.75" customHeight="1">
      <c r="R394" s="30"/>
    </row>
    <row r="395" spans="18:18" ht="15.75" customHeight="1">
      <c r="R395" s="30"/>
    </row>
    <row r="396" spans="18:18" ht="15.75" customHeight="1">
      <c r="R396" s="30"/>
    </row>
    <row r="397" spans="18:18" ht="15.75" customHeight="1">
      <c r="R397" s="30"/>
    </row>
    <row r="398" spans="18:18" ht="15.75" customHeight="1">
      <c r="R398" s="30"/>
    </row>
    <row r="399" spans="18:18" ht="15.75" customHeight="1">
      <c r="R399" s="30"/>
    </row>
    <row r="400" spans="18:18" ht="15.75" customHeight="1">
      <c r="R400" s="30"/>
    </row>
    <row r="401" spans="18:18" ht="15.75" customHeight="1">
      <c r="R401" s="30"/>
    </row>
    <row r="402" spans="18:18" ht="15.75" customHeight="1">
      <c r="R402" s="30"/>
    </row>
    <row r="403" spans="18:18" ht="15.75" customHeight="1">
      <c r="R403" s="30"/>
    </row>
    <row r="404" spans="18:18" ht="15.75" customHeight="1">
      <c r="R404" s="30"/>
    </row>
    <row r="405" spans="18:18" ht="15.75" customHeight="1">
      <c r="R405" s="30"/>
    </row>
    <row r="406" spans="18:18" ht="15.75" customHeight="1">
      <c r="R406" s="30"/>
    </row>
    <row r="407" spans="18:18" ht="15.75" customHeight="1">
      <c r="R407" s="30"/>
    </row>
    <row r="408" spans="18:18" ht="15.75" customHeight="1">
      <c r="R408" s="30"/>
    </row>
    <row r="409" spans="18:18" ht="15.75" customHeight="1">
      <c r="R409" s="30"/>
    </row>
    <row r="410" spans="18:18" ht="15.75" customHeight="1">
      <c r="R410" s="30"/>
    </row>
    <row r="411" spans="18:18" ht="15.75" customHeight="1">
      <c r="R411" s="30"/>
    </row>
    <row r="412" spans="18:18" ht="15.75" customHeight="1">
      <c r="R412" s="30"/>
    </row>
    <row r="413" spans="18:18" ht="15.75" customHeight="1">
      <c r="R413" s="30"/>
    </row>
    <row r="414" spans="18:18" ht="15.75" customHeight="1">
      <c r="R414" s="30"/>
    </row>
    <row r="415" spans="18:18" ht="15.75" customHeight="1">
      <c r="R415" s="30"/>
    </row>
    <row r="416" spans="18:18" ht="15.75" customHeight="1">
      <c r="R416" s="30"/>
    </row>
    <row r="417" spans="18:18" ht="15.75" customHeight="1">
      <c r="R417" s="30"/>
    </row>
    <row r="418" spans="18:18" ht="15.75" customHeight="1">
      <c r="R418" s="30"/>
    </row>
    <row r="419" spans="18:18" ht="15.75" customHeight="1">
      <c r="R419" s="30"/>
    </row>
    <row r="420" spans="18:18" ht="15.75" customHeight="1">
      <c r="R420" s="30"/>
    </row>
    <row r="421" spans="18:18" ht="15.75" customHeight="1">
      <c r="R421" s="30"/>
    </row>
    <row r="422" spans="18:18" ht="15.75" customHeight="1">
      <c r="R422" s="30"/>
    </row>
    <row r="423" spans="18:18" ht="15.75" customHeight="1">
      <c r="R423" s="30"/>
    </row>
    <row r="424" spans="18:18" ht="15.75" customHeight="1">
      <c r="R424" s="30"/>
    </row>
    <row r="425" spans="18:18" ht="15.75" customHeight="1">
      <c r="R425" s="30"/>
    </row>
    <row r="426" spans="18:18" ht="15.75" customHeight="1">
      <c r="R426" s="30"/>
    </row>
    <row r="427" spans="18:18" ht="15.75" customHeight="1">
      <c r="R427" s="30"/>
    </row>
    <row r="428" spans="18:18" ht="15.75" customHeight="1">
      <c r="R428" s="30"/>
    </row>
    <row r="429" spans="18:18" ht="15.75" customHeight="1">
      <c r="R429" s="30"/>
    </row>
    <row r="430" spans="18:18" ht="15.75" customHeight="1">
      <c r="R430" s="30"/>
    </row>
    <row r="431" spans="18:18" ht="15.75" customHeight="1">
      <c r="R431" s="30"/>
    </row>
    <row r="432" spans="18:18" ht="15.75" customHeight="1">
      <c r="R432" s="30"/>
    </row>
    <row r="433" spans="18:18" ht="15.75" customHeight="1">
      <c r="R433" s="30"/>
    </row>
    <row r="434" spans="18:18" ht="15.75" customHeight="1">
      <c r="R434" s="30"/>
    </row>
    <row r="435" spans="18:18" ht="15.75" customHeight="1">
      <c r="R435" s="30"/>
    </row>
    <row r="436" spans="18:18" ht="15.75" customHeight="1">
      <c r="R436" s="30"/>
    </row>
    <row r="437" spans="18:18" ht="15.75" customHeight="1">
      <c r="R437" s="30"/>
    </row>
    <row r="438" spans="18:18" ht="15.75" customHeight="1">
      <c r="R438" s="30"/>
    </row>
    <row r="439" spans="18:18" ht="15.75" customHeight="1">
      <c r="R439" s="30"/>
    </row>
    <row r="440" spans="18:18" ht="15.75" customHeight="1">
      <c r="R440" s="30"/>
    </row>
    <row r="441" spans="18:18" ht="15.75" customHeight="1">
      <c r="R441" s="30"/>
    </row>
    <row r="442" spans="18:18" ht="15.75" customHeight="1">
      <c r="R442" s="30"/>
    </row>
    <row r="443" spans="18:18" ht="15.75" customHeight="1">
      <c r="R443" s="30"/>
    </row>
    <row r="444" spans="18:18" ht="15.75" customHeight="1">
      <c r="R444" s="30"/>
    </row>
    <row r="445" spans="18:18" ht="15.75" customHeight="1">
      <c r="R445" s="30"/>
    </row>
    <row r="446" spans="18:18" ht="15.75" customHeight="1">
      <c r="R446" s="30"/>
    </row>
    <row r="447" spans="18:18" ht="15.75" customHeight="1">
      <c r="R447" s="30"/>
    </row>
    <row r="448" spans="18:18" ht="15.75" customHeight="1">
      <c r="R448" s="30"/>
    </row>
    <row r="449" spans="18:18" ht="15.75" customHeight="1">
      <c r="R449" s="30"/>
    </row>
    <row r="450" spans="18:18" ht="15.75" customHeight="1">
      <c r="R450" s="30"/>
    </row>
    <row r="451" spans="18:18" ht="15.75" customHeight="1">
      <c r="R451" s="30"/>
    </row>
    <row r="452" spans="18:18" ht="15.75" customHeight="1">
      <c r="R452" s="30"/>
    </row>
    <row r="453" spans="18:18" ht="15.75" customHeight="1">
      <c r="R453" s="30"/>
    </row>
    <row r="454" spans="18:18" ht="15.75" customHeight="1">
      <c r="R454" s="30"/>
    </row>
    <row r="455" spans="18:18" ht="15.75" customHeight="1">
      <c r="R455" s="30"/>
    </row>
    <row r="456" spans="18:18" ht="15.75" customHeight="1">
      <c r="R456" s="30"/>
    </row>
    <row r="457" spans="18:18" ht="15.75" customHeight="1">
      <c r="R457" s="30"/>
    </row>
    <row r="458" spans="18:18" ht="15.75" customHeight="1">
      <c r="R458" s="30"/>
    </row>
    <row r="459" spans="18:18" ht="15.75" customHeight="1">
      <c r="R459" s="30"/>
    </row>
    <row r="460" spans="18:18" ht="15.75" customHeight="1">
      <c r="R460" s="30"/>
    </row>
    <row r="461" spans="18:18" ht="15.75" customHeight="1">
      <c r="R461" s="30"/>
    </row>
    <row r="462" spans="18:18" ht="15.75" customHeight="1">
      <c r="R462" s="30"/>
    </row>
    <row r="463" spans="18:18" ht="15.75" customHeight="1">
      <c r="R463" s="30"/>
    </row>
    <row r="464" spans="18:18" ht="15.75" customHeight="1">
      <c r="R464" s="30"/>
    </row>
    <row r="465" spans="18:18" ht="15.75" customHeight="1">
      <c r="R465" s="30"/>
    </row>
    <row r="466" spans="18:18" ht="15.75" customHeight="1">
      <c r="R466" s="30"/>
    </row>
    <row r="467" spans="18:18" ht="15.75" customHeight="1">
      <c r="R467" s="30"/>
    </row>
    <row r="468" spans="18:18" ht="15.75" customHeight="1">
      <c r="R468" s="30"/>
    </row>
    <row r="469" spans="18:18" ht="15.75" customHeight="1">
      <c r="R469" s="30"/>
    </row>
    <row r="470" spans="18:18" ht="15.75" customHeight="1">
      <c r="R470" s="30"/>
    </row>
    <row r="471" spans="18:18" ht="15.75" customHeight="1">
      <c r="R471" s="30"/>
    </row>
    <row r="472" spans="18:18" ht="15.75" customHeight="1">
      <c r="R472" s="30"/>
    </row>
    <row r="473" spans="18:18" ht="15.75" customHeight="1">
      <c r="R473" s="30"/>
    </row>
    <row r="474" spans="18:18" ht="15.75" customHeight="1">
      <c r="R474" s="30"/>
    </row>
    <row r="475" spans="18:18" ht="15.75" customHeight="1">
      <c r="R475" s="30"/>
    </row>
    <row r="476" spans="18:18" ht="15.75" customHeight="1">
      <c r="R476" s="30"/>
    </row>
    <row r="477" spans="18:18" ht="15.75" customHeight="1">
      <c r="R477" s="30"/>
    </row>
    <row r="478" spans="18:18" ht="15.75" customHeight="1">
      <c r="R478" s="30"/>
    </row>
    <row r="479" spans="18:18" ht="15.75" customHeight="1">
      <c r="R479" s="30"/>
    </row>
    <row r="480" spans="18:18" ht="15.75" customHeight="1">
      <c r="R480" s="30"/>
    </row>
    <row r="481" spans="18:18" ht="15.75" customHeight="1">
      <c r="R481" s="30"/>
    </row>
    <row r="482" spans="18:18" ht="15.75" customHeight="1">
      <c r="R482" s="30"/>
    </row>
    <row r="483" spans="18:18" ht="15.75" customHeight="1">
      <c r="R483" s="30"/>
    </row>
    <row r="484" spans="18:18" ht="15.75" customHeight="1">
      <c r="R484" s="30"/>
    </row>
    <row r="485" spans="18:18" ht="15.75" customHeight="1">
      <c r="R485" s="30"/>
    </row>
    <row r="486" spans="18:18" ht="15.75" customHeight="1">
      <c r="R486" s="30"/>
    </row>
    <row r="487" spans="18:18" ht="15.75" customHeight="1">
      <c r="R487" s="30"/>
    </row>
    <row r="488" spans="18:18" ht="15.75" customHeight="1">
      <c r="R488" s="30"/>
    </row>
    <row r="489" spans="18:18" ht="15.75" customHeight="1">
      <c r="R489" s="30"/>
    </row>
    <row r="490" spans="18:18" ht="15.75" customHeight="1">
      <c r="R490" s="30"/>
    </row>
    <row r="491" spans="18:18" ht="15.75" customHeight="1">
      <c r="R491" s="30"/>
    </row>
    <row r="492" spans="18:18" ht="15.75" customHeight="1">
      <c r="R492" s="30"/>
    </row>
    <row r="493" spans="18:18" ht="15.75" customHeight="1">
      <c r="R493" s="30"/>
    </row>
    <row r="494" spans="18:18" ht="15.75" customHeight="1">
      <c r="R494" s="30"/>
    </row>
    <row r="495" spans="18:18" ht="15.75" customHeight="1">
      <c r="R495" s="30"/>
    </row>
    <row r="496" spans="18:18" ht="15.75" customHeight="1">
      <c r="R496" s="30"/>
    </row>
    <row r="497" spans="18:18" ht="15.75" customHeight="1">
      <c r="R497" s="30"/>
    </row>
    <row r="498" spans="18:18" ht="15.75" customHeight="1">
      <c r="R498" s="30"/>
    </row>
    <row r="499" spans="18:18" ht="15.75" customHeight="1">
      <c r="R499" s="30"/>
    </row>
    <row r="500" spans="18:18" ht="15.75" customHeight="1">
      <c r="R500" s="30"/>
    </row>
    <row r="501" spans="18:18" ht="15.75" customHeight="1">
      <c r="R501" s="30"/>
    </row>
    <row r="502" spans="18:18" ht="15.75" customHeight="1">
      <c r="R502" s="30"/>
    </row>
    <row r="503" spans="18:18" ht="15.75" customHeight="1">
      <c r="R503" s="30"/>
    </row>
    <row r="504" spans="18:18" ht="15.75" customHeight="1">
      <c r="R504" s="30"/>
    </row>
    <row r="505" spans="18:18" ht="15.75" customHeight="1">
      <c r="R505" s="30"/>
    </row>
    <row r="506" spans="18:18" ht="15.75" customHeight="1">
      <c r="R506" s="30"/>
    </row>
    <row r="507" spans="18:18" ht="15.75" customHeight="1">
      <c r="R507" s="30"/>
    </row>
    <row r="508" spans="18:18" ht="15.75" customHeight="1">
      <c r="R508" s="30"/>
    </row>
    <row r="509" spans="18:18" ht="15.75" customHeight="1">
      <c r="R509" s="30"/>
    </row>
    <row r="510" spans="18:18" ht="15.75" customHeight="1">
      <c r="R510" s="30"/>
    </row>
    <row r="511" spans="18:18" ht="15.75" customHeight="1">
      <c r="R511" s="30"/>
    </row>
    <row r="512" spans="18:18" ht="15.75" customHeight="1">
      <c r="R512" s="30"/>
    </row>
    <row r="513" spans="18:18" ht="15.75" customHeight="1">
      <c r="R513" s="30"/>
    </row>
    <row r="514" spans="18:18" ht="15.75" customHeight="1">
      <c r="R514" s="30"/>
    </row>
    <row r="515" spans="18:18" ht="15.75" customHeight="1">
      <c r="R515" s="30"/>
    </row>
    <row r="516" spans="18:18" ht="15.75" customHeight="1">
      <c r="R516" s="30"/>
    </row>
    <row r="517" spans="18:18" ht="15.75" customHeight="1">
      <c r="R517" s="30"/>
    </row>
    <row r="518" spans="18:18" ht="15.75" customHeight="1">
      <c r="R518" s="30"/>
    </row>
    <row r="519" spans="18:18" ht="15.75" customHeight="1">
      <c r="R519" s="30"/>
    </row>
    <row r="520" spans="18:18" ht="15.75" customHeight="1">
      <c r="R520" s="30"/>
    </row>
    <row r="521" spans="18:18" ht="15.75" customHeight="1">
      <c r="R521" s="30"/>
    </row>
    <row r="522" spans="18:18" ht="15.75" customHeight="1">
      <c r="R522" s="30"/>
    </row>
    <row r="523" spans="18:18" ht="15.75" customHeight="1">
      <c r="R523" s="30"/>
    </row>
    <row r="524" spans="18:18" ht="15.75" customHeight="1">
      <c r="R524" s="30"/>
    </row>
    <row r="525" spans="18:18" ht="15.75" customHeight="1">
      <c r="R525" s="30"/>
    </row>
    <row r="526" spans="18:18" ht="15.75" customHeight="1">
      <c r="R526" s="30"/>
    </row>
    <row r="527" spans="18:18" ht="15.75" customHeight="1">
      <c r="R527" s="30"/>
    </row>
    <row r="528" spans="18:18" ht="15.75" customHeight="1">
      <c r="R528" s="30"/>
    </row>
    <row r="529" spans="18:18" ht="15.75" customHeight="1">
      <c r="R529" s="30"/>
    </row>
    <row r="530" spans="18:18" ht="15.75" customHeight="1">
      <c r="R530" s="30"/>
    </row>
    <row r="531" spans="18:18" ht="15.75" customHeight="1">
      <c r="R531" s="30"/>
    </row>
    <row r="532" spans="18:18" ht="15.75" customHeight="1">
      <c r="R532" s="30"/>
    </row>
    <row r="533" spans="18:18" ht="15.75" customHeight="1">
      <c r="R533" s="30"/>
    </row>
    <row r="534" spans="18:18" ht="15.75" customHeight="1">
      <c r="R534" s="30"/>
    </row>
    <row r="535" spans="18:18" ht="15.75" customHeight="1">
      <c r="R535" s="30"/>
    </row>
    <row r="536" spans="18:18" ht="15.75" customHeight="1">
      <c r="R536" s="30"/>
    </row>
    <row r="537" spans="18:18" ht="15.75" customHeight="1">
      <c r="R537" s="30"/>
    </row>
    <row r="538" spans="18:18" ht="15.75" customHeight="1">
      <c r="R538" s="30"/>
    </row>
    <row r="539" spans="18:18" ht="15.75" customHeight="1">
      <c r="R539" s="30"/>
    </row>
    <row r="540" spans="18:18" ht="15.75" customHeight="1">
      <c r="R540" s="30"/>
    </row>
    <row r="541" spans="18:18" ht="15.75" customHeight="1">
      <c r="R541" s="30"/>
    </row>
    <row r="542" spans="18:18" ht="15.75" customHeight="1">
      <c r="R542" s="30"/>
    </row>
    <row r="543" spans="18:18" ht="15.75" customHeight="1">
      <c r="R543" s="30"/>
    </row>
    <row r="544" spans="18:18" ht="15.75" customHeight="1">
      <c r="R544" s="30"/>
    </row>
    <row r="545" spans="18:18" ht="15.75" customHeight="1">
      <c r="R545" s="30"/>
    </row>
    <row r="546" spans="18:18" ht="15.75" customHeight="1">
      <c r="R546" s="30"/>
    </row>
    <row r="547" spans="18:18" ht="15.75" customHeight="1">
      <c r="R547" s="30"/>
    </row>
    <row r="548" spans="18:18" ht="15.75" customHeight="1">
      <c r="R548" s="30"/>
    </row>
    <row r="549" spans="18:18" ht="15.75" customHeight="1">
      <c r="R549" s="30"/>
    </row>
    <row r="550" spans="18:18" ht="15.75" customHeight="1">
      <c r="R550" s="30"/>
    </row>
    <row r="551" spans="18:18" ht="15.75" customHeight="1">
      <c r="R551" s="30"/>
    </row>
    <row r="552" spans="18:18" ht="15.75" customHeight="1">
      <c r="R552" s="30"/>
    </row>
    <row r="553" spans="18:18" ht="15.75" customHeight="1">
      <c r="R553" s="30"/>
    </row>
    <row r="554" spans="18:18" ht="15.75" customHeight="1">
      <c r="R554" s="30"/>
    </row>
    <row r="555" spans="18:18" ht="15.75" customHeight="1">
      <c r="R555" s="30"/>
    </row>
    <row r="556" spans="18:18" ht="15.75" customHeight="1">
      <c r="R556" s="30"/>
    </row>
    <row r="557" spans="18:18" ht="15.75" customHeight="1">
      <c r="R557" s="30"/>
    </row>
    <row r="558" spans="18:18" ht="15.75" customHeight="1">
      <c r="R558" s="30"/>
    </row>
    <row r="559" spans="18:18" ht="15.75" customHeight="1">
      <c r="R559" s="30"/>
    </row>
    <row r="560" spans="18:18" ht="15.75" customHeight="1">
      <c r="R560" s="30"/>
    </row>
    <row r="561" spans="18:18" ht="15.75" customHeight="1">
      <c r="R561" s="30"/>
    </row>
    <row r="562" spans="18:18" ht="15.75" customHeight="1">
      <c r="R562" s="30"/>
    </row>
    <row r="563" spans="18:18" ht="15.75" customHeight="1">
      <c r="R563" s="30"/>
    </row>
    <row r="564" spans="18:18" ht="15.75" customHeight="1">
      <c r="R564" s="30"/>
    </row>
    <row r="565" spans="18:18" ht="15.75" customHeight="1">
      <c r="R565" s="30"/>
    </row>
    <row r="566" spans="18:18" ht="15.75" customHeight="1">
      <c r="R566" s="30"/>
    </row>
    <row r="567" spans="18:18" ht="15.75" customHeight="1">
      <c r="R567" s="30"/>
    </row>
    <row r="568" spans="18:18" ht="15.75" customHeight="1">
      <c r="R568" s="30"/>
    </row>
    <row r="569" spans="18:18" ht="15.75" customHeight="1">
      <c r="R569" s="30"/>
    </row>
    <row r="570" spans="18:18" ht="15.75" customHeight="1">
      <c r="R570" s="30"/>
    </row>
    <row r="571" spans="18:18" ht="15.75" customHeight="1">
      <c r="R571" s="30"/>
    </row>
    <row r="572" spans="18:18" ht="15.75" customHeight="1">
      <c r="R572" s="30"/>
    </row>
    <row r="573" spans="18:18" ht="15.75" customHeight="1">
      <c r="R573" s="30"/>
    </row>
    <row r="574" spans="18:18" ht="15.75" customHeight="1">
      <c r="R574" s="30"/>
    </row>
    <row r="575" spans="18:18" ht="15.75" customHeight="1">
      <c r="R575" s="30"/>
    </row>
    <row r="576" spans="18:18" ht="15.75" customHeight="1">
      <c r="R576" s="30"/>
    </row>
    <row r="577" spans="18:18" ht="15.75" customHeight="1">
      <c r="R577" s="30"/>
    </row>
    <row r="578" spans="18:18" ht="15.75" customHeight="1">
      <c r="R578" s="30"/>
    </row>
    <row r="579" spans="18:18" ht="15.75" customHeight="1">
      <c r="R579" s="30"/>
    </row>
    <row r="580" spans="18:18" ht="15.75" customHeight="1">
      <c r="R580" s="30"/>
    </row>
    <row r="581" spans="18:18" ht="15.75" customHeight="1">
      <c r="R581" s="30"/>
    </row>
    <row r="582" spans="18:18" ht="15.75" customHeight="1">
      <c r="R582" s="30"/>
    </row>
    <row r="583" spans="18:18" ht="15.75" customHeight="1">
      <c r="R583" s="30"/>
    </row>
    <row r="584" spans="18:18" ht="15.75" customHeight="1">
      <c r="R584" s="30"/>
    </row>
    <row r="585" spans="18:18" ht="15.75" customHeight="1">
      <c r="R585" s="30"/>
    </row>
    <row r="586" spans="18:18" ht="15.75" customHeight="1">
      <c r="R586" s="30"/>
    </row>
    <row r="587" spans="18:18" ht="15.75" customHeight="1">
      <c r="R587" s="30"/>
    </row>
    <row r="588" spans="18:18" ht="15.75" customHeight="1">
      <c r="R588" s="30"/>
    </row>
    <row r="589" spans="18:18" ht="15.75" customHeight="1">
      <c r="R589" s="30"/>
    </row>
    <row r="590" spans="18:18" ht="15.75" customHeight="1">
      <c r="R590" s="30"/>
    </row>
    <row r="591" spans="18:18" ht="15.75" customHeight="1">
      <c r="R591" s="30"/>
    </row>
    <row r="592" spans="18:18" ht="15.75" customHeight="1">
      <c r="R592" s="30"/>
    </row>
    <row r="593" spans="18:18" ht="15.75" customHeight="1">
      <c r="R593" s="30"/>
    </row>
    <row r="594" spans="18:18" ht="15.75" customHeight="1">
      <c r="R594" s="30"/>
    </row>
    <row r="595" spans="18:18" ht="15.75" customHeight="1">
      <c r="R595" s="30"/>
    </row>
    <row r="596" spans="18:18" ht="15.75" customHeight="1">
      <c r="R596" s="30"/>
    </row>
    <row r="597" spans="18:18" ht="15.75" customHeight="1">
      <c r="R597" s="30"/>
    </row>
    <row r="598" spans="18:18" ht="15.75" customHeight="1">
      <c r="R598" s="30"/>
    </row>
    <row r="599" spans="18:18" ht="15.75" customHeight="1">
      <c r="R599" s="30"/>
    </row>
    <row r="600" spans="18:18" ht="15.75" customHeight="1">
      <c r="R600" s="30"/>
    </row>
    <row r="601" spans="18:18" ht="15.75" customHeight="1">
      <c r="R601" s="30"/>
    </row>
    <row r="602" spans="18:18" ht="15.75" customHeight="1">
      <c r="R602" s="30"/>
    </row>
    <row r="603" spans="18:18" ht="15.75" customHeight="1">
      <c r="R603" s="30"/>
    </row>
    <row r="604" spans="18:18" ht="15.75" customHeight="1">
      <c r="R604" s="30"/>
    </row>
    <row r="605" spans="18:18" ht="15.75" customHeight="1">
      <c r="R605" s="30"/>
    </row>
    <row r="606" spans="18:18" ht="15.75" customHeight="1">
      <c r="R606" s="30"/>
    </row>
    <row r="607" spans="18:18" ht="15.75" customHeight="1">
      <c r="R607" s="30"/>
    </row>
    <row r="608" spans="18:18" ht="15.75" customHeight="1">
      <c r="R608" s="30"/>
    </row>
    <row r="609" spans="18:18" ht="15.75" customHeight="1">
      <c r="R609" s="30"/>
    </row>
    <row r="610" spans="18:18" ht="15.75" customHeight="1">
      <c r="R610" s="30"/>
    </row>
    <row r="611" spans="18:18" ht="15.75" customHeight="1">
      <c r="R611" s="30"/>
    </row>
    <row r="612" spans="18:18" ht="15.75" customHeight="1">
      <c r="R612" s="30"/>
    </row>
    <row r="613" spans="18:18" ht="15.75" customHeight="1">
      <c r="R613" s="30"/>
    </row>
    <row r="614" spans="18:18" ht="15.75" customHeight="1">
      <c r="R614" s="30"/>
    </row>
    <row r="615" spans="18:18" ht="15.75" customHeight="1">
      <c r="R615" s="30"/>
    </row>
    <row r="616" spans="18:18" ht="15.75" customHeight="1">
      <c r="R616" s="30"/>
    </row>
    <row r="617" spans="18:18" ht="15.75" customHeight="1">
      <c r="R617" s="30"/>
    </row>
    <row r="618" spans="18:18" ht="15.75" customHeight="1">
      <c r="R618" s="30"/>
    </row>
    <row r="619" spans="18:18" ht="15.75" customHeight="1">
      <c r="R619" s="30"/>
    </row>
    <row r="620" spans="18:18" ht="15.75" customHeight="1">
      <c r="R620" s="30"/>
    </row>
    <row r="621" spans="18:18" ht="15.75" customHeight="1">
      <c r="R621" s="30"/>
    </row>
    <row r="622" spans="18:18" ht="15.75" customHeight="1">
      <c r="R622" s="30"/>
    </row>
    <row r="623" spans="18:18" ht="15.75" customHeight="1">
      <c r="R623" s="30"/>
    </row>
    <row r="624" spans="18:18" ht="15.75" customHeight="1">
      <c r="R624" s="30"/>
    </row>
    <row r="625" spans="18:18" ht="15.75" customHeight="1">
      <c r="R625" s="30"/>
    </row>
    <row r="626" spans="18:18" ht="15.75" customHeight="1">
      <c r="R626" s="30"/>
    </row>
    <row r="627" spans="18:18" ht="15.75" customHeight="1">
      <c r="R627" s="30"/>
    </row>
    <row r="628" spans="18:18" ht="15.75" customHeight="1">
      <c r="R628" s="30"/>
    </row>
    <row r="629" spans="18:18" ht="15.75" customHeight="1">
      <c r="R629" s="30"/>
    </row>
    <row r="630" spans="18:18" ht="15.75" customHeight="1">
      <c r="R630" s="30"/>
    </row>
    <row r="631" spans="18:18" ht="15.75" customHeight="1">
      <c r="R631" s="30"/>
    </row>
    <row r="632" spans="18:18" ht="15.75" customHeight="1">
      <c r="R632" s="30"/>
    </row>
    <row r="633" spans="18:18" ht="15.75" customHeight="1">
      <c r="R633" s="30"/>
    </row>
    <row r="634" spans="18:18" ht="15.75" customHeight="1">
      <c r="R634" s="30"/>
    </row>
    <row r="635" spans="18:18" ht="15.75" customHeight="1">
      <c r="R635" s="30"/>
    </row>
    <row r="636" spans="18:18" ht="15.75" customHeight="1">
      <c r="R636" s="30"/>
    </row>
    <row r="637" spans="18:18" ht="15.75" customHeight="1">
      <c r="R637" s="30"/>
    </row>
    <row r="638" spans="18:18" ht="15.75" customHeight="1">
      <c r="R638" s="30"/>
    </row>
    <row r="639" spans="18:18" ht="15.75" customHeight="1">
      <c r="R639" s="30"/>
    </row>
    <row r="640" spans="18:18" ht="15.75" customHeight="1">
      <c r="R640" s="30"/>
    </row>
    <row r="641" spans="18:18" ht="15.75" customHeight="1">
      <c r="R641" s="30"/>
    </row>
    <row r="642" spans="18:18" ht="15.75" customHeight="1">
      <c r="R642" s="30"/>
    </row>
    <row r="643" spans="18:18" ht="15.75" customHeight="1">
      <c r="R643" s="30"/>
    </row>
    <row r="644" spans="18:18" ht="15.75" customHeight="1">
      <c r="R644" s="30"/>
    </row>
    <row r="645" spans="18:18" ht="15.75" customHeight="1">
      <c r="R645" s="30"/>
    </row>
    <row r="646" spans="18:18" ht="15.75" customHeight="1">
      <c r="R646" s="30"/>
    </row>
    <row r="647" spans="18:18" ht="15.75" customHeight="1">
      <c r="R647" s="30"/>
    </row>
    <row r="648" spans="18:18" ht="15.75" customHeight="1">
      <c r="R648" s="30"/>
    </row>
    <row r="649" spans="18:18" ht="15.75" customHeight="1">
      <c r="R649" s="30"/>
    </row>
    <row r="650" spans="18:18" ht="15.75" customHeight="1">
      <c r="R650" s="30"/>
    </row>
    <row r="651" spans="18:18" ht="15.75" customHeight="1">
      <c r="R651" s="30"/>
    </row>
    <row r="652" spans="18:18" ht="15.75" customHeight="1">
      <c r="R652" s="30"/>
    </row>
    <row r="653" spans="18:18" ht="15.75" customHeight="1">
      <c r="R653" s="30"/>
    </row>
    <row r="654" spans="18:18" ht="15.75" customHeight="1">
      <c r="R654" s="30"/>
    </row>
    <row r="655" spans="18:18" ht="15.75" customHeight="1">
      <c r="R655" s="30"/>
    </row>
    <row r="656" spans="18:18" ht="15.75" customHeight="1">
      <c r="R656" s="30"/>
    </row>
    <row r="657" spans="18:18" ht="15.75" customHeight="1">
      <c r="R657" s="30"/>
    </row>
    <row r="658" spans="18:18" ht="15.75" customHeight="1">
      <c r="R658" s="30"/>
    </row>
    <row r="659" spans="18:18" ht="15.75" customHeight="1">
      <c r="R659" s="30"/>
    </row>
    <row r="660" spans="18:18" ht="15.75" customHeight="1">
      <c r="R660" s="30"/>
    </row>
    <row r="661" spans="18:18" ht="15.75" customHeight="1">
      <c r="R661" s="30"/>
    </row>
    <row r="662" spans="18:18" ht="15.75" customHeight="1">
      <c r="R662" s="30"/>
    </row>
    <row r="663" spans="18:18" ht="15.75" customHeight="1">
      <c r="R663" s="30"/>
    </row>
    <row r="664" spans="18:18" ht="15.75" customHeight="1">
      <c r="R664" s="30"/>
    </row>
    <row r="665" spans="18:18" ht="15.75" customHeight="1">
      <c r="R665" s="30"/>
    </row>
    <row r="666" spans="18:18" ht="15.75" customHeight="1">
      <c r="R666" s="30"/>
    </row>
    <row r="667" spans="18:18" ht="15.75" customHeight="1">
      <c r="R667" s="30"/>
    </row>
    <row r="668" spans="18:18" ht="15.75" customHeight="1">
      <c r="R668" s="30"/>
    </row>
    <row r="669" spans="18:18" ht="15.75" customHeight="1">
      <c r="R669" s="30"/>
    </row>
    <row r="670" spans="18:18" ht="15.75" customHeight="1">
      <c r="R670" s="30"/>
    </row>
    <row r="671" spans="18:18" ht="15.75" customHeight="1">
      <c r="R671" s="30"/>
    </row>
    <row r="672" spans="18:18" ht="15.75" customHeight="1">
      <c r="R672" s="30"/>
    </row>
    <row r="673" spans="18:18" ht="15.75" customHeight="1">
      <c r="R673" s="30"/>
    </row>
    <row r="674" spans="18:18" ht="15.75" customHeight="1">
      <c r="R674" s="30"/>
    </row>
    <row r="675" spans="18:18" ht="15.75" customHeight="1">
      <c r="R675" s="30"/>
    </row>
    <row r="676" spans="18:18" ht="15.75" customHeight="1">
      <c r="R676" s="30"/>
    </row>
    <row r="677" spans="18:18" ht="15.75" customHeight="1">
      <c r="R677" s="30"/>
    </row>
    <row r="678" spans="18:18" ht="15.75" customHeight="1">
      <c r="R678" s="30"/>
    </row>
    <row r="679" spans="18:18" ht="15.75" customHeight="1">
      <c r="R679" s="30"/>
    </row>
    <row r="680" spans="18:18" ht="15.75" customHeight="1">
      <c r="R680" s="30"/>
    </row>
    <row r="681" spans="18:18" ht="15.75" customHeight="1">
      <c r="R681" s="30"/>
    </row>
    <row r="682" spans="18:18" ht="15.75" customHeight="1">
      <c r="R682" s="30"/>
    </row>
    <row r="683" spans="18:18" ht="15.75" customHeight="1">
      <c r="R683" s="30"/>
    </row>
    <row r="684" spans="18:18" ht="15.75" customHeight="1">
      <c r="R684" s="30"/>
    </row>
    <row r="685" spans="18:18" ht="15.75" customHeight="1">
      <c r="R685" s="30"/>
    </row>
    <row r="686" spans="18:18" ht="15.75" customHeight="1">
      <c r="R686" s="30"/>
    </row>
    <row r="687" spans="18:18" ht="15.75" customHeight="1">
      <c r="R687" s="30"/>
    </row>
    <row r="688" spans="18:18" ht="15.75" customHeight="1">
      <c r="R688" s="30"/>
    </row>
    <row r="689" spans="18:18" ht="15.75" customHeight="1">
      <c r="R689" s="30"/>
    </row>
    <row r="690" spans="18:18" ht="15.75" customHeight="1">
      <c r="R690" s="30"/>
    </row>
    <row r="691" spans="18:18" ht="15.75" customHeight="1">
      <c r="R691" s="30"/>
    </row>
    <row r="692" spans="18:18" ht="15.75" customHeight="1">
      <c r="R692" s="30"/>
    </row>
    <row r="693" spans="18:18" ht="15.75" customHeight="1">
      <c r="R693" s="30"/>
    </row>
    <row r="694" spans="18:18" ht="15.75" customHeight="1">
      <c r="R694" s="30"/>
    </row>
    <row r="695" spans="18:18" ht="15.75" customHeight="1">
      <c r="R695" s="30"/>
    </row>
    <row r="696" spans="18:18" ht="15.75" customHeight="1">
      <c r="R696" s="30"/>
    </row>
    <row r="697" spans="18:18" ht="15.75" customHeight="1">
      <c r="R697" s="30"/>
    </row>
    <row r="698" spans="18:18" ht="15.75" customHeight="1">
      <c r="R698" s="30"/>
    </row>
    <row r="699" spans="18:18" ht="15.75" customHeight="1">
      <c r="R699" s="30"/>
    </row>
    <row r="700" spans="18:18" ht="15.75" customHeight="1">
      <c r="R700" s="30"/>
    </row>
    <row r="701" spans="18:18" ht="15.75" customHeight="1">
      <c r="R701" s="30"/>
    </row>
    <row r="702" spans="18:18" ht="15.75" customHeight="1">
      <c r="R702" s="30"/>
    </row>
    <row r="703" spans="18:18" ht="15.75" customHeight="1">
      <c r="R703" s="30"/>
    </row>
    <row r="704" spans="18:18" ht="15.75" customHeight="1">
      <c r="R704" s="30"/>
    </row>
    <row r="705" spans="18:18" ht="15.75" customHeight="1">
      <c r="R705" s="30"/>
    </row>
    <row r="706" spans="18:18" ht="15.75" customHeight="1">
      <c r="R706" s="30"/>
    </row>
    <row r="707" spans="18:18" ht="15.75" customHeight="1">
      <c r="R707" s="30"/>
    </row>
    <row r="708" spans="18:18" ht="15.75" customHeight="1">
      <c r="R708" s="30"/>
    </row>
    <row r="709" spans="18:18" ht="15.75" customHeight="1">
      <c r="R709" s="30"/>
    </row>
    <row r="710" spans="18:18" ht="15.75" customHeight="1">
      <c r="R710" s="30"/>
    </row>
    <row r="711" spans="18:18" ht="15.75" customHeight="1">
      <c r="R711" s="30"/>
    </row>
    <row r="712" spans="18:18" ht="15.75" customHeight="1">
      <c r="R712" s="30"/>
    </row>
    <row r="713" spans="18:18" ht="15.75" customHeight="1">
      <c r="R713" s="30"/>
    </row>
    <row r="714" spans="18:18" ht="15.75" customHeight="1">
      <c r="R714" s="30"/>
    </row>
    <row r="715" spans="18:18" ht="15.75" customHeight="1">
      <c r="R715" s="30"/>
    </row>
    <row r="716" spans="18:18" ht="15.75" customHeight="1">
      <c r="R716" s="30"/>
    </row>
    <row r="717" spans="18:18" ht="15.75" customHeight="1">
      <c r="R717" s="30"/>
    </row>
    <row r="718" spans="18:18" ht="15.75" customHeight="1">
      <c r="R718" s="30"/>
    </row>
    <row r="719" spans="18:18" ht="15.75" customHeight="1">
      <c r="R719" s="30"/>
    </row>
    <row r="720" spans="18:18" ht="15.75" customHeight="1">
      <c r="R720" s="30"/>
    </row>
    <row r="721" spans="18:18" ht="15.75" customHeight="1">
      <c r="R721" s="30"/>
    </row>
    <row r="722" spans="18:18" ht="15.75" customHeight="1">
      <c r="R722" s="30"/>
    </row>
    <row r="723" spans="18:18" ht="15.75" customHeight="1">
      <c r="R723" s="30"/>
    </row>
    <row r="724" spans="18:18" ht="15.75" customHeight="1">
      <c r="R724" s="30"/>
    </row>
    <row r="725" spans="18:18" ht="15.75" customHeight="1">
      <c r="R725" s="30"/>
    </row>
    <row r="726" spans="18:18" ht="15.75" customHeight="1">
      <c r="R726" s="30"/>
    </row>
    <row r="727" spans="18:18" ht="15.75" customHeight="1">
      <c r="R727" s="30"/>
    </row>
    <row r="728" spans="18:18" ht="15.75" customHeight="1">
      <c r="R728" s="30"/>
    </row>
    <row r="729" spans="18:18" ht="15.75" customHeight="1">
      <c r="R729" s="30"/>
    </row>
    <row r="730" spans="18:18" ht="15.75" customHeight="1">
      <c r="R730" s="30"/>
    </row>
    <row r="731" spans="18:18" ht="15.75" customHeight="1">
      <c r="R731" s="30"/>
    </row>
    <row r="732" spans="18:18" ht="15.75" customHeight="1">
      <c r="R732" s="30"/>
    </row>
    <row r="733" spans="18:18" ht="15.75" customHeight="1">
      <c r="R733" s="30"/>
    </row>
    <row r="734" spans="18:18" ht="15.75" customHeight="1">
      <c r="R734" s="30"/>
    </row>
    <row r="735" spans="18:18" ht="15.75" customHeight="1">
      <c r="R735" s="30"/>
    </row>
    <row r="736" spans="18:18" ht="15.75" customHeight="1">
      <c r="R736" s="30"/>
    </row>
    <row r="737" spans="18:18" ht="15.75" customHeight="1">
      <c r="R737" s="30"/>
    </row>
    <row r="738" spans="18:18" ht="15.75" customHeight="1">
      <c r="R738" s="30"/>
    </row>
    <row r="739" spans="18:18" ht="15.75" customHeight="1">
      <c r="R739" s="30"/>
    </row>
    <row r="740" spans="18:18" ht="15.75" customHeight="1">
      <c r="R740" s="30"/>
    </row>
    <row r="741" spans="18:18" ht="15.75" customHeight="1">
      <c r="R741" s="30"/>
    </row>
    <row r="742" spans="18:18" ht="15.75" customHeight="1">
      <c r="R742" s="30"/>
    </row>
    <row r="743" spans="18:18" ht="15.75" customHeight="1">
      <c r="R743" s="30"/>
    </row>
    <row r="744" spans="18:18" ht="15.75" customHeight="1">
      <c r="R744" s="30"/>
    </row>
    <row r="745" spans="18:18" ht="15.75" customHeight="1">
      <c r="R745" s="30"/>
    </row>
    <row r="746" spans="18:18" ht="15.75" customHeight="1">
      <c r="R746" s="30"/>
    </row>
    <row r="747" spans="18:18" ht="15.75" customHeight="1">
      <c r="R747" s="30"/>
    </row>
    <row r="748" spans="18:18" ht="15.75" customHeight="1">
      <c r="R748" s="30"/>
    </row>
    <row r="749" spans="18:18" ht="15.75" customHeight="1">
      <c r="R749" s="30"/>
    </row>
    <row r="750" spans="18:18" ht="15.75" customHeight="1">
      <c r="R750" s="30"/>
    </row>
    <row r="751" spans="18:18" ht="15.75" customHeight="1">
      <c r="R751" s="30"/>
    </row>
    <row r="752" spans="18:18" ht="15.75" customHeight="1">
      <c r="R752" s="30"/>
    </row>
    <row r="753" spans="18:18" ht="15.75" customHeight="1">
      <c r="R753" s="30"/>
    </row>
    <row r="754" spans="18:18" ht="15.75" customHeight="1">
      <c r="R754" s="30"/>
    </row>
    <row r="755" spans="18:18" ht="15.75" customHeight="1">
      <c r="R755" s="30"/>
    </row>
    <row r="756" spans="18:18" ht="15.75" customHeight="1">
      <c r="R756" s="30"/>
    </row>
    <row r="757" spans="18:18" ht="15.75" customHeight="1">
      <c r="R757" s="30"/>
    </row>
    <row r="758" spans="18:18" ht="15.75" customHeight="1">
      <c r="R758" s="30"/>
    </row>
    <row r="759" spans="18:18" ht="15.75" customHeight="1">
      <c r="R759" s="30"/>
    </row>
    <row r="760" spans="18:18" ht="15.75" customHeight="1">
      <c r="R760" s="30"/>
    </row>
    <row r="761" spans="18:18" ht="15.75" customHeight="1">
      <c r="R761" s="30"/>
    </row>
    <row r="762" spans="18:18" ht="15.75" customHeight="1">
      <c r="R762" s="30"/>
    </row>
    <row r="763" spans="18:18" ht="15.75" customHeight="1">
      <c r="R763" s="30"/>
    </row>
    <row r="764" spans="18:18" ht="15.75" customHeight="1">
      <c r="R764" s="30"/>
    </row>
    <row r="765" spans="18:18" ht="15.75" customHeight="1">
      <c r="R765" s="30"/>
    </row>
    <row r="766" spans="18:18" ht="15.75" customHeight="1">
      <c r="R766" s="30"/>
    </row>
    <row r="767" spans="18:18" ht="15.75" customHeight="1">
      <c r="R767" s="30"/>
    </row>
    <row r="768" spans="18:18" ht="15.75" customHeight="1">
      <c r="R768" s="30"/>
    </row>
    <row r="769" spans="18:18" ht="15.75" customHeight="1">
      <c r="R769" s="30"/>
    </row>
    <row r="770" spans="18:18" ht="15.75" customHeight="1">
      <c r="R770" s="30"/>
    </row>
    <row r="771" spans="18:18" ht="15.75" customHeight="1">
      <c r="R771" s="30"/>
    </row>
    <row r="772" spans="18:18" ht="15.75" customHeight="1">
      <c r="R772" s="30"/>
    </row>
    <row r="773" spans="18:18" ht="15.75" customHeight="1">
      <c r="R773" s="30"/>
    </row>
    <row r="774" spans="18:18" ht="15.75" customHeight="1">
      <c r="R774" s="30"/>
    </row>
    <row r="775" spans="18:18" ht="15.75" customHeight="1">
      <c r="R775" s="30"/>
    </row>
    <row r="776" spans="18:18" ht="15.75" customHeight="1">
      <c r="R776" s="30"/>
    </row>
    <row r="777" spans="18:18" ht="15.75" customHeight="1">
      <c r="R777" s="30"/>
    </row>
    <row r="778" spans="18:18" ht="15.75" customHeight="1">
      <c r="R778" s="30"/>
    </row>
    <row r="779" spans="18:18" ht="15.75" customHeight="1">
      <c r="R779" s="30"/>
    </row>
    <row r="780" spans="18:18" ht="15.75" customHeight="1">
      <c r="R780" s="30"/>
    </row>
    <row r="781" spans="18:18" ht="15.75" customHeight="1">
      <c r="R781" s="30"/>
    </row>
    <row r="782" spans="18:18" ht="15.75" customHeight="1">
      <c r="R782" s="30"/>
    </row>
    <row r="783" spans="18:18" ht="15.75" customHeight="1">
      <c r="R783" s="30"/>
    </row>
    <row r="784" spans="18:18" ht="15.75" customHeight="1">
      <c r="R784" s="30"/>
    </row>
    <row r="785" spans="18:18" ht="15.75" customHeight="1">
      <c r="R785" s="30"/>
    </row>
    <row r="786" spans="18:18" ht="15.75" customHeight="1">
      <c r="R786" s="30"/>
    </row>
    <row r="787" spans="18:18" ht="15.75" customHeight="1">
      <c r="R787" s="30"/>
    </row>
    <row r="788" spans="18:18" ht="15.75" customHeight="1">
      <c r="R788" s="30"/>
    </row>
    <row r="789" spans="18:18" ht="15.75" customHeight="1">
      <c r="R789" s="30"/>
    </row>
    <row r="790" spans="18:18" ht="15.75" customHeight="1">
      <c r="R790" s="30"/>
    </row>
    <row r="791" spans="18:18" ht="15.75" customHeight="1">
      <c r="R791" s="30"/>
    </row>
    <row r="792" spans="18:18" ht="15.75" customHeight="1">
      <c r="R792" s="30"/>
    </row>
    <row r="793" spans="18:18" ht="15.75" customHeight="1">
      <c r="R793" s="30"/>
    </row>
    <row r="794" spans="18:18" ht="15.75" customHeight="1">
      <c r="R794" s="30"/>
    </row>
    <row r="795" spans="18:18" ht="15.75" customHeight="1">
      <c r="R795" s="30"/>
    </row>
    <row r="796" spans="18:18" ht="15.75" customHeight="1">
      <c r="R796" s="30"/>
    </row>
    <row r="797" spans="18:18" ht="15.75" customHeight="1">
      <c r="R797" s="30"/>
    </row>
    <row r="798" spans="18:18" ht="15.75" customHeight="1">
      <c r="R798" s="30"/>
    </row>
    <row r="799" spans="18:18" ht="15.75" customHeight="1">
      <c r="R799" s="30"/>
    </row>
    <row r="800" spans="18:18" ht="15.75" customHeight="1">
      <c r="R800" s="30"/>
    </row>
    <row r="801" spans="18:18" ht="15.75" customHeight="1">
      <c r="R801" s="30"/>
    </row>
    <row r="802" spans="18:18" ht="15.75" customHeight="1">
      <c r="R802" s="30"/>
    </row>
    <row r="803" spans="18:18" ht="15.75" customHeight="1">
      <c r="R803" s="30"/>
    </row>
    <row r="804" spans="18:18" ht="15.75" customHeight="1">
      <c r="R804" s="30"/>
    </row>
    <row r="805" spans="18:18" ht="15.75" customHeight="1">
      <c r="R805" s="30"/>
    </row>
    <row r="806" spans="18:18" ht="15.75" customHeight="1">
      <c r="R806" s="30"/>
    </row>
    <row r="807" spans="18:18" ht="15.75" customHeight="1">
      <c r="R807" s="30"/>
    </row>
    <row r="808" spans="18:18" ht="15.75" customHeight="1">
      <c r="R808" s="30"/>
    </row>
    <row r="809" spans="18:18" ht="15.75" customHeight="1">
      <c r="R809" s="30"/>
    </row>
    <row r="810" spans="18:18" ht="15.75" customHeight="1">
      <c r="R810" s="30"/>
    </row>
    <row r="811" spans="18:18" ht="15.75" customHeight="1">
      <c r="R811" s="30"/>
    </row>
    <row r="812" spans="18:18" ht="15.75" customHeight="1">
      <c r="R812" s="30"/>
    </row>
    <row r="813" spans="18:18" ht="15.75" customHeight="1">
      <c r="R813" s="30"/>
    </row>
    <row r="814" spans="18:18" ht="15.75" customHeight="1">
      <c r="R814" s="30"/>
    </row>
    <row r="815" spans="18:18" ht="15.75" customHeight="1">
      <c r="R815" s="30"/>
    </row>
    <row r="816" spans="18:18" ht="15.75" customHeight="1">
      <c r="R816" s="30"/>
    </row>
    <row r="817" spans="18:18" ht="15.75" customHeight="1">
      <c r="R817" s="30"/>
    </row>
    <row r="818" spans="18:18" ht="15.75" customHeight="1">
      <c r="R818" s="30"/>
    </row>
    <row r="819" spans="18:18" ht="15.75" customHeight="1">
      <c r="R819" s="30"/>
    </row>
    <row r="820" spans="18:18" ht="15.75" customHeight="1">
      <c r="R820" s="30"/>
    </row>
    <row r="821" spans="18:18" ht="15.75" customHeight="1">
      <c r="R821" s="30"/>
    </row>
    <row r="822" spans="18:18" ht="15.75" customHeight="1">
      <c r="R822" s="30"/>
    </row>
    <row r="823" spans="18:18" ht="15.75" customHeight="1">
      <c r="R823" s="30"/>
    </row>
    <row r="824" spans="18:18" ht="15.75" customHeight="1">
      <c r="R824" s="30"/>
    </row>
    <row r="825" spans="18:18" ht="15.75" customHeight="1">
      <c r="R825" s="30"/>
    </row>
    <row r="826" spans="18:18" ht="15.75" customHeight="1">
      <c r="R826" s="30"/>
    </row>
    <row r="827" spans="18:18" ht="15.75" customHeight="1">
      <c r="R827" s="30"/>
    </row>
    <row r="828" spans="18:18" ht="15.75" customHeight="1">
      <c r="R828" s="30"/>
    </row>
    <row r="829" spans="18:18" ht="15.75" customHeight="1">
      <c r="R829" s="30"/>
    </row>
    <row r="830" spans="18:18" ht="15.75" customHeight="1">
      <c r="R830" s="30"/>
    </row>
    <row r="831" spans="18:18" ht="15.75" customHeight="1">
      <c r="R831" s="30"/>
    </row>
    <row r="832" spans="18:18" ht="15.75" customHeight="1">
      <c r="R832" s="30"/>
    </row>
    <row r="833" spans="18:18" ht="15.75" customHeight="1">
      <c r="R833" s="30"/>
    </row>
    <row r="834" spans="18:18" ht="15.75" customHeight="1">
      <c r="R834" s="30"/>
    </row>
    <row r="835" spans="18:18" ht="15.75" customHeight="1">
      <c r="R835" s="30"/>
    </row>
    <row r="836" spans="18:18" ht="15.75" customHeight="1">
      <c r="R836" s="30"/>
    </row>
    <row r="837" spans="18:18" ht="15.75" customHeight="1">
      <c r="R837" s="30"/>
    </row>
    <row r="838" spans="18:18" ht="15.75" customHeight="1">
      <c r="R838" s="30"/>
    </row>
    <row r="839" spans="18:18" ht="15.75" customHeight="1">
      <c r="R839" s="30"/>
    </row>
    <row r="840" spans="18:18" ht="15.75" customHeight="1">
      <c r="R840" s="30"/>
    </row>
    <row r="841" spans="18:18" ht="15.75" customHeight="1">
      <c r="R841" s="30"/>
    </row>
    <row r="842" spans="18:18" ht="15.75" customHeight="1">
      <c r="R842" s="30"/>
    </row>
    <row r="843" spans="18:18" ht="15.75" customHeight="1">
      <c r="R843" s="30"/>
    </row>
    <row r="844" spans="18:18" ht="15.75" customHeight="1">
      <c r="R844" s="30"/>
    </row>
    <row r="845" spans="18:18" ht="15.75" customHeight="1">
      <c r="R845" s="30"/>
    </row>
    <row r="846" spans="18:18" ht="15.75" customHeight="1">
      <c r="R846" s="30"/>
    </row>
    <row r="847" spans="18:18" ht="15.75" customHeight="1">
      <c r="R847" s="30"/>
    </row>
    <row r="848" spans="18:18" ht="15.75" customHeight="1">
      <c r="R848" s="30"/>
    </row>
    <row r="849" spans="18:18" ht="15.75" customHeight="1">
      <c r="R849" s="30"/>
    </row>
    <row r="850" spans="18:18" ht="15.75" customHeight="1">
      <c r="R850" s="30"/>
    </row>
    <row r="851" spans="18:18" ht="15.75" customHeight="1">
      <c r="R851" s="30"/>
    </row>
    <row r="852" spans="18:18" ht="15.75" customHeight="1">
      <c r="R852" s="30"/>
    </row>
    <row r="853" spans="18:18" ht="15.75" customHeight="1">
      <c r="R853" s="30"/>
    </row>
    <row r="854" spans="18:18" ht="15.75" customHeight="1">
      <c r="R854" s="30"/>
    </row>
    <row r="855" spans="18:18" ht="15.75" customHeight="1">
      <c r="R855" s="30"/>
    </row>
    <row r="856" spans="18:18" ht="15.75" customHeight="1">
      <c r="R856" s="30"/>
    </row>
    <row r="857" spans="18:18" ht="15.75" customHeight="1">
      <c r="R857" s="30"/>
    </row>
    <row r="858" spans="18:18" ht="15.75" customHeight="1">
      <c r="R858" s="30"/>
    </row>
    <row r="859" spans="18:18" ht="15.75" customHeight="1">
      <c r="R859" s="30"/>
    </row>
    <row r="860" spans="18:18" ht="15.75" customHeight="1">
      <c r="R860" s="30"/>
    </row>
    <row r="861" spans="18:18" ht="15.75" customHeight="1">
      <c r="R861" s="30"/>
    </row>
    <row r="862" spans="18:18" ht="15.75" customHeight="1">
      <c r="R862" s="30"/>
    </row>
    <row r="863" spans="18:18" ht="15.75" customHeight="1">
      <c r="R863" s="30"/>
    </row>
    <row r="864" spans="18:18" ht="15.75" customHeight="1">
      <c r="R864" s="30"/>
    </row>
    <row r="865" spans="18:18" ht="15.75" customHeight="1">
      <c r="R865" s="30"/>
    </row>
    <row r="866" spans="18:18" ht="15.75" customHeight="1">
      <c r="R866" s="30"/>
    </row>
    <row r="867" spans="18:18" ht="15.75" customHeight="1">
      <c r="R867" s="30"/>
    </row>
    <row r="868" spans="18:18" ht="15.75" customHeight="1">
      <c r="R868" s="30"/>
    </row>
    <row r="869" spans="18:18" ht="15.75" customHeight="1">
      <c r="R869" s="30"/>
    </row>
    <row r="870" spans="18:18" ht="15.75" customHeight="1">
      <c r="R870" s="30"/>
    </row>
    <row r="871" spans="18:18" ht="15.75" customHeight="1">
      <c r="R871" s="30"/>
    </row>
    <row r="872" spans="18:18" ht="15.75" customHeight="1">
      <c r="R872" s="30"/>
    </row>
    <row r="873" spans="18:18" ht="15.75" customHeight="1">
      <c r="R873" s="30"/>
    </row>
    <row r="874" spans="18:18" ht="15.75" customHeight="1">
      <c r="R874" s="30"/>
    </row>
    <row r="875" spans="18:18" ht="15.75" customHeight="1">
      <c r="R875" s="30"/>
    </row>
    <row r="876" spans="18:18" ht="15.75" customHeight="1">
      <c r="R876" s="30"/>
    </row>
    <row r="877" spans="18:18" ht="15.75" customHeight="1">
      <c r="R877" s="30"/>
    </row>
    <row r="878" spans="18:18" ht="15.75" customHeight="1">
      <c r="R878" s="30"/>
    </row>
    <row r="879" spans="18:18" ht="15.75" customHeight="1">
      <c r="R879" s="30"/>
    </row>
    <row r="880" spans="18:18" ht="15.75" customHeight="1">
      <c r="R880" s="30"/>
    </row>
    <row r="881" spans="18:18" ht="15.75" customHeight="1">
      <c r="R881" s="30"/>
    </row>
    <row r="882" spans="18:18" ht="15.75" customHeight="1">
      <c r="R882" s="30"/>
    </row>
    <row r="883" spans="18:18" ht="15.75" customHeight="1">
      <c r="R883" s="30"/>
    </row>
    <row r="884" spans="18:18" ht="15.75" customHeight="1">
      <c r="R884" s="30"/>
    </row>
    <row r="885" spans="18:18" ht="15.75" customHeight="1">
      <c r="R885" s="30"/>
    </row>
    <row r="886" spans="18:18" ht="15.75" customHeight="1">
      <c r="R886" s="30"/>
    </row>
    <row r="887" spans="18:18" ht="15.75" customHeight="1">
      <c r="R887" s="30"/>
    </row>
    <row r="888" spans="18:18" ht="15.75" customHeight="1">
      <c r="R888" s="30"/>
    </row>
    <row r="889" spans="18:18" ht="15.75" customHeight="1">
      <c r="R889" s="30"/>
    </row>
    <row r="890" spans="18:18" ht="15.75" customHeight="1">
      <c r="R890" s="30"/>
    </row>
    <row r="891" spans="18:18" ht="15.75" customHeight="1">
      <c r="R891" s="30"/>
    </row>
    <row r="892" spans="18:18" ht="15.75" customHeight="1">
      <c r="R892" s="30"/>
    </row>
    <row r="893" spans="18:18" ht="15.75" customHeight="1">
      <c r="R893" s="30"/>
    </row>
    <row r="894" spans="18:18" ht="15.75" customHeight="1">
      <c r="R894" s="30"/>
    </row>
    <row r="895" spans="18:18" ht="15.75" customHeight="1">
      <c r="R895" s="30"/>
    </row>
    <row r="896" spans="18:18" ht="15.75" customHeight="1">
      <c r="R896" s="30"/>
    </row>
    <row r="897" spans="18:18" ht="15.75" customHeight="1">
      <c r="R897" s="30"/>
    </row>
    <row r="898" spans="18:18" ht="15.75" customHeight="1">
      <c r="R898" s="30"/>
    </row>
    <row r="899" spans="18:18" ht="15.75" customHeight="1">
      <c r="R899" s="30"/>
    </row>
    <row r="900" spans="18:18" ht="15.75" customHeight="1">
      <c r="R900" s="30"/>
    </row>
    <row r="901" spans="18:18" ht="15.75" customHeight="1">
      <c r="R901" s="30"/>
    </row>
    <row r="902" spans="18:18" ht="15.75" customHeight="1">
      <c r="R902" s="30"/>
    </row>
    <row r="903" spans="18:18" ht="15.75" customHeight="1">
      <c r="R903" s="30"/>
    </row>
    <row r="904" spans="18:18" ht="15.75" customHeight="1">
      <c r="R904" s="30"/>
    </row>
    <row r="905" spans="18:18" ht="15.75" customHeight="1">
      <c r="R905" s="30"/>
    </row>
    <row r="906" spans="18:18" ht="15.75" customHeight="1">
      <c r="R906" s="30"/>
    </row>
    <row r="907" spans="18:18" ht="15.75" customHeight="1">
      <c r="R907" s="30"/>
    </row>
    <row r="908" spans="18:18" ht="15.75" customHeight="1">
      <c r="R908" s="30"/>
    </row>
    <row r="909" spans="18:18" ht="15.75" customHeight="1">
      <c r="R909" s="30"/>
    </row>
    <row r="910" spans="18:18" ht="15.75" customHeight="1">
      <c r="R910" s="30"/>
    </row>
    <row r="911" spans="18:18" ht="15.75" customHeight="1">
      <c r="R911" s="30"/>
    </row>
    <row r="912" spans="18:18" ht="15.75" customHeight="1">
      <c r="R912" s="30"/>
    </row>
    <row r="913" spans="18:18" ht="15.75" customHeight="1">
      <c r="R913" s="30"/>
    </row>
    <row r="914" spans="18:18" ht="15.75" customHeight="1">
      <c r="R914" s="30"/>
    </row>
    <row r="915" spans="18:18" ht="15.75" customHeight="1">
      <c r="R915" s="30"/>
    </row>
    <row r="916" spans="18:18" ht="15.75" customHeight="1">
      <c r="R916" s="30"/>
    </row>
    <row r="917" spans="18:18" ht="15.75" customHeight="1">
      <c r="R917" s="30"/>
    </row>
    <row r="918" spans="18:18" ht="15.75" customHeight="1">
      <c r="R918" s="30"/>
    </row>
    <row r="919" spans="18:18" ht="15.75" customHeight="1">
      <c r="R919" s="30"/>
    </row>
    <row r="920" spans="18:18" ht="15.75" customHeight="1">
      <c r="R920" s="30"/>
    </row>
    <row r="921" spans="18:18" ht="15.75" customHeight="1">
      <c r="R921" s="30"/>
    </row>
    <row r="922" spans="18:18" ht="15.75" customHeight="1">
      <c r="R922" s="30"/>
    </row>
    <row r="923" spans="18:18" ht="15.75" customHeight="1">
      <c r="R923" s="30"/>
    </row>
    <row r="924" spans="18:18" ht="15.75" customHeight="1">
      <c r="R924" s="30"/>
    </row>
    <row r="925" spans="18:18" ht="15.75" customHeight="1">
      <c r="R925" s="30"/>
    </row>
    <row r="926" spans="18:18" ht="15.75" customHeight="1">
      <c r="R926" s="30"/>
    </row>
    <row r="927" spans="18:18" ht="15.75" customHeight="1">
      <c r="R927" s="30"/>
    </row>
    <row r="928" spans="18:18" ht="15.75" customHeight="1">
      <c r="R928" s="30"/>
    </row>
    <row r="929" spans="18:18" ht="15.75" customHeight="1">
      <c r="R929" s="30"/>
    </row>
    <row r="930" spans="18:18" ht="15.75" customHeight="1">
      <c r="R930" s="30"/>
    </row>
    <row r="931" spans="18:18" ht="15.75" customHeight="1">
      <c r="R931" s="30"/>
    </row>
    <row r="932" spans="18:18" ht="15.75" customHeight="1">
      <c r="R932" s="30"/>
    </row>
    <row r="933" spans="18:18" ht="15.75" customHeight="1">
      <c r="R933" s="30"/>
    </row>
    <row r="934" spans="18:18" ht="15.75" customHeight="1">
      <c r="R934" s="30"/>
    </row>
    <row r="935" spans="18:18" ht="15.75" customHeight="1">
      <c r="R935" s="30"/>
    </row>
    <row r="936" spans="18:18" ht="15.75" customHeight="1">
      <c r="R936" s="30"/>
    </row>
    <row r="937" spans="18:18" ht="15.75" customHeight="1">
      <c r="R937" s="30"/>
    </row>
    <row r="938" spans="18:18" ht="15.75" customHeight="1">
      <c r="R938" s="30"/>
    </row>
    <row r="939" spans="18:18" ht="15.75" customHeight="1">
      <c r="R939" s="30"/>
    </row>
    <row r="940" spans="18:18" ht="15.75" customHeight="1">
      <c r="R940" s="30"/>
    </row>
    <row r="941" spans="18:18" ht="15.75" customHeight="1">
      <c r="R941" s="30"/>
    </row>
    <row r="942" spans="18:18" ht="15.75" customHeight="1">
      <c r="R942" s="30"/>
    </row>
    <row r="943" spans="18:18" ht="15.75" customHeight="1">
      <c r="R943" s="30"/>
    </row>
    <row r="944" spans="18:18" ht="15.75" customHeight="1">
      <c r="R944" s="30"/>
    </row>
    <row r="945" spans="18:18" ht="15.75" customHeight="1">
      <c r="R945" s="30"/>
    </row>
    <row r="946" spans="18:18" ht="15.75" customHeight="1">
      <c r="R946" s="30"/>
    </row>
    <row r="947" spans="18:18" ht="15.75" customHeight="1">
      <c r="R947" s="30"/>
    </row>
    <row r="948" spans="18:18" ht="15.75" customHeight="1">
      <c r="R948" s="30"/>
    </row>
    <row r="949" spans="18:18" ht="15.75" customHeight="1">
      <c r="R949" s="30"/>
    </row>
    <row r="950" spans="18:18" ht="15.75" customHeight="1">
      <c r="R950" s="30"/>
    </row>
    <row r="951" spans="18:18" ht="15.75" customHeight="1">
      <c r="R951" s="30"/>
    </row>
    <row r="952" spans="18:18" ht="15.75" customHeight="1">
      <c r="R952" s="30"/>
    </row>
    <row r="953" spans="18:18" ht="15.75" customHeight="1">
      <c r="R953" s="30"/>
    </row>
    <row r="954" spans="18:18" ht="15.75" customHeight="1">
      <c r="R954" s="30"/>
    </row>
    <row r="955" spans="18:18" ht="15.75" customHeight="1">
      <c r="R955" s="30"/>
    </row>
    <row r="956" spans="18:18" ht="15.75" customHeight="1">
      <c r="R956" s="30"/>
    </row>
    <row r="957" spans="18:18" ht="15.75" customHeight="1">
      <c r="R957" s="30"/>
    </row>
    <row r="958" spans="18:18" ht="15.75" customHeight="1">
      <c r="R958" s="30"/>
    </row>
    <row r="959" spans="18:18" ht="15.75" customHeight="1">
      <c r="R959" s="30"/>
    </row>
    <row r="960" spans="18:18" ht="15.75" customHeight="1">
      <c r="R960" s="30"/>
    </row>
    <row r="961" spans="18:18" ht="15.75" customHeight="1">
      <c r="R961" s="30"/>
    </row>
    <row r="962" spans="18:18" ht="15.75" customHeight="1">
      <c r="R962" s="30"/>
    </row>
    <row r="963" spans="18:18" ht="15.75" customHeight="1">
      <c r="R963" s="30"/>
    </row>
    <row r="964" spans="18:18" ht="15.75" customHeight="1">
      <c r="R964" s="30"/>
    </row>
    <row r="965" spans="18:18" ht="15.75" customHeight="1">
      <c r="R965" s="30"/>
    </row>
    <row r="966" spans="18:18" ht="15.75" customHeight="1">
      <c r="R966" s="30"/>
    </row>
    <row r="967" spans="18:18" ht="15.75" customHeight="1">
      <c r="R967" s="30"/>
    </row>
    <row r="968" spans="18:18" ht="15.75" customHeight="1">
      <c r="R968" s="30"/>
    </row>
    <row r="969" spans="18:18" ht="15.75" customHeight="1">
      <c r="R969" s="30"/>
    </row>
    <row r="970" spans="18:18" ht="15.75" customHeight="1">
      <c r="R970" s="30"/>
    </row>
    <row r="971" spans="18:18" ht="15.75" customHeight="1">
      <c r="R971" s="30"/>
    </row>
    <row r="972" spans="18:18" ht="15.75" customHeight="1">
      <c r="R972" s="30"/>
    </row>
    <row r="973" spans="18:18" ht="15.75" customHeight="1">
      <c r="R973" s="30"/>
    </row>
    <row r="974" spans="18:18" ht="15.75" customHeight="1">
      <c r="R974" s="30"/>
    </row>
    <row r="975" spans="18:18" ht="15.75" customHeight="1">
      <c r="R975" s="30"/>
    </row>
    <row r="976" spans="18:18" ht="15.75" customHeight="1">
      <c r="R976" s="30"/>
    </row>
    <row r="977" spans="18:18" ht="15.75" customHeight="1">
      <c r="R977" s="30"/>
    </row>
    <row r="978" spans="18:18" ht="15.75" customHeight="1">
      <c r="R978" s="30"/>
    </row>
    <row r="979" spans="18:18" ht="15.75" customHeight="1">
      <c r="R979" s="30"/>
    </row>
    <row r="980" spans="18:18" ht="15.75" customHeight="1">
      <c r="R980" s="30"/>
    </row>
    <row r="981" spans="18:18" ht="15.75" customHeight="1">
      <c r="R981" s="30"/>
    </row>
    <row r="982" spans="18:18" ht="15.75" customHeight="1">
      <c r="R982" s="30"/>
    </row>
    <row r="983" spans="18:18" ht="15.75" customHeight="1">
      <c r="R983" s="30"/>
    </row>
    <row r="984" spans="18:18" ht="15.75" customHeight="1">
      <c r="R984" s="30"/>
    </row>
    <row r="985" spans="18:18" ht="15.75" customHeight="1">
      <c r="R985" s="30"/>
    </row>
    <row r="986" spans="18:18" ht="15.75" customHeight="1">
      <c r="R986" s="30"/>
    </row>
    <row r="987" spans="18:18" ht="15.75" customHeight="1">
      <c r="R987" s="30"/>
    </row>
    <row r="988" spans="18:18" ht="15.75" customHeight="1">
      <c r="R988" s="30"/>
    </row>
    <row r="989" spans="18:18" ht="15.75" customHeight="1">
      <c r="R989" s="30"/>
    </row>
    <row r="990" spans="18:18" ht="15.75" customHeight="1">
      <c r="R990" s="30"/>
    </row>
    <row r="991" spans="18:18" ht="15.75" customHeight="1">
      <c r="R991" s="30"/>
    </row>
    <row r="992" spans="18:18" ht="15.75" customHeight="1">
      <c r="R992" s="30"/>
    </row>
    <row r="993" spans="18:18" ht="15.75" customHeight="1">
      <c r="R993" s="30"/>
    </row>
    <row r="994" spans="18:18" ht="15.75" customHeight="1">
      <c r="R994" s="30"/>
    </row>
    <row r="995" spans="18:18" ht="15.75" customHeight="1">
      <c r="R995" s="30"/>
    </row>
    <row r="996" spans="18:18" ht="15.75" customHeight="1">
      <c r="R996" s="30"/>
    </row>
    <row r="997" spans="18:18" ht="15.75" customHeight="1">
      <c r="R997" s="30"/>
    </row>
    <row r="998" spans="18:18" ht="15.75" customHeight="1">
      <c r="R998" s="30"/>
    </row>
    <row r="999" spans="18:18" ht="15.75" customHeight="1">
      <c r="R999" s="30"/>
    </row>
    <row r="1000" spans="18:18" ht="15.75" customHeight="1">
      <c r="R1000" s="3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2.6640625" defaultRowHeight="15" customHeight="1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8.6640625" customWidth="1"/>
    <col min="6" max="6" width="10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17.6640625" customWidth="1"/>
    <col min="16" max="16" width="10" customWidth="1"/>
    <col min="17" max="18" width="7.33203125" customWidth="1"/>
    <col min="19" max="19" width="7.1640625" customWidth="1"/>
    <col min="20" max="20" width="11.1640625" customWidth="1"/>
    <col min="21" max="21" width="13.5" customWidth="1"/>
    <col min="22" max="22" width="10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6640625" customWidth="1"/>
    <col min="32" max="32" width="10.1640625" customWidth="1"/>
    <col min="33" max="33" width="8.83203125" customWidth="1"/>
  </cols>
  <sheetData>
    <row r="1" spans="1:33" ht="18.75" customHeight="1">
      <c r="A1" s="46" t="str">
        <f ca="1">IFERROR(__xludf.DUMMYFUNCTION("IFERROR(VLOOKUP(B2,IMPORTRANGE(""https://docs.google.com/spreadsheets/d/1x0DhHglkXKoEBOD2MBsuK_EyIr1ouxD2ftIpqOYFa-k/edit?usp=sharing"",""Ubiquitty-SKU-Specific Info!B1:BJ5000""),3,FALSE),"""")"),"3.5 Foot Lighted Outdoor GFCI Extension Cord with 3 Electrical Power Outlets - 12/3 SJTW Heavy Duty Yellow Pigtail Extension Cable with 3 Prong Grounded Plug for Safety")</f>
        <v>3.5 Foot Lighted Outdoor GFCI Extension Cord with 3 Electrical Power Outlets - 12/3 SJTW Heavy Duty Yellow Pigtail Extension Cable with 3 Prong Grounded Plug for Safety</v>
      </c>
      <c r="B1" s="47"/>
      <c r="C1" s="48" t="s">
        <v>0</v>
      </c>
      <c r="D1" s="50" t="s">
        <v>1</v>
      </c>
      <c r="E1" s="50" t="s">
        <v>2</v>
      </c>
      <c r="F1" s="52" t="s">
        <v>3</v>
      </c>
      <c r="G1" s="52" t="s">
        <v>4</v>
      </c>
      <c r="H1" s="53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58" t="s">
        <v>10</v>
      </c>
      <c r="N1" s="59" t="s">
        <v>11</v>
      </c>
      <c r="O1" s="50" t="s">
        <v>12</v>
      </c>
      <c r="P1" s="50" t="s">
        <v>13</v>
      </c>
      <c r="Q1" s="57" t="s">
        <v>14</v>
      </c>
      <c r="R1" s="57" t="s">
        <v>15</v>
      </c>
      <c r="S1" s="60" t="s">
        <v>16</v>
      </c>
      <c r="T1" s="62" t="s">
        <v>2006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Info!B1:BJ5000""),2,FALSE),"""")"),"B07RL464FQ")</f>
        <v>B07RL464FQ</v>
      </c>
      <c r="B2" s="3" t="s">
        <v>1606</v>
      </c>
      <c r="C2" s="49"/>
      <c r="D2" s="49"/>
      <c r="E2" s="51"/>
      <c r="F2" s="49"/>
      <c r="G2" s="49"/>
      <c r="H2" s="54"/>
      <c r="I2" s="49"/>
      <c r="J2" s="49"/>
      <c r="K2" s="54"/>
      <c r="L2" s="54"/>
      <c r="M2" s="54"/>
      <c r="N2" s="49"/>
      <c r="O2" s="49"/>
      <c r="P2" s="51"/>
      <c r="Q2" s="49"/>
      <c r="R2" s="49"/>
      <c r="S2" s="61"/>
      <c r="T2" s="47"/>
      <c r="U2" s="63"/>
      <c r="V2" s="63"/>
      <c r="W2" s="47"/>
      <c r="X2" s="47"/>
      <c r="Y2" s="47"/>
      <c r="Z2" s="47"/>
      <c r="AA2" s="63"/>
      <c r="AB2" s="63"/>
      <c r="AC2" s="63"/>
      <c r="AD2" s="63"/>
      <c r="AE2" s="47"/>
      <c r="AF2" s="47"/>
      <c r="AG2" s="47"/>
    </row>
    <row r="3" spans="1:33" ht="21" customHeight="1">
      <c r="A3" s="55" t="s">
        <v>31</v>
      </c>
      <c r="B3" s="56"/>
      <c r="C3" s="4">
        <f>((AE32+AF32)/0.85)*-1</f>
        <v>22.033578823529293</v>
      </c>
      <c r="D3" s="5">
        <f>SUM(D4:D99765)</f>
        <v>0</v>
      </c>
      <c r="E3" s="5"/>
      <c r="F3" s="6">
        <f t="shared" ref="F3:G3" si="0">SUM(F4:F99765)</f>
        <v>0</v>
      </c>
      <c r="G3" s="6">
        <f t="shared" si="0"/>
        <v>0</v>
      </c>
      <c r="H3" s="7" t="e">
        <f t="shared" ref="H3:H32" si="1">G3/F3*-1</f>
        <v>#DIV/0!</v>
      </c>
      <c r="I3" s="8" t="e">
        <f t="shared" ref="I3:I32" si="2">J3/F3</f>
        <v>#DIV/0!</v>
      </c>
      <c r="J3" s="6">
        <f>SUM(J4:J99765)</f>
        <v>0</v>
      </c>
      <c r="K3" s="6" t="e">
        <f t="shared" ref="K3:K32" si="3">J3/D3</f>
        <v>#DIV/0!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Sheet!a1:g5000""),2,FALSE),"""")"),"4.5 - March
4.5 - April
4.5 - May
9 - June
7.5 - July
5.5 - Aug
4.5 - Sept
7.5 - Oct
8.5 - Nov
6 - Dec
4.5 - Jan
4.5 - Feb")</f>
        <v>4.5 - March
4.5 - April
4.5 - May
9 - June
7.5 - July
5.5 - Aug
4.5 - Sept
7.5 - Oct
8.5 - Nov
6 - Dec
4.5 - Jan
4.5 -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0</v>
      </c>
      <c r="X3" s="7" t="e">
        <f>W3/D3</f>
        <v>#DIV/0!</v>
      </c>
      <c r="Y3" s="6"/>
      <c r="Z3" s="5"/>
      <c r="AA3" s="5"/>
      <c r="AB3" s="5"/>
      <c r="AC3" s="5"/>
      <c r="AD3" s="6">
        <f>SUM(AD4:AD99765)</f>
        <v>0</v>
      </c>
      <c r="AE3" s="6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Info!B2:BZ3000""),37,FALSE)),"""")*-1"),-13.8285419999999)</f>
        <v>-13.828541999999899</v>
      </c>
      <c r="AG3" s="6">
        <f>SUM(AG4:AG99765)</f>
        <v>0</v>
      </c>
    </row>
    <row r="4" spans="1:33" ht="15.75" customHeight="1">
      <c r="A4" s="14" t="s">
        <v>181</v>
      </c>
      <c r="B4" s="14" t="s">
        <v>343</v>
      </c>
      <c r="C4" s="15" t="str">
        <f t="shared" ref="C4:C32" si="4">IFERROR(F4/D4," - ")</f>
        <v xml:space="preserve"> - </v>
      </c>
      <c r="D4" s="16">
        <v>0</v>
      </c>
      <c r="E4" s="16">
        <v>0</v>
      </c>
      <c r="F4" s="17">
        <v>0</v>
      </c>
      <c r="G4" s="17">
        <v>0</v>
      </c>
      <c r="H4" s="18" t="e">
        <f t="shared" si="1"/>
        <v>#DIV/0!</v>
      </c>
      <c r="I4" s="18" t="e">
        <f t="shared" si="2"/>
        <v>#DIV/0!</v>
      </c>
      <c r="J4" s="17">
        <f t="shared" ref="J4:J32" si="5">F4*0.85+G4+AF4*D4+D4*AE4+AG4+AD4</f>
        <v>0</v>
      </c>
      <c r="K4" s="17" t="e">
        <f t="shared" si="3"/>
        <v>#DIV/0!</v>
      </c>
      <c r="L4" s="16">
        <v>0</v>
      </c>
      <c r="M4" s="19" t="str">
        <f t="shared" ref="M4:M32" si="6">IFERROR(D4/L4,"-")</f>
        <v>-</v>
      </c>
      <c r="N4" s="16">
        <v>0</v>
      </c>
      <c r="O4" s="20">
        <f t="shared" ref="O4:P4" si="7">D4/7</f>
        <v>0</v>
      </c>
      <c r="P4" s="20">
        <f t="shared" si="7"/>
        <v>0</v>
      </c>
      <c r="Q4" s="16" t="e">
        <f t="shared" ref="Q4:Q32" si="8">ROUNDDOWN(N4/(O4+P4),0)</f>
        <v>#DIV/0!</v>
      </c>
      <c r="R4" s="16"/>
      <c r="S4" s="21" t="e">
        <v>#N/A</v>
      </c>
      <c r="T4" s="14">
        <v>0</v>
      </c>
      <c r="U4" s="22" t="s">
        <v>34</v>
      </c>
      <c r="V4" s="23" t="s">
        <v>34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26" t="e">
        <v>#N/A</v>
      </c>
      <c r="AB4" s="27" t="e">
        <f t="shared" ref="AB4:AB32" si="11">IF(OR(AA4="UsLargeStandardSize",AA4="UsSmallStandardSize"),-0.69,-0.48)</f>
        <v>#N/A</v>
      </c>
      <c r="AC4" s="28" t="e">
        <v>#N/A</v>
      </c>
      <c r="AD4" s="25">
        <f t="shared" ref="AD4:AD32" si="12">IFERROR(AB4*AC4*D4*2,0)</f>
        <v>0</v>
      </c>
      <c r="AE4" s="25">
        <v>0</v>
      </c>
      <c r="AF4" s="25">
        <v>-11.683194615384615</v>
      </c>
      <c r="AG4" s="25">
        <v>0</v>
      </c>
    </row>
    <row r="5" spans="1:33" ht="15.75" customHeight="1">
      <c r="A5" s="14" t="s">
        <v>183</v>
      </c>
      <c r="B5" s="14"/>
      <c r="C5" s="15" t="str">
        <f t="shared" si="4"/>
        <v xml:space="preserve"> - </v>
      </c>
      <c r="D5" s="16">
        <v>0</v>
      </c>
      <c r="E5" s="16">
        <v>0</v>
      </c>
      <c r="F5" s="29">
        <v>0</v>
      </c>
      <c r="G5" s="29">
        <v>0</v>
      </c>
      <c r="H5" s="18" t="e">
        <f t="shared" si="1"/>
        <v>#DIV/0!</v>
      </c>
      <c r="I5" s="18" t="e">
        <f t="shared" si="2"/>
        <v>#DIV/0!</v>
      </c>
      <c r="J5" s="17">
        <f t="shared" si="5"/>
        <v>0</v>
      </c>
      <c r="K5" s="17" t="e">
        <f t="shared" si="3"/>
        <v>#DIV/0!</v>
      </c>
      <c r="L5" s="16">
        <v>0</v>
      </c>
      <c r="M5" s="19" t="str">
        <f t="shared" si="6"/>
        <v>-</v>
      </c>
      <c r="N5" s="16">
        <v>0</v>
      </c>
      <c r="O5" s="20">
        <f t="shared" ref="O5:P5" si="13">D5/7</f>
        <v>0</v>
      </c>
      <c r="P5" s="20">
        <f t="shared" si="13"/>
        <v>0</v>
      </c>
      <c r="Q5" s="16" t="e">
        <f t="shared" si="8"/>
        <v>#DIV/0!</v>
      </c>
      <c r="R5" s="16"/>
      <c r="S5" s="21" t="e">
        <v>#N/A</v>
      </c>
      <c r="T5" s="14">
        <v>0</v>
      </c>
      <c r="U5" s="22" t="s">
        <v>34</v>
      </c>
      <c r="V5" s="23" t="s">
        <v>34</v>
      </c>
      <c r="W5" s="14">
        <v>0</v>
      </c>
      <c r="X5" s="24">
        <f t="shared" si="9"/>
        <v>0</v>
      </c>
      <c r="Y5" s="25">
        <f t="shared" si="10"/>
        <v>0</v>
      </c>
      <c r="Z5" s="14">
        <v>0</v>
      </c>
      <c r="AA5" s="14" t="e">
        <v>#N/A</v>
      </c>
      <c r="AB5" s="27" t="e">
        <f t="shared" si="11"/>
        <v>#N/A</v>
      </c>
      <c r="AC5" s="28" t="e">
        <v>#N/A</v>
      </c>
      <c r="AD5" s="25">
        <f t="shared" si="12"/>
        <v>0</v>
      </c>
      <c r="AE5" s="25">
        <v>0</v>
      </c>
      <c r="AF5" s="25">
        <v>-11.683194615384615</v>
      </c>
      <c r="AG5" s="25">
        <v>0</v>
      </c>
    </row>
    <row r="6" spans="1:33" ht="15.75" customHeight="1">
      <c r="A6" s="14" t="s">
        <v>185</v>
      </c>
      <c r="B6" s="14"/>
      <c r="C6" s="15" t="str">
        <f t="shared" si="4"/>
        <v xml:space="preserve"> - </v>
      </c>
      <c r="D6" s="16">
        <v>0</v>
      </c>
      <c r="E6" s="16">
        <v>0</v>
      </c>
      <c r="F6" s="29">
        <v>0</v>
      </c>
      <c r="G6" s="29">
        <v>0</v>
      </c>
      <c r="H6" s="18" t="e">
        <f t="shared" si="1"/>
        <v>#DIV/0!</v>
      </c>
      <c r="I6" s="18" t="e">
        <f t="shared" si="2"/>
        <v>#DIV/0!</v>
      </c>
      <c r="J6" s="17">
        <f t="shared" si="5"/>
        <v>0</v>
      </c>
      <c r="K6" s="17" t="e">
        <f t="shared" si="3"/>
        <v>#DIV/0!</v>
      </c>
      <c r="L6" s="16">
        <v>0</v>
      </c>
      <c r="M6" s="19" t="str">
        <f t="shared" si="6"/>
        <v>-</v>
      </c>
      <c r="N6" s="16">
        <v>0</v>
      </c>
      <c r="O6" s="20">
        <f t="shared" ref="O6:P6" si="14">D6/7</f>
        <v>0</v>
      </c>
      <c r="P6" s="20">
        <f t="shared" si="14"/>
        <v>0</v>
      </c>
      <c r="Q6" s="16" t="e">
        <f t="shared" si="8"/>
        <v>#DIV/0!</v>
      </c>
      <c r="R6" s="16"/>
      <c r="S6" s="21" t="e">
        <v>#N/A</v>
      </c>
      <c r="T6" s="14">
        <v>0</v>
      </c>
      <c r="U6" s="22" t="s">
        <v>34</v>
      </c>
      <c r="V6" s="23" t="s">
        <v>186</v>
      </c>
      <c r="W6" s="14">
        <v>0</v>
      </c>
      <c r="X6" s="24">
        <f t="shared" si="9"/>
        <v>0</v>
      </c>
      <c r="Y6" s="25">
        <f t="shared" si="10"/>
        <v>0</v>
      </c>
      <c r="Z6" s="14">
        <v>0</v>
      </c>
      <c r="AA6" s="14" t="e">
        <v>#N/A</v>
      </c>
      <c r="AB6" s="27" t="e">
        <f t="shared" si="11"/>
        <v>#N/A</v>
      </c>
      <c r="AC6" s="28" t="e">
        <v>#N/A</v>
      </c>
      <c r="AD6" s="25">
        <f t="shared" si="12"/>
        <v>0</v>
      </c>
      <c r="AE6" s="25">
        <v>0</v>
      </c>
      <c r="AF6" s="25">
        <v>-11.683194615384615</v>
      </c>
      <c r="AG6" s="25">
        <v>0</v>
      </c>
    </row>
    <row r="7" spans="1:33" ht="15.75" customHeight="1">
      <c r="A7" s="14" t="s">
        <v>187</v>
      </c>
      <c r="B7" s="14"/>
      <c r="C7" s="15" t="str">
        <f t="shared" si="4"/>
        <v xml:space="preserve"> - </v>
      </c>
      <c r="D7" s="16">
        <v>0</v>
      </c>
      <c r="E7" s="16">
        <v>0</v>
      </c>
      <c r="F7" s="29">
        <v>0</v>
      </c>
      <c r="G7" s="29">
        <v>0</v>
      </c>
      <c r="H7" s="18" t="e">
        <f t="shared" si="1"/>
        <v>#DIV/0!</v>
      </c>
      <c r="I7" s="18" t="e">
        <f t="shared" si="2"/>
        <v>#DIV/0!</v>
      </c>
      <c r="J7" s="17">
        <f t="shared" si="5"/>
        <v>0</v>
      </c>
      <c r="K7" s="17" t="e">
        <f t="shared" si="3"/>
        <v>#DIV/0!</v>
      </c>
      <c r="L7" s="16">
        <v>0</v>
      </c>
      <c r="M7" s="19" t="str">
        <f t="shared" si="6"/>
        <v>-</v>
      </c>
      <c r="N7" s="16">
        <v>0</v>
      </c>
      <c r="O7" s="20">
        <f t="shared" ref="O7:P7" si="15">D7/7</f>
        <v>0</v>
      </c>
      <c r="P7" s="20">
        <f t="shared" si="15"/>
        <v>0</v>
      </c>
      <c r="Q7" s="16" t="e">
        <f t="shared" si="8"/>
        <v>#DIV/0!</v>
      </c>
      <c r="R7" s="16"/>
      <c r="S7" s="21" t="e">
        <v>#N/A</v>
      </c>
      <c r="T7" s="14">
        <v>0</v>
      </c>
      <c r="U7" s="22" t="s">
        <v>34</v>
      </c>
      <c r="V7" s="23" t="s">
        <v>186</v>
      </c>
      <c r="W7" s="14">
        <v>0</v>
      </c>
      <c r="X7" s="24">
        <f t="shared" si="9"/>
        <v>0</v>
      </c>
      <c r="Y7" s="25">
        <f t="shared" si="10"/>
        <v>0</v>
      </c>
      <c r="Z7" s="14">
        <v>0</v>
      </c>
      <c r="AA7" s="14" t="e">
        <v>#N/A</v>
      </c>
      <c r="AB7" s="27" t="e">
        <f t="shared" si="11"/>
        <v>#N/A</v>
      </c>
      <c r="AC7" s="28" t="e">
        <v>#N/A</v>
      </c>
      <c r="AD7" s="25">
        <f t="shared" si="12"/>
        <v>0</v>
      </c>
      <c r="AE7" s="25">
        <v>0</v>
      </c>
      <c r="AF7" s="25">
        <v>-11.683194615384615</v>
      </c>
      <c r="AG7" s="25">
        <v>0</v>
      </c>
    </row>
    <row r="8" spans="1:33" ht="15.75" customHeight="1">
      <c r="A8" s="14" t="s">
        <v>189</v>
      </c>
      <c r="B8" s="14"/>
      <c r="C8" s="15" t="str">
        <f t="shared" si="4"/>
        <v xml:space="preserve"> - </v>
      </c>
      <c r="D8" s="16">
        <v>0</v>
      </c>
      <c r="E8" s="16">
        <v>0</v>
      </c>
      <c r="F8" s="29">
        <v>0</v>
      </c>
      <c r="G8" s="29">
        <v>0</v>
      </c>
      <c r="H8" s="18" t="e">
        <f t="shared" si="1"/>
        <v>#DIV/0!</v>
      </c>
      <c r="I8" s="18" t="e">
        <f t="shared" si="2"/>
        <v>#DIV/0!</v>
      </c>
      <c r="J8" s="17">
        <f t="shared" si="5"/>
        <v>0</v>
      </c>
      <c r="K8" s="17" t="e">
        <f t="shared" si="3"/>
        <v>#DIV/0!</v>
      </c>
      <c r="L8" s="16">
        <v>0</v>
      </c>
      <c r="M8" s="19" t="str">
        <f t="shared" si="6"/>
        <v>-</v>
      </c>
      <c r="N8" s="16">
        <v>0</v>
      </c>
      <c r="O8" s="20">
        <f t="shared" ref="O8:P8" si="16">D8/7</f>
        <v>0</v>
      </c>
      <c r="P8" s="20">
        <f t="shared" si="16"/>
        <v>0</v>
      </c>
      <c r="Q8" s="16" t="e">
        <f t="shared" si="8"/>
        <v>#DIV/0!</v>
      </c>
      <c r="R8" s="16"/>
      <c r="S8" s="21" t="e">
        <v>#N/A</v>
      </c>
      <c r="T8" s="14">
        <v>0</v>
      </c>
      <c r="U8" s="22" t="s">
        <v>34</v>
      </c>
      <c r="V8" s="23" t="s">
        <v>34</v>
      </c>
      <c r="W8" s="14">
        <v>0</v>
      </c>
      <c r="X8" s="24">
        <f t="shared" si="9"/>
        <v>0</v>
      </c>
      <c r="Y8" s="25">
        <f t="shared" si="10"/>
        <v>0</v>
      </c>
      <c r="Z8" s="14">
        <v>0</v>
      </c>
      <c r="AA8" s="14" t="e">
        <v>#N/A</v>
      </c>
      <c r="AB8" s="27" t="e">
        <f t="shared" si="11"/>
        <v>#N/A</v>
      </c>
      <c r="AC8" s="28" t="e">
        <v>#N/A</v>
      </c>
      <c r="AD8" s="25">
        <f t="shared" si="12"/>
        <v>0</v>
      </c>
      <c r="AE8" s="25">
        <v>0</v>
      </c>
      <c r="AF8" s="25">
        <v>-11.68</v>
      </c>
      <c r="AG8" s="25">
        <v>0</v>
      </c>
    </row>
    <row r="9" spans="1:33" ht="15.75" customHeight="1">
      <c r="A9" s="14" t="s">
        <v>191</v>
      </c>
      <c r="B9" s="14"/>
      <c r="C9" s="15" t="str">
        <f t="shared" si="4"/>
        <v xml:space="preserve"> - </v>
      </c>
      <c r="D9" s="16">
        <v>0</v>
      </c>
      <c r="E9" s="16">
        <v>0</v>
      </c>
      <c r="F9" s="29">
        <v>0</v>
      </c>
      <c r="G9" s="29">
        <v>0</v>
      </c>
      <c r="H9" s="18" t="e">
        <f t="shared" si="1"/>
        <v>#DIV/0!</v>
      </c>
      <c r="I9" s="18" t="e">
        <f t="shared" si="2"/>
        <v>#DIV/0!</v>
      </c>
      <c r="J9" s="17">
        <f t="shared" si="5"/>
        <v>0</v>
      </c>
      <c r="K9" s="17" t="e">
        <f t="shared" si="3"/>
        <v>#DIV/0!</v>
      </c>
      <c r="L9" s="16">
        <v>0</v>
      </c>
      <c r="M9" s="19" t="str">
        <f t="shared" si="6"/>
        <v>-</v>
      </c>
      <c r="N9" s="16">
        <v>0</v>
      </c>
      <c r="O9" s="20">
        <f t="shared" ref="O9:P9" si="17">D9/7</f>
        <v>0</v>
      </c>
      <c r="P9" s="20">
        <f t="shared" si="17"/>
        <v>0</v>
      </c>
      <c r="Q9" s="16" t="e">
        <f t="shared" si="8"/>
        <v>#DIV/0!</v>
      </c>
      <c r="R9" s="16"/>
      <c r="S9" s="21" t="e">
        <v>#N/A</v>
      </c>
      <c r="T9" s="14">
        <v>0</v>
      </c>
      <c r="U9" s="22" t="s">
        <v>34</v>
      </c>
      <c r="V9" s="23" t="s">
        <v>34</v>
      </c>
      <c r="W9" s="14">
        <v>0</v>
      </c>
      <c r="X9" s="24">
        <f t="shared" si="9"/>
        <v>0</v>
      </c>
      <c r="Y9" s="25">
        <f t="shared" si="10"/>
        <v>0</v>
      </c>
      <c r="Z9" s="14">
        <v>0</v>
      </c>
      <c r="AA9" s="14" t="e">
        <v>#N/A</v>
      </c>
      <c r="AB9" s="27" t="e">
        <f t="shared" si="11"/>
        <v>#N/A</v>
      </c>
      <c r="AC9" s="28" t="e">
        <v>#N/A</v>
      </c>
      <c r="AD9" s="25">
        <f t="shared" si="12"/>
        <v>0</v>
      </c>
      <c r="AE9" s="25">
        <v>0</v>
      </c>
      <c r="AF9" s="25">
        <v>-11.7504253846153</v>
      </c>
      <c r="AG9" s="25">
        <v>0</v>
      </c>
    </row>
    <row r="10" spans="1:33" ht="15.75" customHeight="1">
      <c r="A10" s="14" t="s">
        <v>192</v>
      </c>
      <c r="B10" s="14"/>
      <c r="C10" s="15" t="str">
        <f t="shared" si="4"/>
        <v xml:space="preserve"> - </v>
      </c>
      <c r="D10" s="16">
        <v>0</v>
      </c>
      <c r="E10" s="16">
        <v>0</v>
      </c>
      <c r="F10" s="29">
        <v>0</v>
      </c>
      <c r="G10" s="29">
        <v>0</v>
      </c>
      <c r="H10" s="18" t="e">
        <f t="shared" si="1"/>
        <v>#DIV/0!</v>
      </c>
      <c r="I10" s="18" t="e">
        <f t="shared" si="2"/>
        <v>#DIV/0!</v>
      </c>
      <c r="J10" s="17">
        <f t="shared" si="5"/>
        <v>0</v>
      </c>
      <c r="K10" s="17" t="e">
        <f t="shared" si="3"/>
        <v>#DIV/0!</v>
      </c>
      <c r="L10" s="16">
        <v>0</v>
      </c>
      <c r="M10" s="19" t="str">
        <f t="shared" si="6"/>
        <v>-</v>
      </c>
      <c r="N10" s="16">
        <v>0</v>
      </c>
      <c r="O10" s="20">
        <f t="shared" ref="O10:P10" si="18">D10/7</f>
        <v>0</v>
      </c>
      <c r="P10" s="20">
        <f t="shared" si="18"/>
        <v>0</v>
      </c>
      <c r="Q10" s="16" t="e">
        <f t="shared" si="8"/>
        <v>#DIV/0!</v>
      </c>
      <c r="R10" s="16"/>
      <c r="S10" s="21" t="e">
        <v>#N/A</v>
      </c>
      <c r="T10" s="14">
        <v>0</v>
      </c>
      <c r="U10" s="22" t="s">
        <v>34</v>
      </c>
      <c r="V10" s="23" t="s">
        <v>34</v>
      </c>
      <c r="W10" s="14">
        <v>0</v>
      </c>
      <c r="X10" s="24">
        <f t="shared" si="9"/>
        <v>0</v>
      </c>
      <c r="Y10" s="25">
        <f t="shared" si="10"/>
        <v>0</v>
      </c>
      <c r="Z10" s="14">
        <v>0</v>
      </c>
      <c r="AA10" s="14" t="e">
        <v>#N/A</v>
      </c>
      <c r="AB10" s="27" t="e">
        <f t="shared" si="11"/>
        <v>#N/A</v>
      </c>
      <c r="AC10" s="28" t="e">
        <v>#N/A</v>
      </c>
      <c r="AD10" s="25">
        <f t="shared" si="12"/>
        <v>0</v>
      </c>
      <c r="AE10" s="25">
        <v>0</v>
      </c>
      <c r="AF10" s="25">
        <v>-11.7504253846153</v>
      </c>
      <c r="AG10" s="25">
        <v>0</v>
      </c>
    </row>
    <row r="11" spans="1:33" ht="15.75" customHeight="1">
      <c r="A11" s="14" t="s">
        <v>193</v>
      </c>
      <c r="B11" s="14"/>
      <c r="C11" s="15" t="str">
        <f t="shared" si="4"/>
        <v xml:space="preserve"> - </v>
      </c>
      <c r="D11" s="16">
        <v>0</v>
      </c>
      <c r="E11" s="16">
        <v>0</v>
      </c>
      <c r="F11" s="29">
        <v>0</v>
      </c>
      <c r="G11" s="29">
        <v>0</v>
      </c>
      <c r="H11" s="18" t="e">
        <f t="shared" si="1"/>
        <v>#DIV/0!</v>
      </c>
      <c r="I11" s="18" t="e">
        <f t="shared" si="2"/>
        <v>#DIV/0!</v>
      </c>
      <c r="J11" s="17">
        <f t="shared" si="5"/>
        <v>0</v>
      </c>
      <c r="K11" s="17" t="e">
        <f t="shared" si="3"/>
        <v>#DIV/0!</v>
      </c>
      <c r="L11" s="16">
        <v>0</v>
      </c>
      <c r="M11" s="19" t="str">
        <f t="shared" si="6"/>
        <v>-</v>
      </c>
      <c r="N11" s="16">
        <v>0</v>
      </c>
      <c r="O11" s="20">
        <f t="shared" ref="O11:P11" si="19">D11/7</f>
        <v>0</v>
      </c>
      <c r="P11" s="20">
        <f t="shared" si="19"/>
        <v>0</v>
      </c>
      <c r="Q11" s="16" t="e">
        <f t="shared" si="8"/>
        <v>#DIV/0!</v>
      </c>
      <c r="R11" s="16"/>
      <c r="S11" s="21" t="e">
        <v>#N/A</v>
      </c>
      <c r="T11" s="14">
        <v>0</v>
      </c>
      <c r="U11" s="22" t="s">
        <v>34</v>
      </c>
      <c r="V11" s="23" t="s">
        <v>34</v>
      </c>
      <c r="W11" s="14">
        <v>0</v>
      </c>
      <c r="X11" s="24">
        <f t="shared" si="9"/>
        <v>0</v>
      </c>
      <c r="Y11" s="25">
        <f t="shared" si="10"/>
        <v>0</v>
      </c>
      <c r="Z11" s="14">
        <v>0</v>
      </c>
      <c r="AA11" s="14" t="e">
        <v>#N/A</v>
      </c>
      <c r="AB11" s="27" t="e">
        <f t="shared" si="11"/>
        <v>#N/A</v>
      </c>
      <c r="AC11" s="28" t="e">
        <v>#N/A</v>
      </c>
      <c r="AD11" s="25">
        <f t="shared" si="12"/>
        <v>0</v>
      </c>
      <c r="AE11" s="25">
        <v>0</v>
      </c>
      <c r="AF11" s="25">
        <v>-11.7504253846153</v>
      </c>
      <c r="AG11" s="25">
        <v>0</v>
      </c>
    </row>
    <row r="12" spans="1:33" ht="15.75" customHeight="1">
      <c r="A12" s="14" t="s">
        <v>195</v>
      </c>
      <c r="B12" s="14"/>
      <c r="C12" s="15" t="str">
        <f t="shared" si="4"/>
        <v xml:space="preserve"> - </v>
      </c>
      <c r="D12" s="16">
        <v>0</v>
      </c>
      <c r="E12" s="16">
        <v>0</v>
      </c>
      <c r="F12" s="29">
        <v>0</v>
      </c>
      <c r="G12" s="29">
        <v>0</v>
      </c>
      <c r="H12" s="18" t="e">
        <f t="shared" si="1"/>
        <v>#DIV/0!</v>
      </c>
      <c r="I12" s="18" t="e">
        <f t="shared" si="2"/>
        <v>#DIV/0!</v>
      </c>
      <c r="J12" s="17">
        <f t="shared" si="5"/>
        <v>0</v>
      </c>
      <c r="K12" s="17" t="e">
        <f t="shared" si="3"/>
        <v>#DIV/0!</v>
      </c>
      <c r="L12" s="16">
        <v>0</v>
      </c>
      <c r="M12" s="19" t="str">
        <f t="shared" si="6"/>
        <v>-</v>
      </c>
      <c r="N12" s="16">
        <v>0</v>
      </c>
      <c r="O12" s="20">
        <f t="shared" ref="O12:P12" si="20">D12/7</f>
        <v>0</v>
      </c>
      <c r="P12" s="20">
        <f t="shared" si="20"/>
        <v>0</v>
      </c>
      <c r="Q12" s="16" t="e">
        <f t="shared" si="8"/>
        <v>#DIV/0!</v>
      </c>
      <c r="R12" s="16"/>
      <c r="S12" s="21" t="e">
        <v>#N/A</v>
      </c>
      <c r="T12" s="14">
        <v>0</v>
      </c>
      <c r="U12" s="22" t="s">
        <v>34</v>
      </c>
      <c r="V12" s="23" t="s">
        <v>34</v>
      </c>
      <c r="W12" s="14">
        <v>0</v>
      </c>
      <c r="X12" s="24">
        <f t="shared" si="9"/>
        <v>0</v>
      </c>
      <c r="Y12" s="25">
        <f t="shared" si="10"/>
        <v>0</v>
      </c>
      <c r="Z12" s="14">
        <v>0</v>
      </c>
      <c r="AA12" s="14" t="e">
        <v>#N/A</v>
      </c>
      <c r="AB12" s="27" t="e">
        <f t="shared" si="11"/>
        <v>#N/A</v>
      </c>
      <c r="AC12" s="28" t="e">
        <v>#N/A</v>
      </c>
      <c r="AD12" s="25">
        <f t="shared" si="12"/>
        <v>0</v>
      </c>
      <c r="AE12" s="25">
        <v>0</v>
      </c>
      <c r="AF12" s="25">
        <v>-11.7504253846153</v>
      </c>
      <c r="AG12" s="25">
        <v>0</v>
      </c>
    </row>
    <row r="13" spans="1:33" ht="15.75" customHeight="1">
      <c r="A13" s="14" t="s">
        <v>197</v>
      </c>
      <c r="B13" s="14"/>
      <c r="C13" s="15" t="str">
        <f t="shared" si="4"/>
        <v xml:space="preserve"> - </v>
      </c>
      <c r="D13" s="16">
        <v>0</v>
      </c>
      <c r="E13" s="16">
        <v>0</v>
      </c>
      <c r="F13" s="17">
        <v>0</v>
      </c>
      <c r="G13" s="29">
        <v>0</v>
      </c>
      <c r="H13" s="18" t="e">
        <f t="shared" si="1"/>
        <v>#DIV/0!</v>
      </c>
      <c r="I13" s="18" t="e">
        <f t="shared" si="2"/>
        <v>#DIV/0!</v>
      </c>
      <c r="J13" s="17">
        <f t="shared" si="5"/>
        <v>0</v>
      </c>
      <c r="K13" s="17" t="e">
        <f t="shared" si="3"/>
        <v>#DIV/0!</v>
      </c>
      <c r="L13" s="16">
        <v>0</v>
      </c>
      <c r="M13" s="19" t="str">
        <f t="shared" si="6"/>
        <v>-</v>
      </c>
      <c r="N13" s="16">
        <v>0</v>
      </c>
      <c r="O13" s="20">
        <f t="shared" ref="O13:P13" si="21">D13/7</f>
        <v>0</v>
      </c>
      <c r="P13" s="20">
        <f t="shared" si="21"/>
        <v>0</v>
      </c>
      <c r="Q13" s="16" t="e">
        <f t="shared" si="8"/>
        <v>#DIV/0!</v>
      </c>
      <c r="R13" s="16"/>
      <c r="S13" s="21" t="e">
        <v>#N/A</v>
      </c>
      <c r="T13" s="14">
        <v>0</v>
      </c>
      <c r="U13" s="22" t="s">
        <v>34</v>
      </c>
      <c r="V13" s="23" t="s">
        <v>34</v>
      </c>
      <c r="W13" s="14">
        <v>0</v>
      </c>
      <c r="X13" s="24">
        <f t="shared" si="9"/>
        <v>0</v>
      </c>
      <c r="Y13" s="25">
        <f t="shared" si="10"/>
        <v>0</v>
      </c>
      <c r="Z13" s="14">
        <v>0</v>
      </c>
      <c r="AA13" s="14" t="e">
        <v>#N/A</v>
      </c>
      <c r="AB13" s="27" t="e">
        <f t="shared" si="11"/>
        <v>#N/A</v>
      </c>
      <c r="AC13" s="28" t="e">
        <v>#N/A</v>
      </c>
      <c r="AD13" s="25">
        <f t="shared" si="12"/>
        <v>0</v>
      </c>
      <c r="AE13" s="25">
        <v>0</v>
      </c>
      <c r="AF13" s="25">
        <v>-11.78581</v>
      </c>
      <c r="AG13" s="25">
        <v>0</v>
      </c>
    </row>
    <row r="14" spans="1:33" ht="15.75" customHeight="1">
      <c r="A14" s="14" t="s">
        <v>32</v>
      </c>
      <c r="B14" s="14"/>
      <c r="C14" s="15" t="str">
        <f t="shared" si="4"/>
        <v xml:space="preserve"> - </v>
      </c>
      <c r="D14" s="16">
        <v>0</v>
      </c>
      <c r="E14" s="16">
        <v>0</v>
      </c>
      <c r="F14" s="17">
        <v>0</v>
      </c>
      <c r="G14" s="29">
        <v>0</v>
      </c>
      <c r="H14" s="18" t="e">
        <f t="shared" si="1"/>
        <v>#DIV/0!</v>
      </c>
      <c r="I14" s="18" t="e">
        <f t="shared" si="2"/>
        <v>#DIV/0!</v>
      </c>
      <c r="J14" s="17">
        <f t="shared" si="5"/>
        <v>0</v>
      </c>
      <c r="K14" s="17" t="e">
        <f t="shared" si="3"/>
        <v>#DIV/0!</v>
      </c>
      <c r="L14" s="16">
        <v>0</v>
      </c>
      <c r="M14" s="19" t="str">
        <f t="shared" si="6"/>
        <v>-</v>
      </c>
      <c r="N14" s="16">
        <v>0</v>
      </c>
      <c r="O14" s="20">
        <f t="shared" ref="O14:P14" si="22">D14/7</f>
        <v>0</v>
      </c>
      <c r="P14" s="20">
        <f t="shared" si="22"/>
        <v>0</v>
      </c>
      <c r="Q14" s="16" t="e">
        <f t="shared" si="8"/>
        <v>#DIV/0!</v>
      </c>
      <c r="R14" s="16"/>
      <c r="S14" s="21" t="e">
        <v>#N/A</v>
      </c>
      <c r="T14" s="14">
        <v>0</v>
      </c>
      <c r="U14" s="22" t="s">
        <v>34</v>
      </c>
      <c r="V14" s="23" t="s">
        <v>34</v>
      </c>
      <c r="W14" s="14">
        <v>0</v>
      </c>
      <c r="X14" s="24">
        <f t="shared" si="9"/>
        <v>0</v>
      </c>
      <c r="Y14" s="25">
        <f t="shared" si="10"/>
        <v>0</v>
      </c>
      <c r="Z14" s="14">
        <v>0</v>
      </c>
      <c r="AA14" s="14" t="e">
        <v>#N/A</v>
      </c>
      <c r="AB14" s="27" t="e">
        <f t="shared" si="11"/>
        <v>#N/A</v>
      </c>
      <c r="AC14" s="28" t="e">
        <v>#N/A</v>
      </c>
      <c r="AD14" s="25">
        <f t="shared" si="12"/>
        <v>0</v>
      </c>
      <c r="AE14" s="25">
        <v>0</v>
      </c>
      <c r="AF14" s="25">
        <v>-11.78581</v>
      </c>
      <c r="AG14" s="25">
        <v>0</v>
      </c>
    </row>
    <row r="15" spans="1:33" ht="15.75" customHeight="1">
      <c r="A15" s="14" t="s">
        <v>36</v>
      </c>
      <c r="B15" s="14"/>
      <c r="C15" s="15" t="str">
        <f t="shared" si="4"/>
        <v xml:space="preserve"> - </v>
      </c>
      <c r="D15" s="16">
        <v>0</v>
      </c>
      <c r="E15" s="16">
        <v>0</v>
      </c>
      <c r="F15" s="17">
        <v>0</v>
      </c>
      <c r="G15" s="29">
        <v>0</v>
      </c>
      <c r="H15" s="18" t="e">
        <f t="shared" si="1"/>
        <v>#DIV/0!</v>
      </c>
      <c r="I15" s="18" t="e">
        <f t="shared" si="2"/>
        <v>#DIV/0!</v>
      </c>
      <c r="J15" s="17">
        <f t="shared" si="5"/>
        <v>0</v>
      </c>
      <c r="K15" s="17" t="e">
        <f t="shared" si="3"/>
        <v>#DIV/0!</v>
      </c>
      <c r="L15" s="16">
        <v>0</v>
      </c>
      <c r="M15" s="19" t="str">
        <f t="shared" si="6"/>
        <v>-</v>
      </c>
      <c r="N15" s="16">
        <v>0</v>
      </c>
      <c r="O15" s="20">
        <f t="shared" ref="O15:P15" si="23">D15/7</f>
        <v>0</v>
      </c>
      <c r="P15" s="20">
        <f t="shared" si="23"/>
        <v>0</v>
      </c>
      <c r="Q15" s="16" t="e">
        <f t="shared" si="8"/>
        <v>#DIV/0!</v>
      </c>
      <c r="R15" s="16"/>
      <c r="S15" s="21" t="e">
        <v>#N/A</v>
      </c>
      <c r="T15" s="14">
        <v>0</v>
      </c>
      <c r="U15" s="22" t="s">
        <v>34</v>
      </c>
      <c r="V15" s="23" t="s">
        <v>34</v>
      </c>
      <c r="W15" s="14">
        <v>0</v>
      </c>
      <c r="X15" s="24">
        <f t="shared" si="9"/>
        <v>0</v>
      </c>
      <c r="Y15" s="25">
        <f t="shared" si="10"/>
        <v>0</v>
      </c>
      <c r="Z15" s="14">
        <v>0</v>
      </c>
      <c r="AA15" s="14" t="e">
        <v>#N/A</v>
      </c>
      <c r="AB15" s="27" t="e">
        <f t="shared" si="11"/>
        <v>#N/A</v>
      </c>
      <c r="AC15" s="28" t="e">
        <v>#N/A</v>
      </c>
      <c r="AD15" s="25">
        <f t="shared" si="12"/>
        <v>0</v>
      </c>
      <c r="AE15" s="25">
        <v>0</v>
      </c>
      <c r="AF15" s="25">
        <v>-11.78581</v>
      </c>
      <c r="AG15" s="25">
        <v>0</v>
      </c>
    </row>
    <row r="16" spans="1:33" ht="15.75" customHeight="1">
      <c r="A16" s="14" t="s">
        <v>38</v>
      </c>
      <c r="B16" s="14"/>
      <c r="C16" s="15" t="str">
        <f t="shared" si="4"/>
        <v xml:space="preserve"> - </v>
      </c>
      <c r="D16" s="16">
        <v>0</v>
      </c>
      <c r="E16" s="16">
        <v>0</v>
      </c>
      <c r="F16" s="17">
        <v>0</v>
      </c>
      <c r="G16" s="29">
        <v>0</v>
      </c>
      <c r="H16" s="18" t="e">
        <f t="shared" si="1"/>
        <v>#DIV/0!</v>
      </c>
      <c r="I16" s="18" t="e">
        <f t="shared" si="2"/>
        <v>#DIV/0!</v>
      </c>
      <c r="J16" s="17">
        <f t="shared" si="5"/>
        <v>0</v>
      </c>
      <c r="K16" s="17" t="e">
        <f t="shared" si="3"/>
        <v>#DIV/0!</v>
      </c>
      <c r="L16" s="16">
        <v>0</v>
      </c>
      <c r="M16" s="19" t="str">
        <f t="shared" si="6"/>
        <v>-</v>
      </c>
      <c r="N16" s="16">
        <v>0</v>
      </c>
      <c r="O16" s="20">
        <f t="shared" ref="O16:P16" si="24">D16/7</f>
        <v>0</v>
      </c>
      <c r="P16" s="20">
        <f t="shared" si="24"/>
        <v>0</v>
      </c>
      <c r="Q16" s="16" t="e">
        <f t="shared" si="8"/>
        <v>#DIV/0!</v>
      </c>
      <c r="R16" s="16"/>
      <c r="S16" s="21" t="e">
        <v>#N/A</v>
      </c>
      <c r="T16" s="14">
        <v>0</v>
      </c>
      <c r="U16" s="22" t="s">
        <v>34</v>
      </c>
      <c r="V16" s="23" t="s">
        <v>34</v>
      </c>
      <c r="W16" s="14">
        <v>0</v>
      </c>
      <c r="X16" s="24">
        <f t="shared" si="9"/>
        <v>0</v>
      </c>
      <c r="Y16" s="25">
        <f t="shared" si="10"/>
        <v>0</v>
      </c>
      <c r="Z16" s="14">
        <v>0</v>
      </c>
      <c r="AA16" s="14" t="e">
        <v>#N/A</v>
      </c>
      <c r="AB16" s="27" t="e">
        <f t="shared" si="11"/>
        <v>#N/A</v>
      </c>
      <c r="AC16" s="28" t="e">
        <v>#N/A</v>
      </c>
      <c r="AD16" s="25">
        <f t="shared" si="12"/>
        <v>0</v>
      </c>
      <c r="AE16" s="25">
        <v>0</v>
      </c>
      <c r="AF16" s="25">
        <v>-11.78581</v>
      </c>
      <c r="AG16" s="25">
        <v>0</v>
      </c>
    </row>
    <row r="17" spans="1:33" ht="15.75" customHeight="1">
      <c r="A17" s="14" t="s">
        <v>40</v>
      </c>
      <c r="B17" s="14"/>
      <c r="C17" s="15" t="str">
        <f t="shared" si="4"/>
        <v xml:space="preserve"> - </v>
      </c>
      <c r="D17" s="16">
        <v>0</v>
      </c>
      <c r="E17" s="16">
        <v>0</v>
      </c>
      <c r="F17" s="17">
        <v>0</v>
      </c>
      <c r="G17" s="29">
        <v>0</v>
      </c>
      <c r="H17" s="18" t="e">
        <f t="shared" si="1"/>
        <v>#DIV/0!</v>
      </c>
      <c r="I17" s="18" t="e">
        <f t="shared" si="2"/>
        <v>#DIV/0!</v>
      </c>
      <c r="J17" s="17">
        <f t="shared" si="5"/>
        <v>0</v>
      </c>
      <c r="K17" s="17" t="e">
        <f t="shared" si="3"/>
        <v>#DIV/0!</v>
      </c>
      <c r="L17" s="16">
        <v>0</v>
      </c>
      <c r="M17" s="19" t="str">
        <f t="shared" si="6"/>
        <v>-</v>
      </c>
      <c r="N17" s="16">
        <v>0</v>
      </c>
      <c r="O17" s="20">
        <f t="shared" ref="O17:P17" si="25">D17/7</f>
        <v>0</v>
      </c>
      <c r="P17" s="20">
        <f t="shared" si="25"/>
        <v>0</v>
      </c>
      <c r="Q17" s="16" t="e">
        <f t="shared" si="8"/>
        <v>#DIV/0!</v>
      </c>
      <c r="R17" s="16"/>
      <c r="S17" s="21" t="e">
        <v>#N/A</v>
      </c>
      <c r="T17" s="14">
        <v>0</v>
      </c>
      <c r="U17" s="22" t="s">
        <v>34</v>
      </c>
      <c r="V17" s="23" t="s">
        <v>34</v>
      </c>
      <c r="W17" s="14">
        <v>0</v>
      </c>
      <c r="X17" s="24">
        <f t="shared" si="9"/>
        <v>0</v>
      </c>
      <c r="Y17" s="25">
        <f t="shared" si="10"/>
        <v>0</v>
      </c>
      <c r="Z17" s="14">
        <v>0</v>
      </c>
      <c r="AA17" s="14" t="e">
        <v>#N/A</v>
      </c>
      <c r="AB17" s="27" t="e">
        <f t="shared" si="11"/>
        <v>#N/A</v>
      </c>
      <c r="AC17" s="28" t="e">
        <v>#N/A</v>
      </c>
      <c r="AD17" s="25">
        <f t="shared" si="12"/>
        <v>0</v>
      </c>
      <c r="AE17" s="25">
        <v>0</v>
      </c>
      <c r="AF17" s="25">
        <v>-11.78581</v>
      </c>
      <c r="AG17" s="25">
        <v>0</v>
      </c>
    </row>
    <row r="18" spans="1:33" ht="15.75" customHeight="1">
      <c r="A18" s="14" t="s">
        <v>42</v>
      </c>
      <c r="B18" s="14"/>
      <c r="C18" s="15" t="str">
        <f t="shared" si="4"/>
        <v xml:space="preserve"> - </v>
      </c>
      <c r="D18" s="16">
        <v>0</v>
      </c>
      <c r="E18" s="16">
        <v>0</v>
      </c>
      <c r="F18" s="17">
        <v>0</v>
      </c>
      <c r="G18" s="29">
        <v>0</v>
      </c>
      <c r="H18" s="18" t="e">
        <f t="shared" si="1"/>
        <v>#DIV/0!</v>
      </c>
      <c r="I18" s="18" t="e">
        <f t="shared" si="2"/>
        <v>#DIV/0!</v>
      </c>
      <c r="J18" s="17">
        <f t="shared" si="5"/>
        <v>0</v>
      </c>
      <c r="K18" s="17" t="e">
        <f t="shared" si="3"/>
        <v>#DIV/0!</v>
      </c>
      <c r="L18" s="16">
        <v>0</v>
      </c>
      <c r="M18" s="19" t="str">
        <f t="shared" si="6"/>
        <v>-</v>
      </c>
      <c r="N18" s="16">
        <v>0</v>
      </c>
      <c r="O18" s="20">
        <f t="shared" ref="O18:P18" si="26">D18/7</f>
        <v>0</v>
      </c>
      <c r="P18" s="20">
        <f t="shared" si="26"/>
        <v>0</v>
      </c>
      <c r="Q18" s="16" t="e">
        <f t="shared" si="8"/>
        <v>#DIV/0!</v>
      </c>
      <c r="R18" s="16"/>
      <c r="S18" s="21" t="e">
        <v>#N/A</v>
      </c>
      <c r="T18" s="14">
        <v>0</v>
      </c>
      <c r="U18" s="22">
        <v>0</v>
      </c>
      <c r="V18" s="23" t="s">
        <v>34</v>
      </c>
      <c r="W18" s="14">
        <v>0</v>
      </c>
      <c r="X18" s="24">
        <f t="shared" si="9"/>
        <v>0</v>
      </c>
      <c r="Y18" s="25">
        <f t="shared" si="10"/>
        <v>0</v>
      </c>
      <c r="Z18" s="14">
        <v>0</v>
      </c>
      <c r="AA18" s="14" t="e">
        <v>#N/A</v>
      </c>
      <c r="AB18" s="27" t="e">
        <f t="shared" si="11"/>
        <v>#N/A</v>
      </c>
      <c r="AC18" s="28" t="e">
        <v>#N/A</v>
      </c>
      <c r="AD18" s="25">
        <f t="shared" si="12"/>
        <v>0</v>
      </c>
      <c r="AE18" s="25">
        <v>0</v>
      </c>
      <c r="AF18" s="25">
        <v>-11.78581</v>
      </c>
      <c r="AG18" s="25">
        <v>0</v>
      </c>
    </row>
    <row r="19" spans="1:33" ht="15.75" customHeight="1">
      <c r="A19" s="14" t="s">
        <v>44</v>
      </c>
      <c r="B19" s="14"/>
      <c r="C19" s="15" t="str">
        <f t="shared" si="4"/>
        <v xml:space="preserve"> - </v>
      </c>
      <c r="D19" s="16">
        <v>0</v>
      </c>
      <c r="E19" s="16">
        <v>0</v>
      </c>
      <c r="F19" s="17">
        <v>0</v>
      </c>
      <c r="G19" s="29">
        <v>0</v>
      </c>
      <c r="H19" s="18" t="e">
        <f t="shared" si="1"/>
        <v>#DIV/0!</v>
      </c>
      <c r="I19" s="18" t="e">
        <f t="shared" si="2"/>
        <v>#DIV/0!</v>
      </c>
      <c r="J19" s="17">
        <f t="shared" si="5"/>
        <v>0</v>
      </c>
      <c r="K19" s="17" t="e">
        <f t="shared" si="3"/>
        <v>#DIV/0!</v>
      </c>
      <c r="L19" s="16">
        <v>0</v>
      </c>
      <c r="M19" s="19" t="str">
        <f t="shared" si="6"/>
        <v>-</v>
      </c>
      <c r="N19" s="16">
        <v>0</v>
      </c>
      <c r="O19" s="20">
        <f t="shared" ref="O19:P19" si="27">D19/7</f>
        <v>0</v>
      </c>
      <c r="P19" s="20">
        <f t="shared" si="27"/>
        <v>0</v>
      </c>
      <c r="Q19" s="16" t="e">
        <f t="shared" si="8"/>
        <v>#DIV/0!</v>
      </c>
      <c r="R19" s="16"/>
      <c r="S19" s="21" t="e">
        <v>#N/A</v>
      </c>
      <c r="T19" s="14">
        <v>0</v>
      </c>
      <c r="U19" s="22" t="s">
        <v>34</v>
      </c>
      <c r="V19" s="23" t="s">
        <v>34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14" t="e">
        <v>#N/A</v>
      </c>
      <c r="AB19" s="27" t="e">
        <f t="shared" si="11"/>
        <v>#N/A</v>
      </c>
      <c r="AC19" s="28" t="e">
        <v>#N/A</v>
      </c>
      <c r="AD19" s="25">
        <f t="shared" si="12"/>
        <v>0</v>
      </c>
      <c r="AE19" s="25">
        <v>0</v>
      </c>
      <c r="AF19" s="25">
        <v>-14.104541999999999</v>
      </c>
      <c r="AG19" s="25">
        <v>0</v>
      </c>
    </row>
    <row r="20" spans="1:33" ht="15.75" customHeight="1">
      <c r="A20" s="14" t="s">
        <v>46</v>
      </c>
      <c r="B20" s="14"/>
      <c r="C20" s="15" t="str">
        <f t="shared" si="4"/>
        <v xml:space="preserve"> - </v>
      </c>
      <c r="D20" s="16">
        <v>0</v>
      </c>
      <c r="E20" s="16">
        <v>0</v>
      </c>
      <c r="F20" s="17">
        <v>0</v>
      </c>
      <c r="G20" s="29">
        <v>0</v>
      </c>
      <c r="H20" s="18" t="e">
        <f t="shared" si="1"/>
        <v>#DIV/0!</v>
      </c>
      <c r="I20" s="18" t="e">
        <f t="shared" si="2"/>
        <v>#DIV/0!</v>
      </c>
      <c r="J20" s="17">
        <f t="shared" si="5"/>
        <v>0</v>
      </c>
      <c r="K20" s="17" t="e">
        <f t="shared" si="3"/>
        <v>#DIV/0!</v>
      </c>
      <c r="L20" s="16">
        <v>0</v>
      </c>
      <c r="M20" s="19" t="str">
        <f t="shared" si="6"/>
        <v>-</v>
      </c>
      <c r="N20" s="16">
        <v>0</v>
      </c>
      <c r="O20" s="20">
        <f t="shared" ref="O20:P20" si="28">D20/7</f>
        <v>0</v>
      </c>
      <c r="P20" s="20">
        <f t="shared" si="28"/>
        <v>0</v>
      </c>
      <c r="Q20" s="16" t="e">
        <f t="shared" si="8"/>
        <v>#DIV/0!</v>
      </c>
      <c r="R20" s="16"/>
      <c r="S20" s="21" t="e">
        <v>#N/A</v>
      </c>
      <c r="T20" s="14">
        <v>0</v>
      </c>
      <c r="U20" s="22" t="s">
        <v>34</v>
      </c>
      <c r="V20" s="23" t="s">
        <v>34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14" t="e">
        <v>#N/A</v>
      </c>
      <c r="AB20" s="27" t="e">
        <f t="shared" si="11"/>
        <v>#N/A</v>
      </c>
      <c r="AC20" s="28" t="e">
        <v>#N/A</v>
      </c>
      <c r="AD20" s="25">
        <f t="shared" si="12"/>
        <v>0</v>
      </c>
      <c r="AE20" s="25">
        <v>0</v>
      </c>
      <c r="AF20" s="25">
        <v>-14.104541999999999</v>
      </c>
      <c r="AG20" s="25">
        <v>0</v>
      </c>
    </row>
    <row r="21" spans="1:33" ht="15.75" customHeight="1">
      <c r="A21" s="14" t="s">
        <v>47</v>
      </c>
      <c r="B21" s="14"/>
      <c r="C21" s="15" t="str">
        <f t="shared" si="4"/>
        <v xml:space="preserve"> - </v>
      </c>
      <c r="D21" s="16">
        <v>0</v>
      </c>
      <c r="E21" s="16">
        <v>0</v>
      </c>
      <c r="F21" s="17">
        <v>0</v>
      </c>
      <c r="G21" s="29">
        <v>0</v>
      </c>
      <c r="H21" s="18" t="e">
        <f t="shared" si="1"/>
        <v>#DIV/0!</v>
      </c>
      <c r="I21" s="18" t="e">
        <f t="shared" si="2"/>
        <v>#DIV/0!</v>
      </c>
      <c r="J21" s="17">
        <f t="shared" si="5"/>
        <v>0</v>
      </c>
      <c r="K21" s="17" t="e">
        <f t="shared" si="3"/>
        <v>#DIV/0!</v>
      </c>
      <c r="L21" s="16">
        <v>0</v>
      </c>
      <c r="M21" s="19" t="str">
        <f t="shared" si="6"/>
        <v>-</v>
      </c>
      <c r="N21" s="16">
        <v>0</v>
      </c>
      <c r="O21" s="20">
        <f t="shared" ref="O21:P21" si="29">D21/7</f>
        <v>0</v>
      </c>
      <c r="P21" s="20">
        <f t="shared" si="29"/>
        <v>0</v>
      </c>
      <c r="Q21" s="16" t="e">
        <f t="shared" si="8"/>
        <v>#DIV/0!</v>
      </c>
      <c r="R21" s="16"/>
      <c r="S21" s="21" t="e">
        <v>#N/A</v>
      </c>
      <c r="T21" s="14">
        <v>0</v>
      </c>
      <c r="U21" s="22" t="s">
        <v>34</v>
      </c>
      <c r="V21" s="23" t="s">
        <v>34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14" t="e">
        <v>#N/A</v>
      </c>
      <c r="AB21" s="27" t="e">
        <f t="shared" si="11"/>
        <v>#N/A</v>
      </c>
      <c r="AC21" s="28" t="e">
        <v>#N/A</v>
      </c>
      <c r="AD21" s="25">
        <f t="shared" si="12"/>
        <v>0</v>
      </c>
      <c r="AE21" s="25">
        <v>0</v>
      </c>
      <c r="AF21" s="25">
        <v>-14.104541999999999</v>
      </c>
      <c r="AG21" s="25">
        <v>0</v>
      </c>
    </row>
    <row r="22" spans="1:33" ht="15.75" customHeight="1">
      <c r="A22" s="14" t="s">
        <v>48</v>
      </c>
      <c r="B22" s="14"/>
      <c r="C22" s="15" t="str">
        <f t="shared" si="4"/>
        <v xml:space="preserve"> - </v>
      </c>
      <c r="D22" s="16">
        <v>0</v>
      </c>
      <c r="E22" s="16">
        <v>0</v>
      </c>
      <c r="F22" s="29">
        <v>0</v>
      </c>
      <c r="G22" s="29">
        <v>0</v>
      </c>
      <c r="H22" s="18" t="e">
        <f t="shared" si="1"/>
        <v>#DIV/0!</v>
      </c>
      <c r="I22" s="18" t="e">
        <f t="shared" si="2"/>
        <v>#DIV/0!</v>
      </c>
      <c r="J22" s="17">
        <f t="shared" si="5"/>
        <v>0</v>
      </c>
      <c r="K22" s="17" t="e">
        <f t="shared" si="3"/>
        <v>#DIV/0!</v>
      </c>
      <c r="L22" s="16">
        <v>0</v>
      </c>
      <c r="M22" s="19" t="str">
        <f t="shared" si="6"/>
        <v>-</v>
      </c>
      <c r="N22" s="16">
        <v>0</v>
      </c>
      <c r="O22" s="20">
        <f t="shared" ref="O22:P22" si="30">D22/7</f>
        <v>0</v>
      </c>
      <c r="P22" s="20">
        <f t="shared" si="30"/>
        <v>0</v>
      </c>
      <c r="Q22" s="16" t="e">
        <f t="shared" si="8"/>
        <v>#DIV/0!</v>
      </c>
      <c r="R22" s="16"/>
      <c r="S22" s="21" t="e">
        <v>#N/A</v>
      </c>
      <c r="T22" s="14">
        <v>0</v>
      </c>
      <c r="U22" s="22" t="s">
        <v>34</v>
      </c>
      <c r="V22" s="23" t="s">
        <v>34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e">
        <v>#N/A</v>
      </c>
      <c r="AB22" s="27" t="e">
        <f t="shared" si="11"/>
        <v>#N/A</v>
      </c>
      <c r="AC22" s="28" t="e">
        <v>#N/A</v>
      </c>
      <c r="AD22" s="25">
        <f t="shared" si="12"/>
        <v>0</v>
      </c>
      <c r="AE22" s="25">
        <v>0</v>
      </c>
      <c r="AF22" s="25">
        <v>-14.104541999999999</v>
      </c>
      <c r="AG22" s="25">
        <v>0</v>
      </c>
    </row>
    <row r="23" spans="1:33" ht="15.75" customHeight="1">
      <c r="A23" s="14" t="s">
        <v>49</v>
      </c>
      <c r="B23" s="14"/>
      <c r="C23" s="15" t="str">
        <f t="shared" si="4"/>
        <v xml:space="preserve"> - </v>
      </c>
      <c r="D23" s="16">
        <v>0</v>
      </c>
      <c r="E23" s="16">
        <v>0</v>
      </c>
      <c r="F23" s="17">
        <v>0</v>
      </c>
      <c r="G23" s="29">
        <v>0</v>
      </c>
      <c r="H23" s="18" t="e">
        <f t="shared" si="1"/>
        <v>#DIV/0!</v>
      </c>
      <c r="I23" s="18" t="e">
        <f t="shared" si="2"/>
        <v>#DIV/0!</v>
      </c>
      <c r="J23" s="17">
        <f t="shared" si="5"/>
        <v>0</v>
      </c>
      <c r="K23" s="17" t="e">
        <f t="shared" si="3"/>
        <v>#DIV/0!</v>
      </c>
      <c r="L23" s="16">
        <v>0</v>
      </c>
      <c r="M23" s="19" t="str">
        <f t="shared" si="6"/>
        <v>-</v>
      </c>
      <c r="N23" s="16">
        <v>0</v>
      </c>
      <c r="O23" s="20">
        <f t="shared" ref="O23:P23" si="31">D23/7</f>
        <v>0</v>
      </c>
      <c r="P23" s="20">
        <f t="shared" si="31"/>
        <v>0</v>
      </c>
      <c r="Q23" s="16" t="e">
        <f t="shared" si="8"/>
        <v>#DIV/0!</v>
      </c>
      <c r="R23" s="16"/>
      <c r="S23" s="21" t="e">
        <v>#N/A</v>
      </c>
      <c r="T23" s="14">
        <v>0</v>
      </c>
      <c r="U23" s="22" t="s">
        <v>34</v>
      </c>
      <c r="V23" s="23" t="s">
        <v>34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e">
        <v>#N/A</v>
      </c>
      <c r="AB23" s="27" t="e">
        <f t="shared" si="11"/>
        <v>#N/A</v>
      </c>
      <c r="AC23" s="28" t="e">
        <v>#N/A</v>
      </c>
      <c r="AD23" s="25">
        <f t="shared" si="12"/>
        <v>0</v>
      </c>
      <c r="AE23" s="25">
        <v>0</v>
      </c>
      <c r="AF23" s="25">
        <v>-14.104541999999999</v>
      </c>
      <c r="AG23" s="25">
        <v>0</v>
      </c>
    </row>
    <row r="24" spans="1:33" ht="15.75" customHeight="1">
      <c r="A24" s="14" t="s">
        <v>50</v>
      </c>
      <c r="B24" s="14"/>
      <c r="C24" s="15" t="str">
        <f t="shared" si="4"/>
        <v xml:space="preserve"> - </v>
      </c>
      <c r="D24" s="16">
        <v>0</v>
      </c>
      <c r="E24" s="16">
        <v>0</v>
      </c>
      <c r="F24" s="17">
        <v>0</v>
      </c>
      <c r="G24" s="17">
        <v>0</v>
      </c>
      <c r="H24" s="18" t="e">
        <f t="shared" si="1"/>
        <v>#DIV/0!</v>
      </c>
      <c r="I24" s="18" t="e">
        <f t="shared" si="2"/>
        <v>#DIV/0!</v>
      </c>
      <c r="J24" s="17">
        <f t="shared" si="5"/>
        <v>0</v>
      </c>
      <c r="K24" s="17" t="e">
        <f t="shared" si="3"/>
        <v>#DIV/0!</v>
      </c>
      <c r="L24" s="16">
        <v>0</v>
      </c>
      <c r="M24" s="19" t="str">
        <f t="shared" si="6"/>
        <v>-</v>
      </c>
      <c r="N24" s="16">
        <v>0</v>
      </c>
      <c r="O24" s="20">
        <f t="shared" ref="O24:P24" si="32">D24/7</f>
        <v>0</v>
      </c>
      <c r="P24" s="20">
        <f t="shared" si="32"/>
        <v>0</v>
      </c>
      <c r="Q24" s="16" t="e">
        <f t="shared" si="8"/>
        <v>#DIV/0!</v>
      </c>
      <c r="R24" s="16"/>
      <c r="S24" s="21" t="e">
        <v>#N/A</v>
      </c>
      <c r="T24" s="14">
        <v>0</v>
      </c>
      <c r="U24" s="22" t="s">
        <v>34</v>
      </c>
      <c r="V24" s="23" t="s">
        <v>34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43" t="s">
        <v>35</v>
      </c>
      <c r="AB24" s="27">
        <f t="shared" si="11"/>
        <v>-0.69</v>
      </c>
      <c r="AC24" s="44">
        <v>2.9490740740740738E-2</v>
      </c>
      <c r="AD24" s="25">
        <f t="shared" si="12"/>
        <v>0</v>
      </c>
      <c r="AE24" s="45">
        <v>-4.9000000000000004</v>
      </c>
      <c r="AF24" s="25">
        <v>-14.104541999999999</v>
      </c>
      <c r="AG24" s="25">
        <v>0</v>
      </c>
    </row>
    <row r="25" spans="1:33" ht="15.75" customHeight="1">
      <c r="A25" s="14" t="s">
        <v>51</v>
      </c>
      <c r="B25" s="14"/>
      <c r="C25" s="15" t="str">
        <f t="shared" si="4"/>
        <v xml:space="preserve"> - </v>
      </c>
      <c r="D25" s="16">
        <v>0</v>
      </c>
      <c r="E25" s="16">
        <v>0</v>
      </c>
      <c r="F25" s="17">
        <v>0</v>
      </c>
      <c r="G25" s="17">
        <v>0</v>
      </c>
      <c r="H25" s="18" t="e">
        <f t="shared" si="1"/>
        <v>#DIV/0!</v>
      </c>
      <c r="I25" s="18" t="e">
        <f t="shared" si="2"/>
        <v>#DIV/0!</v>
      </c>
      <c r="J25" s="17">
        <f t="shared" si="5"/>
        <v>0</v>
      </c>
      <c r="K25" s="17" t="e">
        <f t="shared" si="3"/>
        <v>#DIV/0!</v>
      </c>
      <c r="L25" s="16">
        <v>0</v>
      </c>
      <c r="M25" s="19" t="str">
        <f t="shared" si="6"/>
        <v>-</v>
      </c>
      <c r="N25" s="16">
        <v>0</v>
      </c>
      <c r="O25" s="20">
        <f t="shared" ref="O25:P25" si="33">D25/7</f>
        <v>0</v>
      </c>
      <c r="P25" s="20">
        <f t="shared" si="33"/>
        <v>0</v>
      </c>
      <c r="Q25" s="16" t="e">
        <f t="shared" si="8"/>
        <v>#DIV/0!</v>
      </c>
      <c r="R25" s="16"/>
      <c r="S25" s="21">
        <v>0</v>
      </c>
      <c r="T25" s="14">
        <v>0</v>
      </c>
      <c r="U25" s="22" t="s">
        <v>34</v>
      </c>
      <c r="V25" s="23" t="s">
        <v>34</v>
      </c>
      <c r="W25" s="30">
        <v>0</v>
      </c>
      <c r="X25" s="24">
        <f t="shared" si="9"/>
        <v>0</v>
      </c>
      <c r="Y25" s="25">
        <f t="shared" si="10"/>
        <v>0</v>
      </c>
      <c r="Z25" s="30">
        <v>0</v>
      </c>
      <c r="AA25" s="14" t="s">
        <v>35</v>
      </c>
      <c r="AB25" s="27">
        <f t="shared" si="11"/>
        <v>-0.69</v>
      </c>
      <c r="AC25" s="28">
        <v>2.9490740740740738E-2</v>
      </c>
      <c r="AD25" s="25">
        <f t="shared" si="12"/>
        <v>0</v>
      </c>
      <c r="AE25" s="25">
        <v>-4.9000000000000004</v>
      </c>
      <c r="AF25" s="25">
        <v>-14.1</v>
      </c>
      <c r="AG25" s="25">
        <v>0</v>
      </c>
    </row>
    <row r="26" spans="1:33" ht="15.75" customHeight="1">
      <c r="A26" s="14" t="s">
        <v>52</v>
      </c>
      <c r="B26" s="14"/>
      <c r="C26" s="15" t="str">
        <f t="shared" si="4"/>
        <v xml:space="preserve"> - </v>
      </c>
      <c r="D26" s="16">
        <v>0</v>
      </c>
      <c r="E26" s="16">
        <v>0</v>
      </c>
      <c r="F26" s="17">
        <v>0</v>
      </c>
      <c r="G26" s="17">
        <v>0</v>
      </c>
      <c r="H26" s="18" t="e">
        <f t="shared" si="1"/>
        <v>#DIV/0!</v>
      </c>
      <c r="I26" s="18" t="e">
        <f t="shared" si="2"/>
        <v>#DIV/0!</v>
      </c>
      <c r="J26" s="17">
        <f t="shared" si="5"/>
        <v>0</v>
      </c>
      <c r="K26" s="17" t="e">
        <f t="shared" si="3"/>
        <v>#DIV/0!</v>
      </c>
      <c r="L26" s="16">
        <v>0</v>
      </c>
      <c r="M26" s="19" t="str">
        <f t="shared" si="6"/>
        <v>-</v>
      </c>
      <c r="N26" s="16">
        <v>0</v>
      </c>
      <c r="O26" s="20">
        <f t="shared" ref="O26:P26" si="34">D26/7</f>
        <v>0</v>
      </c>
      <c r="P26" s="20">
        <f t="shared" si="34"/>
        <v>0</v>
      </c>
      <c r="Q26" s="16" t="e">
        <f t="shared" si="8"/>
        <v>#DIV/0!</v>
      </c>
      <c r="R26" s="16"/>
      <c r="S26" s="21">
        <v>0</v>
      </c>
      <c r="T26" s="14">
        <v>0</v>
      </c>
      <c r="U26" s="22" t="s">
        <v>34</v>
      </c>
      <c r="V26" s="23" t="s">
        <v>34</v>
      </c>
      <c r="W26" s="30">
        <v>0</v>
      </c>
      <c r="X26" s="24">
        <f t="shared" si="9"/>
        <v>0</v>
      </c>
      <c r="Y26" s="25">
        <f t="shared" si="10"/>
        <v>0</v>
      </c>
      <c r="Z26" s="30">
        <v>0</v>
      </c>
      <c r="AA26" s="14" t="s">
        <v>35</v>
      </c>
      <c r="AB26" s="27">
        <f t="shared" si="11"/>
        <v>-0.69</v>
      </c>
      <c r="AC26" s="28">
        <v>2.9490740740740738E-2</v>
      </c>
      <c r="AD26" s="25">
        <f t="shared" si="12"/>
        <v>0</v>
      </c>
      <c r="AE26" s="25">
        <v>-4.9000000000000004</v>
      </c>
      <c r="AF26" s="25">
        <v>-14.104541999999901</v>
      </c>
      <c r="AG26" s="25">
        <v>0</v>
      </c>
    </row>
    <row r="27" spans="1:33" ht="15.75" customHeight="1">
      <c r="A27" s="14" t="s">
        <v>53</v>
      </c>
      <c r="B27" s="14"/>
      <c r="C27" s="15" t="str">
        <f t="shared" si="4"/>
        <v xml:space="preserve"> - </v>
      </c>
      <c r="D27" s="16">
        <v>0</v>
      </c>
      <c r="E27" s="16">
        <v>0</v>
      </c>
      <c r="F27" s="17">
        <v>0</v>
      </c>
      <c r="G27" s="17">
        <v>0</v>
      </c>
      <c r="H27" s="18" t="e">
        <f t="shared" si="1"/>
        <v>#DIV/0!</v>
      </c>
      <c r="I27" s="18" t="e">
        <f t="shared" si="2"/>
        <v>#DIV/0!</v>
      </c>
      <c r="J27" s="17">
        <f t="shared" si="5"/>
        <v>0</v>
      </c>
      <c r="K27" s="17" t="e">
        <f t="shared" si="3"/>
        <v>#DIV/0!</v>
      </c>
      <c r="L27" s="16">
        <v>0</v>
      </c>
      <c r="M27" s="19" t="str">
        <f t="shared" si="6"/>
        <v>-</v>
      </c>
      <c r="N27" s="16">
        <v>0</v>
      </c>
      <c r="O27" s="20">
        <f t="shared" ref="O27:P27" si="35">D27/7</f>
        <v>0</v>
      </c>
      <c r="P27" s="20">
        <f t="shared" si="35"/>
        <v>0</v>
      </c>
      <c r="Q27" s="16" t="e">
        <f t="shared" si="8"/>
        <v>#DIV/0!</v>
      </c>
      <c r="R27" s="16"/>
      <c r="S27" s="21">
        <v>0</v>
      </c>
      <c r="T27" s="14">
        <v>0</v>
      </c>
      <c r="U27" s="22" t="s">
        <v>34</v>
      </c>
      <c r="V27" s="23" t="s">
        <v>34</v>
      </c>
      <c r="W27" s="30">
        <v>0</v>
      </c>
      <c r="X27" s="24">
        <f t="shared" si="9"/>
        <v>0</v>
      </c>
      <c r="Y27" s="25">
        <f t="shared" si="10"/>
        <v>0</v>
      </c>
      <c r="Z27" s="30">
        <v>0</v>
      </c>
      <c r="AA27" s="14" t="e">
        <v>#N/A</v>
      </c>
      <c r="AB27" s="27" t="e">
        <f t="shared" si="11"/>
        <v>#N/A</v>
      </c>
      <c r="AC27" s="28">
        <v>2.9490740740740738E-2</v>
      </c>
      <c r="AD27" s="25">
        <f t="shared" si="12"/>
        <v>0</v>
      </c>
      <c r="AE27" s="25">
        <v>-4.9000000000000004</v>
      </c>
      <c r="AF27" s="25">
        <v>-14.118341999999901</v>
      </c>
      <c r="AG27" s="25">
        <v>0</v>
      </c>
    </row>
    <row r="28" spans="1:33" ht="15.75" customHeight="1">
      <c r="A28" s="14" t="s">
        <v>54</v>
      </c>
      <c r="B28" s="14"/>
      <c r="C28" s="15" t="str">
        <f t="shared" si="4"/>
        <v xml:space="preserve"> - </v>
      </c>
      <c r="D28" s="16">
        <v>0</v>
      </c>
      <c r="E28" s="16">
        <v>0</v>
      </c>
      <c r="F28" s="17">
        <v>0</v>
      </c>
      <c r="G28" s="17">
        <v>0</v>
      </c>
      <c r="H28" s="18" t="e">
        <f t="shared" si="1"/>
        <v>#DIV/0!</v>
      </c>
      <c r="I28" s="18" t="e">
        <f t="shared" si="2"/>
        <v>#DIV/0!</v>
      </c>
      <c r="J28" s="17">
        <f t="shared" si="5"/>
        <v>0</v>
      </c>
      <c r="K28" s="17" t="e">
        <f t="shared" si="3"/>
        <v>#DIV/0!</v>
      </c>
      <c r="L28" s="16">
        <v>0</v>
      </c>
      <c r="M28" s="19" t="str">
        <f t="shared" si="6"/>
        <v>-</v>
      </c>
      <c r="N28" s="16">
        <v>0</v>
      </c>
      <c r="O28" s="20">
        <f t="shared" ref="O28:P28" si="36">D28/7</f>
        <v>0</v>
      </c>
      <c r="P28" s="20">
        <f t="shared" si="36"/>
        <v>0</v>
      </c>
      <c r="Q28" s="16" t="e">
        <f t="shared" si="8"/>
        <v>#DIV/0!</v>
      </c>
      <c r="R28" s="16"/>
      <c r="S28" s="21">
        <v>0</v>
      </c>
      <c r="T28" s="14">
        <v>0</v>
      </c>
      <c r="U28" s="22" t="s">
        <v>34</v>
      </c>
      <c r="V28" s="23" t="s">
        <v>34</v>
      </c>
      <c r="W28" s="30">
        <v>0</v>
      </c>
      <c r="X28" s="24">
        <f t="shared" si="9"/>
        <v>0</v>
      </c>
      <c r="Y28" s="25">
        <f t="shared" si="10"/>
        <v>0</v>
      </c>
      <c r="Z28" s="30">
        <v>0</v>
      </c>
      <c r="AA28" s="14" t="e">
        <v>#N/A</v>
      </c>
      <c r="AB28" s="27" t="e">
        <f t="shared" si="11"/>
        <v>#N/A</v>
      </c>
      <c r="AC28" s="28">
        <v>2.9490740740740738E-2</v>
      </c>
      <c r="AD28" s="25">
        <f t="shared" si="12"/>
        <v>0</v>
      </c>
      <c r="AE28" s="25">
        <v>-4.9000000000000004</v>
      </c>
      <c r="AF28" s="25">
        <v>-14.118341999999901</v>
      </c>
      <c r="AG28" s="25">
        <v>0</v>
      </c>
    </row>
    <row r="29" spans="1:33" ht="15.75" customHeight="1">
      <c r="A29" s="14" t="s">
        <v>55</v>
      </c>
      <c r="B29" s="14"/>
      <c r="C29" s="15" t="str">
        <f t="shared" si="4"/>
        <v xml:space="preserve"> - </v>
      </c>
      <c r="D29" s="16">
        <v>0</v>
      </c>
      <c r="E29" s="16">
        <v>0</v>
      </c>
      <c r="F29" s="17">
        <v>0</v>
      </c>
      <c r="G29" s="17">
        <v>0</v>
      </c>
      <c r="H29" s="18" t="e">
        <f t="shared" si="1"/>
        <v>#DIV/0!</v>
      </c>
      <c r="I29" s="18" t="e">
        <f t="shared" si="2"/>
        <v>#DIV/0!</v>
      </c>
      <c r="J29" s="17">
        <f t="shared" si="5"/>
        <v>0</v>
      </c>
      <c r="K29" s="17" t="e">
        <f t="shared" si="3"/>
        <v>#DIV/0!</v>
      </c>
      <c r="L29" s="16">
        <v>0</v>
      </c>
      <c r="M29" s="19" t="str">
        <f t="shared" si="6"/>
        <v>-</v>
      </c>
      <c r="N29" s="16">
        <v>0</v>
      </c>
      <c r="O29" s="20">
        <f t="shared" ref="O29:P29" si="37">D29/7</f>
        <v>0</v>
      </c>
      <c r="P29" s="20">
        <f t="shared" si="37"/>
        <v>0</v>
      </c>
      <c r="Q29" s="16" t="e">
        <f t="shared" si="8"/>
        <v>#DIV/0!</v>
      </c>
      <c r="R29" s="16"/>
      <c r="S29" s="21">
        <v>0</v>
      </c>
      <c r="T29" s="14">
        <v>0</v>
      </c>
      <c r="U29" s="22" t="s">
        <v>34</v>
      </c>
      <c r="V29" s="23" t="s">
        <v>34</v>
      </c>
      <c r="W29" s="30">
        <v>0</v>
      </c>
      <c r="X29" s="24">
        <f t="shared" si="9"/>
        <v>0</v>
      </c>
      <c r="Y29" s="25">
        <f t="shared" si="10"/>
        <v>0</v>
      </c>
      <c r="Z29" s="30">
        <v>0</v>
      </c>
      <c r="AA29" s="14" t="e">
        <v>#N/A</v>
      </c>
      <c r="AB29" s="27" t="e">
        <f t="shared" si="11"/>
        <v>#N/A</v>
      </c>
      <c r="AC29" s="28">
        <v>2.9490740740740738E-2</v>
      </c>
      <c r="AD29" s="25">
        <f t="shared" si="12"/>
        <v>0</v>
      </c>
      <c r="AE29" s="25">
        <v>-4.9000000000000004</v>
      </c>
      <c r="AF29" s="25">
        <v>-14.118341999999901</v>
      </c>
      <c r="AG29" s="25">
        <v>0</v>
      </c>
    </row>
    <row r="30" spans="1:33" ht="15.75" customHeight="1">
      <c r="A30" s="14" t="s">
        <v>57</v>
      </c>
      <c r="B30" s="14"/>
      <c r="C30" s="15" t="str">
        <f t="shared" si="4"/>
        <v xml:space="preserve"> - </v>
      </c>
      <c r="D30" s="16">
        <v>0</v>
      </c>
      <c r="E30" s="16">
        <v>0</v>
      </c>
      <c r="F30" s="17">
        <v>0</v>
      </c>
      <c r="G30" s="17">
        <v>0</v>
      </c>
      <c r="H30" s="18" t="e">
        <f t="shared" si="1"/>
        <v>#DIV/0!</v>
      </c>
      <c r="I30" s="18" t="e">
        <f t="shared" si="2"/>
        <v>#DIV/0!</v>
      </c>
      <c r="J30" s="17">
        <f t="shared" si="5"/>
        <v>0</v>
      </c>
      <c r="K30" s="17" t="e">
        <f t="shared" si="3"/>
        <v>#DIV/0!</v>
      </c>
      <c r="L30" s="16">
        <v>0</v>
      </c>
      <c r="M30" s="19" t="str">
        <f t="shared" si="6"/>
        <v>-</v>
      </c>
      <c r="N30" s="16">
        <v>0</v>
      </c>
      <c r="O30" s="20">
        <f t="shared" ref="O30:P30" si="38">D30/7</f>
        <v>0</v>
      </c>
      <c r="P30" s="20">
        <f t="shared" si="38"/>
        <v>0</v>
      </c>
      <c r="Q30" s="16" t="e">
        <f t="shared" si="8"/>
        <v>#DIV/0!</v>
      </c>
      <c r="R30" s="16"/>
      <c r="S30" s="21">
        <v>0</v>
      </c>
      <c r="T30" s="14">
        <v>0</v>
      </c>
      <c r="U30" s="22" t="s">
        <v>34</v>
      </c>
      <c r="V30" s="23" t="s">
        <v>34</v>
      </c>
      <c r="W30" s="30">
        <v>0</v>
      </c>
      <c r="X30" s="24">
        <f t="shared" si="9"/>
        <v>0</v>
      </c>
      <c r="Y30" s="25">
        <f t="shared" si="10"/>
        <v>0</v>
      </c>
      <c r="Z30" s="30">
        <v>0</v>
      </c>
      <c r="AA30" s="14" t="e">
        <v>#N/A</v>
      </c>
      <c r="AB30" s="27" t="e">
        <f t="shared" si="11"/>
        <v>#N/A</v>
      </c>
      <c r="AC30" s="28">
        <v>2.9490740740740738E-2</v>
      </c>
      <c r="AD30" s="25">
        <f t="shared" si="12"/>
        <v>0</v>
      </c>
      <c r="AE30" s="25">
        <v>-4.9000000000000004</v>
      </c>
      <c r="AF30" s="25">
        <v>-13.828541999999899</v>
      </c>
      <c r="AG30" s="25">
        <v>0</v>
      </c>
    </row>
    <row r="31" spans="1:33" ht="15.75" customHeight="1">
      <c r="A31" s="14" t="s">
        <v>58</v>
      </c>
      <c r="B31" s="14"/>
      <c r="C31" s="15" t="str">
        <f t="shared" si="4"/>
        <v xml:space="preserve"> - </v>
      </c>
      <c r="D31" s="16">
        <v>0</v>
      </c>
      <c r="E31" s="16">
        <v>0</v>
      </c>
      <c r="F31" s="17">
        <v>0</v>
      </c>
      <c r="G31" s="17">
        <v>0</v>
      </c>
      <c r="H31" s="18" t="e">
        <f t="shared" si="1"/>
        <v>#DIV/0!</v>
      </c>
      <c r="I31" s="18" t="e">
        <f t="shared" si="2"/>
        <v>#DIV/0!</v>
      </c>
      <c r="J31" s="17">
        <f t="shared" si="5"/>
        <v>0</v>
      </c>
      <c r="K31" s="17" t="e">
        <f t="shared" si="3"/>
        <v>#DIV/0!</v>
      </c>
      <c r="L31" s="16">
        <v>0</v>
      </c>
      <c r="M31" s="19" t="str">
        <f t="shared" si="6"/>
        <v>-</v>
      </c>
      <c r="N31" s="16">
        <v>0</v>
      </c>
      <c r="O31" s="20">
        <f t="shared" ref="O31:P31" si="39">D31/7</f>
        <v>0</v>
      </c>
      <c r="P31" s="20">
        <f t="shared" si="39"/>
        <v>0</v>
      </c>
      <c r="Q31" s="16" t="e">
        <f t="shared" si="8"/>
        <v>#DIV/0!</v>
      </c>
      <c r="R31" s="16"/>
      <c r="S31" s="21" t="e">
        <v>#N/A</v>
      </c>
      <c r="T31" s="14" t="s">
        <v>34</v>
      </c>
      <c r="U31" s="22" t="s">
        <v>34</v>
      </c>
      <c r="V31" s="23" t="s">
        <v>34</v>
      </c>
      <c r="W31" s="30">
        <v>0</v>
      </c>
      <c r="X31" s="24">
        <f t="shared" si="9"/>
        <v>0</v>
      </c>
      <c r="Y31" s="25">
        <f t="shared" si="10"/>
        <v>0</v>
      </c>
      <c r="Z31" s="30">
        <v>0</v>
      </c>
      <c r="AA31" s="14" t="e">
        <v>#N/A</v>
      </c>
      <c r="AB31" s="27" t="e">
        <f t="shared" si="11"/>
        <v>#N/A</v>
      </c>
      <c r="AC31" s="28">
        <v>2.9490740740740738E-2</v>
      </c>
      <c r="AD31" s="25">
        <f t="shared" si="12"/>
        <v>0</v>
      </c>
      <c r="AE31" s="25">
        <v>-4.9000000000000004</v>
      </c>
      <c r="AF31" s="25">
        <v>-13.828541999999999</v>
      </c>
      <c r="AG31" s="25">
        <v>0</v>
      </c>
    </row>
    <row r="32" spans="1:33" ht="15.75" customHeight="1">
      <c r="A32" s="14" t="s">
        <v>60</v>
      </c>
      <c r="B32" s="14"/>
      <c r="C32" s="15" t="str">
        <f t="shared" si="4"/>
        <v xml:space="preserve"> - </v>
      </c>
      <c r="D32" s="16">
        <v>0</v>
      </c>
      <c r="E32" s="16">
        <v>0</v>
      </c>
      <c r="F32" s="17">
        <v>0</v>
      </c>
      <c r="G32" s="17">
        <v>0</v>
      </c>
      <c r="H32" s="18" t="e">
        <f t="shared" si="1"/>
        <v>#DIV/0!</v>
      </c>
      <c r="I32" s="18" t="e">
        <f t="shared" si="2"/>
        <v>#DIV/0!</v>
      </c>
      <c r="J32" s="17">
        <f t="shared" si="5"/>
        <v>0</v>
      </c>
      <c r="K32" s="17" t="e">
        <f t="shared" si="3"/>
        <v>#DIV/0!</v>
      </c>
      <c r="L32" s="16">
        <v>0</v>
      </c>
      <c r="M32" s="19" t="str">
        <f t="shared" si="6"/>
        <v>-</v>
      </c>
      <c r="N32" s="16">
        <v>0</v>
      </c>
      <c r="O32" s="20">
        <f t="shared" ref="O32:P32" si="40">D32/7</f>
        <v>0</v>
      </c>
      <c r="P32" s="20">
        <f t="shared" si="40"/>
        <v>0</v>
      </c>
      <c r="Q32" s="16" t="e">
        <f t="shared" si="8"/>
        <v>#DIV/0!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0</v>
      </c>
      <c r="T32" s="14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23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2" s="30">
        <v>0</v>
      </c>
      <c r="X32" s="24">
        <f t="shared" si="9"/>
        <v>0</v>
      </c>
      <c r="Y32" s="25">
        <f t="shared" si="10"/>
        <v>0</v>
      </c>
      <c r="Z32" s="30">
        <v>0</v>
      </c>
      <c r="AA32" s="14" t="e">
        <v>#N/A</v>
      </c>
      <c r="AB32" s="27" t="e">
        <f t="shared" si="11"/>
        <v>#N/A</v>
      </c>
      <c r="AC32" s="28">
        <v>2.9490740740740738E-2</v>
      </c>
      <c r="AD32" s="25">
        <f t="shared" si="12"/>
        <v>0</v>
      </c>
      <c r="AE32" s="25">
        <v>-4.9000000000000004</v>
      </c>
      <c r="AF32" s="25">
        <v>-13.828541999999899</v>
      </c>
      <c r="AG32" s="25">
        <v>0</v>
      </c>
    </row>
    <row r="33" spans="1:33" ht="15.75" customHeight="1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16"/>
      <c r="S33" s="21"/>
      <c r="T33" s="31"/>
      <c r="U33" s="36"/>
      <c r="V33" s="1"/>
      <c r="W33" s="31"/>
      <c r="X33" s="31"/>
      <c r="Y33" s="31"/>
      <c r="Z33" s="31"/>
      <c r="AA33" s="2"/>
      <c r="AB33" s="31"/>
      <c r="AC33" s="31"/>
      <c r="AD33" s="31"/>
      <c r="AE33" s="37"/>
      <c r="AF33" s="37"/>
      <c r="AG33" s="37"/>
    </row>
    <row r="34" spans="1:33" ht="15.75" customHeight="1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6"/>
      <c r="V34" s="1"/>
      <c r="W34" s="31"/>
      <c r="X34" s="31"/>
      <c r="Y34" s="31"/>
      <c r="Z34" s="31"/>
      <c r="AA34" s="2"/>
      <c r="AB34" s="31"/>
      <c r="AC34" s="31"/>
      <c r="AD34" s="31"/>
      <c r="AE34" s="37"/>
      <c r="AF34" s="37"/>
      <c r="AG34" s="37"/>
    </row>
    <row r="35" spans="1:33" ht="15.75" customHeight="1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6"/>
      <c r="V35" s="1"/>
      <c r="W35" s="31"/>
      <c r="X35" s="31"/>
      <c r="Y35" s="31"/>
      <c r="Z35" s="31"/>
      <c r="AA35" s="2"/>
      <c r="AB35" s="31"/>
      <c r="AC35" s="31"/>
      <c r="AD35" s="31"/>
      <c r="AE35" s="37"/>
      <c r="AF35" s="37"/>
      <c r="AG35" s="37"/>
    </row>
    <row r="36" spans="1:33" ht="15.75" customHeight="1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6"/>
      <c r="V36" s="1"/>
      <c r="W36" s="31"/>
      <c r="X36" s="31"/>
      <c r="Y36" s="31"/>
      <c r="Z36" s="31"/>
      <c r="AA36" s="2"/>
      <c r="AB36" s="31"/>
      <c r="AC36" s="31"/>
      <c r="AD36" s="31"/>
      <c r="AE36" s="37"/>
      <c r="AF36" s="37"/>
      <c r="AG36" s="37"/>
    </row>
    <row r="37" spans="1:33" ht="15.75" customHeight="1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6"/>
      <c r="V37" s="1"/>
      <c r="W37" s="31"/>
      <c r="X37" s="31"/>
      <c r="Y37" s="31"/>
      <c r="Z37" s="31"/>
      <c r="AA37" s="2"/>
      <c r="AB37" s="31"/>
      <c r="AC37" s="31"/>
      <c r="AD37" s="31"/>
      <c r="AE37" s="37"/>
      <c r="AF37" s="37"/>
      <c r="AG37" s="37"/>
    </row>
    <row r="38" spans="1:33" ht="15.75" customHeight="1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6"/>
      <c r="V38" s="1"/>
      <c r="W38" s="31"/>
      <c r="X38" s="31"/>
      <c r="Y38" s="31"/>
      <c r="Z38" s="31"/>
      <c r="AA38" s="2"/>
      <c r="AB38" s="31"/>
      <c r="AC38" s="31"/>
      <c r="AD38" s="31"/>
      <c r="AE38" s="37"/>
      <c r="AF38" s="37"/>
      <c r="AG38" s="37"/>
    </row>
    <row r="39" spans="1:33" ht="15.75" customHeight="1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6"/>
      <c r="V39" s="1"/>
      <c r="W39" s="31"/>
      <c r="X39" s="31"/>
      <c r="Y39" s="31"/>
      <c r="Z39" s="31"/>
      <c r="AA39" s="2"/>
      <c r="AB39" s="31"/>
      <c r="AC39" s="31"/>
      <c r="AD39" s="31"/>
      <c r="AE39" s="37"/>
      <c r="AF39" s="37"/>
      <c r="AG39" s="37"/>
    </row>
    <row r="40" spans="1:33" ht="15.75" customHeight="1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6"/>
      <c r="V40" s="1"/>
      <c r="W40" s="31"/>
      <c r="X40" s="31"/>
      <c r="Y40" s="31"/>
      <c r="Z40" s="31"/>
      <c r="AA40" s="2"/>
      <c r="AB40" s="31"/>
      <c r="AC40" s="31"/>
      <c r="AD40" s="31"/>
      <c r="AE40" s="37"/>
      <c r="AF40" s="37"/>
      <c r="AG40" s="37"/>
    </row>
    <row r="41" spans="1:33" ht="15.75" customHeight="1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6"/>
      <c r="V41" s="1"/>
      <c r="W41" s="31"/>
      <c r="X41" s="31"/>
      <c r="Y41" s="31"/>
      <c r="Z41" s="31"/>
      <c r="AA41" s="2"/>
      <c r="AB41" s="31"/>
      <c r="AC41" s="31"/>
      <c r="AD41" s="31"/>
      <c r="AE41" s="37"/>
      <c r="AF41" s="37"/>
      <c r="AG41" s="37"/>
    </row>
    <row r="42" spans="1:33" ht="15.75" customHeight="1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6"/>
      <c r="V42" s="1"/>
      <c r="W42" s="31"/>
      <c r="X42" s="31"/>
      <c r="Y42" s="31"/>
      <c r="Z42" s="31"/>
      <c r="AA42" s="2"/>
      <c r="AB42" s="31"/>
      <c r="AC42" s="31"/>
      <c r="AD42" s="31"/>
      <c r="AE42" s="37"/>
      <c r="AF42" s="37"/>
      <c r="AG42" s="37"/>
    </row>
    <row r="43" spans="1:33" ht="15.75" customHeight="1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6"/>
      <c r="V43" s="1"/>
      <c r="W43" s="31"/>
      <c r="X43" s="31"/>
      <c r="Y43" s="31"/>
      <c r="Z43" s="31"/>
      <c r="AA43" s="2"/>
      <c r="AB43" s="31"/>
      <c r="AC43" s="31"/>
      <c r="AD43" s="31"/>
      <c r="AE43" s="37"/>
      <c r="AF43" s="37"/>
      <c r="AG43" s="37"/>
    </row>
    <row r="44" spans="1:33" ht="15.75" customHeight="1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6"/>
      <c r="V44" s="1"/>
      <c r="W44" s="31"/>
      <c r="X44" s="31"/>
      <c r="Y44" s="31"/>
      <c r="Z44" s="31"/>
      <c r="AA44" s="2"/>
      <c r="AB44" s="31"/>
      <c r="AC44" s="31"/>
      <c r="AD44" s="31"/>
      <c r="AE44" s="37"/>
      <c r="AF44" s="37"/>
      <c r="AG44" s="37"/>
    </row>
    <row r="45" spans="1:33" ht="15.75" customHeight="1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6"/>
      <c r="V45" s="1"/>
      <c r="W45" s="31"/>
      <c r="X45" s="31"/>
      <c r="Y45" s="31"/>
      <c r="Z45" s="31"/>
      <c r="AA45" s="2"/>
      <c r="AB45" s="31"/>
      <c r="AC45" s="31"/>
      <c r="AD45" s="31"/>
      <c r="AE45" s="37"/>
      <c r="AF45" s="37"/>
      <c r="AG45" s="37"/>
    </row>
    <row r="46" spans="1:33" ht="15.75" customHeight="1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6"/>
      <c r="V46" s="1"/>
      <c r="W46" s="31"/>
      <c r="X46" s="31"/>
      <c r="Y46" s="31"/>
      <c r="Z46" s="31"/>
      <c r="AA46" s="2"/>
      <c r="AB46" s="31"/>
      <c r="AC46" s="31"/>
      <c r="AD46" s="31"/>
      <c r="AE46" s="37"/>
      <c r="AF46" s="37"/>
      <c r="AG46" s="37"/>
    </row>
    <row r="47" spans="1:33" ht="15.75" customHeight="1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6"/>
      <c r="V47" s="1"/>
      <c r="W47" s="31"/>
      <c r="X47" s="31"/>
      <c r="Y47" s="31"/>
      <c r="Z47" s="31"/>
      <c r="AA47" s="2"/>
      <c r="AB47" s="31"/>
      <c r="AC47" s="31"/>
      <c r="AD47" s="31"/>
      <c r="AE47" s="37"/>
      <c r="AF47" s="37"/>
      <c r="AG47" s="37"/>
    </row>
    <row r="48" spans="1:33" ht="15.75" customHeight="1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6"/>
      <c r="V48" s="1"/>
      <c r="W48" s="31"/>
      <c r="X48" s="31"/>
      <c r="Y48" s="31"/>
      <c r="Z48" s="31"/>
      <c r="AA48" s="2"/>
      <c r="AB48" s="31"/>
      <c r="AC48" s="31"/>
      <c r="AD48" s="31"/>
      <c r="AE48" s="37"/>
      <c r="AF48" s="37"/>
      <c r="AG48" s="37"/>
    </row>
    <row r="49" spans="1:33" ht="15.75" customHeight="1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6"/>
      <c r="V49" s="1"/>
      <c r="W49" s="31"/>
      <c r="X49" s="31"/>
      <c r="Y49" s="31"/>
      <c r="Z49" s="31"/>
      <c r="AA49" s="2"/>
      <c r="AB49" s="31"/>
      <c r="AC49" s="31"/>
      <c r="AD49" s="31"/>
      <c r="AE49" s="37"/>
      <c r="AF49" s="37"/>
      <c r="AG49" s="37"/>
    </row>
    <row r="50" spans="1:33" ht="15.75" customHeight="1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6"/>
      <c r="V50" s="1"/>
      <c r="W50" s="31"/>
      <c r="X50" s="31"/>
      <c r="Y50" s="31"/>
      <c r="Z50" s="31"/>
      <c r="AA50" s="2"/>
      <c r="AB50" s="31"/>
      <c r="AC50" s="31"/>
      <c r="AD50" s="31"/>
      <c r="AE50" s="37"/>
      <c r="AF50" s="37"/>
      <c r="AG50" s="37"/>
    </row>
    <row r="51" spans="1:33" ht="15.75" customHeight="1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6"/>
      <c r="V51" s="1"/>
      <c r="W51" s="31"/>
      <c r="X51" s="31"/>
      <c r="Y51" s="31"/>
      <c r="Z51" s="31"/>
      <c r="AA51" s="2"/>
      <c r="AB51" s="31"/>
      <c r="AC51" s="31"/>
      <c r="AD51" s="31"/>
      <c r="AE51" s="37"/>
      <c r="AF51" s="37"/>
      <c r="AG51" s="37"/>
    </row>
    <row r="52" spans="1:33" ht="15.75" customHeight="1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6"/>
      <c r="V52" s="1"/>
      <c r="W52" s="31"/>
      <c r="X52" s="31"/>
      <c r="Y52" s="31"/>
      <c r="Z52" s="31"/>
      <c r="AA52" s="2"/>
      <c r="AB52" s="31"/>
      <c r="AC52" s="31"/>
      <c r="AD52" s="31"/>
      <c r="AE52" s="37"/>
      <c r="AF52" s="37"/>
      <c r="AG52" s="37"/>
    </row>
    <row r="53" spans="1:33" ht="15.75" customHeight="1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6"/>
      <c r="V53" s="1"/>
      <c r="W53" s="31"/>
      <c r="X53" s="31"/>
      <c r="Y53" s="31"/>
      <c r="Z53" s="31"/>
      <c r="AA53" s="2"/>
      <c r="AB53" s="31"/>
      <c r="AC53" s="31"/>
      <c r="AD53" s="31"/>
      <c r="AE53" s="37"/>
      <c r="AF53" s="37"/>
      <c r="AG53" s="37"/>
    </row>
    <row r="54" spans="1:33" ht="15.75" customHeight="1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6"/>
      <c r="V54" s="1"/>
      <c r="W54" s="31"/>
      <c r="X54" s="31"/>
      <c r="Y54" s="31"/>
      <c r="Z54" s="31"/>
      <c r="AA54" s="2"/>
      <c r="AB54" s="31"/>
      <c r="AC54" s="31"/>
      <c r="AD54" s="31"/>
      <c r="AE54" s="37"/>
      <c r="AF54" s="37"/>
      <c r="AG54" s="37"/>
    </row>
    <row r="55" spans="1:33" ht="15.75" customHeight="1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6"/>
      <c r="V55" s="1"/>
      <c r="W55" s="31"/>
      <c r="X55" s="31"/>
      <c r="Y55" s="31"/>
      <c r="Z55" s="31"/>
      <c r="AA55" s="2"/>
      <c r="AB55" s="31"/>
      <c r="AC55" s="31"/>
      <c r="AD55" s="31"/>
      <c r="AE55" s="37"/>
      <c r="AF55" s="37"/>
      <c r="AG55" s="37"/>
    </row>
    <row r="56" spans="1:33" ht="15.75" customHeight="1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6"/>
      <c r="V56" s="1"/>
      <c r="W56" s="31"/>
      <c r="X56" s="31"/>
      <c r="Y56" s="31"/>
      <c r="Z56" s="31"/>
      <c r="AA56" s="2"/>
      <c r="AB56" s="31"/>
      <c r="AC56" s="31"/>
      <c r="AD56" s="31"/>
      <c r="AE56" s="37"/>
      <c r="AF56" s="37"/>
      <c r="AG56" s="37"/>
    </row>
    <row r="57" spans="1:33" ht="15.75" customHeight="1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6"/>
      <c r="V57" s="1"/>
      <c r="W57" s="31"/>
      <c r="X57" s="31"/>
      <c r="Y57" s="31"/>
      <c r="Z57" s="31"/>
      <c r="AA57" s="2"/>
      <c r="AB57" s="31"/>
      <c r="AC57" s="31"/>
      <c r="AD57" s="31"/>
      <c r="AE57" s="37"/>
      <c r="AF57" s="37"/>
      <c r="AG57" s="37"/>
    </row>
    <row r="58" spans="1:33" ht="15.75" customHeight="1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6"/>
      <c r="V58" s="1"/>
      <c r="W58" s="31"/>
      <c r="X58" s="31"/>
      <c r="Y58" s="31"/>
      <c r="Z58" s="31"/>
      <c r="AA58" s="2"/>
      <c r="AB58" s="31"/>
      <c r="AC58" s="31"/>
      <c r="AD58" s="31"/>
      <c r="AE58" s="37"/>
      <c r="AF58" s="37"/>
      <c r="AG58" s="37"/>
    </row>
    <row r="59" spans="1:33" ht="15.75" customHeight="1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6"/>
      <c r="V59" s="1"/>
      <c r="W59" s="31"/>
      <c r="X59" s="31"/>
      <c r="Y59" s="31"/>
      <c r="Z59" s="31"/>
      <c r="AA59" s="2"/>
      <c r="AB59" s="31"/>
      <c r="AC59" s="31"/>
      <c r="AD59" s="31"/>
      <c r="AE59" s="37"/>
      <c r="AF59" s="37"/>
      <c r="AG59" s="37"/>
    </row>
    <row r="60" spans="1:33" ht="15.75" customHeight="1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6"/>
      <c r="V60" s="1"/>
      <c r="W60" s="31"/>
      <c r="X60" s="31"/>
      <c r="Y60" s="31"/>
      <c r="Z60" s="31"/>
      <c r="AA60" s="2"/>
      <c r="AB60" s="31"/>
      <c r="AC60" s="31"/>
      <c r="AD60" s="31"/>
      <c r="AE60" s="37"/>
      <c r="AF60" s="37"/>
      <c r="AG60" s="37"/>
    </row>
    <row r="61" spans="1:33" ht="15.75" customHeight="1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6"/>
      <c r="V61" s="1"/>
      <c r="W61" s="31"/>
      <c r="X61" s="31"/>
      <c r="Y61" s="31"/>
      <c r="Z61" s="31"/>
      <c r="AA61" s="2"/>
      <c r="AB61" s="31"/>
      <c r="AC61" s="31"/>
      <c r="AD61" s="31"/>
      <c r="AE61" s="37"/>
      <c r="AF61" s="37"/>
      <c r="AG61" s="37"/>
    </row>
    <row r="62" spans="1:33" ht="15.75" customHeight="1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6"/>
      <c r="V62" s="1"/>
      <c r="W62" s="31"/>
      <c r="X62" s="31"/>
      <c r="Y62" s="31"/>
      <c r="Z62" s="31"/>
      <c r="AA62" s="2"/>
      <c r="AB62" s="31"/>
      <c r="AC62" s="31"/>
      <c r="AD62" s="31"/>
      <c r="AE62" s="37"/>
      <c r="AF62" s="37"/>
      <c r="AG62" s="37"/>
    </row>
    <row r="63" spans="1:33" ht="15.75" customHeight="1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6"/>
      <c r="V63" s="1"/>
      <c r="W63" s="31"/>
      <c r="X63" s="31"/>
      <c r="Y63" s="31"/>
      <c r="Z63" s="31"/>
      <c r="AA63" s="2"/>
      <c r="AB63" s="31"/>
      <c r="AC63" s="31"/>
      <c r="AD63" s="31"/>
      <c r="AE63" s="37"/>
      <c r="AF63" s="37"/>
      <c r="AG63" s="37"/>
    </row>
    <row r="64" spans="1:33" ht="15.75" customHeight="1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6"/>
      <c r="V64" s="1"/>
      <c r="W64" s="31"/>
      <c r="X64" s="31"/>
      <c r="Y64" s="31"/>
      <c r="Z64" s="31"/>
      <c r="AA64" s="2"/>
      <c r="AB64" s="31"/>
      <c r="AC64" s="31"/>
      <c r="AD64" s="31"/>
      <c r="AE64" s="37"/>
      <c r="AF64" s="37"/>
      <c r="AG64" s="37"/>
    </row>
    <row r="65" spans="1:33" ht="15.75" customHeight="1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6"/>
      <c r="V65" s="1"/>
      <c r="W65" s="31"/>
      <c r="X65" s="31"/>
      <c r="Y65" s="31"/>
      <c r="Z65" s="31"/>
      <c r="AA65" s="2"/>
      <c r="AB65" s="31"/>
      <c r="AC65" s="31"/>
      <c r="AD65" s="31"/>
      <c r="AE65" s="37"/>
      <c r="AF65" s="37"/>
      <c r="AG65" s="37"/>
    </row>
    <row r="66" spans="1:33" ht="15.75" customHeight="1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6"/>
      <c r="V66" s="1"/>
      <c r="W66" s="31"/>
      <c r="X66" s="31"/>
      <c r="Y66" s="31"/>
      <c r="Z66" s="31"/>
      <c r="AA66" s="2"/>
      <c r="AB66" s="31"/>
      <c r="AC66" s="31"/>
      <c r="AD66" s="31"/>
      <c r="AE66" s="37"/>
      <c r="AF66" s="37"/>
      <c r="AG66" s="37"/>
    </row>
    <row r="67" spans="1:33" ht="15.75" customHeight="1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6"/>
      <c r="V67" s="1"/>
      <c r="W67" s="31"/>
      <c r="X67" s="31"/>
      <c r="Y67" s="31"/>
      <c r="Z67" s="31"/>
      <c r="AA67" s="2"/>
      <c r="AB67" s="31"/>
      <c r="AC67" s="31"/>
      <c r="AD67" s="31"/>
      <c r="AE67" s="37"/>
      <c r="AF67" s="37"/>
      <c r="AG67" s="37"/>
    </row>
    <row r="68" spans="1:33" ht="15.75" customHeight="1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6"/>
      <c r="V68" s="1"/>
      <c r="W68" s="31"/>
      <c r="X68" s="31"/>
      <c r="Y68" s="31"/>
      <c r="Z68" s="31"/>
      <c r="AA68" s="2"/>
      <c r="AB68" s="31"/>
      <c r="AC68" s="31"/>
      <c r="AD68" s="31"/>
      <c r="AE68" s="37"/>
      <c r="AF68" s="37"/>
      <c r="AG68" s="37"/>
    </row>
    <row r="69" spans="1:33" ht="15.75" customHeight="1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6"/>
      <c r="V69" s="1"/>
      <c r="W69" s="31"/>
      <c r="X69" s="31"/>
      <c r="Y69" s="31"/>
      <c r="Z69" s="31"/>
      <c r="AA69" s="2"/>
      <c r="AB69" s="31"/>
      <c r="AC69" s="31"/>
      <c r="AD69" s="31"/>
      <c r="AE69" s="37"/>
      <c r="AF69" s="37"/>
      <c r="AG69" s="37"/>
    </row>
    <row r="70" spans="1:33" ht="15.75" customHeight="1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6"/>
      <c r="V70" s="1"/>
      <c r="W70" s="31"/>
      <c r="X70" s="31"/>
      <c r="Y70" s="31"/>
      <c r="Z70" s="31"/>
      <c r="AA70" s="2"/>
      <c r="AB70" s="31"/>
      <c r="AC70" s="31"/>
      <c r="AD70" s="31"/>
      <c r="AE70" s="37"/>
      <c r="AF70" s="37"/>
      <c r="AG70" s="37"/>
    </row>
    <row r="71" spans="1:33" ht="15.75" customHeight="1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6"/>
      <c r="V71" s="1"/>
      <c r="W71" s="31"/>
      <c r="X71" s="31"/>
      <c r="Y71" s="31"/>
      <c r="Z71" s="31"/>
      <c r="AA71" s="2"/>
      <c r="AB71" s="31"/>
      <c r="AC71" s="31"/>
      <c r="AD71" s="31"/>
      <c r="AE71" s="37"/>
      <c r="AF71" s="37"/>
      <c r="AG71" s="37"/>
    </row>
    <row r="72" spans="1:33" ht="15.75" customHeight="1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6"/>
      <c r="V72" s="1"/>
      <c r="W72" s="31"/>
      <c r="X72" s="31"/>
      <c r="Y72" s="31"/>
      <c r="Z72" s="31"/>
      <c r="AA72" s="2"/>
      <c r="AB72" s="31"/>
      <c r="AC72" s="31"/>
      <c r="AD72" s="31"/>
      <c r="AE72" s="37"/>
      <c r="AF72" s="37"/>
      <c r="AG72" s="37"/>
    </row>
    <row r="73" spans="1:33" ht="15.75" customHeight="1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6"/>
      <c r="V73" s="1"/>
      <c r="W73" s="31"/>
      <c r="X73" s="31"/>
      <c r="Y73" s="31"/>
      <c r="Z73" s="31"/>
      <c r="AA73" s="2"/>
      <c r="AB73" s="31"/>
      <c r="AC73" s="31"/>
      <c r="AD73" s="31"/>
      <c r="AE73" s="37"/>
      <c r="AF73" s="37"/>
      <c r="AG73" s="37"/>
    </row>
    <row r="74" spans="1:33" ht="15.75" customHeight="1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6"/>
      <c r="V74" s="1"/>
      <c r="W74" s="31"/>
      <c r="X74" s="31"/>
      <c r="Y74" s="31"/>
      <c r="Z74" s="31"/>
      <c r="AA74" s="2"/>
      <c r="AB74" s="31"/>
      <c r="AC74" s="31"/>
      <c r="AD74" s="31"/>
      <c r="AE74" s="37"/>
      <c r="AF74" s="37"/>
      <c r="AG74" s="37"/>
    </row>
    <row r="75" spans="1:33" ht="15.75" customHeight="1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6"/>
      <c r="V75" s="1"/>
      <c r="W75" s="31"/>
      <c r="X75" s="31"/>
      <c r="Y75" s="31"/>
      <c r="Z75" s="31"/>
      <c r="AA75" s="2"/>
      <c r="AB75" s="31"/>
      <c r="AC75" s="31"/>
      <c r="AD75" s="31"/>
      <c r="AE75" s="37"/>
      <c r="AF75" s="37"/>
      <c r="AG75" s="37"/>
    </row>
    <row r="76" spans="1:33" ht="15.75" customHeight="1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6"/>
      <c r="V76" s="1"/>
      <c r="W76" s="31"/>
      <c r="X76" s="31"/>
      <c r="Y76" s="31"/>
      <c r="Z76" s="31"/>
      <c r="AA76" s="2"/>
      <c r="AB76" s="31"/>
      <c r="AC76" s="31"/>
      <c r="AD76" s="31"/>
      <c r="AE76" s="37"/>
      <c r="AF76" s="37"/>
      <c r="AG76" s="37"/>
    </row>
    <row r="77" spans="1:33" ht="15.75" customHeight="1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6"/>
      <c r="V77" s="1"/>
      <c r="W77" s="31"/>
      <c r="X77" s="31"/>
      <c r="Y77" s="31"/>
      <c r="Z77" s="31"/>
      <c r="AA77" s="2"/>
      <c r="AB77" s="31"/>
      <c r="AC77" s="31"/>
      <c r="AD77" s="31"/>
      <c r="AE77" s="37"/>
      <c r="AF77" s="37"/>
      <c r="AG77" s="37"/>
    </row>
    <row r="78" spans="1:33" ht="15.75" customHeight="1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6"/>
      <c r="V78" s="1"/>
      <c r="W78" s="31"/>
      <c r="X78" s="31"/>
      <c r="Y78" s="31"/>
      <c r="Z78" s="31"/>
      <c r="AA78" s="2"/>
      <c r="AB78" s="31"/>
      <c r="AC78" s="31"/>
      <c r="AD78" s="31"/>
      <c r="AE78" s="37"/>
      <c r="AF78" s="37"/>
      <c r="AG78" s="37"/>
    </row>
    <row r="79" spans="1:33" ht="15.75" customHeight="1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6"/>
      <c r="V79" s="1"/>
      <c r="W79" s="31"/>
      <c r="X79" s="31"/>
      <c r="Y79" s="31"/>
      <c r="Z79" s="31"/>
      <c r="AA79" s="2"/>
      <c r="AB79" s="31"/>
      <c r="AC79" s="31"/>
      <c r="AD79" s="31"/>
      <c r="AE79" s="37"/>
      <c r="AF79" s="37"/>
      <c r="AG79" s="37"/>
    </row>
    <row r="80" spans="1:33" ht="15.75" customHeight="1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6"/>
      <c r="V80" s="1"/>
      <c r="W80" s="31"/>
      <c r="X80" s="31"/>
      <c r="Y80" s="31"/>
      <c r="Z80" s="31"/>
      <c r="AA80" s="2"/>
      <c r="AB80" s="31"/>
      <c r="AC80" s="31"/>
      <c r="AD80" s="31"/>
      <c r="AE80" s="37"/>
      <c r="AF80" s="37"/>
      <c r="AG80" s="37"/>
    </row>
    <row r="81" spans="1:33" ht="15.75" customHeight="1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6"/>
      <c r="V81" s="1"/>
      <c r="W81" s="31"/>
      <c r="X81" s="31"/>
      <c r="Y81" s="31"/>
      <c r="Z81" s="31"/>
      <c r="AA81" s="2"/>
      <c r="AB81" s="31"/>
      <c r="AC81" s="31"/>
      <c r="AD81" s="31"/>
      <c r="AE81" s="37"/>
      <c r="AF81" s="37"/>
      <c r="AG81" s="37"/>
    </row>
    <row r="82" spans="1:33" ht="15.75" customHeight="1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6"/>
      <c r="V82" s="1"/>
      <c r="W82" s="31"/>
      <c r="X82" s="31"/>
      <c r="Y82" s="31"/>
      <c r="Z82" s="31"/>
      <c r="AA82" s="2"/>
      <c r="AB82" s="31"/>
      <c r="AC82" s="31"/>
      <c r="AD82" s="31"/>
      <c r="AE82" s="37"/>
      <c r="AF82" s="37"/>
      <c r="AG82" s="37"/>
    </row>
    <row r="83" spans="1:33" ht="15.75" customHeight="1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6"/>
      <c r="V83" s="1"/>
      <c r="W83" s="31"/>
      <c r="X83" s="31"/>
      <c r="Y83" s="31"/>
      <c r="Z83" s="31"/>
      <c r="AA83" s="2"/>
      <c r="AB83" s="31"/>
      <c r="AC83" s="31"/>
      <c r="AD83" s="31"/>
      <c r="AE83" s="37"/>
      <c r="AF83" s="37"/>
      <c r="AG83" s="37"/>
    </row>
    <row r="84" spans="1:33" ht="15.75" customHeight="1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6"/>
      <c r="V84" s="1"/>
      <c r="W84" s="31"/>
      <c r="X84" s="31"/>
      <c r="Y84" s="31"/>
      <c r="Z84" s="31"/>
      <c r="AA84" s="2"/>
      <c r="AB84" s="31"/>
      <c r="AC84" s="31"/>
      <c r="AD84" s="31"/>
      <c r="AE84" s="37"/>
      <c r="AF84" s="37"/>
      <c r="AG84" s="37"/>
    </row>
    <row r="85" spans="1:33" ht="15.75" customHeight="1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6"/>
      <c r="V85" s="1"/>
      <c r="W85" s="31"/>
      <c r="X85" s="31"/>
      <c r="Y85" s="31"/>
      <c r="Z85" s="31"/>
      <c r="AA85" s="2"/>
      <c r="AB85" s="31"/>
      <c r="AC85" s="31"/>
      <c r="AD85" s="31"/>
      <c r="AE85" s="37"/>
      <c r="AF85" s="37"/>
      <c r="AG85" s="37"/>
    </row>
    <row r="86" spans="1:33" ht="15.75" customHeight="1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6"/>
      <c r="V86" s="1"/>
      <c r="W86" s="31"/>
      <c r="X86" s="31"/>
      <c r="Y86" s="31"/>
      <c r="Z86" s="31"/>
      <c r="AA86" s="2"/>
      <c r="AB86" s="31"/>
      <c r="AC86" s="31"/>
      <c r="AD86" s="31"/>
      <c r="AE86" s="37"/>
      <c r="AF86" s="37"/>
      <c r="AG86" s="37"/>
    </row>
    <row r="87" spans="1:33" ht="15.75" customHeight="1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6"/>
      <c r="V87" s="1"/>
      <c r="W87" s="31"/>
      <c r="X87" s="31"/>
      <c r="Y87" s="31"/>
      <c r="Z87" s="31"/>
      <c r="AA87" s="2"/>
      <c r="AB87" s="31"/>
      <c r="AC87" s="31"/>
      <c r="AD87" s="31"/>
      <c r="AE87" s="37"/>
      <c r="AF87" s="37"/>
      <c r="AG87" s="37"/>
    </row>
    <row r="88" spans="1:33" ht="15.75" customHeight="1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6"/>
      <c r="V88" s="1"/>
      <c r="W88" s="31"/>
      <c r="X88" s="31"/>
      <c r="Y88" s="31"/>
      <c r="Z88" s="31"/>
      <c r="AA88" s="2"/>
      <c r="AB88" s="31"/>
      <c r="AC88" s="31"/>
      <c r="AD88" s="31"/>
      <c r="AE88" s="37"/>
      <c r="AF88" s="37"/>
      <c r="AG88" s="37"/>
    </row>
    <row r="89" spans="1:33" ht="15.75" customHeight="1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6"/>
      <c r="V89" s="1"/>
      <c r="W89" s="31"/>
      <c r="X89" s="31"/>
      <c r="Y89" s="31"/>
      <c r="Z89" s="31"/>
      <c r="AA89" s="2"/>
      <c r="AB89" s="31"/>
      <c r="AC89" s="31"/>
      <c r="AD89" s="31"/>
      <c r="AE89" s="37"/>
      <c r="AF89" s="37"/>
      <c r="AG89" s="37"/>
    </row>
    <row r="90" spans="1:33" ht="15.75" customHeight="1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6"/>
      <c r="V90" s="1"/>
      <c r="W90" s="31"/>
      <c r="X90" s="31"/>
      <c r="Y90" s="31"/>
      <c r="Z90" s="31"/>
      <c r="AA90" s="2"/>
      <c r="AB90" s="31"/>
      <c r="AC90" s="31"/>
      <c r="AD90" s="31"/>
      <c r="AE90" s="37"/>
      <c r="AF90" s="37"/>
      <c r="AG90" s="37"/>
    </row>
    <row r="91" spans="1:33" ht="15.75" customHeight="1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6"/>
      <c r="V91" s="1"/>
      <c r="W91" s="31"/>
      <c r="X91" s="31"/>
      <c r="Y91" s="31"/>
      <c r="Z91" s="31"/>
      <c r="AA91" s="2"/>
      <c r="AB91" s="31"/>
      <c r="AC91" s="31"/>
      <c r="AD91" s="31"/>
      <c r="AE91" s="37"/>
      <c r="AF91" s="37"/>
      <c r="AG91" s="37"/>
    </row>
    <row r="92" spans="1:33" ht="15.75" customHeight="1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6"/>
      <c r="V92" s="1"/>
      <c r="W92" s="31"/>
      <c r="X92" s="31"/>
      <c r="Y92" s="31"/>
      <c r="Z92" s="31"/>
      <c r="AA92" s="2"/>
      <c r="AB92" s="31"/>
      <c r="AC92" s="31"/>
      <c r="AD92" s="31"/>
      <c r="AE92" s="37"/>
      <c r="AF92" s="37"/>
      <c r="AG92" s="37"/>
    </row>
    <row r="93" spans="1:33" ht="15.75" customHeight="1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6"/>
      <c r="V93" s="1"/>
      <c r="W93" s="31"/>
      <c r="X93" s="31"/>
      <c r="Y93" s="31"/>
      <c r="Z93" s="31"/>
      <c r="AA93" s="2"/>
      <c r="AB93" s="31"/>
      <c r="AC93" s="31"/>
      <c r="AD93" s="31"/>
      <c r="AE93" s="37"/>
      <c r="AF93" s="37"/>
      <c r="AG93" s="37"/>
    </row>
    <row r="94" spans="1:33" ht="15.75" customHeight="1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6"/>
      <c r="V94" s="1"/>
      <c r="W94" s="31"/>
      <c r="X94" s="31"/>
      <c r="Y94" s="31"/>
      <c r="Z94" s="31"/>
      <c r="AA94" s="2"/>
      <c r="AB94" s="31"/>
      <c r="AC94" s="31"/>
      <c r="AD94" s="31"/>
      <c r="AE94" s="37"/>
      <c r="AF94" s="37"/>
      <c r="AG94" s="37"/>
    </row>
    <row r="95" spans="1:33" ht="15.75" customHeight="1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6"/>
      <c r="V95" s="1"/>
      <c r="W95" s="31"/>
      <c r="X95" s="31"/>
      <c r="Y95" s="31"/>
      <c r="Z95" s="31"/>
      <c r="AA95" s="2"/>
      <c r="AB95" s="31"/>
      <c r="AC95" s="31"/>
      <c r="AD95" s="31"/>
      <c r="AE95" s="37"/>
      <c r="AF95" s="37"/>
      <c r="AG95" s="37"/>
    </row>
    <row r="96" spans="1:33" ht="15.75" customHeight="1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6"/>
      <c r="V96" s="1"/>
      <c r="W96" s="31"/>
      <c r="X96" s="31"/>
      <c r="Y96" s="31"/>
      <c r="Z96" s="31"/>
      <c r="AA96" s="2"/>
      <c r="AB96" s="31"/>
      <c r="AC96" s="31"/>
      <c r="AD96" s="31"/>
      <c r="AE96" s="37"/>
      <c r="AF96" s="37"/>
      <c r="AG96" s="37"/>
    </row>
    <row r="97" spans="1:33" ht="15.75" customHeight="1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8"/>
      <c r="R97" s="38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8"/>
      <c r="R98" s="38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8"/>
      <c r="R99" s="38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8"/>
      <c r="R100" s="38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8"/>
      <c r="R101" s="38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8"/>
      <c r="R102" s="38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8"/>
      <c r="R103" s="38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8"/>
      <c r="R104" s="38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8"/>
      <c r="R105" s="38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8"/>
      <c r="R106" s="38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8"/>
      <c r="R107" s="38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8"/>
      <c r="R108" s="38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8"/>
      <c r="R109" s="38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8"/>
      <c r="R110" s="38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8"/>
      <c r="R111" s="38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8"/>
      <c r="R112" s="38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8"/>
      <c r="R113" s="38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8"/>
      <c r="R114" s="38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>
      <c r="A115" s="31"/>
      <c r="B115" s="31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>
      <c r="A116" s="31"/>
      <c r="B116" s="31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>
      <c r="A117" s="31"/>
      <c r="B117" s="31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>
      <c r="A118" s="31"/>
      <c r="B118" s="31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>
      <c r="A119" s="31"/>
      <c r="B119" s="31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>
      <c r="A120" s="31"/>
      <c r="B120" s="31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>
      <c r="A121" s="31"/>
      <c r="B121" s="31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>
      <c r="A122" s="31"/>
      <c r="B122" s="31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>
      <c r="A123" s="31"/>
      <c r="B123" s="31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>
      <c r="A124" s="31"/>
      <c r="B124" s="31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>
      <c r="A125" s="31"/>
      <c r="B125" s="31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>
      <c r="A126" s="31"/>
      <c r="B126" s="31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>
      <c r="A127" s="31"/>
      <c r="B127" s="31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>
      <c r="A128" s="31"/>
      <c r="B128" s="31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>
      <c r="A129" s="31"/>
      <c r="B129" s="31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>
      <c r="A130" s="31"/>
      <c r="B130" s="31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>
      <c r="A131" s="31"/>
      <c r="B131" s="31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>
      <c r="A132" s="31"/>
      <c r="B132" s="31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>
      <c r="A133" s="31"/>
      <c r="B133" s="31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>
      <c r="A134" s="31"/>
      <c r="B134" s="31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>
      <c r="A135" s="31"/>
      <c r="B135" s="31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>
      <c r="A136" s="31"/>
      <c r="B136" s="31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>
      <c r="A137" s="31"/>
      <c r="B137" s="31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>
      <c r="A138" s="31"/>
      <c r="B138" s="31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>
      <c r="A139" s="31"/>
      <c r="B139" s="31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>
      <c r="A140" s="31"/>
      <c r="B140" s="31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>
      <c r="A141" s="31"/>
      <c r="B141" s="31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2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>
      <c r="A142" s="31"/>
      <c r="B142" s="31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2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>
      <c r="A143" s="31"/>
      <c r="B143" s="31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2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>
      <c r="A144" s="31"/>
      <c r="B144" s="31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2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>
      <c r="A145" s="31"/>
      <c r="B145" s="31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2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>
      <c r="A146" s="31"/>
      <c r="B146" s="31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2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>
      <c r="A147" s="31"/>
      <c r="B147" s="31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2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>
      <c r="A148" s="31"/>
      <c r="B148" s="31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2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</row>
    <row r="149" spans="1:33" ht="15.75" customHeight="1">
      <c r="A149" s="14"/>
      <c r="B149" s="14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>
      <c r="A150" s="14"/>
      <c r="B150" s="14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>
      <c r="A151" s="14"/>
      <c r="B151" s="14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>
      <c r="A152" s="14"/>
      <c r="B152" s="14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>
      <c r="A153" s="14"/>
      <c r="B153" s="14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>
      <c r="A154" s="14"/>
      <c r="B154" s="14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>
      <c r="A155" s="14"/>
      <c r="B155" s="14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>
      <c r="A156" s="14"/>
      <c r="B156" s="14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>
      <c r="A157" s="14"/>
      <c r="B157" s="14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>
      <c r="A158" s="14"/>
      <c r="B158" s="14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>
      <c r="A159" s="14"/>
      <c r="B159" s="14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>
      <c r="A160" s="14"/>
      <c r="B160" s="14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>
      <c r="A161" s="14"/>
      <c r="B161" s="14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>
      <c r="A162" s="14"/>
      <c r="B162" s="14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>
      <c r="A163" s="14"/>
      <c r="B163" s="14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>
      <c r="A164" s="14"/>
      <c r="B164" s="14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>
      <c r="A165" s="14"/>
      <c r="B165" s="14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>
      <c r="A166" s="14"/>
      <c r="B166" s="14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>
      <c r="A167" s="14"/>
      <c r="B167" s="14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>
      <c r="A168" s="14"/>
      <c r="B168" s="14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>
      <c r="A169" s="14"/>
      <c r="B169" s="14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>
      <c r="A170" s="14"/>
      <c r="B170" s="14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>
      <c r="A171" s="14"/>
      <c r="B171" s="14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>
      <c r="A172" s="14"/>
      <c r="B172" s="14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>
      <c r="A173" s="14"/>
      <c r="B173" s="14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>
      <c r="A174" s="14"/>
      <c r="B174" s="14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>
      <c r="A175" s="14"/>
      <c r="B175" s="14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>
      <c r="A176" s="14"/>
      <c r="B176" s="14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>
      <c r="A177" s="14"/>
      <c r="B177" s="14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>
      <c r="A178" s="14"/>
      <c r="B178" s="14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>
      <c r="A179" s="14"/>
      <c r="B179" s="14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>
      <c r="A180" s="14"/>
      <c r="B180" s="14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>
      <c r="A181" s="14"/>
      <c r="B181" s="14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>
      <c r="A182" s="14"/>
      <c r="B182" s="14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>
      <c r="A183" s="14"/>
      <c r="B183" s="14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>
      <c r="A184" s="14"/>
      <c r="B184" s="14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>
      <c r="A185" s="14"/>
      <c r="B185" s="14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>
      <c r="A186" s="14"/>
      <c r="B186" s="14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>
      <c r="A187" s="14"/>
      <c r="B187" s="14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>
      <c r="A188" s="14"/>
      <c r="B188" s="14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>
      <c r="A189" s="14"/>
      <c r="B189" s="14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>
      <c r="A190" s="14"/>
      <c r="B190" s="14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>
      <c r="A191" s="14"/>
      <c r="B191" s="14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>
      <c r="A192" s="14"/>
      <c r="B192" s="14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>
      <c r="A193" s="14"/>
      <c r="B193" s="14"/>
      <c r="C193" s="39"/>
      <c r="D193" s="39"/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>
      <c r="A194" s="14"/>
      <c r="B194" s="14"/>
      <c r="C194" s="39"/>
      <c r="D194" s="39"/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>
      <c r="A195" s="14"/>
      <c r="B195" s="14"/>
      <c r="C195" s="39"/>
      <c r="D195" s="39"/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>
      <c r="A196" s="14"/>
      <c r="B196" s="14"/>
      <c r="C196" s="39"/>
      <c r="D196" s="39"/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>
      <c r="A197" s="14"/>
      <c r="B197" s="14"/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>
      <c r="A198" s="14"/>
      <c r="B198" s="14"/>
      <c r="C198" s="39"/>
      <c r="D198" s="39"/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>
      <c r="A199" s="14"/>
      <c r="B199" s="14"/>
      <c r="C199" s="39"/>
      <c r="D199" s="39"/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>
      <c r="A200" s="14"/>
      <c r="B200" s="14"/>
      <c r="C200" s="39"/>
      <c r="D200" s="39"/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>
      <c r="A201" s="14"/>
      <c r="B201" s="14"/>
      <c r="C201" s="39"/>
      <c r="D201" s="39"/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>
      <c r="A202" s="14"/>
      <c r="B202" s="14"/>
      <c r="C202" s="39"/>
      <c r="D202" s="39"/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>
      <c r="A203" s="14"/>
      <c r="B203" s="14"/>
      <c r="C203" s="39"/>
      <c r="D203" s="39"/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>
      <c r="A204" s="14"/>
      <c r="B204" s="14"/>
      <c r="C204" s="39"/>
      <c r="D204" s="39"/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>
      <c r="A205" s="14"/>
      <c r="B205" s="14"/>
      <c r="C205" s="39"/>
      <c r="D205" s="39"/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>
      <c r="A206" s="14"/>
      <c r="B206" s="14"/>
      <c r="C206" s="39"/>
      <c r="D206" s="39"/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>
      <c r="A207" s="14"/>
      <c r="B207" s="14"/>
      <c r="C207" s="39"/>
      <c r="D207" s="39"/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>
      <c r="A208" s="14"/>
      <c r="B208" s="14"/>
      <c r="C208" s="39"/>
      <c r="D208" s="39"/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>
      <c r="A209" s="14"/>
      <c r="B209" s="14"/>
      <c r="C209" s="39"/>
      <c r="D209" s="39"/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>
      <c r="A210" s="14"/>
      <c r="B210" s="14"/>
      <c r="C210" s="39"/>
      <c r="D210" s="39"/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>
      <c r="A211" s="14"/>
      <c r="B211" s="14"/>
      <c r="C211" s="39"/>
      <c r="D211" s="39"/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>
      <c r="A212" s="14"/>
      <c r="B212" s="14"/>
      <c r="C212" s="39"/>
      <c r="D212" s="39"/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>
      <c r="A213" s="14"/>
      <c r="B213" s="14"/>
      <c r="C213" s="39"/>
      <c r="D213" s="39"/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>
      <c r="A214" s="14"/>
      <c r="B214" s="14"/>
      <c r="C214" s="39"/>
      <c r="D214" s="39"/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>
      <c r="A215" s="14"/>
      <c r="B215" s="14"/>
      <c r="C215" s="39"/>
      <c r="D215" s="39"/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>
      <c r="A216" s="14"/>
      <c r="B216" s="14"/>
      <c r="C216" s="39"/>
      <c r="D216" s="39"/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>
      <c r="A217" s="14"/>
      <c r="B217" s="14"/>
      <c r="C217" s="39"/>
      <c r="D217" s="39"/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>
      <c r="A218" s="14"/>
      <c r="B218" s="14"/>
      <c r="C218" s="39"/>
      <c r="D218" s="39"/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>
      <c r="A219" s="14"/>
      <c r="B219" s="14"/>
      <c r="C219" s="39"/>
      <c r="D219" s="39"/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>
      <c r="A220" s="14"/>
      <c r="B220" s="14"/>
      <c r="C220" s="39"/>
      <c r="D220" s="39"/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>
      <c r="R221" s="30"/>
      <c r="S221" s="40"/>
    </row>
    <row r="222" spans="1:33" ht="15.75" customHeight="1">
      <c r="R222" s="30"/>
      <c r="S222" s="40"/>
    </row>
    <row r="223" spans="1:33" ht="15.75" customHeight="1">
      <c r="R223" s="30"/>
      <c r="S223" s="40"/>
    </row>
    <row r="224" spans="1:33" ht="15.75" customHeight="1">
      <c r="R224" s="30"/>
      <c r="S224" s="40"/>
    </row>
    <row r="225" spans="18:18" ht="15.75" customHeight="1">
      <c r="R225" s="30"/>
    </row>
    <row r="226" spans="18:18" ht="15.75" customHeight="1">
      <c r="R226" s="30"/>
    </row>
    <row r="227" spans="18:18" ht="15.75" customHeight="1">
      <c r="R227" s="30"/>
    </row>
    <row r="228" spans="18:18" ht="15.75" customHeight="1">
      <c r="R228" s="30"/>
    </row>
    <row r="229" spans="18:18" ht="15.75" customHeight="1">
      <c r="R229" s="30"/>
    </row>
    <row r="230" spans="18:18" ht="15.75" customHeight="1">
      <c r="R230" s="30"/>
    </row>
    <row r="231" spans="18:18" ht="15.75" customHeight="1">
      <c r="R231" s="30"/>
    </row>
    <row r="232" spans="18:18" ht="15.75" customHeight="1">
      <c r="R232" s="30"/>
    </row>
    <row r="233" spans="18:18" ht="15.75" customHeight="1">
      <c r="R233" s="30"/>
    </row>
    <row r="234" spans="18:18" ht="15.75" customHeight="1">
      <c r="R234" s="30"/>
    </row>
    <row r="235" spans="18:18" ht="15.75" customHeight="1">
      <c r="R235" s="30"/>
    </row>
    <row r="236" spans="18:18" ht="15.75" customHeight="1">
      <c r="R236" s="30"/>
    </row>
    <row r="237" spans="18:18" ht="15.75" customHeight="1">
      <c r="R237" s="30"/>
    </row>
    <row r="238" spans="18:18" ht="15.75" customHeight="1">
      <c r="R238" s="30"/>
    </row>
    <row r="239" spans="18:18" ht="15.75" customHeight="1">
      <c r="R239" s="30"/>
    </row>
    <row r="240" spans="18:18" ht="15.75" customHeight="1">
      <c r="R240" s="30"/>
    </row>
    <row r="241" spans="18:18" ht="15.75" customHeight="1">
      <c r="R241" s="30"/>
    </row>
    <row r="242" spans="18:18" ht="15.75" customHeight="1">
      <c r="R242" s="30"/>
    </row>
    <row r="243" spans="18:18" ht="15.75" customHeight="1">
      <c r="R243" s="30"/>
    </row>
    <row r="244" spans="18:18" ht="15.75" customHeight="1">
      <c r="R244" s="30"/>
    </row>
    <row r="245" spans="18:18" ht="15.75" customHeight="1">
      <c r="R245" s="30"/>
    </row>
    <row r="246" spans="18:18" ht="15.75" customHeight="1">
      <c r="R246" s="30"/>
    </row>
    <row r="247" spans="18:18" ht="15.75" customHeight="1">
      <c r="R247" s="30"/>
    </row>
    <row r="248" spans="18:18" ht="15.75" customHeight="1">
      <c r="R248" s="30"/>
    </row>
    <row r="249" spans="18:18" ht="15.75" customHeight="1">
      <c r="R249" s="30"/>
    </row>
    <row r="250" spans="18:18" ht="15.75" customHeight="1">
      <c r="R250" s="30"/>
    </row>
    <row r="251" spans="18:18" ht="15.75" customHeight="1">
      <c r="R251" s="30"/>
    </row>
    <row r="252" spans="18:18" ht="15.75" customHeight="1">
      <c r="R252" s="30"/>
    </row>
    <row r="253" spans="18:18" ht="15.75" customHeight="1">
      <c r="R253" s="30"/>
    </row>
    <row r="254" spans="18:18" ht="15.75" customHeight="1">
      <c r="R254" s="30"/>
    </row>
    <row r="255" spans="18:18" ht="15.75" customHeight="1">
      <c r="R255" s="30"/>
    </row>
    <row r="256" spans="18:18" ht="15.75" customHeight="1">
      <c r="R256" s="30"/>
    </row>
    <row r="257" spans="18:18" ht="15.75" customHeight="1">
      <c r="R257" s="30"/>
    </row>
    <row r="258" spans="18:18" ht="15.75" customHeight="1">
      <c r="R258" s="30"/>
    </row>
    <row r="259" spans="18:18" ht="15.75" customHeight="1">
      <c r="R259" s="30"/>
    </row>
    <row r="260" spans="18:18" ht="15.75" customHeight="1">
      <c r="R260" s="30"/>
    </row>
    <row r="261" spans="18:18" ht="15.75" customHeight="1">
      <c r="R261" s="30"/>
    </row>
    <row r="262" spans="18:18" ht="15.75" customHeight="1">
      <c r="R262" s="30"/>
    </row>
    <row r="263" spans="18:18" ht="15.75" customHeight="1">
      <c r="R263" s="30"/>
    </row>
    <row r="264" spans="18:18" ht="15.75" customHeight="1">
      <c r="R264" s="30"/>
    </row>
    <row r="265" spans="18:18" ht="15.75" customHeight="1">
      <c r="R265" s="30"/>
    </row>
    <row r="266" spans="18:18" ht="15.75" customHeight="1">
      <c r="R266" s="30"/>
    </row>
    <row r="267" spans="18:18" ht="15.75" customHeight="1">
      <c r="R267" s="30"/>
    </row>
    <row r="268" spans="18:18" ht="15.75" customHeight="1">
      <c r="R268" s="30"/>
    </row>
    <row r="269" spans="18:18" ht="15.75" customHeight="1">
      <c r="R269" s="30"/>
    </row>
    <row r="270" spans="18:18" ht="15.75" customHeight="1">
      <c r="R270" s="30"/>
    </row>
    <row r="271" spans="18:18" ht="15.75" customHeight="1">
      <c r="R271" s="30"/>
    </row>
    <row r="272" spans="18:18" ht="15.75" customHeight="1">
      <c r="R272" s="30"/>
    </row>
    <row r="273" spans="18:18" ht="15.75" customHeight="1">
      <c r="R273" s="30"/>
    </row>
    <row r="274" spans="18:18" ht="15.75" customHeight="1">
      <c r="R274" s="30"/>
    </row>
    <row r="275" spans="18:18" ht="15.75" customHeight="1">
      <c r="R275" s="30"/>
    </row>
    <row r="276" spans="18:18" ht="15.75" customHeight="1">
      <c r="R276" s="30"/>
    </row>
    <row r="277" spans="18:18" ht="15.75" customHeight="1">
      <c r="R277" s="30"/>
    </row>
    <row r="278" spans="18:18" ht="15.75" customHeight="1">
      <c r="R278" s="30"/>
    </row>
    <row r="279" spans="18:18" ht="15.75" customHeight="1">
      <c r="R279" s="30"/>
    </row>
    <row r="280" spans="18:18" ht="15.75" customHeight="1">
      <c r="R280" s="30"/>
    </row>
    <row r="281" spans="18:18" ht="15.75" customHeight="1">
      <c r="R281" s="30"/>
    </row>
    <row r="282" spans="18:18" ht="15.75" customHeight="1">
      <c r="R282" s="30"/>
    </row>
    <row r="283" spans="18:18" ht="15.75" customHeight="1">
      <c r="R283" s="30"/>
    </row>
    <row r="284" spans="18:18" ht="15.75" customHeight="1">
      <c r="R284" s="30"/>
    </row>
    <row r="285" spans="18:18" ht="15.75" customHeight="1">
      <c r="R285" s="30"/>
    </row>
    <row r="286" spans="18:18" ht="15.75" customHeight="1">
      <c r="R286" s="30"/>
    </row>
    <row r="287" spans="18:18" ht="15.75" customHeight="1">
      <c r="R287" s="30"/>
    </row>
    <row r="288" spans="18:18" ht="15.75" customHeight="1">
      <c r="R288" s="30"/>
    </row>
    <row r="289" spans="18:18" ht="15.75" customHeight="1">
      <c r="R289" s="30"/>
    </row>
    <row r="290" spans="18:18" ht="15.75" customHeight="1">
      <c r="R290" s="30"/>
    </row>
    <row r="291" spans="18:18" ht="15.75" customHeight="1">
      <c r="R291" s="30"/>
    </row>
    <row r="292" spans="18:18" ht="15.75" customHeight="1">
      <c r="R292" s="30"/>
    </row>
    <row r="293" spans="18:18" ht="15.75" customHeight="1">
      <c r="R293" s="30"/>
    </row>
    <row r="294" spans="18:18" ht="15.75" customHeight="1">
      <c r="R294" s="30"/>
    </row>
    <row r="295" spans="18:18" ht="15.75" customHeight="1">
      <c r="R295" s="30"/>
    </row>
    <row r="296" spans="18:18" ht="15.75" customHeight="1">
      <c r="R296" s="30"/>
    </row>
    <row r="297" spans="18:18" ht="15.75" customHeight="1">
      <c r="R297" s="30"/>
    </row>
    <row r="298" spans="18:18" ht="15.75" customHeight="1">
      <c r="R298" s="30"/>
    </row>
    <row r="299" spans="18:18" ht="15.75" customHeight="1">
      <c r="R299" s="30"/>
    </row>
    <row r="300" spans="18:18" ht="15.75" customHeight="1">
      <c r="R300" s="30"/>
    </row>
    <row r="301" spans="18:18" ht="15.75" customHeight="1">
      <c r="R301" s="30"/>
    </row>
    <row r="302" spans="18:18" ht="15.75" customHeight="1">
      <c r="R302" s="30"/>
    </row>
    <row r="303" spans="18:18" ht="15.75" customHeight="1">
      <c r="R303" s="30"/>
    </row>
    <row r="304" spans="18:18" ht="15.75" customHeight="1">
      <c r="R304" s="30"/>
    </row>
    <row r="305" spans="18:18" ht="15.75" customHeight="1">
      <c r="R305" s="30"/>
    </row>
    <row r="306" spans="18:18" ht="15.75" customHeight="1">
      <c r="R306" s="30"/>
    </row>
    <row r="307" spans="18:18" ht="15.75" customHeight="1">
      <c r="R307" s="30"/>
    </row>
    <row r="308" spans="18:18" ht="15.75" customHeight="1">
      <c r="R308" s="30"/>
    </row>
    <row r="309" spans="18:18" ht="15.75" customHeight="1">
      <c r="R309" s="30"/>
    </row>
    <row r="310" spans="18:18" ht="15.75" customHeight="1">
      <c r="R310" s="30"/>
    </row>
    <row r="311" spans="18:18" ht="15.75" customHeight="1">
      <c r="R311" s="30"/>
    </row>
    <row r="312" spans="18:18" ht="15.75" customHeight="1">
      <c r="R312" s="30"/>
    </row>
    <row r="313" spans="18:18" ht="15.75" customHeight="1">
      <c r="R313" s="30"/>
    </row>
    <row r="314" spans="18:18" ht="15.75" customHeight="1">
      <c r="R314" s="30"/>
    </row>
    <row r="315" spans="18:18" ht="15.75" customHeight="1">
      <c r="R315" s="30"/>
    </row>
    <row r="316" spans="18:18" ht="15.75" customHeight="1">
      <c r="R316" s="30"/>
    </row>
    <row r="317" spans="18:18" ht="15.75" customHeight="1">
      <c r="R317" s="30"/>
    </row>
    <row r="318" spans="18:18" ht="15.75" customHeight="1">
      <c r="R318" s="30"/>
    </row>
    <row r="319" spans="18:18" ht="15.75" customHeight="1">
      <c r="R319" s="30"/>
    </row>
    <row r="320" spans="18:18" ht="15.75" customHeight="1">
      <c r="R320" s="30"/>
    </row>
    <row r="321" spans="18:18" ht="15.75" customHeight="1">
      <c r="R321" s="30"/>
    </row>
    <row r="322" spans="18:18" ht="15.75" customHeight="1">
      <c r="R322" s="30"/>
    </row>
    <row r="323" spans="18:18" ht="15.75" customHeight="1">
      <c r="R323" s="30"/>
    </row>
    <row r="324" spans="18:18" ht="15.75" customHeight="1">
      <c r="R324" s="30"/>
    </row>
    <row r="325" spans="18:18" ht="15.75" customHeight="1">
      <c r="R325" s="30"/>
    </row>
    <row r="326" spans="18:18" ht="15.75" customHeight="1">
      <c r="R326" s="30"/>
    </row>
    <row r="327" spans="18:18" ht="15.75" customHeight="1">
      <c r="R327" s="30"/>
    </row>
    <row r="328" spans="18:18" ht="15.75" customHeight="1">
      <c r="R328" s="30"/>
    </row>
    <row r="329" spans="18:18" ht="15.75" customHeight="1">
      <c r="R329" s="30"/>
    </row>
    <row r="330" spans="18:18" ht="15.75" customHeight="1">
      <c r="R330" s="30"/>
    </row>
    <row r="331" spans="18:18" ht="15.75" customHeight="1">
      <c r="R331" s="30"/>
    </row>
    <row r="332" spans="18:18" ht="15.75" customHeight="1">
      <c r="R332" s="30"/>
    </row>
    <row r="333" spans="18:18" ht="15.75" customHeight="1">
      <c r="R333" s="30"/>
    </row>
    <row r="334" spans="18:18" ht="15.75" customHeight="1">
      <c r="R334" s="30"/>
    </row>
    <row r="335" spans="18:18" ht="15.75" customHeight="1">
      <c r="R335" s="30"/>
    </row>
    <row r="336" spans="18:18" ht="15.75" customHeight="1">
      <c r="R336" s="30"/>
    </row>
    <row r="337" spans="18:18" ht="15.75" customHeight="1">
      <c r="R337" s="30"/>
    </row>
    <row r="338" spans="18:18" ht="15.75" customHeight="1">
      <c r="R338" s="30"/>
    </row>
    <row r="339" spans="18:18" ht="15.75" customHeight="1">
      <c r="R339" s="30"/>
    </row>
    <row r="340" spans="18:18" ht="15.75" customHeight="1">
      <c r="R340" s="30"/>
    </row>
    <row r="341" spans="18:18" ht="15.75" customHeight="1">
      <c r="R341" s="30"/>
    </row>
    <row r="342" spans="18:18" ht="15.75" customHeight="1">
      <c r="R342" s="30"/>
    </row>
    <row r="343" spans="18:18" ht="15.75" customHeight="1">
      <c r="R343" s="30"/>
    </row>
    <row r="344" spans="18:18" ht="15.75" customHeight="1">
      <c r="R344" s="30"/>
    </row>
    <row r="345" spans="18:18" ht="15.75" customHeight="1">
      <c r="R345" s="30"/>
    </row>
    <row r="346" spans="18:18" ht="15.75" customHeight="1">
      <c r="R346" s="30"/>
    </row>
    <row r="347" spans="18:18" ht="15.75" customHeight="1">
      <c r="R347" s="30"/>
    </row>
    <row r="348" spans="18:18" ht="15.75" customHeight="1">
      <c r="R348" s="30"/>
    </row>
    <row r="349" spans="18:18" ht="15.75" customHeight="1">
      <c r="R349" s="30"/>
    </row>
    <row r="350" spans="18:18" ht="15.75" customHeight="1">
      <c r="R350" s="30"/>
    </row>
    <row r="351" spans="18:18" ht="15.75" customHeight="1">
      <c r="R351" s="30"/>
    </row>
    <row r="352" spans="18:18" ht="15.75" customHeight="1">
      <c r="R352" s="30"/>
    </row>
    <row r="353" spans="18:18" ht="15.75" customHeight="1">
      <c r="R353" s="30"/>
    </row>
    <row r="354" spans="18:18" ht="15.75" customHeight="1">
      <c r="R354" s="30"/>
    </row>
    <row r="355" spans="18:18" ht="15.75" customHeight="1">
      <c r="R355" s="30"/>
    </row>
    <row r="356" spans="18:18" ht="15.75" customHeight="1">
      <c r="R356" s="30"/>
    </row>
    <row r="357" spans="18:18" ht="15.75" customHeight="1">
      <c r="R357" s="30"/>
    </row>
    <row r="358" spans="18:18" ht="15.75" customHeight="1">
      <c r="R358" s="30"/>
    </row>
    <row r="359" spans="18:18" ht="15.75" customHeight="1">
      <c r="R359" s="30"/>
    </row>
    <row r="360" spans="18:18" ht="15.75" customHeight="1">
      <c r="R360" s="30"/>
    </row>
    <row r="361" spans="18:18" ht="15.75" customHeight="1">
      <c r="R361" s="30"/>
    </row>
    <row r="362" spans="18:18" ht="15.75" customHeight="1">
      <c r="R362" s="30"/>
    </row>
    <row r="363" spans="18:18" ht="15.75" customHeight="1">
      <c r="R363" s="30"/>
    </row>
    <row r="364" spans="18:18" ht="15.75" customHeight="1">
      <c r="R364" s="30"/>
    </row>
    <row r="365" spans="18:18" ht="15.75" customHeight="1">
      <c r="R365" s="30"/>
    </row>
    <row r="366" spans="18:18" ht="15.75" customHeight="1">
      <c r="R366" s="30"/>
    </row>
    <row r="367" spans="18:18" ht="15.75" customHeight="1">
      <c r="R367" s="30"/>
    </row>
    <row r="368" spans="18:18" ht="15.75" customHeight="1">
      <c r="R368" s="30"/>
    </row>
    <row r="369" spans="18:18" ht="15.75" customHeight="1">
      <c r="R369" s="30"/>
    </row>
    <row r="370" spans="18:18" ht="15.75" customHeight="1">
      <c r="R370" s="30"/>
    </row>
    <row r="371" spans="18:18" ht="15.75" customHeight="1">
      <c r="R371" s="30"/>
    </row>
    <row r="372" spans="18:18" ht="15.75" customHeight="1">
      <c r="R372" s="30"/>
    </row>
    <row r="373" spans="18:18" ht="15.75" customHeight="1">
      <c r="R373" s="30"/>
    </row>
    <row r="374" spans="18:18" ht="15.75" customHeight="1">
      <c r="R374" s="30"/>
    </row>
    <row r="375" spans="18:18" ht="15.75" customHeight="1">
      <c r="R375" s="30"/>
    </row>
    <row r="376" spans="18:18" ht="15.75" customHeight="1">
      <c r="R376" s="30"/>
    </row>
    <row r="377" spans="18:18" ht="15.75" customHeight="1">
      <c r="R377" s="30"/>
    </row>
    <row r="378" spans="18:18" ht="15.75" customHeight="1">
      <c r="R378" s="30"/>
    </row>
    <row r="379" spans="18:18" ht="15.75" customHeight="1">
      <c r="R379" s="30"/>
    </row>
    <row r="380" spans="18:18" ht="15.75" customHeight="1">
      <c r="R380" s="30"/>
    </row>
    <row r="381" spans="18:18" ht="15.75" customHeight="1">
      <c r="R381" s="30"/>
    </row>
    <row r="382" spans="18:18" ht="15.75" customHeight="1">
      <c r="R382" s="30"/>
    </row>
    <row r="383" spans="18:18" ht="15.75" customHeight="1">
      <c r="R383" s="30"/>
    </row>
    <row r="384" spans="18:18" ht="15.75" customHeight="1">
      <c r="R384" s="30"/>
    </row>
    <row r="385" spans="18:18" ht="15.75" customHeight="1">
      <c r="R385" s="30"/>
    </row>
    <row r="386" spans="18:18" ht="15.75" customHeight="1">
      <c r="R386" s="30"/>
    </row>
    <row r="387" spans="18:18" ht="15.75" customHeight="1">
      <c r="R387" s="30"/>
    </row>
    <row r="388" spans="18:18" ht="15.75" customHeight="1">
      <c r="R388" s="30"/>
    </row>
    <row r="389" spans="18:18" ht="15.75" customHeight="1">
      <c r="R389" s="30"/>
    </row>
    <row r="390" spans="18:18" ht="15.75" customHeight="1">
      <c r="R390" s="30"/>
    </row>
    <row r="391" spans="18:18" ht="15.75" customHeight="1">
      <c r="R391" s="30"/>
    </row>
    <row r="392" spans="18:18" ht="15.75" customHeight="1">
      <c r="R392" s="30"/>
    </row>
    <row r="393" spans="18:18" ht="15.75" customHeight="1">
      <c r="R393" s="30"/>
    </row>
    <row r="394" spans="18:18" ht="15.75" customHeight="1">
      <c r="R394" s="30"/>
    </row>
    <row r="395" spans="18:18" ht="15.75" customHeight="1">
      <c r="R395" s="30"/>
    </row>
    <row r="396" spans="18:18" ht="15.75" customHeight="1">
      <c r="R396" s="30"/>
    </row>
    <row r="397" spans="18:18" ht="15.75" customHeight="1">
      <c r="R397" s="30"/>
    </row>
    <row r="398" spans="18:18" ht="15.75" customHeight="1">
      <c r="R398" s="30"/>
    </row>
    <row r="399" spans="18:18" ht="15.75" customHeight="1">
      <c r="R399" s="30"/>
    </row>
    <row r="400" spans="18:18" ht="15.75" customHeight="1">
      <c r="R400" s="30"/>
    </row>
    <row r="401" spans="18:18" ht="15.75" customHeight="1">
      <c r="R401" s="30"/>
    </row>
    <row r="402" spans="18:18" ht="15.75" customHeight="1">
      <c r="R402" s="30"/>
    </row>
    <row r="403" spans="18:18" ht="15.75" customHeight="1">
      <c r="R403" s="30"/>
    </row>
    <row r="404" spans="18:18" ht="15.75" customHeight="1">
      <c r="R404" s="30"/>
    </row>
    <row r="405" spans="18:18" ht="15.75" customHeight="1">
      <c r="R405" s="30"/>
    </row>
    <row r="406" spans="18:18" ht="15.75" customHeight="1">
      <c r="R406" s="30"/>
    </row>
    <row r="407" spans="18:18" ht="15.75" customHeight="1">
      <c r="R407" s="30"/>
    </row>
    <row r="408" spans="18:18" ht="15.75" customHeight="1">
      <c r="R408" s="30"/>
    </row>
    <row r="409" spans="18:18" ht="15.75" customHeight="1">
      <c r="R409" s="30"/>
    </row>
    <row r="410" spans="18:18" ht="15.75" customHeight="1">
      <c r="R410" s="30"/>
    </row>
    <row r="411" spans="18:18" ht="15.75" customHeight="1">
      <c r="R411" s="30"/>
    </row>
    <row r="412" spans="18:18" ht="15.75" customHeight="1">
      <c r="R412" s="30"/>
    </row>
    <row r="413" spans="18:18" ht="15.75" customHeight="1">
      <c r="R413" s="30"/>
    </row>
    <row r="414" spans="18:18" ht="15.75" customHeight="1">
      <c r="R414" s="30"/>
    </row>
    <row r="415" spans="18:18" ht="15.75" customHeight="1">
      <c r="R415" s="30"/>
    </row>
    <row r="416" spans="18:18" ht="15.75" customHeight="1">
      <c r="R416" s="30"/>
    </row>
    <row r="417" spans="18:18" ht="15.75" customHeight="1">
      <c r="R417" s="30"/>
    </row>
    <row r="418" spans="18:18" ht="15.75" customHeight="1">
      <c r="R418" s="30"/>
    </row>
    <row r="419" spans="18:18" ht="15.75" customHeight="1">
      <c r="R419" s="30"/>
    </row>
    <row r="420" spans="18:18" ht="15.75" customHeight="1">
      <c r="R420" s="30"/>
    </row>
    <row r="421" spans="18:18" ht="15.75" customHeight="1">
      <c r="R421" s="30"/>
    </row>
    <row r="422" spans="18:18" ht="15.75" customHeight="1">
      <c r="R422" s="30"/>
    </row>
    <row r="423" spans="18:18" ht="15.75" customHeight="1">
      <c r="R423" s="30"/>
    </row>
    <row r="424" spans="18:18" ht="15.75" customHeight="1">
      <c r="R424" s="30"/>
    </row>
    <row r="425" spans="18:18" ht="15.75" customHeight="1">
      <c r="R425" s="30"/>
    </row>
    <row r="426" spans="18:18" ht="15.75" customHeight="1">
      <c r="R426" s="30"/>
    </row>
    <row r="427" spans="18:18" ht="15.75" customHeight="1">
      <c r="R427" s="30"/>
    </row>
    <row r="428" spans="18:18" ht="15.75" customHeight="1">
      <c r="R428" s="30"/>
    </row>
    <row r="429" spans="18:18" ht="15.75" customHeight="1">
      <c r="R429" s="30"/>
    </row>
    <row r="430" spans="18:18" ht="15.75" customHeight="1">
      <c r="R430" s="30"/>
    </row>
    <row r="431" spans="18:18" ht="15.75" customHeight="1">
      <c r="R431" s="30"/>
    </row>
    <row r="432" spans="18:18" ht="15.75" customHeight="1">
      <c r="R432" s="30"/>
    </row>
    <row r="433" spans="18:18" ht="15.75" customHeight="1">
      <c r="R433" s="30"/>
    </row>
    <row r="434" spans="18:18" ht="15.75" customHeight="1">
      <c r="R434" s="30"/>
    </row>
    <row r="435" spans="18:18" ht="15.75" customHeight="1">
      <c r="R435" s="30"/>
    </row>
    <row r="436" spans="18:18" ht="15.75" customHeight="1">
      <c r="R436" s="30"/>
    </row>
    <row r="437" spans="18:18" ht="15.75" customHeight="1">
      <c r="R437" s="30"/>
    </row>
    <row r="438" spans="18:18" ht="15.75" customHeight="1">
      <c r="R438" s="30"/>
    </row>
    <row r="439" spans="18:18" ht="15.75" customHeight="1">
      <c r="R439" s="30"/>
    </row>
    <row r="440" spans="18:18" ht="15.75" customHeight="1">
      <c r="R440" s="30"/>
    </row>
    <row r="441" spans="18:18" ht="15.75" customHeight="1">
      <c r="R441" s="30"/>
    </row>
    <row r="442" spans="18:18" ht="15.75" customHeight="1">
      <c r="R442" s="30"/>
    </row>
    <row r="443" spans="18:18" ht="15.75" customHeight="1">
      <c r="R443" s="30"/>
    </row>
    <row r="444" spans="18:18" ht="15.75" customHeight="1">
      <c r="R444" s="30"/>
    </row>
    <row r="445" spans="18:18" ht="15.75" customHeight="1">
      <c r="R445" s="30"/>
    </row>
    <row r="446" spans="18:18" ht="15.75" customHeight="1">
      <c r="R446" s="30"/>
    </row>
    <row r="447" spans="18:18" ht="15.75" customHeight="1">
      <c r="R447" s="30"/>
    </row>
    <row r="448" spans="18:18" ht="15.75" customHeight="1">
      <c r="R448" s="30"/>
    </row>
    <row r="449" spans="18:18" ht="15.75" customHeight="1">
      <c r="R449" s="30"/>
    </row>
    <row r="450" spans="18:18" ht="15.75" customHeight="1">
      <c r="R450" s="30"/>
    </row>
    <row r="451" spans="18:18" ht="15.75" customHeight="1">
      <c r="R451" s="30"/>
    </row>
    <row r="452" spans="18:18" ht="15.75" customHeight="1">
      <c r="R452" s="30"/>
    </row>
    <row r="453" spans="18:18" ht="15.75" customHeight="1">
      <c r="R453" s="30"/>
    </row>
    <row r="454" spans="18:18" ht="15.75" customHeight="1">
      <c r="R454" s="30"/>
    </row>
    <row r="455" spans="18:18" ht="15.75" customHeight="1">
      <c r="R455" s="30"/>
    </row>
    <row r="456" spans="18:18" ht="15.75" customHeight="1">
      <c r="R456" s="30"/>
    </row>
    <row r="457" spans="18:18" ht="15.75" customHeight="1">
      <c r="R457" s="30"/>
    </row>
    <row r="458" spans="18:18" ht="15.75" customHeight="1">
      <c r="R458" s="30"/>
    </row>
    <row r="459" spans="18:18" ht="15.75" customHeight="1">
      <c r="R459" s="30"/>
    </row>
    <row r="460" spans="18:18" ht="15.75" customHeight="1">
      <c r="R460" s="30"/>
    </row>
    <row r="461" spans="18:18" ht="15.75" customHeight="1">
      <c r="R461" s="30"/>
    </row>
    <row r="462" spans="18:18" ht="15.75" customHeight="1">
      <c r="R462" s="30"/>
    </row>
    <row r="463" spans="18:18" ht="15.75" customHeight="1">
      <c r="R463" s="30"/>
    </row>
    <row r="464" spans="18:18" ht="15.75" customHeight="1">
      <c r="R464" s="30"/>
    </row>
    <row r="465" spans="18:18" ht="15.75" customHeight="1">
      <c r="R465" s="30"/>
    </row>
    <row r="466" spans="18:18" ht="15.75" customHeight="1">
      <c r="R466" s="30"/>
    </row>
    <row r="467" spans="18:18" ht="15.75" customHeight="1">
      <c r="R467" s="30"/>
    </row>
    <row r="468" spans="18:18" ht="15.75" customHeight="1">
      <c r="R468" s="30"/>
    </row>
    <row r="469" spans="18:18" ht="15.75" customHeight="1">
      <c r="R469" s="30"/>
    </row>
    <row r="470" spans="18:18" ht="15.75" customHeight="1">
      <c r="R470" s="30"/>
    </row>
    <row r="471" spans="18:18" ht="15.75" customHeight="1">
      <c r="R471" s="30"/>
    </row>
    <row r="472" spans="18:18" ht="15.75" customHeight="1">
      <c r="R472" s="30"/>
    </row>
    <row r="473" spans="18:18" ht="15.75" customHeight="1">
      <c r="R473" s="30"/>
    </row>
    <row r="474" spans="18:18" ht="15.75" customHeight="1">
      <c r="R474" s="30"/>
    </row>
    <row r="475" spans="18:18" ht="15.75" customHeight="1">
      <c r="R475" s="30"/>
    </row>
    <row r="476" spans="18:18" ht="15.75" customHeight="1">
      <c r="R476" s="30"/>
    </row>
    <row r="477" spans="18:18" ht="15.75" customHeight="1">
      <c r="R477" s="30"/>
    </row>
    <row r="478" spans="18:18" ht="15.75" customHeight="1">
      <c r="R478" s="30"/>
    </row>
    <row r="479" spans="18:18" ht="15.75" customHeight="1">
      <c r="R479" s="30"/>
    </row>
    <row r="480" spans="18:18" ht="15.75" customHeight="1">
      <c r="R480" s="30"/>
    </row>
    <row r="481" spans="18:18" ht="15.75" customHeight="1">
      <c r="R481" s="30"/>
    </row>
    <row r="482" spans="18:18" ht="15.75" customHeight="1">
      <c r="R482" s="30"/>
    </row>
    <row r="483" spans="18:18" ht="15.75" customHeight="1">
      <c r="R483" s="30"/>
    </row>
    <row r="484" spans="18:18" ht="15.75" customHeight="1">
      <c r="R484" s="30"/>
    </row>
    <row r="485" spans="18:18" ht="15.75" customHeight="1">
      <c r="R485" s="30"/>
    </row>
    <row r="486" spans="18:18" ht="15.75" customHeight="1">
      <c r="R486" s="30"/>
    </row>
    <row r="487" spans="18:18" ht="15.75" customHeight="1">
      <c r="R487" s="30"/>
    </row>
    <row r="488" spans="18:18" ht="15.75" customHeight="1">
      <c r="R488" s="30"/>
    </row>
    <row r="489" spans="18:18" ht="15.75" customHeight="1">
      <c r="R489" s="30"/>
    </row>
    <row r="490" spans="18:18" ht="15.75" customHeight="1">
      <c r="R490" s="30"/>
    </row>
    <row r="491" spans="18:18" ht="15.75" customHeight="1">
      <c r="R491" s="30"/>
    </row>
    <row r="492" spans="18:18" ht="15.75" customHeight="1">
      <c r="R492" s="30"/>
    </row>
    <row r="493" spans="18:18" ht="15.75" customHeight="1">
      <c r="R493" s="30"/>
    </row>
    <row r="494" spans="18:18" ht="15.75" customHeight="1">
      <c r="R494" s="30"/>
    </row>
    <row r="495" spans="18:18" ht="15.75" customHeight="1">
      <c r="R495" s="30"/>
    </row>
    <row r="496" spans="18:18" ht="15.75" customHeight="1">
      <c r="R496" s="30"/>
    </row>
    <row r="497" spans="18:18" ht="15.75" customHeight="1">
      <c r="R497" s="30"/>
    </row>
    <row r="498" spans="18:18" ht="15.75" customHeight="1">
      <c r="R498" s="30"/>
    </row>
    <row r="499" spans="18:18" ht="15.75" customHeight="1">
      <c r="R499" s="30"/>
    </row>
    <row r="500" spans="18:18" ht="15.75" customHeight="1">
      <c r="R500" s="30"/>
    </row>
    <row r="501" spans="18:18" ht="15.75" customHeight="1">
      <c r="R501" s="30"/>
    </row>
    <row r="502" spans="18:18" ht="15.75" customHeight="1">
      <c r="R502" s="30"/>
    </row>
    <row r="503" spans="18:18" ht="15.75" customHeight="1">
      <c r="R503" s="30"/>
    </row>
    <row r="504" spans="18:18" ht="15.75" customHeight="1">
      <c r="R504" s="30"/>
    </row>
    <row r="505" spans="18:18" ht="15.75" customHeight="1">
      <c r="R505" s="30"/>
    </row>
    <row r="506" spans="18:18" ht="15.75" customHeight="1">
      <c r="R506" s="30"/>
    </row>
    <row r="507" spans="18:18" ht="15.75" customHeight="1">
      <c r="R507" s="30"/>
    </row>
    <row r="508" spans="18:18" ht="15.75" customHeight="1">
      <c r="R508" s="30"/>
    </row>
    <row r="509" spans="18:18" ht="15.75" customHeight="1">
      <c r="R509" s="30"/>
    </row>
    <row r="510" spans="18:18" ht="15.75" customHeight="1">
      <c r="R510" s="30"/>
    </row>
    <row r="511" spans="18:18" ht="15.75" customHeight="1">
      <c r="R511" s="30"/>
    </row>
    <row r="512" spans="18:18" ht="15.75" customHeight="1">
      <c r="R512" s="30"/>
    </row>
    <row r="513" spans="18:18" ht="15.75" customHeight="1">
      <c r="R513" s="30"/>
    </row>
    <row r="514" spans="18:18" ht="15.75" customHeight="1">
      <c r="R514" s="30"/>
    </row>
    <row r="515" spans="18:18" ht="15.75" customHeight="1">
      <c r="R515" s="30"/>
    </row>
    <row r="516" spans="18:18" ht="15.75" customHeight="1">
      <c r="R516" s="30"/>
    </row>
    <row r="517" spans="18:18" ht="15.75" customHeight="1">
      <c r="R517" s="30"/>
    </row>
    <row r="518" spans="18:18" ht="15.75" customHeight="1">
      <c r="R518" s="30"/>
    </row>
    <row r="519" spans="18:18" ht="15.75" customHeight="1">
      <c r="R519" s="30"/>
    </row>
    <row r="520" spans="18:18" ht="15.75" customHeight="1">
      <c r="R520" s="30"/>
    </row>
    <row r="521" spans="18:18" ht="15.75" customHeight="1">
      <c r="R521" s="30"/>
    </row>
    <row r="522" spans="18:18" ht="15.75" customHeight="1">
      <c r="R522" s="30"/>
    </row>
    <row r="523" spans="18:18" ht="15.75" customHeight="1">
      <c r="R523" s="30"/>
    </row>
    <row r="524" spans="18:18" ht="15.75" customHeight="1">
      <c r="R524" s="30"/>
    </row>
    <row r="525" spans="18:18" ht="15.75" customHeight="1">
      <c r="R525" s="30"/>
    </row>
    <row r="526" spans="18:18" ht="15.75" customHeight="1">
      <c r="R526" s="30"/>
    </row>
    <row r="527" spans="18:18" ht="15.75" customHeight="1">
      <c r="R527" s="30"/>
    </row>
    <row r="528" spans="18:18" ht="15.75" customHeight="1">
      <c r="R528" s="30"/>
    </row>
    <row r="529" spans="18:18" ht="15.75" customHeight="1">
      <c r="R529" s="30"/>
    </row>
    <row r="530" spans="18:18" ht="15.75" customHeight="1">
      <c r="R530" s="30"/>
    </row>
    <row r="531" spans="18:18" ht="15.75" customHeight="1">
      <c r="R531" s="30"/>
    </row>
    <row r="532" spans="18:18" ht="15.75" customHeight="1">
      <c r="R532" s="30"/>
    </row>
    <row r="533" spans="18:18" ht="15.75" customHeight="1">
      <c r="R533" s="30"/>
    </row>
    <row r="534" spans="18:18" ht="15.75" customHeight="1">
      <c r="R534" s="30"/>
    </row>
    <row r="535" spans="18:18" ht="15.75" customHeight="1">
      <c r="R535" s="30"/>
    </row>
    <row r="536" spans="18:18" ht="15.75" customHeight="1">
      <c r="R536" s="30"/>
    </row>
    <row r="537" spans="18:18" ht="15.75" customHeight="1">
      <c r="R537" s="30"/>
    </row>
    <row r="538" spans="18:18" ht="15.75" customHeight="1">
      <c r="R538" s="30"/>
    </row>
    <row r="539" spans="18:18" ht="15.75" customHeight="1">
      <c r="R539" s="30"/>
    </row>
    <row r="540" spans="18:18" ht="15.75" customHeight="1">
      <c r="R540" s="30"/>
    </row>
    <row r="541" spans="18:18" ht="15.75" customHeight="1">
      <c r="R541" s="30"/>
    </row>
    <row r="542" spans="18:18" ht="15.75" customHeight="1">
      <c r="R542" s="30"/>
    </row>
    <row r="543" spans="18:18" ht="15.75" customHeight="1">
      <c r="R543" s="30"/>
    </row>
    <row r="544" spans="18:18" ht="15.75" customHeight="1">
      <c r="R544" s="30"/>
    </row>
    <row r="545" spans="18:18" ht="15.75" customHeight="1">
      <c r="R545" s="30"/>
    </row>
    <row r="546" spans="18:18" ht="15.75" customHeight="1">
      <c r="R546" s="30"/>
    </row>
    <row r="547" spans="18:18" ht="15.75" customHeight="1">
      <c r="R547" s="30"/>
    </row>
    <row r="548" spans="18:18" ht="15.75" customHeight="1">
      <c r="R548" s="30"/>
    </row>
    <row r="549" spans="18:18" ht="15.75" customHeight="1">
      <c r="R549" s="30"/>
    </row>
    <row r="550" spans="18:18" ht="15.75" customHeight="1">
      <c r="R550" s="30"/>
    </row>
    <row r="551" spans="18:18" ht="15.75" customHeight="1">
      <c r="R551" s="30"/>
    </row>
    <row r="552" spans="18:18" ht="15.75" customHeight="1">
      <c r="R552" s="30"/>
    </row>
    <row r="553" spans="18:18" ht="15.75" customHeight="1">
      <c r="R553" s="30"/>
    </row>
    <row r="554" spans="18:18" ht="15.75" customHeight="1">
      <c r="R554" s="30"/>
    </row>
    <row r="555" spans="18:18" ht="15.75" customHeight="1">
      <c r="R555" s="30"/>
    </row>
    <row r="556" spans="18:18" ht="15.75" customHeight="1">
      <c r="R556" s="30"/>
    </row>
    <row r="557" spans="18:18" ht="15.75" customHeight="1">
      <c r="R557" s="30"/>
    </row>
    <row r="558" spans="18:18" ht="15.75" customHeight="1">
      <c r="R558" s="30"/>
    </row>
    <row r="559" spans="18:18" ht="15.75" customHeight="1">
      <c r="R559" s="30"/>
    </row>
    <row r="560" spans="18:18" ht="15.75" customHeight="1">
      <c r="R560" s="30"/>
    </row>
    <row r="561" spans="18:18" ht="15.75" customHeight="1">
      <c r="R561" s="30"/>
    </row>
    <row r="562" spans="18:18" ht="15.75" customHeight="1">
      <c r="R562" s="30"/>
    </row>
    <row r="563" spans="18:18" ht="15.75" customHeight="1">
      <c r="R563" s="30"/>
    </row>
    <row r="564" spans="18:18" ht="15.75" customHeight="1">
      <c r="R564" s="30"/>
    </row>
    <row r="565" spans="18:18" ht="15.75" customHeight="1">
      <c r="R565" s="30"/>
    </row>
    <row r="566" spans="18:18" ht="15.75" customHeight="1">
      <c r="R566" s="30"/>
    </row>
    <row r="567" spans="18:18" ht="15.75" customHeight="1">
      <c r="R567" s="30"/>
    </row>
    <row r="568" spans="18:18" ht="15.75" customHeight="1">
      <c r="R568" s="30"/>
    </row>
    <row r="569" spans="18:18" ht="15.75" customHeight="1">
      <c r="R569" s="30"/>
    </row>
    <row r="570" spans="18:18" ht="15.75" customHeight="1">
      <c r="R570" s="30"/>
    </row>
    <row r="571" spans="18:18" ht="15.75" customHeight="1">
      <c r="R571" s="30"/>
    </row>
    <row r="572" spans="18:18" ht="15.75" customHeight="1">
      <c r="R572" s="30"/>
    </row>
    <row r="573" spans="18:18" ht="15.75" customHeight="1">
      <c r="R573" s="30"/>
    </row>
    <row r="574" spans="18:18" ht="15.75" customHeight="1">
      <c r="R574" s="30"/>
    </row>
    <row r="575" spans="18:18" ht="15.75" customHeight="1">
      <c r="R575" s="30"/>
    </row>
    <row r="576" spans="18:18" ht="15.75" customHeight="1">
      <c r="R576" s="30"/>
    </row>
    <row r="577" spans="18:18" ht="15.75" customHeight="1">
      <c r="R577" s="30"/>
    </row>
    <row r="578" spans="18:18" ht="15.75" customHeight="1">
      <c r="R578" s="30"/>
    </row>
    <row r="579" spans="18:18" ht="15.75" customHeight="1">
      <c r="R579" s="30"/>
    </row>
    <row r="580" spans="18:18" ht="15.75" customHeight="1">
      <c r="R580" s="30"/>
    </row>
    <row r="581" spans="18:18" ht="15.75" customHeight="1">
      <c r="R581" s="30"/>
    </row>
    <row r="582" spans="18:18" ht="15.75" customHeight="1">
      <c r="R582" s="30"/>
    </row>
    <row r="583" spans="18:18" ht="15.75" customHeight="1">
      <c r="R583" s="30"/>
    </row>
    <row r="584" spans="18:18" ht="15.75" customHeight="1">
      <c r="R584" s="30"/>
    </row>
    <row r="585" spans="18:18" ht="15.75" customHeight="1">
      <c r="R585" s="30"/>
    </row>
    <row r="586" spans="18:18" ht="15.75" customHeight="1">
      <c r="R586" s="30"/>
    </row>
    <row r="587" spans="18:18" ht="15.75" customHeight="1">
      <c r="R587" s="30"/>
    </row>
    <row r="588" spans="18:18" ht="15.75" customHeight="1">
      <c r="R588" s="30"/>
    </row>
    <row r="589" spans="18:18" ht="15.75" customHeight="1">
      <c r="R589" s="30"/>
    </row>
    <row r="590" spans="18:18" ht="15.75" customHeight="1">
      <c r="R590" s="30"/>
    </row>
    <row r="591" spans="18:18" ht="15.75" customHeight="1">
      <c r="R591" s="30"/>
    </row>
    <row r="592" spans="18:18" ht="15.75" customHeight="1">
      <c r="R592" s="30"/>
    </row>
    <row r="593" spans="18:18" ht="15.75" customHeight="1">
      <c r="R593" s="30"/>
    </row>
    <row r="594" spans="18:18" ht="15.75" customHeight="1">
      <c r="R594" s="30"/>
    </row>
    <row r="595" spans="18:18" ht="15.75" customHeight="1">
      <c r="R595" s="30"/>
    </row>
    <row r="596" spans="18:18" ht="15.75" customHeight="1">
      <c r="R596" s="30"/>
    </row>
    <row r="597" spans="18:18" ht="15.75" customHeight="1">
      <c r="R597" s="30"/>
    </row>
    <row r="598" spans="18:18" ht="15.75" customHeight="1">
      <c r="R598" s="30"/>
    </row>
    <row r="599" spans="18:18" ht="15.75" customHeight="1">
      <c r="R599" s="30"/>
    </row>
    <row r="600" spans="18:18" ht="15.75" customHeight="1">
      <c r="R600" s="30"/>
    </row>
    <row r="601" spans="18:18" ht="15.75" customHeight="1">
      <c r="R601" s="30"/>
    </row>
    <row r="602" spans="18:18" ht="15.75" customHeight="1">
      <c r="R602" s="30"/>
    </row>
    <row r="603" spans="18:18" ht="15.75" customHeight="1">
      <c r="R603" s="30"/>
    </row>
    <row r="604" spans="18:18" ht="15.75" customHeight="1">
      <c r="R604" s="30"/>
    </row>
    <row r="605" spans="18:18" ht="15.75" customHeight="1">
      <c r="R605" s="30"/>
    </row>
    <row r="606" spans="18:18" ht="15.75" customHeight="1">
      <c r="R606" s="30"/>
    </row>
    <row r="607" spans="18:18" ht="15.75" customHeight="1">
      <c r="R607" s="30"/>
    </row>
    <row r="608" spans="18:18" ht="15.75" customHeight="1">
      <c r="R608" s="30"/>
    </row>
    <row r="609" spans="18:18" ht="15.75" customHeight="1">
      <c r="R609" s="30"/>
    </row>
    <row r="610" spans="18:18" ht="15.75" customHeight="1">
      <c r="R610" s="30"/>
    </row>
    <row r="611" spans="18:18" ht="15.75" customHeight="1">
      <c r="R611" s="30"/>
    </row>
    <row r="612" spans="18:18" ht="15.75" customHeight="1">
      <c r="R612" s="30"/>
    </row>
    <row r="613" spans="18:18" ht="15.75" customHeight="1">
      <c r="R613" s="30"/>
    </row>
    <row r="614" spans="18:18" ht="15.75" customHeight="1">
      <c r="R614" s="30"/>
    </row>
    <row r="615" spans="18:18" ht="15.75" customHeight="1">
      <c r="R615" s="30"/>
    </row>
    <row r="616" spans="18:18" ht="15.75" customHeight="1">
      <c r="R616" s="30"/>
    </row>
    <row r="617" spans="18:18" ht="15.75" customHeight="1">
      <c r="R617" s="30"/>
    </row>
    <row r="618" spans="18:18" ht="15.75" customHeight="1">
      <c r="R618" s="30"/>
    </row>
    <row r="619" spans="18:18" ht="15.75" customHeight="1">
      <c r="R619" s="30"/>
    </row>
    <row r="620" spans="18:18" ht="15.75" customHeight="1">
      <c r="R620" s="30"/>
    </row>
    <row r="621" spans="18:18" ht="15.75" customHeight="1">
      <c r="R621" s="30"/>
    </row>
    <row r="622" spans="18:18" ht="15.75" customHeight="1">
      <c r="R622" s="30"/>
    </row>
    <row r="623" spans="18:18" ht="15.75" customHeight="1">
      <c r="R623" s="30"/>
    </row>
    <row r="624" spans="18:18" ht="15.75" customHeight="1">
      <c r="R624" s="30"/>
    </row>
    <row r="625" spans="18:18" ht="15.75" customHeight="1">
      <c r="R625" s="30"/>
    </row>
    <row r="626" spans="18:18" ht="15.75" customHeight="1">
      <c r="R626" s="30"/>
    </row>
    <row r="627" spans="18:18" ht="15.75" customHeight="1">
      <c r="R627" s="30"/>
    </row>
    <row r="628" spans="18:18" ht="15.75" customHeight="1">
      <c r="R628" s="30"/>
    </row>
    <row r="629" spans="18:18" ht="15.75" customHeight="1">
      <c r="R629" s="30"/>
    </row>
    <row r="630" spans="18:18" ht="15.75" customHeight="1">
      <c r="R630" s="30"/>
    </row>
    <row r="631" spans="18:18" ht="15.75" customHeight="1">
      <c r="R631" s="30"/>
    </row>
    <row r="632" spans="18:18" ht="15.75" customHeight="1">
      <c r="R632" s="30"/>
    </row>
    <row r="633" spans="18:18" ht="15.75" customHeight="1">
      <c r="R633" s="30"/>
    </row>
    <row r="634" spans="18:18" ht="15.75" customHeight="1">
      <c r="R634" s="30"/>
    </row>
    <row r="635" spans="18:18" ht="15.75" customHeight="1">
      <c r="R635" s="30"/>
    </row>
    <row r="636" spans="18:18" ht="15.75" customHeight="1">
      <c r="R636" s="30"/>
    </row>
    <row r="637" spans="18:18" ht="15.75" customHeight="1">
      <c r="R637" s="30"/>
    </row>
    <row r="638" spans="18:18" ht="15.75" customHeight="1">
      <c r="R638" s="30"/>
    </row>
    <row r="639" spans="18:18" ht="15.75" customHeight="1">
      <c r="R639" s="30"/>
    </row>
    <row r="640" spans="18:18" ht="15.75" customHeight="1">
      <c r="R640" s="30"/>
    </row>
    <row r="641" spans="18:18" ht="15.75" customHeight="1">
      <c r="R641" s="30"/>
    </row>
    <row r="642" spans="18:18" ht="15.75" customHeight="1">
      <c r="R642" s="30"/>
    </row>
    <row r="643" spans="18:18" ht="15.75" customHeight="1">
      <c r="R643" s="30"/>
    </row>
    <row r="644" spans="18:18" ht="15.75" customHeight="1">
      <c r="R644" s="30"/>
    </row>
    <row r="645" spans="18:18" ht="15.75" customHeight="1">
      <c r="R645" s="30"/>
    </row>
    <row r="646" spans="18:18" ht="15.75" customHeight="1">
      <c r="R646" s="30"/>
    </row>
    <row r="647" spans="18:18" ht="15.75" customHeight="1">
      <c r="R647" s="30"/>
    </row>
    <row r="648" spans="18:18" ht="15.75" customHeight="1">
      <c r="R648" s="30"/>
    </row>
    <row r="649" spans="18:18" ht="15.75" customHeight="1">
      <c r="R649" s="30"/>
    </row>
    <row r="650" spans="18:18" ht="15.75" customHeight="1">
      <c r="R650" s="30"/>
    </row>
    <row r="651" spans="18:18" ht="15.75" customHeight="1">
      <c r="R651" s="30"/>
    </row>
    <row r="652" spans="18:18" ht="15.75" customHeight="1">
      <c r="R652" s="30"/>
    </row>
    <row r="653" spans="18:18" ht="15.75" customHeight="1">
      <c r="R653" s="30"/>
    </row>
    <row r="654" spans="18:18" ht="15.75" customHeight="1">
      <c r="R654" s="30"/>
    </row>
    <row r="655" spans="18:18" ht="15.75" customHeight="1">
      <c r="R655" s="30"/>
    </row>
    <row r="656" spans="18:18" ht="15.75" customHeight="1">
      <c r="R656" s="30"/>
    </row>
    <row r="657" spans="18:18" ht="15.75" customHeight="1">
      <c r="R657" s="30"/>
    </row>
    <row r="658" spans="18:18" ht="15.75" customHeight="1">
      <c r="R658" s="30"/>
    </row>
    <row r="659" spans="18:18" ht="15.75" customHeight="1">
      <c r="R659" s="30"/>
    </row>
    <row r="660" spans="18:18" ht="15.75" customHeight="1">
      <c r="R660" s="30"/>
    </row>
    <row r="661" spans="18:18" ht="15.75" customHeight="1">
      <c r="R661" s="30"/>
    </row>
    <row r="662" spans="18:18" ht="15.75" customHeight="1">
      <c r="R662" s="30"/>
    </row>
    <row r="663" spans="18:18" ht="15.75" customHeight="1">
      <c r="R663" s="30"/>
    </row>
    <row r="664" spans="18:18" ht="15.75" customHeight="1">
      <c r="R664" s="30"/>
    </row>
    <row r="665" spans="18:18" ht="15.75" customHeight="1">
      <c r="R665" s="30"/>
    </row>
    <row r="666" spans="18:18" ht="15.75" customHeight="1">
      <c r="R666" s="30"/>
    </row>
    <row r="667" spans="18:18" ht="15.75" customHeight="1">
      <c r="R667" s="30"/>
    </row>
    <row r="668" spans="18:18" ht="15.75" customHeight="1">
      <c r="R668" s="30"/>
    </row>
    <row r="669" spans="18:18" ht="15.75" customHeight="1">
      <c r="R669" s="30"/>
    </row>
    <row r="670" spans="18:18" ht="15.75" customHeight="1">
      <c r="R670" s="30"/>
    </row>
    <row r="671" spans="18:18" ht="15.75" customHeight="1">
      <c r="R671" s="30"/>
    </row>
    <row r="672" spans="18:18" ht="15.75" customHeight="1">
      <c r="R672" s="30"/>
    </row>
    <row r="673" spans="18:18" ht="15.75" customHeight="1">
      <c r="R673" s="30"/>
    </row>
    <row r="674" spans="18:18" ht="15.75" customHeight="1">
      <c r="R674" s="30"/>
    </row>
    <row r="675" spans="18:18" ht="15.75" customHeight="1">
      <c r="R675" s="30"/>
    </row>
    <row r="676" spans="18:18" ht="15.75" customHeight="1">
      <c r="R676" s="30"/>
    </row>
    <row r="677" spans="18:18" ht="15.75" customHeight="1">
      <c r="R677" s="30"/>
    </row>
    <row r="678" spans="18:18" ht="15.75" customHeight="1">
      <c r="R678" s="30"/>
    </row>
    <row r="679" spans="18:18" ht="15.75" customHeight="1">
      <c r="R679" s="30"/>
    </row>
    <row r="680" spans="18:18" ht="15.75" customHeight="1">
      <c r="R680" s="30"/>
    </row>
    <row r="681" spans="18:18" ht="15.75" customHeight="1">
      <c r="R681" s="30"/>
    </row>
    <row r="682" spans="18:18" ht="15.75" customHeight="1">
      <c r="R682" s="30"/>
    </row>
    <row r="683" spans="18:18" ht="15.75" customHeight="1">
      <c r="R683" s="30"/>
    </row>
    <row r="684" spans="18:18" ht="15.75" customHeight="1">
      <c r="R684" s="30"/>
    </row>
    <row r="685" spans="18:18" ht="15.75" customHeight="1">
      <c r="R685" s="30"/>
    </row>
    <row r="686" spans="18:18" ht="15.75" customHeight="1">
      <c r="R686" s="30"/>
    </row>
    <row r="687" spans="18:18" ht="15.75" customHeight="1">
      <c r="R687" s="30"/>
    </row>
    <row r="688" spans="18:18" ht="15.75" customHeight="1">
      <c r="R688" s="30"/>
    </row>
    <row r="689" spans="18:18" ht="15.75" customHeight="1">
      <c r="R689" s="30"/>
    </row>
    <row r="690" spans="18:18" ht="15.75" customHeight="1">
      <c r="R690" s="30"/>
    </row>
    <row r="691" spans="18:18" ht="15.75" customHeight="1">
      <c r="R691" s="30"/>
    </row>
    <row r="692" spans="18:18" ht="15.75" customHeight="1">
      <c r="R692" s="30"/>
    </row>
    <row r="693" spans="18:18" ht="15.75" customHeight="1">
      <c r="R693" s="30"/>
    </row>
    <row r="694" spans="18:18" ht="15.75" customHeight="1">
      <c r="R694" s="30"/>
    </row>
    <row r="695" spans="18:18" ht="15.75" customHeight="1">
      <c r="R695" s="30"/>
    </row>
    <row r="696" spans="18:18" ht="15.75" customHeight="1">
      <c r="R696" s="30"/>
    </row>
    <row r="697" spans="18:18" ht="15.75" customHeight="1">
      <c r="R697" s="30"/>
    </row>
    <row r="698" spans="18:18" ht="15.75" customHeight="1">
      <c r="R698" s="30"/>
    </row>
    <row r="699" spans="18:18" ht="15.75" customHeight="1">
      <c r="R699" s="30"/>
    </row>
    <row r="700" spans="18:18" ht="15.75" customHeight="1">
      <c r="R700" s="30"/>
    </row>
    <row r="701" spans="18:18" ht="15.75" customHeight="1">
      <c r="R701" s="30"/>
    </row>
    <row r="702" spans="18:18" ht="15.75" customHeight="1">
      <c r="R702" s="30"/>
    </row>
    <row r="703" spans="18:18" ht="15.75" customHeight="1">
      <c r="R703" s="30"/>
    </row>
    <row r="704" spans="18:18" ht="15.75" customHeight="1">
      <c r="R704" s="30"/>
    </row>
    <row r="705" spans="18:18" ht="15.75" customHeight="1">
      <c r="R705" s="30"/>
    </row>
    <row r="706" spans="18:18" ht="15.75" customHeight="1">
      <c r="R706" s="30"/>
    </row>
    <row r="707" spans="18:18" ht="15.75" customHeight="1">
      <c r="R707" s="30"/>
    </row>
    <row r="708" spans="18:18" ht="15.75" customHeight="1">
      <c r="R708" s="30"/>
    </row>
    <row r="709" spans="18:18" ht="15.75" customHeight="1">
      <c r="R709" s="30"/>
    </row>
    <row r="710" spans="18:18" ht="15.75" customHeight="1">
      <c r="R710" s="30"/>
    </row>
    <row r="711" spans="18:18" ht="15.75" customHeight="1">
      <c r="R711" s="30"/>
    </row>
    <row r="712" spans="18:18" ht="15.75" customHeight="1">
      <c r="R712" s="30"/>
    </row>
    <row r="713" spans="18:18" ht="15.75" customHeight="1">
      <c r="R713" s="30"/>
    </row>
    <row r="714" spans="18:18" ht="15.75" customHeight="1">
      <c r="R714" s="30"/>
    </row>
    <row r="715" spans="18:18" ht="15.75" customHeight="1">
      <c r="R715" s="30"/>
    </row>
    <row r="716" spans="18:18" ht="15.75" customHeight="1">
      <c r="R716" s="30"/>
    </row>
    <row r="717" spans="18:18" ht="15.75" customHeight="1">
      <c r="R717" s="30"/>
    </row>
    <row r="718" spans="18:18" ht="15.75" customHeight="1">
      <c r="R718" s="30"/>
    </row>
    <row r="719" spans="18:18" ht="15.75" customHeight="1">
      <c r="R719" s="30"/>
    </row>
    <row r="720" spans="18:18" ht="15.75" customHeight="1">
      <c r="R720" s="30"/>
    </row>
    <row r="721" spans="18:18" ht="15.75" customHeight="1">
      <c r="R721" s="30"/>
    </row>
    <row r="722" spans="18:18" ht="15.75" customHeight="1">
      <c r="R722" s="30"/>
    </row>
    <row r="723" spans="18:18" ht="15.75" customHeight="1">
      <c r="R723" s="30"/>
    </row>
    <row r="724" spans="18:18" ht="15.75" customHeight="1">
      <c r="R724" s="30"/>
    </row>
    <row r="725" spans="18:18" ht="15.75" customHeight="1">
      <c r="R725" s="30"/>
    </row>
    <row r="726" spans="18:18" ht="15.75" customHeight="1">
      <c r="R726" s="30"/>
    </row>
    <row r="727" spans="18:18" ht="15.75" customHeight="1">
      <c r="R727" s="30"/>
    </row>
    <row r="728" spans="18:18" ht="15.75" customHeight="1">
      <c r="R728" s="30"/>
    </row>
    <row r="729" spans="18:18" ht="15.75" customHeight="1">
      <c r="R729" s="30"/>
    </row>
    <row r="730" spans="18:18" ht="15.75" customHeight="1">
      <c r="R730" s="30"/>
    </row>
    <row r="731" spans="18:18" ht="15.75" customHeight="1">
      <c r="R731" s="30"/>
    </row>
    <row r="732" spans="18:18" ht="15.75" customHeight="1">
      <c r="R732" s="30"/>
    </row>
    <row r="733" spans="18:18" ht="15.75" customHeight="1">
      <c r="R733" s="30"/>
    </row>
    <row r="734" spans="18:18" ht="15.75" customHeight="1">
      <c r="R734" s="30"/>
    </row>
    <row r="735" spans="18:18" ht="15.75" customHeight="1">
      <c r="R735" s="30"/>
    </row>
    <row r="736" spans="18:18" ht="15.75" customHeight="1">
      <c r="R736" s="30"/>
    </row>
    <row r="737" spans="18:18" ht="15.75" customHeight="1">
      <c r="R737" s="30"/>
    </row>
    <row r="738" spans="18:18" ht="15.75" customHeight="1">
      <c r="R738" s="30"/>
    </row>
    <row r="739" spans="18:18" ht="15.75" customHeight="1">
      <c r="R739" s="30"/>
    </row>
    <row r="740" spans="18:18" ht="15.75" customHeight="1">
      <c r="R740" s="30"/>
    </row>
    <row r="741" spans="18:18" ht="15.75" customHeight="1">
      <c r="R741" s="30"/>
    </row>
    <row r="742" spans="18:18" ht="15.75" customHeight="1">
      <c r="R742" s="30"/>
    </row>
    <row r="743" spans="18:18" ht="15.75" customHeight="1">
      <c r="R743" s="30"/>
    </row>
    <row r="744" spans="18:18" ht="15.75" customHeight="1">
      <c r="R744" s="30"/>
    </row>
    <row r="745" spans="18:18" ht="15.75" customHeight="1">
      <c r="R745" s="30"/>
    </row>
    <row r="746" spans="18:18" ht="15.75" customHeight="1">
      <c r="R746" s="30"/>
    </row>
    <row r="747" spans="18:18" ht="15.75" customHeight="1">
      <c r="R747" s="30"/>
    </row>
    <row r="748" spans="18:18" ht="15.75" customHeight="1">
      <c r="R748" s="30"/>
    </row>
    <row r="749" spans="18:18" ht="15.75" customHeight="1">
      <c r="R749" s="30"/>
    </row>
    <row r="750" spans="18:18" ht="15.75" customHeight="1">
      <c r="R750" s="30"/>
    </row>
    <row r="751" spans="18:18" ht="15.75" customHeight="1">
      <c r="R751" s="30"/>
    </row>
    <row r="752" spans="18:18" ht="15.75" customHeight="1">
      <c r="R752" s="30"/>
    </row>
    <row r="753" spans="18:18" ht="15.75" customHeight="1">
      <c r="R753" s="30"/>
    </row>
    <row r="754" spans="18:18" ht="15.75" customHeight="1">
      <c r="R754" s="30"/>
    </row>
    <row r="755" spans="18:18" ht="15.75" customHeight="1">
      <c r="R755" s="30"/>
    </row>
    <row r="756" spans="18:18" ht="15.75" customHeight="1">
      <c r="R756" s="30"/>
    </row>
    <row r="757" spans="18:18" ht="15.75" customHeight="1">
      <c r="R757" s="30"/>
    </row>
    <row r="758" spans="18:18" ht="15.75" customHeight="1">
      <c r="R758" s="30"/>
    </row>
    <row r="759" spans="18:18" ht="15.75" customHeight="1">
      <c r="R759" s="30"/>
    </row>
    <row r="760" spans="18:18" ht="15.75" customHeight="1">
      <c r="R760" s="30"/>
    </row>
    <row r="761" spans="18:18" ht="15.75" customHeight="1">
      <c r="R761" s="30"/>
    </row>
    <row r="762" spans="18:18" ht="15.75" customHeight="1">
      <c r="R762" s="30"/>
    </row>
    <row r="763" spans="18:18" ht="15.75" customHeight="1">
      <c r="R763" s="30"/>
    </row>
    <row r="764" spans="18:18" ht="15.75" customHeight="1">
      <c r="R764" s="30"/>
    </row>
    <row r="765" spans="18:18" ht="15.75" customHeight="1">
      <c r="R765" s="30"/>
    </row>
    <row r="766" spans="18:18" ht="15.75" customHeight="1">
      <c r="R766" s="30"/>
    </row>
    <row r="767" spans="18:18" ht="15.75" customHeight="1">
      <c r="R767" s="30"/>
    </row>
    <row r="768" spans="18:18" ht="15.75" customHeight="1">
      <c r="R768" s="30"/>
    </row>
    <row r="769" spans="18:18" ht="15.75" customHeight="1">
      <c r="R769" s="30"/>
    </row>
    <row r="770" spans="18:18" ht="15.75" customHeight="1">
      <c r="R770" s="30"/>
    </row>
    <row r="771" spans="18:18" ht="15.75" customHeight="1">
      <c r="R771" s="30"/>
    </row>
    <row r="772" spans="18:18" ht="15.75" customHeight="1">
      <c r="R772" s="30"/>
    </row>
    <row r="773" spans="18:18" ht="15.75" customHeight="1">
      <c r="R773" s="30"/>
    </row>
    <row r="774" spans="18:18" ht="15.75" customHeight="1">
      <c r="R774" s="30"/>
    </row>
    <row r="775" spans="18:18" ht="15.75" customHeight="1">
      <c r="R775" s="30"/>
    </row>
    <row r="776" spans="18:18" ht="15.75" customHeight="1">
      <c r="R776" s="30"/>
    </row>
    <row r="777" spans="18:18" ht="15.75" customHeight="1">
      <c r="R777" s="30"/>
    </row>
    <row r="778" spans="18:18" ht="15.75" customHeight="1">
      <c r="R778" s="30"/>
    </row>
    <row r="779" spans="18:18" ht="15.75" customHeight="1">
      <c r="R779" s="30"/>
    </row>
    <row r="780" spans="18:18" ht="15.75" customHeight="1">
      <c r="R780" s="30"/>
    </row>
    <row r="781" spans="18:18" ht="15.75" customHeight="1">
      <c r="R781" s="30"/>
    </row>
    <row r="782" spans="18:18" ht="15.75" customHeight="1">
      <c r="R782" s="30"/>
    </row>
    <row r="783" spans="18:18" ht="15.75" customHeight="1">
      <c r="R783" s="30"/>
    </row>
    <row r="784" spans="18:18" ht="15.75" customHeight="1">
      <c r="R784" s="30"/>
    </row>
    <row r="785" spans="18:18" ht="15.75" customHeight="1">
      <c r="R785" s="30"/>
    </row>
    <row r="786" spans="18:18" ht="15.75" customHeight="1">
      <c r="R786" s="30"/>
    </row>
    <row r="787" spans="18:18" ht="15.75" customHeight="1">
      <c r="R787" s="30"/>
    </row>
    <row r="788" spans="18:18" ht="15.75" customHeight="1">
      <c r="R788" s="30"/>
    </row>
    <row r="789" spans="18:18" ht="15.75" customHeight="1">
      <c r="R789" s="30"/>
    </row>
    <row r="790" spans="18:18" ht="15.75" customHeight="1">
      <c r="R790" s="30"/>
    </row>
    <row r="791" spans="18:18" ht="15.75" customHeight="1">
      <c r="R791" s="30"/>
    </row>
    <row r="792" spans="18:18" ht="15.75" customHeight="1">
      <c r="R792" s="30"/>
    </row>
    <row r="793" spans="18:18" ht="15.75" customHeight="1">
      <c r="R793" s="30"/>
    </row>
    <row r="794" spans="18:18" ht="15.75" customHeight="1">
      <c r="R794" s="30"/>
    </row>
    <row r="795" spans="18:18" ht="15.75" customHeight="1">
      <c r="R795" s="30"/>
    </row>
    <row r="796" spans="18:18" ht="15.75" customHeight="1">
      <c r="R796" s="30"/>
    </row>
    <row r="797" spans="18:18" ht="15.75" customHeight="1">
      <c r="R797" s="30"/>
    </row>
    <row r="798" spans="18:18" ht="15.75" customHeight="1">
      <c r="R798" s="30"/>
    </row>
    <row r="799" spans="18:18" ht="15.75" customHeight="1">
      <c r="R799" s="30"/>
    </row>
    <row r="800" spans="18:18" ht="15.75" customHeight="1">
      <c r="R800" s="30"/>
    </row>
    <row r="801" spans="18:18" ht="15.75" customHeight="1">
      <c r="R801" s="30"/>
    </row>
    <row r="802" spans="18:18" ht="15.75" customHeight="1">
      <c r="R802" s="30"/>
    </row>
    <row r="803" spans="18:18" ht="15.75" customHeight="1">
      <c r="R803" s="30"/>
    </row>
    <row r="804" spans="18:18" ht="15.75" customHeight="1">
      <c r="R804" s="30"/>
    </row>
    <row r="805" spans="18:18" ht="15.75" customHeight="1">
      <c r="R805" s="30"/>
    </row>
    <row r="806" spans="18:18" ht="15.75" customHeight="1">
      <c r="R806" s="30"/>
    </row>
    <row r="807" spans="18:18" ht="15.75" customHeight="1">
      <c r="R807" s="30"/>
    </row>
    <row r="808" spans="18:18" ht="15.75" customHeight="1">
      <c r="R808" s="30"/>
    </row>
    <row r="809" spans="18:18" ht="15.75" customHeight="1">
      <c r="R809" s="30"/>
    </row>
    <row r="810" spans="18:18" ht="15.75" customHeight="1">
      <c r="R810" s="30"/>
    </row>
    <row r="811" spans="18:18" ht="15.75" customHeight="1">
      <c r="R811" s="30"/>
    </row>
    <row r="812" spans="18:18" ht="15.75" customHeight="1">
      <c r="R812" s="30"/>
    </row>
    <row r="813" spans="18:18" ht="15.75" customHeight="1">
      <c r="R813" s="30"/>
    </row>
    <row r="814" spans="18:18" ht="15.75" customHeight="1">
      <c r="R814" s="30"/>
    </row>
    <row r="815" spans="18:18" ht="15.75" customHeight="1">
      <c r="R815" s="30"/>
    </row>
    <row r="816" spans="18:18" ht="15.75" customHeight="1">
      <c r="R816" s="30"/>
    </row>
    <row r="817" spans="18:18" ht="15.75" customHeight="1">
      <c r="R817" s="30"/>
    </row>
    <row r="818" spans="18:18" ht="15.75" customHeight="1">
      <c r="R818" s="30"/>
    </row>
    <row r="819" spans="18:18" ht="15.75" customHeight="1">
      <c r="R819" s="30"/>
    </row>
    <row r="820" spans="18:18" ht="15.75" customHeight="1">
      <c r="R820" s="30"/>
    </row>
    <row r="821" spans="18:18" ht="15.75" customHeight="1">
      <c r="R821" s="30"/>
    </row>
    <row r="822" spans="18:18" ht="15.75" customHeight="1">
      <c r="R822" s="30"/>
    </row>
    <row r="823" spans="18:18" ht="15.75" customHeight="1">
      <c r="R823" s="30"/>
    </row>
    <row r="824" spans="18:18" ht="15.75" customHeight="1">
      <c r="R824" s="30"/>
    </row>
    <row r="825" spans="18:18" ht="15.75" customHeight="1">
      <c r="R825" s="30"/>
    </row>
    <row r="826" spans="18:18" ht="15.75" customHeight="1">
      <c r="R826" s="30"/>
    </row>
    <row r="827" spans="18:18" ht="15.75" customHeight="1">
      <c r="R827" s="30"/>
    </row>
    <row r="828" spans="18:18" ht="15.75" customHeight="1">
      <c r="R828" s="30"/>
    </row>
    <row r="829" spans="18:18" ht="15.75" customHeight="1">
      <c r="R829" s="30"/>
    </row>
    <row r="830" spans="18:18" ht="15.75" customHeight="1">
      <c r="R830" s="30"/>
    </row>
    <row r="831" spans="18:18" ht="15.75" customHeight="1">
      <c r="R831" s="30"/>
    </row>
    <row r="832" spans="18:18" ht="15.75" customHeight="1">
      <c r="R832" s="30"/>
    </row>
    <row r="833" spans="18:18" ht="15.75" customHeight="1">
      <c r="R833" s="30"/>
    </row>
    <row r="834" spans="18:18" ht="15.75" customHeight="1">
      <c r="R834" s="30"/>
    </row>
    <row r="835" spans="18:18" ht="15.75" customHeight="1">
      <c r="R835" s="30"/>
    </row>
    <row r="836" spans="18:18" ht="15.75" customHeight="1">
      <c r="R836" s="30"/>
    </row>
    <row r="837" spans="18:18" ht="15.75" customHeight="1">
      <c r="R837" s="30"/>
    </row>
    <row r="838" spans="18:18" ht="15.75" customHeight="1">
      <c r="R838" s="30"/>
    </row>
    <row r="839" spans="18:18" ht="15.75" customHeight="1">
      <c r="R839" s="30"/>
    </row>
    <row r="840" spans="18:18" ht="15.75" customHeight="1">
      <c r="R840" s="30"/>
    </row>
    <row r="841" spans="18:18" ht="15.75" customHeight="1">
      <c r="R841" s="30"/>
    </row>
    <row r="842" spans="18:18" ht="15.75" customHeight="1">
      <c r="R842" s="30"/>
    </row>
    <row r="843" spans="18:18" ht="15.75" customHeight="1">
      <c r="R843" s="30"/>
    </row>
    <row r="844" spans="18:18" ht="15.75" customHeight="1">
      <c r="R844" s="30"/>
    </row>
    <row r="845" spans="18:18" ht="15.75" customHeight="1">
      <c r="R845" s="30"/>
    </row>
    <row r="846" spans="18:18" ht="15.75" customHeight="1">
      <c r="R846" s="30"/>
    </row>
    <row r="847" spans="18:18" ht="15.75" customHeight="1">
      <c r="R847" s="30"/>
    </row>
    <row r="848" spans="18:18" ht="15.75" customHeight="1">
      <c r="R848" s="30"/>
    </row>
    <row r="849" spans="18:18" ht="15.75" customHeight="1">
      <c r="R849" s="30"/>
    </row>
    <row r="850" spans="18:18" ht="15.75" customHeight="1">
      <c r="R850" s="30"/>
    </row>
    <row r="851" spans="18:18" ht="15.75" customHeight="1">
      <c r="R851" s="30"/>
    </row>
    <row r="852" spans="18:18" ht="15.75" customHeight="1">
      <c r="R852" s="30"/>
    </row>
    <row r="853" spans="18:18" ht="15.75" customHeight="1">
      <c r="R853" s="30"/>
    </row>
    <row r="854" spans="18:18" ht="15.75" customHeight="1">
      <c r="R854" s="30"/>
    </row>
    <row r="855" spans="18:18" ht="15.75" customHeight="1">
      <c r="R855" s="30"/>
    </row>
    <row r="856" spans="18:18" ht="15.75" customHeight="1">
      <c r="R856" s="30"/>
    </row>
    <row r="857" spans="18:18" ht="15.75" customHeight="1">
      <c r="R857" s="30"/>
    </row>
    <row r="858" spans="18:18" ht="15.75" customHeight="1">
      <c r="R858" s="30"/>
    </row>
    <row r="859" spans="18:18" ht="15.75" customHeight="1">
      <c r="R859" s="30"/>
    </row>
    <row r="860" spans="18:18" ht="15.75" customHeight="1">
      <c r="R860" s="30"/>
    </row>
    <row r="861" spans="18:18" ht="15.75" customHeight="1">
      <c r="R861" s="30"/>
    </row>
    <row r="862" spans="18:18" ht="15.75" customHeight="1">
      <c r="R862" s="30"/>
    </row>
    <row r="863" spans="18:18" ht="15.75" customHeight="1">
      <c r="R863" s="30"/>
    </row>
    <row r="864" spans="18:18" ht="15.75" customHeight="1">
      <c r="R864" s="30"/>
    </row>
    <row r="865" spans="18:18" ht="15.75" customHeight="1">
      <c r="R865" s="30"/>
    </row>
    <row r="866" spans="18:18" ht="15.75" customHeight="1">
      <c r="R866" s="30"/>
    </row>
    <row r="867" spans="18:18" ht="15.75" customHeight="1">
      <c r="R867" s="30"/>
    </row>
    <row r="868" spans="18:18" ht="15.75" customHeight="1">
      <c r="R868" s="30"/>
    </row>
    <row r="869" spans="18:18" ht="15.75" customHeight="1">
      <c r="R869" s="30"/>
    </row>
    <row r="870" spans="18:18" ht="15.75" customHeight="1">
      <c r="R870" s="30"/>
    </row>
    <row r="871" spans="18:18" ht="15.75" customHeight="1">
      <c r="R871" s="30"/>
    </row>
    <row r="872" spans="18:18" ht="15.75" customHeight="1">
      <c r="R872" s="30"/>
    </row>
    <row r="873" spans="18:18" ht="15.75" customHeight="1">
      <c r="R873" s="30"/>
    </row>
    <row r="874" spans="18:18" ht="15.75" customHeight="1">
      <c r="R874" s="30"/>
    </row>
    <row r="875" spans="18:18" ht="15.75" customHeight="1">
      <c r="R875" s="30"/>
    </row>
    <row r="876" spans="18:18" ht="15.75" customHeight="1">
      <c r="R876" s="30"/>
    </row>
    <row r="877" spans="18:18" ht="15.75" customHeight="1">
      <c r="R877" s="30"/>
    </row>
    <row r="878" spans="18:18" ht="15.75" customHeight="1">
      <c r="R878" s="30"/>
    </row>
    <row r="879" spans="18:18" ht="15.75" customHeight="1">
      <c r="R879" s="30"/>
    </row>
    <row r="880" spans="18:18" ht="15.75" customHeight="1">
      <c r="R880" s="30"/>
    </row>
    <row r="881" spans="18:18" ht="15.75" customHeight="1">
      <c r="R881" s="30"/>
    </row>
    <row r="882" spans="18:18" ht="15.75" customHeight="1">
      <c r="R882" s="30"/>
    </row>
    <row r="883" spans="18:18" ht="15.75" customHeight="1">
      <c r="R883" s="30"/>
    </row>
    <row r="884" spans="18:18" ht="15.75" customHeight="1">
      <c r="R884" s="30"/>
    </row>
    <row r="885" spans="18:18" ht="15.75" customHeight="1">
      <c r="R885" s="30"/>
    </row>
    <row r="886" spans="18:18" ht="15.75" customHeight="1">
      <c r="R886" s="30"/>
    </row>
    <row r="887" spans="18:18" ht="15.75" customHeight="1">
      <c r="R887" s="30"/>
    </row>
    <row r="888" spans="18:18" ht="15.75" customHeight="1">
      <c r="R888" s="30"/>
    </row>
    <row r="889" spans="18:18" ht="15.75" customHeight="1">
      <c r="R889" s="30"/>
    </row>
    <row r="890" spans="18:18" ht="15.75" customHeight="1">
      <c r="R890" s="30"/>
    </row>
    <row r="891" spans="18:18" ht="15.75" customHeight="1">
      <c r="R891" s="30"/>
    </row>
    <row r="892" spans="18:18" ht="15.75" customHeight="1">
      <c r="R892" s="30"/>
    </row>
    <row r="893" spans="18:18" ht="15.75" customHeight="1">
      <c r="R893" s="30"/>
    </row>
    <row r="894" spans="18:18" ht="15.75" customHeight="1">
      <c r="R894" s="30"/>
    </row>
    <row r="895" spans="18:18" ht="15.75" customHeight="1">
      <c r="R895" s="30"/>
    </row>
    <row r="896" spans="18:18" ht="15.75" customHeight="1">
      <c r="R896" s="30"/>
    </row>
    <row r="897" spans="18:18" ht="15.75" customHeight="1">
      <c r="R897" s="30"/>
    </row>
    <row r="898" spans="18:18" ht="15.75" customHeight="1">
      <c r="R898" s="30"/>
    </row>
    <row r="899" spans="18:18" ht="15.75" customHeight="1">
      <c r="R899" s="30"/>
    </row>
    <row r="900" spans="18:18" ht="15.75" customHeight="1">
      <c r="R900" s="30"/>
    </row>
    <row r="901" spans="18:18" ht="15.75" customHeight="1">
      <c r="R901" s="30"/>
    </row>
    <row r="902" spans="18:18" ht="15.75" customHeight="1">
      <c r="R902" s="30"/>
    </row>
    <row r="903" spans="18:18" ht="15.75" customHeight="1">
      <c r="R903" s="30"/>
    </row>
    <row r="904" spans="18:18" ht="15.75" customHeight="1">
      <c r="R904" s="30"/>
    </row>
    <row r="905" spans="18:18" ht="15.75" customHeight="1">
      <c r="R905" s="30"/>
    </row>
    <row r="906" spans="18:18" ht="15.75" customHeight="1">
      <c r="R906" s="30"/>
    </row>
    <row r="907" spans="18:18" ht="15.75" customHeight="1">
      <c r="R907" s="30"/>
    </row>
    <row r="908" spans="18:18" ht="15.75" customHeight="1">
      <c r="R908" s="30"/>
    </row>
    <row r="909" spans="18:18" ht="15.75" customHeight="1">
      <c r="R909" s="30"/>
    </row>
    <row r="910" spans="18:18" ht="15.75" customHeight="1">
      <c r="R910" s="30"/>
    </row>
    <row r="911" spans="18:18" ht="15.75" customHeight="1">
      <c r="R911" s="30"/>
    </row>
    <row r="912" spans="18:18" ht="15.75" customHeight="1">
      <c r="R912" s="30"/>
    </row>
    <row r="913" spans="18:18" ht="15.75" customHeight="1">
      <c r="R913" s="30"/>
    </row>
    <row r="914" spans="18:18" ht="15.75" customHeight="1">
      <c r="R914" s="30"/>
    </row>
    <row r="915" spans="18:18" ht="15.75" customHeight="1">
      <c r="R915" s="30"/>
    </row>
    <row r="916" spans="18:18" ht="15.75" customHeight="1">
      <c r="R916" s="30"/>
    </row>
    <row r="917" spans="18:18" ht="15.75" customHeight="1">
      <c r="R917" s="30"/>
    </row>
    <row r="918" spans="18:18" ht="15.75" customHeight="1">
      <c r="R918" s="30"/>
    </row>
    <row r="919" spans="18:18" ht="15.75" customHeight="1">
      <c r="R919" s="30"/>
    </row>
    <row r="920" spans="18:18" ht="15.75" customHeight="1">
      <c r="R920" s="30"/>
    </row>
    <row r="921" spans="18:18" ht="15.75" customHeight="1">
      <c r="R921" s="30"/>
    </row>
    <row r="922" spans="18:18" ht="15.75" customHeight="1">
      <c r="R922" s="30"/>
    </row>
    <row r="923" spans="18:18" ht="15.75" customHeight="1">
      <c r="R923" s="30"/>
    </row>
    <row r="924" spans="18:18" ht="15.75" customHeight="1">
      <c r="R924" s="30"/>
    </row>
    <row r="925" spans="18:18" ht="15.75" customHeight="1">
      <c r="R925" s="30"/>
    </row>
    <row r="926" spans="18:18" ht="15.75" customHeight="1">
      <c r="R926" s="30"/>
    </row>
    <row r="927" spans="18:18" ht="15.75" customHeight="1">
      <c r="R927" s="30"/>
    </row>
    <row r="928" spans="18:18" ht="15.75" customHeight="1">
      <c r="R928" s="30"/>
    </row>
    <row r="929" spans="18:18" ht="15.75" customHeight="1">
      <c r="R929" s="30"/>
    </row>
    <row r="930" spans="18:18" ht="15.75" customHeight="1">
      <c r="R930" s="30"/>
    </row>
    <row r="931" spans="18:18" ht="15.75" customHeight="1">
      <c r="R931" s="30"/>
    </row>
    <row r="932" spans="18:18" ht="15.75" customHeight="1">
      <c r="R932" s="30"/>
    </row>
    <row r="933" spans="18:18" ht="15.75" customHeight="1">
      <c r="R933" s="30"/>
    </row>
    <row r="934" spans="18:18" ht="15.75" customHeight="1">
      <c r="R934" s="30"/>
    </row>
    <row r="935" spans="18:18" ht="15.75" customHeight="1">
      <c r="R935" s="30"/>
    </row>
    <row r="936" spans="18:18" ht="15.75" customHeight="1">
      <c r="R936" s="30"/>
    </row>
    <row r="937" spans="18:18" ht="15.75" customHeight="1">
      <c r="R937" s="30"/>
    </row>
    <row r="938" spans="18:18" ht="15.75" customHeight="1">
      <c r="R938" s="30"/>
    </row>
    <row r="939" spans="18:18" ht="15.75" customHeight="1">
      <c r="R939" s="30"/>
    </row>
    <row r="940" spans="18:18" ht="15.75" customHeight="1">
      <c r="R940" s="30"/>
    </row>
    <row r="941" spans="18:18" ht="15.75" customHeight="1">
      <c r="R941" s="30"/>
    </row>
    <row r="942" spans="18:18" ht="15.75" customHeight="1">
      <c r="R942" s="30"/>
    </row>
    <row r="943" spans="18:18" ht="15.75" customHeight="1">
      <c r="R943" s="30"/>
    </row>
    <row r="944" spans="18:18" ht="15.75" customHeight="1">
      <c r="R944" s="30"/>
    </row>
    <row r="945" spans="18:18" ht="15.75" customHeight="1">
      <c r="R945" s="30"/>
    </row>
    <row r="946" spans="18:18" ht="15.75" customHeight="1">
      <c r="R946" s="30"/>
    </row>
    <row r="947" spans="18:18" ht="15.75" customHeight="1">
      <c r="R947" s="30"/>
    </row>
    <row r="948" spans="18:18" ht="15.75" customHeight="1">
      <c r="R948" s="30"/>
    </row>
    <row r="949" spans="18:18" ht="15.75" customHeight="1">
      <c r="R949" s="30"/>
    </row>
    <row r="950" spans="18:18" ht="15.75" customHeight="1">
      <c r="R950" s="30"/>
    </row>
    <row r="951" spans="18:18" ht="15.75" customHeight="1">
      <c r="R951" s="30"/>
    </row>
    <row r="952" spans="18:18" ht="15.75" customHeight="1">
      <c r="R952" s="30"/>
    </row>
    <row r="953" spans="18:18" ht="15.75" customHeight="1">
      <c r="R953" s="30"/>
    </row>
    <row r="954" spans="18:18" ht="15.75" customHeight="1">
      <c r="R954" s="30"/>
    </row>
    <row r="955" spans="18:18" ht="15.75" customHeight="1">
      <c r="R955" s="30"/>
    </row>
    <row r="956" spans="18:18" ht="15.75" customHeight="1">
      <c r="R956" s="30"/>
    </row>
    <row r="957" spans="18:18" ht="15.75" customHeight="1">
      <c r="R957" s="30"/>
    </row>
    <row r="958" spans="18:18" ht="15.75" customHeight="1">
      <c r="R958" s="30"/>
    </row>
    <row r="959" spans="18:18" ht="15.75" customHeight="1">
      <c r="R959" s="30"/>
    </row>
    <row r="960" spans="18:18" ht="15.75" customHeight="1">
      <c r="R960" s="30"/>
    </row>
    <row r="961" spans="18:18" ht="15.75" customHeight="1">
      <c r="R961" s="30"/>
    </row>
    <row r="962" spans="18:18" ht="15.75" customHeight="1">
      <c r="R962" s="30"/>
    </row>
    <row r="963" spans="18:18" ht="15.75" customHeight="1">
      <c r="R963" s="30"/>
    </row>
    <row r="964" spans="18:18" ht="15.75" customHeight="1">
      <c r="R964" s="30"/>
    </row>
    <row r="965" spans="18:18" ht="15.75" customHeight="1">
      <c r="R965" s="30"/>
    </row>
    <row r="966" spans="18:18" ht="15.75" customHeight="1">
      <c r="R966" s="30"/>
    </row>
    <row r="967" spans="18:18" ht="15.75" customHeight="1">
      <c r="R967" s="30"/>
    </row>
    <row r="968" spans="18:18" ht="15.75" customHeight="1">
      <c r="R968" s="30"/>
    </row>
    <row r="969" spans="18:18" ht="15.75" customHeight="1">
      <c r="R969" s="30"/>
    </row>
    <row r="970" spans="18:18" ht="15.75" customHeight="1">
      <c r="R970" s="30"/>
    </row>
    <row r="971" spans="18:18" ht="15.75" customHeight="1">
      <c r="R971" s="30"/>
    </row>
    <row r="972" spans="18:18" ht="15.75" customHeight="1">
      <c r="R972" s="30"/>
    </row>
    <row r="973" spans="18:18" ht="15.75" customHeight="1">
      <c r="R973" s="30"/>
    </row>
    <row r="974" spans="18:18" ht="15.75" customHeight="1">
      <c r="R974" s="30"/>
    </row>
    <row r="975" spans="18:18" ht="15.75" customHeight="1">
      <c r="R975" s="30"/>
    </row>
    <row r="976" spans="18:18" ht="15.75" customHeight="1">
      <c r="R976" s="30"/>
    </row>
    <row r="977" spans="18:18" ht="15.75" customHeight="1">
      <c r="R977" s="30"/>
    </row>
    <row r="978" spans="18:18" ht="15.75" customHeight="1">
      <c r="R978" s="30"/>
    </row>
    <row r="979" spans="18:18" ht="15.75" customHeight="1">
      <c r="R979" s="30"/>
    </row>
    <row r="980" spans="18:18" ht="15.75" customHeight="1">
      <c r="R980" s="30"/>
    </row>
    <row r="981" spans="18:18" ht="15.75" customHeight="1">
      <c r="R981" s="30"/>
    </row>
    <row r="982" spans="18:18" ht="15.75" customHeight="1">
      <c r="R982" s="30"/>
    </row>
    <row r="983" spans="18:18" ht="15.75" customHeight="1">
      <c r="R983" s="30"/>
    </row>
    <row r="984" spans="18:18" ht="15.75" customHeight="1">
      <c r="R984" s="30"/>
    </row>
    <row r="985" spans="18:18" ht="15.75" customHeight="1">
      <c r="R985" s="30"/>
    </row>
    <row r="986" spans="18:18" ht="15.75" customHeight="1">
      <c r="R986" s="30"/>
    </row>
    <row r="987" spans="18:18" ht="15.75" customHeight="1">
      <c r="R987" s="30"/>
    </row>
    <row r="988" spans="18:18" ht="15.75" customHeight="1">
      <c r="R988" s="30"/>
    </row>
    <row r="989" spans="18:18" ht="15.75" customHeight="1">
      <c r="R989" s="30"/>
    </row>
    <row r="990" spans="18:18" ht="15.75" customHeight="1">
      <c r="R990" s="30"/>
    </row>
    <row r="991" spans="18:18" ht="15.75" customHeight="1">
      <c r="R991" s="30"/>
    </row>
    <row r="992" spans="18:18" ht="15.75" customHeight="1">
      <c r="R992" s="30"/>
    </row>
    <row r="993" spans="18:18" ht="15.75" customHeight="1">
      <c r="R993" s="30"/>
    </row>
    <row r="994" spans="18:18" ht="15.75" customHeight="1">
      <c r="R994" s="30"/>
    </row>
    <row r="995" spans="18:18" ht="15.75" customHeight="1">
      <c r="R995" s="30"/>
    </row>
    <row r="996" spans="18:18" ht="15.75" customHeight="1">
      <c r="R996" s="30"/>
    </row>
    <row r="997" spans="18:18" ht="15.75" customHeight="1">
      <c r="R997" s="30"/>
    </row>
    <row r="998" spans="18:18" ht="15.75" customHeight="1">
      <c r="R998" s="30"/>
    </row>
    <row r="999" spans="18:18" ht="15.75" customHeight="1">
      <c r="R999" s="30"/>
    </row>
    <row r="1000" spans="18:18" ht="15.75" customHeight="1">
      <c r="R1000" s="3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2.6640625" defaultRowHeight="15" customHeight="1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8.6640625" customWidth="1"/>
    <col min="6" max="6" width="10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17.6640625" customWidth="1"/>
    <col min="16" max="16" width="10" customWidth="1"/>
    <col min="17" max="18" width="7.33203125" customWidth="1"/>
    <col min="19" max="19" width="7.1640625" customWidth="1"/>
    <col min="20" max="20" width="11.1640625" customWidth="1"/>
    <col min="21" max="21" width="13.5" customWidth="1"/>
    <col min="22" max="22" width="48.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6640625" customWidth="1"/>
    <col min="32" max="32" width="10.1640625" customWidth="1"/>
    <col min="33" max="33" width="8.83203125" customWidth="1"/>
  </cols>
  <sheetData>
    <row r="1" spans="1:33" ht="18.75" customHeight="1">
      <c r="A1" s="46" t="str">
        <f ca="1">IFERROR(__xludf.DUMMYFUNCTION("IFERROR(VLOOKUP(B2,IMPORTRANGE(""https://docs.google.com/spreadsheets/d/1x0DhHglkXKoEBOD2MBsuK_EyIr1ouxD2ftIpqOYFa-k/edit?usp=sharing"",""Ubiquitty-SKU-Specific Info!B1:BJ5000""),3,FALSE),"""")"),"3 Foot Lighted Outdoor GFCI Extension Cord - 12/3 SJTW Heavy Duty Yellow Pigtail Extension Cable with 3 Prong Grounded Plug for Safety")</f>
        <v>3 Foot Lighted Outdoor GFCI Extension Cord - 12/3 SJTW Heavy Duty Yellow Pigtail Extension Cable with 3 Prong Grounded Plug for Safety</v>
      </c>
      <c r="B1" s="47"/>
      <c r="C1" s="48" t="s">
        <v>0</v>
      </c>
      <c r="D1" s="50" t="s">
        <v>1</v>
      </c>
      <c r="E1" s="50" t="s">
        <v>2</v>
      </c>
      <c r="F1" s="52" t="s">
        <v>3</v>
      </c>
      <c r="G1" s="52" t="s">
        <v>4</v>
      </c>
      <c r="H1" s="53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58" t="s">
        <v>10</v>
      </c>
      <c r="N1" s="59" t="s">
        <v>11</v>
      </c>
      <c r="O1" s="50" t="s">
        <v>12</v>
      </c>
      <c r="P1" s="50" t="s">
        <v>13</v>
      </c>
      <c r="Q1" s="57" t="s">
        <v>14</v>
      </c>
      <c r="R1" s="57" t="s">
        <v>15</v>
      </c>
      <c r="S1" s="60" t="s">
        <v>16</v>
      </c>
      <c r="T1" s="62" t="s">
        <v>2006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Info!B1:BJ5000""),2,FALSE),"""")"),"B0868W5GQB")</f>
        <v>B0868W5GQB</v>
      </c>
      <c r="B2" s="3" t="s">
        <v>1607</v>
      </c>
      <c r="C2" s="49"/>
      <c r="D2" s="49"/>
      <c r="E2" s="51"/>
      <c r="F2" s="49"/>
      <c r="G2" s="49"/>
      <c r="H2" s="54"/>
      <c r="I2" s="49"/>
      <c r="J2" s="49"/>
      <c r="K2" s="54"/>
      <c r="L2" s="54"/>
      <c r="M2" s="54"/>
      <c r="N2" s="49"/>
      <c r="O2" s="49"/>
      <c r="P2" s="51"/>
      <c r="Q2" s="49"/>
      <c r="R2" s="49"/>
      <c r="S2" s="61"/>
      <c r="T2" s="47"/>
      <c r="U2" s="63"/>
      <c r="V2" s="63"/>
      <c r="W2" s="47"/>
      <c r="X2" s="47"/>
      <c r="Y2" s="47"/>
      <c r="Z2" s="47"/>
      <c r="AA2" s="63"/>
      <c r="AB2" s="63"/>
      <c r="AC2" s="63"/>
      <c r="AD2" s="63"/>
      <c r="AE2" s="47"/>
      <c r="AF2" s="47"/>
      <c r="AG2" s="47"/>
    </row>
    <row r="3" spans="1:33" ht="147" customHeight="1">
      <c r="A3" s="55" t="s">
        <v>31</v>
      </c>
      <c r="B3" s="56"/>
      <c r="C3" s="4">
        <f>((AE32+AF32)/0.85)*-1</f>
        <v>20.041244835294119</v>
      </c>
      <c r="D3" s="5">
        <f>SUM(D4:D99765)</f>
        <v>495</v>
      </c>
      <c r="E3" s="5"/>
      <c r="F3" s="6">
        <f t="shared" ref="F3:G3" si="0">SUM(F4:F99765)</f>
        <v>12277.45</v>
      </c>
      <c r="G3" s="6">
        <f t="shared" si="0"/>
        <v>-38.029999999999987</v>
      </c>
      <c r="H3" s="7">
        <f t="shared" ref="H3:H32" si="1">G3/F3*-1</f>
        <v>3.0975487580890155E-3</v>
      </c>
      <c r="I3" s="8">
        <f t="shared" ref="I3:I32" si="2">J3/F3</f>
        <v>0.2131082877635519</v>
      </c>
      <c r="J3" s="6">
        <f>SUM(J4:J99765)</f>
        <v>2616.4263476026204</v>
      </c>
      <c r="K3" s="6">
        <f t="shared" ref="K3:K32" si="3">J3/D3</f>
        <v>5.2857097931366068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Sheet!a1:g5000""),2,FALSE),"""")"),"4.5 - March
4.5 - April
4.5 - May
4.5 - June
4.5 - July
4.5 - Aug
4.5 - Sept
4 - Oct
4 - Nov
4 - Dec
4 - Jan
4.5 - Feb")</f>
        <v>4.5 - March
4.5 - April
4.5 - May
4.5 - June
4.5 - July
4.5 - Aug
4.5 - Sept
4 - Oct
4 - Nov
4 - Dec
4 - Jan
4.5 -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QTY-0")</f>
        <v>US QTY-0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15</v>
      </c>
      <c r="X3" s="7">
        <f>W3/D3</f>
        <v>3.0303030303030304E-2</v>
      </c>
      <c r="Y3" s="6"/>
      <c r="Z3" s="5"/>
      <c r="AA3" s="5"/>
      <c r="AB3" s="5"/>
      <c r="AC3" s="5"/>
      <c r="AD3" s="6">
        <f>SUM(AD4:AD99765)</f>
        <v>-12.221283593750002</v>
      </c>
      <c r="AE3" s="6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Info!B2:BZ3000""),37,FALSE)),"""")*-1"),-12.13505811)</f>
        <v>-12.135058109999999</v>
      </c>
      <c r="AG3" s="6">
        <f>SUM(AG4:AG99765)</f>
        <v>0</v>
      </c>
    </row>
    <row r="4" spans="1:33" ht="15.75" customHeight="1">
      <c r="A4" s="14" t="s">
        <v>181</v>
      </c>
      <c r="B4" s="14" t="s">
        <v>343</v>
      </c>
      <c r="C4" s="15">
        <f t="shared" ref="C4:C32" si="4">IFERROR(F4/D4," - ")</f>
        <v>29.94</v>
      </c>
      <c r="D4" s="16">
        <v>2</v>
      </c>
      <c r="E4" s="16">
        <v>0</v>
      </c>
      <c r="F4" s="17">
        <v>59.88</v>
      </c>
      <c r="G4" s="17">
        <v>0</v>
      </c>
      <c r="H4" s="18">
        <f t="shared" si="1"/>
        <v>0</v>
      </c>
      <c r="I4" s="18">
        <f t="shared" si="2"/>
        <v>0.36854744616547913</v>
      </c>
      <c r="J4" s="17">
        <f t="shared" ref="J4:J32" si="5">F4*0.85+G4+AF4*D4+D4*AE4+AG4+AD4</f>
        <v>22.06862107638889</v>
      </c>
      <c r="K4" s="17">
        <f t="shared" si="3"/>
        <v>11.034310538194445</v>
      </c>
      <c r="L4" s="16">
        <v>86</v>
      </c>
      <c r="M4" s="19">
        <f t="shared" ref="M4:M32" si="6">IFERROR(D4/L4,"-")</f>
        <v>2.3255813953488372E-2</v>
      </c>
      <c r="N4" s="16">
        <v>2</v>
      </c>
      <c r="O4" s="20">
        <f t="shared" ref="O4:P4" si="7">D4/7</f>
        <v>0.2857142857142857</v>
      </c>
      <c r="P4" s="20">
        <f t="shared" si="7"/>
        <v>0</v>
      </c>
      <c r="Q4" s="16">
        <f t="shared" ref="Q4:Q32" si="8">ROUNDDOWN(N4/(O4+P4),0)</f>
        <v>7</v>
      </c>
      <c r="R4" s="16"/>
      <c r="S4" s="21">
        <v>1.94567901234567</v>
      </c>
      <c r="T4" s="14">
        <v>600</v>
      </c>
      <c r="U4" s="22">
        <v>140</v>
      </c>
      <c r="V4" s="23" t="s">
        <v>1608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26" t="s">
        <v>35</v>
      </c>
      <c r="AB4" s="27">
        <f t="shared" ref="AB4:AB32" si="11">IF(OR(AA4="UsLargeStandardSize",AA4="UsSmallStandardSize"),-0.69,-0.48)</f>
        <v>-0.69</v>
      </c>
      <c r="AC4" s="28">
        <v>1.7890914351851851E-2</v>
      </c>
      <c r="AD4" s="25">
        <f t="shared" ref="AD4:AD32" si="12">IFERROR(AB4*AC4*D4*2,0)</f>
        <v>-4.9378923611111104E-2</v>
      </c>
      <c r="AE4" s="25">
        <v>-4.9000000000000004</v>
      </c>
      <c r="AF4" s="25">
        <v>-9.49</v>
      </c>
      <c r="AG4" s="25">
        <v>0</v>
      </c>
    </row>
    <row r="5" spans="1:33" ht="15.75" customHeight="1">
      <c r="A5" s="14" t="s">
        <v>183</v>
      </c>
      <c r="B5" s="14"/>
      <c r="C5" s="15" t="str">
        <f t="shared" si="4"/>
        <v xml:space="preserve"> - </v>
      </c>
      <c r="D5" s="16">
        <v>0</v>
      </c>
      <c r="E5" s="16">
        <v>0</v>
      </c>
      <c r="F5" s="29">
        <v>0</v>
      </c>
      <c r="G5" s="29">
        <v>0</v>
      </c>
      <c r="H5" s="18" t="e">
        <f t="shared" si="1"/>
        <v>#DIV/0!</v>
      </c>
      <c r="I5" s="18" t="e">
        <f t="shared" si="2"/>
        <v>#DIV/0!</v>
      </c>
      <c r="J5" s="17">
        <f t="shared" si="5"/>
        <v>0</v>
      </c>
      <c r="K5" s="17" t="e">
        <f t="shared" si="3"/>
        <v>#DIV/0!</v>
      </c>
      <c r="L5" s="16">
        <v>0</v>
      </c>
      <c r="M5" s="19" t="str">
        <f t="shared" si="6"/>
        <v>-</v>
      </c>
      <c r="N5" s="16">
        <v>0</v>
      </c>
      <c r="O5" s="20">
        <f t="shared" ref="O5:P5" si="13">D5/7</f>
        <v>0</v>
      </c>
      <c r="P5" s="20">
        <f t="shared" si="13"/>
        <v>0</v>
      </c>
      <c r="Q5" s="16" t="e">
        <f t="shared" si="8"/>
        <v>#DIV/0!</v>
      </c>
      <c r="R5" s="16"/>
      <c r="S5" s="21">
        <v>2.1420118343195198</v>
      </c>
      <c r="T5" s="14">
        <v>600</v>
      </c>
      <c r="U5" s="22">
        <v>140</v>
      </c>
      <c r="V5" s="23" t="s">
        <v>1609</v>
      </c>
      <c r="W5" s="14">
        <v>0</v>
      </c>
      <c r="X5" s="24">
        <f t="shared" si="9"/>
        <v>0</v>
      </c>
      <c r="Y5" s="25">
        <f t="shared" si="10"/>
        <v>0</v>
      </c>
      <c r="Z5" s="14">
        <v>0</v>
      </c>
      <c r="AA5" s="14" t="e">
        <v>#N/A</v>
      </c>
      <c r="AB5" s="27" t="e">
        <f t="shared" si="11"/>
        <v>#N/A</v>
      </c>
      <c r="AC5" s="28" t="e">
        <v>#N/A</v>
      </c>
      <c r="AD5" s="25">
        <f t="shared" si="12"/>
        <v>0</v>
      </c>
      <c r="AE5" s="25">
        <v>0</v>
      </c>
      <c r="AF5" s="25">
        <v>-9.49</v>
      </c>
      <c r="AG5" s="25">
        <v>0</v>
      </c>
    </row>
    <row r="6" spans="1:33" ht="15.75" customHeight="1">
      <c r="A6" s="14" t="s">
        <v>185</v>
      </c>
      <c r="B6" s="14"/>
      <c r="C6" s="15" t="str">
        <f t="shared" si="4"/>
        <v xml:space="preserve"> - </v>
      </c>
      <c r="D6" s="16">
        <v>0</v>
      </c>
      <c r="E6" s="16">
        <v>0</v>
      </c>
      <c r="F6" s="29">
        <v>0</v>
      </c>
      <c r="G6" s="29">
        <v>0</v>
      </c>
      <c r="H6" s="18" t="e">
        <f t="shared" si="1"/>
        <v>#DIV/0!</v>
      </c>
      <c r="I6" s="18" t="e">
        <f t="shared" si="2"/>
        <v>#DIV/0!</v>
      </c>
      <c r="J6" s="17">
        <f t="shared" si="5"/>
        <v>0</v>
      </c>
      <c r="K6" s="17" t="e">
        <f t="shared" si="3"/>
        <v>#DIV/0!</v>
      </c>
      <c r="L6" s="16">
        <v>0</v>
      </c>
      <c r="M6" s="19" t="str">
        <f t="shared" si="6"/>
        <v>-</v>
      </c>
      <c r="N6" s="16">
        <v>0</v>
      </c>
      <c r="O6" s="20">
        <f t="shared" ref="O6:P6" si="14">D6/7</f>
        <v>0</v>
      </c>
      <c r="P6" s="20">
        <f t="shared" si="14"/>
        <v>0</v>
      </c>
      <c r="Q6" s="16" t="e">
        <f t="shared" si="8"/>
        <v>#DIV/0!</v>
      </c>
      <c r="R6" s="16"/>
      <c r="S6" s="21" t="e">
        <v>#N/A</v>
      </c>
      <c r="T6" s="14">
        <v>600</v>
      </c>
      <c r="U6" s="22">
        <v>140</v>
      </c>
      <c r="V6" s="23" t="s">
        <v>1610</v>
      </c>
      <c r="W6" s="14">
        <v>0</v>
      </c>
      <c r="X6" s="24">
        <f t="shared" si="9"/>
        <v>0</v>
      </c>
      <c r="Y6" s="25">
        <f t="shared" si="10"/>
        <v>0</v>
      </c>
      <c r="Z6" s="14">
        <v>0</v>
      </c>
      <c r="AA6" s="14" t="e">
        <v>#N/A</v>
      </c>
      <c r="AB6" s="27" t="e">
        <f t="shared" si="11"/>
        <v>#N/A</v>
      </c>
      <c r="AC6" s="28" t="e">
        <v>#N/A</v>
      </c>
      <c r="AD6" s="25">
        <f t="shared" si="12"/>
        <v>0</v>
      </c>
      <c r="AE6" s="25">
        <v>0</v>
      </c>
      <c r="AF6" s="25">
        <v>-9.49</v>
      </c>
      <c r="AG6" s="25">
        <v>0</v>
      </c>
    </row>
    <row r="7" spans="1:33" ht="15.75" customHeight="1">
      <c r="A7" s="14" t="s">
        <v>187</v>
      </c>
      <c r="B7" s="14"/>
      <c r="C7" s="15" t="str">
        <f t="shared" si="4"/>
        <v xml:space="preserve"> - </v>
      </c>
      <c r="D7" s="16">
        <v>0</v>
      </c>
      <c r="E7" s="16">
        <v>0</v>
      </c>
      <c r="F7" s="29">
        <v>0</v>
      </c>
      <c r="G7" s="29">
        <v>0</v>
      </c>
      <c r="H7" s="18" t="e">
        <f t="shared" si="1"/>
        <v>#DIV/0!</v>
      </c>
      <c r="I7" s="18" t="e">
        <f t="shared" si="2"/>
        <v>#DIV/0!</v>
      </c>
      <c r="J7" s="17">
        <f t="shared" si="5"/>
        <v>0</v>
      </c>
      <c r="K7" s="17" t="e">
        <f t="shared" si="3"/>
        <v>#DIV/0!</v>
      </c>
      <c r="L7" s="16">
        <v>0</v>
      </c>
      <c r="M7" s="19" t="str">
        <f t="shared" si="6"/>
        <v>-</v>
      </c>
      <c r="N7" s="16">
        <v>0</v>
      </c>
      <c r="O7" s="20">
        <f t="shared" ref="O7:P7" si="15">D7/7</f>
        <v>0</v>
      </c>
      <c r="P7" s="20">
        <f t="shared" si="15"/>
        <v>0</v>
      </c>
      <c r="Q7" s="16" t="e">
        <f t="shared" si="8"/>
        <v>#DIV/0!</v>
      </c>
      <c r="R7" s="16"/>
      <c r="S7" s="21" t="e">
        <v>#N/A</v>
      </c>
      <c r="T7" s="14">
        <v>600</v>
      </c>
      <c r="U7" s="22">
        <v>140</v>
      </c>
      <c r="V7" s="23" t="s">
        <v>1611</v>
      </c>
      <c r="W7" s="14">
        <v>0</v>
      </c>
      <c r="X7" s="24">
        <f t="shared" si="9"/>
        <v>0</v>
      </c>
      <c r="Y7" s="25">
        <f t="shared" si="10"/>
        <v>0</v>
      </c>
      <c r="Z7" s="14">
        <v>0</v>
      </c>
      <c r="AA7" s="14" t="e">
        <v>#N/A</v>
      </c>
      <c r="AB7" s="27" t="e">
        <f t="shared" si="11"/>
        <v>#N/A</v>
      </c>
      <c r="AC7" s="28" t="e">
        <v>#N/A</v>
      </c>
      <c r="AD7" s="25">
        <f t="shared" si="12"/>
        <v>0</v>
      </c>
      <c r="AE7" s="25">
        <v>0</v>
      </c>
      <c r="AF7" s="25">
        <v>-9.49</v>
      </c>
      <c r="AG7" s="25">
        <v>0</v>
      </c>
    </row>
    <row r="8" spans="1:33" ht="15.75" customHeight="1">
      <c r="A8" s="14" t="s">
        <v>189</v>
      </c>
      <c r="B8" s="14" t="s">
        <v>1612</v>
      </c>
      <c r="C8" s="15">
        <f t="shared" si="4"/>
        <v>29.94</v>
      </c>
      <c r="D8" s="16">
        <v>3</v>
      </c>
      <c r="E8" s="16">
        <v>0</v>
      </c>
      <c r="F8" s="29">
        <v>89.820000000000007</v>
      </c>
      <c r="G8" s="29">
        <v>-0.05</v>
      </c>
      <c r="H8" s="18">
        <f t="shared" si="1"/>
        <v>5.5666889334223999E-4</v>
      </c>
      <c r="I8" s="18">
        <f t="shared" si="2"/>
        <v>0.36799077727213697</v>
      </c>
      <c r="J8" s="17">
        <f t="shared" si="5"/>
        <v>33.052931614583343</v>
      </c>
      <c r="K8" s="17">
        <f t="shared" si="3"/>
        <v>11.017643871527781</v>
      </c>
      <c r="L8" s="16">
        <v>27</v>
      </c>
      <c r="M8" s="19">
        <f t="shared" si="6"/>
        <v>0.1111111111111111</v>
      </c>
      <c r="N8" s="16">
        <v>138</v>
      </c>
      <c r="O8" s="20">
        <f t="shared" ref="O8:P8" si="16">D8/7</f>
        <v>0.42857142857142855</v>
      </c>
      <c r="P8" s="20">
        <f t="shared" si="16"/>
        <v>0</v>
      </c>
      <c r="Q8" s="16">
        <f t="shared" si="8"/>
        <v>322</v>
      </c>
      <c r="R8" s="16"/>
      <c r="S8" s="21">
        <v>1.4840579710144901</v>
      </c>
      <c r="T8" s="14">
        <v>460</v>
      </c>
      <c r="U8" s="22">
        <v>280</v>
      </c>
      <c r="V8" s="23" t="s">
        <v>1613</v>
      </c>
      <c r="W8" s="14">
        <v>0</v>
      </c>
      <c r="X8" s="24">
        <f t="shared" si="9"/>
        <v>0</v>
      </c>
      <c r="Y8" s="25">
        <f t="shared" si="10"/>
        <v>0</v>
      </c>
      <c r="Z8" s="14">
        <v>0</v>
      </c>
      <c r="AA8" s="14" t="s">
        <v>35</v>
      </c>
      <c r="AB8" s="27">
        <f t="shared" si="11"/>
        <v>-0.69</v>
      </c>
      <c r="AC8" s="28">
        <v>1.7890914351851851E-2</v>
      </c>
      <c r="AD8" s="25">
        <f t="shared" si="12"/>
        <v>-7.406838541666666E-2</v>
      </c>
      <c r="AE8" s="25">
        <v>-4.9000000000000004</v>
      </c>
      <c r="AF8" s="25">
        <v>-9.49</v>
      </c>
      <c r="AG8" s="25">
        <v>0</v>
      </c>
    </row>
    <row r="9" spans="1:33" ht="15.75" customHeight="1">
      <c r="A9" s="14" t="s">
        <v>191</v>
      </c>
      <c r="B9" s="14" t="s">
        <v>1614</v>
      </c>
      <c r="C9" s="15">
        <f t="shared" si="4"/>
        <v>23.398823529411768</v>
      </c>
      <c r="D9" s="16">
        <v>34</v>
      </c>
      <c r="E9" s="16">
        <v>2</v>
      </c>
      <c r="F9" s="29">
        <v>795.56000000000006</v>
      </c>
      <c r="G9" s="29">
        <v>0</v>
      </c>
      <c r="H9" s="18">
        <f t="shared" si="1"/>
        <v>0</v>
      </c>
      <c r="I9" s="18">
        <f t="shared" si="2"/>
        <v>0.23395665732139756</v>
      </c>
      <c r="J9" s="17">
        <f t="shared" si="5"/>
        <v>186.12655829861106</v>
      </c>
      <c r="K9" s="17">
        <f t="shared" si="3"/>
        <v>5.4743105381944428</v>
      </c>
      <c r="L9" s="16">
        <v>236</v>
      </c>
      <c r="M9" s="19">
        <f t="shared" si="6"/>
        <v>0.1440677966101695</v>
      </c>
      <c r="N9" s="16">
        <v>115</v>
      </c>
      <c r="O9" s="20">
        <f t="shared" ref="O9:P9" si="17">D9/7</f>
        <v>4.8571428571428568</v>
      </c>
      <c r="P9" s="20">
        <f t="shared" si="17"/>
        <v>0.2857142857142857</v>
      </c>
      <c r="Q9" s="16">
        <f t="shared" si="8"/>
        <v>22</v>
      </c>
      <c r="R9" s="16"/>
      <c r="S9" s="21">
        <v>1.91489361702127</v>
      </c>
      <c r="T9" s="14">
        <v>460</v>
      </c>
      <c r="U9" s="22">
        <v>180</v>
      </c>
      <c r="V9" s="23" t="s">
        <v>1615</v>
      </c>
      <c r="W9" s="14">
        <v>0</v>
      </c>
      <c r="X9" s="24">
        <f t="shared" si="9"/>
        <v>0</v>
      </c>
      <c r="Y9" s="25">
        <f t="shared" si="10"/>
        <v>0</v>
      </c>
      <c r="Z9" s="14">
        <v>0</v>
      </c>
      <c r="AA9" s="14" t="s">
        <v>35</v>
      </c>
      <c r="AB9" s="27">
        <f t="shared" si="11"/>
        <v>-0.69</v>
      </c>
      <c r="AC9" s="28">
        <v>1.7890914351851851E-2</v>
      </c>
      <c r="AD9" s="25">
        <f t="shared" si="12"/>
        <v>-0.83944170138888874</v>
      </c>
      <c r="AE9" s="25">
        <v>-4.9000000000000004</v>
      </c>
      <c r="AF9" s="25">
        <v>-9.49</v>
      </c>
      <c r="AG9" s="25">
        <v>0</v>
      </c>
    </row>
    <row r="10" spans="1:33" ht="15.75" customHeight="1">
      <c r="A10" s="14" t="s">
        <v>192</v>
      </c>
      <c r="B10" s="14" t="s">
        <v>917</v>
      </c>
      <c r="C10" s="15">
        <f t="shared" si="4"/>
        <v>26.015151515151516</v>
      </c>
      <c r="D10" s="16">
        <v>33</v>
      </c>
      <c r="E10" s="16">
        <v>1</v>
      </c>
      <c r="F10" s="29">
        <v>858.5</v>
      </c>
      <c r="G10" s="29">
        <v>0</v>
      </c>
      <c r="H10" s="18">
        <f t="shared" si="1"/>
        <v>0</v>
      </c>
      <c r="I10" s="18">
        <f t="shared" si="2"/>
        <v>0.29591176209716558</v>
      </c>
      <c r="J10" s="17">
        <f t="shared" si="5"/>
        <v>254.04024776041666</v>
      </c>
      <c r="K10" s="17">
        <f t="shared" si="3"/>
        <v>7.6981893260732326</v>
      </c>
      <c r="L10" s="16">
        <v>245</v>
      </c>
      <c r="M10" s="19">
        <f t="shared" si="6"/>
        <v>0.13469387755102041</v>
      </c>
      <c r="N10" s="16">
        <v>57</v>
      </c>
      <c r="O10" s="20">
        <f t="shared" ref="O10:P10" si="18">D10/7</f>
        <v>4.7142857142857144</v>
      </c>
      <c r="P10" s="20">
        <f t="shared" si="18"/>
        <v>0.14285714285714285</v>
      </c>
      <c r="Q10" s="16">
        <f t="shared" si="8"/>
        <v>11</v>
      </c>
      <c r="R10" s="16"/>
      <c r="S10" s="21">
        <v>3</v>
      </c>
      <c r="T10" s="14">
        <v>460</v>
      </c>
      <c r="U10" s="22">
        <v>180</v>
      </c>
      <c r="V10" s="23" t="s">
        <v>1616</v>
      </c>
      <c r="W10" s="14">
        <v>0</v>
      </c>
      <c r="X10" s="24">
        <f t="shared" si="9"/>
        <v>0</v>
      </c>
      <c r="Y10" s="25">
        <f t="shared" si="10"/>
        <v>0</v>
      </c>
      <c r="Z10" s="14">
        <v>0</v>
      </c>
      <c r="AA10" s="14" t="s">
        <v>35</v>
      </c>
      <c r="AB10" s="27">
        <f t="shared" si="11"/>
        <v>-0.69</v>
      </c>
      <c r="AC10" s="28">
        <v>1.7890914351851851E-2</v>
      </c>
      <c r="AD10" s="25">
        <f t="shared" si="12"/>
        <v>-0.8147522395833332</v>
      </c>
      <c r="AE10" s="25">
        <v>-4.9000000000000004</v>
      </c>
      <c r="AF10" s="25">
        <v>-9.49</v>
      </c>
      <c r="AG10" s="25">
        <v>0</v>
      </c>
    </row>
    <row r="11" spans="1:33" ht="15.75" customHeight="1">
      <c r="A11" s="14" t="s">
        <v>193</v>
      </c>
      <c r="B11" s="14" t="s">
        <v>1617</v>
      </c>
      <c r="C11" s="15">
        <f t="shared" si="4"/>
        <v>27.964285714285715</v>
      </c>
      <c r="D11" s="16">
        <v>21</v>
      </c>
      <c r="E11" s="16">
        <v>4</v>
      </c>
      <c r="F11" s="29">
        <v>587.25</v>
      </c>
      <c r="G11" s="29">
        <v>0</v>
      </c>
      <c r="H11" s="18">
        <f t="shared" si="1"/>
        <v>0</v>
      </c>
      <c r="I11" s="18">
        <f t="shared" si="2"/>
        <v>0.33453217761104004</v>
      </c>
      <c r="J11" s="17">
        <f t="shared" si="5"/>
        <v>196.45402130208328</v>
      </c>
      <c r="K11" s="17">
        <f t="shared" si="3"/>
        <v>9.354953395337299</v>
      </c>
      <c r="L11" s="16">
        <v>125</v>
      </c>
      <c r="M11" s="19">
        <f t="shared" si="6"/>
        <v>0.16800000000000001</v>
      </c>
      <c r="N11" s="16">
        <v>25</v>
      </c>
      <c r="O11" s="20">
        <f t="shared" ref="O11:P11" si="19">D11/7</f>
        <v>3</v>
      </c>
      <c r="P11" s="20">
        <f t="shared" si="19"/>
        <v>0.5714285714285714</v>
      </c>
      <c r="Q11" s="16">
        <f t="shared" si="8"/>
        <v>7</v>
      </c>
      <c r="R11" s="16"/>
      <c r="S11" s="21">
        <v>4.8918918918918903</v>
      </c>
      <c r="T11" s="14">
        <v>960</v>
      </c>
      <c r="U11" s="22">
        <v>180</v>
      </c>
      <c r="V11" s="23" t="s">
        <v>1618</v>
      </c>
      <c r="W11" s="14">
        <v>0</v>
      </c>
      <c r="X11" s="24">
        <f t="shared" si="9"/>
        <v>0</v>
      </c>
      <c r="Y11" s="25">
        <f t="shared" si="10"/>
        <v>0</v>
      </c>
      <c r="Z11" s="14">
        <v>0</v>
      </c>
      <c r="AA11" s="14" t="s">
        <v>35</v>
      </c>
      <c r="AB11" s="27">
        <f t="shared" si="11"/>
        <v>-0.69</v>
      </c>
      <c r="AC11" s="28">
        <v>1.7890914351851851E-2</v>
      </c>
      <c r="AD11" s="25">
        <f t="shared" si="12"/>
        <v>-0.51847869791666656</v>
      </c>
      <c r="AE11" s="25">
        <v>-4.9000000000000004</v>
      </c>
      <c r="AF11" s="25">
        <v>-9.49</v>
      </c>
      <c r="AG11" s="25">
        <v>0</v>
      </c>
    </row>
    <row r="12" spans="1:33" ht="15.75" customHeight="1">
      <c r="A12" s="14" t="s">
        <v>195</v>
      </c>
      <c r="B12" s="14" t="s">
        <v>1619</v>
      </c>
      <c r="C12" s="15">
        <f t="shared" si="4"/>
        <v>31.389166666666668</v>
      </c>
      <c r="D12" s="16">
        <v>12</v>
      </c>
      <c r="E12" s="16">
        <v>0</v>
      </c>
      <c r="F12" s="29">
        <v>376.67</v>
      </c>
      <c r="G12" s="29">
        <v>0</v>
      </c>
      <c r="H12" s="18">
        <f t="shared" si="1"/>
        <v>0</v>
      </c>
      <c r="I12" s="18">
        <f t="shared" si="2"/>
        <v>0.39077501913699886</v>
      </c>
      <c r="J12" s="17">
        <f t="shared" si="5"/>
        <v>147.19322645833336</v>
      </c>
      <c r="K12" s="17">
        <f t="shared" si="3"/>
        <v>12.266102204861113</v>
      </c>
      <c r="L12" s="16">
        <v>124</v>
      </c>
      <c r="M12" s="19">
        <f t="shared" si="6"/>
        <v>9.6774193548387094E-2</v>
      </c>
      <c r="N12" s="16">
        <v>31</v>
      </c>
      <c r="O12" s="20">
        <f t="shared" ref="O12:P12" si="20">D12/7</f>
        <v>1.7142857142857142</v>
      </c>
      <c r="P12" s="20">
        <f t="shared" si="20"/>
        <v>0</v>
      </c>
      <c r="Q12" s="16">
        <f t="shared" si="8"/>
        <v>18</v>
      </c>
      <c r="R12" s="16"/>
      <c r="S12" s="21">
        <v>6</v>
      </c>
      <c r="T12" s="14">
        <v>780</v>
      </c>
      <c r="U12" s="22">
        <v>280</v>
      </c>
      <c r="V12" s="23" t="s">
        <v>1620</v>
      </c>
      <c r="W12" s="14">
        <v>0</v>
      </c>
      <c r="X12" s="24">
        <f t="shared" si="9"/>
        <v>0</v>
      </c>
      <c r="Y12" s="25">
        <f t="shared" si="10"/>
        <v>0</v>
      </c>
      <c r="Z12" s="14">
        <v>0</v>
      </c>
      <c r="AA12" s="14" t="s">
        <v>35</v>
      </c>
      <c r="AB12" s="27">
        <f t="shared" si="11"/>
        <v>-0.69</v>
      </c>
      <c r="AC12" s="28">
        <v>1.7890914351851851E-2</v>
      </c>
      <c r="AD12" s="25">
        <f t="shared" si="12"/>
        <v>-0.29627354166666664</v>
      </c>
      <c r="AE12" s="25">
        <v>-4.9000000000000004</v>
      </c>
      <c r="AF12" s="25">
        <v>-9.49</v>
      </c>
      <c r="AG12" s="25">
        <v>0</v>
      </c>
    </row>
    <row r="13" spans="1:33" ht="15.75" customHeight="1">
      <c r="A13" s="14" t="s">
        <v>197</v>
      </c>
      <c r="B13" s="14" t="s">
        <v>1621</v>
      </c>
      <c r="C13" s="15">
        <f t="shared" si="4"/>
        <v>29.397500000000001</v>
      </c>
      <c r="D13" s="16">
        <v>8</v>
      </c>
      <c r="E13" s="16">
        <v>0</v>
      </c>
      <c r="F13" s="17">
        <v>235.18</v>
      </c>
      <c r="G13" s="29">
        <v>-0.16</v>
      </c>
      <c r="H13" s="18">
        <f t="shared" si="1"/>
        <v>6.8032996003061482E-4</v>
      </c>
      <c r="I13" s="18">
        <f t="shared" si="2"/>
        <v>0.35898241476977438</v>
      </c>
      <c r="J13" s="17">
        <f t="shared" si="5"/>
        <v>84.425484305555543</v>
      </c>
      <c r="K13" s="17">
        <f t="shared" si="3"/>
        <v>10.553185538194443</v>
      </c>
      <c r="L13" s="16">
        <v>91</v>
      </c>
      <c r="M13" s="19">
        <f t="shared" si="6"/>
        <v>8.7912087912087919E-2</v>
      </c>
      <c r="N13" s="16">
        <v>203</v>
      </c>
      <c r="O13" s="20">
        <f t="shared" ref="O13:P13" si="21">D13/7</f>
        <v>1.1428571428571428</v>
      </c>
      <c r="P13" s="20">
        <f t="shared" si="21"/>
        <v>0</v>
      </c>
      <c r="Q13" s="16">
        <f t="shared" si="8"/>
        <v>177</v>
      </c>
      <c r="R13" s="16"/>
      <c r="S13" s="21">
        <v>1.59619952494061</v>
      </c>
      <c r="T13" s="14">
        <v>780</v>
      </c>
      <c r="U13" s="22">
        <v>280</v>
      </c>
      <c r="V13" s="23" t="s">
        <v>1622</v>
      </c>
      <c r="W13" s="14">
        <v>0</v>
      </c>
      <c r="X13" s="24">
        <f t="shared" si="9"/>
        <v>0</v>
      </c>
      <c r="Y13" s="25">
        <f t="shared" si="10"/>
        <v>0</v>
      </c>
      <c r="Z13" s="14">
        <v>0</v>
      </c>
      <c r="AA13" s="14" t="s">
        <v>35</v>
      </c>
      <c r="AB13" s="27">
        <f t="shared" si="11"/>
        <v>-0.69</v>
      </c>
      <c r="AC13" s="28">
        <v>1.7890914351851851E-2</v>
      </c>
      <c r="AD13" s="25">
        <f t="shared" si="12"/>
        <v>-0.19751569444444442</v>
      </c>
      <c r="AE13" s="25">
        <v>-4.9000000000000004</v>
      </c>
      <c r="AF13" s="25">
        <v>-9.49</v>
      </c>
      <c r="AG13" s="25">
        <v>0</v>
      </c>
    </row>
    <row r="14" spans="1:33" ht="15.75" customHeight="1">
      <c r="A14" s="14" t="s">
        <v>32</v>
      </c>
      <c r="B14" s="14" t="s">
        <v>64</v>
      </c>
      <c r="C14" s="15">
        <f t="shared" si="4"/>
        <v>22.26652173913044</v>
      </c>
      <c r="D14" s="16">
        <v>23</v>
      </c>
      <c r="E14" s="16">
        <v>0</v>
      </c>
      <c r="F14" s="17">
        <v>512.13000000000011</v>
      </c>
      <c r="G14" s="29">
        <v>0</v>
      </c>
      <c r="H14" s="18">
        <f t="shared" si="1"/>
        <v>0</v>
      </c>
      <c r="I14" s="18">
        <f t="shared" si="2"/>
        <v>0.20262949325068302</v>
      </c>
      <c r="J14" s="17">
        <f t="shared" si="5"/>
        <v>103.77264237847231</v>
      </c>
      <c r="K14" s="17">
        <f t="shared" si="3"/>
        <v>4.5118540164553176</v>
      </c>
      <c r="L14" s="16">
        <v>114</v>
      </c>
      <c r="M14" s="19">
        <f t="shared" si="6"/>
        <v>0.20175438596491227</v>
      </c>
      <c r="N14" s="16">
        <v>181</v>
      </c>
      <c r="O14" s="20">
        <f t="shared" ref="O14:P14" si="22">D14/7</f>
        <v>3.2857142857142856</v>
      </c>
      <c r="P14" s="20">
        <f t="shared" si="22"/>
        <v>0</v>
      </c>
      <c r="Q14" s="16">
        <f t="shared" si="8"/>
        <v>55</v>
      </c>
      <c r="R14" s="16"/>
      <c r="S14" s="21">
        <v>2.0272108843537402</v>
      </c>
      <c r="T14" s="14">
        <v>780</v>
      </c>
      <c r="U14" s="22">
        <v>280</v>
      </c>
      <c r="V14" s="23" t="s">
        <v>1622</v>
      </c>
      <c r="W14" s="14">
        <v>0</v>
      </c>
      <c r="X14" s="24">
        <f t="shared" si="9"/>
        <v>0</v>
      </c>
      <c r="Y14" s="25">
        <f t="shared" si="10"/>
        <v>0</v>
      </c>
      <c r="Z14" s="14">
        <v>0</v>
      </c>
      <c r="AA14" s="14" t="s">
        <v>35</v>
      </c>
      <c r="AB14" s="27">
        <f t="shared" si="11"/>
        <v>-0.69</v>
      </c>
      <c r="AC14" s="28">
        <v>1.7890914351851851E-2</v>
      </c>
      <c r="AD14" s="25">
        <f t="shared" si="12"/>
        <v>-0.56785762152777775</v>
      </c>
      <c r="AE14" s="25">
        <v>-4.9000000000000004</v>
      </c>
      <c r="AF14" s="25">
        <v>-9.49</v>
      </c>
      <c r="AG14" s="25">
        <v>0</v>
      </c>
    </row>
    <row r="15" spans="1:33" ht="15.75" customHeight="1">
      <c r="A15" s="14" t="s">
        <v>36</v>
      </c>
      <c r="B15" s="14" t="s">
        <v>66</v>
      </c>
      <c r="C15" s="15">
        <f t="shared" si="4"/>
        <v>22.125400000000003</v>
      </c>
      <c r="D15" s="16">
        <v>50</v>
      </c>
      <c r="E15" s="16">
        <v>0</v>
      </c>
      <c r="F15" s="17">
        <v>1106.2700000000002</v>
      </c>
      <c r="G15" s="29">
        <v>-35.879999999999995</v>
      </c>
      <c r="H15" s="18">
        <f t="shared" si="1"/>
        <v>3.2433311940123104E-2</v>
      </c>
      <c r="I15" s="18">
        <f t="shared" si="2"/>
        <v>9.8684629513177066E-2</v>
      </c>
      <c r="J15" s="17">
        <f t="shared" si="5"/>
        <v>109.17184509154241</v>
      </c>
      <c r="K15" s="17">
        <f t="shared" si="3"/>
        <v>2.1834369018308482</v>
      </c>
      <c r="L15" s="16">
        <v>106</v>
      </c>
      <c r="M15" s="19">
        <f t="shared" si="6"/>
        <v>0.47169811320754718</v>
      </c>
      <c r="N15" s="16">
        <v>134</v>
      </c>
      <c r="O15" s="20">
        <f t="shared" ref="O15:P15" si="23">D15/7</f>
        <v>7.1428571428571432</v>
      </c>
      <c r="P15" s="20">
        <f t="shared" si="23"/>
        <v>0</v>
      </c>
      <c r="Q15" s="16">
        <f t="shared" si="8"/>
        <v>18</v>
      </c>
      <c r="R15" s="16"/>
      <c r="S15" s="21">
        <v>4.4260355029585803</v>
      </c>
      <c r="T15" s="14">
        <v>780</v>
      </c>
      <c r="U15" s="22">
        <v>280</v>
      </c>
      <c r="V15" s="23" t="s">
        <v>1622</v>
      </c>
      <c r="W15" s="14">
        <v>14</v>
      </c>
      <c r="X15" s="24">
        <f t="shared" si="9"/>
        <v>0.28000000000000003</v>
      </c>
      <c r="Y15" s="25">
        <f t="shared" si="10"/>
        <v>2.1105882352941174</v>
      </c>
      <c r="Z15" s="14">
        <v>3</v>
      </c>
      <c r="AA15" s="14" t="s">
        <v>35</v>
      </c>
      <c r="AB15" s="27">
        <f t="shared" si="11"/>
        <v>-0.69</v>
      </c>
      <c r="AC15" s="28">
        <v>1.7890914351851851E-2</v>
      </c>
      <c r="AD15" s="25">
        <f t="shared" si="12"/>
        <v>-1.2344730902777776</v>
      </c>
      <c r="AE15" s="25">
        <v>-4.9000000000000004</v>
      </c>
      <c r="AF15" s="25">
        <v>-10.980863636363599</v>
      </c>
      <c r="AG15" s="25">
        <v>0</v>
      </c>
    </row>
    <row r="16" spans="1:33" ht="15.75" customHeight="1">
      <c r="A16" s="14" t="s">
        <v>38</v>
      </c>
      <c r="B16" s="14" t="s">
        <v>710</v>
      </c>
      <c r="C16" s="15">
        <f t="shared" si="4"/>
        <v>22.221509433962272</v>
      </c>
      <c r="D16" s="16">
        <v>53</v>
      </c>
      <c r="E16" s="16">
        <v>0</v>
      </c>
      <c r="F16" s="17">
        <v>1177.7400000000005</v>
      </c>
      <c r="G16" s="29">
        <v>-1.62</v>
      </c>
      <c r="H16" s="18">
        <f t="shared" si="1"/>
        <v>1.3755158184319115E-3</v>
      </c>
      <c r="I16" s="18">
        <f t="shared" si="2"/>
        <v>0.13285163601222266</v>
      </c>
      <c r="J16" s="17">
        <f t="shared" si="5"/>
        <v>156.46468579703517</v>
      </c>
      <c r="K16" s="17">
        <f t="shared" si="3"/>
        <v>2.9521638829629278</v>
      </c>
      <c r="L16" s="16">
        <v>120</v>
      </c>
      <c r="M16" s="19">
        <f t="shared" si="6"/>
        <v>0.44166666666666665</v>
      </c>
      <c r="N16" s="16">
        <v>76</v>
      </c>
      <c r="O16" s="20">
        <f t="shared" ref="O16:P16" si="24">D16/7</f>
        <v>7.5714285714285712</v>
      </c>
      <c r="P16" s="20">
        <f t="shared" si="24"/>
        <v>0</v>
      </c>
      <c r="Q16" s="16">
        <f t="shared" si="8"/>
        <v>10</v>
      </c>
      <c r="R16" s="16"/>
      <c r="S16" s="21">
        <v>6.3216783216783199</v>
      </c>
      <c r="T16" s="14">
        <v>780</v>
      </c>
      <c r="U16" s="22">
        <v>280</v>
      </c>
      <c r="V16" s="23" t="s">
        <v>1622</v>
      </c>
      <c r="W16" s="14">
        <v>1</v>
      </c>
      <c r="X16" s="24">
        <f t="shared" si="9"/>
        <v>1.8867924528301886E-2</v>
      </c>
      <c r="Y16" s="25">
        <f t="shared" si="10"/>
        <v>1.62</v>
      </c>
      <c r="Z16" s="14">
        <v>0</v>
      </c>
      <c r="AA16" s="14" t="s">
        <v>35</v>
      </c>
      <c r="AB16" s="27">
        <f t="shared" si="11"/>
        <v>-0.69</v>
      </c>
      <c r="AC16" s="28">
        <v>1.7890914351851851E-2</v>
      </c>
      <c r="AD16" s="25">
        <f t="shared" si="12"/>
        <v>-1.3085414756944442</v>
      </c>
      <c r="AE16" s="25">
        <v>-4.9000000000000004</v>
      </c>
      <c r="AF16" s="25">
        <v>-10.980863636363599</v>
      </c>
      <c r="AG16" s="25">
        <v>0</v>
      </c>
    </row>
    <row r="17" spans="1:33" ht="15.75" customHeight="1">
      <c r="A17" s="14" t="s">
        <v>40</v>
      </c>
      <c r="B17" s="14" t="s">
        <v>68</v>
      </c>
      <c r="C17" s="15">
        <f t="shared" si="4"/>
        <v>24.196666666666665</v>
      </c>
      <c r="D17" s="16">
        <v>30</v>
      </c>
      <c r="E17" s="16">
        <v>1</v>
      </c>
      <c r="F17" s="17">
        <v>725.9</v>
      </c>
      <c r="G17" s="29">
        <v>0</v>
      </c>
      <c r="H17" s="18">
        <f t="shared" si="1"/>
        <v>0</v>
      </c>
      <c r="I17" s="18">
        <f t="shared" si="2"/>
        <v>0.1926551963836966</v>
      </c>
      <c r="J17" s="17">
        <f t="shared" si="5"/>
        <v>139.84840705492536</v>
      </c>
      <c r="K17" s="17">
        <f t="shared" si="3"/>
        <v>4.6616135684975122</v>
      </c>
      <c r="L17" s="16">
        <v>87</v>
      </c>
      <c r="M17" s="19">
        <f t="shared" si="6"/>
        <v>0.34482758620689657</v>
      </c>
      <c r="N17" s="16">
        <v>226</v>
      </c>
      <c r="O17" s="20">
        <f t="shared" ref="O17:P17" si="25">D17/7</f>
        <v>4.2857142857142856</v>
      </c>
      <c r="P17" s="20">
        <f t="shared" si="25"/>
        <v>0.14285714285714285</v>
      </c>
      <c r="Q17" s="16">
        <f t="shared" si="8"/>
        <v>51</v>
      </c>
      <c r="R17" s="16"/>
      <c r="S17" s="21">
        <v>1.7152317880794701</v>
      </c>
      <c r="T17" s="14">
        <v>780</v>
      </c>
      <c r="U17" s="22">
        <v>280</v>
      </c>
      <c r="V17" s="23" t="s">
        <v>1623</v>
      </c>
      <c r="W17" s="14">
        <v>0</v>
      </c>
      <c r="X17" s="24">
        <f t="shared" si="9"/>
        <v>0</v>
      </c>
      <c r="Y17" s="25">
        <f t="shared" si="10"/>
        <v>0</v>
      </c>
      <c r="Z17" s="14">
        <v>0</v>
      </c>
      <c r="AA17" s="14" t="s">
        <v>35</v>
      </c>
      <c r="AB17" s="27">
        <f t="shared" si="11"/>
        <v>-0.69</v>
      </c>
      <c r="AC17" s="28">
        <v>1.7890914351851851E-2</v>
      </c>
      <c r="AD17" s="25">
        <f t="shared" si="12"/>
        <v>-0.7406838541666666</v>
      </c>
      <c r="AE17" s="25">
        <v>-4.9000000000000004</v>
      </c>
      <c r="AF17" s="25">
        <v>-10.980863636363599</v>
      </c>
      <c r="AG17" s="25">
        <v>0</v>
      </c>
    </row>
    <row r="18" spans="1:33" ht="15.75" customHeight="1">
      <c r="A18" s="14" t="s">
        <v>42</v>
      </c>
      <c r="B18" s="14" t="s">
        <v>1624</v>
      </c>
      <c r="C18" s="15">
        <f t="shared" si="4"/>
        <v>24.138000000000002</v>
      </c>
      <c r="D18" s="16">
        <v>25</v>
      </c>
      <c r="E18" s="16">
        <v>1</v>
      </c>
      <c r="F18" s="17">
        <v>603.45000000000005</v>
      </c>
      <c r="G18" s="29">
        <v>-0.08</v>
      </c>
      <c r="H18" s="18">
        <f t="shared" si="1"/>
        <v>1.3257104979700056E-4</v>
      </c>
      <c r="I18" s="18">
        <f t="shared" si="2"/>
        <v>0.19092496900450917</v>
      </c>
      <c r="J18" s="17">
        <f t="shared" si="5"/>
        <v>115.21367254577108</v>
      </c>
      <c r="K18" s="17">
        <f t="shared" si="3"/>
        <v>4.6085469018308434</v>
      </c>
      <c r="L18" s="16">
        <v>125</v>
      </c>
      <c r="M18" s="19">
        <f t="shared" si="6"/>
        <v>0.2</v>
      </c>
      <c r="N18" s="16">
        <v>198</v>
      </c>
      <c r="O18" s="20">
        <f t="shared" ref="O18:P18" si="26">D18/7</f>
        <v>3.5714285714285716</v>
      </c>
      <c r="P18" s="20">
        <f t="shared" si="26"/>
        <v>0.14285714285714285</v>
      </c>
      <c r="Q18" s="16">
        <f t="shared" si="8"/>
        <v>53</v>
      </c>
      <c r="R18" s="16"/>
      <c r="S18" s="21">
        <v>2.3571428571428501</v>
      </c>
      <c r="T18" s="14">
        <v>500</v>
      </c>
      <c r="U18" s="22">
        <v>0</v>
      </c>
      <c r="V18" s="23" t="s">
        <v>34</v>
      </c>
      <c r="W18" s="14">
        <v>0</v>
      </c>
      <c r="X18" s="24">
        <f t="shared" si="9"/>
        <v>0</v>
      </c>
      <c r="Y18" s="25">
        <f t="shared" si="10"/>
        <v>0</v>
      </c>
      <c r="Z18" s="14">
        <v>0</v>
      </c>
      <c r="AA18" s="14" t="s">
        <v>35</v>
      </c>
      <c r="AB18" s="27">
        <f t="shared" si="11"/>
        <v>-0.69</v>
      </c>
      <c r="AC18" s="28">
        <v>1.7890914351851851E-2</v>
      </c>
      <c r="AD18" s="25">
        <f t="shared" si="12"/>
        <v>-0.61723654513888881</v>
      </c>
      <c r="AE18" s="25">
        <v>-4.9000000000000004</v>
      </c>
      <c r="AF18" s="25">
        <v>-10.980863636363599</v>
      </c>
      <c r="AG18" s="25">
        <v>0</v>
      </c>
    </row>
    <row r="19" spans="1:33" ht="15.75" customHeight="1">
      <c r="A19" s="14" t="s">
        <v>44</v>
      </c>
      <c r="B19" s="14" t="s">
        <v>68</v>
      </c>
      <c r="C19" s="15">
        <f t="shared" si="4"/>
        <v>24.62086956521739</v>
      </c>
      <c r="D19" s="16">
        <v>23</v>
      </c>
      <c r="E19" s="16">
        <v>2</v>
      </c>
      <c r="F19" s="17">
        <v>566.28</v>
      </c>
      <c r="G19" s="29">
        <v>-0.08</v>
      </c>
      <c r="H19" s="18">
        <f t="shared" si="1"/>
        <v>1.4127286854559584E-4</v>
      </c>
      <c r="I19" s="18">
        <f t="shared" si="2"/>
        <v>0.18192727756959204</v>
      </c>
      <c r="J19" s="17">
        <f t="shared" si="5"/>
        <v>103.02177874210858</v>
      </c>
      <c r="K19" s="17">
        <f t="shared" si="3"/>
        <v>4.479207771396025</v>
      </c>
      <c r="L19" s="16">
        <v>118</v>
      </c>
      <c r="M19" s="19">
        <f t="shared" si="6"/>
        <v>0.19491525423728814</v>
      </c>
      <c r="N19" s="16">
        <v>155</v>
      </c>
      <c r="O19" s="20">
        <f t="shared" ref="O19:P19" si="27">D19/7</f>
        <v>3.2857142857142856</v>
      </c>
      <c r="P19" s="20">
        <f t="shared" si="27"/>
        <v>0.2857142857142857</v>
      </c>
      <c r="Q19" s="16">
        <f t="shared" si="8"/>
        <v>43</v>
      </c>
      <c r="R19" s="16"/>
      <c r="S19" s="21">
        <v>3.00242130750605</v>
      </c>
      <c r="T19" s="14">
        <v>500</v>
      </c>
      <c r="U19" s="22" t="s">
        <v>34</v>
      </c>
      <c r="V19" s="23" t="s">
        <v>34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14" t="s">
        <v>35</v>
      </c>
      <c r="AB19" s="27">
        <f t="shared" si="11"/>
        <v>-0.69</v>
      </c>
      <c r="AC19" s="28">
        <v>1.7890914351851851E-2</v>
      </c>
      <c r="AD19" s="25">
        <f t="shared" si="12"/>
        <v>-0.56785762152777775</v>
      </c>
      <c r="AE19" s="25">
        <v>-4.9000000000000004</v>
      </c>
      <c r="AF19" s="25">
        <v>-11.520363636363635</v>
      </c>
      <c r="AG19" s="25">
        <v>0</v>
      </c>
    </row>
    <row r="20" spans="1:33" ht="15.75" customHeight="1">
      <c r="A20" s="14" t="s">
        <v>46</v>
      </c>
      <c r="B20" s="14" t="s">
        <v>917</v>
      </c>
      <c r="C20" s="15">
        <f t="shared" si="4"/>
        <v>25.149729729729735</v>
      </c>
      <c r="D20" s="16">
        <v>37</v>
      </c>
      <c r="E20" s="16">
        <v>5</v>
      </c>
      <c r="F20" s="17">
        <v>930.54000000000019</v>
      </c>
      <c r="G20" s="29">
        <v>-0.16</v>
      </c>
      <c r="H20" s="18">
        <f t="shared" si="1"/>
        <v>1.7194317278139572E-4</v>
      </c>
      <c r="I20" s="18">
        <f t="shared" si="2"/>
        <v>0.19594217913011808</v>
      </c>
      <c r="J20" s="17">
        <f t="shared" si="5"/>
        <v>182.3320353677401</v>
      </c>
      <c r="K20" s="17">
        <f t="shared" si="3"/>
        <v>4.9278928477767598</v>
      </c>
      <c r="L20" s="16">
        <v>96</v>
      </c>
      <c r="M20" s="19">
        <f t="shared" si="6"/>
        <v>0.38541666666666669</v>
      </c>
      <c r="N20" s="16">
        <v>135</v>
      </c>
      <c r="O20" s="20">
        <f t="shared" ref="O20:P20" si="28">D20/7</f>
        <v>5.2857142857142856</v>
      </c>
      <c r="P20" s="20">
        <f t="shared" si="28"/>
        <v>0.7142857142857143</v>
      </c>
      <c r="Q20" s="16">
        <f t="shared" si="8"/>
        <v>22</v>
      </c>
      <c r="R20" s="16"/>
      <c r="S20" s="21">
        <v>4.7864406779661</v>
      </c>
      <c r="T20" s="14">
        <v>100</v>
      </c>
      <c r="U20" s="22" t="s">
        <v>34</v>
      </c>
      <c r="V20" s="23" t="s">
        <v>34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14" t="s">
        <v>35</v>
      </c>
      <c r="AB20" s="27">
        <f t="shared" si="11"/>
        <v>-0.69</v>
      </c>
      <c r="AC20" s="28">
        <v>1.7890914351851851E-2</v>
      </c>
      <c r="AD20" s="25">
        <f t="shared" si="12"/>
        <v>-0.91351008680555545</v>
      </c>
      <c r="AE20" s="25">
        <v>-4.9000000000000004</v>
      </c>
      <c r="AF20" s="25">
        <v>-11.520363636363635</v>
      </c>
      <c r="AG20" s="25">
        <v>0</v>
      </c>
    </row>
    <row r="21" spans="1:33" ht="15.75" customHeight="1">
      <c r="A21" s="14" t="s">
        <v>47</v>
      </c>
      <c r="B21" s="14" t="s">
        <v>918</v>
      </c>
      <c r="C21" s="15">
        <f t="shared" si="4"/>
        <v>27.17</v>
      </c>
      <c r="D21" s="16">
        <v>15</v>
      </c>
      <c r="E21" s="16">
        <v>0</v>
      </c>
      <c r="F21" s="17">
        <v>407.55</v>
      </c>
      <c r="G21" s="29">
        <v>0</v>
      </c>
      <c r="H21" s="18">
        <f t="shared" si="1"/>
        <v>0</v>
      </c>
      <c r="I21" s="18">
        <f t="shared" si="2"/>
        <v>0.24473488781121866</v>
      </c>
      <c r="J21" s="17">
        <f t="shared" si="5"/>
        <v>99.741703527462164</v>
      </c>
      <c r="K21" s="17">
        <f t="shared" si="3"/>
        <v>6.6494469018308111</v>
      </c>
      <c r="L21" s="16">
        <v>46</v>
      </c>
      <c r="M21" s="19">
        <f t="shared" si="6"/>
        <v>0.32608695652173914</v>
      </c>
      <c r="N21" s="16">
        <v>123</v>
      </c>
      <c r="O21" s="20">
        <f t="shared" ref="O21:P21" si="29">D21/7</f>
        <v>2.1428571428571428</v>
      </c>
      <c r="P21" s="20">
        <f t="shared" si="29"/>
        <v>0</v>
      </c>
      <c r="Q21" s="16">
        <f t="shared" si="8"/>
        <v>57</v>
      </c>
      <c r="R21" s="16"/>
      <c r="S21" s="21">
        <v>2.04359673024523</v>
      </c>
      <c r="T21" s="14">
        <v>500</v>
      </c>
      <c r="U21" s="22">
        <v>400</v>
      </c>
      <c r="V21" s="23" t="s">
        <v>1625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14" t="s">
        <v>35</v>
      </c>
      <c r="AB21" s="27">
        <f t="shared" si="11"/>
        <v>-0.69</v>
      </c>
      <c r="AC21" s="28">
        <v>1.7890914351851851E-2</v>
      </c>
      <c r="AD21" s="25">
        <f t="shared" si="12"/>
        <v>-0.3703419270833333</v>
      </c>
      <c r="AE21" s="25">
        <v>-4.9000000000000004</v>
      </c>
      <c r="AF21" s="25">
        <v>-11.520363636363635</v>
      </c>
      <c r="AG21" s="25">
        <v>0</v>
      </c>
    </row>
    <row r="22" spans="1:33" ht="15.75" customHeight="1">
      <c r="A22" s="14" t="s">
        <v>48</v>
      </c>
      <c r="B22" s="14" t="s">
        <v>68</v>
      </c>
      <c r="C22" s="15">
        <f t="shared" si="4"/>
        <v>27.451621621621626</v>
      </c>
      <c r="D22" s="16">
        <v>37</v>
      </c>
      <c r="E22" s="16">
        <v>1</v>
      </c>
      <c r="F22" s="29">
        <v>1015.7100000000002</v>
      </c>
      <c r="G22" s="29">
        <v>0</v>
      </c>
      <c r="H22" s="18">
        <f t="shared" si="1"/>
        <v>0</v>
      </c>
      <c r="I22" s="18">
        <f t="shared" si="2"/>
        <v>0.25094420195502642</v>
      </c>
      <c r="J22" s="17">
        <f t="shared" si="5"/>
        <v>254.88653536773995</v>
      </c>
      <c r="K22" s="17">
        <f t="shared" si="3"/>
        <v>6.8888252802091881</v>
      </c>
      <c r="L22" s="16">
        <v>102</v>
      </c>
      <c r="M22" s="19">
        <f t="shared" si="6"/>
        <v>0.36274509803921567</v>
      </c>
      <c r="N22" s="16">
        <v>85</v>
      </c>
      <c r="O22" s="20">
        <f t="shared" ref="O22:P22" si="30">D22/7</f>
        <v>5.2857142857142856</v>
      </c>
      <c r="P22" s="20">
        <f t="shared" si="30"/>
        <v>0.14285714285714285</v>
      </c>
      <c r="Q22" s="16">
        <f t="shared" si="8"/>
        <v>15</v>
      </c>
      <c r="R22" s="16"/>
      <c r="S22" s="21">
        <v>2.4832000000000001</v>
      </c>
      <c r="T22" s="14">
        <v>840</v>
      </c>
      <c r="U22" s="22">
        <v>340</v>
      </c>
      <c r="V22" s="23" t="s">
        <v>1626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35</v>
      </c>
      <c r="AB22" s="27">
        <f t="shared" si="11"/>
        <v>-0.69</v>
      </c>
      <c r="AC22" s="28">
        <v>1.7890914351851851E-2</v>
      </c>
      <c r="AD22" s="25">
        <f t="shared" si="12"/>
        <v>-0.91351008680555545</v>
      </c>
      <c r="AE22" s="25">
        <v>-4.9000000000000004</v>
      </c>
      <c r="AF22" s="25">
        <v>-11.520363636363635</v>
      </c>
      <c r="AG22" s="25">
        <v>0</v>
      </c>
    </row>
    <row r="23" spans="1:33" ht="15.75" customHeight="1">
      <c r="A23" s="14" t="s">
        <v>49</v>
      </c>
      <c r="B23" s="14" t="s">
        <v>1627</v>
      </c>
      <c r="C23" s="15">
        <f t="shared" si="4"/>
        <v>26.238571428571422</v>
      </c>
      <c r="D23" s="16">
        <v>21</v>
      </c>
      <c r="E23" s="16">
        <v>0</v>
      </c>
      <c r="F23" s="17">
        <v>551.00999999999988</v>
      </c>
      <c r="G23" s="29">
        <v>0</v>
      </c>
      <c r="H23" s="18">
        <f t="shared" si="1"/>
        <v>0</v>
      </c>
      <c r="I23" s="18">
        <f t="shared" si="2"/>
        <v>0.22324891551595596</v>
      </c>
      <c r="J23" s="17">
        <f t="shared" si="5"/>
        <v>123.01238493844687</v>
      </c>
      <c r="K23" s="17">
        <f t="shared" si="3"/>
        <v>5.8577326161165173</v>
      </c>
      <c r="L23" s="16">
        <v>81</v>
      </c>
      <c r="M23" s="19">
        <f t="shared" si="6"/>
        <v>0.25925925925925924</v>
      </c>
      <c r="N23" s="16">
        <v>65</v>
      </c>
      <c r="O23" s="20">
        <f t="shared" ref="O23:P23" si="31">D23/7</f>
        <v>3</v>
      </c>
      <c r="P23" s="20">
        <f t="shared" si="31"/>
        <v>0</v>
      </c>
      <c r="Q23" s="16">
        <f t="shared" si="8"/>
        <v>21</v>
      </c>
      <c r="R23" s="16"/>
      <c r="S23" s="21">
        <v>2.7709090909090901</v>
      </c>
      <c r="T23" s="14">
        <v>900</v>
      </c>
      <c r="U23" s="22">
        <v>340</v>
      </c>
      <c r="V23" s="23" t="s">
        <v>1626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35</v>
      </c>
      <c r="AB23" s="27">
        <f t="shared" si="11"/>
        <v>-0.69</v>
      </c>
      <c r="AC23" s="28">
        <v>1.7890914351851851E-2</v>
      </c>
      <c r="AD23" s="25">
        <f t="shared" si="12"/>
        <v>-0.51847869791666656</v>
      </c>
      <c r="AE23" s="25">
        <v>-4.9000000000000004</v>
      </c>
      <c r="AF23" s="25">
        <v>-11.520363636363635</v>
      </c>
      <c r="AG23" s="25">
        <v>0</v>
      </c>
    </row>
    <row r="24" spans="1:33" ht="15.75" customHeight="1">
      <c r="A24" s="14" t="s">
        <v>50</v>
      </c>
      <c r="B24" s="14" t="s">
        <v>1628</v>
      </c>
      <c r="C24" s="15">
        <f t="shared" si="4"/>
        <v>25.207142857142852</v>
      </c>
      <c r="D24" s="16">
        <v>21</v>
      </c>
      <c r="E24" s="16">
        <v>0</v>
      </c>
      <c r="F24" s="17">
        <v>529.34999999999991</v>
      </c>
      <c r="G24" s="17">
        <v>0</v>
      </c>
      <c r="H24" s="18">
        <f t="shared" si="1"/>
        <v>0</v>
      </c>
      <c r="I24" s="18">
        <f t="shared" si="2"/>
        <v>0.19760344750816464</v>
      </c>
      <c r="J24" s="17">
        <f t="shared" si="5"/>
        <v>104.60138493844693</v>
      </c>
      <c r="K24" s="17">
        <f t="shared" si="3"/>
        <v>4.9810183304022342</v>
      </c>
      <c r="L24" s="16">
        <v>96</v>
      </c>
      <c r="M24" s="19">
        <f t="shared" si="6"/>
        <v>0.21875</v>
      </c>
      <c r="N24" s="16">
        <v>46</v>
      </c>
      <c r="O24" s="20">
        <f t="shared" ref="O24:P24" si="32">D24/7</f>
        <v>3</v>
      </c>
      <c r="P24" s="20">
        <f t="shared" si="32"/>
        <v>0</v>
      </c>
      <c r="Q24" s="16">
        <f t="shared" si="8"/>
        <v>15</v>
      </c>
      <c r="R24" s="16"/>
      <c r="S24" s="21">
        <v>3.7435897435897401</v>
      </c>
      <c r="T24" s="14">
        <v>900</v>
      </c>
      <c r="U24" s="22">
        <v>340</v>
      </c>
      <c r="V24" s="23" t="s">
        <v>1626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14" t="s">
        <v>35</v>
      </c>
      <c r="AB24" s="27">
        <f t="shared" si="11"/>
        <v>-0.69</v>
      </c>
      <c r="AC24" s="28">
        <v>1.7890914351851851E-2</v>
      </c>
      <c r="AD24" s="25">
        <f t="shared" si="12"/>
        <v>-0.51847869791666656</v>
      </c>
      <c r="AE24" s="25">
        <v>-4.9000000000000004</v>
      </c>
      <c r="AF24" s="25">
        <v>-11.520363636363635</v>
      </c>
      <c r="AG24" s="25">
        <v>0</v>
      </c>
    </row>
    <row r="25" spans="1:33" ht="15.75" customHeight="1">
      <c r="A25" s="14" t="s">
        <v>51</v>
      </c>
      <c r="B25" s="14"/>
      <c r="C25" s="15">
        <f t="shared" si="4"/>
        <v>24.301621621621621</v>
      </c>
      <c r="D25" s="16">
        <v>37</v>
      </c>
      <c r="E25" s="16">
        <v>0</v>
      </c>
      <c r="F25" s="17">
        <v>899.16</v>
      </c>
      <c r="G25" s="17">
        <v>0</v>
      </c>
      <c r="H25" s="18">
        <f t="shared" si="1"/>
        <v>0</v>
      </c>
      <c r="I25" s="18">
        <f t="shared" si="2"/>
        <v>0.17330896604964008</v>
      </c>
      <c r="J25" s="17">
        <f t="shared" si="5"/>
        <v>155.83248991319437</v>
      </c>
      <c r="K25" s="17">
        <f t="shared" si="3"/>
        <v>4.2116889165728209</v>
      </c>
      <c r="L25" s="16">
        <v>135</v>
      </c>
      <c r="M25" s="19">
        <f t="shared" si="6"/>
        <v>0.27407407407407408</v>
      </c>
      <c r="N25" s="16">
        <v>3</v>
      </c>
      <c r="O25" s="20">
        <f t="shared" ref="O25:P25" si="33">D25/7</f>
        <v>5.2857142857142856</v>
      </c>
      <c r="P25" s="20">
        <f t="shared" si="33"/>
        <v>0</v>
      </c>
      <c r="Q25" s="16">
        <f t="shared" si="8"/>
        <v>0</v>
      </c>
      <c r="R25" s="16"/>
      <c r="S25" s="21">
        <v>6.0705882352941174</v>
      </c>
      <c r="T25" s="14">
        <v>900</v>
      </c>
      <c r="U25" s="22">
        <v>340</v>
      </c>
      <c r="V25" s="23" t="s">
        <v>1626</v>
      </c>
      <c r="W25" s="30">
        <v>0</v>
      </c>
      <c r="X25" s="24">
        <f t="shared" si="9"/>
        <v>0</v>
      </c>
      <c r="Y25" s="25">
        <f t="shared" si="10"/>
        <v>0</v>
      </c>
      <c r="Z25" s="30">
        <v>0</v>
      </c>
      <c r="AA25" s="14" t="s">
        <v>35</v>
      </c>
      <c r="AB25" s="27">
        <f t="shared" si="11"/>
        <v>-0.69</v>
      </c>
      <c r="AC25" s="28">
        <v>1.7890914351851851E-2</v>
      </c>
      <c r="AD25" s="25">
        <f t="shared" si="12"/>
        <v>-0.91351008680555545</v>
      </c>
      <c r="AE25" s="25">
        <v>-4.9000000000000004</v>
      </c>
      <c r="AF25" s="25">
        <v>-11.52</v>
      </c>
      <c r="AG25" s="25">
        <v>0</v>
      </c>
    </row>
    <row r="26" spans="1:33" ht="15.75" customHeight="1">
      <c r="A26" s="14" t="s">
        <v>52</v>
      </c>
      <c r="B26" s="14" t="s">
        <v>45</v>
      </c>
      <c r="C26" s="15">
        <f t="shared" si="4"/>
        <v>24.95</v>
      </c>
      <c r="D26" s="16">
        <v>6</v>
      </c>
      <c r="E26" s="16">
        <v>0</v>
      </c>
      <c r="F26" s="17">
        <v>149.69999999999999</v>
      </c>
      <c r="G26" s="17">
        <v>0</v>
      </c>
      <c r="H26" s="18">
        <f t="shared" si="1"/>
        <v>0</v>
      </c>
      <c r="I26" s="18">
        <f t="shared" si="2"/>
        <v>0.19087963534392155</v>
      </c>
      <c r="J26" s="17">
        <f t="shared" si="5"/>
        <v>28.574681410985054</v>
      </c>
      <c r="K26" s="17">
        <f t="shared" si="3"/>
        <v>4.7624469018308426</v>
      </c>
      <c r="L26" s="16">
        <v>56</v>
      </c>
      <c r="M26" s="19">
        <f t="shared" si="6"/>
        <v>0.10714285714285714</v>
      </c>
      <c r="N26" s="16">
        <v>1</v>
      </c>
      <c r="O26" s="20">
        <f t="shared" ref="O26:P26" si="34">D26/7</f>
        <v>0.8571428571428571</v>
      </c>
      <c r="P26" s="20">
        <f t="shared" si="34"/>
        <v>0</v>
      </c>
      <c r="Q26" s="16">
        <f t="shared" si="8"/>
        <v>1</v>
      </c>
      <c r="R26" s="16"/>
      <c r="S26" s="21">
        <v>2.7841726618705041</v>
      </c>
      <c r="T26" s="14">
        <v>900</v>
      </c>
      <c r="U26" s="22">
        <v>340</v>
      </c>
      <c r="V26" s="23" t="s">
        <v>1626</v>
      </c>
      <c r="W26" s="30">
        <v>0</v>
      </c>
      <c r="X26" s="24">
        <f t="shared" si="9"/>
        <v>0</v>
      </c>
      <c r="Y26" s="25">
        <f t="shared" si="10"/>
        <v>0</v>
      </c>
      <c r="Z26" s="30">
        <v>0</v>
      </c>
      <c r="AA26" s="14" t="s">
        <v>35</v>
      </c>
      <c r="AB26" s="27">
        <f t="shared" si="11"/>
        <v>-0.69</v>
      </c>
      <c r="AC26" s="28">
        <v>1.7890914351851851E-2</v>
      </c>
      <c r="AD26" s="25">
        <f t="shared" si="12"/>
        <v>-0.14813677083333332</v>
      </c>
      <c r="AE26" s="25">
        <v>-4.9000000000000004</v>
      </c>
      <c r="AF26" s="25">
        <v>-11.5203636363636</v>
      </c>
      <c r="AG26" s="25">
        <v>0</v>
      </c>
    </row>
    <row r="27" spans="1:33" ht="15.75" customHeight="1">
      <c r="A27" s="14" t="s">
        <v>53</v>
      </c>
      <c r="B27" s="14"/>
      <c r="C27" s="15" t="str">
        <f t="shared" si="4"/>
        <v xml:space="preserve"> - </v>
      </c>
      <c r="D27" s="16">
        <v>0</v>
      </c>
      <c r="E27" s="16">
        <v>0</v>
      </c>
      <c r="F27" s="17">
        <v>0</v>
      </c>
      <c r="G27" s="17">
        <v>0</v>
      </c>
      <c r="H27" s="18" t="e">
        <f t="shared" si="1"/>
        <v>#DIV/0!</v>
      </c>
      <c r="I27" s="18" t="e">
        <f t="shared" si="2"/>
        <v>#DIV/0!</v>
      </c>
      <c r="J27" s="17">
        <f t="shared" si="5"/>
        <v>0</v>
      </c>
      <c r="K27" s="17" t="e">
        <f t="shared" si="3"/>
        <v>#DIV/0!</v>
      </c>
      <c r="L27" s="16">
        <v>0</v>
      </c>
      <c r="M27" s="19" t="str">
        <f t="shared" si="6"/>
        <v>-</v>
      </c>
      <c r="N27" s="16">
        <v>0</v>
      </c>
      <c r="O27" s="20">
        <f t="shared" ref="O27:P27" si="35">D27/7</f>
        <v>0</v>
      </c>
      <c r="P27" s="20">
        <f t="shared" si="35"/>
        <v>0</v>
      </c>
      <c r="Q27" s="16" t="e">
        <f t="shared" si="8"/>
        <v>#DIV/0!</v>
      </c>
      <c r="R27" s="16"/>
      <c r="S27" s="21">
        <v>0</v>
      </c>
      <c r="T27" s="14">
        <v>900</v>
      </c>
      <c r="U27" s="22">
        <v>340</v>
      </c>
      <c r="V27" s="23" t="s">
        <v>1629</v>
      </c>
      <c r="W27" s="30">
        <v>0</v>
      </c>
      <c r="X27" s="24">
        <f t="shared" si="9"/>
        <v>0</v>
      </c>
      <c r="Y27" s="25">
        <f t="shared" si="10"/>
        <v>0</v>
      </c>
      <c r="Z27" s="30">
        <v>0</v>
      </c>
      <c r="AA27" s="14" t="s">
        <v>35</v>
      </c>
      <c r="AB27" s="27">
        <f t="shared" si="11"/>
        <v>-0.69</v>
      </c>
      <c r="AC27" s="28">
        <v>1.7890914351851851E-2</v>
      </c>
      <c r="AD27" s="25">
        <f t="shared" si="12"/>
        <v>0</v>
      </c>
      <c r="AE27" s="25">
        <v>-4.9000000000000004</v>
      </c>
      <c r="AF27" s="25">
        <v>-12.0969068181818</v>
      </c>
      <c r="AG27" s="25">
        <v>0</v>
      </c>
    </row>
    <row r="28" spans="1:33" ht="15.75" customHeight="1">
      <c r="A28" s="14" t="s">
        <v>54</v>
      </c>
      <c r="B28" s="14"/>
      <c r="C28" s="15" t="str">
        <f t="shared" si="4"/>
        <v xml:space="preserve"> - </v>
      </c>
      <c r="D28" s="16">
        <v>0</v>
      </c>
      <c r="E28" s="16">
        <v>0</v>
      </c>
      <c r="F28" s="17">
        <v>0</v>
      </c>
      <c r="G28" s="17">
        <v>0</v>
      </c>
      <c r="H28" s="18" t="e">
        <f t="shared" si="1"/>
        <v>#DIV/0!</v>
      </c>
      <c r="I28" s="18" t="e">
        <f t="shared" si="2"/>
        <v>#DIV/0!</v>
      </c>
      <c r="J28" s="17">
        <f t="shared" si="5"/>
        <v>0</v>
      </c>
      <c r="K28" s="17" t="e">
        <f t="shared" si="3"/>
        <v>#DIV/0!</v>
      </c>
      <c r="L28" s="16">
        <v>0</v>
      </c>
      <c r="M28" s="19" t="str">
        <f t="shared" si="6"/>
        <v>-</v>
      </c>
      <c r="N28" s="16">
        <v>0</v>
      </c>
      <c r="O28" s="20">
        <f t="shared" ref="O28:P28" si="36">D28/7</f>
        <v>0</v>
      </c>
      <c r="P28" s="20">
        <f t="shared" si="36"/>
        <v>0</v>
      </c>
      <c r="Q28" s="16" t="e">
        <f t="shared" si="8"/>
        <v>#DIV/0!</v>
      </c>
      <c r="R28" s="16"/>
      <c r="S28" s="21">
        <v>0</v>
      </c>
      <c r="T28" s="14">
        <v>340</v>
      </c>
      <c r="U28" s="22">
        <v>44384</v>
      </c>
      <c r="V28" s="23" t="s">
        <v>1629</v>
      </c>
      <c r="W28" s="30">
        <v>0</v>
      </c>
      <c r="X28" s="24">
        <f t="shared" si="9"/>
        <v>0</v>
      </c>
      <c r="Y28" s="25">
        <f t="shared" si="10"/>
        <v>0</v>
      </c>
      <c r="Z28" s="30">
        <v>0</v>
      </c>
      <c r="AA28" s="14" t="s">
        <v>35</v>
      </c>
      <c r="AB28" s="27">
        <f t="shared" si="11"/>
        <v>-0.69</v>
      </c>
      <c r="AC28" s="28">
        <v>1.7890914351851851E-2</v>
      </c>
      <c r="AD28" s="25">
        <f t="shared" si="12"/>
        <v>0</v>
      </c>
      <c r="AE28" s="25">
        <v>-4.9000000000000004</v>
      </c>
      <c r="AF28" s="25">
        <v>-12.0969068181818</v>
      </c>
      <c r="AG28" s="25">
        <v>0</v>
      </c>
    </row>
    <row r="29" spans="1:33" ht="15.75" customHeight="1">
      <c r="A29" s="14" t="s">
        <v>55</v>
      </c>
      <c r="B29" s="14" t="s">
        <v>1630</v>
      </c>
      <c r="C29" s="15" t="str">
        <f t="shared" si="4"/>
        <v xml:space="preserve"> - </v>
      </c>
      <c r="D29" s="16">
        <v>0</v>
      </c>
      <c r="E29" s="16">
        <v>0</v>
      </c>
      <c r="F29" s="17">
        <v>0</v>
      </c>
      <c r="G29" s="17">
        <v>0</v>
      </c>
      <c r="H29" s="18" t="e">
        <f t="shared" si="1"/>
        <v>#DIV/0!</v>
      </c>
      <c r="I29" s="18" t="e">
        <f t="shared" si="2"/>
        <v>#DIV/0!</v>
      </c>
      <c r="J29" s="17">
        <f t="shared" si="5"/>
        <v>0</v>
      </c>
      <c r="K29" s="17" t="e">
        <f t="shared" si="3"/>
        <v>#DIV/0!</v>
      </c>
      <c r="L29" s="16">
        <v>0</v>
      </c>
      <c r="M29" s="19" t="str">
        <f t="shared" si="6"/>
        <v>-</v>
      </c>
      <c r="N29" s="16">
        <v>1</v>
      </c>
      <c r="O29" s="20">
        <f t="shared" ref="O29:P29" si="37">D29/7</f>
        <v>0</v>
      </c>
      <c r="P29" s="20">
        <f t="shared" si="37"/>
        <v>0</v>
      </c>
      <c r="Q29" s="16" t="e">
        <f t="shared" si="8"/>
        <v>#DIV/0!</v>
      </c>
      <c r="R29" s="16"/>
      <c r="S29" s="21">
        <v>4.5493562231759661</v>
      </c>
      <c r="T29" s="14">
        <v>340</v>
      </c>
      <c r="U29" s="22">
        <v>44386</v>
      </c>
      <c r="V29" s="23" t="s">
        <v>1631</v>
      </c>
      <c r="W29" s="30">
        <v>0</v>
      </c>
      <c r="X29" s="24">
        <f t="shared" si="9"/>
        <v>0</v>
      </c>
      <c r="Y29" s="25">
        <f t="shared" si="10"/>
        <v>0</v>
      </c>
      <c r="Z29" s="30">
        <v>0</v>
      </c>
      <c r="AA29" s="14" t="s">
        <v>35</v>
      </c>
      <c r="AB29" s="27">
        <f t="shared" si="11"/>
        <v>-0.69</v>
      </c>
      <c r="AC29" s="28">
        <v>1.7890914351851851E-2</v>
      </c>
      <c r="AD29" s="25">
        <f t="shared" si="12"/>
        <v>0</v>
      </c>
      <c r="AE29" s="25">
        <v>-4.9000000000000004</v>
      </c>
      <c r="AF29" s="25">
        <v>-12.0969068181818</v>
      </c>
      <c r="AG29" s="25">
        <v>0</v>
      </c>
    </row>
    <row r="30" spans="1:33" ht="15.75" customHeight="1">
      <c r="A30" s="14" t="s">
        <v>57</v>
      </c>
      <c r="B30" s="14" t="s">
        <v>45</v>
      </c>
      <c r="C30" s="15">
        <f t="shared" si="4"/>
        <v>24.95</v>
      </c>
      <c r="D30" s="16">
        <v>2</v>
      </c>
      <c r="E30" s="16">
        <v>0</v>
      </c>
      <c r="F30" s="17">
        <v>49.9</v>
      </c>
      <c r="G30" s="17">
        <v>0</v>
      </c>
      <c r="H30" s="18">
        <f t="shared" si="1"/>
        <v>0</v>
      </c>
      <c r="I30" s="18">
        <f t="shared" si="2"/>
        <v>0.1662425822923625</v>
      </c>
      <c r="J30" s="17">
        <f t="shared" si="5"/>
        <v>8.295504856388888</v>
      </c>
      <c r="K30" s="17">
        <f t="shared" si="3"/>
        <v>4.147752428194444</v>
      </c>
      <c r="L30" s="16">
        <v>37</v>
      </c>
      <c r="M30" s="19">
        <f t="shared" si="6"/>
        <v>5.4054054054054057E-2</v>
      </c>
      <c r="N30" s="16">
        <v>0</v>
      </c>
      <c r="O30" s="20">
        <f t="shared" ref="O30:P30" si="38">D30/7</f>
        <v>0.2857142857142857</v>
      </c>
      <c r="P30" s="20">
        <f t="shared" si="38"/>
        <v>0</v>
      </c>
      <c r="Q30" s="16">
        <f t="shared" si="8"/>
        <v>0</v>
      </c>
      <c r="R30" s="16"/>
      <c r="S30" s="21">
        <v>2.574358974358975</v>
      </c>
      <c r="T30" s="14">
        <v>560</v>
      </c>
      <c r="U30" s="22" t="s">
        <v>34</v>
      </c>
      <c r="V30" s="23" t="s">
        <v>34</v>
      </c>
      <c r="W30" s="30">
        <v>0</v>
      </c>
      <c r="X30" s="24">
        <f t="shared" si="9"/>
        <v>0</v>
      </c>
      <c r="Y30" s="25">
        <f t="shared" si="10"/>
        <v>0</v>
      </c>
      <c r="Z30" s="30">
        <v>0</v>
      </c>
      <c r="AA30" s="14" t="s">
        <v>35</v>
      </c>
      <c r="AB30" s="27">
        <f t="shared" si="11"/>
        <v>-0.69</v>
      </c>
      <c r="AC30" s="28">
        <v>1.7890914351851851E-2</v>
      </c>
      <c r="AD30" s="25">
        <f t="shared" si="12"/>
        <v>-4.9378923611111104E-2</v>
      </c>
      <c r="AE30" s="25">
        <v>-4.9000000000000004</v>
      </c>
      <c r="AF30" s="25">
        <v>-12.135058109999999</v>
      </c>
      <c r="AG30" s="25">
        <v>0</v>
      </c>
    </row>
    <row r="31" spans="1:33" ht="15.75" customHeight="1">
      <c r="A31" s="14" t="s">
        <v>58</v>
      </c>
      <c r="B31" s="14" t="s">
        <v>45</v>
      </c>
      <c r="C31" s="15">
        <f t="shared" si="4"/>
        <v>24.95</v>
      </c>
      <c r="D31" s="16">
        <v>2</v>
      </c>
      <c r="E31" s="16">
        <v>0</v>
      </c>
      <c r="F31" s="17">
        <v>49.9</v>
      </c>
      <c r="G31" s="17">
        <v>0</v>
      </c>
      <c r="H31" s="18">
        <f t="shared" si="1"/>
        <v>0</v>
      </c>
      <c r="I31" s="18">
        <f t="shared" si="2"/>
        <v>0.16624258229236241</v>
      </c>
      <c r="J31" s="17">
        <f t="shared" si="5"/>
        <v>8.2955048563888845</v>
      </c>
      <c r="K31" s="17">
        <f t="shared" si="3"/>
        <v>4.1477524281944422</v>
      </c>
      <c r="L31" s="16">
        <v>20</v>
      </c>
      <c r="M31" s="19">
        <f t="shared" si="6"/>
        <v>0.1</v>
      </c>
      <c r="N31" s="16">
        <v>1</v>
      </c>
      <c r="O31" s="20">
        <f t="shared" ref="O31:P31" si="39">D31/7</f>
        <v>0.2857142857142857</v>
      </c>
      <c r="P31" s="20">
        <f t="shared" si="39"/>
        <v>0</v>
      </c>
      <c r="Q31" s="16">
        <f t="shared" si="8"/>
        <v>3</v>
      </c>
      <c r="R31" s="16"/>
      <c r="S31" s="21" t="e">
        <v>#N/A</v>
      </c>
      <c r="T31" s="14" t="s">
        <v>34</v>
      </c>
      <c r="U31" s="22" t="s">
        <v>34</v>
      </c>
      <c r="V31" s="23" t="s">
        <v>1632</v>
      </c>
      <c r="W31" s="30">
        <v>0</v>
      </c>
      <c r="X31" s="24">
        <f t="shared" si="9"/>
        <v>0</v>
      </c>
      <c r="Y31" s="25">
        <f t="shared" si="10"/>
        <v>0</v>
      </c>
      <c r="Z31" s="30">
        <v>0</v>
      </c>
      <c r="AA31" s="14" t="s">
        <v>35</v>
      </c>
      <c r="AB31" s="27">
        <f t="shared" si="11"/>
        <v>-0.69</v>
      </c>
      <c r="AC31" s="28">
        <v>1.7890914351851851E-2</v>
      </c>
      <c r="AD31" s="25">
        <f t="shared" si="12"/>
        <v>-4.9378923611111104E-2</v>
      </c>
      <c r="AE31" s="25">
        <v>-4.9000000000000004</v>
      </c>
      <c r="AF31" s="25">
        <v>-12.135058110000001</v>
      </c>
      <c r="AG31" s="25">
        <v>0</v>
      </c>
    </row>
    <row r="32" spans="1:33" ht="15.75" customHeight="1">
      <c r="A32" s="14" t="s">
        <v>60</v>
      </c>
      <c r="B32" s="14"/>
      <c r="C32" s="15" t="str">
        <f t="shared" si="4"/>
        <v xml:space="preserve"> - </v>
      </c>
      <c r="D32" s="16">
        <v>0</v>
      </c>
      <c r="E32" s="16">
        <v>0</v>
      </c>
      <c r="F32" s="17">
        <v>0</v>
      </c>
      <c r="G32" s="17">
        <v>0</v>
      </c>
      <c r="H32" s="18" t="e">
        <f t="shared" si="1"/>
        <v>#DIV/0!</v>
      </c>
      <c r="I32" s="18" t="e">
        <f t="shared" si="2"/>
        <v>#DIV/0!</v>
      </c>
      <c r="J32" s="17">
        <f t="shared" si="5"/>
        <v>0</v>
      </c>
      <c r="K32" s="17" t="e">
        <f t="shared" si="3"/>
        <v>#DIV/0!</v>
      </c>
      <c r="L32" s="16">
        <v>0</v>
      </c>
      <c r="M32" s="19" t="str">
        <f t="shared" si="6"/>
        <v>-</v>
      </c>
      <c r="N32" s="16">
        <v>1</v>
      </c>
      <c r="O32" s="20">
        <f t="shared" ref="O32:P32" si="40">D32/7</f>
        <v>0</v>
      </c>
      <c r="P32" s="20">
        <f t="shared" si="40"/>
        <v>0</v>
      </c>
      <c r="Q32" s="16" t="e">
        <f t="shared" si="8"/>
        <v>#DIV/0!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0</v>
      </c>
      <c r="T32" s="14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23" t="str">
        <f ca="1">IFERROR(__xludf.DUMMYFUNCTION("IFERROR(VLOOKUP($B$2,IMPORTRANGE(""https://docs.google.com/spreadsheets/d/1KiWZV1ko8G7lnRucBRBd29jj3Be6ltMfljMDqzOkQmI/edit#gid=1381463014"",""Lookup!A:D""),2,FALSE),"""")"),"**No Inventory In The Works**")</f>
        <v>**No Inventory In The Works**</v>
      </c>
      <c r="W32" s="30">
        <v>0</v>
      </c>
      <c r="X32" s="24">
        <f t="shared" si="9"/>
        <v>0</v>
      </c>
      <c r="Y32" s="25">
        <f t="shared" si="10"/>
        <v>0</v>
      </c>
      <c r="Z32" s="30">
        <v>0</v>
      </c>
      <c r="AA32" s="14" t="s">
        <v>35</v>
      </c>
      <c r="AB32" s="27">
        <f t="shared" si="11"/>
        <v>-0.69</v>
      </c>
      <c r="AC32" s="28">
        <v>1.7890914351851851E-2</v>
      </c>
      <c r="AD32" s="25">
        <f t="shared" si="12"/>
        <v>0</v>
      </c>
      <c r="AE32" s="25">
        <v>-4.9000000000000004</v>
      </c>
      <c r="AF32" s="25">
        <v>-12.135058109999999</v>
      </c>
      <c r="AG32" s="25">
        <v>0</v>
      </c>
    </row>
    <row r="33" spans="1:33" ht="15.75" customHeight="1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16"/>
      <c r="S33" s="21"/>
      <c r="T33" s="31"/>
      <c r="U33" s="36"/>
      <c r="V33" s="1"/>
      <c r="W33" s="31"/>
      <c r="X33" s="31"/>
      <c r="Y33" s="31"/>
      <c r="Z33" s="31"/>
      <c r="AA33" s="2"/>
      <c r="AB33" s="31"/>
      <c r="AC33" s="31"/>
      <c r="AD33" s="31"/>
      <c r="AE33" s="37"/>
      <c r="AF33" s="37"/>
      <c r="AG33" s="37"/>
    </row>
    <row r="34" spans="1:33" ht="15.75" customHeight="1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6"/>
      <c r="V34" s="1"/>
      <c r="W34" s="31"/>
      <c r="X34" s="31"/>
      <c r="Y34" s="31"/>
      <c r="Z34" s="31"/>
      <c r="AA34" s="2"/>
      <c r="AB34" s="31"/>
      <c r="AC34" s="31"/>
      <c r="AD34" s="31"/>
      <c r="AE34" s="37"/>
      <c r="AF34" s="37"/>
      <c r="AG34" s="37"/>
    </row>
    <row r="35" spans="1:33" ht="15.75" customHeight="1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6"/>
      <c r="V35" s="1"/>
      <c r="W35" s="31"/>
      <c r="X35" s="31"/>
      <c r="Y35" s="31"/>
      <c r="Z35" s="31"/>
      <c r="AA35" s="2"/>
      <c r="AB35" s="31"/>
      <c r="AC35" s="31"/>
      <c r="AD35" s="31"/>
      <c r="AE35" s="37"/>
      <c r="AF35" s="37"/>
      <c r="AG35" s="37"/>
    </row>
    <row r="36" spans="1:33" ht="15.75" customHeight="1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6"/>
      <c r="V36" s="1"/>
      <c r="W36" s="31"/>
      <c r="X36" s="31"/>
      <c r="Y36" s="31"/>
      <c r="Z36" s="31"/>
      <c r="AA36" s="2"/>
      <c r="AB36" s="31"/>
      <c r="AC36" s="31"/>
      <c r="AD36" s="31"/>
      <c r="AE36" s="37"/>
      <c r="AF36" s="37"/>
      <c r="AG36" s="37"/>
    </row>
    <row r="37" spans="1:33" ht="15.75" customHeight="1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6"/>
      <c r="V37" s="1"/>
      <c r="W37" s="31"/>
      <c r="X37" s="31"/>
      <c r="Y37" s="31"/>
      <c r="Z37" s="31"/>
      <c r="AA37" s="2"/>
      <c r="AB37" s="31"/>
      <c r="AC37" s="31"/>
      <c r="AD37" s="31"/>
      <c r="AE37" s="37"/>
      <c r="AF37" s="37"/>
      <c r="AG37" s="37"/>
    </row>
    <row r="38" spans="1:33" ht="15.75" customHeight="1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6"/>
      <c r="V38" s="1"/>
      <c r="W38" s="31"/>
      <c r="X38" s="31"/>
      <c r="Y38" s="31"/>
      <c r="Z38" s="31"/>
      <c r="AA38" s="2"/>
      <c r="AB38" s="31"/>
      <c r="AC38" s="31"/>
      <c r="AD38" s="31"/>
      <c r="AE38" s="37"/>
      <c r="AF38" s="37"/>
      <c r="AG38" s="37"/>
    </row>
    <row r="39" spans="1:33" ht="15.75" customHeight="1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6"/>
      <c r="V39" s="1"/>
      <c r="W39" s="31"/>
      <c r="X39" s="31"/>
      <c r="Y39" s="31"/>
      <c r="Z39" s="31"/>
      <c r="AA39" s="2"/>
      <c r="AB39" s="31"/>
      <c r="AC39" s="31"/>
      <c r="AD39" s="31"/>
      <c r="AE39" s="37"/>
      <c r="AF39" s="37"/>
      <c r="AG39" s="37"/>
    </row>
    <row r="40" spans="1:33" ht="15.75" customHeight="1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6"/>
      <c r="V40" s="1"/>
      <c r="W40" s="31"/>
      <c r="X40" s="31"/>
      <c r="Y40" s="31"/>
      <c r="Z40" s="31"/>
      <c r="AA40" s="2"/>
      <c r="AB40" s="31"/>
      <c r="AC40" s="31"/>
      <c r="AD40" s="31"/>
      <c r="AE40" s="37"/>
      <c r="AF40" s="37"/>
      <c r="AG40" s="37"/>
    </row>
    <row r="41" spans="1:33" ht="15.75" customHeight="1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6"/>
      <c r="V41" s="1"/>
      <c r="W41" s="31"/>
      <c r="X41" s="31"/>
      <c r="Y41" s="31"/>
      <c r="Z41" s="31"/>
      <c r="AA41" s="2"/>
      <c r="AB41" s="31"/>
      <c r="AC41" s="31"/>
      <c r="AD41" s="31"/>
      <c r="AE41" s="37"/>
      <c r="AF41" s="37"/>
      <c r="AG41" s="37"/>
    </row>
    <row r="42" spans="1:33" ht="15.75" customHeight="1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6"/>
      <c r="V42" s="1"/>
      <c r="W42" s="31"/>
      <c r="X42" s="31"/>
      <c r="Y42" s="31"/>
      <c r="Z42" s="31"/>
      <c r="AA42" s="2"/>
      <c r="AB42" s="31"/>
      <c r="AC42" s="31"/>
      <c r="AD42" s="31"/>
      <c r="AE42" s="37"/>
      <c r="AF42" s="37"/>
      <c r="AG42" s="37"/>
    </row>
    <row r="43" spans="1:33" ht="15.75" customHeight="1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6"/>
      <c r="V43" s="1"/>
      <c r="W43" s="31"/>
      <c r="X43" s="31"/>
      <c r="Y43" s="31"/>
      <c r="Z43" s="31"/>
      <c r="AA43" s="2"/>
      <c r="AB43" s="31"/>
      <c r="AC43" s="31"/>
      <c r="AD43" s="31"/>
      <c r="AE43" s="37"/>
      <c r="AF43" s="37"/>
      <c r="AG43" s="37"/>
    </row>
    <row r="44" spans="1:33" ht="15.75" customHeight="1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6"/>
      <c r="V44" s="1"/>
      <c r="W44" s="31"/>
      <c r="X44" s="31"/>
      <c r="Y44" s="31"/>
      <c r="Z44" s="31"/>
      <c r="AA44" s="2"/>
      <c r="AB44" s="31"/>
      <c r="AC44" s="31"/>
      <c r="AD44" s="31"/>
      <c r="AE44" s="37"/>
      <c r="AF44" s="37"/>
      <c r="AG44" s="37"/>
    </row>
    <row r="45" spans="1:33" ht="15.75" customHeight="1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6"/>
      <c r="V45" s="1"/>
      <c r="W45" s="31"/>
      <c r="X45" s="31"/>
      <c r="Y45" s="31"/>
      <c r="Z45" s="31"/>
      <c r="AA45" s="2"/>
      <c r="AB45" s="31"/>
      <c r="AC45" s="31"/>
      <c r="AD45" s="31"/>
      <c r="AE45" s="37"/>
      <c r="AF45" s="37"/>
      <c r="AG45" s="37"/>
    </row>
    <row r="46" spans="1:33" ht="15.75" customHeight="1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6"/>
      <c r="V46" s="1"/>
      <c r="W46" s="31"/>
      <c r="X46" s="31"/>
      <c r="Y46" s="31"/>
      <c r="Z46" s="31"/>
      <c r="AA46" s="2"/>
      <c r="AB46" s="31"/>
      <c r="AC46" s="31"/>
      <c r="AD46" s="31"/>
      <c r="AE46" s="37"/>
      <c r="AF46" s="37"/>
      <c r="AG46" s="37"/>
    </row>
    <row r="47" spans="1:33" ht="15.75" customHeight="1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6"/>
      <c r="V47" s="1"/>
      <c r="W47" s="31"/>
      <c r="X47" s="31"/>
      <c r="Y47" s="31"/>
      <c r="Z47" s="31"/>
      <c r="AA47" s="2"/>
      <c r="AB47" s="31"/>
      <c r="AC47" s="31"/>
      <c r="AD47" s="31"/>
      <c r="AE47" s="37"/>
      <c r="AF47" s="37"/>
      <c r="AG47" s="37"/>
    </row>
    <row r="48" spans="1:33" ht="15.75" customHeight="1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6"/>
      <c r="V48" s="1"/>
      <c r="W48" s="31"/>
      <c r="X48" s="31"/>
      <c r="Y48" s="31"/>
      <c r="Z48" s="31"/>
      <c r="AA48" s="2"/>
      <c r="AB48" s="31"/>
      <c r="AC48" s="31"/>
      <c r="AD48" s="31"/>
      <c r="AE48" s="37"/>
      <c r="AF48" s="37"/>
      <c r="AG48" s="37"/>
    </row>
    <row r="49" spans="1:33" ht="15.75" customHeight="1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6"/>
      <c r="V49" s="1"/>
      <c r="W49" s="31"/>
      <c r="X49" s="31"/>
      <c r="Y49" s="31"/>
      <c r="Z49" s="31"/>
      <c r="AA49" s="2"/>
      <c r="AB49" s="31"/>
      <c r="AC49" s="31"/>
      <c r="AD49" s="31"/>
      <c r="AE49" s="37"/>
      <c r="AF49" s="37"/>
      <c r="AG49" s="37"/>
    </row>
    <row r="50" spans="1:33" ht="15.75" customHeight="1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6"/>
      <c r="V50" s="1"/>
      <c r="W50" s="31"/>
      <c r="X50" s="31"/>
      <c r="Y50" s="31"/>
      <c r="Z50" s="31"/>
      <c r="AA50" s="2"/>
      <c r="AB50" s="31"/>
      <c r="AC50" s="31"/>
      <c r="AD50" s="31"/>
      <c r="AE50" s="37"/>
      <c r="AF50" s="37"/>
      <c r="AG50" s="37"/>
    </row>
    <row r="51" spans="1:33" ht="15.75" customHeight="1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6"/>
      <c r="V51" s="1"/>
      <c r="W51" s="31"/>
      <c r="X51" s="31"/>
      <c r="Y51" s="31"/>
      <c r="Z51" s="31"/>
      <c r="AA51" s="2"/>
      <c r="AB51" s="31"/>
      <c r="AC51" s="31"/>
      <c r="AD51" s="31"/>
      <c r="AE51" s="37"/>
      <c r="AF51" s="37"/>
      <c r="AG51" s="37"/>
    </row>
    <row r="52" spans="1:33" ht="15.75" customHeight="1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6"/>
      <c r="V52" s="1"/>
      <c r="W52" s="31"/>
      <c r="X52" s="31"/>
      <c r="Y52" s="31"/>
      <c r="Z52" s="31"/>
      <c r="AA52" s="2"/>
      <c r="AB52" s="31"/>
      <c r="AC52" s="31"/>
      <c r="AD52" s="31"/>
      <c r="AE52" s="37"/>
      <c r="AF52" s="37"/>
      <c r="AG52" s="37"/>
    </row>
    <row r="53" spans="1:33" ht="15.75" customHeight="1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6"/>
      <c r="V53" s="1"/>
      <c r="W53" s="31"/>
      <c r="X53" s="31"/>
      <c r="Y53" s="31"/>
      <c r="Z53" s="31"/>
      <c r="AA53" s="2"/>
      <c r="AB53" s="31"/>
      <c r="AC53" s="31"/>
      <c r="AD53" s="31"/>
      <c r="AE53" s="37"/>
      <c r="AF53" s="37"/>
      <c r="AG53" s="37"/>
    </row>
    <row r="54" spans="1:33" ht="15.75" customHeight="1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6"/>
      <c r="V54" s="1"/>
      <c r="W54" s="31"/>
      <c r="X54" s="31"/>
      <c r="Y54" s="31"/>
      <c r="Z54" s="31"/>
      <c r="AA54" s="2"/>
      <c r="AB54" s="31"/>
      <c r="AC54" s="31"/>
      <c r="AD54" s="31"/>
      <c r="AE54" s="37"/>
      <c r="AF54" s="37"/>
      <c r="AG54" s="37"/>
    </row>
    <row r="55" spans="1:33" ht="15.75" customHeight="1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6"/>
      <c r="V55" s="1"/>
      <c r="W55" s="31"/>
      <c r="X55" s="31"/>
      <c r="Y55" s="31"/>
      <c r="Z55" s="31"/>
      <c r="AA55" s="2"/>
      <c r="AB55" s="31"/>
      <c r="AC55" s="31"/>
      <c r="AD55" s="31"/>
      <c r="AE55" s="37"/>
      <c r="AF55" s="37"/>
      <c r="AG55" s="37"/>
    </row>
    <row r="56" spans="1:33" ht="15.75" customHeight="1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6"/>
      <c r="V56" s="1"/>
      <c r="W56" s="31"/>
      <c r="X56" s="31"/>
      <c r="Y56" s="31"/>
      <c r="Z56" s="31"/>
      <c r="AA56" s="2"/>
      <c r="AB56" s="31"/>
      <c r="AC56" s="31"/>
      <c r="AD56" s="31"/>
      <c r="AE56" s="37"/>
      <c r="AF56" s="37"/>
      <c r="AG56" s="37"/>
    </row>
    <row r="57" spans="1:33" ht="15.75" customHeight="1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6"/>
      <c r="V57" s="1"/>
      <c r="W57" s="31"/>
      <c r="X57" s="31"/>
      <c r="Y57" s="31"/>
      <c r="Z57" s="31"/>
      <c r="AA57" s="2"/>
      <c r="AB57" s="31"/>
      <c r="AC57" s="31"/>
      <c r="AD57" s="31"/>
      <c r="AE57" s="37"/>
      <c r="AF57" s="37"/>
      <c r="AG57" s="37"/>
    </row>
    <row r="58" spans="1:33" ht="15.75" customHeight="1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6"/>
      <c r="V58" s="1"/>
      <c r="W58" s="31"/>
      <c r="X58" s="31"/>
      <c r="Y58" s="31"/>
      <c r="Z58" s="31"/>
      <c r="AA58" s="2"/>
      <c r="AB58" s="31"/>
      <c r="AC58" s="31"/>
      <c r="AD58" s="31"/>
      <c r="AE58" s="37"/>
      <c r="AF58" s="37"/>
      <c r="AG58" s="37"/>
    </row>
    <row r="59" spans="1:33" ht="15.75" customHeight="1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6"/>
      <c r="V59" s="1"/>
      <c r="W59" s="31"/>
      <c r="X59" s="31"/>
      <c r="Y59" s="31"/>
      <c r="Z59" s="31"/>
      <c r="AA59" s="2"/>
      <c r="AB59" s="31"/>
      <c r="AC59" s="31"/>
      <c r="AD59" s="31"/>
      <c r="AE59" s="37"/>
      <c r="AF59" s="37"/>
      <c r="AG59" s="37"/>
    </row>
    <row r="60" spans="1:33" ht="15.75" customHeight="1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6"/>
      <c r="V60" s="1"/>
      <c r="W60" s="31"/>
      <c r="X60" s="31"/>
      <c r="Y60" s="31"/>
      <c r="Z60" s="31"/>
      <c r="AA60" s="2"/>
      <c r="AB60" s="31"/>
      <c r="AC60" s="31"/>
      <c r="AD60" s="31"/>
      <c r="AE60" s="37"/>
      <c r="AF60" s="37"/>
      <c r="AG60" s="37"/>
    </row>
    <row r="61" spans="1:33" ht="15.75" customHeight="1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6"/>
      <c r="V61" s="1"/>
      <c r="W61" s="31"/>
      <c r="X61" s="31"/>
      <c r="Y61" s="31"/>
      <c r="Z61" s="31"/>
      <c r="AA61" s="2"/>
      <c r="AB61" s="31"/>
      <c r="AC61" s="31"/>
      <c r="AD61" s="31"/>
      <c r="AE61" s="37"/>
      <c r="AF61" s="37"/>
      <c r="AG61" s="37"/>
    </row>
    <row r="62" spans="1:33" ht="15.75" customHeight="1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6"/>
      <c r="V62" s="1"/>
      <c r="W62" s="31"/>
      <c r="X62" s="31"/>
      <c r="Y62" s="31"/>
      <c r="Z62" s="31"/>
      <c r="AA62" s="2"/>
      <c r="AB62" s="31"/>
      <c r="AC62" s="31"/>
      <c r="AD62" s="31"/>
      <c r="AE62" s="37"/>
      <c r="AF62" s="37"/>
      <c r="AG62" s="37"/>
    </row>
    <row r="63" spans="1:33" ht="15.75" customHeight="1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6"/>
      <c r="V63" s="1"/>
      <c r="W63" s="31"/>
      <c r="X63" s="31"/>
      <c r="Y63" s="31"/>
      <c r="Z63" s="31"/>
      <c r="AA63" s="2"/>
      <c r="AB63" s="31"/>
      <c r="AC63" s="31"/>
      <c r="AD63" s="31"/>
      <c r="AE63" s="37"/>
      <c r="AF63" s="37"/>
      <c r="AG63" s="37"/>
    </row>
    <row r="64" spans="1:33" ht="15.75" customHeight="1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6"/>
      <c r="V64" s="1"/>
      <c r="W64" s="31"/>
      <c r="X64" s="31"/>
      <c r="Y64" s="31"/>
      <c r="Z64" s="31"/>
      <c r="AA64" s="2"/>
      <c r="AB64" s="31"/>
      <c r="AC64" s="31"/>
      <c r="AD64" s="31"/>
      <c r="AE64" s="37"/>
      <c r="AF64" s="37"/>
      <c r="AG64" s="37"/>
    </row>
    <row r="65" spans="1:33" ht="15.75" customHeight="1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6"/>
      <c r="V65" s="1"/>
      <c r="W65" s="31"/>
      <c r="X65" s="31"/>
      <c r="Y65" s="31"/>
      <c r="Z65" s="31"/>
      <c r="AA65" s="2"/>
      <c r="AB65" s="31"/>
      <c r="AC65" s="31"/>
      <c r="AD65" s="31"/>
      <c r="AE65" s="37"/>
      <c r="AF65" s="37"/>
      <c r="AG65" s="37"/>
    </row>
    <row r="66" spans="1:33" ht="15.75" customHeight="1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6"/>
      <c r="V66" s="1"/>
      <c r="W66" s="31"/>
      <c r="X66" s="31"/>
      <c r="Y66" s="31"/>
      <c r="Z66" s="31"/>
      <c r="AA66" s="2"/>
      <c r="AB66" s="31"/>
      <c r="AC66" s="31"/>
      <c r="AD66" s="31"/>
      <c r="AE66" s="37"/>
      <c r="AF66" s="37"/>
      <c r="AG66" s="37"/>
    </row>
    <row r="67" spans="1:33" ht="15.75" customHeight="1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6"/>
      <c r="V67" s="1"/>
      <c r="W67" s="31"/>
      <c r="X67" s="31"/>
      <c r="Y67" s="31"/>
      <c r="Z67" s="31"/>
      <c r="AA67" s="2"/>
      <c r="AB67" s="31"/>
      <c r="AC67" s="31"/>
      <c r="AD67" s="31"/>
      <c r="AE67" s="37"/>
      <c r="AF67" s="37"/>
      <c r="AG67" s="37"/>
    </row>
    <row r="68" spans="1:33" ht="15.75" customHeight="1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6"/>
      <c r="V68" s="1"/>
      <c r="W68" s="31"/>
      <c r="X68" s="31"/>
      <c r="Y68" s="31"/>
      <c r="Z68" s="31"/>
      <c r="AA68" s="2"/>
      <c r="AB68" s="31"/>
      <c r="AC68" s="31"/>
      <c r="AD68" s="31"/>
      <c r="AE68" s="37"/>
      <c r="AF68" s="37"/>
      <c r="AG68" s="37"/>
    </row>
    <row r="69" spans="1:33" ht="15.75" customHeight="1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6"/>
      <c r="V69" s="1"/>
      <c r="W69" s="31"/>
      <c r="X69" s="31"/>
      <c r="Y69" s="31"/>
      <c r="Z69" s="31"/>
      <c r="AA69" s="2"/>
      <c r="AB69" s="31"/>
      <c r="AC69" s="31"/>
      <c r="AD69" s="31"/>
      <c r="AE69" s="37"/>
      <c r="AF69" s="37"/>
      <c r="AG69" s="37"/>
    </row>
    <row r="70" spans="1:33" ht="15.75" customHeight="1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6"/>
      <c r="V70" s="1"/>
      <c r="W70" s="31"/>
      <c r="X70" s="31"/>
      <c r="Y70" s="31"/>
      <c r="Z70" s="31"/>
      <c r="AA70" s="2"/>
      <c r="AB70" s="31"/>
      <c r="AC70" s="31"/>
      <c r="AD70" s="31"/>
      <c r="AE70" s="37"/>
      <c r="AF70" s="37"/>
      <c r="AG70" s="37"/>
    </row>
    <row r="71" spans="1:33" ht="15.75" customHeight="1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6"/>
      <c r="V71" s="1"/>
      <c r="W71" s="31"/>
      <c r="X71" s="31"/>
      <c r="Y71" s="31"/>
      <c r="Z71" s="31"/>
      <c r="AA71" s="2"/>
      <c r="AB71" s="31"/>
      <c r="AC71" s="31"/>
      <c r="AD71" s="31"/>
      <c r="AE71" s="37"/>
      <c r="AF71" s="37"/>
      <c r="AG71" s="37"/>
    </row>
    <row r="72" spans="1:33" ht="15.75" customHeight="1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6"/>
      <c r="V72" s="1"/>
      <c r="W72" s="31"/>
      <c r="X72" s="31"/>
      <c r="Y72" s="31"/>
      <c r="Z72" s="31"/>
      <c r="AA72" s="2"/>
      <c r="AB72" s="31"/>
      <c r="AC72" s="31"/>
      <c r="AD72" s="31"/>
      <c r="AE72" s="37"/>
      <c r="AF72" s="37"/>
      <c r="AG72" s="37"/>
    </row>
    <row r="73" spans="1:33" ht="15.75" customHeight="1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6"/>
      <c r="V73" s="1"/>
      <c r="W73" s="31"/>
      <c r="X73" s="31"/>
      <c r="Y73" s="31"/>
      <c r="Z73" s="31"/>
      <c r="AA73" s="2"/>
      <c r="AB73" s="31"/>
      <c r="AC73" s="31"/>
      <c r="AD73" s="31"/>
      <c r="AE73" s="37"/>
      <c r="AF73" s="37"/>
      <c r="AG73" s="37"/>
    </row>
    <row r="74" spans="1:33" ht="15.75" customHeight="1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6"/>
      <c r="V74" s="1"/>
      <c r="W74" s="31"/>
      <c r="X74" s="31"/>
      <c r="Y74" s="31"/>
      <c r="Z74" s="31"/>
      <c r="AA74" s="2"/>
      <c r="AB74" s="31"/>
      <c r="AC74" s="31"/>
      <c r="AD74" s="31"/>
      <c r="AE74" s="37"/>
      <c r="AF74" s="37"/>
      <c r="AG74" s="37"/>
    </row>
    <row r="75" spans="1:33" ht="15.75" customHeight="1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6"/>
      <c r="V75" s="1"/>
      <c r="W75" s="31"/>
      <c r="X75" s="31"/>
      <c r="Y75" s="31"/>
      <c r="Z75" s="31"/>
      <c r="AA75" s="2"/>
      <c r="AB75" s="31"/>
      <c r="AC75" s="31"/>
      <c r="AD75" s="31"/>
      <c r="AE75" s="37"/>
      <c r="AF75" s="37"/>
      <c r="AG75" s="37"/>
    </row>
    <row r="76" spans="1:33" ht="15.75" customHeight="1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6"/>
      <c r="V76" s="1"/>
      <c r="W76" s="31"/>
      <c r="X76" s="31"/>
      <c r="Y76" s="31"/>
      <c r="Z76" s="31"/>
      <c r="AA76" s="2"/>
      <c r="AB76" s="31"/>
      <c r="AC76" s="31"/>
      <c r="AD76" s="31"/>
      <c r="AE76" s="37"/>
      <c r="AF76" s="37"/>
      <c r="AG76" s="37"/>
    </row>
    <row r="77" spans="1:33" ht="15.75" customHeight="1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6"/>
      <c r="V77" s="1"/>
      <c r="W77" s="31"/>
      <c r="X77" s="31"/>
      <c r="Y77" s="31"/>
      <c r="Z77" s="31"/>
      <c r="AA77" s="2"/>
      <c r="AB77" s="31"/>
      <c r="AC77" s="31"/>
      <c r="AD77" s="31"/>
      <c r="AE77" s="37"/>
      <c r="AF77" s="37"/>
      <c r="AG77" s="37"/>
    </row>
    <row r="78" spans="1:33" ht="15.75" customHeight="1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6"/>
      <c r="V78" s="1"/>
      <c r="W78" s="31"/>
      <c r="X78" s="31"/>
      <c r="Y78" s="31"/>
      <c r="Z78" s="31"/>
      <c r="AA78" s="2"/>
      <c r="AB78" s="31"/>
      <c r="AC78" s="31"/>
      <c r="AD78" s="31"/>
      <c r="AE78" s="37"/>
      <c r="AF78" s="37"/>
      <c r="AG78" s="37"/>
    </row>
    <row r="79" spans="1:33" ht="15.75" customHeight="1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6"/>
      <c r="V79" s="1"/>
      <c r="W79" s="31"/>
      <c r="X79" s="31"/>
      <c r="Y79" s="31"/>
      <c r="Z79" s="31"/>
      <c r="AA79" s="2"/>
      <c r="AB79" s="31"/>
      <c r="AC79" s="31"/>
      <c r="AD79" s="31"/>
      <c r="AE79" s="37"/>
      <c r="AF79" s="37"/>
      <c r="AG79" s="37"/>
    </row>
    <row r="80" spans="1:33" ht="15.75" customHeight="1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6"/>
      <c r="V80" s="1"/>
      <c r="W80" s="31"/>
      <c r="X80" s="31"/>
      <c r="Y80" s="31"/>
      <c r="Z80" s="31"/>
      <c r="AA80" s="2"/>
      <c r="AB80" s="31"/>
      <c r="AC80" s="31"/>
      <c r="AD80" s="31"/>
      <c r="AE80" s="37"/>
      <c r="AF80" s="37"/>
      <c r="AG80" s="37"/>
    </row>
    <row r="81" spans="1:33" ht="15.75" customHeight="1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6"/>
      <c r="V81" s="1"/>
      <c r="W81" s="31"/>
      <c r="X81" s="31"/>
      <c r="Y81" s="31"/>
      <c r="Z81" s="31"/>
      <c r="AA81" s="2"/>
      <c r="AB81" s="31"/>
      <c r="AC81" s="31"/>
      <c r="AD81" s="31"/>
      <c r="AE81" s="37"/>
      <c r="AF81" s="37"/>
      <c r="AG81" s="37"/>
    </row>
    <row r="82" spans="1:33" ht="15.75" customHeight="1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6"/>
      <c r="V82" s="1"/>
      <c r="W82" s="31"/>
      <c r="X82" s="31"/>
      <c r="Y82" s="31"/>
      <c r="Z82" s="31"/>
      <c r="AA82" s="2"/>
      <c r="AB82" s="31"/>
      <c r="AC82" s="31"/>
      <c r="AD82" s="31"/>
      <c r="AE82" s="37"/>
      <c r="AF82" s="37"/>
      <c r="AG82" s="37"/>
    </row>
    <row r="83" spans="1:33" ht="15.75" customHeight="1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6"/>
      <c r="V83" s="1"/>
      <c r="W83" s="31"/>
      <c r="X83" s="31"/>
      <c r="Y83" s="31"/>
      <c r="Z83" s="31"/>
      <c r="AA83" s="2"/>
      <c r="AB83" s="31"/>
      <c r="AC83" s="31"/>
      <c r="AD83" s="31"/>
      <c r="AE83" s="37"/>
      <c r="AF83" s="37"/>
      <c r="AG83" s="37"/>
    </row>
    <row r="84" spans="1:33" ht="15.75" customHeight="1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6"/>
      <c r="V84" s="1"/>
      <c r="W84" s="31"/>
      <c r="X84" s="31"/>
      <c r="Y84" s="31"/>
      <c r="Z84" s="31"/>
      <c r="AA84" s="2"/>
      <c r="AB84" s="31"/>
      <c r="AC84" s="31"/>
      <c r="AD84" s="31"/>
      <c r="AE84" s="37"/>
      <c r="AF84" s="37"/>
      <c r="AG84" s="37"/>
    </row>
    <row r="85" spans="1:33" ht="15.75" customHeight="1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6"/>
      <c r="V85" s="1"/>
      <c r="W85" s="31"/>
      <c r="X85" s="31"/>
      <c r="Y85" s="31"/>
      <c r="Z85" s="31"/>
      <c r="AA85" s="2"/>
      <c r="AB85" s="31"/>
      <c r="AC85" s="31"/>
      <c r="AD85" s="31"/>
      <c r="AE85" s="37"/>
      <c r="AF85" s="37"/>
      <c r="AG85" s="37"/>
    </row>
    <row r="86" spans="1:33" ht="15.75" customHeight="1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6"/>
      <c r="V86" s="1"/>
      <c r="W86" s="31"/>
      <c r="X86" s="31"/>
      <c r="Y86" s="31"/>
      <c r="Z86" s="31"/>
      <c r="AA86" s="2"/>
      <c r="AB86" s="31"/>
      <c r="AC86" s="31"/>
      <c r="AD86" s="31"/>
      <c r="AE86" s="37"/>
      <c r="AF86" s="37"/>
      <c r="AG86" s="37"/>
    </row>
    <row r="87" spans="1:33" ht="15.75" customHeight="1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6"/>
      <c r="V87" s="1"/>
      <c r="W87" s="31"/>
      <c r="X87" s="31"/>
      <c r="Y87" s="31"/>
      <c r="Z87" s="31"/>
      <c r="AA87" s="2"/>
      <c r="AB87" s="31"/>
      <c r="AC87" s="31"/>
      <c r="AD87" s="31"/>
      <c r="AE87" s="37"/>
      <c r="AF87" s="37"/>
      <c r="AG87" s="37"/>
    </row>
    <row r="88" spans="1:33" ht="15.75" customHeight="1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6"/>
      <c r="V88" s="1"/>
      <c r="W88" s="31"/>
      <c r="X88" s="31"/>
      <c r="Y88" s="31"/>
      <c r="Z88" s="31"/>
      <c r="AA88" s="2"/>
      <c r="AB88" s="31"/>
      <c r="AC88" s="31"/>
      <c r="AD88" s="31"/>
      <c r="AE88" s="37"/>
      <c r="AF88" s="37"/>
      <c r="AG88" s="37"/>
    </row>
    <row r="89" spans="1:33" ht="15.75" customHeight="1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6"/>
      <c r="V89" s="1"/>
      <c r="W89" s="31"/>
      <c r="X89" s="31"/>
      <c r="Y89" s="31"/>
      <c r="Z89" s="31"/>
      <c r="AA89" s="2"/>
      <c r="AB89" s="31"/>
      <c r="AC89" s="31"/>
      <c r="AD89" s="31"/>
      <c r="AE89" s="37"/>
      <c r="AF89" s="37"/>
      <c r="AG89" s="37"/>
    </row>
    <row r="90" spans="1:33" ht="15.75" customHeight="1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6"/>
      <c r="V90" s="1"/>
      <c r="W90" s="31"/>
      <c r="X90" s="31"/>
      <c r="Y90" s="31"/>
      <c r="Z90" s="31"/>
      <c r="AA90" s="2"/>
      <c r="AB90" s="31"/>
      <c r="AC90" s="31"/>
      <c r="AD90" s="31"/>
      <c r="AE90" s="37"/>
      <c r="AF90" s="37"/>
      <c r="AG90" s="37"/>
    </row>
    <row r="91" spans="1:33" ht="15.75" customHeight="1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6"/>
      <c r="V91" s="1"/>
      <c r="W91" s="31"/>
      <c r="X91" s="31"/>
      <c r="Y91" s="31"/>
      <c r="Z91" s="31"/>
      <c r="AA91" s="2"/>
      <c r="AB91" s="31"/>
      <c r="AC91" s="31"/>
      <c r="AD91" s="31"/>
      <c r="AE91" s="37"/>
      <c r="AF91" s="37"/>
      <c r="AG91" s="37"/>
    </row>
    <row r="92" spans="1:33" ht="15.75" customHeight="1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6"/>
      <c r="V92" s="1"/>
      <c r="W92" s="31"/>
      <c r="X92" s="31"/>
      <c r="Y92" s="31"/>
      <c r="Z92" s="31"/>
      <c r="AA92" s="2"/>
      <c r="AB92" s="31"/>
      <c r="AC92" s="31"/>
      <c r="AD92" s="31"/>
      <c r="AE92" s="37"/>
      <c r="AF92" s="37"/>
      <c r="AG92" s="37"/>
    </row>
    <row r="93" spans="1:33" ht="15.75" customHeight="1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6"/>
      <c r="V93" s="1"/>
      <c r="W93" s="31"/>
      <c r="X93" s="31"/>
      <c r="Y93" s="31"/>
      <c r="Z93" s="31"/>
      <c r="AA93" s="2"/>
      <c r="AB93" s="31"/>
      <c r="AC93" s="31"/>
      <c r="AD93" s="31"/>
      <c r="AE93" s="37"/>
      <c r="AF93" s="37"/>
      <c r="AG93" s="37"/>
    </row>
    <row r="94" spans="1:33" ht="15.75" customHeight="1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6"/>
      <c r="V94" s="1"/>
      <c r="W94" s="31"/>
      <c r="X94" s="31"/>
      <c r="Y94" s="31"/>
      <c r="Z94" s="31"/>
      <c r="AA94" s="2"/>
      <c r="AB94" s="31"/>
      <c r="AC94" s="31"/>
      <c r="AD94" s="31"/>
      <c r="AE94" s="37"/>
      <c r="AF94" s="37"/>
      <c r="AG94" s="37"/>
    </row>
    <row r="95" spans="1:33" ht="15.75" customHeight="1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6"/>
      <c r="V95" s="1"/>
      <c r="W95" s="31"/>
      <c r="X95" s="31"/>
      <c r="Y95" s="31"/>
      <c r="Z95" s="31"/>
      <c r="AA95" s="2"/>
      <c r="AB95" s="31"/>
      <c r="AC95" s="31"/>
      <c r="AD95" s="31"/>
      <c r="AE95" s="37"/>
      <c r="AF95" s="37"/>
      <c r="AG95" s="37"/>
    </row>
    <row r="96" spans="1:33" ht="15.75" customHeight="1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6"/>
      <c r="V96" s="1"/>
      <c r="W96" s="31"/>
      <c r="X96" s="31"/>
      <c r="Y96" s="31"/>
      <c r="Z96" s="31"/>
      <c r="AA96" s="2"/>
      <c r="AB96" s="31"/>
      <c r="AC96" s="31"/>
      <c r="AD96" s="31"/>
      <c r="AE96" s="37"/>
      <c r="AF96" s="37"/>
      <c r="AG96" s="37"/>
    </row>
    <row r="97" spans="1:33" ht="15.75" customHeight="1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8"/>
      <c r="R97" s="38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8"/>
      <c r="R98" s="38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8"/>
      <c r="R99" s="38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8"/>
      <c r="R100" s="38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8"/>
      <c r="R101" s="38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8"/>
      <c r="R102" s="38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8"/>
      <c r="R103" s="38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8"/>
      <c r="R104" s="38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8"/>
      <c r="R105" s="38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8"/>
      <c r="R106" s="38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8"/>
      <c r="R107" s="38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8"/>
      <c r="R108" s="38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8"/>
      <c r="R109" s="38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8"/>
      <c r="R110" s="38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8"/>
      <c r="R111" s="38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8"/>
      <c r="R112" s="38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8"/>
      <c r="R113" s="38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8"/>
      <c r="R114" s="38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>
      <c r="A115" s="31"/>
      <c r="B115" s="31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>
      <c r="A116" s="31"/>
      <c r="B116" s="31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>
      <c r="A117" s="31"/>
      <c r="B117" s="31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>
      <c r="A118" s="31"/>
      <c r="B118" s="31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>
      <c r="A119" s="31"/>
      <c r="B119" s="31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>
      <c r="A120" s="31"/>
      <c r="B120" s="31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>
      <c r="A121" s="31"/>
      <c r="B121" s="31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>
      <c r="A122" s="31"/>
      <c r="B122" s="31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>
      <c r="A123" s="31"/>
      <c r="B123" s="31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>
      <c r="A124" s="31"/>
      <c r="B124" s="31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>
      <c r="A125" s="31"/>
      <c r="B125" s="31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>
      <c r="A126" s="31"/>
      <c r="B126" s="31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>
      <c r="A127" s="31"/>
      <c r="B127" s="31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>
      <c r="A128" s="31"/>
      <c r="B128" s="31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>
      <c r="A129" s="31"/>
      <c r="B129" s="31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>
      <c r="A130" s="31"/>
      <c r="B130" s="31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>
      <c r="A131" s="31"/>
      <c r="B131" s="31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>
      <c r="A132" s="31"/>
      <c r="B132" s="31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>
      <c r="A133" s="31"/>
      <c r="B133" s="31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>
      <c r="A134" s="31"/>
      <c r="B134" s="31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>
      <c r="A135" s="31"/>
      <c r="B135" s="31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>
      <c r="A136" s="31"/>
      <c r="B136" s="31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>
      <c r="A137" s="31"/>
      <c r="B137" s="31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>
      <c r="A138" s="31"/>
      <c r="B138" s="31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>
      <c r="A139" s="31"/>
      <c r="B139" s="31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>
      <c r="A140" s="31"/>
      <c r="B140" s="31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>
      <c r="A141" s="31"/>
      <c r="B141" s="31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2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>
      <c r="A142" s="31"/>
      <c r="B142" s="31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2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>
      <c r="A143" s="31"/>
      <c r="B143" s="31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2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>
      <c r="A144" s="31"/>
      <c r="B144" s="31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2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>
      <c r="A145" s="31"/>
      <c r="B145" s="31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2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>
      <c r="A146" s="31"/>
      <c r="B146" s="31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2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>
      <c r="A147" s="31"/>
      <c r="B147" s="31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2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>
      <c r="A148" s="31"/>
      <c r="B148" s="31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2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</row>
    <row r="149" spans="1:33" ht="15.75" customHeight="1">
      <c r="A149" s="14"/>
      <c r="B149" s="14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>
      <c r="A150" s="14"/>
      <c r="B150" s="14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>
      <c r="A151" s="14"/>
      <c r="B151" s="14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>
      <c r="A152" s="14"/>
      <c r="B152" s="14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>
      <c r="A153" s="14"/>
      <c r="B153" s="14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>
      <c r="A154" s="14"/>
      <c r="B154" s="14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>
      <c r="A155" s="14"/>
      <c r="B155" s="14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>
      <c r="A156" s="14"/>
      <c r="B156" s="14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>
      <c r="A157" s="14"/>
      <c r="B157" s="14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>
      <c r="A158" s="14"/>
      <c r="B158" s="14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>
      <c r="A159" s="14"/>
      <c r="B159" s="14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>
      <c r="A160" s="14"/>
      <c r="B160" s="14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>
      <c r="A161" s="14"/>
      <c r="B161" s="14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>
      <c r="A162" s="14"/>
      <c r="B162" s="14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>
      <c r="A163" s="14"/>
      <c r="B163" s="14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>
      <c r="A164" s="14"/>
      <c r="B164" s="14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>
      <c r="A165" s="14"/>
      <c r="B165" s="14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>
      <c r="A166" s="14"/>
      <c r="B166" s="14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>
      <c r="A167" s="14"/>
      <c r="B167" s="14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>
      <c r="A168" s="14"/>
      <c r="B168" s="14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>
      <c r="A169" s="14"/>
      <c r="B169" s="14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>
      <c r="A170" s="14"/>
      <c r="B170" s="14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>
      <c r="A171" s="14"/>
      <c r="B171" s="14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>
      <c r="A172" s="14"/>
      <c r="B172" s="14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>
      <c r="A173" s="14"/>
      <c r="B173" s="14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>
      <c r="A174" s="14"/>
      <c r="B174" s="14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>
      <c r="A175" s="14"/>
      <c r="B175" s="14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>
      <c r="A176" s="14"/>
      <c r="B176" s="14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>
      <c r="A177" s="14"/>
      <c r="B177" s="14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>
      <c r="A178" s="14"/>
      <c r="B178" s="14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>
      <c r="A179" s="14"/>
      <c r="B179" s="14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>
      <c r="A180" s="14"/>
      <c r="B180" s="14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>
      <c r="A181" s="14"/>
      <c r="B181" s="14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>
      <c r="A182" s="14"/>
      <c r="B182" s="14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>
      <c r="A183" s="14"/>
      <c r="B183" s="14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>
      <c r="A184" s="14"/>
      <c r="B184" s="14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>
      <c r="A185" s="14"/>
      <c r="B185" s="14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>
      <c r="A186" s="14"/>
      <c r="B186" s="14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>
      <c r="A187" s="14"/>
      <c r="B187" s="14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>
      <c r="A188" s="14"/>
      <c r="B188" s="14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>
      <c r="A189" s="14"/>
      <c r="B189" s="14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>
      <c r="A190" s="14"/>
      <c r="B190" s="14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>
      <c r="A191" s="14"/>
      <c r="B191" s="14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>
      <c r="A192" s="14"/>
      <c r="B192" s="14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>
      <c r="A193" s="14"/>
      <c r="B193" s="14"/>
      <c r="C193" s="39"/>
      <c r="D193" s="39"/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>
      <c r="A194" s="14"/>
      <c r="B194" s="14"/>
      <c r="C194" s="39"/>
      <c r="D194" s="39"/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>
      <c r="A195" s="14"/>
      <c r="B195" s="14"/>
      <c r="C195" s="39"/>
      <c r="D195" s="39"/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>
      <c r="A196" s="14"/>
      <c r="B196" s="14"/>
      <c r="C196" s="39"/>
      <c r="D196" s="39"/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>
      <c r="A197" s="14"/>
      <c r="B197" s="14"/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>
      <c r="A198" s="14"/>
      <c r="B198" s="14"/>
      <c r="C198" s="39"/>
      <c r="D198" s="39"/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>
      <c r="A199" s="14"/>
      <c r="B199" s="14"/>
      <c r="C199" s="39"/>
      <c r="D199" s="39"/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>
      <c r="A200" s="14"/>
      <c r="B200" s="14"/>
      <c r="C200" s="39"/>
      <c r="D200" s="39"/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>
      <c r="A201" s="14"/>
      <c r="B201" s="14"/>
      <c r="C201" s="39"/>
      <c r="D201" s="39"/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>
      <c r="A202" s="14"/>
      <c r="B202" s="14"/>
      <c r="C202" s="39"/>
      <c r="D202" s="39"/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>
      <c r="A203" s="14"/>
      <c r="B203" s="14"/>
      <c r="C203" s="39"/>
      <c r="D203" s="39"/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>
      <c r="A204" s="14"/>
      <c r="B204" s="14"/>
      <c r="C204" s="39"/>
      <c r="D204" s="39"/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>
      <c r="A205" s="14"/>
      <c r="B205" s="14"/>
      <c r="C205" s="39"/>
      <c r="D205" s="39"/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>
      <c r="A206" s="14"/>
      <c r="B206" s="14"/>
      <c r="C206" s="39"/>
      <c r="D206" s="39"/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>
      <c r="A207" s="14"/>
      <c r="B207" s="14"/>
      <c r="C207" s="39"/>
      <c r="D207" s="39"/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>
      <c r="A208" s="14"/>
      <c r="B208" s="14"/>
      <c r="C208" s="39"/>
      <c r="D208" s="39"/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>
      <c r="A209" s="14"/>
      <c r="B209" s="14"/>
      <c r="C209" s="39"/>
      <c r="D209" s="39"/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>
      <c r="A210" s="14"/>
      <c r="B210" s="14"/>
      <c r="C210" s="39"/>
      <c r="D210" s="39"/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>
      <c r="A211" s="14"/>
      <c r="B211" s="14"/>
      <c r="C211" s="39"/>
      <c r="D211" s="39"/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>
      <c r="A212" s="14"/>
      <c r="B212" s="14"/>
      <c r="C212" s="39"/>
      <c r="D212" s="39"/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>
      <c r="A213" s="14"/>
      <c r="B213" s="14"/>
      <c r="C213" s="39"/>
      <c r="D213" s="39"/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>
      <c r="A214" s="14"/>
      <c r="B214" s="14"/>
      <c r="C214" s="39"/>
      <c r="D214" s="39"/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>
      <c r="A215" s="14"/>
      <c r="B215" s="14"/>
      <c r="C215" s="39"/>
      <c r="D215" s="39"/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>
      <c r="A216" s="14"/>
      <c r="B216" s="14"/>
      <c r="C216" s="39"/>
      <c r="D216" s="39"/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>
      <c r="A217" s="14"/>
      <c r="B217" s="14"/>
      <c r="C217" s="39"/>
      <c r="D217" s="39"/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>
      <c r="A218" s="14"/>
      <c r="B218" s="14"/>
      <c r="C218" s="39"/>
      <c r="D218" s="39"/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>
      <c r="A219" s="14"/>
      <c r="B219" s="14"/>
      <c r="C219" s="39"/>
      <c r="D219" s="39"/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>
      <c r="A220" s="14"/>
      <c r="B220" s="14"/>
      <c r="C220" s="39"/>
      <c r="D220" s="39"/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>
      <c r="R221" s="30"/>
      <c r="S221" s="40"/>
    </row>
    <row r="222" spans="1:33" ht="15.75" customHeight="1">
      <c r="R222" s="30"/>
      <c r="S222" s="40"/>
    </row>
    <row r="223" spans="1:33" ht="15.75" customHeight="1">
      <c r="R223" s="30"/>
      <c r="S223" s="40"/>
    </row>
    <row r="224" spans="1:33" ht="15.75" customHeight="1">
      <c r="R224" s="30"/>
      <c r="S224" s="40"/>
    </row>
    <row r="225" spans="18:18" ht="15.75" customHeight="1">
      <c r="R225" s="30"/>
    </row>
    <row r="226" spans="18:18" ht="15.75" customHeight="1">
      <c r="R226" s="30"/>
    </row>
    <row r="227" spans="18:18" ht="15.75" customHeight="1">
      <c r="R227" s="30"/>
    </row>
    <row r="228" spans="18:18" ht="15.75" customHeight="1">
      <c r="R228" s="30"/>
    </row>
    <row r="229" spans="18:18" ht="15.75" customHeight="1">
      <c r="R229" s="30"/>
    </row>
    <row r="230" spans="18:18" ht="15.75" customHeight="1">
      <c r="R230" s="30"/>
    </row>
    <row r="231" spans="18:18" ht="15.75" customHeight="1">
      <c r="R231" s="30"/>
    </row>
    <row r="232" spans="18:18" ht="15.75" customHeight="1">
      <c r="R232" s="30"/>
    </row>
    <row r="233" spans="18:18" ht="15.75" customHeight="1">
      <c r="R233" s="30"/>
    </row>
    <row r="234" spans="18:18" ht="15.75" customHeight="1">
      <c r="R234" s="30"/>
    </row>
    <row r="235" spans="18:18" ht="15.75" customHeight="1">
      <c r="R235" s="30"/>
    </row>
    <row r="236" spans="18:18" ht="15.75" customHeight="1">
      <c r="R236" s="30"/>
    </row>
    <row r="237" spans="18:18" ht="15.75" customHeight="1">
      <c r="R237" s="30"/>
    </row>
    <row r="238" spans="18:18" ht="15.75" customHeight="1">
      <c r="R238" s="30"/>
    </row>
    <row r="239" spans="18:18" ht="15.75" customHeight="1">
      <c r="R239" s="30"/>
    </row>
    <row r="240" spans="18:18" ht="15.75" customHeight="1">
      <c r="R240" s="30"/>
    </row>
    <row r="241" spans="18:18" ht="15.75" customHeight="1">
      <c r="R241" s="30"/>
    </row>
    <row r="242" spans="18:18" ht="15.75" customHeight="1">
      <c r="R242" s="30"/>
    </row>
    <row r="243" spans="18:18" ht="15.75" customHeight="1">
      <c r="R243" s="30"/>
    </row>
    <row r="244" spans="18:18" ht="15.75" customHeight="1">
      <c r="R244" s="30"/>
    </row>
    <row r="245" spans="18:18" ht="15.75" customHeight="1">
      <c r="R245" s="30"/>
    </row>
    <row r="246" spans="18:18" ht="15.75" customHeight="1">
      <c r="R246" s="30"/>
    </row>
    <row r="247" spans="18:18" ht="15.75" customHeight="1">
      <c r="R247" s="30"/>
    </row>
    <row r="248" spans="18:18" ht="15.75" customHeight="1">
      <c r="R248" s="30"/>
    </row>
    <row r="249" spans="18:18" ht="15.75" customHeight="1">
      <c r="R249" s="30"/>
    </row>
    <row r="250" spans="18:18" ht="15.75" customHeight="1">
      <c r="R250" s="30"/>
    </row>
    <row r="251" spans="18:18" ht="15.75" customHeight="1">
      <c r="R251" s="30"/>
    </row>
    <row r="252" spans="18:18" ht="15.75" customHeight="1">
      <c r="R252" s="30"/>
    </row>
    <row r="253" spans="18:18" ht="15.75" customHeight="1">
      <c r="R253" s="30"/>
    </row>
    <row r="254" spans="18:18" ht="15.75" customHeight="1">
      <c r="R254" s="30"/>
    </row>
    <row r="255" spans="18:18" ht="15.75" customHeight="1">
      <c r="R255" s="30"/>
    </row>
    <row r="256" spans="18:18" ht="15.75" customHeight="1">
      <c r="R256" s="30"/>
    </row>
    <row r="257" spans="18:18" ht="15.75" customHeight="1">
      <c r="R257" s="30"/>
    </row>
    <row r="258" spans="18:18" ht="15.75" customHeight="1">
      <c r="R258" s="30"/>
    </row>
    <row r="259" spans="18:18" ht="15.75" customHeight="1">
      <c r="R259" s="30"/>
    </row>
    <row r="260" spans="18:18" ht="15.75" customHeight="1">
      <c r="R260" s="30"/>
    </row>
    <row r="261" spans="18:18" ht="15.75" customHeight="1">
      <c r="R261" s="30"/>
    </row>
    <row r="262" spans="18:18" ht="15.75" customHeight="1">
      <c r="R262" s="30"/>
    </row>
    <row r="263" spans="18:18" ht="15.75" customHeight="1">
      <c r="R263" s="30"/>
    </row>
    <row r="264" spans="18:18" ht="15.75" customHeight="1">
      <c r="R264" s="30"/>
    </row>
    <row r="265" spans="18:18" ht="15.75" customHeight="1">
      <c r="R265" s="30"/>
    </row>
    <row r="266" spans="18:18" ht="15.75" customHeight="1">
      <c r="R266" s="30"/>
    </row>
    <row r="267" spans="18:18" ht="15.75" customHeight="1">
      <c r="R267" s="30"/>
    </row>
    <row r="268" spans="18:18" ht="15.75" customHeight="1">
      <c r="R268" s="30"/>
    </row>
    <row r="269" spans="18:18" ht="15.75" customHeight="1">
      <c r="R269" s="30"/>
    </row>
    <row r="270" spans="18:18" ht="15.75" customHeight="1">
      <c r="R270" s="30"/>
    </row>
    <row r="271" spans="18:18" ht="15.75" customHeight="1">
      <c r="R271" s="30"/>
    </row>
    <row r="272" spans="18:18" ht="15.75" customHeight="1">
      <c r="R272" s="30"/>
    </row>
    <row r="273" spans="18:18" ht="15.75" customHeight="1">
      <c r="R273" s="30"/>
    </row>
    <row r="274" spans="18:18" ht="15.75" customHeight="1">
      <c r="R274" s="30"/>
    </row>
    <row r="275" spans="18:18" ht="15.75" customHeight="1">
      <c r="R275" s="30"/>
    </row>
    <row r="276" spans="18:18" ht="15.75" customHeight="1">
      <c r="R276" s="30"/>
    </row>
    <row r="277" spans="18:18" ht="15.75" customHeight="1">
      <c r="R277" s="30"/>
    </row>
    <row r="278" spans="18:18" ht="15.75" customHeight="1">
      <c r="R278" s="30"/>
    </row>
    <row r="279" spans="18:18" ht="15.75" customHeight="1">
      <c r="R279" s="30"/>
    </row>
    <row r="280" spans="18:18" ht="15.75" customHeight="1">
      <c r="R280" s="30"/>
    </row>
    <row r="281" spans="18:18" ht="15.75" customHeight="1">
      <c r="R281" s="30"/>
    </row>
    <row r="282" spans="18:18" ht="15.75" customHeight="1">
      <c r="R282" s="30"/>
    </row>
    <row r="283" spans="18:18" ht="15.75" customHeight="1">
      <c r="R283" s="30"/>
    </row>
    <row r="284" spans="18:18" ht="15.75" customHeight="1">
      <c r="R284" s="30"/>
    </row>
    <row r="285" spans="18:18" ht="15.75" customHeight="1">
      <c r="R285" s="30"/>
    </row>
    <row r="286" spans="18:18" ht="15.75" customHeight="1">
      <c r="R286" s="30"/>
    </row>
    <row r="287" spans="18:18" ht="15.75" customHeight="1">
      <c r="R287" s="30"/>
    </row>
    <row r="288" spans="18:18" ht="15.75" customHeight="1">
      <c r="R288" s="30"/>
    </row>
    <row r="289" spans="18:18" ht="15.75" customHeight="1">
      <c r="R289" s="30"/>
    </row>
    <row r="290" spans="18:18" ht="15.75" customHeight="1">
      <c r="R290" s="30"/>
    </row>
    <row r="291" spans="18:18" ht="15.75" customHeight="1">
      <c r="R291" s="30"/>
    </row>
    <row r="292" spans="18:18" ht="15.75" customHeight="1">
      <c r="R292" s="30"/>
    </row>
    <row r="293" spans="18:18" ht="15.75" customHeight="1">
      <c r="R293" s="30"/>
    </row>
    <row r="294" spans="18:18" ht="15.75" customHeight="1">
      <c r="R294" s="30"/>
    </row>
    <row r="295" spans="18:18" ht="15.75" customHeight="1">
      <c r="R295" s="30"/>
    </row>
    <row r="296" spans="18:18" ht="15.75" customHeight="1">
      <c r="R296" s="30"/>
    </row>
    <row r="297" spans="18:18" ht="15.75" customHeight="1">
      <c r="R297" s="30"/>
    </row>
    <row r="298" spans="18:18" ht="15.75" customHeight="1">
      <c r="R298" s="30"/>
    </row>
    <row r="299" spans="18:18" ht="15.75" customHeight="1">
      <c r="R299" s="30"/>
    </row>
    <row r="300" spans="18:18" ht="15.75" customHeight="1">
      <c r="R300" s="30"/>
    </row>
    <row r="301" spans="18:18" ht="15.75" customHeight="1">
      <c r="R301" s="30"/>
    </row>
    <row r="302" spans="18:18" ht="15.75" customHeight="1">
      <c r="R302" s="30"/>
    </row>
    <row r="303" spans="18:18" ht="15.75" customHeight="1">
      <c r="R303" s="30"/>
    </row>
    <row r="304" spans="18:18" ht="15.75" customHeight="1">
      <c r="R304" s="30"/>
    </row>
    <row r="305" spans="18:18" ht="15.75" customHeight="1">
      <c r="R305" s="30"/>
    </row>
    <row r="306" spans="18:18" ht="15.75" customHeight="1">
      <c r="R306" s="30"/>
    </row>
    <row r="307" spans="18:18" ht="15.75" customHeight="1">
      <c r="R307" s="30"/>
    </row>
    <row r="308" spans="18:18" ht="15.75" customHeight="1">
      <c r="R308" s="30"/>
    </row>
    <row r="309" spans="18:18" ht="15.75" customHeight="1">
      <c r="R309" s="30"/>
    </row>
    <row r="310" spans="18:18" ht="15.75" customHeight="1">
      <c r="R310" s="30"/>
    </row>
    <row r="311" spans="18:18" ht="15.75" customHeight="1">
      <c r="R311" s="30"/>
    </row>
    <row r="312" spans="18:18" ht="15.75" customHeight="1">
      <c r="R312" s="30"/>
    </row>
    <row r="313" spans="18:18" ht="15.75" customHeight="1">
      <c r="R313" s="30"/>
    </row>
    <row r="314" spans="18:18" ht="15.75" customHeight="1">
      <c r="R314" s="30"/>
    </row>
    <row r="315" spans="18:18" ht="15.75" customHeight="1">
      <c r="R315" s="30"/>
    </row>
    <row r="316" spans="18:18" ht="15.75" customHeight="1">
      <c r="R316" s="30"/>
    </row>
    <row r="317" spans="18:18" ht="15.75" customHeight="1">
      <c r="R317" s="30"/>
    </row>
    <row r="318" spans="18:18" ht="15.75" customHeight="1">
      <c r="R318" s="30"/>
    </row>
    <row r="319" spans="18:18" ht="15.75" customHeight="1">
      <c r="R319" s="30"/>
    </row>
    <row r="320" spans="18:18" ht="15.75" customHeight="1">
      <c r="R320" s="30"/>
    </row>
    <row r="321" spans="18:18" ht="15.75" customHeight="1">
      <c r="R321" s="30"/>
    </row>
    <row r="322" spans="18:18" ht="15.75" customHeight="1">
      <c r="R322" s="30"/>
    </row>
    <row r="323" spans="18:18" ht="15.75" customHeight="1">
      <c r="R323" s="30"/>
    </row>
    <row r="324" spans="18:18" ht="15.75" customHeight="1">
      <c r="R324" s="30"/>
    </row>
    <row r="325" spans="18:18" ht="15.75" customHeight="1">
      <c r="R325" s="30"/>
    </row>
    <row r="326" spans="18:18" ht="15.75" customHeight="1">
      <c r="R326" s="30"/>
    </row>
    <row r="327" spans="18:18" ht="15.75" customHeight="1">
      <c r="R327" s="30"/>
    </row>
    <row r="328" spans="18:18" ht="15.75" customHeight="1">
      <c r="R328" s="30"/>
    </row>
    <row r="329" spans="18:18" ht="15.75" customHeight="1">
      <c r="R329" s="30"/>
    </row>
    <row r="330" spans="18:18" ht="15.75" customHeight="1">
      <c r="R330" s="30"/>
    </row>
    <row r="331" spans="18:18" ht="15.75" customHeight="1">
      <c r="R331" s="30"/>
    </row>
    <row r="332" spans="18:18" ht="15.75" customHeight="1">
      <c r="R332" s="30"/>
    </row>
    <row r="333" spans="18:18" ht="15.75" customHeight="1">
      <c r="R333" s="30"/>
    </row>
    <row r="334" spans="18:18" ht="15.75" customHeight="1">
      <c r="R334" s="30"/>
    </row>
    <row r="335" spans="18:18" ht="15.75" customHeight="1">
      <c r="R335" s="30"/>
    </row>
    <row r="336" spans="18:18" ht="15.75" customHeight="1">
      <c r="R336" s="30"/>
    </row>
    <row r="337" spans="18:18" ht="15.75" customHeight="1">
      <c r="R337" s="30"/>
    </row>
    <row r="338" spans="18:18" ht="15.75" customHeight="1">
      <c r="R338" s="30"/>
    </row>
    <row r="339" spans="18:18" ht="15.75" customHeight="1">
      <c r="R339" s="30"/>
    </row>
    <row r="340" spans="18:18" ht="15.75" customHeight="1">
      <c r="R340" s="30"/>
    </row>
    <row r="341" spans="18:18" ht="15.75" customHeight="1">
      <c r="R341" s="30"/>
    </row>
    <row r="342" spans="18:18" ht="15.75" customHeight="1">
      <c r="R342" s="30"/>
    </row>
    <row r="343" spans="18:18" ht="15.75" customHeight="1">
      <c r="R343" s="30"/>
    </row>
    <row r="344" spans="18:18" ht="15.75" customHeight="1">
      <c r="R344" s="30"/>
    </row>
    <row r="345" spans="18:18" ht="15.75" customHeight="1">
      <c r="R345" s="30"/>
    </row>
    <row r="346" spans="18:18" ht="15.75" customHeight="1">
      <c r="R346" s="30"/>
    </row>
    <row r="347" spans="18:18" ht="15.75" customHeight="1">
      <c r="R347" s="30"/>
    </row>
    <row r="348" spans="18:18" ht="15.75" customHeight="1">
      <c r="R348" s="30"/>
    </row>
    <row r="349" spans="18:18" ht="15.75" customHeight="1">
      <c r="R349" s="30"/>
    </row>
    <row r="350" spans="18:18" ht="15.75" customHeight="1">
      <c r="R350" s="30"/>
    </row>
    <row r="351" spans="18:18" ht="15.75" customHeight="1">
      <c r="R351" s="30"/>
    </row>
    <row r="352" spans="18:18" ht="15.75" customHeight="1">
      <c r="R352" s="30"/>
    </row>
    <row r="353" spans="18:18" ht="15.75" customHeight="1">
      <c r="R353" s="30"/>
    </row>
    <row r="354" spans="18:18" ht="15.75" customHeight="1">
      <c r="R354" s="30"/>
    </row>
    <row r="355" spans="18:18" ht="15.75" customHeight="1">
      <c r="R355" s="30"/>
    </row>
    <row r="356" spans="18:18" ht="15.75" customHeight="1">
      <c r="R356" s="30"/>
    </row>
    <row r="357" spans="18:18" ht="15.75" customHeight="1">
      <c r="R357" s="30"/>
    </row>
    <row r="358" spans="18:18" ht="15.75" customHeight="1">
      <c r="R358" s="30"/>
    </row>
    <row r="359" spans="18:18" ht="15.75" customHeight="1">
      <c r="R359" s="30"/>
    </row>
    <row r="360" spans="18:18" ht="15.75" customHeight="1">
      <c r="R360" s="30"/>
    </row>
    <row r="361" spans="18:18" ht="15.75" customHeight="1">
      <c r="R361" s="30"/>
    </row>
    <row r="362" spans="18:18" ht="15.75" customHeight="1">
      <c r="R362" s="30"/>
    </row>
    <row r="363" spans="18:18" ht="15.75" customHeight="1">
      <c r="R363" s="30"/>
    </row>
    <row r="364" spans="18:18" ht="15.75" customHeight="1">
      <c r="R364" s="30"/>
    </row>
    <row r="365" spans="18:18" ht="15.75" customHeight="1">
      <c r="R365" s="30"/>
    </row>
    <row r="366" spans="18:18" ht="15.75" customHeight="1">
      <c r="R366" s="30"/>
    </row>
    <row r="367" spans="18:18" ht="15.75" customHeight="1">
      <c r="R367" s="30"/>
    </row>
    <row r="368" spans="18:18" ht="15.75" customHeight="1">
      <c r="R368" s="30"/>
    </row>
    <row r="369" spans="18:18" ht="15.75" customHeight="1">
      <c r="R369" s="30"/>
    </row>
    <row r="370" spans="18:18" ht="15.75" customHeight="1">
      <c r="R370" s="30"/>
    </row>
    <row r="371" spans="18:18" ht="15.75" customHeight="1">
      <c r="R371" s="30"/>
    </row>
    <row r="372" spans="18:18" ht="15.75" customHeight="1">
      <c r="R372" s="30"/>
    </row>
    <row r="373" spans="18:18" ht="15.75" customHeight="1">
      <c r="R373" s="30"/>
    </row>
    <row r="374" spans="18:18" ht="15.75" customHeight="1">
      <c r="R374" s="30"/>
    </row>
    <row r="375" spans="18:18" ht="15.75" customHeight="1">
      <c r="R375" s="30"/>
    </row>
    <row r="376" spans="18:18" ht="15.75" customHeight="1">
      <c r="R376" s="30"/>
    </row>
    <row r="377" spans="18:18" ht="15.75" customHeight="1">
      <c r="R377" s="30"/>
    </row>
    <row r="378" spans="18:18" ht="15.75" customHeight="1">
      <c r="R378" s="30"/>
    </row>
    <row r="379" spans="18:18" ht="15.75" customHeight="1">
      <c r="R379" s="30"/>
    </row>
    <row r="380" spans="18:18" ht="15.75" customHeight="1">
      <c r="R380" s="30"/>
    </row>
    <row r="381" spans="18:18" ht="15.75" customHeight="1">
      <c r="R381" s="30"/>
    </row>
    <row r="382" spans="18:18" ht="15.75" customHeight="1">
      <c r="R382" s="30"/>
    </row>
    <row r="383" spans="18:18" ht="15.75" customHeight="1">
      <c r="R383" s="30"/>
    </row>
    <row r="384" spans="18:18" ht="15.75" customHeight="1">
      <c r="R384" s="30"/>
    </row>
    <row r="385" spans="18:18" ht="15.75" customHeight="1">
      <c r="R385" s="30"/>
    </row>
    <row r="386" spans="18:18" ht="15.75" customHeight="1">
      <c r="R386" s="30"/>
    </row>
    <row r="387" spans="18:18" ht="15.75" customHeight="1">
      <c r="R387" s="30"/>
    </row>
    <row r="388" spans="18:18" ht="15.75" customHeight="1">
      <c r="R388" s="30"/>
    </row>
    <row r="389" spans="18:18" ht="15.75" customHeight="1">
      <c r="R389" s="30"/>
    </row>
    <row r="390" spans="18:18" ht="15.75" customHeight="1">
      <c r="R390" s="30"/>
    </row>
    <row r="391" spans="18:18" ht="15.75" customHeight="1">
      <c r="R391" s="30"/>
    </row>
    <row r="392" spans="18:18" ht="15.75" customHeight="1">
      <c r="R392" s="30"/>
    </row>
    <row r="393" spans="18:18" ht="15.75" customHeight="1">
      <c r="R393" s="30"/>
    </row>
    <row r="394" spans="18:18" ht="15.75" customHeight="1">
      <c r="R394" s="30"/>
    </row>
    <row r="395" spans="18:18" ht="15.75" customHeight="1">
      <c r="R395" s="30"/>
    </row>
    <row r="396" spans="18:18" ht="15.75" customHeight="1">
      <c r="R396" s="30"/>
    </row>
    <row r="397" spans="18:18" ht="15.75" customHeight="1">
      <c r="R397" s="30"/>
    </row>
    <row r="398" spans="18:18" ht="15.75" customHeight="1">
      <c r="R398" s="30"/>
    </row>
    <row r="399" spans="18:18" ht="15.75" customHeight="1">
      <c r="R399" s="30"/>
    </row>
    <row r="400" spans="18:18" ht="15.75" customHeight="1">
      <c r="R400" s="30"/>
    </row>
    <row r="401" spans="18:18" ht="15.75" customHeight="1">
      <c r="R401" s="30"/>
    </row>
    <row r="402" spans="18:18" ht="15.75" customHeight="1">
      <c r="R402" s="30"/>
    </row>
    <row r="403" spans="18:18" ht="15.75" customHeight="1">
      <c r="R403" s="30"/>
    </row>
    <row r="404" spans="18:18" ht="15.75" customHeight="1">
      <c r="R404" s="30"/>
    </row>
    <row r="405" spans="18:18" ht="15.75" customHeight="1">
      <c r="R405" s="30"/>
    </row>
    <row r="406" spans="18:18" ht="15.75" customHeight="1">
      <c r="R406" s="30"/>
    </row>
    <row r="407" spans="18:18" ht="15.75" customHeight="1">
      <c r="R407" s="30"/>
    </row>
    <row r="408" spans="18:18" ht="15.75" customHeight="1">
      <c r="R408" s="30"/>
    </row>
    <row r="409" spans="18:18" ht="15.75" customHeight="1">
      <c r="R409" s="30"/>
    </row>
    <row r="410" spans="18:18" ht="15.75" customHeight="1">
      <c r="R410" s="30"/>
    </row>
    <row r="411" spans="18:18" ht="15.75" customHeight="1">
      <c r="R411" s="30"/>
    </row>
    <row r="412" spans="18:18" ht="15.75" customHeight="1">
      <c r="R412" s="30"/>
    </row>
    <row r="413" spans="18:18" ht="15.75" customHeight="1">
      <c r="R413" s="30"/>
    </row>
    <row r="414" spans="18:18" ht="15.75" customHeight="1">
      <c r="R414" s="30"/>
    </row>
    <row r="415" spans="18:18" ht="15.75" customHeight="1">
      <c r="R415" s="30"/>
    </row>
    <row r="416" spans="18:18" ht="15.75" customHeight="1">
      <c r="R416" s="30"/>
    </row>
    <row r="417" spans="18:18" ht="15.75" customHeight="1">
      <c r="R417" s="30"/>
    </row>
    <row r="418" spans="18:18" ht="15.75" customHeight="1">
      <c r="R418" s="30"/>
    </row>
    <row r="419" spans="18:18" ht="15.75" customHeight="1">
      <c r="R419" s="30"/>
    </row>
    <row r="420" spans="18:18" ht="15.75" customHeight="1">
      <c r="R420" s="30"/>
    </row>
    <row r="421" spans="18:18" ht="15.75" customHeight="1">
      <c r="R421" s="30"/>
    </row>
    <row r="422" spans="18:18" ht="15.75" customHeight="1">
      <c r="R422" s="30"/>
    </row>
    <row r="423" spans="18:18" ht="15.75" customHeight="1">
      <c r="R423" s="30"/>
    </row>
    <row r="424" spans="18:18" ht="15.75" customHeight="1">
      <c r="R424" s="30"/>
    </row>
    <row r="425" spans="18:18" ht="15.75" customHeight="1">
      <c r="R425" s="30"/>
    </row>
    <row r="426" spans="18:18" ht="15.75" customHeight="1">
      <c r="R426" s="30"/>
    </row>
    <row r="427" spans="18:18" ht="15.75" customHeight="1">
      <c r="R427" s="30"/>
    </row>
    <row r="428" spans="18:18" ht="15.75" customHeight="1">
      <c r="R428" s="30"/>
    </row>
    <row r="429" spans="18:18" ht="15.75" customHeight="1">
      <c r="R429" s="30"/>
    </row>
    <row r="430" spans="18:18" ht="15.75" customHeight="1">
      <c r="R430" s="30"/>
    </row>
    <row r="431" spans="18:18" ht="15.75" customHeight="1">
      <c r="R431" s="30"/>
    </row>
    <row r="432" spans="18:18" ht="15.75" customHeight="1">
      <c r="R432" s="30"/>
    </row>
    <row r="433" spans="18:18" ht="15.75" customHeight="1">
      <c r="R433" s="30"/>
    </row>
    <row r="434" spans="18:18" ht="15.75" customHeight="1">
      <c r="R434" s="30"/>
    </row>
    <row r="435" spans="18:18" ht="15.75" customHeight="1">
      <c r="R435" s="30"/>
    </row>
    <row r="436" spans="18:18" ht="15.75" customHeight="1">
      <c r="R436" s="30"/>
    </row>
    <row r="437" spans="18:18" ht="15.75" customHeight="1">
      <c r="R437" s="30"/>
    </row>
    <row r="438" spans="18:18" ht="15.75" customHeight="1">
      <c r="R438" s="30"/>
    </row>
    <row r="439" spans="18:18" ht="15.75" customHeight="1">
      <c r="R439" s="30"/>
    </row>
    <row r="440" spans="18:18" ht="15.75" customHeight="1">
      <c r="R440" s="30"/>
    </row>
    <row r="441" spans="18:18" ht="15.75" customHeight="1">
      <c r="R441" s="30"/>
    </row>
    <row r="442" spans="18:18" ht="15.75" customHeight="1">
      <c r="R442" s="30"/>
    </row>
    <row r="443" spans="18:18" ht="15.75" customHeight="1">
      <c r="R443" s="30"/>
    </row>
    <row r="444" spans="18:18" ht="15.75" customHeight="1">
      <c r="R444" s="30"/>
    </row>
    <row r="445" spans="18:18" ht="15.75" customHeight="1">
      <c r="R445" s="30"/>
    </row>
    <row r="446" spans="18:18" ht="15.75" customHeight="1">
      <c r="R446" s="30"/>
    </row>
    <row r="447" spans="18:18" ht="15.75" customHeight="1">
      <c r="R447" s="30"/>
    </row>
    <row r="448" spans="18:18" ht="15.75" customHeight="1">
      <c r="R448" s="30"/>
    </row>
    <row r="449" spans="18:18" ht="15.75" customHeight="1">
      <c r="R449" s="30"/>
    </row>
    <row r="450" spans="18:18" ht="15.75" customHeight="1">
      <c r="R450" s="30"/>
    </row>
    <row r="451" spans="18:18" ht="15.75" customHeight="1">
      <c r="R451" s="30"/>
    </row>
    <row r="452" spans="18:18" ht="15.75" customHeight="1">
      <c r="R452" s="30"/>
    </row>
    <row r="453" spans="18:18" ht="15.75" customHeight="1">
      <c r="R453" s="30"/>
    </row>
    <row r="454" spans="18:18" ht="15.75" customHeight="1">
      <c r="R454" s="30"/>
    </row>
    <row r="455" spans="18:18" ht="15.75" customHeight="1">
      <c r="R455" s="30"/>
    </row>
    <row r="456" spans="18:18" ht="15.75" customHeight="1">
      <c r="R456" s="30"/>
    </row>
    <row r="457" spans="18:18" ht="15.75" customHeight="1">
      <c r="R457" s="30"/>
    </row>
    <row r="458" spans="18:18" ht="15.75" customHeight="1">
      <c r="R458" s="30"/>
    </row>
    <row r="459" spans="18:18" ht="15.75" customHeight="1">
      <c r="R459" s="30"/>
    </row>
    <row r="460" spans="18:18" ht="15.75" customHeight="1">
      <c r="R460" s="30"/>
    </row>
    <row r="461" spans="18:18" ht="15.75" customHeight="1">
      <c r="R461" s="30"/>
    </row>
    <row r="462" spans="18:18" ht="15.75" customHeight="1">
      <c r="R462" s="30"/>
    </row>
    <row r="463" spans="18:18" ht="15.75" customHeight="1">
      <c r="R463" s="30"/>
    </row>
    <row r="464" spans="18:18" ht="15.75" customHeight="1">
      <c r="R464" s="30"/>
    </row>
    <row r="465" spans="18:18" ht="15.75" customHeight="1">
      <c r="R465" s="30"/>
    </row>
    <row r="466" spans="18:18" ht="15.75" customHeight="1">
      <c r="R466" s="30"/>
    </row>
    <row r="467" spans="18:18" ht="15.75" customHeight="1">
      <c r="R467" s="30"/>
    </row>
    <row r="468" spans="18:18" ht="15.75" customHeight="1">
      <c r="R468" s="30"/>
    </row>
    <row r="469" spans="18:18" ht="15.75" customHeight="1">
      <c r="R469" s="30"/>
    </row>
    <row r="470" spans="18:18" ht="15.75" customHeight="1">
      <c r="R470" s="30"/>
    </row>
    <row r="471" spans="18:18" ht="15.75" customHeight="1">
      <c r="R471" s="30"/>
    </row>
    <row r="472" spans="18:18" ht="15.75" customHeight="1">
      <c r="R472" s="30"/>
    </row>
    <row r="473" spans="18:18" ht="15.75" customHeight="1">
      <c r="R473" s="30"/>
    </row>
    <row r="474" spans="18:18" ht="15.75" customHeight="1">
      <c r="R474" s="30"/>
    </row>
    <row r="475" spans="18:18" ht="15.75" customHeight="1">
      <c r="R475" s="30"/>
    </row>
    <row r="476" spans="18:18" ht="15.75" customHeight="1">
      <c r="R476" s="30"/>
    </row>
    <row r="477" spans="18:18" ht="15.75" customHeight="1">
      <c r="R477" s="30"/>
    </row>
    <row r="478" spans="18:18" ht="15.75" customHeight="1">
      <c r="R478" s="30"/>
    </row>
    <row r="479" spans="18:18" ht="15.75" customHeight="1">
      <c r="R479" s="30"/>
    </row>
    <row r="480" spans="18:18" ht="15.75" customHeight="1">
      <c r="R480" s="30"/>
    </row>
    <row r="481" spans="18:18" ht="15.75" customHeight="1">
      <c r="R481" s="30"/>
    </row>
    <row r="482" spans="18:18" ht="15.75" customHeight="1">
      <c r="R482" s="30"/>
    </row>
    <row r="483" spans="18:18" ht="15.75" customHeight="1">
      <c r="R483" s="30"/>
    </row>
    <row r="484" spans="18:18" ht="15.75" customHeight="1">
      <c r="R484" s="30"/>
    </row>
    <row r="485" spans="18:18" ht="15.75" customHeight="1">
      <c r="R485" s="30"/>
    </row>
    <row r="486" spans="18:18" ht="15.75" customHeight="1">
      <c r="R486" s="30"/>
    </row>
    <row r="487" spans="18:18" ht="15.75" customHeight="1">
      <c r="R487" s="30"/>
    </row>
    <row r="488" spans="18:18" ht="15.75" customHeight="1">
      <c r="R488" s="30"/>
    </row>
    <row r="489" spans="18:18" ht="15.75" customHeight="1">
      <c r="R489" s="30"/>
    </row>
    <row r="490" spans="18:18" ht="15.75" customHeight="1">
      <c r="R490" s="30"/>
    </row>
    <row r="491" spans="18:18" ht="15.75" customHeight="1">
      <c r="R491" s="30"/>
    </row>
    <row r="492" spans="18:18" ht="15.75" customHeight="1">
      <c r="R492" s="30"/>
    </row>
    <row r="493" spans="18:18" ht="15.75" customHeight="1">
      <c r="R493" s="30"/>
    </row>
    <row r="494" spans="18:18" ht="15.75" customHeight="1">
      <c r="R494" s="30"/>
    </row>
    <row r="495" spans="18:18" ht="15.75" customHeight="1">
      <c r="R495" s="30"/>
    </row>
    <row r="496" spans="18:18" ht="15.75" customHeight="1">
      <c r="R496" s="30"/>
    </row>
    <row r="497" spans="18:18" ht="15.75" customHeight="1">
      <c r="R497" s="30"/>
    </row>
    <row r="498" spans="18:18" ht="15.75" customHeight="1">
      <c r="R498" s="30"/>
    </row>
    <row r="499" spans="18:18" ht="15.75" customHeight="1">
      <c r="R499" s="30"/>
    </row>
    <row r="500" spans="18:18" ht="15.75" customHeight="1">
      <c r="R500" s="30"/>
    </row>
    <row r="501" spans="18:18" ht="15.75" customHeight="1">
      <c r="R501" s="30"/>
    </row>
    <row r="502" spans="18:18" ht="15.75" customHeight="1">
      <c r="R502" s="30"/>
    </row>
    <row r="503" spans="18:18" ht="15.75" customHeight="1">
      <c r="R503" s="30"/>
    </row>
    <row r="504" spans="18:18" ht="15.75" customHeight="1">
      <c r="R504" s="30"/>
    </row>
    <row r="505" spans="18:18" ht="15.75" customHeight="1">
      <c r="R505" s="30"/>
    </row>
    <row r="506" spans="18:18" ht="15.75" customHeight="1">
      <c r="R506" s="30"/>
    </row>
    <row r="507" spans="18:18" ht="15.75" customHeight="1">
      <c r="R507" s="30"/>
    </row>
    <row r="508" spans="18:18" ht="15.75" customHeight="1">
      <c r="R508" s="30"/>
    </row>
    <row r="509" spans="18:18" ht="15.75" customHeight="1">
      <c r="R509" s="30"/>
    </row>
    <row r="510" spans="18:18" ht="15.75" customHeight="1">
      <c r="R510" s="30"/>
    </row>
    <row r="511" spans="18:18" ht="15.75" customHeight="1">
      <c r="R511" s="30"/>
    </row>
    <row r="512" spans="18:18" ht="15.75" customHeight="1">
      <c r="R512" s="30"/>
    </row>
    <row r="513" spans="18:18" ht="15.75" customHeight="1">
      <c r="R513" s="30"/>
    </row>
    <row r="514" spans="18:18" ht="15.75" customHeight="1">
      <c r="R514" s="30"/>
    </row>
    <row r="515" spans="18:18" ht="15.75" customHeight="1">
      <c r="R515" s="30"/>
    </row>
    <row r="516" spans="18:18" ht="15.75" customHeight="1">
      <c r="R516" s="30"/>
    </row>
    <row r="517" spans="18:18" ht="15.75" customHeight="1">
      <c r="R517" s="30"/>
    </row>
    <row r="518" spans="18:18" ht="15.75" customHeight="1">
      <c r="R518" s="30"/>
    </row>
    <row r="519" spans="18:18" ht="15.75" customHeight="1">
      <c r="R519" s="30"/>
    </row>
    <row r="520" spans="18:18" ht="15.75" customHeight="1">
      <c r="R520" s="30"/>
    </row>
    <row r="521" spans="18:18" ht="15.75" customHeight="1">
      <c r="R521" s="30"/>
    </row>
    <row r="522" spans="18:18" ht="15.75" customHeight="1">
      <c r="R522" s="30"/>
    </row>
    <row r="523" spans="18:18" ht="15.75" customHeight="1">
      <c r="R523" s="30"/>
    </row>
    <row r="524" spans="18:18" ht="15.75" customHeight="1">
      <c r="R524" s="30"/>
    </row>
    <row r="525" spans="18:18" ht="15.75" customHeight="1">
      <c r="R525" s="30"/>
    </row>
    <row r="526" spans="18:18" ht="15.75" customHeight="1">
      <c r="R526" s="30"/>
    </row>
    <row r="527" spans="18:18" ht="15.75" customHeight="1">
      <c r="R527" s="30"/>
    </row>
    <row r="528" spans="18:18" ht="15.75" customHeight="1">
      <c r="R528" s="30"/>
    </row>
    <row r="529" spans="18:18" ht="15.75" customHeight="1">
      <c r="R529" s="30"/>
    </row>
    <row r="530" spans="18:18" ht="15.75" customHeight="1">
      <c r="R530" s="30"/>
    </row>
    <row r="531" spans="18:18" ht="15.75" customHeight="1">
      <c r="R531" s="30"/>
    </row>
    <row r="532" spans="18:18" ht="15.75" customHeight="1">
      <c r="R532" s="30"/>
    </row>
    <row r="533" spans="18:18" ht="15.75" customHeight="1">
      <c r="R533" s="30"/>
    </row>
    <row r="534" spans="18:18" ht="15.75" customHeight="1">
      <c r="R534" s="30"/>
    </row>
    <row r="535" spans="18:18" ht="15.75" customHeight="1">
      <c r="R535" s="30"/>
    </row>
    <row r="536" spans="18:18" ht="15.75" customHeight="1">
      <c r="R536" s="30"/>
    </row>
    <row r="537" spans="18:18" ht="15.75" customHeight="1">
      <c r="R537" s="30"/>
    </row>
    <row r="538" spans="18:18" ht="15.75" customHeight="1">
      <c r="R538" s="30"/>
    </row>
    <row r="539" spans="18:18" ht="15.75" customHeight="1">
      <c r="R539" s="30"/>
    </row>
    <row r="540" spans="18:18" ht="15.75" customHeight="1">
      <c r="R540" s="30"/>
    </row>
    <row r="541" spans="18:18" ht="15.75" customHeight="1">
      <c r="R541" s="30"/>
    </row>
    <row r="542" spans="18:18" ht="15.75" customHeight="1">
      <c r="R542" s="30"/>
    </row>
    <row r="543" spans="18:18" ht="15.75" customHeight="1">
      <c r="R543" s="30"/>
    </row>
    <row r="544" spans="18:18" ht="15.75" customHeight="1">
      <c r="R544" s="30"/>
    </row>
    <row r="545" spans="18:18" ht="15.75" customHeight="1">
      <c r="R545" s="30"/>
    </row>
    <row r="546" spans="18:18" ht="15.75" customHeight="1">
      <c r="R546" s="30"/>
    </row>
    <row r="547" spans="18:18" ht="15.75" customHeight="1">
      <c r="R547" s="30"/>
    </row>
    <row r="548" spans="18:18" ht="15.75" customHeight="1">
      <c r="R548" s="30"/>
    </row>
    <row r="549" spans="18:18" ht="15.75" customHeight="1">
      <c r="R549" s="30"/>
    </row>
    <row r="550" spans="18:18" ht="15.75" customHeight="1">
      <c r="R550" s="30"/>
    </row>
    <row r="551" spans="18:18" ht="15.75" customHeight="1">
      <c r="R551" s="30"/>
    </row>
    <row r="552" spans="18:18" ht="15.75" customHeight="1">
      <c r="R552" s="30"/>
    </row>
    <row r="553" spans="18:18" ht="15.75" customHeight="1">
      <c r="R553" s="30"/>
    </row>
    <row r="554" spans="18:18" ht="15.75" customHeight="1">
      <c r="R554" s="30"/>
    </row>
    <row r="555" spans="18:18" ht="15.75" customHeight="1">
      <c r="R555" s="30"/>
    </row>
    <row r="556" spans="18:18" ht="15.75" customHeight="1">
      <c r="R556" s="30"/>
    </row>
    <row r="557" spans="18:18" ht="15.75" customHeight="1">
      <c r="R557" s="30"/>
    </row>
    <row r="558" spans="18:18" ht="15.75" customHeight="1">
      <c r="R558" s="30"/>
    </row>
    <row r="559" spans="18:18" ht="15.75" customHeight="1">
      <c r="R559" s="30"/>
    </row>
    <row r="560" spans="18:18" ht="15.75" customHeight="1">
      <c r="R560" s="30"/>
    </row>
    <row r="561" spans="18:18" ht="15.75" customHeight="1">
      <c r="R561" s="30"/>
    </row>
    <row r="562" spans="18:18" ht="15.75" customHeight="1">
      <c r="R562" s="30"/>
    </row>
    <row r="563" spans="18:18" ht="15.75" customHeight="1">
      <c r="R563" s="30"/>
    </row>
    <row r="564" spans="18:18" ht="15.75" customHeight="1">
      <c r="R564" s="30"/>
    </row>
    <row r="565" spans="18:18" ht="15.75" customHeight="1">
      <c r="R565" s="30"/>
    </row>
    <row r="566" spans="18:18" ht="15.75" customHeight="1">
      <c r="R566" s="30"/>
    </row>
    <row r="567" spans="18:18" ht="15.75" customHeight="1">
      <c r="R567" s="30"/>
    </row>
    <row r="568" spans="18:18" ht="15.75" customHeight="1">
      <c r="R568" s="30"/>
    </row>
    <row r="569" spans="18:18" ht="15.75" customHeight="1">
      <c r="R569" s="30"/>
    </row>
    <row r="570" spans="18:18" ht="15.75" customHeight="1">
      <c r="R570" s="30"/>
    </row>
    <row r="571" spans="18:18" ht="15.75" customHeight="1">
      <c r="R571" s="30"/>
    </row>
    <row r="572" spans="18:18" ht="15.75" customHeight="1">
      <c r="R572" s="30"/>
    </row>
    <row r="573" spans="18:18" ht="15.75" customHeight="1">
      <c r="R573" s="30"/>
    </row>
    <row r="574" spans="18:18" ht="15.75" customHeight="1">
      <c r="R574" s="30"/>
    </row>
    <row r="575" spans="18:18" ht="15.75" customHeight="1">
      <c r="R575" s="30"/>
    </row>
    <row r="576" spans="18:18" ht="15.75" customHeight="1">
      <c r="R576" s="30"/>
    </row>
    <row r="577" spans="18:18" ht="15.75" customHeight="1">
      <c r="R577" s="30"/>
    </row>
    <row r="578" spans="18:18" ht="15.75" customHeight="1">
      <c r="R578" s="30"/>
    </row>
    <row r="579" spans="18:18" ht="15.75" customHeight="1">
      <c r="R579" s="30"/>
    </row>
    <row r="580" spans="18:18" ht="15.75" customHeight="1">
      <c r="R580" s="30"/>
    </row>
    <row r="581" spans="18:18" ht="15.75" customHeight="1">
      <c r="R581" s="30"/>
    </row>
    <row r="582" spans="18:18" ht="15.75" customHeight="1">
      <c r="R582" s="30"/>
    </row>
    <row r="583" spans="18:18" ht="15.75" customHeight="1">
      <c r="R583" s="30"/>
    </row>
    <row r="584" spans="18:18" ht="15.75" customHeight="1">
      <c r="R584" s="30"/>
    </row>
    <row r="585" spans="18:18" ht="15.75" customHeight="1">
      <c r="R585" s="30"/>
    </row>
    <row r="586" spans="18:18" ht="15.75" customHeight="1">
      <c r="R586" s="30"/>
    </row>
    <row r="587" spans="18:18" ht="15.75" customHeight="1">
      <c r="R587" s="30"/>
    </row>
    <row r="588" spans="18:18" ht="15.75" customHeight="1">
      <c r="R588" s="30"/>
    </row>
    <row r="589" spans="18:18" ht="15.75" customHeight="1">
      <c r="R589" s="30"/>
    </row>
    <row r="590" spans="18:18" ht="15.75" customHeight="1">
      <c r="R590" s="30"/>
    </row>
    <row r="591" spans="18:18" ht="15.75" customHeight="1">
      <c r="R591" s="30"/>
    </row>
    <row r="592" spans="18:18" ht="15.75" customHeight="1">
      <c r="R592" s="30"/>
    </row>
    <row r="593" spans="18:18" ht="15.75" customHeight="1">
      <c r="R593" s="30"/>
    </row>
    <row r="594" spans="18:18" ht="15.75" customHeight="1">
      <c r="R594" s="30"/>
    </row>
    <row r="595" spans="18:18" ht="15.75" customHeight="1">
      <c r="R595" s="30"/>
    </row>
    <row r="596" spans="18:18" ht="15.75" customHeight="1">
      <c r="R596" s="30"/>
    </row>
    <row r="597" spans="18:18" ht="15.75" customHeight="1">
      <c r="R597" s="30"/>
    </row>
    <row r="598" spans="18:18" ht="15.75" customHeight="1">
      <c r="R598" s="30"/>
    </row>
    <row r="599" spans="18:18" ht="15.75" customHeight="1">
      <c r="R599" s="30"/>
    </row>
    <row r="600" spans="18:18" ht="15.75" customHeight="1">
      <c r="R600" s="30"/>
    </row>
    <row r="601" spans="18:18" ht="15.75" customHeight="1">
      <c r="R601" s="30"/>
    </row>
    <row r="602" spans="18:18" ht="15.75" customHeight="1">
      <c r="R602" s="30"/>
    </row>
    <row r="603" spans="18:18" ht="15.75" customHeight="1">
      <c r="R603" s="30"/>
    </row>
    <row r="604" spans="18:18" ht="15.75" customHeight="1">
      <c r="R604" s="30"/>
    </row>
    <row r="605" spans="18:18" ht="15.75" customHeight="1">
      <c r="R605" s="30"/>
    </row>
    <row r="606" spans="18:18" ht="15.75" customHeight="1">
      <c r="R606" s="30"/>
    </row>
    <row r="607" spans="18:18" ht="15.75" customHeight="1">
      <c r="R607" s="30"/>
    </row>
    <row r="608" spans="18:18" ht="15.75" customHeight="1">
      <c r="R608" s="30"/>
    </row>
    <row r="609" spans="18:18" ht="15.75" customHeight="1">
      <c r="R609" s="30"/>
    </row>
    <row r="610" spans="18:18" ht="15.75" customHeight="1">
      <c r="R610" s="30"/>
    </row>
    <row r="611" spans="18:18" ht="15.75" customHeight="1">
      <c r="R611" s="30"/>
    </row>
    <row r="612" spans="18:18" ht="15.75" customHeight="1">
      <c r="R612" s="30"/>
    </row>
    <row r="613" spans="18:18" ht="15.75" customHeight="1">
      <c r="R613" s="30"/>
    </row>
    <row r="614" spans="18:18" ht="15.75" customHeight="1">
      <c r="R614" s="30"/>
    </row>
    <row r="615" spans="18:18" ht="15.75" customHeight="1">
      <c r="R615" s="30"/>
    </row>
    <row r="616" spans="18:18" ht="15.75" customHeight="1">
      <c r="R616" s="30"/>
    </row>
    <row r="617" spans="18:18" ht="15.75" customHeight="1">
      <c r="R617" s="30"/>
    </row>
    <row r="618" spans="18:18" ht="15.75" customHeight="1">
      <c r="R618" s="30"/>
    </row>
    <row r="619" spans="18:18" ht="15.75" customHeight="1">
      <c r="R619" s="30"/>
    </row>
    <row r="620" spans="18:18" ht="15.75" customHeight="1">
      <c r="R620" s="30"/>
    </row>
    <row r="621" spans="18:18" ht="15.75" customHeight="1">
      <c r="R621" s="30"/>
    </row>
    <row r="622" spans="18:18" ht="15.75" customHeight="1">
      <c r="R622" s="30"/>
    </row>
    <row r="623" spans="18:18" ht="15.75" customHeight="1">
      <c r="R623" s="30"/>
    </row>
    <row r="624" spans="18:18" ht="15.75" customHeight="1">
      <c r="R624" s="30"/>
    </row>
    <row r="625" spans="18:18" ht="15.75" customHeight="1">
      <c r="R625" s="30"/>
    </row>
    <row r="626" spans="18:18" ht="15.75" customHeight="1">
      <c r="R626" s="30"/>
    </row>
    <row r="627" spans="18:18" ht="15.75" customHeight="1">
      <c r="R627" s="30"/>
    </row>
    <row r="628" spans="18:18" ht="15.75" customHeight="1">
      <c r="R628" s="30"/>
    </row>
    <row r="629" spans="18:18" ht="15.75" customHeight="1">
      <c r="R629" s="30"/>
    </row>
    <row r="630" spans="18:18" ht="15.75" customHeight="1">
      <c r="R630" s="30"/>
    </row>
    <row r="631" spans="18:18" ht="15.75" customHeight="1">
      <c r="R631" s="30"/>
    </row>
    <row r="632" spans="18:18" ht="15.75" customHeight="1">
      <c r="R632" s="30"/>
    </row>
    <row r="633" spans="18:18" ht="15.75" customHeight="1">
      <c r="R633" s="30"/>
    </row>
    <row r="634" spans="18:18" ht="15.75" customHeight="1">
      <c r="R634" s="30"/>
    </row>
    <row r="635" spans="18:18" ht="15.75" customHeight="1">
      <c r="R635" s="30"/>
    </row>
    <row r="636" spans="18:18" ht="15.75" customHeight="1">
      <c r="R636" s="30"/>
    </row>
    <row r="637" spans="18:18" ht="15.75" customHeight="1">
      <c r="R637" s="30"/>
    </row>
    <row r="638" spans="18:18" ht="15.75" customHeight="1">
      <c r="R638" s="30"/>
    </row>
    <row r="639" spans="18:18" ht="15.75" customHeight="1">
      <c r="R639" s="30"/>
    </row>
    <row r="640" spans="18:18" ht="15.75" customHeight="1">
      <c r="R640" s="30"/>
    </row>
    <row r="641" spans="18:18" ht="15.75" customHeight="1">
      <c r="R641" s="30"/>
    </row>
    <row r="642" spans="18:18" ht="15.75" customHeight="1">
      <c r="R642" s="30"/>
    </row>
    <row r="643" spans="18:18" ht="15.75" customHeight="1">
      <c r="R643" s="30"/>
    </row>
    <row r="644" spans="18:18" ht="15.75" customHeight="1">
      <c r="R644" s="30"/>
    </row>
    <row r="645" spans="18:18" ht="15.75" customHeight="1">
      <c r="R645" s="30"/>
    </row>
    <row r="646" spans="18:18" ht="15.75" customHeight="1">
      <c r="R646" s="30"/>
    </row>
    <row r="647" spans="18:18" ht="15.75" customHeight="1">
      <c r="R647" s="30"/>
    </row>
    <row r="648" spans="18:18" ht="15.75" customHeight="1">
      <c r="R648" s="30"/>
    </row>
    <row r="649" spans="18:18" ht="15.75" customHeight="1">
      <c r="R649" s="30"/>
    </row>
    <row r="650" spans="18:18" ht="15.75" customHeight="1">
      <c r="R650" s="30"/>
    </row>
    <row r="651" spans="18:18" ht="15.75" customHeight="1">
      <c r="R651" s="30"/>
    </row>
    <row r="652" spans="18:18" ht="15.75" customHeight="1">
      <c r="R652" s="30"/>
    </row>
    <row r="653" spans="18:18" ht="15.75" customHeight="1">
      <c r="R653" s="30"/>
    </row>
    <row r="654" spans="18:18" ht="15.75" customHeight="1">
      <c r="R654" s="30"/>
    </row>
    <row r="655" spans="18:18" ht="15.75" customHeight="1">
      <c r="R655" s="30"/>
    </row>
    <row r="656" spans="18:18" ht="15.75" customHeight="1">
      <c r="R656" s="30"/>
    </row>
    <row r="657" spans="18:18" ht="15.75" customHeight="1">
      <c r="R657" s="30"/>
    </row>
    <row r="658" spans="18:18" ht="15.75" customHeight="1">
      <c r="R658" s="30"/>
    </row>
    <row r="659" spans="18:18" ht="15.75" customHeight="1">
      <c r="R659" s="30"/>
    </row>
    <row r="660" spans="18:18" ht="15.75" customHeight="1">
      <c r="R660" s="30"/>
    </row>
    <row r="661" spans="18:18" ht="15.75" customHeight="1">
      <c r="R661" s="30"/>
    </row>
    <row r="662" spans="18:18" ht="15.75" customHeight="1">
      <c r="R662" s="30"/>
    </row>
    <row r="663" spans="18:18" ht="15.75" customHeight="1">
      <c r="R663" s="30"/>
    </row>
    <row r="664" spans="18:18" ht="15.75" customHeight="1">
      <c r="R664" s="30"/>
    </row>
    <row r="665" spans="18:18" ht="15.75" customHeight="1">
      <c r="R665" s="30"/>
    </row>
    <row r="666" spans="18:18" ht="15.75" customHeight="1">
      <c r="R666" s="30"/>
    </row>
    <row r="667" spans="18:18" ht="15.75" customHeight="1">
      <c r="R667" s="30"/>
    </row>
    <row r="668" spans="18:18" ht="15.75" customHeight="1">
      <c r="R668" s="30"/>
    </row>
    <row r="669" spans="18:18" ht="15.75" customHeight="1">
      <c r="R669" s="30"/>
    </row>
    <row r="670" spans="18:18" ht="15.75" customHeight="1">
      <c r="R670" s="30"/>
    </row>
    <row r="671" spans="18:18" ht="15.75" customHeight="1">
      <c r="R671" s="30"/>
    </row>
    <row r="672" spans="18:18" ht="15.75" customHeight="1">
      <c r="R672" s="30"/>
    </row>
    <row r="673" spans="18:18" ht="15.75" customHeight="1">
      <c r="R673" s="30"/>
    </row>
    <row r="674" spans="18:18" ht="15.75" customHeight="1">
      <c r="R674" s="30"/>
    </row>
    <row r="675" spans="18:18" ht="15.75" customHeight="1">
      <c r="R675" s="30"/>
    </row>
    <row r="676" spans="18:18" ht="15.75" customHeight="1">
      <c r="R676" s="30"/>
    </row>
    <row r="677" spans="18:18" ht="15.75" customHeight="1">
      <c r="R677" s="30"/>
    </row>
    <row r="678" spans="18:18" ht="15.75" customHeight="1">
      <c r="R678" s="30"/>
    </row>
    <row r="679" spans="18:18" ht="15.75" customHeight="1">
      <c r="R679" s="30"/>
    </row>
    <row r="680" spans="18:18" ht="15.75" customHeight="1">
      <c r="R680" s="30"/>
    </row>
    <row r="681" spans="18:18" ht="15.75" customHeight="1">
      <c r="R681" s="30"/>
    </row>
    <row r="682" spans="18:18" ht="15.75" customHeight="1">
      <c r="R682" s="30"/>
    </row>
    <row r="683" spans="18:18" ht="15.75" customHeight="1">
      <c r="R683" s="30"/>
    </row>
    <row r="684" spans="18:18" ht="15.75" customHeight="1">
      <c r="R684" s="30"/>
    </row>
    <row r="685" spans="18:18" ht="15.75" customHeight="1">
      <c r="R685" s="30"/>
    </row>
    <row r="686" spans="18:18" ht="15.75" customHeight="1">
      <c r="R686" s="30"/>
    </row>
    <row r="687" spans="18:18" ht="15.75" customHeight="1">
      <c r="R687" s="30"/>
    </row>
    <row r="688" spans="18:18" ht="15.75" customHeight="1">
      <c r="R688" s="30"/>
    </row>
    <row r="689" spans="18:18" ht="15.75" customHeight="1">
      <c r="R689" s="30"/>
    </row>
    <row r="690" spans="18:18" ht="15.75" customHeight="1">
      <c r="R690" s="30"/>
    </row>
    <row r="691" spans="18:18" ht="15.75" customHeight="1">
      <c r="R691" s="30"/>
    </row>
    <row r="692" spans="18:18" ht="15.75" customHeight="1">
      <c r="R692" s="30"/>
    </row>
    <row r="693" spans="18:18" ht="15.75" customHeight="1">
      <c r="R693" s="30"/>
    </row>
    <row r="694" spans="18:18" ht="15.75" customHeight="1">
      <c r="R694" s="30"/>
    </row>
    <row r="695" spans="18:18" ht="15.75" customHeight="1">
      <c r="R695" s="30"/>
    </row>
    <row r="696" spans="18:18" ht="15.75" customHeight="1">
      <c r="R696" s="30"/>
    </row>
    <row r="697" spans="18:18" ht="15.75" customHeight="1">
      <c r="R697" s="30"/>
    </row>
    <row r="698" spans="18:18" ht="15.75" customHeight="1">
      <c r="R698" s="30"/>
    </row>
    <row r="699" spans="18:18" ht="15.75" customHeight="1">
      <c r="R699" s="30"/>
    </row>
    <row r="700" spans="18:18" ht="15.75" customHeight="1">
      <c r="R700" s="30"/>
    </row>
    <row r="701" spans="18:18" ht="15.75" customHeight="1">
      <c r="R701" s="30"/>
    </row>
    <row r="702" spans="18:18" ht="15.75" customHeight="1">
      <c r="R702" s="30"/>
    </row>
    <row r="703" spans="18:18" ht="15.75" customHeight="1">
      <c r="R703" s="30"/>
    </row>
    <row r="704" spans="18:18" ht="15.75" customHeight="1">
      <c r="R704" s="30"/>
    </row>
    <row r="705" spans="18:18" ht="15.75" customHeight="1">
      <c r="R705" s="30"/>
    </row>
    <row r="706" spans="18:18" ht="15.75" customHeight="1">
      <c r="R706" s="30"/>
    </row>
    <row r="707" spans="18:18" ht="15.75" customHeight="1">
      <c r="R707" s="30"/>
    </row>
    <row r="708" spans="18:18" ht="15.75" customHeight="1">
      <c r="R708" s="30"/>
    </row>
    <row r="709" spans="18:18" ht="15.75" customHeight="1">
      <c r="R709" s="30"/>
    </row>
    <row r="710" spans="18:18" ht="15.75" customHeight="1">
      <c r="R710" s="30"/>
    </row>
    <row r="711" spans="18:18" ht="15.75" customHeight="1">
      <c r="R711" s="30"/>
    </row>
    <row r="712" spans="18:18" ht="15.75" customHeight="1">
      <c r="R712" s="30"/>
    </row>
    <row r="713" spans="18:18" ht="15.75" customHeight="1">
      <c r="R713" s="30"/>
    </row>
    <row r="714" spans="18:18" ht="15.75" customHeight="1">
      <c r="R714" s="30"/>
    </row>
    <row r="715" spans="18:18" ht="15.75" customHeight="1">
      <c r="R715" s="30"/>
    </row>
    <row r="716" spans="18:18" ht="15.75" customHeight="1">
      <c r="R716" s="30"/>
    </row>
    <row r="717" spans="18:18" ht="15.75" customHeight="1">
      <c r="R717" s="30"/>
    </row>
    <row r="718" spans="18:18" ht="15.75" customHeight="1">
      <c r="R718" s="30"/>
    </row>
    <row r="719" spans="18:18" ht="15.75" customHeight="1">
      <c r="R719" s="30"/>
    </row>
    <row r="720" spans="18:18" ht="15.75" customHeight="1">
      <c r="R720" s="30"/>
    </row>
    <row r="721" spans="18:18" ht="15.75" customHeight="1">
      <c r="R721" s="30"/>
    </row>
    <row r="722" spans="18:18" ht="15.75" customHeight="1">
      <c r="R722" s="30"/>
    </row>
    <row r="723" spans="18:18" ht="15.75" customHeight="1">
      <c r="R723" s="30"/>
    </row>
    <row r="724" spans="18:18" ht="15.75" customHeight="1">
      <c r="R724" s="30"/>
    </row>
    <row r="725" spans="18:18" ht="15.75" customHeight="1">
      <c r="R725" s="30"/>
    </row>
    <row r="726" spans="18:18" ht="15.75" customHeight="1">
      <c r="R726" s="30"/>
    </row>
    <row r="727" spans="18:18" ht="15.75" customHeight="1">
      <c r="R727" s="30"/>
    </row>
    <row r="728" spans="18:18" ht="15.75" customHeight="1">
      <c r="R728" s="30"/>
    </row>
    <row r="729" spans="18:18" ht="15.75" customHeight="1">
      <c r="R729" s="30"/>
    </row>
    <row r="730" spans="18:18" ht="15.75" customHeight="1">
      <c r="R730" s="30"/>
    </row>
    <row r="731" spans="18:18" ht="15.75" customHeight="1">
      <c r="R731" s="30"/>
    </row>
    <row r="732" spans="18:18" ht="15.75" customHeight="1">
      <c r="R732" s="30"/>
    </row>
    <row r="733" spans="18:18" ht="15.75" customHeight="1">
      <c r="R733" s="30"/>
    </row>
    <row r="734" spans="18:18" ht="15.75" customHeight="1">
      <c r="R734" s="30"/>
    </row>
    <row r="735" spans="18:18" ht="15.75" customHeight="1">
      <c r="R735" s="30"/>
    </row>
    <row r="736" spans="18:18" ht="15.75" customHeight="1">
      <c r="R736" s="30"/>
    </row>
    <row r="737" spans="18:18" ht="15.75" customHeight="1">
      <c r="R737" s="30"/>
    </row>
    <row r="738" spans="18:18" ht="15.75" customHeight="1">
      <c r="R738" s="30"/>
    </row>
    <row r="739" spans="18:18" ht="15.75" customHeight="1">
      <c r="R739" s="30"/>
    </row>
    <row r="740" spans="18:18" ht="15.75" customHeight="1">
      <c r="R740" s="30"/>
    </row>
    <row r="741" spans="18:18" ht="15.75" customHeight="1">
      <c r="R741" s="30"/>
    </row>
    <row r="742" spans="18:18" ht="15.75" customHeight="1">
      <c r="R742" s="30"/>
    </row>
    <row r="743" spans="18:18" ht="15.75" customHeight="1">
      <c r="R743" s="30"/>
    </row>
    <row r="744" spans="18:18" ht="15.75" customHeight="1">
      <c r="R744" s="30"/>
    </row>
    <row r="745" spans="18:18" ht="15.75" customHeight="1">
      <c r="R745" s="30"/>
    </row>
    <row r="746" spans="18:18" ht="15.75" customHeight="1">
      <c r="R746" s="30"/>
    </row>
    <row r="747" spans="18:18" ht="15.75" customHeight="1">
      <c r="R747" s="30"/>
    </row>
    <row r="748" spans="18:18" ht="15.75" customHeight="1">
      <c r="R748" s="30"/>
    </row>
    <row r="749" spans="18:18" ht="15.75" customHeight="1">
      <c r="R749" s="30"/>
    </row>
    <row r="750" spans="18:18" ht="15.75" customHeight="1">
      <c r="R750" s="30"/>
    </row>
    <row r="751" spans="18:18" ht="15.75" customHeight="1">
      <c r="R751" s="30"/>
    </row>
    <row r="752" spans="18:18" ht="15.75" customHeight="1">
      <c r="R752" s="30"/>
    </row>
    <row r="753" spans="18:18" ht="15.75" customHeight="1">
      <c r="R753" s="30"/>
    </row>
    <row r="754" spans="18:18" ht="15.75" customHeight="1">
      <c r="R754" s="30"/>
    </row>
    <row r="755" spans="18:18" ht="15.75" customHeight="1">
      <c r="R755" s="30"/>
    </row>
    <row r="756" spans="18:18" ht="15.75" customHeight="1">
      <c r="R756" s="30"/>
    </row>
    <row r="757" spans="18:18" ht="15.75" customHeight="1">
      <c r="R757" s="30"/>
    </row>
    <row r="758" spans="18:18" ht="15.75" customHeight="1">
      <c r="R758" s="30"/>
    </row>
    <row r="759" spans="18:18" ht="15.75" customHeight="1">
      <c r="R759" s="30"/>
    </row>
    <row r="760" spans="18:18" ht="15.75" customHeight="1">
      <c r="R760" s="30"/>
    </row>
    <row r="761" spans="18:18" ht="15.75" customHeight="1">
      <c r="R761" s="30"/>
    </row>
    <row r="762" spans="18:18" ht="15.75" customHeight="1">
      <c r="R762" s="30"/>
    </row>
    <row r="763" spans="18:18" ht="15.75" customHeight="1">
      <c r="R763" s="30"/>
    </row>
    <row r="764" spans="18:18" ht="15.75" customHeight="1">
      <c r="R764" s="30"/>
    </row>
    <row r="765" spans="18:18" ht="15.75" customHeight="1">
      <c r="R765" s="30"/>
    </row>
    <row r="766" spans="18:18" ht="15.75" customHeight="1">
      <c r="R766" s="30"/>
    </row>
    <row r="767" spans="18:18" ht="15.75" customHeight="1">
      <c r="R767" s="30"/>
    </row>
    <row r="768" spans="18:18" ht="15.75" customHeight="1">
      <c r="R768" s="30"/>
    </row>
    <row r="769" spans="18:18" ht="15.75" customHeight="1">
      <c r="R769" s="30"/>
    </row>
    <row r="770" spans="18:18" ht="15.75" customHeight="1">
      <c r="R770" s="30"/>
    </row>
    <row r="771" spans="18:18" ht="15.75" customHeight="1">
      <c r="R771" s="30"/>
    </row>
    <row r="772" spans="18:18" ht="15.75" customHeight="1">
      <c r="R772" s="30"/>
    </row>
    <row r="773" spans="18:18" ht="15.75" customHeight="1">
      <c r="R773" s="30"/>
    </row>
    <row r="774" spans="18:18" ht="15.75" customHeight="1">
      <c r="R774" s="30"/>
    </row>
    <row r="775" spans="18:18" ht="15.75" customHeight="1">
      <c r="R775" s="30"/>
    </row>
    <row r="776" spans="18:18" ht="15.75" customHeight="1">
      <c r="R776" s="30"/>
    </row>
    <row r="777" spans="18:18" ht="15.75" customHeight="1">
      <c r="R777" s="30"/>
    </row>
    <row r="778" spans="18:18" ht="15.75" customHeight="1">
      <c r="R778" s="30"/>
    </row>
    <row r="779" spans="18:18" ht="15.75" customHeight="1">
      <c r="R779" s="30"/>
    </row>
    <row r="780" spans="18:18" ht="15.75" customHeight="1">
      <c r="R780" s="30"/>
    </row>
    <row r="781" spans="18:18" ht="15.75" customHeight="1">
      <c r="R781" s="30"/>
    </row>
    <row r="782" spans="18:18" ht="15.75" customHeight="1">
      <c r="R782" s="30"/>
    </row>
    <row r="783" spans="18:18" ht="15.75" customHeight="1">
      <c r="R783" s="30"/>
    </row>
    <row r="784" spans="18:18" ht="15.75" customHeight="1">
      <c r="R784" s="30"/>
    </row>
    <row r="785" spans="18:18" ht="15.75" customHeight="1">
      <c r="R785" s="30"/>
    </row>
    <row r="786" spans="18:18" ht="15.75" customHeight="1">
      <c r="R786" s="30"/>
    </row>
    <row r="787" spans="18:18" ht="15.75" customHeight="1">
      <c r="R787" s="30"/>
    </row>
    <row r="788" spans="18:18" ht="15.75" customHeight="1">
      <c r="R788" s="30"/>
    </row>
    <row r="789" spans="18:18" ht="15.75" customHeight="1">
      <c r="R789" s="30"/>
    </row>
    <row r="790" spans="18:18" ht="15.75" customHeight="1">
      <c r="R790" s="30"/>
    </row>
    <row r="791" spans="18:18" ht="15.75" customHeight="1">
      <c r="R791" s="30"/>
    </row>
    <row r="792" spans="18:18" ht="15.75" customHeight="1">
      <c r="R792" s="30"/>
    </row>
    <row r="793" spans="18:18" ht="15.75" customHeight="1">
      <c r="R793" s="30"/>
    </row>
    <row r="794" spans="18:18" ht="15.75" customHeight="1">
      <c r="R794" s="30"/>
    </row>
    <row r="795" spans="18:18" ht="15.75" customHeight="1">
      <c r="R795" s="30"/>
    </row>
    <row r="796" spans="18:18" ht="15.75" customHeight="1">
      <c r="R796" s="30"/>
    </row>
    <row r="797" spans="18:18" ht="15.75" customHeight="1">
      <c r="R797" s="30"/>
    </row>
    <row r="798" spans="18:18" ht="15.75" customHeight="1">
      <c r="R798" s="30"/>
    </row>
    <row r="799" spans="18:18" ht="15.75" customHeight="1">
      <c r="R799" s="30"/>
    </row>
    <row r="800" spans="18:18" ht="15.75" customHeight="1">
      <c r="R800" s="30"/>
    </row>
    <row r="801" spans="18:18" ht="15.75" customHeight="1">
      <c r="R801" s="30"/>
    </row>
    <row r="802" spans="18:18" ht="15.75" customHeight="1">
      <c r="R802" s="30"/>
    </row>
    <row r="803" spans="18:18" ht="15.75" customHeight="1">
      <c r="R803" s="30"/>
    </row>
    <row r="804" spans="18:18" ht="15.75" customHeight="1">
      <c r="R804" s="30"/>
    </row>
    <row r="805" spans="18:18" ht="15.75" customHeight="1">
      <c r="R805" s="30"/>
    </row>
    <row r="806" spans="18:18" ht="15.75" customHeight="1">
      <c r="R806" s="30"/>
    </row>
    <row r="807" spans="18:18" ht="15.75" customHeight="1">
      <c r="R807" s="30"/>
    </row>
    <row r="808" spans="18:18" ht="15.75" customHeight="1">
      <c r="R808" s="30"/>
    </row>
    <row r="809" spans="18:18" ht="15.75" customHeight="1">
      <c r="R809" s="30"/>
    </row>
    <row r="810" spans="18:18" ht="15.75" customHeight="1">
      <c r="R810" s="30"/>
    </row>
    <row r="811" spans="18:18" ht="15.75" customHeight="1">
      <c r="R811" s="30"/>
    </row>
    <row r="812" spans="18:18" ht="15.75" customHeight="1">
      <c r="R812" s="30"/>
    </row>
    <row r="813" spans="18:18" ht="15.75" customHeight="1">
      <c r="R813" s="30"/>
    </row>
    <row r="814" spans="18:18" ht="15.75" customHeight="1">
      <c r="R814" s="30"/>
    </row>
    <row r="815" spans="18:18" ht="15.75" customHeight="1">
      <c r="R815" s="30"/>
    </row>
    <row r="816" spans="18:18" ht="15.75" customHeight="1">
      <c r="R816" s="30"/>
    </row>
    <row r="817" spans="18:18" ht="15.75" customHeight="1">
      <c r="R817" s="30"/>
    </row>
    <row r="818" spans="18:18" ht="15.75" customHeight="1">
      <c r="R818" s="30"/>
    </row>
    <row r="819" spans="18:18" ht="15.75" customHeight="1">
      <c r="R819" s="30"/>
    </row>
    <row r="820" spans="18:18" ht="15.75" customHeight="1">
      <c r="R820" s="30"/>
    </row>
    <row r="821" spans="18:18" ht="15.75" customHeight="1">
      <c r="R821" s="30"/>
    </row>
    <row r="822" spans="18:18" ht="15.75" customHeight="1">
      <c r="R822" s="30"/>
    </row>
    <row r="823" spans="18:18" ht="15.75" customHeight="1">
      <c r="R823" s="30"/>
    </row>
    <row r="824" spans="18:18" ht="15.75" customHeight="1">
      <c r="R824" s="30"/>
    </row>
    <row r="825" spans="18:18" ht="15.75" customHeight="1">
      <c r="R825" s="30"/>
    </row>
    <row r="826" spans="18:18" ht="15.75" customHeight="1">
      <c r="R826" s="30"/>
    </row>
    <row r="827" spans="18:18" ht="15.75" customHeight="1">
      <c r="R827" s="30"/>
    </row>
    <row r="828" spans="18:18" ht="15.75" customHeight="1">
      <c r="R828" s="30"/>
    </row>
    <row r="829" spans="18:18" ht="15.75" customHeight="1">
      <c r="R829" s="30"/>
    </row>
    <row r="830" spans="18:18" ht="15.75" customHeight="1">
      <c r="R830" s="30"/>
    </row>
    <row r="831" spans="18:18" ht="15.75" customHeight="1">
      <c r="R831" s="30"/>
    </row>
    <row r="832" spans="18:18" ht="15.75" customHeight="1">
      <c r="R832" s="30"/>
    </row>
    <row r="833" spans="18:18" ht="15.75" customHeight="1">
      <c r="R833" s="30"/>
    </row>
    <row r="834" spans="18:18" ht="15.75" customHeight="1">
      <c r="R834" s="30"/>
    </row>
    <row r="835" spans="18:18" ht="15.75" customHeight="1">
      <c r="R835" s="30"/>
    </row>
    <row r="836" spans="18:18" ht="15.75" customHeight="1">
      <c r="R836" s="30"/>
    </row>
    <row r="837" spans="18:18" ht="15.75" customHeight="1">
      <c r="R837" s="30"/>
    </row>
    <row r="838" spans="18:18" ht="15.75" customHeight="1">
      <c r="R838" s="30"/>
    </row>
    <row r="839" spans="18:18" ht="15.75" customHeight="1">
      <c r="R839" s="30"/>
    </row>
    <row r="840" spans="18:18" ht="15.75" customHeight="1">
      <c r="R840" s="30"/>
    </row>
    <row r="841" spans="18:18" ht="15.75" customHeight="1">
      <c r="R841" s="30"/>
    </row>
    <row r="842" spans="18:18" ht="15.75" customHeight="1">
      <c r="R842" s="30"/>
    </row>
    <row r="843" spans="18:18" ht="15.75" customHeight="1">
      <c r="R843" s="30"/>
    </row>
    <row r="844" spans="18:18" ht="15.75" customHeight="1">
      <c r="R844" s="30"/>
    </row>
    <row r="845" spans="18:18" ht="15.75" customHeight="1">
      <c r="R845" s="30"/>
    </row>
    <row r="846" spans="18:18" ht="15.75" customHeight="1">
      <c r="R846" s="30"/>
    </row>
    <row r="847" spans="18:18" ht="15.75" customHeight="1">
      <c r="R847" s="30"/>
    </row>
    <row r="848" spans="18:18" ht="15.75" customHeight="1">
      <c r="R848" s="30"/>
    </row>
    <row r="849" spans="18:18" ht="15.75" customHeight="1">
      <c r="R849" s="30"/>
    </row>
    <row r="850" spans="18:18" ht="15.75" customHeight="1">
      <c r="R850" s="30"/>
    </row>
    <row r="851" spans="18:18" ht="15.75" customHeight="1">
      <c r="R851" s="30"/>
    </row>
    <row r="852" spans="18:18" ht="15.75" customHeight="1">
      <c r="R852" s="30"/>
    </row>
    <row r="853" spans="18:18" ht="15.75" customHeight="1">
      <c r="R853" s="30"/>
    </row>
    <row r="854" spans="18:18" ht="15.75" customHeight="1">
      <c r="R854" s="30"/>
    </row>
    <row r="855" spans="18:18" ht="15.75" customHeight="1">
      <c r="R855" s="30"/>
    </row>
    <row r="856" spans="18:18" ht="15.75" customHeight="1">
      <c r="R856" s="30"/>
    </row>
    <row r="857" spans="18:18" ht="15.75" customHeight="1">
      <c r="R857" s="30"/>
    </row>
    <row r="858" spans="18:18" ht="15.75" customHeight="1">
      <c r="R858" s="30"/>
    </row>
    <row r="859" spans="18:18" ht="15.75" customHeight="1">
      <c r="R859" s="30"/>
    </row>
    <row r="860" spans="18:18" ht="15.75" customHeight="1">
      <c r="R860" s="30"/>
    </row>
    <row r="861" spans="18:18" ht="15.75" customHeight="1">
      <c r="R861" s="30"/>
    </row>
    <row r="862" spans="18:18" ht="15.75" customHeight="1">
      <c r="R862" s="30"/>
    </row>
    <row r="863" spans="18:18" ht="15.75" customHeight="1">
      <c r="R863" s="30"/>
    </row>
    <row r="864" spans="18:18" ht="15.75" customHeight="1">
      <c r="R864" s="30"/>
    </row>
    <row r="865" spans="18:18" ht="15.75" customHeight="1">
      <c r="R865" s="30"/>
    </row>
    <row r="866" spans="18:18" ht="15.75" customHeight="1">
      <c r="R866" s="30"/>
    </row>
    <row r="867" spans="18:18" ht="15.75" customHeight="1">
      <c r="R867" s="30"/>
    </row>
    <row r="868" spans="18:18" ht="15.75" customHeight="1">
      <c r="R868" s="30"/>
    </row>
    <row r="869" spans="18:18" ht="15.75" customHeight="1">
      <c r="R869" s="30"/>
    </row>
    <row r="870" spans="18:18" ht="15.75" customHeight="1">
      <c r="R870" s="30"/>
    </row>
    <row r="871" spans="18:18" ht="15.75" customHeight="1">
      <c r="R871" s="30"/>
    </row>
    <row r="872" spans="18:18" ht="15.75" customHeight="1">
      <c r="R872" s="30"/>
    </row>
    <row r="873" spans="18:18" ht="15.75" customHeight="1">
      <c r="R873" s="30"/>
    </row>
    <row r="874" spans="18:18" ht="15.75" customHeight="1">
      <c r="R874" s="30"/>
    </row>
    <row r="875" spans="18:18" ht="15.75" customHeight="1">
      <c r="R875" s="30"/>
    </row>
    <row r="876" spans="18:18" ht="15.75" customHeight="1">
      <c r="R876" s="30"/>
    </row>
    <row r="877" spans="18:18" ht="15.75" customHeight="1">
      <c r="R877" s="30"/>
    </row>
    <row r="878" spans="18:18" ht="15.75" customHeight="1">
      <c r="R878" s="30"/>
    </row>
    <row r="879" spans="18:18" ht="15.75" customHeight="1">
      <c r="R879" s="30"/>
    </row>
    <row r="880" spans="18:18" ht="15.75" customHeight="1">
      <c r="R880" s="30"/>
    </row>
    <row r="881" spans="18:18" ht="15.75" customHeight="1">
      <c r="R881" s="30"/>
    </row>
    <row r="882" spans="18:18" ht="15.75" customHeight="1">
      <c r="R882" s="30"/>
    </row>
    <row r="883" spans="18:18" ht="15.75" customHeight="1">
      <c r="R883" s="30"/>
    </row>
    <row r="884" spans="18:18" ht="15.75" customHeight="1">
      <c r="R884" s="30"/>
    </row>
    <row r="885" spans="18:18" ht="15.75" customHeight="1">
      <c r="R885" s="30"/>
    </row>
    <row r="886" spans="18:18" ht="15.75" customHeight="1">
      <c r="R886" s="30"/>
    </row>
    <row r="887" spans="18:18" ht="15.75" customHeight="1">
      <c r="R887" s="30"/>
    </row>
    <row r="888" spans="18:18" ht="15.75" customHeight="1">
      <c r="R888" s="30"/>
    </row>
    <row r="889" spans="18:18" ht="15.75" customHeight="1">
      <c r="R889" s="30"/>
    </row>
    <row r="890" spans="18:18" ht="15.75" customHeight="1">
      <c r="R890" s="30"/>
    </row>
    <row r="891" spans="18:18" ht="15.75" customHeight="1">
      <c r="R891" s="30"/>
    </row>
    <row r="892" spans="18:18" ht="15.75" customHeight="1">
      <c r="R892" s="30"/>
    </row>
    <row r="893" spans="18:18" ht="15.75" customHeight="1">
      <c r="R893" s="30"/>
    </row>
    <row r="894" spans="18:18" ht="15.75" customHeight="1">
      <c r="R894" s="30"/>
    </row>
    <row r="895" spans="18:18" ht="15.75" customHeight="1">
      <c r="R895" s="30"/>
    </row>
    <row r="896" spans="18:18" ht="15.75" customHeight="1">
      <c r="R896" s="30"/>
    </row>
    <row r="897" spans="18:18" ht="15.75" customHeight="1">
      <c r="R897" s="30"/>
    </row>
    <row r="898" spans="18:18" ht="15.75" customHeight="1">
      <c r="R898" s="30"/>
    </row>
    <row r="899" spans="18:18" ht="15.75" customHeight="1">
      <c r="R899" s="30"/>
    </row>
    <row r="900" spans="18:18" ht="15.75" customHeight="1">
      <c r="R900" s="30"/>
    </row>
    <row r="901" spans="18:18" ht="15.75" customHeight="1">
      <c r="R901" s="30"/>
    </row>
    <row r="902" spans="18:18" ht="15.75" customHeight="1">
      <c r="R902" s="30"/>
    </row>
    <row r="903" spans="18:18" ht="15.75" customHeight="1">
      <c r="R903" s="30"/>
    </row>
    <row r="904" spans="18:18" ht="15.75" customHeight="1">
      <c r="R904" s="30"/>
    </row>
    <row r="905" spans="18:18" ht="15.75" customHeight="1">
      <c r="R905" s="30"/>
    </row>
    <row r="906" spans="18:18" ht="15.75" customHeight="1">
      <c r="R906" s="30"/>
    </row>
    <row r="907" spans="18:18" ht="15.75" customHeight="1">
      <c r="R907" s="30"/>
    </row>
    <row r="908" spans="18:18" ht="15.75" customHeight="1">
      <c r="R908" s="30"/>
    </row>
    <row r="909" spans="18:18" ht="15.75" customHeight="1">
      <c r="R909" s="30"/>
    </row>
    <row r="910" spans="18:18" ht="15.75" customHeight="1">
      <c r="R910" s="30"/>
    </row>
    <row r="911" spans="18:18" ht="15.75" customHeight="1">
      <c r="R911" s="30"/>
    </row>
    <row r="912" spans="18:18" ht="15.75" customHeight="1">
      <c r="R912" s="30"/>
    </row>
    <row r="913" spans="18:18" ht="15.75" customHeight="1">
      <c r="R913" s="30"/>
    </row>
    <row r="914" spans="18:18" ht="15.75" customHeight="1">
      <c r="R914" s="30"/>
    </row>
    <row r="915" spans="18:18" ht="15.75" customHeight="1">
      <c r="R915" s="30"/>
    </row>
    <row r="916" spans="18:18" ht="15.75" customHeight="1">
      <c r="R916" s="30"/>
    </row>
    <row r="917" spans="18:18" ht="15.75" customHeight="1">
      <c r="R917" s="30"/>
    </row>
    <row r="918" spans="18:18" ht="15.75" customHeight="1">
      <c r="R918" s="30"/>
    </row>
    <row r="919" spans="18:18" ht="15.75" customHeight="1">
      <c r="R919" s="30"/>
    </row>
    <row r="920" spans="18:18" ht="15.75" customHeight="1">
      <c r="R920" s="30"/>
    </row>
    <row r="921" spans="18:18" ht="15.75" customHeight="1">
      <c r="R921" s="30"/>
    </row>
    <row r="922" spans="18:18" ht="15.75" customHeight="1">
      <c r="R922" s="30"/>
    </row>
    <row r="923" spans="18:18" ht="15.75" customHeight="1">
      <c r="R923" s="30"/>
    </row>
    <row r="924" spans="18:18" ht="15.75" customHeight="1">
      <c r="R924" s="30"/>
    </row>
    <row r="925" spans="18:18" ht="15.75" customHeight="1">
      <c r="R925" s="30"/>
    </row>
    <row r="926" spans="18:18" ht="15.75" customHeight="1">
      <c r="R926" s="30"/>
    </row>
    <row r="927" spans="18:18" ht="15.75" customHeight="1">
      <c r="R927" s="30"/>
    </row>
    <row r="928" spans="18:18" ht="15.75" customHeight="1">
      <c r="R928" s="30"/>
    </row>
    <row r="929" spans="18:18" ht="15.75" customHeight="1">
      <c r="R929" s="30"/>
    </row>
    <row r="930" spans="18:18" ht="15.75" customHeight="1">
      <c r="R930" s="30"/>
    </row>
    <row r="931" spans="18:18" ht="15.75" customHeight="1">
      <c r="R931" s="30"/>
    </row>
    <row r="932" spans="18:18" ht="15.75" customHeight="1">
      <c r="R932" s="30"/>
    </row>
    <row r="933" spans="18:18" ht="15.75" customHeight="1">
      <c r="R933" s="30"/>
    </row>
    <row r="934" spans="18:18" ht="15.75" customHeight="1">
      <c r="R934" s="30"/>
    </row>
    <row r="935" spans="18:18" ht="15.75" customHeight="1">
      <c r="R935" s="30"/>
    </row>
    <row r="936" spans="18:18" ht="15.75" customHeight="1">
      <c r="R936" s="30"/>
    </row>
    <row r="937" spans="18:18" ht="15.75" customHeight="1">
      <c r="R937" s="30"/>
    </row>
    <row r="938" spans="18:18" ht="15.75" customHeight="1">
      <c r="R938" s="30"/>
    </row>
    <row r="939" spans="18:18" ht="15.75" customHeight="1">
      <c r="R939" s="30"/>
    </row>
    <row r="940" spans="18:18" ht="15.75" customHeight="1">
      <c r="R940" s="30"/>
    </row>
    <row r="941" spans="18:18" ht="15.75" customHeight="1">
      <c r="R941" s="30"/>
    </row>
    <row r="942" spans="18:18" ht="15.75" customHeight="1">
      <c r="R942" s="30"/>
    </row>
    <row r="943" spans="18:18" ht="15.75" customHeight="1">
      <c r="R943" s="30"/>
    </row>
    <row r="944" spans="18:18" ht="15.75" customHeight="1">
      <c r="R944" s="30"/>
    </row>
    <row r="945" spans="18:18" ht="15.75" customHeight="1">
      <c r="R945" s="30"/>
    </row>
    <row r="946" spans="18:18" ht="15.75" customHeight="1">
      <c r="R946" s="30"/>
    </row>
    <row r="947" spans="18:18" ht="15.75" customHeight="1">
      <c r="R947" s="30"/>
    </row>
    <row r="948" spans="18:18" ht="15.75" customHeight="1">
      <c r="R948" s="30"/>
    </row>
    <row r="949" spans="18:18" ht="15.75" customHeight="1">
      <c r="R949" s="30"/>
    </row>
    <row r="950" spans="18:18" ht="15.75" customHeight="1">
      <c r="R950" s="30"/>
    </row>
    <row r="951" spans="18:18" ht="15.75" customHeight="1">
      <c r="R951" s="30"/>
    </row>
    <row r="952" spans="18:18" ht="15.75" customHeight="1">
      <c r="R952" s="30"/>
    </row>
    <row r="953" spans="18:18" ht="15.75" customHeight="1">
      <c r="R953" s="30"/>
    </row>
    <row r="954" spans="18:18" ht="15.75" customHeight="1">
      <c r="R954" s="30"/>
    </row>
    <row r="955" spans="18:18" ht="15.75" customHeight="1">
      <c r="R955" s="30"/>
    </row>
    <row r="956" spans="18:18" ht="15.75" customHeight="1">
      <c r="R956" s="30"/>
    </row>
    <row r="957" spans="18:18" ht="15.75" customHeight="1">
      <c r="R957" s="30"/>
    </row>
    <row r="958" spans="18:18" ht="15.75" customHeight="1">
      <c r="R958" s="30"/>
    </row>
    <row r="959" spans="18:18" ht="15.75" customHeight="1">
      <c r="R959" s="30"/>
    </row>
    <row r="960" spans="18:18" ht="15.75" customHeight="1">
      <c r="R960" s="30"/>
    </row>
    <row r="961" spans="18:18" ht="15.75" customHeight="1">
      <c r="R961" s="30"/>
    </row>
    <row r="962" spans="18:18" ht="15.75" customHeight="1">
      <c r="R962" s="30"/>
    </row>
    <row r="963" spans="18:18" ht="15.75" customHeight="1">
      <c r="R963" s="30"/>
    </row>
    <row r="964" spans="18:18" ht="15.75" customHeight="1">
      <c r="R964" s="30"/>
    </row>
    <row r="965" spans="18:18" ht="15.75" customHeight="1">
      <c r="R965" s="30"/>
    </row>
    <row r="966" spans="18:18" ht="15.75" customHeight="1">
      <c r="R966" s="30"/>
    </row>
    <row r="967" spans="18:18" ht="15.75" customHeight="1">
      <c r="R967" s="30"/>
    </row>
    <row r="968" spans="18:18" ht="15.75" customHeight="1">
      <c r="R968" s="30"/>
    </row>
    <row r="969" spans="18:18" ht="15.75" customHeight="1">
      <c r="R969" s="30"/>
    </row>
    <row r="970" spans="18:18" ht="15.75" customHeight="1">
      <c r="R970" s="30"/>
    </row>
    <row r="971" spans="18:18" ht="15.75" customHeight="1">
      <c r="R971" s="30"/>
    </row>
    <row r="972" spans="18:18" ht="15.75" customHeight="1">
      <c r="R972" s="30"/>
    </row>
    <row r="973" spans="18:18" ht="15.75" customHeight="1">
      <c r="R973" s="30"/>
    </row>
    <row r="974" spans="18:18" ht="15.75" customHeight="1">
      <c r="R974" s="30"/>
    </row>
    <row r="975" spans="18:18" ht="15.75" customHeight="1">
      <c r="R975" s="30"/>
    </row>
    <row r="976" spans="18:18" ht="15.75" customHeight="1">
      <c r="R976" s="30"/>
    </row>
    <row r="977" spans="18:18" ht="15.75" customHeight="1">
      <c r="R977" s="30"/>
    </row>
    <row r="978" spans="18:18" ht="15.75" customHeight="1">
      <c r="R978" s="30"/>
    </row>
    <row r="979" spans="18:18" ht="15.75" customHeight="1">
      <c r="R979" s="30"/>
    </row>
    <row r="980" spans="18:18" ht="15.75" customHeight="1">
      <c r="R980" s="30"/>
    </row>
    <row r="981" spans="18:18" ht="15.75" customHeight="1">
      <c r="R981" s="30"/>
    </row>
    <row r="982" spans="18:18" ht="15.75" customHeight="1">
      <c r="R982" s="30"/>
    </row>
    <row r="983" spans="18:18" ht="15.75" customHeight="1">
      <c r="R983" s="30"/>
    </row>
    <row r="984" spans="18:18" ht="15.75" customHeight="1">
      <c r="R984" s="30"/>
    </row>
    <row r="985" spans="18:18" ht="15.75" customHeight="1">
      <c r="R985" s="30"/>
    </row>
    <row r="986" spans="18:18" ht="15.75" customHeight="1">
      <c r="R986" s="30"/>
    </row>
    <row r="987" spans="18:18" ht="15.75" customHeight="1">
      <c r="R987" s="30"/>
    </row>
    <row r="988" spans="18:18" ht="15.75" customHeight="1">
      <c r="R988" s="30"/>
    </row>
    <row r="989" spans="18:18" ht="15.75" customHeight="1">
      <c r="R989" s="30"/>
    </row>
    <row r="990" spans="18:18" ht="15.75" customHeight="1">
      <c r="R990" s="30"/>
    </row>
    <row r="991" spans="18:18" ht="15.75" customHeight="1">
      <c r="R991" s="30"/>
    </row>
    <row r="992" spans="18:18" ht="15.75" customHeight="1">
      <c r="R992" s="30"/>
    </row>
    <row r="993" spans="18:18" ht="15.75" customHeight="1">
      <c r="R993" s="30"/>
    </row>
    <row r="994" spans="18:18" ht="15.75" customHeight="1">
      <c r="R994" s="30"/>
    </row>
    <row r="995" spans="18:18" ht="15.75" customHeight="1">
      <c r="R995" s="30"/>
    </row>
    <row r="996" spans="18:18" ht="15.75" customHeight="1">
      <c r="R996" s="30"/>
    </row>
    <row r="997" spans="18:18" ht="15.75" customHeight="1">
      <c r="R997" s="30"/>
    </row>
    <row r="998" spans="18:18" ht="15.75" customHeight="1">
      <c r="R998" s="30"/>
    </row>
    <row r="999" spans="18:18" ht="15.75" customHeight="1">
      <c r="R999" s="30"/>
    </row>
    <row r="1000" spans="18:18" ht="15.75" customHeight="1">
      <c r="R1000" s="3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2.6640625" defaultRowHeight="15" customHeight="1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8.6640625" customWidth="1"/>
    <col min="6" max="6" width="10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17.1640625" customWidth="1"/>
    <col min="16" max="16" width="10" customWidth="1"/>
    <col min="17" max="18" width="7.33203125" customWidth="1"/>
    <col min="19" max="19" width="7.1640625" customWidth="1"/>
    <col min="20" max="20" width="11.1640625" customWidth="1"/>
    <col min="21" max="21" width="23.1640625" customWidth="1"/>
    <col min="22" max="22" width="91.164062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6640625" customWidth="1"/>
    <col min="32" max="32" width="10.1640625" customWidth="1"/>
    <col min="33" max="33" width="8.83203125" customWidth="1"/>
  </cols>
  <sheetData>
    <row r="1" spans="1:33" ht="18.75" customHeight="1">
      <c r="A1" s="46" t="str">
        <f ca="1">IFERROR(__xludf.DUMMYFUNCTION("IFERROR(VLOOKUP(B2,IMPORTRANGE(""https://docs.google.com/spreadsheets/d/1x0DhHglkXKoEBOD2MBsuK_EyIr1ouxD2ftIpqOYFa-k/edit?usp=sharing"",""Ubiquitty-SKU-Specific Info!B1:BJ5000""),3,FALSE),"""")"),"Iron Forge Cable 12/3 Gauge Yellow Lighted 50ft Extension Cord")</f>
        <v>Iron Forge Cable 12/3 Gauge Yellow Lighted 50ft Extension Cord</v>
      </c>
      <c r="B1" s="47"/>
      <c r="C1" s="48" t="s">
        <v>0</v>
      </c>
      <c r="D1" s="50" t="s">
        <v>1</v>
      </c>
      <c r="E1" s="50" t="s">
        <v>2</v>
      </c>
      <c r="F1" s="52" t="s">
        <v>3</v>
      </c>
      <c r="G1" s="52" t="s">
        <v>4</v>
      </c>
      <c r="H1" s="53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58" t="s">
        <v>10</v>
      </c>
      <c r="N1" s="59" t="s">
        <v>11</v>
      </c>
      <c r="O1" s="50" t="s">
        <v>12</v>
      </c>
      <c r="P1" s="50" t="s">
        <v>13</v>
      </c>
      <c r="Q1" s="57" t="s">
        <v>14</v>
      </c>
      <c r="R1" s="57" t="s">
        <v>15</v>
      </c>
      <c r="S1" s="60" t="s">
        <v>16</v>
      </c>
      <c r="T1" s="62" t="s">
        <v>2006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Info!B1:BJ5000""),2,FALSE),"""")"),"B01DDV89UK")</f>
        <v>B01DDV89UK</v>
      </c>
      <c r="B2" s="3" t="s">
        <v>1633</v>
      </c>
      <c r="C2" s="49"/>
      <c r="D2" s="49"/>
      <c r="E2" s="51"/>
      <c r="F2" s="49"/>
      <c r="G2" s="49"/>
      <c r="H2" s="54"/>
      <c r="I2" s="49"/>
      <c r="J2" s="49"/>
      <c r="K2" s="54"/>
      <c r="L2" s="54"/>
      <c r="M2" s="54"/>
      <c r="N2" s="49"/>
      <c r="O2" s="49"/>
      <c r="P2" s="51"/>
      <c r="Q2" s="49"/>
      <c r="R2" s="49"/>
      <c r="S2" s="61"/>
      <c r="T2" s="47"/>
      <c r="U2" s="63"/>
      <c r="V2" s="63"/>
      <c r="W2" s="47"/>
      <c r="X2" s="47"/>
      <c r="Y2" s="47"/>
      <c r="Z2" s="47"/>
      <c r="AA2" s="63"/>
      <c r="AB2" s="63"/>
      <c r="AC2" s="63"/>
      <c r="AD2" s="63"/>
      <c r="AE2" s="47"/>
      <c r="AF2" s="47"/>
      <c r="AG2" s="47"/>
    </row>
    <row r="3" spans="1:33" ht="182.25" customHeight="1">
      <c r="A3" s="55" t="s">
        <v>31</v>
      </c>
      <c r="B3" s="56"/>
      <c r="C3" s="4">
        <f>((AE32+AF32)/0.85)*-1</f>
        <v>33.275105974264704</v>
      </c>
      <c r="D3" s="5">
        <f>SUM(D4:D99765)</f>
        <v>2869</v>
      </c>
      <c r="E3" s="5"/>
      <c r="F3" s="6">
        <f t="shared" ref="F3:G3" si="0">SUM(F4:F99765)</f>
        <v>122369.96999999993</v>
      </c>
      <c r="G3" s="6">
        <f t="shared" si="0"/>
        <v>-3.89</v>
      </c>
      <c r="H3" s="7">
        <f t="shared" ref="H3:H32" si="1">G3/F3*-1</f>
        <v>3.1788844926578004E-5</v>
      </c>
      <c r="I3" s="8">
        <f t="shared" ref="I3:I32" si="2">J3/F3</f>
        <v>0.2623017900077288</v>
      </c>
      <c r="J3" s="6">
        <f>SUM(J4:J99765)</f>
        <v>32097.862174192054</v>
      </c>
      <c r="K3" s="6">
        <f t="shared" ref="K3:K32" si="3">J3/D3</f>
        <v>11.18782229842874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Sheet!a1:g5000""),2,FALSE),"""")"),"22 - March
24 - April
24 - May
24 - June
24 - July
24 - Aug
27.5 - Sept
27.5 - Oct
20 - Nov
26.5 - Dec
9 - Jan
22 - Feb")</f>
        <v>22 - March
24 - April
24 - May
24 - June
24 - July
24 - Aug
27.5 - Sept
27.5 - Oct
20 - Nov
26.5 - Dec
9 - Jan
22 -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QTY-0")</f>
        <v>Del QTY-0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QTY-0")</f>
        <v>US QTY-0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6</v>
      </c>
      <c r="X3" s="7">
        <f>W3/D3</f>
        <v>2.0913210177762286E-3</v>
      </c>
      <c r="Y3" s="6"/>
      <c r="Z3" s="5"/>
      <c r="AA3" s="5"/>
      <c r="AB3" s="5"/>
      <c r="AC3" s="5"/>
      <c r="AD3" s="6">
        <f>SUM(AD4:AD99765)</f>
        <v>-998.08401057358049</v>
      </c>
      <c r="AE3" s="6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Info!B2:BZ3000""),37,FALSE)),"""")*-1"),-21.103840078125)</f>
        <v>-21.103840078125</v>
      </c>
      <c r="AG3" s="6">
        <f>SUM(AG4:AG99765)</f>
        <v>0</v>
      </c>
    </row>
    <row r="4" spans="1:33" ht="15.75" customHeight="1">
      <c r="A4" s="14" t="s">
        <v>181</v>
      </c>
      <c r="B4" s="14" t="s">
        <v>68</v>
      </c>
      <c r="C4" s="15">
        <f t="shared" ref="C4:C32" si="4">IFERROR(F4/D4," - ")</f>
        <v>42.903962264150948</v>
      </c>
      <c r="D4" s="16">
        <v>53</v>
      </c>
      <c r="E4" s="16">
        <v>0</v>
      </c>
      <c r="F4" s="17">
        <v>2273.9100000000003</v>
      </c>
      <c r="G4" s="17">
        <v>-0.2</v>
      </c>
      <c r="H4" s="18">
        <f t="shared" si="1"/>
        <v>8.7954228619426442E-5</v>
      </c>
      <c r="I4" s="18">
        <f t="shared" si="2"/>
        <v>0.31001781984621013</v>
      </c>
      <c r="J4" s="17">
        <f t="shared" ref="J4:J32" si="5">F4*0.85+G4+AF4*D4+D4*AE4+AG4+AD4</f>
        <v>704.95262072649575</v>
      </c>
      <c r="K4" s="17">
        <f t="shared" si="3"/>
        <v>13.300992843896147</v>
      </c>
      <c r="L4" s="16">
        <v>215</v>
      </c>
      <c r="M4" s="19">
        <f t="shared" ref="M4:M32" si="6">IFERROR(D4/L4,"-")</f>
        <v>0.24651162790697675</v>
      </c>
      <c r="N4" s="16">
        <v>467</v>
      </c>
      <c r="O4" s="20">
        <f t="shared" ref="O4:P4" si="7">D4/7</f>
        <v>7.5714285714285712</v>
      </c>
      <c r="P4" s="20">
        <f t="shared" si="7"/>
        <v>0</v>
      </c>
      <c r="Q4" s="16">
        <f t="shared" ref="Q4:Q32" si="8">ROUNDDOWN(N4/(O4+P4),0)</f>
        <v>61</v>
      </c>
      <c r="R4" s="16"/>
      <c r="S4" s="21">
        <v>2.3366455886780999</v>
      </c>
      <c r="T4" s="14">
        <v>808</v>
      </c>
      <c r="U4" s="22">
        <v>100</v>
      </c>
      <c r="V4" s="23" t="s">
        <v>610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26" t="s">
        <v>35</v>
      </c>
      <c r="AB4" s="27">
        <f t="shared" ref="AB4:AB32" si="11">IF(OR(AA4="UsLargeStandardSize",AA4="UsSmallStandardSize"),-0.69,-0.48)</f>
        <v>-0.69</v>
      </c>
      <c r="AC4" s="28">
        <v>0.25208333333333333</v>
      </c>
      <c r="AD4" s="25">
        <f t="shared" ref="AD4:AD32" si="12">IFERROR(AB4*AC4*D4*2,0)</f>
        <v>-18.437374999999999</v>
      </c>
      <c r="AE4" s="25">
        <v>-7.32</v>
      </c>
      <c r="AF4" s="25">
        <v>-15.495726495726496</v>
      </c>
      <c r="AG4" s="25">
        <v>0</v>
      </c>
    </row>
    <row r="5" spans="1:33" ht="15.75" customHeight="1">
      <c r="A5" s="14" t="s">
        <v>183</v>
      </c>
      <c r="B5" s="14" t="s">
        <v>1634</v>
      </c>
      <c r="C5" s="15">
        <f t="shared" si="4"/>
        <v>41.333684210526329</v>
      </c>
      <c r="D5" s="16">
        <v>76</v>
      </c>
      <c r="E5" s="16">
        <v>0</v>
      </c>
      <c r="F5" s="29">
        <v>3141.360000000001</v>
      </c>
      <c r="G5" s="29">
        <v>-0.1</v>
      </c>
      <c r="H5" s="18">
        <f t="shared" si="1"/>
        <v>3.183334606667175E-5</v>
      </c>
      <c r="I5" s="18">
        <f t="shared" si="2"/>
        <v>0.2895534579771839</v>
      </c>
      <c r="J5" s="17">
        <f t="shared" si="5"/>
        <v>909.59165075120677</v>
      </c>
      <c r="K5" s="17">
        <f t="shared" si="3"/>
        <v>11.968311194094825</v>
      </c>
      <c r="L5" s="16">
        <v>272</v>
      </c>
      <c r="M5" s="19">
        <f t="shared" si="6"/>
        <v>0.27941176470588236</v>
      </c>
      <c r="N5" s="16">
        <v>386</v>
      </c>
      <c r="O5" s="20">
        <f t="shared" ref="O5:P5" si="13">D5/7</f>
        <v>10.857142857142858</v>
      </c>
      <c r="P5" s="20">
        <f t="shared" si="13"/>
        <v>0</v>
      </c>
      <c r="Q5" s="16">
        <f t="shared" si="8"/>
        <v>35</v>
      </c>
      <c r="R5" s="16"/>
      <c r="S5" s="21">
        <v>2.8125235760090499</v>
      </c>
      <c r="T5" s="14">
        <v>808</v>
      </c>
      <c r="U5" s="22">
        <v>100</v>
      </c>
      <c r="V5" s="23" t="s">
        <v>612</v>
      </c>
      <c r="W5" s="14">
        <v>0</v>
      </c>
      <c r="X5" s="24">
        <f t="shared" si="9"/>
        <v>0</v>
      </c>
      <c r="Y5" s="25">
        <f t="shared" si="10"/>
        <v>0.05</v>
      </c>
      <c r="Z5" s="14">
        <v>2</v>
      </c>
      <c r="AA5" s="14" t="s">
        <v>35</v>
      </c>
      <c r="AB5" s="27">
        <f t="shared" si="11"/>
        <v>-0.69</v>
      </c>
      <c r="AC5" s="28">
        <v>0.25237543453070688</v>
      </c>
      <c r="AD5" s="25">
        <f t="shared" si="12"/>
        <v>-26.469135573580534</v>
      </c>
      <c r="AE5" s="25">
        <v>-7.32</v>
      </c>
      <c r="AF5" s="25">
        <v>-15.495726495726496</v>
      </c>
      <c r="AG5" s="25">
        <v>0</v>
      </c>
    </row>
    <row r="6" spans="1:33" ht="15.75" customHeight="1">
      <c r="A6" s="14" t="s">
        <v>185</v>
      </c>
      <c r="B6" s="14" t="s">
        <v>376</v>
      </c>
      <c r="C6" s="15">
        <f t="shared" si="4"/>
        <v>39.077471264367794</v>
      </c>
      <c r="D6" s="16">
        <v>87</v>
      </c>
      <c r="E6" s="16">
        <v>0</v>
      </c>
      <c r="F6" s="29">
        <v>3399.7399999999984</v>
      </c>
      <c r="G6" s="29">
        <v>0</v>
      </c>
      <c r="H6" s="18">
        <f t="shared" si="1"/>
        <v>0</v>
      </c>
      <c r="I6" s="18">
        <f t="shared" si="2"/>
        <v>0.25723898588474231</v>
      </c>
      <c r="J6" s="17">
        <f t="shared" si="5"/>
        <v>874.54566987179351</v>
      </c>
      <c r="K6" s="17">
        <f t="shared" si="3"/>
        <v>10.052249078986133</v>
      </c>
      <c r="L6" s="16">
        <v>246</v>
      </c>
      <c r="M6" s="19">
        <f t="shared" si="6"/>
        <v>0.35365853658536583</v>
      </c>
      <c r="N6" s="16">
        <v>308</v>
      </c>
      <c r="O6" s="20">
        <f t="shared" ref="O6:P6" si="14">D6/7</f>
        <v>12.428571428571429</v>
      </c>
      <c r="P6" s="20">
        <f t="shared" si="14"/>
        <v>0</v>
      </c>
      <c r="Q6" s="16">
        <f t="shared" si="8"/>
        <v>24</v>
      </c>
      <c r="R6" s="16"/>
      <c r="S6" s="21">
        <v>3.19211822660098</v>
      </c>
      <c r="T6" s="14">
        <v>1302</v>
      </c>
      <c r="U6" s="22">
        <v>102</v>
      </c>
      <c r="V6" s="23" t="s">
        <v>1635</v>
      </c>
      <c r="W6" s="14">
        <v>0</v>
      </c>
      <c r="X6" s="24">
        <f t="shared" si="9"/>
        <v>0</v>
      </c>
      <c r="Y6" s="25">
        <f t="shared" si="10"/>
        <v>0</v>
      </c>
      <c r="Z6" s="14">
        <v>0</v>
      </c>
      <c r="AA6" s="14" t="s">
        <v>35</v>
      </c>
      <c r="AB6" s="27">
        <f t="shared" si="11"/>
        <v>-0.69</v>
      </c>
      <c r="AC6" s="28">
        <v>0.25208333333333333</v>
      </c>
      <c r="AD6" s="25">
        <f t="shared" si="12"/>
        <v>-30.265124999999998</v>
      </c>
      <c r="AE6" s="25">
        <v>-7.32</v>
      </c>
      <c r="AF6" s="25">
        <v>-15.495726495726496</v>
      </c>
      <c r="AG6" s="25">
        <v>0</v>
      </c>
    </row>
    <row r="7" spans="1:33" ht="15.75" customHeight="1">
      <c r="A7" s="14" t="s">
        <v>187</v>
      </c>
      <c r="B7" s="14" t="s">
        <v>1636</v>
      </c>
      <c r="C7" s="15">
        <f t="shared" si="4"/>
        <v>39.432027027027011</v>
      </c>
      <c r="D7" s="16">
        <v>148</v>
      </c>
      <c r="E7" s="16">
        <v>0</v>
      </c>
      <c r="F7" s="29">
        <v>5835.9399999999978</v>
      </c>
      <c r="G7" s="29">
        <v>-0.15000000000000002</v>
      </c>
      <c r="H7" s="18">
        <f t="shared" si="1"/>
        <v>2.5702800234409552E-5</v>
      </c>
      <c r="I7" s="18">
        <f t="shared" si="2"/>
        <v>0.26254313420502567</v>
      </c>
      <c r="J7" s="17">
        <f t="shared" si="5"/>
        <v>1532.1859786324769</v>
      </c>
      <c r="K7" s="17">
        <f t="shared" si="3"/>
        <v>10.352607963732952</v>
      </c>
      <c r="L7" s="16">
        <v>312</v>
      </c>
      <c r="M7" s="19">
        <f t="shared" si="6"/>
        <v>0.47435897435897434</v>
      </c>
      <c r="N7" s="16">
        <v>163</v>
      </c>
      <c r="O7" s="20">
        <f t="shared" ref="O7:P7" si="15">D7/7</f>
        <v>21.142857142857142</v>
      </c>
      <c r="P7" s="20">
        <f t="shared" si="15"/>
        <v>0</v>
      </c>
      <c r="Q7" s="16">
        <f t="shared" si="8"/>
        <v>7</v>
      </c>
      <c r="R7" s="16"/>
      <c r="S7" s="21">
        <v>3.0850492390331201</v>
      </c>
      <c r="T7" s="14">
        <v>1200</v>
      </c>
      <c r="U7" s="22">
        <v>102</v>
      </c>
      <c r="V7" s="23" t="s">
        <v>1637</v>
      </c>
      <c r="W7" s="14">
        <v>0</v>
      </c>
      <c r="X7" s="24">
        <f t="shared" si="9"/>
        <v>0</v>
      </c>
      <c r="Y7" s="25">
        <f t="shared" si="10"/>
        <v>0</v>
      </c>
      <c r="Z7" s="14">
        <v>0</v>
      </c>
      <c r="AA7" s="14" t="s">
        <v>35</v>
      </c>
      <c r="AB7" s="27">
        <f t="shared" si="11"/>
        <v>-0.69</v>
      </c>
      <c r="AC7" s="28">
        <v>0.25208333333333333</v>
      </c>
      <c r="AD7" s="25">
        <f t="shared" si="12"/>
        <v>-51.485500000000002</v>
      </c>
      <c r="AE7" s="25">
        <v>-7.32</v>
      </c>
      <c r="AF7" s="25">
        <v>-15.495726495726496</v>
      </c>
      <c r="AG7" s="25">
        <v>0</v>
      </c>
    </row>
    <row r="8" spans="1:33" ht="15.75" customHeight="1">
      <c r="A8" s="14" t="s">
        <v>189</v>
      </c>
      <c r="B8" s="14" t="s">
        <v>1638</v>
      </c>
      <c r="C8" s="15">
        <f t="shared" si="4"/>
        <v>44.137301587301593</v>
      </c>
      <c r="D8" s="16">
        <v>63</v>
      </c>
      <c r="E8" s="16">
        <v>0</v>
      </c>
      <c r="F8" s="29">
        <v>2780.6500000000005</v>
      </c>
      <c r="G8" s="29">
        <v>-0.02</v>
      </c>
      <c r="H8" s="18">
        <f t="shared" si="1"/>
        <v>7.1925628899717678E-6</v>
      </c>
      <c r="I8" s="18">
        <f t="shared" si="2"/>
        <v>0.3250881538489202</v>
      </c>
      <c r="J8" s="17">
        <f t="shared" si="5"/>
        <v>903.95637500000021</v>
      </c>
      <c r="K8" s="17">
        <f t="shared" si="3"/>
        <v>14.348513888888892</v>
      </c>
      <c r="L8" s="16">
        <v>199</v>
      </c>
      <c r="M8" s="19">
        <f t="shared" si="6"/>
        <v>0.3165829145728643</v>
      </c>
      <c r="N8" s="16">
        <v>541</v>
      </c>
      <c r="O8" s="20">
        <f t="shared" ref="O8:P8" si="16">D8/7</f>
        <v>9</v>
      </c>
      <c r="P8" s="20">
        <f t="shared" si="16"/>
        <v>0</v>
      </c>
      <c r="Q8" s="16">
        <f t="shared" si="8"/>
        <v>60</v>
      </c>
      <c r="R8" s="16"/>
      <c r="S8" s="21">
        <v>2.17099863201094</v>
      </c>
      <c r="T8" s="14">
        <v>1212</v>
      </c>
      <c r="U8" s="22">
        <v>102</v>
      </c>
      <c r="V8" s="23" t="s">
        <v>1639</v>
      </c>
      <c r="W8" s="14">
        <v>0</v>
      </c>
      <c r="X8" s="24">
        <f t="shared" si="9"/>
        <v>0</v>
      </c>
      <c r="Y8" s="25">
        <f t="shared" si="10"/>
        <v>0</v>
      </c>
      <c r="Z8" s="14">
        <v>0</v>
      </c>
      <c r="AA8" s="14" t="s">
        <v>35</v>
      </c>
      <c r="AB8" s="27">
        <f t="shared" si="11"/>
        <v>-0.69</v>
      </c>
      <c r="AC8" s="28">
        <v>0.25208333333333333</v>
      </c>
      <c r="AD8" s="25">
        <f t="shared" si="12"/>
        <v>-21.916125000000001</v>
      </c>
      <c r="AE8" s="25">
        <v>-7.32</v>
      </c>
      <c r="AF8" s="25">
        <v>-15.5</v>
      </c>
      <c r="AG8" s="25">
        <v>0</v>
      </c>
    </row>
    <row r="9" spans="1:33" ht="15.75" customHeight="1">
      <c r="A9" s="14" t="s">
        <v>191</v>
      </c>
      <c r="B9" s="14" t="s">
        <v>68</v>
      </c>
      <c r="C9" s="15">
        <f t="shared" si="4"/>
        <v>43.598062015503899</v>
      </c>
      <c r="D9" s="16">
        <v>129</v>
      </c>
      <c r="E9" s="16">
        <v>0</v>
      </c>
      <c r="F9" s="29">
        <v>5624.1500000000033</v>
      </c>
      <c r="G9" s="29">
        <v>-0.05</v>
      </c>
      <c r="H9" s="18">
        <f t="shared" si="1"/>
        <v>8.8902323017700404E-6</v>
      </c>
      <c r="I9" s="18">
        <f t="shared" si="2"/>
        <v>0.31161514948013841</v>
      </c>
      <c r="J9" s="17">
        <f t="shared" si="5"/>
        <v>1752.5703429487214</v>
      </c>
      <c r="K9" s="17">
        <f t="shared" si="3"/>
        <v>13.585816612005592</v>
      </c>
      <c r="L9" s="16">
        <v>385</v>
      </c>
      <c r="M9" s="19">
        <f t="shared" si="6"/>
        <v>0.33506493506493507</v>
      </c>
      <c r="N9" s="16">
        <v>414</v>
      </c>
      <c r="O9" s="20">
        <f t="shared" ref="O9:P9" si="17">D9/7</f>
        <v>18.428571428571427</v>
      </c>
      <c r="P9" s="20">
        <f t="shared" si="17"/>
        <v>0</v>
      </c>
      <c r="Q9" s="16">
        <f t="shared" si="8"/>
        <v>22</v>
      </c>
      <c r="R9" s="16"/>
      <c r="S9" s="21">
        <v>2.6393305439330499</v>
      </c>
      <c r="T9" s="14">
        <v>1212</v>
      </c>
      <c r="U9" s="22">
        <v>102</v>
      </c>
      <c r="V9" s="23" t="s">
        <v>1640</v>
      </c>
      <c r="W9" s="14">
        <v>0</v>
      </c>
      <c r="X9" s="24">
        <f t="shared" si="9"/>
        <v>0</v>
      </c>
      <c r="Y9" s="25">
        <f t="shared" si="10"/>
        <v>0</v>
      </c>
      <c r="Z9" s="14">
        <v>0</v>
      </c>
      <c r="AA9" s="14" t="s">
        <v>35</v>
      </c>
      <c r="AB9" s="27">
        <f t="shared" si="11"/>
        <v>-0.69</v>
      </c>
      <c r="AC9" s="28">
        <v>0.25208333333333333</v>
      </c>
      <c r="AD9" s="25">
        <f t="shared" si="12"/>
        <v>-44.875875000000001</v>
      </c>
      <c r="AE9" s="25">
        <v>-7.32</v>
      </c>
      <c r="AF9" s="25">
        <v>-15.8042735042735</v>
      </c>
      <c r="AG9" s="25">
        <v>0</v>
      </c>
    </row>
    <row r="10" spans="1:33" ht="15.75" customHeight="1">
      <c r="A10" s="14" t="s">
        <v>192</v>
      </c>
      <c r="B10" s="14" t="s">
        <v>68</v>
      </c>
      <c r="C10" s="15">
        <f t="shared" si="4"/>
        <v>42.676095890410963</v>
      </c>
      <c r="D10" s="16">
        <v>146</v>
      </c>
      <c r="E10" s="16">
        <v>0</v>
      </c>
      <c r="F10" s="29">
        <v>6230.7100000000009</v>
      </c>
      <c r="G10" s="29">
        <v>-0.12000000000000001</v>
      </c>
      <c r="H10" s="18">
        <f t="shared" si="1"/>
        <v>1.9259442342846962E-5</v>
      </c>
      <c r="I10" s="18">
        <f t="shared" si="2"/>
        <v>0.29997381010768759</v>
      </c>
      <c r="J10" s="17">
        <f t="shared" si="5"/>
        <v>1869.0498183760703</v>
      </c>
      <c r="K10" s="17">
        <f t="shared" si="3"/>
        <v>12.801711084767605</v>
      </c>
      <c r="L10" s="16">
        <v>474</v>
      </c>
      <c r="M10" s="19">
        <f t="shared" si="6"/>
        <v>0.30801687763713081</v>
      </c>
      <c r="N10" s="16">
        <v>471</v>
      </c>
      <c r="O10" s="20">
        <f t="shared" ref="O10:P10" si="18">D10/7</f>
        <v>20.857142857142858</v>
      </c>
      <c r="P10" s="20">
        <f t="shared" si="18"/>
        <v>0</v>
      </c>
      <c r="Q10" s="16">
        <f t="shared" si="8"/>
        <v>22</v>
      </c>
      <c r="R10" s="16"/>
      <c r="S10" s="21">
        <v>3.0066350710900398</v>
      </c>
      <c r="T10" s="14">
        <v>1512</v>
      </c>
      <c r="U10" s="22">
        <v>102</v>
      </c>
      <c r="V10" s="23" t="s">
        <v>1641</v>
      </c>
      <c r="W10" s="14">
        <v>0</v>
      </c>
      <c r="X10" s="24">
        <f t="shared" si="9"/>
        <v>0</v>
      </c>
      <c r="Y10" s="25">
        <f t="shared" si="10"/>
        <v>0</v>
      </c>
      <c r="Z10" s="14">
        <v>0</v>
      </c>
      <c r="AA10" s="14" t="s">
        <v>35</v>
      </c>
      <c r="AB10" s="27">
        <f t="shared" si="11"/>
        <v>-0.69</v>
      </c>
      <c r="AC10" s="28">
        <v>0.25208333333333333</v>
      </c>
      <c r="AD10" s="25">
        <f t="shared" si="12"/>
        <v>-50.789749999999998</v>
      </c>
      <c r="AE10" s="25">
        <v>-7.32</v>
      </c>
      <c r="AF10" s="25">
        <v>-15.8042735042735</v>
      </c>
      <c r="AG10" s="25">
        <v>0</v>
      </c>
    </row>
    <row r="11" spans="1:33" ht="15.75" customHeight="1">
      <c r="A11" s="14" t="s">
        <v>193</v>
      </c>
      <c r="B11" s="14" t="s">
        <v>68</v>
      </c>
      <c r="C11" s="15">
        <f t="shared" si="4"/>
        <v>45.983085106382994</v>
      </c>
      <c r="D11" s="16">
        <v>188</v>
      </c>
      <c r="E11" s="16">
        <v>0</v>
      </c>
      <c r="F11" s="29">
        <v>8644.8200000000033</v>
      </c>
      <c r="G11" s="29">
        <v>-0.16999999999999998</v>
      </c>
      <c r="H11" s="18">
        <f t="shared" si="1"/>
        <v>1.9664955429956891E-5</v>
      </c>
      <c r="I11" s="18">
        <f t="shared" si="2"/>
        <v>0.3395285363022692</v>
      </c>
      <c r="J11" s="17">
        <f t="shared" si="5"/>
        <v>2935.1630811965838</v>
      </c>
      <c r="K11" s="17">
        <f t="shared" si="3"/>
        <v>15.612569580832892</v>
      </c>
      <c r="L11" s="16">
        <v>465</v>
      </c>
      <c r="M11" s="19">
        <f t="shared" si="6"/>
        <v>0.4043010752688172</v>
      </c>
      <c r="N11" s="16">
        <v>330</v>
      </c>
      <c r="O11" s="20">
        <f t="shared" ref="O11:P11" si="19">D11/7</f>
        <v>26.857142857142858</v>
      </c>
      <c r="P11" s="20">
        <f t="shared" si="19"/>
        <v>0</v>
      </c>
      <c r="Q11" s="16">
        <f t="shared" si="8"/>
        <v>12</v>
      </c>
      <c r="R11" s="16"/>
      <c r="S11" s="21">
        <v>4.0557667934093704</v>
      </c>
      <c r="T11" s="14">
        <v>1914</v>
      </c>
      <c r="U11" s="22">
        <v>102</v>
      </c>
      <c r="V11" s="23" t="s">
        <v>1642</v>
      </c>
      <c r="W11" s="14">
        <v>0</v>
      </c>
      <c r="X11" s="24">
        <f t="shared" si="9"/>
        <v>0</v>
      </c>
      <c r="Y11" s="25">
        <f t="shared" si="10"/>
        <v>0</v>
      </c>
      <c r="Z11" s="14">
        <v>0</v>
      </c>
      <c r="AA11" s="14" t="s">
        <v>35</v>
      </c>
      <c r="AB11" s="27">
        <f t="shared" si="11"/>
        <v>-0.69</v>
      </c>
      <c r="AC11" s="28">
        <v>0.25208333333333333</v>
      </c>
      <c r="AD11" s="25">
        <f t="shared" si="12"/>
        <v>-65.400499999999994</v>
      </c>
      <c r="AE11" s="25">
        <v>-7.32</v>
      </c>
      <c r="AF11" s="25">
        <v>-15.8042735042735</v>
      </c>
      <c r="AG11" s="25">
        <v>0</v>
      </c>
    </row>
    <row r="12" spans="1:33" ht="15.75" customHeight="1">
      <c r="A12" s="14" t="s">
        <v>195</v>
      </c>
      <c r="B12" s="14" t="s">
        <v>1643</v>
      </c>
      <c r="C12" s="15">
        <f t="shared" si="4"/>
        <v>48.018854166666678</v>
      </c>
      <c r="D12" s="16">
        <v>96</v>
      </c>
      <c r="E12" s="16">
        <v>4</v>
      </c>
      <c r="F12" s="29">
        <v>4609.8100000000013</v>
      </c>
      <c r="G12" s="29">
        <v>-0.14000000000000001</v>
      </c>
      <c r="H12" s="18">
        <f t="shared" si="1"/>
        <v>3.0370015250086224E-5</v>
      </c>
      <c r="I12" s="18">
        <f t="shared" si="2"/>
        <v>0.36115853876618448</v>
      </c>
      <c r="J12" s="17">
        <f t="shared" si="5"/>
        <v>1664.8722435897453</v>
      </c>
      <c r="K12" s="17">
        <f t="shared" si="3"/>
        <v>17.342419204059848</v>
      </c>
      <c r="L12" s="16">
        <v>276</v>
      </c>
      <c r="M12" s="19">
        <f t="shared" si="6"/>
        <v>0.34782608695652173</v>
      </c>
      <c r="N12" s="16">
        <v>207</v>
      </c>
      <c r="O12" s="20">
        <f t="shared" ref="O12:P12" si="20">D12/7</f>
        <v>13.714285714285714</v>
      </c>
      <c r="P12" s="20">
        <f t="shared" si="20"/>
        <v>0.5714285714285714</v>
      </c>
      <c r="Q12" s="16">
        <f t="shared" si="8"/>
        <v>14</v>
      </c>
      <c r="R12" s="16"/>
      <c r="S12" s="21">
        <v>3.8346915017462102</v>
      </c>
      <c r="T12" s="14">
        <v>1902</v>
      </c>
      <c r="U12" s="22">
        <v>102</v>
      </c>
      <c r="V12" s="23" t="s">
        <v>1644</v>
      </c>
      <c r="W12" s="14">
        <v>0</v>
      </c>
      <c r="X12" s="24">
        <f t="shared" si="9"/>
        <v>0</v>
      </c>
      <c r="Y12" s="25">
        <f t="shared" si="10"/>
        <v>0</v>
      </c>
      <c r="Z12" s="14">
        <v>0</v>
      </c>
      <c r="AA12" s="14" t="s">
        <v>35</v>
      </c>
      <c r="AB12" s="27">
        <f t="shared" si="11"/>
        <v>-0.69</v>
      </c>
      <c r="AC12" s="28">
        <v>0.25208333333333333</v>
      </c>
      <c r="AD12" s="25">
        <f t="shared" si="12"/>
        <v>-33.396000000000001</v>
      </c>
      <c r="AE12" s="25">
        <v>-7.32</v>
      </c>
      <c r="AF12" s="25">
        <v>-15.8042735042735</v>
      </c>
      <c r="AG12" s="25">
        <v>0</v>
      </c>
    </row>
    <row r="13" spans="1:33" ht="15.75" customHeight="1">
      <c r="A13" s="14" t="s">
        <v>197</v>
      </c>
      <c r="B13" s="14" t="s">
        <v>68</v>
      </c>
      <c r="C13" s="15">
        <f t="shared" si="4"/>
        <v>43.530220588235295</v>
      </c>
      <c r="D13" s="16">
        <v>136</v>
      </c>
      <c r="E13" s="16">
        <v>0</v>
      </c>
      <c r="F13" s="17">
        <v>5920.11</v>
      </c>
      <c r="G13" s="29">
        <v>-0.13</v>
      </c>
      <c r="H13" s="18">
        <f t="shared" si="1"/>
        <v>2.1959051436544254E-5</v>
      </c>
      <c r="I13" s="18">
        <f t="shared" si="2"/>
        <v>0.30703244252781492</v>
      </c>
      <c r="J13" s="17">
        <f t="shared" si="5"/>
        <v>1817.6658333333423</v>
      </c>
      <c r="K13" s="17">
        <f t="shared" si="3"/>
        <v>13.365189950980458</v>
      </c>
      <c r="L13" s="16">
        <v>214</v>
      </c>
      <c r="M13" s="19">
        <f t="shared" si="6"/>
        <v>0.63551401869158874</v>
      </c>
      <c r="N13" s="16">
        <v>109</v>
      </c>
      <c r="O13" s="20">
        <f t="shared" ref="O13:P13" si="21">D13/7</f>
        <v>19.428571428571427</v>
      </c>
      <c r="P13" s="20">
        <f t="shared" si="21"/>
        <v>0</v>
      </c>
      <c r="Q13" s="16">
        <f t="shared" si="8"/>
        <v>5</v>
      </c>
      <c r="R13" s="16"/>
      <c r="S13" s="21">
        <v>2.9072635906806701</v>
      </c>
      <c r="T13" s="14">
        <v>1800</v>
      </c>
      <c r="U13" s="22">
        <v>102</v>
      </c>
      <c r="V13" s="23" t="s">
        <v>1645</v>
      </c>
      <c r="W13" s="14">
        <v>1</v>
      </c>
      <c r="X13" s="24">
        <f t="shared" si="9"/>
        <v>7.3529411764705881E-3</v>
      </c>
      <c r="Y13" s="25">
        <f t="shared" si="10"/>
        <v>0.13</v>
      </c>
      <c r="Z13" s="14">
        <v>0</v>
      </c>
      <c r="AA13" s="14" t="s">
        <v>35</v>
      </c>
      <c r="AB13" s="27">
        <f t="shared" si="11"/>
        <v>-0.69</v>
      </c>
      <c r="AC13" s="28">
        <v>0.25208333333333333</v>
      </c>
      <c r="AD13" s="25">
        <f t="shared" si="12"/>
        <v>-47.311</v>
      </c>
      <c r="AE13" s="25">
        <v>-7.32</v>
      </c>
      <c r="AF13" s="25">
        <v>-15.966666666666599</v>
      </c>
      <c r="AG13" s="25">
        <v>0</v>
      </c>
    </row>
    <row r="14" spans="1:33" ht="15.75" customHeight="1">
      <c r="A14" s="14" t="s">
        <v>32</v>
      </c>
      <c r="B14" s="14" t="s">
        <v>45</v>
      </c>
      <c r="C14" s="15">
        <f t="shared" si="4"/>
        <v>40.326198347107393</v>
      </c>
      <c r="D14" s="16">
        <v>121</v>
      </c>
      <c r="E14" s="16">
        <v>0</v>
      </c>
      <c r="F14" s="17">
        <v>4879.4699999999948</v>
      </c>
      <c r="G14" s="29">
        <v>-0.27</v>
      </c>
      <c r="H14" s="18">
        <f t="shared" si="1"/>
        <v>5.5333878474506517E-5</v>
      </c>
      <c r="I14" s="18">
        <f t="shared" si="2"/>
        <v>0.26386061566795943</v>
      </c>
      <c r="J14" s="17">
        <f t="shared" si="5"/>
        <v>1287.4999583333365</v>
      </c>
      <c r="K14" s="17">
        <f t="shared" si="3"/>
        <v>10.640495523416003</v>
      </c>
      <c r="L14" s="16">
        <v>307</v>
      </c>
      <c r="M14" s="19">
        <f t="shared" si="6"/>
        <v>0.39413680781758959</v>
      </c>
      <c r="N14" s="16">
        <v>82</v>
      </c>
      <c r="O14" s="20">
        <f t="shared" ref="O14:P14" si="22">D14/7</f>
        <v>17.285714285714285</v>
      </c>
      <c r="P14" s="20">
        <f t="shared" si="22"/>
        <v>0</v>
      </c>
      <c r="Q14" s="16">
        <f t="shared" si="8"/>
        <v>4</v>
      </c>
      <c r="R14" s="16"/>
      <c r="S14" s="21">
        <v>3.7060367454068199</v>
      </c>
      <c r="T14" s="14">
        <v>1008</v>
      </c>
      <c r="U14" s="22">
        <v>102</v>
      </c>
      <c r="V14" s="23" t="s">
        <v>1645</v>
      </c>
      <c r="W14" s="14">
        <v>0</v>
      </c>
      <c r="X14" s="24">
        <f t="shared" si="9"/>
        <v>0</v>
      </c>
      <c r="Y14" s="25">
        <f t="shared" si="10"/>
        <v>0.27</v>
      </c>
      <c r="Z14" s="14">
        <v>1</v>
      </c>
      <c r="AA14" s="14" t="s">
        <v>35</v>
      </c>
      <c r="AB14" s="27">
        <f t="shared" si="11"/>
        <v>-0.69</v>
      </c>
      <c r="AC14" s="28">
        <v>0.25208333333333333</v>
      </c>
      <c r="AD14" s="25">
        <f t="shared" si="12"/>
        <v>-42.092874999999999</v>
      </c>
      <c r="AE14" s="25">
        <v>-7.32</v>
      </c>
      <c r="AF14" s="25">
        <v>-15.966666666666599</v>
      </c>
      <c r="AG14" s="25">
        <v>0</v>
      </c>
    </row>
    <row r="15" spans="1:33" ht="15.75" customHeight="1">
      <c r="A15" s="14" t="s">
        <v>36</v>
      </c>
      <c r="B15" s="14" t="s">
        <v>1646</v>
      </c>
      <c r="C15" s="15">
        <f t="shared" si="4"/>
        <v>39.959818181818108</v>
      </c>
      <c r="D15" s="16">
        <v>165</v>
      </c>
      <c r="E15" s="16">
        <v>0</v>
      </c>
      <c r="F15" s="17">
        <v>6593.3699999999881</v>
      </c>
      <c r="G15" s="29">
        <v>-0.29000000000000004</v>
      </c>
      <c r="H15" s="18">
        <f t="shared" si="1"/>
        <v>4.3983577442188225E-5</v>
      </c>
      <c r="I15" s="18">
        <f t="shared" si="2"/>
        <v>0.22246212862314771</v>
      </c>
      <c r="J15" s="17">
        <f t="shared" si="5"/>
        <v>1466.7751250000008</v>
      </c>
      <c r="K15" s="17">
        <f t="shared" si="3"/>
        <v>8.8895462121212176</v>
      </c>
      <c r="L15" s="16">
        <v>338</v>
      </c>
      <c r="M15" s="19">
        <f t="shared" si="6"/>
        <v>0.48816568047337278</v>
      </c>
      <c r="N15" s="16">
        <v>483</v>
      </c>
      <c r="O15" s="20">
        <f t="shared" ref="O15:P15" si="23">D15/7</f>
        <v>23.571428571428573</v>
      </c>
      <c r="P15" s="20">
        <f t="shared" si="23"/>
        <v>0</v>
      </c>
      <c r="Q15" s="16">
        <f t="shared" si="8"/>
        <v>20</v>
      </c>
      <c r="R15" s="16"/>
      <c r="S15" s="21">
        <v>3.3390036452004801</v>
      </c>
      <c r="T15" s="14">
        <v>1008</v>
      </c>
      <c r="U15" s="22">
        <v>102</v>
      </c>
      <c r="V15" s="23" t="s">
        <v>1645</v>
      </c>
      <c r="W15" s="14">
        <v>0</v>
      </c>
      <c r="X15" s="24">
        <f t="shared" si="9"/>
        <v>0</v>
      </c>
      <c r="Y15" s="25">
        <f t="shared" si="10"/>
        <v>0</v>
      </c>
      <c r="Z15" s="14">
        <v>0</v>
      </c>
      <c r="AA15" s="14" t="s">
        <v>35</v>
      </c>
      <c r="AB15" s="27">
        <f t="shared" si="11"/>
        <v>-0.69</v>
      </c>
      <c r="AC15" s="28">
        <v>0.25208333333333333</v>
      </c>
      <c r="AD15" s="25">
        <f t="shared" si="12"/>
        <v>-57.399374999999999</v>
      </c>
      <c r="AE15" s="25">
        <v>-7.32</v>
      </c>
      <c r="AF15" s="25">
        <v>-17.406666666666599</v>
      </c>
      <c r="AG15" s="25">
        <v>0</v>
      </c>
    </row>
    <row r="16" spans="1:33" ht="15.75" customHeight="1">
      <c r="A16" s="14" t="s">
        <v>38</v>
      </c>
      <c r="B16" s="14" t="s">
        <v>68</v>
      </c>
      <c r="C16" s="15">
        <f t="shared" si="4"/>
        <v>40.610797546012186</v>
      </c>
      <c r="D16" s="16">
        <v>163</v>
      </c>
      <c r="E16" s="16">
        <v>0</v>
      </c>
      <c r="F16" s="17">
        <v>6619.5599999999868</v>
      </c>
      <c r="G16" s="29">
        <v>-0.1</v>
      </c>
      <c r="H16" s="18">
        <f t="shared" si="1"/>
        <v>1.5106744254905191E-5</v>
      </c>
      <c r="I16" s="18">
        <f t="shared" si="2"/>
        <v>0.23254955138005176</v>
      </c>
      <c r="J16" s="17">
        <f t="shared" si="5"/>
        <v>1539.3757083333323</v>
      </c>
      <c r="K16" s="17">
        <f t="shared" si="3"/>
        <v>9.4440227505112411</v>
      </c>
      <c r="L16" s="16">
        <v>434</v>
      </c>
      <c r="M16" s="19">
        <f t="shared" si="6"/>
        <v>0.37557603686635943</v>
      </c>
      <c r="N16" s="16">
        <v>305</v>
      </c>
      <c r="O16" s="20">
        <f t="shared" ref="O16:P16" si="24">D16/7</f>
        <v>23.285714285714285</v>
      </c>
      <c r="P16" s="20">
        <f t="shared" si="24"/>
        <v>0</v>
      </c>
      <c r="Q16" s="16">
        <f t="shared" si="8"/>
        <v>13</v>
      </c>
      <c r="R16" s="16"/>
      <c r="S16" s="21">
        <v>5.1379605826906598</v>
      </c>
      <c r="T16" s="14">
        <v>1008</v>
      </c>
      <c r="U16" s="22">
        <v>102</v>
      </c>
      <c r="V16" s="23" t="s">
        <v>1647</v>
      </c>
      <c r="W16" s="14">
        <v>0</v>
      </c>
      <c r="X16" s="24">
        <f t="shared" si="9"/>
        <v>0</v>
      </c>
      <c r="Y16" s="25">
        <f t="shared" si="10"/>
        <v>0</v>
      </c>
      <c r="Z16" s="14">
        <v>0</v>
      </c>
      <c r="AA16" s="14" t="s">
        <v>35</v>
      </c>
      <c r="AB16" s="27">
        <f t="shared" si="11"/>
        <v>-0.69</v>
      </c>
      <c r="AC16" s="28">
        <v>0.25208333333333333</v>
      </c>
      <c r="AD16" s="25">
        <f t="shared" si="12"/>
        <v>-56.703624999999995</v>
      </c>
      <c r="AE16" s="25">
        <v>-7.32</v>
      </c>
      <c r="AF16" s="25">
        <v>-17.406666666666599</v>
      </c>
      <c r="AG16" s="25">
        <v>0</v>
      </c>
    </row>
    <row r="17" spans="1:33" ht="15.75" customHeight="1">
      <c r="A17" s="14" t="s">
        <v>40</v>
      </c>
      <c r="B17" s="14" t="s">
        <v>769</v>
      </c>
      <c r="C17" s="15">
        <f t="shared" si="4"/>
        <v>41.264261363636351</v>
      </c>
      <c r="D17" s="16">
        <v>176</v>
      </c>
      <c r="E17" s="16">
        <v>0</v>
      </c>
      <c r="F17" s="17">
        <v>7262.5099999999975</v>
      </c>
      <c r="G17" s="29">
        <v>-0.02</v>
      </c>
      <c r="H17" s="18">
        <f t="shared" si="1"/>
        <v>2.7538688414886876E-6</v>
      </c>
      <c r="I17" s="18">
        <f t="shared" si="2"/>
        <v>0.24233965483926034</v>
      </c>
      <c r="J17" s="17">
        <f t="shared" si="5"/>
        <v>1759.9941666666759</v>
      </c>
      <c r="K17" s="17">
        <f t="shared" si="3"/>
        <v>9.9999668560606594</v>
      </c>
      <c r="L17" s="16">
        <v>455</v>
      </c>
      <c r="M17" s="19">
        <f t="shared" si="6"/>
        <v>0.38681318681318683</v>
      </c>
      <c r="N17" s="16">
        <v>125</v>
      </c>
      <c r="O17" s="20">
        <f t="shared" ref="O17:P17" si="25">D17/7</f>
        <v>25.142857142857142</v>
      </c>
      <c r="P17" s="20">
        <f t="shared" si="25"/>
        <v>0</v>
      </c>
      <c r="Q17" s="16">
        <f t="shared" si="8"/>
        <v>4</v>
      </c>
      <c r="R17" s="16"/>
      <c r="S17" s="21">
        <v>4.4605894448252199</v>
      </c>
      <c r="T17" s="14">
        <v>1008</v>
      </c>
      <c r="U17" s="22">
        <v>102</v>
      </c>
      <c r="V17" s="23" t="s">
        <v>1647</v>
      </c>
      <c r="W17" s="14">
        <v>1</v>
      </c>
      <c r="X17" s="24">
        <f t="shared" si="9"/>
        <v>5.681818181818182E-3</v>
      </c>
      <c r="Y17" s="25">
        <f t="shared" si="10"/>
        <v>0.02</v>
      </c>
      <c r="Z17" s="14">
        <v>0</v>
      </c>
      <c r="AA17" s="14" t="s">
        <v>35</v>
      </c>
      <c r="AB17" s="27">
        <f t="shared" si="11"/>
        <v>-0.69</v>
      </c>
      <c r="AC17" s="28">
        <v>0.25208333333333333</v>
      </c>
      <c r="AD17" s="25">
        <f t="shared" si="12"/>
        <v>-61.225999999999999</v>
      </c>
      <c r="AE17" s="25">
        <v>-7.32</v>
      </c>
      <c r="AF17" s="25">
        <v>-17.406666666666599</v>
      </c>
      <c r="AG17" s="25">
        <v>0</v>
      </c>
    </row>
    <row r="18" spans="1:33" ht="15.75" customHeight="1">
      <c r="A18" s="14" t="s">
        <v>42</v>
      </c>
      <c r="B18" s="14" t="s">
        <v>45</v>
      </c>
      <c r="C18" s="15">
        <f t="shared" si="4"/>
        <v>41.94373913043475</v>
      </c>
      <c r="D18" s="16">
        <v>115</v>
      </c>
      <c r="E18" s="16">
        <v>0</v>
      </c>
      <c r="F18" s="17">
        <v>4823.5299999999961</v>
      </c>
      <c r="G18" s="29">
        <v>-0.12</v>
      </c>
      <c r="H18" s="18">
        <f t="shared" si="1"/>
        <v>2.4878045746579808E-5</v>
      </c>
      <c r="I18" s="18">
        <f t="shared" si="2"/>
        <v>0.25216142707381073</v>
      </c>
      <c r="J18" s="17">
        <f t="shared" si="5"/>
        <v>1216.3082083333372</v>
      </c>
      <c r="K18" s="17">
        <f t="shared" si="3"/>
        <v>10.576593115942062</v>
      </c>
      <c r="L18" s="16">
        <v>435</v>
      </c>
      <c r="M18" s="19">
        <f t="shared" si="6"/>
        <v>0.26436781609195403</v>
      </c>
      <c r="N18" s="16">
        <v>21</v>
      </c>
      <c r="O18" s="20">
        <f t="shared" ref="O18:P18" si="26">D18/7</f>
        <v>16.428571428571427</v>
      </c>
      <c r="P18" s="20">
        <f t="shared" si="26"/>
        <v>0</v>
      </c>
      <c r="Q18" s="16">
        <f t="shared" si="8"/>
        <v>1</v>
      </c>
      <c r="R18" s="16"/>
      <c r="S18" s="21">
        <v>6.0995475113122097</v>
      </c>
      <c r="T18" s="14">
        <v>1218</v>
      </c>
      <c r="U18" s="22">
        <v>0</v>
      </c>
      <c r="V18" s="23" t="s">
        <v>1648</v>
      </c>
      <c r="W18" s="14">
        <v>0</v>
      </c>
      <c r="X18" s="24">
        <f t="shared" si="9"/>
        <v>0</v>
      </c>
      <c r="Y18" s="25">
        <f t="shared" si="10"/>
        <v>0</v>
      </c>
      <c r="Z18" s="14">
        <v>0</v>
      </c>
      <c r="AA18" s="14" t="s">
        <v>35</v>
      </c>
      <c r="AB18" s="27">
        <f t="shared" si="11"/>
        <v>-0.69</v>
      </c>
      <c r="AC18" s="28">
        <v>0.25208333333333333</v>
      </c>
      <c r="AD18" s="25">
        <f t="shared" si="12"/>
        <v>-40.005625000000002</v>
      </c>
      <c r="AE18" s="25">
        <v>-7.32</v>
      </c>
      <c r="AF18" s="25">
        <v>-17.406666666666599</v>
      </c>
      <c r="AG18" s="25">
        <v>0</v>
      </c>
    </row>
    <row r="19" spans="1:33" ht="15.75" customHeight="1">
      <c r="A19" s="14" t="s">
        <v>44</v>
      </c>
      <c r="B19" s="14" t="s">
        <v>45</v>
      </c>
      <c r="C19" s="15">
        <f t="shared" si="4"/>
        <v>41.99</v>
      </c>
      <c r="D19" s="16">
        <v>35</v>
      </c>
      <c r="E19" s="16">
        <v>0</v>
      </c>
      <c r="F19" s="17">
        <v>1469.65</v>
      </c>
      <c r="G19" s="29">
        <v>-0.04</v>
      </c>
      <c r="H19" s="18">
        <f t="shared" si="1"/>
        <v>2.7217364678664986E-5</v>
      </c>
      <c r="I19" s="18">
        <f t="shared" si="2"/>
        <v>0.23359884439605808</v>
      </c>
      <c r="J19" s="17">
        <f t="shared" si="5"/>
        <v>343.30854166666677</v>
      </c>
      <c r="K19" s="17">
        <f t="shared" si="3"/>
        <v>9.80881547619048</v>
      </c>
      <c r="L19" s="16">
        <v>364</v>
      </c>
      <c r="M19" s="19">
        <f t="shared" si="6"/>
        <v>9.6153846153846159E-2</v>
      </c>
      <c r="N19" s="16">
        <v>95</v>
      </c>
      <c r="O19" s="20">
        <f t="shared" ref="O19:P19" si="27">D19/7</f>
        <v>5</v>
      </c>
      <c r="P19" s="20">
        <f t="shared" si="27"/>
        <v>0</v>
      </c>
      <c r="Q19" s="16">
        <f t="shared" si="8"/>
        <v>19</v>
      </c>
      <c r="R19" s="16"/>
      <c r="S19" s="21">
        <v>3.9107457428068102</v>
      </c>
      <c r="T19" s="14">
        <v>1218</v>
      </c>
      <c r="U19" s="22">
        <v>804</v>
      </c>
      <c r="V19" s="23" t="s">
        <v>1649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14" t="s">
        <v>35</v>
      </c>
      <c r="AB19" s="27">
        <f t="shared" si="11"/>
        <v>-0.69</v>
      </c>
      <c r="AC19" s="28">
        <v>0.25208333333333333</v>
      </c>
      <c r="AD19" s="25">
        <f t="shared" si="12"/>
        <v>-12.175625</v>
      </c>
      <c r="AE19" s="25">
        <v>-7.32</v>
      </c>
      <c r="AF19" s="25">
        <v>-18.213666666666668</v>
      </c>
      <c r="AG19" s="25">
        <v>0</v>
      </c>
    </row>
    <row r="20" spans="1:33" ht="15.75" customHeight="1">
      <c r="A20" s="14" t="s">
        <v>46</v>
      </c>
      <c r="B20" s="14" t="s">
        <v>83</v>
      </c>
      <c r="C20" s="15">
        <f t="shared" si="4"/>
        <v>41.518202247190949</v>
      </c>
      <c r="D20" s="16">
        <v>89</v>
      </c>
      <c r="E20" s="16">
        <v>0</v>
      </c>
      <c r="F20" s="17">
        <v>3695.1199999999944</v>
      </c>
      <c r="G20" s="29">
        <v>-0.18</v>
      </c>
      <c r="H20" s="18">
        <f t="shared" si="1"/>
        <v>4.8712897010110705E-5</v>
      </c>
      <c r="I20" s="18">
        <f t="shared" si="2"/>
        <v>0.22657309956555222</v>
      </c>
      <c r="J20" s="17">
        <f t="shared" si="5"/>
        <v>837.21479166666199</v>
      </c>
      <c r="K20" s="17">
        <f t="shared" si="3"/>
        <v>9.4069077715355274</v>
      </c>
      <c r="L20" s="16">
        <v>296</v>
      </c>
      <c r="M20" s="19">
        <f t="shared" si="6"/>
        <v>0.30067567567567566</v>
      </c>
      <c r="N20" s="16">
        <v>663</v>
      </c>
      <c r="O20" s="20">
        <f t="shared" ref="O20:P20" si="28">D20/7</f>
        <v>12.714285714285714</v>
      </c>
      <c r="P20" s="20">
        <f t="shared" si="28"/>
        <v>0</v>
      </c>
      <c r="Q20" s="16">
        <f t="shared" si="8"/>
        <v>52</v>
      </c>
      <c r="R20" s="16"/>
      <c r="S20" s="21">
        <v>3.5750999428897701</v>
      </c>
      <c r="T20" s="14">
        <v>1218</v>
      </c>
      <c r="U20" s="22">
        <v>402</v>
      </c>
      <c r="V20" s="23" t="s">
        <v>1650</v>
      </c>
      <c r="W20" s="14">
        <v>0</v>
      </c>
      <c r="X20" s="24">
        <f t="shared" si="9"/>
        <v>0</v>
      </c>
      <c r="Y20" s="25">
        <f t="shared" si="10"/>
        <v>0.18</v>
      </c>
      <c r="Z20" s="14">
        <v>1</v>
      </c>
      <c r="AA20" s="14" t="s">
        <v>35</v>
      </c>
      <c r="AB20" s="27">
        <f t="shared" si="11"/>
        <v>-0.69</v>
      </c>
      <c r="AC20" s="28">
        <v>0.25208333333333333</v>
      </c>
      <c r="AD20" s="25">
        <f t="shared" si="12"/>
        <v>-30.960874999999998</v>
      </c>
      <c r="AE20" s="25">
        <v>-7.32</v>
      </c>
      <c r="AF20" s="25">
        <v>-18.213666666666668</v>
      </c>
      <c r="AG20" s="25">
        <v>0</v>
      </c>
    </row>
    <row r="21" spans="1:33" ht="15.75" customHeight="1">
      <c r="A21" s="14" t="s">
        <v>47</v>
      </c>
      <c r="B21" s="14" t="s">
        <v>1651</v>
      </c>
      <c r="C21" s="15">
        <f t="shared" si="4"/>
        <v>41.98999999999991</v>
      </c>
      <c r="D21" s="16">
        <v>98</v>
      </c>
      <c r="E21" s="16">
        <v>0</v>
      </c>
      <c r="F21" s="17">
        <v>4115.0199999999913</v>
      </c>
      <c r="G21" s="29">
        <v>-7.0000000000000007E-2</v>
      </c>
      <c r="H21" s="18">
        <f t="shared" si="1"/>
        <v>1.7010852924165657E-5</v>
      </c>
      <c r="I21" s="18">
        <f t="shared" si="2"/>
        <v>0.23360905090781112</v>
      </c>
      <c r="J21" s="17">
        <f t="shared" si="5"/>
        <v>961.30591666665885</v>
      </c>
      <c r="K21" s="17">
        <f t="shared" si="3"/>
        <v>9.809244047618968</v>
      </c>
      <c r="L21" s="16">
        <v>144</v>
      </c>
      <c r="M21" s="19">
        <f t="shared" si="6"/>
        <v>0.68055555555555558</v>
      </c>
      <c r="N21" s="16">
        <v>434</v>
      </c>
      <c r="O21" s="20">
        <f t="shared" ref="O21:P21" si="29">D21/7</f>
        <v>14</v>
      </c>
      <c r="P21" s="20">
        <f t="shared" si="29"/>
        <v>0</v>
      </c>
      <c r="Q21" s="16">
        <f t="shared" si="8"/>
        <v>31</v>
      </c>
      <c r="R21" s="16"/>
      <c r="S21" s="21">
        <v>4.2208915502328601</v>
      </c>
      <c r="T21" s="14">
        <v>1218</v>
      </c>
      <c r="U21" s="22">
        <v>402</v>
      </c>
      <c r="V21" s="23" t="s">
        <v>1652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14" t="s">
        <v>35</v>
      </c>
      <c r="AB21" s="27">
        <f t="shared" si="11"/>
        <v>-0.69</v>
      </c>
      <c r="AC21" s="28">
        <v>0.25208333333333333</v>
      </c>
      <c r="AD21" s="25">
        <f t="shared" si="12"/>
        <v>-34.091749999999998</v>
      </c>
      <c r="AE21" s="25">
        <v>-7.32</v>
      </c>
      <c r="AF21" s="25">
        <v>-18.213666666666668</v>
      </c>
      <c r="AG21" s="25">
        <v>0</v>
      </c>
    </row>
    <row r="22" spans="1:33" ht="15.75" customHeight="1">
      <c r="A22" s="14" t="s">
        <v>48</v>
      </c>
      <c r="B22" s="14" t="s">
        <v>68</v>
      </c>
      <c r="C22" s="15">
        <f t="shared" si="4"/>
        <v>42.304999999999943</v>
      </c>
      <c r="D22" s="16">
        <v>102</v>
      </c>
      <c r="E22" s="16">
        <v>0</v>
      </c>
      <c r="F22" s="29">
        <v>4315.1099999999942</v>
      </c>
      <c r="G22" s="29">
        <v>-0.28000000000000003</v>
      </c>
      <c r="H22" s="18">
        <f t="shared" si="1"/>
        <v>6.4888264725580669E-5</v>
      </c>
      <c r="I22" s="18">
        <f t="shared" si="2"/>
        <v>0.23815064969374963</v>
      </c>
      <c r="J22" s="17">
        <f t="shared" si="5"/>
        <v>1027.6462499999946</v>
      </c>
      <c r="K22" s="17">
        <f t="shared" si="3"/>
        <v>10.074963235294064</v>
      </c>
      <c r="L22" s="16">
        <v>259</v>
      </c>
      <c r="M22" s="19">
        <f t="shared" si="6"/>
        <v>0.39382239382239381</v>
      </c>
      <c r="N22" s="16">
        <v>273</v>
      </c>
      <c r="O22" s="20">
        <f t="shared" ref="O22:P22" si="30">D22/7</f>
        <v>14.571428571428571</v>
      </c>
      <c r="P22" s="20">
        <f t="shared" si="30"/>
        <v>0</v>
      </c>
      <c r="Q22" s="16">
        <f t="shared" si="8"/>
        <v>18</v>
      </c>
      <c r="R22" s="16"/>
      <c r="S22" s="21">
        <v>6.42510121457489</v>
      </c>
      <c r="T22" s="14">
        <v>1846</v>
      </c>
      <c r="U22" s="22">
        <v>402</v>
      </c>
      <c r="V22" s="23" t="s">
        <v>1653</v>
      </c>
      <c r="W22" s="14">
        <v>1</v>
      </c>
      <c r="X22" s="24">
        <f t="shared" si="9"/>
        <v>9.8039215686274508E-3</v>
      </c>
      <c r="Y22" s="25">
        <f t="shared" si="10"/>
        <v>9.3333333333333338E-2</v>
      </c>
      <c r="Z22" s="14">
        <v>2</v>
      </c>
      <c r="AA22" s="14" t="s">
        <v>35</v>
      </c>
      <c r="AB22" s="27">
        <f t="shared" si="11"/>
        <v>-0.69</v>
      </c>
      <c r="AC22" s="28">
        <v>0.25208333333333333</v>
      </c>
      <c r="AD22" s="25">
        <f t="shared" si="12"/>
        <v>-35.483249999999998</v>
      </c>
      <c r="AE22" s="25">
        <v>-7.32</v>
      </c>
      <c r="AF22" s="25">
        <v>-18.213666666666668</v>
      </c>
      <c r="AG22" s="25">
        <v>0</v>
      </c>
    </row>
    <row r="23" spans="1:33" ht="15.75" customHeight="1">
      <c r="A23" s="14" t="s">
        <v>49</v>
      </c>
      <c r="B23" s="14" t="s">
        <v>68</v>
      </c>
      <c r="C23" s="15">
        <f t="shared" si="4"/>
        <v>42.5</v>
      </c>
      <c r="D23" s="16">
        <v>102</v>
      </c>
      <c r="E23" s="16">
        <v>0</v>
      </c>
      <c r="F23" s="17">
        <v>4335</v>
      </c>
      <c r="G23" s="29">
        <v>-0.16</v>
      </c>
      <c r="H23" s="18">
        <f t="shared" si="1"/>
        <v>3.6908881199538638E-5</v>
      </c>
      <c r="I23" s="18">
        <f t="shared" si="2"/>
        <v>0.24098564013840829</v>
      </c>
      <c r="J23" s="17">
        <f t="shared" si="5"/>
        <v>1044.67275</v>
      </c>
      <c r="K23" s="17">
        <f t="shared" si="3"/>
        <v>10.241889705882352</v>
      </c>
      <c r="L23" s="16">
        <v>257</v>
      </c>
      <c r="M23" s="19">
        <f t="shared" si="6"/>
        <v>0.39688715953307391</v>
      </c>
      <c r="N23" s="16">
        <v>190</v>
      </c>
      <c r="O23" s="20">
        <f t="shared" ref="O23:P23" si="31">D23/7</f>
        <v>14.571428571428571</v>
      </c>
      <c r="P23" s="20">
        <f t="shared" si="31"/>
        <v>0</v>
      </c>
      <c r="Q23" s="16">
        <f t="shared" si="8"/>
        <v>13</v>
      </c>
      <c r="R23" s="16"/>
      <c r="S23" s="21">
        <v>7.28074245939675</v>
      </c>
      <c r="T23" s="14">
        <v>3222</v>
      </c>
      <c r="U23" s="22">
        <v>402</v>
      </c>
      <c r="V23" s="23" t="s">
        <v>1654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35</v>
      </c>
      <c r="AB23" s="27">
        <f t="shared" si="11"/>
        <v>-0.69</v>
      </c>
      <c r="AC23" s="28">
        <v>0.25208333333333333</v>
      </c>
      <c r="AD23" s="25">
        <f t="shared" si="12"/>
        <v>-35.483249999999998</v>
      </c>
      <c r="AE23" s="25">
        <v>-7.32</v>
      </c>
      <c r="AF23" s="25">
        <v>-18.213666666666668</v>
      </c>
      <c r="AG23" s="25">
        <v>0</v>
      </c>
    </row>
    <row r="24" spans="1:33" ht="15.75" customHeight="1">
      <c r="A24" s="14" t="s">
        <v>50</v>
      </c>
      <c r="B24" s="14" t="s">
        <v>1655</v>
      </c>
      <c r="C24" s="15">
        <f t="shared" si="4"/>
        <v>42.5</v>
      </c>
      <c r="D24" s="16">
        <v>77</v>
      </c>
      <c r="E24" s="16">
        <v>3</v>
      </c>
      <c r="F24" s="17">
        <v>3272.5</v>
      </c>
      <c r="G24" s="17">
        <v>-0.24999999999999997</v>
      </c>
      <c r="H24" s="18">
        <f t="shared" si="1"/>
        <v>7.6394194041252861E-5</v>
      </c>
      <c r="I24" s="18">
        <f t="shared" si="2"/>
        <v>0.24094615482556656</v>
      </c>
      <c r="J24" s="17">
        <f t="shared" si="5"/>
        <v>788.49629166666659</v>
      </c>
      <c r="K24" s="17">
        <f t="shared" si="3"/>
        <v>10.240211580086578</v>
      </c>
      <c r="L24" s="16">
        <v>303</v>
      </c>
      <c r="M24" s="19">
        <f t="shared" si="6"/>
        <v>0.25412541254125415</v>
      </c>
      <c r="N24" s="16">
        <v>109</v>
      </c>
      <c r="O24" s="20">
        <f t="shared" ref="O24:P24" si="32">D24/7</f>
        <v>11</v>
      </c>
      <c r="P24" s="20">
        <f t="shared" si="32"/>
        <v>0.42857142857142855</v>
      </c>
      <c r="Q24" s="16">
        <f t="shared" si="8"/>
        <v>9</v>
      </c>
      <c r="R24" s="16"/>
      <c r="S24" s="21">
        <v>3.0752145381120601</v>
      </c>
      <c r="T24" s="14">
        <v>3222</v>
      </c>
      <c r="U24" s="22">
        <v>402</v>
      </c>
      <c r="V24" s="23" t="s">
        <v>1656</v>
      </c>
      <c r="W24" s="14">
        <v>1</v>
      </c>
      <c r="X24" s="24">
        <f t="shared" si="9"/>
        <v>1.2987012987012988E-2</v>
      </c>
      <c r="Y24" s="25">
        <f t="shared" si="10"/>
        <v>0.24999999999999997</v>
      </c>
      <c r="Z24" s="14">
        <v>0</v>
      </c>
      <c r="AA24" s="14" t="s">
        <v>35</v>
      </c>
      <c r="AB24" s="27">
        <f t="shared" si="11"/>
        <v>-0.69</v>
      </c>
      <c r="AC24" s="28">
        <v>0.25208333333333333</v>
      </c>
      <c r="AD24" s="25">
        <f t="shared" si="12"/>
        <v>-26.786375</v>
      </c>
      <c r="AE24" s="25">
        <v>-7.32</v>
      </c>
      <c r="AF24" s="25">
        <v>-18.213666666666668</v>
      </c>
      <c r="AG24" s="25">
        <v>0</v>
      </c>
    </row>
    <row r="25" spans="1:33" ht="15.75" customHeight="1">
      <c r="A25" s="14" t="s">
        <v>51</v>
      </c>
      <c r="B25" s="14" t="s">
        <v>290</v>
      </c>
      <c r="C25" s="15">
        <f t="shared" si="4"/>
        <v>45.140151515151516</v>
      </c>
      <c r="D25" s="16">
        <v>66</v>
      </c>
      <c r="E25" s="16">
        <v>1</v>
      </c>
      <c r="F25" s="17">
        <v>2979.25</v>
      </c>
      <c r="G25" s="17">
        <v>-0.23</v>
      </c>
      <c r="H25" s="18">
        <f t="shared" si="1"/>
        <v>7.720063774439876E-5</v>
      </c>
      <c r="I25" s="18">
        <f t="shared" si="2"/>
        <v>0.27664437358395555</v>
      </c>
      <c r="J25" s="17">
        <f t="shared" si="5"/>
        <v>824.19274999999959</v>
      </c>
      <c r="K25" s="17">
        <f t="shared" si="3"/>
        <v>12.487768939393932</v>
      </c>
      <c r="L25" s="16">
        <v>287</v>
      </c>
      <c r="M25" s="19">
        <f t="shared" si="6"/>
        <v>0.22996515679442509</v>
      </c>
      <c r="N25" s="16">
        <v>36</v>
      </c>
      <c r="O25" s="20">
        <f t="shared" ref="O25:P25" si="33">D25/7</f>
        <v>9.4285714285714288</v>
      </c>
      <c r="P25" s="20">
        <f t="shared" si="33"/>
        <v>0.14285714285714285</v>
      </c>
      <c r="Q25" s="16">
        <f t="shared" si="8"/>
        <v>3</v>
      </c>
      <c r="R25" s="16"/>
      <c r="S25" s="21">
        <v>4.8661551577152604</v>
      </c>
      <c r="T25" s="14">
        <v>3222</v>
      </c>
      <c r="U25" s="22">
        <v>402</v>
      </c>
      <c r="V25" s="23" t="s">
        <v>1657</v>
      </c>
      <c r="W25" s="30">
        <v>1</v>
      </c>
      <c r="X25" s="24">
        <f t="shared" si="9"/>
        <v>1.5151515151515152E-2</v>
      </c>
      <c r="Y25" s="25">
        <f t="shared" si="10"/>
        <v>0.23</v>
      </c>
      <c r="Z25" s="30">
        <v>0</v>
      </c>
      <c r="AA25" s="14" t="s">
        <v>35</v>
      </c>
      <c r="AB25" s="27">
        <f t="shared" si="11"/>
        <v>-0.69</v>
      </c>
      <c r="AC25" s="28">
        <v>0.25208333333333333</v>
      </c>
      <c r="AD25" s="25">
        <f t="shared" si="12"/>
        <v>-22.95975</v>
      </c>
      <c r="AE25" s="25">
        <v>-7.32</v>
      </c>
      <c r="AF25" s="25">
        <v>-18.21</v>
      </c>
      <c r="AG25" s="25">
        <v>0</v>
      </c>
    </row>
    <row r="26" spans="1:33" ht="15.75" customHeight="1">
      <c r="A26" s="14" t="s">
        <v>52</v>
      </c>
      <c r="B26" s="14" t="s">
        <v>45</v>
      </c>
      <c r="C26" s="15">
        <f t="shared" si="4"/>
        <v>48.25</v>
      </c>
      <c r="D26" s="16">
        <v>32</v>
      </c>
      <c r="E26" s="16">
        <v>1</v>
      </c>
      <c r="F26" s="17">
        <v>1544</v>
      </c>
      <c r="G26" s="17">
        <v>-0.06</v>
      </c>
      <c r="H26" s="18">
        <f t="shared" si="1"/>
        <v>3.8860103626943002E-5</v>
      </c>
      <c r="I26" s="18">
        <f t="shared" si="2"/>
        <v>0.31355613126079579</v>
      </c>
      <c r="J26" s="17">
        <f t="shared" si="5"/>
        <v>484.13066666666867</v>
      </c>
      <c r="K26" s="17">
        <f t="shared" si="3"/>
        <v>15.129083333333396</v>
      </c>
      <c r="L26" s="16">
        <v>208</v>
      </c>
      <c r="M26" s="19">
        <f t="shared" si="6"/>
        <v>0.15384615384615385</v>
      </c>
      <c r="N26" s="16">
        <v>5</v>
      </c>
      <c r="O26" s="20">
        <f t="shared" ref="O26:P26" si="34">D26/7</f>
        <v>4.5714285714285712</v>
      </c>
      <c r="P26" s="20">
        <f t="shared" si="34"/>
        <v>0.14285714285714285</v>
      </c>
      <c r="Q26" s="16">
        <f t="shared" si="8"/>
        <v>1</v>
      </c>
      <c r="R26" s="16"/>
      <c r="S26" s="21">
        <v>7.8409090909090908</v>
      </c>
      <c r="T26" s="14">
        <v>3222</v>
      </c>
      <c r="U26" s="22">
        <v>402</v>
      </c>
      <c r="V26" s="23" t="s">
        <v>1658</v>
      </c>
      <c r="W26" s="30">
        <v>0</v>
      </c>
      <c r="X26" s="24">
        <f t="shared" si="9"/>
        <v>0</v>
      </c>
      <c r="Y26" s="25">
        <f t="shared" si="10"/>
        <v>0</v>
      </c>
      <c r="Z26" s="30">
        <v>0</v>
      </c>
      <c r="AA26" s="14" t="s">
        <v>35</v>
      </c>
      <c r="AB26" s="27">
        <f t="shared" si="11"/>
        <v>-0.69</v>
      </c>
      <c r="AC26" s="28">
        <v>0.25208333333333333</v>
      </c>
      <c r="AD26" s="25">
        <f t="shared" si="12"/>
        <v>-11.132</v>
      </c>
      <c r="AE26" s="25">
        <v>-7.32</v>
      </c>
      <c r="AF26" s="25">
        <v>-18.213666666666601</v>
      </c>
      <c r="AG26" s="25">
        <v>0</v>
      </c>
    </row>
    <row r="27" spans="1:33" ht="15.75" customHeight="1">
      <c r="A27" s="14" t="s">
        <v>53</v>
      </c>
      <c r="B27" s="14" t="s">
        <v>1659</v>
      </c>
      <c r="C27" s="15">
        <f t="shared" si="4"/>
        <v>49.95</v>
      </c>
      <c r="D27" s="16">
        <v>20</v>
      </c>
      <c r="E27" s="16">
        <v>1</v>
      </c>
      <c r="F27" s="17">
        <v>999</v>
      </c>
      <c r="G27" s="17">
        <v>-0.03</v>
      </c>
      <c r="H27" s="18">
        <f t="shared" si="1"/>
        <v>3.0030030030030029E-5</v>
      </c>
      <c r="I27" s="18">
        <f t="shared" si="2"/>
        <v>0.2622347347347348</v>
      </c>
      <c r="J27" s="17">
        <f t="shared" si="5"/>
        <v>261.97250000000008</v>
      </c>
      <c r="K27" s="17">
        <f t="shared" si="3"/>
        <v>13.098625000000004</v>
      </c>
      <c r="L27" s="16">
        <v>221</v>
      </c>
      <c r="M27" s="19">
        <f t="shared" si="6"/>
        <v>9.0497737556561084E-2</v>
      </c>
      <c r="N27" s="16">
        <v>393</v>
      </c>
      <c r="O27" s="20">
        <f t="shared" ref="O27:P27" si="35">D27/7</f>
        <v>2.8571428571428572</v>
      </c>
      <c r="P27" s="20">
        <f t="shared" si="35"/>
        <v>0.14285714285714285</v>
      </c>
      <c r="Q27" s="16">
        <f t="shared" si="8"/>
        <v>131</v>
      </c>
      <c r="R27" s="16"/>
      <c r="S27" s="21">
        <v>5.7610921501706489</v>
      </c>
      <c r="T27" s="14">
        <v>2820</v>
      </c>
      <c r="U27" s="22">
        <v>804</v>
      </c>
      <c r="V27" s="23" t="s">
        <v>1660</v>
      </c>
      <c r="W27" s="30">
        <v>1</v>
      </c>
      <c r="X27" s="24">
        <f t="shared" si="9"/>
        <v>0.05</v>
      </c>
      <c r="Y27" s="25">
        <f t="shared" si="10"/>
        <v>7.4999999999999997E-3</v>
      </c>
      <c r="Z27" s="30">
        <v>3</v>
      </c>
      <c r="AA27" s="14" t="s">
        <v>35</v>
      </c>
      <c r="AB27" s="27">
        <f t="shared" si="11"/>
        <v>-0.69</v>
      </c>
      <c r="AC27" s="28">
        <v>0.25208333333333333</v>
      </c>
      <c r="AD27" s="25">
        <f t="shared" si="12"/>
        <v>-6.9574999999999996</v>
      </c>
      <c r="AE27" s="25">
        <v>-7.32</v>
      </c>
      <c r="AF27" s="25">
        <v>-21.689499999999999</v>
      </c>
      <c r="AG27" s="25">
        <v>0</v>
      </c>
    </row>
    <row r="28" spans="1:33" ht="15.75" customHeight="1">
      <c r="A28" s="14" t="s">
        <v>54</v>
      </c>
      <c r="B28" s="14" t="s">
        <v>1661</v>
      </c>
      <c r="C28" s="15">
        <f t="shared" si="4"/>
        <v>43.275217391304352</v>
      </c>
      <c r="D28" s="16">
        <v>115</v>
      </c>
      <c r="E28" s="16">
        <v>0</v>
      </c>
      <c r="F28" s="17">
        <v>4976.6500000000005</v>
      </c>
      <c r="G28" s="17">
        <v>-0.08</v>
      </c>
      <c r="H28" s="18">
        <f t="shared" si="1"/>
        <v>1.6075070579606762E-5</v>
      </c>
      <c r="I28" s="18">
        <f t="shared" si="2"/>
        <v>0.17483133734540307</v>
      </c>
      <c r="J28" s="17">
        <f t="shared" si="5"/>
        <v>870.07437500000026</v>
      </c>
      <c r="K28" s="17">
        <f t="shared" si="3"/>
        <v>7.5658641304347851</v>
      </c>
      <c r="L28" s="16">
        <v>315</v>
      </c>
      <c r="M28" s="19">
        <f t="shared" si="6"/>
        <v>0.36507936507936506</v>
      </c>
      <c r="N28" s="16">
        <v>278</v>
      </c>
      <c r="O28" s="20">
        <f t="shared" ref="O28:P28" si="36">D28/7</f>
        <v>16.428571428571427</v>
      </c>
      <c r="P28" s="20">
        <f t="shared" si="36"/>
        <v>0</v>
      </c>
      <c r="Q28" s="16">
        <f t="shared" si="8"/>
        <v>16</v>
      </c>
      <c r="R28" s="16"/>
      <c r="S28" s="21">
        <v>2.901176470588235</v>
      </c>
      <c r="T28" s="14">
        <v>5320</v>
      </c>
      <c r="U28" s="22">
        <v>44392</v>
      </c>
      <c r="V28" s="23" t="s">
        <v>1662</v>
      </c>
      <c r="W28" s="30">
        <v>0</v>
      </c>
      <c r="X28" s="24">
        <f t="shared" si="9"/>
        <v>0</v>
      </c>
      <c r="Y28" s="25">
        <f t="shared" si="10"/>
        <v>0</v>
      </c>
      <c r="Z28" s="30">
        <v>0</v>
      </c>
      <c r="AA28" s="14" t="s">
        <v>35</v>
      </c>
      <c r="AB28" s="27">
        <f t="shared" si="11"/>
        <v>-0.69</v>
      </c>
      <c r="AC28" s="28">
        <v>0.25208333333333333</v>
      </c>
      <c r="AD28" s="25">
        <f t="shared" si="12"/>
        <v>-40.005625000000002</v>
      </c>
      <c r="AE28" s="25">
        <v>-7.18</v>
      </c>
      <c r="AF28" s="25">
        <v>-21.689499999999999</v>
      </c>
      <c r="AG28" s="25">
        <v>0</v>
      </c>
    </row>
    <row r="29" spans="1:33" ht="15.75" customHeight="1">
      <c r="A29" s="14" t="s">
        <v>55</v>
      </c>
      <c r="B29" s="14" t="s">
        <v>68</v>
      </c>
      <c r="C29" s="15">
        <f t="shared" si="4"/>
        <v>43.281578947368423</v>
      </c>
      <c r="D29" s="16">
        <v>76</v>
      </c>
      <c r="E29" s="16">
        <v>0</v>
      </c>
      <c r="F29" s="17">
        <v>3289.4</v>
      </c>
      <c r="G29" s="17">
        <v>-0.27</v>
      </c>
      <c r="H29" s="18">
        <f t="shared" si="1"/>
        <v>8.2081838633185386E-5</v>
      </c>
      <c r="I29" s="18">
        <f t="shared" si="2"/>
        <v>0.17486456496625527</v>
      </c>
      <c r="J29" s="17">
        <f t="shared" si="5"/>
        <v>575.19950000000006</v>
      </c>
      <c r="K29" s="17">
        <f t="shared" si="3"/>
        <v>7.5684144736842116</v>
      </c>
      <c r="L29" s="16">
        <v>302</v>
      </c>
      <c r="M29" s="19">
        <f t="shared" si="6"/>
        <v>0.25165562913907286</v>
      </c>
      <c r="N29" s="16">
        <v>205</v>
      </c>
      <c r="O29" s="20">
        <f t="shared" ref="O29:P29" si="37">D29/7</f>
        <v>10.857142857142858</v>
      </c>
      <c r="P29" s="20">
        <f t="shared" si="37"/>
        <v>0</v>
      </c>
      <c r="Q29" s="16">
        <f t="shared" si="8"/>
        <v>18</v>
      </c>
      <c r="R29" s="16"/>
      <c r="S29" s="21">
        <v>3.38391502276176</v>
      </c>
      <c r="T29" s="14">
        <v>5860</v>
      </c>
      <c r="U29" s="22">
        <v>44392</v>
      </c>
      <c r="V29" s="23" t="s">
        <v>1663</v>
      </c>
      <c r="W29" s="30">
        <v>0</v>
      </c>
      <c r="X29" s="24">
        <f t="shared" si="9"/>
        <v>0</v>
      </c>
      <c r="Y29" s="25">
        <f t="shared" si="10"/>
        <v>0</v>
      </c>
      <c r="Z29" s="30">
        <v>0</v>
      </c>
      <c r="AA29" s="14" t="s">
        <v>35</v>
      </c>
      <c r="AB29" s="27">
        <f t="shared" si="11"/>
        <v>-0.69</v>
      </c>
      <c r="AC29" s="28">
        <v>0.25208333333333333</v>
      </c>
      <c r="AD29" s="25">
        <f t="shared" si="12"/>
        <v>-26.438499999999998</v>
      </c>
      <c r="AE29" s="25">
        <v>-7.18</v>
      </c>
      <c r="AF29" s="25">
        <v>-21.689499999999999</v>
      </c>
      <c r="AG29" s="25">
        <v>0</v>
      </c>
    </row>
    <row r="30" spans="1:33" ht="15.75" customHeight="1">
      <c r="A30" s="14" t="s">
        <v>57</v>
      </c>
      <c r="B30" s="14" t="s">
        <v>45</v>
      </c>
      <c r="C30" s="15">
        <f t="shared" si="4"/>
        <v>44.785999999999994</v>
      </c>
      <c r="D30" s="16">
        <v>110</v>
      </c>
      <c r="E30" s="16">
        <v>4</v>
      </c>
      <c r="F30" s="17">
        <v>4926.4599999999991</v>
      </c>
      <c r="G30" s="17">
        <v>-0.28999999999999998</v>
      </c>
      <c r="H30" s="18">
        <f t="shared" si="1"/>
        <v>5.8865798159327395E-5</v>
      </c>
      <c r="I30" s="18">
        <f t="shared" si="2"/>
        <v>0.21064056978159765</v>
      </c>
      <c r="J30" s="17">
        <f t="shared" si="5"/>
        <v>1037.7123414062494</v>
      </c>
      <c r="K30" s="17">
        <f t="shared" si="3"/>
        <v>9.43374855823863</v>
      </c>
      <c r="L30" s="16">
        <v>254</v>
      </c>
      <c r="M30" s="19">
        <f t="shared" si="6"/>
        <v>0.43307086614173229</v>
      </c>
      <c r="N30" s="16">
        <v>33</v>
      </c>
      <c r="O30" s="20">
        <f t="shared" ref="O30:P30" si="38">D30/7</f>
        <v>15.714285714285714</v>
      </c>
      <c r="P30" s="20">
        <f t="shared" si="38"/>
        <v>0.5714285714285714</v>
      </c>
      <c r="Q30" s="16">
        <f t="shared" si="8"/>
        <v>2</v>
      </c>
      <c r="R30" s="16"/>
      <c r="S30" s="21">
        <v>4.619718309859155</v>
      </c>
      <c r="T30" s="14">
        <v>2808</v>
      </c>
      <c r="U30" s="22">
        <v>804</v>
      </c>
      <c r="V30" s="23" t="s">
        <v>1664</v>
      </c>
      <c r="W30" s="30">
        <v>0</v>
      </c>
      <c r="X30" s="24">
        <f t="shared" si="9"/>
        <v>0</v>
      </c>
      <c r="Y30" s="25">
        <f t="shared" si="10"/>
        <v>0</v>
      </c>
      <c r="Z30" s="30">
        <v>0</v>
      </c>
      <c r="AA30" s="14" t="s">
        <v>35</v>
      </c>
      <c r="AB30" s="27">
        <f t="shared" si="11"/>
        <v>-0.69</v>
      </c>
      <c r="AC30" s="28">
        <v>0.25208333333333333</v>
      </c>
      <c r="AD30" s="25">
        <f t="shared" si="12"/>
        <v>-38.266249999999999</v>
      </c>
      <c r="AE30" s="25">
        <v>-7.18</v>
      </c>
      <c r="AF30" s="25">
        <v>-21.103840078125</v>
      </c>
      <c r="AG30" s="25">
        <v>0</v>
      </c>
    </row>
    <row r="31" spans="1:33" ht="15.75" customHeight="1">
      <c r="A31" s="14" t="s">
        <v>58</v>
      </c>
      <c r="B31" s="14" t="s">
        <v>45</v>
      </c>
      <c r="C31" s="15">
        <f t="shared" si="4"/>
        <v>44.87402439024391</v>
      </c>
      <c r="D31" s="16">
        <v>82</v>
      </c>
      <c r="E31" s="16">
        <v>0</v>
      </c>
      <c r="F31" s="17">
        <v>3679.6700000000005</v>
      </c>
      <c r="G31" s="17">
        <v>-0.03</v>
      </c>
      <c r="H31" s="18">
        <f t="shared" si="1"/>
        <v>8.1529050159389271E-6</v>
      </c>
      <c r="I31" s="18">
        <f t="shared" si="2"/>
        <v>0.21194532759561308</v>
      </c>
      <c r="J31" s="17">
        <f t="shared" si="5"/>
        <v>779.88886359374965</v>
      </c>
      <c r="K31" s="17">
        <f t="shared" si="3"/>
        <v>9.5108397999237759</v>
      </c>
      <c r="L31" s="16">
        <v>218</v>
      </c>
      <c r="M31" s="19">
        <f t="shared" si="6"/>
        <v>0.37614678899082571</v>
      </c>
      <c r="N31" s="16">
        <v>4</v>
      </c>
      <c r="O31" s="20">
        <f t="shared" ref="O31:P31" si="39">D31/7</f>
        <v>11.714285714285714</v>
      </c>
      <c r="P31" s="20">
        <f t="shared" si="39"/>
        <v>0</v>
      </c>
      <c r="Q31" s="16">
        <f t="shared" si="8"/>
        <v>0</v>
      </c>
      <c r="R31" s="16"/>
      <c r="S31" s="21">
        <v>8.5126050420167996</v>
      </c>
      <c r="T31" s="14">
        <v>1052</v>
      </c>
      <c r="U31" s="22">
        <v>1768</v>
      </c>
      <c r="V31" s="23" t="s">
        <v>1665</v>
      </c>
      <c r="W31" s="30">
        <v>0</v>
      </c>
      <c r="X31" s="24">
        <f t="shared" si="9"/>
        <v>0</v>
      </c>
      <c r="Y31" s="25">
        <f t="shared" si="10"/>
        <v>0</v>
      </c>
      <c r="Z31" s="30">
        <v>0</v>
      </c>
      <c r="AA31" s="14" t="s">
        <v>35</v>
      </c>
      <c r="AB31" s="27">
        <f t="shared" si="11"/>
        <v>-0.69</v>
      </c>
      <c r="AC31" s="28">
        <v>0.25208333333333333</v>
      </c>
      <c r="AD31" s="25">
        <f t="shared" si="12"/>
        <v>-28.525749999999999</v>
      </c>
      <c r="AE31" s="25">
        <v>-7.18</v>
      </c>
      <c r="AF31" s="25">
        <v>-21.103840078125003</v>
      </c>
      <c r="AG31" s="25">
        <v>0</v>
      </c>
    </row>
    <row r="32" spans="1:33" ht="15.75" customHeight="1">
      <c r="A32" s="14" t="s">
        <v>60</v>
      </c>
      <c r="B32" s="14"/>
      <c r="C32" s="15">
        <f t="shared" si="4"/>
        <v>44.5</v>
      </c>
      <c r="D32" s="16">
        <v>3</v>
      </c>
      <c r="E32" s="16">
        <v>0</v>
      </c>
      <c r="F32" s="17">
        <v>133.5</v>
      </c>
      <c r="G32" s="17">
        <v>-0.04</v>
      </c>
      <c r="H32" s="18">
        <f t="shared" si="1"/>
        <v>2.9962546816479402E-4</v>
      </c>
      <c r="I32" s="18">
        <f t="shared" si="2"/>
        <v>0.20629104693352057</v>
      </c>
      <c r="J32" s="17">
        <f t="shared" si="5"/>
        <v>27.539854765624995</v>
      </c>
      <c r="K32" s="17">
        <f t="shared" si="3"/>
        <v>9.1799515885416643</v>
      </c>
      <c r="L32" s="16">
        <v>48</v>
      </c>
      <c r="M32" s="19">
        <f t="shared" si="6"/>
        <v>6.25E-2</v>
      </c>
      <c r="N32" s="16">
        <v>6</v>
      </c>
      <c r="O32" s="20">
        <f t="shared" ref="O32:P32" si="40">D32/7</f>
        <v>0.42857142857142855</v>
      </c>
      <c r="P32" s="20">
        <f t="shared" si="40"/>
        <v>0</v>
      </c>
      <c r="Q32" s="16">
        <f t="shared" si="8"/>
        <v>14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0</v>
      </c>
      <c r="T32" s="14">
        <f ca="1">IFERROR(__xludf.DUMMYFUNCTION("IFERROR(VLOOKUP($B$2,IMPORTRANGE(""https://docs.google.com/spreadsheets/d/1KiWZV1ko8G7lnRucBRBd29jj3Be6ltMfljMDqzOkQmI/edit#gid=1381463014"",""Lookup!A:D""),4,FALSE),"""")"),1052)</f>
        <v>1052</v>
      </c>
      <c r="U32" s="22">
        <f ca="1">IFERROR(__xludf.DUMMYFUNCTION("IFERROR(VLOOKUP($B$2,IMPORTRANGE(""https://docs.google.com/spreadsheets/d/1KiWZV1ko8G7lnRucBRBd29jj3Be6ltMfljMDqzOkQmI/edit#gid=1381463014"",""Lookup!A:D""),3,FALSE),"""")"),1468)</f>
        <v>1468</v>
      </c>
      <c r="V32" s="23" t="str">
        <f ca="1">IFERROR(__xludf.DUMMYFUNCTION("IFERROR(VLOOKUP($B$2,IMPORTRANGE(""https://docs.google.com/spreadsheets/d/1KiWZV1ko8G7lnRucBRBd29jj3Be6ltMfljMDqzOkQmI/edit#gid=1381463014"",""Lookup!A:D""),2,FALSE),"""")"),"| 408  - 804 units 07/19| 413  - 124 units 07/26| 417  - 400 units 08/14| 418  - 140 units 09/03| S210711-STAR  - 300 units 11/01")</f>
        <v>| 408  - 804 units 07/19| 413  - 124 units 07/26| 417  - 400 units 08/14| 418  - 140 units 09/03| S210711-STAR  - 300 units 11/01</v>
      </c>
      <c r="W32" s="30">
        <v>0</v>
      </c>
      <c r="X32" s="24">
        <f t="shared" si="9"/>
        <v>0</v>
      </c>
      <c r="Y32" s="25">
        <f t="shared" si="10"/>
        <v>0</v>
      </c>
      <c r="Z32" s="30">
        <v>0</v>
      </c>
      <c r="AA32" s="14" t="s">
        <v>35</v>
      </c>
      <c r="AB32" s="27">
        <f t="shared" si="11"/>
        <v>-0.69</v>
      </c>
      <c r="AC32" s="28">
        <v>0.25208333333333333</v>
      </c>
      <c r="AD32" s="25">
        <f t="shared" si="12"/>
        <v>-1.043625</v>
      </c>
      <c r="AE32" s="25">
        <v>-7.18</v>
      </c>
      <c r="AF32" s="25">
        <v>-21.103840078125</v>
      </c>
      <c r="AG32" s="25">
        <v>0</v>
      </c>
    </row>
    <row r="33" spans="1:33" ht="15.75" customHeight="1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16"/>
      <c r="S33" s="21"/>
      <c r="T33" s="31"/>
      <c r="U33" s="36"/>
      <c r="V33" s="1"/>
      <c r="W33" s="31"/>
      <c r="X33" s="31"/>
      <c r="Y33" s="31"/>
      <c r="Z33" s="31"/>
      <c r="AA33" s="2"/>
      <c r="AB33" s="31"/>
      <c r="AC33" s="31"/>
      <c r="AD33" s="31"/>
      <c r="AE33" s="37"/>
      <c r="AF33" s="37"/>
      <c r="AG33" s="37"/>
    </row>
    <row r="34" spans="1:33" ht="15.75" customHeight="1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6"/>
      <c r="V34" s="1"/>
      <c r="W34" s="31"/>
      <c r="X34" s="31"/>
      <c r="Y34" s="31"/>
      <c r="Z34" s="31"/>
      <c r="AA34" s="2"/>
      <c r="AB34" s="31"/>
      <c r="AC34" s="31"/>
      <c r="AD34" s="31"/>
      <c r="AE34" s="37"/>
      <c r="AF34" s="37"/>
      <c r="AG34" s="37"/>
    </row>
    <row r="35" spans="1:33" ht="15.75" customHeight="1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6"/>
      <c r="V35" s="1"/>
      <c r="W35" s="31"/>
      <c r="X35" s="31"/>
      <c r="Y35" s="31"/>
      <c r="Z35" s="31"/>
      <c r="AA35" s="2"/>
      <c r="AB35" s="31"/>
      <c r="AC35" s="31"/>
      <c r="AD35" s="31"/>
      <c r="AE35" s="37"/>
      <c r="AF35" s="37"/>
      <c r="AG35" s="37"/>
    </row>
    <row r="36" spans="1:33" ht="15.75" customHeight="1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6"/>
      <c r="V36" s="1"/>
      <c r="W36" s="31"/>
      <c r="X36" s="31"/>
      <c r="Y36" s="31"/>
      <c r="Z36" s="31"/>
      <c r="AA36" s="2"/>
      <c r="AB36" s="31"/>
      <c r="AC36" s="31"/>
      <c r="AD36" s="31"/>
      <c r="AE36" s="37"/>
      <c r="AF36" s="37"/>
      <c r="AG36" s="37"/>
    </row>
    <row r="37" spans="1:33" ht="15.75" customHeight="1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6"/>
      <c r="V37" s="1"/>
      <c r="W37" s="31"/>
      <c r="X37" s="31"/>
      <c r="Y37" s="31"/>
      <c r="Z37" s="31"/>
      <c r="AA37" s="2"/>
      <c r="AB37" s="31"/>
      <c r="AC37" s="31"/>
      <c r="AD37" s="31"/>
      <c r="AE37" s="37"/>
      <c r="AF37" s="37"/>
      <c r="AG37" s="37"/>
    </row>
    <row r="38" spans="1:33" ht="15.75" customHeight="1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6"/>
      <c r="V38" s="1"/>
      <c r="W38" s="31"/>
      <c r="X38" s="31"/>
      <c r="Y38" s="31"/>
      <c r="Z38" s="31"/>
      <c r="AA38" s="2"/>
      <c r="AB38" s="31"/>
      <c r="AC38" s="31"/>
      <c r="AD38" s="31"/>
      <c r="AE38" s="37"/>
      <c r="AF38" s="37"/>
      <c r="AG38" s="37"/>
    </row>
    <row r="39" spans="1:33" ht="15.75" customHeight="1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6"/>
      <c r="V39" s="1"/>
      <c r="W39" s="31"/>
      <c r="X39" s="31"/>
      <c r="Y39" s="31"/>
      <c r="Z39" s="31"/>
      <c r="AA39" s="2"/>
      <c r="AB39" s="31"/>
      <c r="AC39" s="31"/>
      <c r="AD39" s="31"/>
      <c r="AE39" s="37"/>
      <c r="AF39" s="37"/>
      <c r="AG39" s="37"/>
    </row>
    <row r="40" spans="1:33" ht="15.75" customHeight="1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6"/>
      <c r="V40" s="1"/>
      <c r="W40" s="31"/>
      <c r="X40" s="31"/>
      <c r="Y40" s="31"/>
      <c r="Z40" s="31"/>
      <c r="AA40" s="2"/>
      <c r="AB40" s="31"/>
      <c r="AC40" s="31"/>
      <c r="AD40" s="31"/>
      <c r="AE40" s="37"/>
      <c r="AF40" s="37"/>
      <c r="AG40" s="37"/>
    </row>
    <row r="41" spans="1:33" ht="15.75" customHeight="1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6"/>
      <c r="V41" s="1"/>
      <c r="W41" s="31"/>
      <c r="X41" s="31"/>
      <c r="Y41" s="31"/>
      <c r="Z41" s="31"/>
      <c r="AA41" s="2"/>
      <c r="AB41" s="31"/>
      <c r="AC41" s="31"/>
      <c r="AD41" s="31"/>
      <c r="AE41" s="37"/>
      <c r="AF41" s="37"/>
      <c r="AG41" s="37"/>
    </row>
    <row r="42" spans="1:33" ht="15.75" customHeight="1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6"/>
      <c r="V42" s="1"/>
      <c r="W42" s="31"/>
      <c r="X42" s="31"/>
      <c r="Y42" s="31"/>
      <c r="Z42" s="31"/>
      <c r="AA42" s="2"/>
      <c r="AB42" s="31"/>
      <c r="AC42" s="31"/>
      <c r="AD42" s="31"/>
      <c r="AE42" s="37"/>
      <c r="AF42" s="37"/>
      <c r="AG42" s="37"/>
    </row>
    <row r="43" spans="1:33" ht="15.75" customHeight="1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6"/>
      <c r="V43" s="1"/>
      <c r="W43" s="31"/>
      <c r="X43" s="31"/>
      <c r="Y43" s="31"/>
      <c r="Z43" s="31"/>
      <c r="AA43" s="2"/>
      <c r="AB43" s="31"/>
      <c r="AC43" s="31"/>
      <c r="AD43" s="31"/>
      <c r="AE43" s="37"/>
      <c r="AF43" s="37"/>
      <c r="AG43" s="37"/>
    </row>
    <row r="44" spans="1:33" ht="15.75" customHeight="1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6"/>
      <c r="V44" s="1"/>
      <c r="W44" s="31"/>
      <c r="X44" s="31"/>
      <c r="Y44" s="31"/>
      <c r="Z44" s="31"/>
      <c r="AA44" s="2"/>
      <c r="AB44" s="31"/>
      <c r="AC44" s="31"/>
      <c r="AD44" s="31"/>
      <c r="AE44" s="37"/>
      <c r="AF44" s="37"/>
      <c r="AG44" s="37"/>
    </row>
    <row r="45" spans="1:33" ht="15.75" customHeight="1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6"/>
      <c r="V45" s="1"/>
      <c r="W45" s="31"/>
      <c r="X45" s="31"/>
      <c r="Y45" s="31"/>
      <c r="Z45" s="31"/>
      <c r="AA45" s="2"/>
      <c r="AB45" s="31"/>
      <c r="AC45" s="31"/>
      <c r="AD45" s="31"/>
      <c r="AE45" s="37"/>
      <c r="AF45" s="37"/>
      <c r="AG45" s="37"/>
    </row>
    <row r="46" spans="1:33" ht="15.75" customHeight="1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6"/>
      <c r="V46" s="1"/>
      <c r="W46" s="31"/>
      <c r="X46" s="31"/>
      <c r="Y46" s="31"/>
      <c r="Z46" s="31"/>
      <c r="AA46" s="2"/>
      <c r="AB46" s="31"/>
      <c r="AC46" s="31"/>
      <c r="AD46" s="31"/>
      <c r="AE46" s="37"/>
      <c r="AF46" s="37"/>
      <c r="AG46" s="37"/>
    </row>
    <row r="47" spans="1:33" ht="15.75" customHeight="1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6"/>
      <c r="V47" s="1"/>
      <c r="W47" s="31"/>
      <c r="X47" s="31"/>
      <c r="Y47" s="31"/>
      <c r="Z47" s="31"/>
      <c r="AA47" s="2"/>
      <c r="AB47" s="31"/>
      <c r="AC47" s="31"/>
      <c r="AD47" s="31"/>
      <c r="AE47" s="37"/>
      <c r="AF47" s="37"/>
      <c r="AG47" s="37"/>
    </row>
    <row r="48" spans="1:33" ht="15.75" customHeight="1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6"/>
      <c r="V48" s="1"/>
      <c r="W48" s="31"/>
      <c r="X48" s="31"/>
      <c r="Y48" s="31"/>
      <c r="Z48" s="31"/>
      <c r="AA48" s="2"/>
      <c r="AB48" s="31"/>
      <c r="AC48" s="31"/>
      <c r="AD48" s="31"/>
      <c r="AE48" s="37"/>
      <c r="AF48" s="37"/>
      <c r="AG48" s="37"/>
    </row>
    <row r="49" spans="1:33" ht="15.75" customHeight="1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6"/>
      <c r="V49" s="1"/>
      <c r="W49" s="31"/>
      <c r="X49" s="31"/>
      <c r="Y49" s="31"/>
      <c r="Z49" s="31"/>
      <c r="AA49" s="2"/>
      <c r="AB49" s="31"/>
      <c r="AC49" s="31"/>
      <c r="AD49" s="31"/>
      <c r="AE49" s="37"/>
      <c r="AF49" s="37"/>
      <c r="AG49" s="37"/>
    </row>
    <row r="50" spans="1:33" ht="15.75" customHeight="1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6"/>
      <c r="V50" s="1"/>
      <c r="W50" s="31"/>
      <c r="X50" s="31"/>
      <c r="Y50" s="31"/>
      <c r="Z50" s="31"/>
      <c r="AA50" s="2"/>
      <c r="AB50" s="31"/>
      <c r="AC50" s="31"/>
      <c r="AD50" s="31"/>
      <c r="AE50" s="37"/>
      <c r="AF50" s="37"/>
      <c r="AG50" s="37"/>
    </row>
    <row r="51" spans="1:33" ht="15.75" customHeight="1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6"/>
      <c r="V51" s="1"/>
      <c r="W51" s="31"/>
      <c r="X51" s="31"/>
      <c r="Y51" s="31"/>
      <c r="Z51" s="31"/>
      <c r="AA51" s="2"/>
      <c r="AB51" s="31"/>
      <c r="AC51" s="31"/>
      <c r="AD51" s="31"/>
      <c r="AE51" s="37"/>
      <c r="AF51" s="37"/>
      <c r="AG51" s="37"/>
    </row>
    <row r="52" spans="1:33" ht="15.75" customHeight="1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6"/>
      <c r="V52" s="1"/>
      <c r="W52" s="31"/>
      <c r="X52" s="31"/>
      <c r="Y52" s="31"/>
      <c r="Z52" s="31"/>
      <c r="AA52" s="2"/>
      <c r="AB52" s="31"/>
      <c r="AC52" s="31"/>
      <c r="AD52" s="31"/>
      <c r="AE52" s="37"/>
      <c r="AF52" s="37"/>
      <c r="AG52" s="37"/>
    </row>
    <row r="53" spans="1:33" ht="15.75" customHeight="1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6"/>
      <c r="V53" s="1"/>
      <c r="W53" s="31"/>
      <c r="X53" s="31"/>
      <c r="Y53" s="31"/>
      <c r="Z53" s="31"/>
      <c r="AA53" s="2"/>
      <c r="AB53" s="31"/>
      <c r="AC53" s="31"/>
      <c r="AD53" s="31"/>
      <c r="AE53" s="37"/>
      <c r="AF53" s="37"/>
      <c r="AG53" s="37"/>
    </row>
    <row r="54" spans="1:33" ht="15.75" customHeight="1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6"/>
      <c r="V54" s="1"/>
      <c r="W54" s="31"/>
      <c r="X54" s="31"/>
      <c r="Y54" s="31"/>
      <c r="Z54" s="31"/>
      <c r="AA54" s="2"/>
      <c r="AB54" s="31"/>
      <c r="AC54" s="31"/>
      <c r="AD54" s="31"/>
      <c r="AE54" s="37"/>
      <c r="AF54" s="37"/>
      <c r="AG54" s="37"/>
    </row>
    <row r="55" spans="1:33" ht="15.75" customHeight="1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6"/>
      <c r="V55" s="1"/>
      <c r="W55" s="31"/>
      <c r="X55" s="31"/>
      <c r="Y55" s="31"/>
      <c r="Z55" s="31"/>
      <c r="AA55" s="2"/>
      <c r="AB55" s="31"/>
      <c r="AC55" s="31"/>
      <c r="AD55" s="31"/>
      <c r="AE55" s="37"/>
      <c r="AF55" s="37"/>
      <c r="AG55" s="37"/>
    </row>
    <row r="56" spans="1:33" ht="15.75" customHeight="1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6"/>
      <c r="V56" s="1"/>
      <c r="W56" s="31"/>
      <c r="X56" s="31"/>
      <c r="Y56" s="31"/>
      <c r="Z56" s="31"/>
      <c r="AA56" s="2"/>
      <c r="AB56" s="31"/>
      <c r="AC56" s="31"/>
      <c r="AD56" s="31"/>
      <c r="AE56" s="37"/>
      <c r="AF56" s="37"/>
      <c r="AG56" s="37"/>
    </row>
    <row r="57" spans="1:33" ht="15.75" customHeight="1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6"/>
      <c r="V57" s="1"/>
      <c r="W57" s="31"/>
      <c r="X57" s="31"/>
      <c r="Y57" s="31"/>
      <c r="Z57" s="31"/>
      <c r="AA57" s="2"/>
      <c r="AB57" s="31"/>
      <c r="AC57" s="31"/>
      <c r="AD57" s="31"/>
      <c r="AE57" s="37"/>
      <c r="AF57" s="37"/>
      <c r="AG57" s="37"/>
    </row>
    <row r="58" spans="1:33" ht="15.75" customHeight="1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6"/>
      <c r="V58" s="1"/>
      <c r="W58" s="31"/>
      <c r="X58" s="31"/>
      <c r="Y58" s="31"/>
      <c r="Z58" s="31"/>
      <c r="AA58" s="2"/>
      <c r="AB58" s="31"/>
      <c r="AC58" s="31"/>
      <c r="AD58" s="31"/>
      <c r="AE58" s="37"/>
      <c r="AF58" s="37"/>
      <c r="AG58" s="37"/>
    </row>
    <row r="59" spans="1:33" ht="15.75" customHeight="1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6"/>
      <c r="V59" s="1"/>
      <c r="W59" s="31"/>
      <c r="X59" s="31"/>
      <c r="Y59" s="31"/>
      <c r="Z59" s="31"/>
      <c r="AA59" s="2"/>
      <c r="AB59" s="31"/>
      <c r="AC59" s="31"/>
      <c r="AD59" s="31"/>
      <c r="AE59" s="37"/>
      <c r="AF59" s="37"/>
      <c r="AG59" s="37"/>
    </row>
    <row r="60" spans="1:33" ht="15.75" customHeight="1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6"/>
      <c r="V60" s="1"/>
      <c r="W60" s="31"/>
      <c r="X60" s="31"/>
      <c r="Y60" s="31"/>
      <c r="Z60" s="31"/>
      <c r="AA60" s="2"/>
      <c r="AB60" s="31"/>
      <c r="AC60" s="31"/>
      <c r="AD60" s="31"/>
      <c r="AE60" s="37"/>
      <c r="AF60" s="37"/>
      <c r="AG60" s="37"/>
    </row>
    <row r="61" spans="1:33" ht="15.75" customHeight="1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6"/>
      <c r="V61" s="1"/>
      <c r="W61" s="31"/>
      <c r="X61" s="31"/>
      <c r="Y61" s="31"/>
      <c r="Z61" s="31"/>
      <c r="AA61" s="2"/>
      <c r="AB61" s="31"/>
      <c r="AC61" s="31"/>
      <c r="AD61" s="31"/>
      <c r="AE61" s="37"/>
      <c r="AF61" s="37"/>
      <c r="AG61" s="37"/>
    </row>
    <row r="62" spans="1:33" ht="15.75" customHeight="1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6"/>
      <c r="V62" s="1"/>
      <c r="W62" s="31"/>
      <c r="X62" s="31"/>
      <c r="Y62" s="31"/>
      <c r="Z62" s="31"/>
      <c r="AA62" s="2"/>
      <c r="AB62" s="31"/>
      <c r="AC62" s="31"/>
      <c r="AD62" s="31"/>
      <c r="AE62" s="37"/>
      <c r="AF62" s="37"/>
      <c r="AG62" s="37"/>
    </row>
    <row r="63" spans="1:33" ht="15.75" customHeight="1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6"/>
      <c r="V63" s="1"/>
      <c r="W63" s="31"/>
      <c r="X63" s="31"/>
      <c r="Y63" s="31"/>
      <c r="Z63" s="31"/>
      <c r="AA63" s="2"/>
      <c r="AB63" s="31"/>
      <c r="AC63" s="31"/>
      <c r="AD63" s="31"/>
      <c r="AE63" s="37"/>
      <c r="AF63" s="37"/>
      <c r="AG63" s="37"/>
    </row>
    <row r="64" spans="1:33" ht="15.75" customHeight="1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6"/>
      <c r="V64" s="1"/>
      <c r="W64" s="31"/>
      <c r="X64" s="31"/>
      <c r="Y64" s="31"/>
      <c r="Z64" s="31"/>
      <c r="AA64" s="2"/>
      <c r="AB64" s="31"/>
      <c r="AC64" s="31"/>
      <c r="AD64" s="31"/>
      <c r="AE64" s="37"/>
      <c r="AF64" s="37"/>
      <c r="AG64" s="37"/>
    </row>
    <row r="65" spans="1:33" ht="15.75" customHeight="1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6"/>
      <c r="V65" s="1"/>
      <c r="W65" s="31"/>
      <c r="X65" s="31"/>
      <c r="Y65" s="31"/>
      <c r="Z65" s="31"/>
      <c r="AA65" s="2"/>
      <c r="AB65" s="31"/>
      <c r="AC65" s="31"/>
      <c r="AD65" s="31"/>
      <c r="AE65" s="37"/>
      <c r="AF65" s="37"/>
      <c r="AG65" s="37"/>
    </row>
    <row r="66" spans="1:33" ht="15.75" customHeight="1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6"/>
      <c r="V66" s="1"/>
      <c r="W66" s="31"/>
      <c r="X66" s="31"/>
      <c r="Y66" s="31"/>
      <c r="Z66" s="31"/>
      <c r="AA66" s="2"/>
      <c r="AB66" s="31"/>
      <c r="AC66" s="31"/>
      <c r="AD66" s="31"/>
      <c r="AE66" s="37"/>
      <c r="AF66" s="37"/>
      <c r="AG66" s="37"/>
    </row>
    <row r="67" spans="1:33" ht="15.75" customHeight="1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6"/>
      <c r="V67" s="1"/>
      <c r="W67" s="31"/>
      <c r="X67" s="31"/>
      <c r="Y67" s="31"/>
      <c r="Z67" s="31"/>
      <c r="AA67" s="2"/>
      <c r="AB67" s="31"/>
      <c r="AC67" s="31"/>
      <c r="AD67" s="31"/>
      <c r="AE67" s="37"/>
      <c r="AF67" s="37"/>
      <c r="AG67" s="37"/>
    </row>
    <row r="68" spans="1:33" ht="15.75" customHeight="1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6"/>
      <c r="V68" s="1"/>
      <c r="W68" s="31"/>
      <c r="X68" s="31"/>
      <c r="Y68" s="31"/>
      <c r="Z68" s="31"/>
      <c r="AA68" s="2"/>
      <c r="AB68" s="31"/>
      <c r="AC68" s="31"/>
      <c r="AD68" s="31"/>
      <c r="AE68" s="37"/>
      <c r="AF68" s="37"/>
      <c r="AG68" s="37"/>
    </row>
    <row r="69" spans="1:33" ht="15.75" customHeight="1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6"/>
      <c r="V69" s="1"/>
      <c r="W69" s="31"/>
      <c r="X69" s="31"/>
      <c r="Y69" s="31"/>
      <c r="Z69" s="31"/>
      <c r="AA69" s="2"/>
      <c r="AB69" s="31"/>
      <c r="AC69" s="31"/>
      <c r="AD69" s="31"/>
      <c r="AE69" s="37"/>
      <c r="AF69" s="37"/>
      <c r="AG69" s="37"/>
    </row>
    <row r="70" spans="1:33" ht="15.75" customHeight="1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6"/>
      <c r="V70" s="1"/>
      <c r="W70" s="31"/>
      <c r="X70" s="31"/>
      <c r="Y70" s="31"/>
      <c r="Z70" s="31"/>
      <c r="AA70" s="2"/>
      <c r="AB70" s="31"/>
      <c r="AC70" s="31"/>
      <c r="AD70" s="31"/>
      <c r="AE70" s="37"/>
      <c r="AF70" s="37"/>
      <c r="AG70" s="37"/>
    </row>
    <row r="71" spans="1:33" ht="15.75" customHeight="1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6"/>
      <c r="V71" s="1"/>
      <c r="W71" s="31"/>
      <c r="X71" s="31"/>
      <c r="Y71" s="31"/>
      <c r="Z71" s="31"/>
      <c r="AA71" s="2"/>
      <c r="AB71" s="31"/>
      <c r="AC71" s="31"/>
      <c r="AD71" s="31"/>
      <c r="AE71" s="37"/>
      <c r="AF71" s="37"/>
      <c r="AG71" s="37"/>
    </row>
    <row r="72" spans="1:33" ht="15.75" customHeight="1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6"/>
      <c r="V72" s="1"/>
      <c r="W72" s="31"/>
      <c r="X72" s="31"/>
      <c r="Y72" s="31"/>
      <c r="Z72" s="31"/>
      <c r="AA72" s="2"/>
      <c r="AB72" s="31"/>
      <c r="AC72" s="31"/>
      <c r="AD72" s="31"/>
      <c r="AE72" s="37"/>
      <c r="AF72" s="37"/>
      <c r="AG72" s="37"/>
    </row>
    <row r="73" spans="1:33" ht="15.75" customHeight="1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6"/>
      <c r="V73" s="1"/>
      <c r="W73" s="31"/>
      <c r="X73" s="31"/>
      <c r="Y73" s="31"/>
      <c r="Z73" s="31"/>
      <c r="AA73" s="2"/>
      <c r="AB73" s="31"/>
      <c r="AC73" s="31"/>
      <c r="AD73" s="31"/>
      <c r="AE73" s="37"/>
      <c r="AF73" s="37"/>
      <c r="AG73" s="37"/>
    </row>
    <row r="74" spans="1:33" ht="15.75" customHeight="1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6"/>
      <c r="V74" s="1"/>
      <c r="W74" s="31"/>
      <c r="X74" s="31"/>
      <c r="Y74" s="31"/>
      <c r="Z74" s="31"/>
      <c r="AA74" s="2"/>
      <c r="AB74" s="31"/>
      <c r="AC74" s="31"/>
      <c r="AD74" s="31"/>
      <c r="AE74" s="37"/>
      <c r="AF74" s="37"/>
      <c r="AG74" s="37"/>
    </row>
    <row r="75" spans="1:33" ht="15.75" customHeight="1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6"/>
      <c r="V75" s="1"/>
      <c r="W75" s="31"/>
      <c r="X75" s="31"/>
      <c r="Y75" s="31"/>
      <c r="Z75" s="31"/>
      <c r="AA75" s="2"/>
      <c r="AB75" s="31"/>
      <c r="AC75" s="31"/>
      <c r="AD75" s="31"/>
      <c r="AE75" s="37"/>
      <c r="AF75" s="37"/>
      <c r="AG75" s="37"/>
    </row>
    <row r="76" spans="1:33" ht="15.75" customHeight="1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6"/>
      <c r="V76" s="1"/>
      <c r="W76" s="31"/>
      <c r="X76" s="31"/>
      <c r="Y76" s="31"/>
      <c r="Z76" s="31"/>
      <c r="AA76" s="2"/>
      <c r="AB76" s="31"/>
      <c r="AC76" s="31"/>
      <c r="AD76" s="31"/>
      <c r="AE76" s="37"/>
      <c r="AF76" s="37"/>
      <c r="AG76" s="37"/>
    </row>
    <row r="77" spans="1:33" ht="15.75" customHeight="1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6"/>
      <c r="V77" s="1"/>
      <c r="W77" s="31"/>
      <c r="X77" s="31"/>
      <c r="Y77" s="31"/>
      <c r="Z77" s="31"/>
      <c r="AA77" s="2"/>
      <c r="AB77" s="31"/>
      <c r="AC77" s="31"/>
      <c r="AD77" s="31"/>
      <c r="AE77" s="37"/>
      <c r="AF77" s="37"/>
      <c r="AG77" s="37"/>
    </row>
    <row r="78" spans="1:33" ht="15.75" customHeight="1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6"/>
      <c r="V78" s="1"/>
      <c r="W78" s="31"/>
      <c r="X78" s="31"/>
      <c r="Y78" s="31"/>
      <c r="Z78" s="31"/>
      <c r="AA78" s="2"/>
      <c r="AB78" s="31"/>
      <c r="AC78" s="31"/>
      <c r="AD78" s="31"/>
      <c r="AE78" s="37"/>
      <c r="AF78" s="37"/>
      <c r="AG78" s="37"/>
    </row>
    <row r="79" spans="1:33" ht="15.75" customHeight="1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6"/>
      <c r="V79" s="1"/>
      <c r="W79" s="31"/>
      <c r="X79" s="31"/>
      <c r="Y79" s="31"/>
      <c r="Z79" s="31"/>
      <c r="AA79" s="2"/>
      <c r="AB79" s="31"/>
      <c r="AC79" s="31"/>
      <c r="AD79" s="31"/>
      <c r="AE79" s="37"/>
      <c r="AF79" s="37"/>
      <c r="AG79" s="37"/>
    </row>
    <row r="80" spans="1:33" ht="15.75" customHeight="1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6"/>
      <c r="V80" s="1"/>
      <c r="W80" s="31"/>
      <c r="X80" s="31"/>
      <c r="Y80" s="31"/>
      <c r="Z80" s="31"/>
      <c r="AA80" s="2"/>
      <c r="AB80" s="31"/>
      <c r="AC80" s="31"/>
      <c r="AD80" s="31"/>
      <c r="AE80" s="37"/>
      <c r="AF80" s="37"/>
      <c r="AG80" s="37"/>
    </row>
    <row r="81" spans="1:33" ht="15.75" customHeight="1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6"/>
      <c r="V81" s="1"/>
      <c r="W81" s="31"/>
      <c r="X81" s="31"/>
      <c r="Y81" s="31"/>
      <c r="Z81" s="31"/>
      <c r="AA81" s="2"/>
      <c r="AB81" s="31"/>
      <c r="AC81" s="31"/>
      <c r="AD81" s="31"/>
      <c r="AE81" s="37"/>
      <c r="AF81" s="37"/>
      <c r="AG81" s="37"/>
    </row>
    <row r="82" spans="1:33" ht="15.75" customHeight="1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6"/>
      <c r="V82" s="1"/>
      <c r="W82" s="31"/>
      <c r="X82" s="31"/>
      <c r="Y82" s="31"/>
      <c r="Z82" s="31"/>
      <c r="AA82" s="2"/>
      <c r="AB82" s="31"/>
      <c r="AC82" s="31"/>
      <c r="AD82" s="31"/>
      <c r="AE82" s="37"/>
      <c r="AF82" s="37"/>
      <c r="AG82" s="37"/>
    </row>
    <row r="83" spans="1:33" ht="15.75" customHeight="1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6"/>
      <c r="V83" s="1"/>
      <c r="W83" s="31"/>
      <c r="X83" s="31"/>
      <c r="Y83" s="31"/>
      <c r="Z83" s="31"/>
      <c r="AA83" s="2"/>
      <c r="AB83" s="31"/>
      <c r="AC83" s="31"/>
      <c r="AD83" s="31"/>
      <c r="AE83" s="37"/>
      <c r="AF83" s="37"/>
      <c r="AG83" s="37"/>
    </row>
    <row r="84" spans="1:33" ht="15.75" customHeight="1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6"/>
      <c r="V84" s="1"/>
      <c r="W84" s="31"/>
      <c r="X84" s="31"/>
      <c r="Y84" s="31"/>
      <c r="Z84" s="31"/>
      <c r="AA84" s="2"/>
      <c r="AB84" s="31"/>
      <c r="AC84" s="31"/>
      <c r="AD84" s="31"/>
      <c r="AE84" s="37"/>
      <c r="AF84" s="37"/>
      <c r="AG84" s="37"/>
    </row>
    <row r="85" spans="1:33" ht="15.75" customHeight="1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6"/>
      <c r="V85" s="1"/>
      <c r="W85" s="31"/>
      <c r="X85" s="31"/>
      <c r="Y85" s="31"/>
      <c r="Z85" s="31"/>
      <c r="AA85" s="2"/>
      <c r="AB85" s="31"/>
      <c r="AC85" s="31"/>
      <c r="AD85" s="31"/>
      <c r="AE85" s="37"/>
      <c r="AF85" s="37"/>
      <c r="AG85" s="37"/>
    </row>
    <row r="86" spans="1:33" ht="15.75" customHeight="1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6"/>
      <c r="V86" s="1"/>
      <c r="W86" s="31"/>
      <c r="X86" s="31"/>
      <c r="Y86" s="31"/>
      <c r="Z86" s="31"/>
      <c r="AA86" s="2"/>
      <c r="AB86" s="31"/>
      <c r="AC86" s="31"/>
      <c r="AD86" s="31"/>
      <c r="AE86" s="37"/>
      <c r="AF86" s="37"/>
      <c r="AG86" s="37"/>
    </row>
    <row r="87" spans="1:33" ht="15.75" customHeight="1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6"/>
      <c r="V87" s="1"/>
      <c r="W87" s="31"/>
      <c r="X87" s="31"/>
      <c r="Y87" s="31"/>
      <c r="Z87" s="31"/>
      <c r="AA87" s="2"/>
      <c r="AB87" s="31"/>
      <c r="AC87" s="31"/>
      <c r="AD87" s="31"/>
      <c r="AE87" s="37"/>
      <c r="AF87" s="37"/>
      <c r="AG87" s="37"/>
    </row>
    <row r="88" spans="1:33" ht="15.75" customHeight="1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6"/>
      <c r="V88" s="1"/>
      <c r="W88" s="31"/>
      <c r="X88" s="31"/>
      <c r="Y88" s="31"/>
      <c r="Z88" s="31"/>
      <c r="AA88" s="2"/>
      <c r="AB88" s="31"/>
      <c r="AC88" s="31"/>
      <c r="AD88" s="31"/>
      <c r="AE88" s="37"/>
      <c r="AF88" s="37"/>
      <c r="AG88" s="37"/>
    </row>
    <row r="89" spans="1:33" ht="15.75" customHeight="1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6"/>
      <c r="V89" s="1"/>
      <c r="W89" s="31"/>
      <c r="X89" s="31"/>
      <c r="Y89" s="31"/>
      <c r="Z89" s="31"/>
      <c r="AA89" s="2"/>
      <c r="AB89" s="31"/>
      <c r="AC89" s="31"/>
      <c r="AD89" s="31"/>
      <c r="AE89" s="37"/>
      <c r="AF89" s="37"/>
      <c r="AG89" s="37"/>
    </row>
    <row r="90" spans="1:33" ht="15.75" customHeight="1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6"/>
      <c r="V90" s="1"/>
      <c r="W90" s="31"/>
      <c r="X90" s="31"/>
      <c r="Y90" s="31"/>
      <c r="Z90" s="31"/>
      <c r="AA90" s="2"/>
      <c r="AB90" s="31"/>
      <c r="AC90" s="31"/>
      <c r="AD90" s="31"/>
      <c r="AE90" s="37"/>
      <c r="AF90" s="37"/>
      <c r="AG90" s="37"/>
    </row>
    <row r="91" spans="1:33" ht="15.75" customHeight="1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6"/>
      <c r="V91" s="1"/>
      <c r="W91" s="31"/>
      <c r="X91" s="31"/>
      <c r="Y91" s="31"/>
      <c r="Z91" s="31"/>
      <c r="AA91" s="2"/>
      <c r="AB91" s="31"/>
      <c r="AC91" s="31"/>
      <c r="AD91" s="31"/>
      <c r="AE91" s="37"/>
      <c r="AF91" s="37"/>
      <c r="AG91" s="37"/>
    </row>
    <row r="92" spans="1:33" ht="15.75" customHeight="1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6"/>
      <c r="V92" s="1"/>
      <c r="W92" s="31"/>
      <c r="X92" s="31"/>
      <c r="Y92" s="31"/>
      <c r="Z92" s="31"/>
      <c r="AA92" s="2"/>
      <c r="AB92" s="31"/>
      <c r="AC92" s="31"/>
      <c r="AD92" s="31"/>
      <c r="AE92" s="37"/>
      <c r="AF92" s="37"/>
      <c r="AG92" s="37"/>
    </row>
    <row r="93" spans="1:33" ht="15.75" customHeight="1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6"/>
      <c r="V93" s="1"/>
      <c r="W93" s="31"/>
      <c r="X93" s="31"/>
      <c r="Y93" s="31"/>
      <c r="Z93" s="31"/>
      <c r="AA93" s="2"/>
      <c r="AB93" s="31"/>
      <c r="AC93" s="31"/>
      <c r="AD93" s="31"/>
      <c r="AE93" s="37"/>
      <c r="AF93" s="37"/>
      <c r="AG93" s="37"/>
    </row>
    <row r="94" spans="1:33" ht="15.75" customHeight="1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6"/>
      <c r="V94" s="1"/>
      <c r="W94" s="31"/>
      <c r="X94" s="31"/>
      <c r="Y94" s="31"/>
      <c r="Z94" s="31"/>
      <c r="AA94" s="2"/>
      <c r="AB94" s="31"/>
      <c r="AC94" s="31"/>
      <c r="AD94" s="31"/>
      <c r="AE94" s="37"/>
      <c r="AF94" s="37"/>
      <c r="AG94" s="37"/>
    </row>
    <row r="95" spans="1:33" ht="15.75" customHeight="1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6"/>
      <c r="V95" s="1"/>
      <c r="W95" s="31"/>
      <c r="X95" s="31"/>
      <c r="Y95" s="31"/>
      <c r="Z95" s="31"/>
      <c r="AA95" s="2"/>
      <c r="AB95" s="31"/>
      <c r="AC95" s="31"/>
      <c r="AD95" s="31"/>
      <c r="AE95" s="37"/>
      <c r="AF95" s="37"/>
      <c r="AG95" s="37"/>
    </row>
    <row r="96" spans="1:33" ht="15.75" customHeight="1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6"/>
      <c r="V96" s="1"/>
      <c r="W96" s="31"/>
      <c r="X96" s="31"/>
      <c r="Y96" s="31"/>
      <c r="Z96" s="31"/>
      <c r="AA96" s="2"/>
      <c r="AB96" s="31"/>
      <c r="AC96" s="31"/>
      <c r="AD96" s="31"/>
      <c r="AE96" s="37"/>
      <c r="AF96" s="37"/>
      <c r="AG96" s="37"/>
    </row>
    <row r="97" spans="1:33" ht="15.75" customHeight="1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8"/>
      <c r="R97" s="38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8"/>
      <c r="R98" s="38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8"/>
      <c r="R99" s="38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8"/>
      <c r="R100" s="38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8"/>
      <c r="R101" s="38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8"/>
      <c r="R102" s="38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8"/>
      <c r="R103" s="38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8"/>
      <c r="R104" s="38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8"/>
      <c r="R105" s="38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8"/>
      <c r="R106" s="38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8"/>
      <c r="R107" s="38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8"/>
      <c r="R108" s="38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8"/>
      <c r="R109" s="38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8"/>
      <c r="R110" s="38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8"/>
      <c r="R111" s="38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8"/>
      <c r="R112" s="38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8"/>
      <c r="R113" s="38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8"/>
      <c r="R114" s="38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>
      <c r="A115" s="31"/>
      <c r="B115" s="31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>
      <c r="A116" s="31"/>
      <c r="B116" s="31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>
      <c r="A117" s="31"/>
      <c r="B117" s="31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>
      <c r="A118" s="31"/>
      <c r="B118" s="31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>
      <c r="A119" s="31"/>
      <c r="B119" s="31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>
      <c r="A120" s="31"/>
      <c r="B120" s="31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>
      <c r="A121" s="31"/>
      <c r="B121" s="31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>
      <c r="A122" s="31"/>
      <c r="B122" s="31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>
      <c r="A123" s="31"/>
      <c r="B123" s="31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>
      <c r="A124" s="31"/>
      <c r="B124" s="31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>
      <c r="A125" s="31"/>
      <c r="B125" s="31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>
      <c r="A126" s="31"/>
      <c r="B126" s="31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>
      <c r="A127" s="31"/>
      <c r="B127" s="31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>
      <c r="A128" s="31"/>
      <c r="B128" s="31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>
      <c r="A129" s="31"/>
      <c r="B129" s="31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>
      <c r="A130" s="31"/>
      <c r="B130" s="31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>
      <c r="A131" s="31"/>
      <c r="B131" s="31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>
      <c r="A132" s="31"/>
      <c r="B132" s="31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>
      <c r="A133" s="31"/>
      <c r="B133" s="31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>
      <c r="A134" s="31"/>
      <c r="B134" s="31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>
      <c r="A135" s="31"/>
      <c r="B135" s="31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>
      <c r="A136" s="31"/>
      <c r="B136" s="31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>
      <c r="A137" s="31"/>
      <c r="B137" s="31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>
      <c r="A138" s="31"/>
      <c r="B138" s="31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>
      <c r="A139" s="31"/>
      <c r="B139" s="31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>
      <c r="A140" s="31"/>
      <c r="B140" s="31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>
      <c r="A141" s="31"/>
      <c r="B141" s="31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2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>
      <c r="A142" s="31"/>
      <c r="B142" s="31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2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>
      <c r="A143" s="31"/>
      <c r="B143" s="31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2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>
      <c r="A144" s="31"/>
      <c r="B144" s="31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2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>
      <c r="A145" s="31"/>
      <c r="B145" s="31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2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>
      <c r="A146" s="31"/>
      <c r="B146" s="31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2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>
      <c r="A147" s="31"/>
      <c r="B147" s="31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2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>
      <c r="A148" s="31"/>
      <c r="B148" s="31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2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</row>
    <row r="149" spans="1:33" ht="15.75" customHeight="1">
      <c r="A149" s="14"/>
      <c r="B149" s="14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>
      <c r="A150" s="14"/>
      <c r="B150" s="14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>
      <c r="A151" s="14"/>
      <c r="B151" s="14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>
      <c r="A152" s="14"/>
      <c r="B152" s="14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>
      <c r="A153" s="14"/>
      <c r="B153" s="14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>
      <c r="A154" s="14"/>
      <c r="B154" s="14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>
      <c r="A155" s="14"/>
      <c r="B155" s="14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>
      <c r="A156" s="14"/>
      <c r="B156" s="14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>
      <c r="A157" s="14"/>
      <c r="B157" s="14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>
      <c r="A158" s="14"/>
      <c r="B158" s="14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>
      <c r="A159" s="14"/>
      <c r="B159" s="14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>
      <c r="A160" s="14"/>
      <c r="B160" s="14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>
      <c r="A161" s="14"/>
      <c r="B161" s="14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>
      <c r="A162" s="14"/>
      <c r="B162" s="14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>
      <c r="A163" s="14"/>
      <c r="B163" s="14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>
      <c r="A164" s="14"/>
      <c r="B164" s="14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>
      <c r="A165" s="14"/>
      <c r="B165" s="14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>
      <c r="A166" s="14"/>
      <c r="B166" s="14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>
      <c r="A167" s="14"/>
      <c r="B167" s="14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>
      <c r="A168" s="14"/>
      <c r="B168" s="14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>
      <c r="A169" s="14"/>
      <c r="B169" s="14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>
      <c r="A170" s="14"/>
      <c r="B170" s="14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>
      <c r="A171" s="14"/>
      <c r="B171" s="14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>
      <c r="A172" s="14"/>
      <c r="B172" s="14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>
      <c r="A173" s="14"/>
      <c r="B173" s="14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>
      <c r="A174" s="14"/>
      <c r="B174" s="14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>
      <c r="A175" s="14"/>
      <c r="B175" s="14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>
      <c r="A176" s="14"/>
      <c r="B176" s="14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>
      <c r="A177" s="14"/>
      <c r="B177" s="14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>
      <c r="A178" s="14"/>
      <c r="B178" s="14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>
      <c r="A179" s="14"/>
      <c r="B179" s="14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>
      <c r="A180" s="14"/>
      <c r="B180" s="14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>
      <c r="A181" s="14"/>
      <c r="B181" s="14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>
      <c r="A182" s="14"/>
      <c r="B182" s="14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>
      <c r="A183" s="14"/>
      <c r="B183" s="14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>
      <c r="A184" s="14"/>
      <c r="B184" s="14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>
      <c r="A185" s="14"/>
      <c r="B185" s="14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>
      <c r="A186" s="14"/>
      <c r="B186" s="14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>
      <c r="A187" s="14"/>
      <c r="B187" s="14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>
      <c r="A188" s="14"/>
      <c r="B188" s="14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>
      <c r="A189" s="14"/>
      <c r="B189" s="14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>
      <c r="A190" s="14"/>
      <c r="B190" s="14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>
      <c r="A191" s="14"/>
      <c r="B191" s="14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>
      <c r="A192" s="14"/>
      <c r="B192" s="14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>
      <c r="A193" s="14"/>
      <c r="B193" s="14"/>
      <c r="C193" s="39"/>
      <c r="D193" s="39"/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>
      <c r="A194" s="14"/>
      <c r="B194" s="14"/>
      <c r="C194" s="39"/>
      <c r="D194" s="39"/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>
      <c r="A195" s="14"/>
      <c r="B195" s="14"/>
      <c r="C195" s="39"/>
      <c r="D195" s="39"/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>
      <c r="A196" s="14"/>
      <c r="B196" s="14"/>
      <c r="C196" s="39"/>
      <c r="D196" s="39"/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>
      <c r="A197" s="14"/>
      <c r="B197" s="14"/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>
      <c r="A198" s="14"/>
      <c r="B198" s="14"/>
      <c r="C198" s="39"/>
      <c r="D198" s="39"/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>
      <c r="A199" s="14"/>
      <c r="B199" s="14"/>
      <c r="C199" s="39"/>
      <c r="D199" s="39"/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>
      <c r="A200" s="14"/>
      <c r="B200" s="14"/>
      <c r="C200" s="39"/>
      <c r="D200" s="39"/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>
      <c r="A201" s="14"/>
      <c r="B201" s="14"/>
      <c r="C201" s="39"/>
      <c r="D201" s="39"/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>
      <c r="A202" s="14"/>
      <c r="B202" s="14"/>
      <c r="C202" s="39"/>
      <c r="D202" s="39"/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>
      <c r="A203" s="14"/>
      <c r="B203" s="14"/>
      <c r="C203" s="39"/>
      <c r="D203" s="39"/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>
      <c r="A204" s="14"/>
      <c r="B204" s="14"/>
      <c r="C204" s="39"/>
      <c r="D204" s="39"/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>
      <c r="A205" s="14"/>
      <c r="B205" s="14"/>
      <c r="C205" s="39"/>
      <c r="D205" s="39"/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>
      <c r="A206" s="14"/>
      <c r="B206" s="14"/>
      <c r="C206" s="39"/>
      <c r="D206" s="39"/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>
      <c r="A207" s="14"/>
      <c r="B207" s="14"/>
      <c r="C207" s="39"/>
      <c r="D207" s="39"/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>
      <c r="A208" s="14"/>
      <c r="B208" s="14"/>
      <c r="C208" s="39"/>
      <c r="D208" s="39"/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>
      <c r="A209" s="14"/>
      <c r="B209" s="14"/>
      <c r="C209" s="39"/>
      <c r="D209" s="39"/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>
      <c r="A210" s="14"/>
      <c r="B210" s="14"/>
      <c r="C210" s="39"/>
      <c r="D210" s="39"/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>
      <c r="A211" s="14"/>
      <c r="B211" s="14"/>
      <c r="C211" s="39"/>
      <c r="D211" s="39"/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>
      <c r="A212" s="14"/>
      <c r="B212" s="14"/>
      <c r="C212" s="39"/>
      <c r="D212" s="39"/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>
      <c r="A213" s="14"/>
      <c r="B213" s="14"/>
      <c r="C213" s="39"/>
      <c r="D213" s="39"/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>
      <c r="A214" s="14"/>
      <c r="B214" s="14"/>
      <c r="C214" s="39"/>
      <c r="D214" s="39"/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>
      <c r="A215" s="14"/>
      <c r="B215" s="14"/>
      <c r="C215" s="39"/>
      <c r="D215" s="39"/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>
      <c r="A216" s="14"/>
      <c r="B216" s="14"/>
      <c r="C216" s="39"/>
      <c r="D216" s="39"/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>
      <c r="A217" s="14"/>
      <c r="B217" s="14"/>
      <c r="C217" s="39"/>
      <c r="D217" s="39"/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>
      <c r="A218" s="14"/>
      <c r="B218" s="14"/>
      <c r="C218" s="39"/>
      <c r="D218" s="39"/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>
      <c r="A219" s="14"/>
      <c r="B219" s="14"/>
      <c r="C219" s="39"/>
      <c r="D219" s="39"/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>
      <c r="A220" s="14"/>
      <c r="B220" s="14"/>
      <c r="C220" s="39"/>
      <c r="D220" s="39"/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>
      <c r="R221" s="30"/>
      <c r="S221" s="40"/>
    </row>
    <row r="222" spans="1:33" ht="15.75" customHeight="1">
      <c r="R222" s="30"/>
      <c r="S222" s="40"/>
    </row>
    <row r="223" spans="1:33" ht="15.75" customHeight="1">
      <c r="R223" s="30"/>
      <c r="S223" s="40"/>
    </row>
    <row r="224" spans="1:33" ht="15.75" customHeight="1">
      <c r="R224" s="30"/>
      <c r="S224" s="40"/>
    </row>
    <row r="225" spans="18:18" ht="15.75" customHeight="1">
      <c r="R225" s="30"/>
    </row>
    <row r="226" spans="18:18" ht="15.75" customHeight="1">
      <c r="R226" s="30"/>
    </row>
    <row r="227" spans="18:18" ht="15.75" customHeight="1">
      <c r="R227" s="30"/>
    </row>
    <row r="228" spans="18:18" ht="15.75" customHeight="1">
      <c r="R228" s="30"/>
    </row>
    <row r="229" spans="18:18" ht="15.75" customHeight="1">
      <c r="R229" s="30"/>
    </row>
    <row r="230" spans="18:18" ht="15.75" customHeight="1">
      <c r="R230" s="30"/>
    </row>
    <row r="231" spans="18:18" ht="15.75" customHeight="1">
      <c r="R231" s="30"/>
    </row>
    <row r="232" spans="18:18" ht="15.75" customHeight="1">
      <c r="R232" s="30"/>
    </row>
    <row r="233" spans="18:18" ht="15.75" customHeight="1">
      <c r="R233" s="30"/>
    </row>
    <row r="234" spans="18:18" ht="15.75" customHeight="1">
      <c r="R234" s="30"/>
    </row>
    <row r="235" spans="18:18" ht="15.75" customHeight="1">
      <c r="R235" s="30"/>
    </row>
    <row r="236" spans="18:18" ht="15.75" customHeight="1">
      <c r="R236" s="30"/>
    </row>
    <row r="237" spans="18:18" ht="15.75" customHeight="1">
      <c r="R237" s="30"/>
    </row>
    <row r="238" spans="18:18" ht="15.75" customHeight="1">
      <c r="R238" s="30"/>
    </row>
    <row r="239" spans="18:18" ht="15.75" customHeight="1">
      <c r="R239" s="30"/>
    </row>
    <row r="240" spans="18:18" ht="15.75" customHeight="1">
      <c r="R240" s="30"/>
    </row>
    <row r="241" spans="18:18" ht="15.75" customHeight="1">
      <c r="R241" s="30"/>
    </row>
    <row r="242" spans="18:18" ht="15.75" customHeight="1">
      <c r="R242" s="30"/>
    </row>
    <row r="243" spans="18:18" ht="15.75" customHeight="1">
      <c r="R243" s="30"/>
    </row>
    <row r="244" spans="18:18" ht="15.75" customHeight="1">
      <c r="R244" s="30"/>
    </row>
    <row r="245" spans="18:18" ht="15.75" customHeight="1">
      <c r="R245" s="30"/>
    </row>
    <row r="246" spans="18:18" ht="15.75" customHeight="1">
      <c r="R246" s="30"/>
    </row>
    <row r="247" spans="18:18" ht="15.75" customHeight="1">
      <c r="R247" s="30"/>
    </row>
    <row r="248" spans="18:18" ht="15.75" customHeight="1">
      <c r="R248" s="30"/>
    </row>
    <row r="249" spans="18:18" ht="15.75" customHeight="1">
      <c r="R249" s="30"/>
    </row>
    <row r="250" spans="18:18" ht="15.75" customHeight="1">
      <c r="R250" s="30"/>
    </row>
    <row r="251" spans="18:18" ht="15.75" customHeight="1">
      <c r="R251" s="30"/>
    </row>
    <row r="252" spans="18:18" ht="15.75" customHeight="1">
      <c r="R252" s="30"/>
    </row>
    <row r="253" spans="18:18" ht="15.75" customHeight="1">
      <c r="R253" s="30"/>
    </row>
    <row r="254" spans="18:18" ht="15.75" customHeight="1">
      <c r="R254" s="30"/>
    </row>
    <row r="255" spans="18:18" ht="15.75" customHeight="1">
      <c r="R255" s="30"/>
    </row>
    <row r="256" spans="18:18" ht="15.75" customHeight="1">
      <c r="R256" s="30"/>
    </row>
    <row r="257" spans="18:18" ht="15.75" customHeight="1">
      <c r="R257" s="30"/>
    </row>
    <row r="258" spans="18:18" ht="15.75" customHeight="1">
      <c r="R258" s="30"/>
    </row>
    <row r="259" spans="18:18" ht="15.75" customHeight="1">
      <c r="R259" s="30"/>
    </row>
    <row r="260" spans="18:18" ht="15.75" customHeight="1">
      <c r="R260" s="30"/>
    </row>
    <row r="261" spans="18:18" ht="15.75" customHeight="1">
      <c r="R261" s="30"/>
    </row>
    <row r="262" spans="18:18" ht="15.75" customHeight="1">
      <c r="R262" s="30"/>
    </row>
    <row r="263" spans="18:18" ht="15.75" customHeight="1">
      <c r="R263" s="30"/>
    </row>
    <row r="264" spans="18:18" ht="15.75" customHeight="1">
      <c r="R264" s="30"/>
    </row>
    <row r="265" spans="18:18" ht="15.75" customHeight="1">
      <c r="R265" s="30"/>
    </row>
    <row r="266" spans="18:18" ht="15.75" customHeight="1">
      <c r="R266" s="30"/>
    </row>
    <row r="267" spans="18:18" ht="15.75" customHeight="1">
      <c r="R267" s="30"/>
    </row>
    <row r="268" spans="18:18" ht="15.75" customHeight="1">
      <c r="R268" s="30"/>
    </row>
    <row r="269" spans="18:18" ht="15.75" customHeight="1">
      <c r="R269" s="30"/>
    </row>
    <row r="270" spans="18:18" ht="15.75" customHeight="1">
      <c r="R270" s="30"/>
    </row>
    <row r="271" spans="18:18" ht="15.75" customHeight="1">
      <c r="R271" s="30"/>
    </row>
    <row r="272" spans="18:18" ht="15.75" customHeight="1">
      <c r="R272" s="30"/>
    </row>
    <row r="273" spans="18:18" ht="15.75" customHeight="1">
      <c r="R273" s="30"/>
    </row>
    <row r="274" spans="18:18" ht="15.75" customHeight="1">
      <c r="R274" s="30"/>
    </row>
    <row r="275" spans="18:18" ht="15.75" customHeight="1">
      <c r="R275" s="30"/>
    </row>
    <row r="276" spans="18:18" ht="15.75" customHeight="1">
      <c r="R276" s="30"/>
    </row>
    <row r="277" spans="18:18" ht="15.75" customHeight="1">
      <c r="R277" s="30"/>
    </row>
    <row r="278" spans="18:18" ht="15.75" customHeight="1">
      <c r="R278" s="30"/>
    </row>
    <row r="279" spans="18:18" ht="15.75" customHeight="1">
      <c r="R279" s="30"/>
    </row>
    <row r="280" spans="18:18" ht="15.75" customHeight="1">
      <c r="R280" s="30"/>
    </row>
    <row r="281" spans="18:18" ht="15.75" customHeight="1">
      <c r="R281" s="30"/>
    </row>
    <row r="282" spans="18:18" ht="15.75" customHeight="1">
      <c r="R282" s="30"/>
    </row>
    <row r="283" spans="18:18" ht="15.75" customHeight="1">
      <c r="R283" s="30"/>
    </row>
    <row r="284" spans="18:18" ht="15.75" customHeight="1">
      <c r="R284" s="30"/>
    </row>
    <row r="285" spans="18:18" ht="15.75" customHeight="1">
      <c r="R285" s="30"/>
    </row>
    <row r="286" spans="18:18" ht="15.75" customHeight="1">
      <c r="R286" s="30"/>
    </row>
    <row r="287" spans="18:18" ht="15.75" customHeight="1">
      <c r="R287" s="30"/>
    </row>
    <row r="288" spans="18:18" ht="15.75" customHeight="1">
      <c r="R288" s="30"/>
    </row>
    <row r="289" spans="18:18" ht="15.75" customHeight="1">
      <c r="R289" s="30"/>
    </row>
    <row r="290" spans="18:18" ht="15.75" customHeight="1">
      <c r="R290" s="30"/>
    </row>
    <row r="291" spans="18:18" ht="15.75" customHeight="1">
      <c r="R291" s="30"/>
    </row>
    <row r="292" spans="18:18" ht="15.75" customHeight="1">
      <c r="R292" s="30"/>
    </row>
    <row r="293" spans="18:18" ht="15.75" customHeight="1">
      <c r="R293" s="30"/>
    </row>
    <row r="294" spans="18:18" ht="15.75" customHeight="1">
      <c r="R294" s="30"/>
    </row>
    <row r="295" spans="18:18" ht="15.75" customHeight="1">
      <c r="R295" s="30"/>
    </row>
    <row r="296" spans="18:18" ht="15.75" customHeight="1">
      <c r="R296" s="30"/>
    </row>
    <row r="297" spans="18:18" ht="15.75" customHeight="1">
      <c r="R297" s="30"/>
    </row>
    <row r="298" spans="18:18" ht="15.75" customHeight="1">
      <c r="R298" s="30"/>
    </row>
    <row r="299" spans="18:18" ht="15.75" customHeight="1">
      <c r="R299" s="30"/>
    </row>
    <row r="300" spans="18:18" ht="15.75" customHeight="1">
      <c r="R300" s="30"/>
    </row>
    <row r="301" spans="18:18" ht="15.75" customHeight="1">
      <c r="R301" s="30"/>
    </row>
    <row r="302" spans="18:18" ht="15.75" customHeight="1">
      <c r="R302" s="30"/>
    </row>
    <row r="303" spans="18:18" ht="15.75" customHeight="1">
      <c r="R303" s="30"/>
    </row>
    <row r="304" spans="18:18" ht="15.75" customHeight="1">
      <c r="R304" s="30"/>
    </row>
    <row r="305" spans="18:18" ht="15.75" customHeight="1">
      <c r="R305" s="30"/>
    </row>
    <row r="306" spans="18:18" ht="15.75" customHeight="1">
      <c r="R306" s="30"/>
    </row>
    <row r="307" spans="18:18" ht="15.75" customHeight="1">
      <c r="R307" s="30"/>
    </row>
    <row r="308" spans="18:18" ht="15.75" customHeight="1">
      <c r="R308" s="30"/>
    </row>
    <row r="309" spans="18:18" ht="15.75" customHeight="1">
      <c r="R309" s="30"/>
    </row>
    <row r="310" spans="18:18" ht="15.75" customHeight="1">
      <c r="R310" s="30"/>
    </row>
    <row r="311" spans="18:18" ht="15.75" customHeight="1">
      <c r="R311" s="30"/>
    </row>
    <row r="312" spans="18:18" ht="15.75" customHeight="1">
      <c r="R312" s="30"/>
    </row>
    <row r="313" spans="18:18" ht="15.75" customHeight="1">
      <c r="R313" s="30"/>
    </row>
    <row r="314" spans="18:18" ht="15.75" customHeight="1">
      <c r="R314" s="30"/>
    </row>
    <row r="315" spans="18:18" ht="15.75" customHeight="1">
      <c r="R315" s="30"/>
    </row>
    <row r="316" spans="18:18" ht="15.75" customHeight="1">
      <c r="R316" s="30"/>
    </row>
    <row r="317" spans="18:18" ht="15.75" customHeight="1">
      <c r="R317" s="30"/>
    </row>
    <row r="318" spans="18:18" ht="15.75" customHeight="1">
      <c r="R318" s="30"/>
    </row>
    <row r="319" spans="18:18" ht="15.75" customHeight="1">
      <c r="R319" s="30"/>
    </row>
    <row r="320" spans="18:18" ht="15.75" customHeight="1">
      <c r="R320" s="30"/>
    </row>
    <row r="321" spans="18:18" ht="15.75" customHeight="1">
      <c r="R321" s="30"/>
    </row>
    <row r="322" spans="18:18" ht="15.75" customHeight="1">
      <c r="R322" s="30"/>
    </row>
    <row r="323" spans="18:18" ht="15.75" customHeight="1">
      <c r="R323" s="30"/>
    </row>
    <row r="324" spans="18:18" ht="15.75" customHeight="1">
      <c r="R324" s="30"/>
    </row>
    <row r="325" spans="18:18" ht="15.75" customHeight="1">
      <c r="R325" s="30"/>
    </row>
    <row r="326" spans="18:18" ht="15.75" customHeight="1">
      <c r="R326" s="30"/>
    </row>
    <row r="327" spans="18:18" ht="15.75" customHeight="1">
      <c r="R327" s="30"/>
    </row>
    <row r="328" spans="18:18" ht="15.75" customHeight="1">
      <c r="R328" s="30"/>
    </row>
    <row r="329" spans="18:18" ht="15.75" customHeight="1">
      <c r="R329" s="30"/>
    </row>
    <row r="330" spans="18:18" ht="15.75" customHeight="1">
      <c r="R330" s="30"/>
    </row>
    <row r="331" spans="18:18" ht="15.75" customHeight="1">
      <c r="R331" s="30"/>
    </row>
    <row r="332" spans="18:18" ht="15.75" customHeight="1">
      <c r="R332" s="30"/>
    </row>
    <row r="333" spans="18:18" ht="15.75" customHeight="1">
      <c r="R333" s="30"/>
    </row>
    <row r="334" spans="18:18" ht="15.75" customHeight="1">
      <c r="R334" s="30"/>
    </row>
    <row r="335" spans="18:18" ht="15.75" customHeight="1">
      <c r="R335" s="30"/>
    </row>
    <row r="336" spans="18:18" ht="15.75" customHeight="1">
      <c r="R336" s="30"/>
    </row>
    <row r="337" spans="18:18" ht="15.75" customHeight="1">
      <c r="R337" s="30"/>
    </row>
    <row r="338" spans="18:18" ht="15.75" customHeight="1">
      <c r="R338" s="30"/>
    </row>
    <row r="339" spans="18:18" ht="15.75" customHeight="1">
      <c r="R339" s="30"/>
    </row>
    <row r="340" spans="18:18" ht="15.75" customHeight="1">
      <c r="R340" s="30"/>
    </row>
    <row r="341" spans="18:18" ht="15.75" customHeight="1">
      <c r="R341" s="30"/>
    </row>
    <row r="342" spans="18:18" ht="15.75" customHeight="1">
      <c r="R342" s="30"/>
    </row>
    <row r="343" spans="18:18" ht="15.75" customHeight="1">
      <c r="R343" s="30"/>
    </row>
    <row r="344" spans="18:18" ht="15.75" customHeight="1">
      <c r="R344" s="30"/>
    </row>
    <row r="345" spans="18:18" ht="15.75" customHeight="1">
      <c r="R345" s="30"/>
    </row>
    <row r="346" spans="18:18" ht="15.75" customHeight="1">
      <c r="R346" s="30"/>
    </row>
    <row r="347" spans="18:18" ht="15.75" customHeight="1">
      <c r="R347" s="30"/>
    </row>
    <row r="348" spans="18:18" ht="15.75" customHeight="1">
      <c r="R348" s="30"/>
    </row>
    <row r="349" spans="18:18" ht="15.75" customHeight="1">
      <c r="R349" s="30"/>
    </row>
    <row r="350" spans="18:18" ht="15.75" customHeight="1">
      <c r="R350" s="30"/>
    </row>
    <row r="351" spans="18:18" ht="15.75" customHeight="1">
      <c r="R351" s="30"/>
    </row>
    <row r="352" spans="18:18" ht="15.75" customHeight="1">
      <c r="R352" s="30"/>
    </row>
    <row r="353" spans="18:18" ht="15.75" customHeight="1">
      <c r="R353" s="30"/>
    </row>
    <row r="354" spans="18:18" ht="15.75" customHeight="1">
      <c r="R354" s="30"/>
    </row>
    <row r="355" spans="18:18" ht="15.75" customHeight="1">
      <c r="R355" s="30"/>
    </row>
    <row r="356" spans="18:18" ht="15.75" customHeight="1">
      <c r="R356" s="30"/>
    </row>
    <row r="357" spans="18:18" ht="15.75" customHeight="1">
      <c r="R357" s="30"/>
    </row>
    <row r="358" spans="18:18" ht="15.75" customHeight="1">
      <c r="R358" s="30"/>
    </row>
    <row r="359" spans="18:18" ht="15.75" customHeight="1">
      <c r="R359" s="30"/>
    </row>
    <row r="360" spans="18:18" ht="15.75" customHeight="1">
      <c r="R360" s="30"/>
    </row>
    <row r="361" spans="18:18" ht="15.75" customHeight="1">
      <c r="R361" s="30"/>
    </row>
    <row r="362" spans="18:18" ht="15.75" customHeight="1">
      <c r="R362" s="30"/>
    </row>
    <row r="363" spans="18:18" ht="15.75" customHeight="1">
      <c r="R363" s="30"/>
    </row>
    <row r="364" spans="18:18" ht="15.75" customHeight="1">
      <c r="R364" s="30"/>
    </row>
    <row r="365" spans="18:18" ht="15.75" customHeight="1">
      <c r="R365" s="30"/>
    </row>
    <row r="366" spans="18:18" ht="15.75" customHeight="1">
      <c r="R366" s="30"/>
    </row>
    <row r="367" spans="18:18" ht="15.75" customHeight="1">
      <c r="R367" s="30"/>
    </row>
    <row r="368" spans="18:18" ht="15.75" customHeight="1">
      <c r="R368" s="30"/>
    </row>
    <row r="369" spans="18:18" ht="15.75" customHeight="1">
      <c r="R369" s="30"/>
    </row>
    <row r="370" spans="18:18" ht="15.75" customHeight="1">
      <c r="R370" s="30"/>
    </row>
    <row r="371" spans="18:18" ht="15.75" customHeight="1">
      <c r="R371" s="30"/>
    </row>
    <row r="372" spans="18:18" ht="15.75" customHeight="1">
      <c r="R372" s="30"/>
    </row>
    <row r="373" spans="18:18" ht="15.75" customHeight="1">
      <c r="R373" s="30"/>
    </row>
    <row r="374" spans="18:18" ht="15.75" customHeight="1">
      <c r="R374" s="30"/>
    </row>
    <row r="375" spans="18:18" ht="15.75" customHeight="1">
      <c r="R375" s="30"/>
    </row>
    <row r="376" spans="18:18" ht="15.75" customHeight="1">
      <c r="R376" s="30"/>
    </row>
    <row r="377" spans="18:18" ht="15.75" customHeight="1">
      <c r="R377" s="30"/>
    </row>
    <row r="378" spans="18:18" ht="15.75" customHeight="1">
      <c r="R378" s="30"/>
    </row>
    <row r="379" spans="18:18" ht="15.75" customHeight="1">
      <c r="R379" s="30"/>
    </row>
    <row r="380" spans="18:18" ht="15.75" customHeight="1">
      <c r="R380" s="30"/>
    </row>
    <row r="381" spans="18:18" ht="15.75" customHeight="1">
      <c r="R381" s="30"/>
    </row>
    <row r="382" spans="18:18" ht="15.75" customHeight="1">
      <c r="R382" s="30"/>
    </row>
    <row r="383" spans="18:18" ht="15.75" customHeight="1">
      <c r="R383" s="30"/>
    </row>
    <row r="384" spans="18:18" ht="15.75" customHeight="1">
      <c r="R384" s="30"/>
    </row>
    <row r="385" spans="18:18" ht="15.75" customHeight="1">
      <c r="R385" s="30"/>
    </row>
    <row r="386" spans="18:18" ht="15.75" customHeight="1">
      <c r="R386" s="30"/>
    </row>
    <row r="387" spans="18:18" ht="15.75" customHeight="1">
      <c r="R387" s="30"/>
    </row>
    <row r="388" spans="18:18" ht="15.75" customHeight="1">
      <c r="R388" s="30"/>
    </row>
    <row r="389" spans="18:18" ht="15.75" customHeight="1">
      <c r="R389" s="30"/>
    </row>
    <row r="390" spans="18:18" ht="15.75" customHeight="1">
      <c r="R390" s="30"/>
    </row>
    <row r="391" spans="18:18" ht="15.75" customHeight="1">
      <c r="R391" s="30"/>
    </row>
    <row r="392" spans="18:18" ht="15.75" customHeight="1">
      <c r="R392" s="30"/>
    </row>
    <row r="393" spans="18:18" ht="15.75" customHeight="1">
      <c r="R393" s="30"/>
    </row>
    <row r="394" spans="18:18" ht="15.75" customHeight="1">
      <c r="R394" s="30"/>
    </row>
    <row r="395" spans="18:18" ht="15.75" customHeight="1">
      <c r="R395" s="30"/>
    </row>
    <row r="396" spans="18:18" ht="15.75" customHeight="1">
      <c r="R396" s="30"/>
    </row>
    <row r="397" spans="18:18" ht="15.75" customHeight="1">
      <c r="R397" s="30"/>
    </row>
    <row r="398" spans="18:18" ht="15.75" customHeight="1">
      <c r="R398" s="30"/>
    </row>
    <row r="399" spans="18:18" ht="15.75" customHeight="1">
      <c r="R399" s="30"/>
    </row>
    <row r="400" spans="18:18" ht="15.75" customHeight="1">
      <c r="R400" s="30"/>
    </row>
    <row r="401" spans="18:18" ht="15.75" customHeight="1">
      <c r="R401" s="30"/>
    </row>
    <row r="402" spans="18:18" ht="15.75" customHeight="1">
      <c r="R402" s="30"/>
    </row>
    <row r="403" spans="18:18" ht="15.75" customHeight="1">
      <c r="R403" s="30"/>
    </row>
    <row r="404" spans="18:18" ht="15.75" customHeight="1">
      <c r="R404" s="30"/>
    </row>
    <row r="405" spans="18:18" ht="15.75" customHeight="1">
      <c r="R405" s="30"/>
    </row>
    <row r="406" spans="18:18" ht="15.75" customHeight="1">
      <c r="R406" s="30"/>
    </row>
    <row r="407" spans="18:18" ht="15.75" customHeight="1">
      <c r="R407" s="30"/>
    </row>
    <row r="408" spans="18:18" ht="15.75" customHeight="1">
      <c r="R408" s="30"/>
    </row>
    <row r="409" spans="18:18" ht="15.75" customHeight="1">
      <c r="R409" s="30"/>
    </row>
    <row r="410" spans="18:18" ht="15.75" customHeight="1">
      <c r="R410" s="30"/>
    </row>
    <row r="411" spans="18:18" ht="15.75" customHeight="1">
      <c r="R411" s="30"/>
    </row>
    <row r="412" spans="18:18" ht="15.75" customHeight="1">
      <c r="R412" s="30"/>
    </row>
    <row r="413" spans="18:18" ht="15.75" customHeight="1">
      <c r="R413" s="30"/>
    </row>
    <row r="414" spans="18:18" ht="15.75" customHeight="1">
      <c r="R414" s="30"/>
    </row>
    <row r="415" spans="18:18" ht="15.75" customHeight="1">
      <c r="R415" s="30"/>
    </row>
    <row r="416" spans="18:18" ht="15.75" customHeight="1">
      <c r="R416" s="30"/>
    </row>
    <row r="417" spans="18:18" ht="15.75" customHeight="1">
      <c r="R417" s="30"/>
    </row>
    <row r="418" spans="18:18" ht="15.75" customHeight="1">
      <c r="R418" s="30"/>
    </row>
    <row r="419" spans="18:18" ht="15.75" customHeight="1">
      <c r="R419" s="30"/>
    </row>
    <row r="420" spans="18:18" ht="15.75" customHeight="1">
      <c r="R420" s="30"/>
    </row>
    <row r="421" spans="18:18" ht="15.75" customHeight="1">
      <c r="R421" s="30"/>
    </row>
    <row r="422" spans="18:18" ht="15.75" customHeight="1">
      <c r="R422" s="30"/>
    </row>
    <row r="423" spans="18:18" ht="15.75" customHeight="1">
      <c r="R423" s="30"/>
    </row>
    <row r="424" spans="18:18" ht="15.75" customHeight="1">
      <c r="R424" s="30"/>
    </row>
    <row r="425" spans="18:18" ht="15.75" customHeight="1">
      <c r="R425" s="30"/>
    </row>
    <row r="426" spans="18:18" ht="15.75" customHeight="1">
      <c r="R426" s="30"/>
    </row>
    <row r="427" spans="18:18" ht="15.75" customHeight="1">
      <c r="R427" s="30"/>
    </row>
    <row r="428" spans="18:18" ht="15.75" customHeight="1">
      <c r="R428" s="30"/>
    </row>
    <row r="429" spans="18:18" ht="15.75" customHeight="1">
      <c r="R429" s="30"/>
    </row>
    <row r="430" spans="18:18" ht="15.75" customHeight="1">
      <c r="R430" s="30"/>
    </row>
    <row r="431" spans="18:18" ht="15.75" customHeight="1">
      <c r="R431" s="30"/>
    </row>
    <row r="432" spans="18:18" ht="15.75" customHeight="1">
      <c r="R432" s="30"/>
    </row>
    <row r="433" spans="18:18" ht="15.75" customHeight="1">
      <c r="R433" s="30"/>
    </row>
    <row r="434" spans="18:18" ht="15.75" customHeight="1">
      <c r="R434" s="30"/>
    </row>
    <row r="435" spans="18:18" ht="15.75" customHeight="1">
      <c r="R435" s="30"/>
    </row>
    <row r="436" spans="18:18" ht="15.75" customHeight="1">
      <c r="R436" s="30"/>
    </row>
    <row r="437" spans="18:18" ht="15.75" customHeight="1">
      <c r="R437" s="30"/>
    </row>
    <row r="438" spans="18:18" ht="15.75" customHeight="1">
      <c r="R438" s="30"/>
    </row>
    <row r="439" spans="18:18" ht="15.75" customHeight="1">
      <c r="R439" s="30"/>
    </row>
    <row r="440" spans="18:18" ht="15.75" customHeight="1">
      <c r="R440" s="30"/>
    </row>
    <row r="441" spans="18:18" ht="15.75" customHeight="1">
      <c r="R441" s="30"/>
    </row>
    <row r="442" spans="18:18" ht="15.75" customHeight="1">
      <c r="R442" s="30"/>
    </row>
    <row r="443" spans="18:18" ht="15.75" customHeight="1">
      <c r="R443" s="30"/>
    </row>
    <row r="444" spans="18:18" ht="15.75" customHeight="1">
      <c r="R444" s="30"/>
    </row>
    <row r="445" spans="18:18" ht="15.75" customHeight="1">
      <c r="R445" s="30"/>
    </row>
    <row r="446" spans="18:18" ht="15.75" customHeight="1">
      <c r="R446" s="30"/>
    </row>
    <row r="447" spans="18:18" ht="15.75" customHeight="1">
      <c r="R447" s="30"/>
    </row>
    <row r="448" spans="18:18" ht="15.75" customHeight="1">
      <c r="R448" s="30"/>
    </row>
    <row r="449" spans="18:18" ht="15.75" customHeight="1">
      <c r="R449" s="30"/>
    </row>
    <row r="450" spans="18:18" ht="15.75" customHeight="1">
      <c r="R450" s="30"/>
    </row>
    <row r="451" spans="18:18" ht="15.75" customHeight="1">
      <c r="R451" s="30"/>
    </row>
    <row r="452" spans="18:18" ht="15.75" customHeight="1">
      <c r="R452" s="30"/>
    </row>
    <row r="453" spans="18:18" ht="15.75" customHeight="1">
      <c r="R453" s="30"/>
    </row>
    <row r="454" spans="18:18" ht="15.75" customHeight="1">
      <c r="R454" s="30"/>
    </row>
    <row r="455" spans="18:18" ht="15.75" customHeight="1">
      <c r="R455" s="30"/>
    </row>
    <row r="456" spans="18:18" ht="15.75" customHeight="1">
      <c r="R456" s="30"/>
    </row>
    <row r="457" spans="18:18" ht="15.75" customHeight="1">
      <c r="R457" s="30"/>
    </row>
    <row r="458" spans="18:18" ht="15.75" customHeight="1">
      <c r="R458" s="30"/>
    </row>
    <row r="459" spans="18:18" ht="15.75" customHeight="1">
      <c r="R459" s="30"/>
    </row>
    <row r="460" spans="18:18" ht="15.75" customHeight="1">
      <c r="R460" s="30"/>
    </row>
    <row r="461" spans="18:18" ht="15.75" customHeight="1">
      <c r="R461" s="30"/>
    </row>
    <row r="462" spans="18:18" ht="15.75" customHeight="1">
      <c r="R462" s="30"/>
    </row>
    <row r="463" spans="18:18" ht="15.75" customHeight="1">
      <c r="R463" s="30"/>
    </row>
    <row r="464" spans="18:18" ht="15.75" customHeight="1">
      <c r="R464" s="30"/>
    </row>
    <row r="465" spans="18:18" ht="15.75" customHeight="1">
      <c r="R465" s="30"/>
    </row>
    <row r="466" spans="18:18" ht="15.75" customHeight="1">
      <c r="R466" s="30"/>
    </row>
    <row r="467" spans="18:18" ht="15.75" customHeight="1">
      <c r="R467" s="30"/>
    </row>
    <row r="468" spans="18:18" ht="15.75" customHeight="1">
      <c r="R468" s="30"/>
    </row>
    <row r="469" spans="18:18" ht="15.75" customHeight="1">
      <c r="R469" s="30"/>
    </row>
    <row r="470" spans="18:18" ht="15.75" customHeight="1">
      <c r="R470" s="30"/>
    </row>
    <row r="471" spans="18:18" ht="15.75" customHeight="1">
      <c r="R471" s="30"/>
    </row>
    <row r="472" spans="18:18" ht="15.75" customHeight="1">
      <c r="R472" s="30"/>
    </row>
    <row r="473" spans="18:18" ht="15.75" customHeight="1">
      <c r="R473" s="30"/>
    </row>
    <row r="474" spans="18:18" ht="15.75" customHeight="1">
      <c r="R474" s="30"/>
    </row>
    <row r="475" spans="18:18" ht="15.75" customHeight="1">
      <c r="R475" s="30"/>
    </row>
    <row r="476" spans="18:18" ht="15.75" customHeight="1">
      <c r="R476" s="30"/>
    </row>
    <row r="477" spans="18:18" ht="15.75" customHeight="1">
      <c r="R477" s="30"/>
    </row>
    <row r="478" spans="18:18" ht="15.75" customHeight="1">
      <c r="R478" s="30"/>
    </row>
    <row r="479" spans="18:18" ht="15.75" customHeight="1">
      <c r="R479" s="30"/>
    </row>
    <row r="480" spans="18:18" ht="15.75" customHeight="1">
      <c r="R480" s="30"/>
    </row>
    <row r="481" spans="18:18" ht="15.75" customHeight="1">
      <c r="R481" s="30"/>
    </row>
    <row r="482" spans="18:18" ht="15.75" customHeight="1">
      <c r="R482" s="30"/>
    </row>
    <row r="483" spans="18:18" ht="15.75" customHeight="1">
      <c r="R483" s="30"/>
    </row>
    <row r="484" spans="18:18" ht="15.75" customHeight="1">
      <c r="R484" s="30"/>
    </row>
    <row r="485" spans="18:18" ht="15.75" customHeight="1">
      <c r="R485" s="30"/>
    </row>
    <row r="486" spans="18:18" ht="15.75" customHeight="1">
      <c r="R486" s="30"/>
    </row>
    <row r="487" spans="18:18" ht="15.75" customHeight="1">
      <c r="R487" s="30"/>
    </row>
    <row r="488" spans="18:18" ht="15.75" customHeight="1">
      <c r="R488" s="30"/>
    </row>
    <row r="489" spans="18:18" ht="15.75" customHeight="1">
      <c r="R489" s="30"/>
    </row>
    <row r="490" spans="18:18" ht="15.75" customHeight="1">
      <c r="R490" s="30"/>
    </row>
    <row r="491" spans="18:18" ht="15.75" customHeight="1">
      <c r="R491" s="30"/>
    </row>
    <row r="492" spans="18:18" ht="15.75" customHeight="1">
      <c r="R492" s="30"/>
    </row>
    <row r="493" spans="18:18" ht="15.75" customHeight="1">
      <c r="R493" s="30"/>
    </row>
    <row r="494" spans="18:18" ht="15.75" customHeight="1">
      <c r="R494" s="30"/>
    </row>
    <row r="495" spans="18:18" ht="15.75" customHeight="1">
      <c r="R495" s="30"/>
    </row>
    <row r="496" spans="18:18" ht="15.75" customHeight="1">
      <c r="R496" s="30"/>
    </row>
    <row r="497" spans="18:18" ht="15.75" customHeight="1">
      <c r="R497" s="30"/>
    </row>
    <row r="498" spans="18:18" ht="15.75" customHeight="1">
      <c r="R498" s="30"/>
    </row>
    <row r="499" spans="18:18" ht="15.75" customHeight="1">
      <c r="R499" s="30"/>
    </row>
    <row r="500" spans="18:18" ht="15.75" customHeight="1">
      <c r="R500" s="30"/>
    </row>
    <row r="501" spans="18:18" ht="15.75" customHeight="1">
      <c r="R501" s="30"/>
    </row>
    <row r="502" spans="18:18" ht="15.75" customHeight="1">
      <c r="R502" s="30"/>
    </row>
    <row r="503" spans="18:18" ht="15.75" customHeight="1">
      <c r="R503" s="30"/>
    </row>
    <row r="504" spans="18:18" ht="15.75" customHeight="1">
      <c r="R504" s="30"/>
    </row>
    <row r="505" spans="18:18" ht="15.75" customHeight="1">
      <c r="R505" s="30"/>
    </row>
    <row r="506" spans="18:18" ht="15.75" customHeight="1">
      <c r="R506" s="30"/>
    </row>
    <row r="507" spans="18:18" ht="15.75" customHeight="1">
      <c r="R507" s="30"/>
    </row>
    <row r="508" spans="18:18" ht="15.75" customHeight="1">
      <c r="R508" s="30"/>
    </row>
    <row r="509" spans="18:18" ht="15.75" customHeight="1">
      <c r="R509" s="30"/>
    </row>
    <row r="510" spans="18:18" ht="15.75" customHeight="1">
      <c r="R510" s="30"/>
    </row>
    <row r="511" spans="18:18" ht="15.75" customHeight="1">
      <c r="R511" s="30"/>
    </row>
    <row r="512" spans="18:18" ht="15.75" customHeight="1">
      <c r="R512" s="30"/>
    </row>
    <row r="513" spans="18:18" ht="15.75" customHeight="1">
      <c r="R513" s="30"/>
    </row>
    <row r="514" spans="18:18" ht="15.75" customHeight="1">
      <c r="R514" s="30"/>
    </row>
    <row r="515" spans="18:18" ht="15.75" customHeight="1">
      <c r="R515" s="30"/>
    </row>
    <row r="516" spans="18:18" ht="15.75" customHeight="1">
      <c r="R516" s="30"/>
    </row>
    <row r="517" spans="18:18" ht="15.75" customHeight="1">
      <c r="R517" s="30"/>
    </row>
    <row r="518" spans="18:18" ht="15.75" customHeight="1">
      <c r="R518" s="30"/>
    </row>
    <row r="519" spans="18:18" ht="15.75" customHeight="1">
      <c r="R519" s="30"/>
    </row>
    <row r="520" spans="18:18" ht="15.75" customHeight="1">
      <c r="R520" s="30"/>
    </row>
    <row r="521" spans="18:18" ht="15.75" customHeight="1">
      <c r="R521" s="30"/>
    </row>
    <row r="522" spans="18:18" ht="15.75" customHeight="1">
      <c r="R522" s="30"/>
    </row>
    <row r="523" spans="18:18" ht="15.75" customHeight="1">
      <c r="R523" s="30"/>
    </row>
    <row r="524" spans="18:18" ht="15.75" customHeight="1">
      <c r="R524" s="30"/>
    </row>
    <row r="525" spans="18:18" ht="15.75" customHeight="1">
      <c r="R525" s="30"/>
    </row>
    <row r="526" spans="18:18" ht="15.75" customHeight="1">
      <c r="R526" s="30"/>
    </row>
    <row r="527" spans="18:18" ht="15.75" customHeight="1">
      <c r="R527" s="30"/>
    </row>
    <row r="528" spans="18:18" ht="15.75" customHeight="1">
      <c r="R528" s="30"/>
    </row>
    <row r="529" spans="18:18" ht="15.75" customHeight="1">
      <c r="R529" s="30"/>
    </row>
    <row r="530" spans="18:18" ht="15.75" customHeight="1">
      <c r="R530" s="30"/>
    </row>
    <row r="531" spans="18:18" ht="15.75" customHeight="1">
      <c r="R531" s="30"/>
    </row>
    <row r="532" spans="18:18" ht="15.75" customHeight="1">
      <c r="R532" s="30"/>
    </row>
    <row r="533" spans="18:18" ht="15.75" customHeight="1">
      <c r="R533" s="30"/>
    </row>
    <row r="534" spans="18:18" ht="15.75" customHeight="1">
      <c r="R534" s="30"/>
    </row>
    <row r="535" spans="18:18" ht="15.75" customHeight="1">
      <c r="R535" s="30"/>
    </row>
    <row r="536" spans="18:18" ht="15.75" customHeight="1">
      <c r="R536" s="30"/>
    </row>
    <row r="537" spans="18:18" ht="15.75" customHeight="1">
      <c r="R537" s="30"/>
    </row>
    <row r="538" spans="18:18" ht="15.75" customHeight="1">
      <c r="R538" s="30"/>
    </row>
    <row r="539" spans="18:18" ht="15.75" customHeight="1">
      <c r="R539" s="30"/>
    </row>
    <row r="540" spans="18:18" ht="15.75" customHeight="1">
      <c r="R540" s="30"/>
    </row>
    <row r="541" spans="18:18" ht="15.75" customHeight="1">
      <c r="R541" s="30"/>
    </row>
    <row r="542" spans="18:18" ht="15.75" customHeight="1">
      <c r="R542" s="30"/>
    </row>
    <row r="543" spans="18:18" ht="15.75" customHeight="1">
      <c r="R543" s="30"/>
    </row>
    <row r="544" spans="18:18" ht="15.75" customHeight="1">
      <c r="R544" s="30"/>
    </row>
    <row r="545" spans="18:18" ht="15.75" customHeight="1">
      <c r="R545" s="30"/>
    </row>
    <row r="546" spans="18:18" ht="15.75" customHeight="1">
      <c r="R546" s="30"/>
    </row>
    <row r="547" spans="18:18" ht="15.75" customHeight="1">
      <c r="R547" s="30"/>
    </row>
    <row r="548" spans="18:18" ht="15.75" customHeight="1">
      <c r="R548" s="30"/>
    </row>
    <row r="549" spans="18:18" ht="15.75" customHeight="1">
      <c r="R549" s="30"/>
    </row>
    <row r="550" spans="18:18" ht="15.75" customHeight="1">
      <c r="R550" s="30"/>
    </row>
    <row r="551" spans="18:18" ht="15.75" customHeight="1">
      <c r="R551" s="30"/>
    </row>
    <row r="552" spans="18:18" ht="15.75" customHeight="1">
      <c r="R552" s="30"/>
    </row>
    <row r="553" spans="18:18" ht="15.75" customHeight="1">
      <c r="R553" s="30"/>
    </row>
    <row r="554" spans="18:18" ht="15.75" customHeight="1">
      <c r="R554" s="30"/>
    </row>
    <row r="555" spans="18:18" ht="15.75" customHeight="1">
      <c r="R555" s="30"/>
    </row>
    <row r="556" spans="18:18" ht="15.75" customHeight="1">
      <c r="R556" s="30"/>
    </row>
    <row r="557" spans="18:18" ht="15.75" customHeight="1">
      <c r="R557" s="30"/>
    </row>
    <row r="558" spans="18:18" ht="15.75" customHeight="1">
      <c r="R558" s="30"/>
    </row>
    <row r="559" spans="18:18" ht="15.75" customHeight="1">
      <c r="R559" s="30"/>
    </row>
    <row r="560" spans="18:18" ht="15.75" customHeight="1">
      <c r="R560" s="30"/>
    </row>
    <row r="561" spans="18:18" ht="15.75" customHeight="1">
      <c r="R561" s="30"/>
    </row>
    <row r="562" spans="18:18" ht="15.75" customHeight="1">
      <c r="R562" s="30"/>
    </row>
    <row r="563" spans="18:18" ht="15.75" customHeight="1">
      <c r="R563" s="30"/>
    </row>
    <row r="564" spans="18:18" ht="15.75" customHeight="1">
      <c r="R564" s="30"/>
    </row>
    <row r="565" spans="18:18" ht="15.75" customHeight="1">
      <c r="R565" s="30"/>
    </row>
    <row r="566" spans="18:18" ht="15.75" customHeight="1">
      <c r="R566" s="30"/>
    </row>
    <row r="567" spans="18:18" ht="15.75" customHeight="1">
      <c r="R567" s="30"/>
    </row>
    <row r="568" spans="18:18" ht="15.75" customHeight="1">
      <c r="R568" s="30"/>
    </row>
    <row r="569" spans="18:18" ht="15.75" customHeight="1">
      <c r="R569" s="30"/>
    </row>
    <row r="570" spans="18:18" ht="15.75" customHeight="1">
      <c r="R570" s="30"/>
    </row>
    <row r="571" spans="18:18" ht="15.75" customHeight="1">
      <c r="R571" s="30"/>
    </row>
    <row r="572" spans="18:18" ht="15.75" customHeight="1">
      <c r="R572" s="30"/>
    </row>
    <row r="573" spans="18:18" ht="15.75" customHeight="1">
      <c r="R573" s="30"/>
    </row>
    <row r="574" spans="18:18" ht="15.75" customHeight="1">
      <c r="R574" s="30"/>
    </row>
    <row r="575" spans="18:18" ht="15.75" customHeight="1">
      <c r="R575" s="30"/>
    </row>
    <row r="576" spans="18:18" ht="15.75" customHeight="1">
      <c r="R576" s="30"/>
    </row>
    <row r="577" spans="18:18" ht="15.75" customHeight="1">
      <c r="R577" s="30"/>
    </row>
    <row r="578" spans="18:18" ht="15.75" customHeight="1">
      <c r="R578" s="30"/>
    </row>
    <row r="579" spans="18:18" ht="15.75" customHeight="1">
      <c r="R579" s="30"/>
    </row>
    <row r="580" spans="18:18" ht="15.75" customHeight="1">
      <c r="R580" s="30"/>
    </row>
    <row r="581" spans="18:18" ht="15.75" customHeight="1">
      <c r="R581" s="30"/>
    </row>
    <row r="582" spans="18:18" ht="15.75" customHeight="1">
      <c r="R582" s="30"/>
    </row>
    <row r="583" spans="18:18" ht="15.75" customHeight="1">
      <c r="R583" s="30"/>
    </row>
    <row r="584" spans="18:18" ht="15.75" customHeight="1">
      <c r="R584" s="30"/>
    </row>
    <row r="585" spans="18:18" ht="15.75" customHeight="1">
      <c r="R585" s="30"/>
    </row>
    <row r="586" spans="18:18" ht="15.75" customHeight="1">
      <c r="R586" s="30"/>
    </row>
    <row r="587" spans="18:18" ht="15.75" customHeight="1">
      <c r="R587" s="30"/>
    </row>
    <row r="588" spans="18:18" ht="15.75" customHeight="1">
      <c r="R588" s="30"/>
    </row>
    <row r="589" spans="18:18" ht="15.75" customHeight="1">
      <c r="R589" s="30"/>
    </row>
    <row r="590" spans="18:18" ht="15.75" customHeight="1">
      <c r="R590" s="30"/>
    </row>
    <row r="591" spans="18:18" ht="15.75" customHeight="1">
      <c r="R591" s="30"/>
    </row>
    <row r="592" spans="18:18" ht="15.75" customHeight="1">
      <c r="R592" s="30"/>
    </row>
    <row r="593" spans="18:18" ht="15.75" customHeight="1">
      <c r="R593" s="30"/>
    </row>
    <row r="594" spans="18:18" ht="15.75" customHeight="1">
      <c r="R594" s="30"/>
    </row>
    <row r="595" spans="18:18" ht="15.75" customHeight="1">
      <c r="R595" s="30"/>
    </row>
    <row r="596" spans="18:18" ht="15.75" customHeight="1">
      <c r="R596" s="30"/>
    </row>
    <row r="597" spans="18:18" ht="15.75" customHeight="1">
      <c r="R597" s="30"/>
    </row>
    <row r="598" spans="18:18" ht="15.75" customHeight="1">
      <c r="R598" s="30"/>
    </row>
    <row r="599" spans="18:18" ht="15.75" customHeight="1">
      <c r="R599" s="30"/>
    </row>
    <row r="600" spans="18:18" ht="15.75" customHeight="1">
      <c r="R600" s="30"/>
    </row>
    <row r="601" spans="18:18" ht="15.75" customHeight="1">
      <c r="R601" s="30"/>
    </row>
    <row r="602" spans="18:18" ht="15.75" customHeight="1">
      <c r="R602" s="30"/>
    </row>
    <row r="603" spans="18:18" ht="15.75" customHeight="1">
      <c r="R603" s="30"/>
    </row>
    <row r="604" spans="18:18" ht="15.75" customHeight="1">
      <c r="R604" s="30"/>
    </row>
    <row r="605" spans="18:18" ht="15.75" customHeight="1">
      <c r="R605" s="30"/>
    </row>
    <row r="606" spans="18:18" ht="15.75" customHeight="1">
      <c r="R606" s="30"/>
    </row>
    <row r="607" spans="18:18" ht="15.75" customHeight="1">
      <c r="R607" s="30"/>
    </row>
    <row r="608" spans="18:18" ht="15.75" customHeight="1">
      <c r="R608" s="30"/>
    </row>
    <row r="609" spans="18:18" ht="15.75" customHeight="1">
      <c r="R609" s="30"/>
    </row>
    <row r="610" spans="18:18" ht="15.75" customHeight="1">
      <c r="R610" s="30"/>
    </row>
    <row r="611" spans="18:18" ht="15.75" customHeight="1">
      <c r="R611" s="30"/>
    </row>
    <row r="612" spans="18:18" ht="15.75" customHeight="1">
      <c r="R612" s="30"/>
    </row>
    <row r="613" spans="18:18" ht="15.75" customHeight="1">
      <c r="R613" s="30"/>
    </row>
    <row r="614" spans="18:18" ht="15.75" customHeight="1">
      <c r="R614" s="30"/>
    </row>
    <row r="615" spans="18:18" ht="15.75" customHeight="1">
      <c r="R615" s="30"/>
    </row>
    <row r="616" spans="18:18" ht="15.75" customHeight="1">
      <c r="R616" s="30"/>
    </row>
    <row r="617" spans="18:18" ht="15.75" customHeight="1">
      <c r="R617" s="30"/>
    </row>
    <row r="618" spans="18:18" ht="15.75" customHeight="1">
      <c r="R618" s="30"/>
    </row>
    <row r="619" spans="18:18" ht="15.75" customHeight="1">
      <c r="R619" s="30"/>
    </row>
    <row r="620" spans="18:18" ht="15.75" customHeight="1">
      <c r="R620" s="30"/>
    </row>
    <row r="621" spans="18:18" ht="15.75" customHeight="1">
      <c r="R621" s="30"/>
    </row>
    <row r="622" spans="18:18" ht="15.75" customHeight="1">
      <c r="R622" s="30"/>
    </row>
    <row r="623" spans="18:18" ht="15.75" customHeight="1">
      <c r="R623" s="30"/>
    </row>
    <row r="624" spans="18:18" ht="15.75" customHeight="1">
      <c r="R624" s="30"/>
    </row>
    <row r="625" spans="18:18" ht="15.75" customHeight="1">
      <c r="R625" s="30"/>
    </row>
    <row r="626" spans="18:18" ht="15.75" customHeight="1">
      <c r="R626" s="30"/>
    </row>
    <row r="627" spans="18:18" ht="15.75" customHeight="1">
      <c r="R627" s="30"/>
    </row>
    <row r="628" spans="18:18" ht="15.75" customHeight="1">
      <c r="R628" s="30"/>
    </row>
    <row r="629" spans="18:18" ht="15.75" customHeight="1">
      <c r="R629" s="30"/>
    </row>
    <row r="630" spans="18:18" ht="15.75" customHeight="1">
      <c r="R630" s="30"/>
    </row>
    <row r="631" spans="18:18" ht="15.75" customHeight="1">
      <c r="R631" s="30"/>
    </row>
    <row r="632" spans="18:18" ht="15.75" customHeight="1">
      <c r="R632" s="30"/>
    </row>
    <row r="633" spans="18:18" ht="15.75" customHeight="1">
      <c r="R633" s="30"/>
    </row>
    <row r="634" spans="18:18" ht="15.75" customHeight="1">
      <c r="R634" s="30"/>
    </row>
    <row r="635" spans="18:18" ht="15.75" customHeight="1">
      <c r="R635" s="30"/>
    </row>
    <row r="636" spans="18:18" ht="15.75" customHeight="1">
      <c r="R636" s="30"/>
    </row>
    <row r="637" spans="18:18" ht="15.75" customHeight="1">
      <c r="R637" s="30"/>
    </row>
    <row r="638" spans="18:18" ht="15.75" customHeight="1">
      <c r="R638" s="30"/>
    </row>
    <row r="639" spans="18:18" ht="15.75" customHeight="1">
      <c r="R639" s="30"/>
    </row>
    <row r="640" spans="18:18" ht="15.75" customHeight="1">
      <c r="R640" s="30"/>
    </row>
    <row r="641" spans="18:18" ht="15.75" customHeight="1">
      <c r="R641" s="30"/>
    </row>
    <row r="642" spans="18:18" ht="15.75" customHeight="1">
      <c r="R642" s="30"/>
    </row>
    <row r="643" spans="18:18" ht="15.75" customHeight="1">
      <c r="R643" s="30"/>
    </row>
    <row r="644" spans="18:18" ht="15.75" customHeight="1">
      <c r="R644" s="30"/>
    </row>
    <row r="645" spans="18:18" ht="15.75" customHeight="1">
      <c r="R645" s="30"/>
    </row>
    <row r="646" spans="18:18" ht="15.75" customHeight="1">
      <c r="R646" s="30"/>
    </row>
    <row r="647" spans="18:18" ht="15.75" customHeight="1">
      <c r="R647" s="30"/>
    </row>
    <row r="648" spans="18:18" ht="15.75" customHeight="1">
      <c r="R648" s="30"/>
    </row>
    <row r="649" spans="18:18" ht="15.75" customHeight="1">
      <c r="R649" s="30"/>
    </row>
    <row r="650" spans="18:18" ht="15.75" customHeight="1">
      <c r="R650" s="30"/>
    </row>
    <row r="651" spans="18:18" ht="15.75" customHeight="1">
      <c r="R651" s="30"/>
    </row>
    <row r="652" spans="18:18" ht="15.75" customHeight="1">
      <c r="R652" s="30"/>
    </row>
    <row r="653" spans="18:18" ht="15.75" customHeight="1">
      <c r="R653" s="30"/>
    </row>
    <row r="654" spans="18:18" ht="15.75" customHeight="1">
      <c r="R654" s="30"/>
    </row>
    <row r="655" spans="18:18" ht="15.75" customHeight="1">
      <c r="R655" s="30"/>
    </row>
    <row r="656" spans="18:18" ht="15.75" customHeight="1">
      <c r="R656" s="30"/>
    </row>
    <row r="657" spans="18:18" ht="15.75" customHeight="1">
      <c r="R657" s="30"/>
    </row>
    <row r="658" spans="18:18" ht="15.75" customHeight="1">
      <c r="R658" s="30"/>
    </row>
    <row r="659" spans="18:18" ht="15.75" customHeight="1">
      <c r="R659" s="30"/>
    </row>
    <row r="660" spans="18:18" ht="15.75" customHeight="1">
      <c r="R660" s="30"/>
    </row>
    <row r="661" spans="18:18" ht="15.75" customHeight="1">
      <c r="R661" s="30"/>
    </row>
    <row r="662" spans="18:18" ht="15.75" customHeight="1">
      <c r="R662" s="30"/>
    </row>
    <row r="663" spans="18:18" ht="15.75" customHeight="1">
      <c r="R663" s="30"/>
    </row>
    <row r="664" spans="18:18" ht="15.75" customHeight="1">
      <c r="R664" s="30"/>
    </row>
    <row r="665" spans="18:18" ht="15.75" customHeight="1">
      <c r="R665" s="30"/>
    </row>
    <row r="666" spans="18:18" ht="15.75" customHeight="1">
      <c r="R666" s="30"/>
    </row>
    <row r="667" spans="18:18" ht="15.75" customHeight="1">
      <c r="R667" s="30"/>
    </row>
    <row r="668" spans="18:18" ht="15.75" customHeight="1">
      <c r="R668" s="30"/>
    </row>
    <row r="669" spans="18:18" ht="15.75" customHeight="1">
      <c r="R669" s="30"/>
    </row>
    <row r="670" spans="18:18" ht="15.75" customHeight="1">
      <c r="R670" s="30"/>
    </row>
    <row r="671" spans="18:18" ht="15.75" customHeight="1">
      <c r="R671" s="30"/>
    </row>
    <row r="672" spans="18:18" ht="15.75" customHeight="1">
      <c r="R672" s="30"/>
    </row>
    <row r="673" spans="18:18" ht="15.75" customHeight="1">
      <c r="R673" s="30"/>
    </row>
    <row r="674" spans="18:18" ht="15.75" customHeight="1">
      <c r="R674" s="30"/>
    </row>
    <row r="675" spans="18:18" ht="15.75" customHeight="1">
      <c r="R675" s="30"/>
    </row>
    <row r="676" spans="18:18" ht="15.75" customHeight="1">
      <c r="R676" s="30"/>
    </row>
    <row r="677" spans="18:18" ht="15.75" customHeight="1">
      <c r="R677" s="30"/>
    </row>
    <row r="678" spans="18:18" ht="15.75" customHeight="1">
      <c r="R678" s="30"/>
    </row>
    <row r="679" spans="18:18" ht="15.75" customHeight="1">
      <c r="R679" s="30"/>
    </row>
    <row r="680" spans="18:18" ht="15.75" customHeight="1">
      <c r="R680" s="30"/>
    </row>
    <row r="681" spans="18:18" ht="15.75" customHeight="1">
      <c r="R681" s="30"/>
    </row>
    <row r="682" spans="18:18" ht="15.75" customHeight="1">
      <c r="R682" s="30"/>
    </row>
    <row r="683" spans="18:18" ht="15.75" customHeight="1">
      <c r="R683" s="30"/>
    </row>
    <row r="684" spans="18:18" ht="15.75" customHeight="1">
      <c r="R684" s="30"/>
    </row>
    <row r="685" spans="18:18" ht="15.75" customHeight="1">
      <c r="R685" s="30"/>
    </row>
    <row r="686" spans="18:18" ht="15.75" customHeight="1">
      <c r="R686" s="30"/>
    </row>
    <row r="687" spans="18:18" ht="15.75" customHeight="1">
      <c r="R687" s="30"/>
    </row>
    <row r="688" spans="18:18" ht="15.75" customHeight="1">
      <c r="R688" s="30"/>
    </row>
    <row r="689" spans="18:18" ht="15.75" customHeight="1">
      <c r="R689" s="30"/>
    </row>
    <row r="690" spans="18:18" ht="15.75" customHeight="1">
      <c r="R690" s="30"/>
    </row>
    <row r="691" spans="18:18" ht="15.75" customHeight="1">
      <c r="R691" s="30"/>
    </row>
    <row r="692" spans="18:18" ht="15.75" customHeight="1">
      <c r="R692" s="30"/>
    </row>
    <row r="693" spans="18:18" ht="15.75" customHeight="1">
      <c r="R693" s="30"/>
    </row>
    <row r="694" spans="18:18" ht="15.75" customHeight="1">
      <c r="R694" s="30"/>
    </row>
    <row r="695" spans="18:18" ht="15.75" customHeight="1">
      <c r="R695" s="30"/>
    </row>
    <row r="696" spans="18:18" ht="15.75" customHeight="1">
      <c r="R696" s="30"/>
    </row>
    <row r="697" spans="18:18" ht="15.75" customHeight="1">
      <c r="R697" s="30"/>
    </row>
    <row r="698" spans="18:18" ht="15.75" customHeight="1">
      <c r="R698" s="30"/>
    </row>
    <row r="699" spans="18:18" ht="15.75" customHeight="1">
      <c r="R699" s="30"/>
    </row>
    <row r="700" spans="18:18" ht="15.75" customHeight="1">
      <c r="R700" s="30"/>
    </row>
    <row r="701" spans="18:18" ht="15.75" customHeight="1">
      <c r="R701" s="30"/>
    </row>
    <row r="702" spans="18:18" ht="15.75" customHeight="1">
      <c r="R702" s="30"/>
    </row>
    <row r="703" spans="18:18" ht="15.75" customHeight="1">
      <c r="R703" s="30"/>
    </row>
    <row r="704" spans="18:18" ht="15.75" customHeight="1">
      <c r="R704" s="30"/>
    </row>
    <row r="705" spans="18:18" ht="15.75" customHeight="1">
      <c r="R705" s="30"/>
    </row>
    <row r="706" spans="18:18" ht="15.75" customHeight="1">
      <c r="R706" s="30"/>
    </row>
    <row r="707" spans="18:18" ht="15.75" customHeight="1">
      <c r="R707" s="30"/>
    </row>
    <row r="708" spans="18:18" ht="15.75" customHeight="1">
      <c r="R708" s="30"/>
    </row>
    <row r="709" spans="18:18" ht="15.75" customHeight="1">
      <c r="R709" s="30"/>
    </row>
    <row r="710" spans="18:18" ht="15.75" customHeight="1">
      <c r="R710" s="30"/>
    </row>
    <row r="711" spans="18:18" ht="15.75" customHeight="1">
      <c r="R711" s="30"/>
    </row>
    <row r="712" spans="18:18" ht="15.75" customHeight="1">
      <c r="R712" s="30"/>
    </row>
    <row r="713" spans="18:18" ht="15.75" customHeight="1">
      <c r="R713" s="30"/>
    </row>
    <row r="714" spans="18:18" ht="15.75" customHeight="1">
      <c r="R714" s="30"/>
    </row>
    <row r="715" spans="18:18" ht="15.75" customHeight="1">
      <c r="R715" s="30"/>
    </row>
    <row r="716" spans="18:18" ht="15.75" customHeight="1">
      <c r="R716" s="30"/>
    </row>
    <row r="717" spans="18:18" ht="15.75" customHeight="1">
      <c r="R717" s="30"/>
    </row>
    <row r="718" spans="18:18" ht="15.75" customHeight="1">
      <c r="R718" s="30"/>
    </row>
    <row r="719" spans="18:18" ht="15.75" customHeight="1">
      <c r="R719" s="30"/>
    </row>
    <row r="720" spans="18:18" ht="15.75" customHeight="1">
      <c r="R720" s="30"/>
    </row>
    <row r="721" spans="18:18" ht="15.75" customHeight="1">
      <c r="R721" s="30"/>
    </row>
    <row r="722" spans="18:18" ht="15.75" customHeight="1">
      <c r="R722" s="30"/>
    </row>
    <row r="723" spans="18:18" ht="15.75" customHeight="1">
      <c r="R723" s="30"/>
    </row>
    <row r="724" spans="18:18" ht="15.75" customHeight="1">
      <c r="R724" s="30"/>
    </row>
    <row r="725" spans="18:18" ht="15.75" customHeight="1">
      <c r="R725" s="30"/>
    </row>
    <row r="726" spans="18:18" ht="15.75" customHeight="1">
      <c r="R726" s="30"/>
    </row>
    <row r="727" spans="18:18" ht="15.75" customHeight="1">
      <c r="R727" s="30"/>
    </row>
    <row r="728" spans="18:18" ht="15.75" customHeight="1">
      <c r="R728" s="30"/>
    </row>
    <row r="729" spans="18:18" ht="15.75" customHeight="1">
      <c r="R729" s="30"/>
    </row>
    <row r="730" spans="18:18" ht="15.75" customHeight="1">
      <c r="R730" s="30"/>
    </row>
    <row r="731" spans="18:18" ht="15.75" customHeight="1">
      <c r="R731" s="30"/>
    </row>
    <row r="732" spans="18:18" ht="15.75" customHeight="1">
      <c r="R732" s="30"/>
    </row>
    <row r="733" spans="18:18" ht="15.75" customHeight="1">
      <c r="R733" s="30"/>
    </row>
    <row r="734" spans="18:18" ht="15.75" customHeight="1">
      <c r="R734" s="30"/>
    </row>
    <row r="735" spans="18:18" ht="15.75" customHeight="1">
      <c r="R735" s="30"/>
    </row>
    <row r="736" spans="18:18" ht="15.75" customHeight="1">
      <c r="R736" s="30"/>
    </row>
    <row r="737" spans="18:18" ht="15.75" customHeight="1">
      <c r="R737" s="30"/>
    </row>
    <row r="738" spans="18:18" ht="15.75" customHeight="1">
      <c r="R738" s="30"/>
    </row>
    <row r="739" spans="18:18" ht="15.75" customHeight="1">
      <c r="R739" s="30"/>
    </row>
    <row r="740" spans="18:18" ht="15.75" customHeight="1">
      <c r="R740" s="30"/>
    </row>
    <row r="741" spans="18:18" ht="15.75" customHeight="1">
      <c r="R741" s="30"/>
    </row>
    <row r="742" spans="18:18" ht="15.75" customHeight="1">
      <c r="R742" s="30"/>
    </row>
    <row r="743" spans="18:18" ht="15.75" customHeight="1">
      <c r="R743" s="30"/>
    </row>
    <row r="744" spans="18:18" ht="15.75" customHeight="1">
      <c r="R744" s="30"/>
    </row>
    <row r="745" spans="18:18" ht="15.75" customHeight="1">
      <c r="R745" s="30"/>
    </row>
    <row r="746" spans="18:18" ht="15.75" customHeight="1">
      <c r="R746" s="30"/>
    </row>
    <row r="747" spans="18:18" ht="15.75" customHeight="1">
      <c r="R747" s="30"/>
    </row>
    <row r="748" spans="18:18" ht="15.75" customHeight="1">
      <c r="R748" s="30"/>
    </row>
    <row r="749" spans="18:18" ht="15.75" customHeight="1">
      <c r="R749" s="30"/>
    </row>
    <row r="750" spans="18:18" ht="15.75" customHeight="1">
      <c r="R750" s="30"/>
    </row>
    <row r="751" spans="18:18" ht="15.75" customHeight="1">
      <c r="R751" s="30"/>
    </row>
    <row r="752" spans="18:18" ht="15.75" customHeight="1">
      <c r="R752" s="30"/>
    </row>
    <row r="753" spans="18:18" ht="15.75" customHeight="1">
      <c r="R753" s="30"/>
    </row>
    <row r="754" spans="18:18" ht="15.75" customHeight="1">
      <c r="R754" s="30"/>
    </row>
    <row r="755" spans="18:18" ht="15.75" customHeight="1">
      <c r="R755" s="30"/>
    </row>
    <row r="756" spans="18:18" ht="15.75" customHeight="1">
      <c r="R756" s="30"/>
    </row>
    <row r="757" spans="18:18" ht="15.75" customHeight="1">
      <c r="R757" s="30"/>
    </row>
    <row r="758" spans="18:18" ht="15.75" customHeight="1">
      <c r="R758" s="30"/>
    </row>
    <row r="759" spans="18:18" ht="15.75" customHeight="1">
      <c r="R759" s="30"/>
    </row>
    <row r="760" spans="18:18" ht="15.75" customHeight="1">
      <c r="R760" s="30"/>
    </row>
    <row r="761" spans="18:18" ht="15.75" customHeight="1">
      <c r="R761" s="30"/>
    </row>
    <row r="762" spans="18:18" ht="15.75" customHeight="1">
      <c r="R762" s="30"/>
    </row>
    <row r="763" spans="18:18" ht="15.75" customHeight="1">
      <c r="R763" s="30"/>
    </row>
    <row r="764" spans="18:18" ht="15.75" customHeight="1">
      <c r="R764" s="30"/>
    </row>
    <row r="765" spans="18:18" ht="15.75" customHeight="1">
      <c r="R765" s="30"/>
    </row>
    <row r="766" spans="18:18" ht="15.75" customHeight="1">
      <c r="R766" s="30"/>
    </row>
    <row r="767" spans="18:18" ht="15.75" customHeight="1">
      <c r="R767" s="30"/>
    </row>
    <row r="768" spans="18:18" ht="15.75" customHeight="1">
      <c r="R768" s="30"/>
    </row>
    <row r="769" spans="18:18" ht="15.75" customHeight="1">
      <c r="R769" s="30"/>
    </row>
    <row r="770" spans="18:18" ht="15.75" customHeight="1">
      <c r="R770" s="30"/>
    </row>
    <row r="771" spans="18:18" ht="15.75" customHeight="1">
      <c r="R771" s="30"/>
    </row>
    <row r="772" spans="18:18" ht="15.75" customHeight="1">
      <c r="R772" s="30"/>
    </row>
    <row r="773" spans="18:18" ht="15.75" customHeight="1">
      <c r="R773" s="30"/>
    </row>
    <row r="774" spans="18:18" ht="15.75" customHeight="1">
      <c r="R774" s="30"/>
    </row>
    <row r="775" spans="18:18" ht="15.75" customHeight="1">
      <c r="R775" s="30"/>
    </row>
    <row r="776" spans="18:18" ht="15.75" customHeight="1">
      <c r="R776" s="30"/>
    </row>
    <row r="777" spans="18:18" ht="15.75" customHeight="1">
      <c r="R777" s="30"/>
    </row>
    <row r="778" spans="18:18" ht="15.75" customHeight="1">
      <c r="R778" s="30"/>
    </row>
    <row r="779" spans="18:18" ht="15.75" customHeight="1">
      <c r="R779" s="30"/>
    </row>
    <row r="780" spans="18:18" ht="15.75" customHeight="1">
      <c r="R780" s="30"/>
    </row>
    <row r="781" spans="18:18" ht="15.75" customHeight="1">
      <c r="R781" s="30"/>
    </row>
    <row r="782" spans="18:18" ht="15.75" customHeight="1">
      <c r="R782" s="30"/>
    </row>
    <row r="783" spans="18:18" ht="15.75" customHeight="1">
      <c r="R783" s="30"/>
    </row>
    <row r="784" spans="18:18" ht="15.75" customHeight="1">
      <c r="R784" s="30"/>
    </row>
    <row r="785" spans="18:18" ht="15.75" customHeight="1">
      <c r="R785" s="30"/>
    </row>
    <row r="786" spans="18:18" ht="15.75" customHeight="1">
      <c r="R786" s="30"/>
    </row>
    <row r="787" spans="18:18" ht="15.75" customHeight="1">
      <c r="R787" s="30"/>
    </row>
    <row r="788" spans="18:18" ht="15.75" customHeight="1">
      <c r="R788" s="30"/>
    </row>
    <row r="789" spans="18:18" ht="15.75" customHeight="1">
      <c r="R789" s="30"/>
    </row>
    <row r="790" spans="18:18" ht="15.75" customHeight="1">
      <c r="R790" s="30"/>
    </row>
    <row r="791" spans="18:18" ht="15.75" customHeight="1">
      <c r="R791" s="30"/>
    </row>
    <row r="792" spans="18:18" ht="15.75" customHeight="1">
      <c r="R792" s="30"/>
    </row>
    <row r="793" spans="18:18" ht="15.75" customHeight="1">
      <c r="R793" s="30"/>
    </row>
    <row r="794" spans="18:18" ht="15.75" customHeight="1">
      <c r="R794" s="30"/>
    </row>
    <row r="795" spans="18:18" ht="15.75" customHeight="1">
      <c r="R795" s="30"/>
    </row>
    <row r="796" spans="18:18" ht="15.75" customHeight="1">
      <c r="R796" s="30"/>
    </row>
    <row r="797" spans="18:18" ht="15.75" customHeight="1">
      <c r="R797" s="30"/>
    </row>
    <row r="798" spans="18:18" ht="15.75" customHeight="1">
      <c r="R798" s="30"/>
    </row>
    <row r="799" spans="18:18" ht="15.75" customHeight="1">
      <c r="R799" s="30"/>
    </row>
    <row r="800" spans="18:18" ht="15.75" customHeight="1">
      <c r="R800" s="30"/>
    </row>
    <row r="801" spans="18:18" ht="15.75" customHeight="1">
      <c r="R801" s="30"/>
    </row>
    <row r="802" spans="18:18" ht="15.75" customHeight="1">
      <c r="R802" s="30"/>
    </row>
    <row r="803" spans="18:18" ht="15.75" customHeight="1">
      <c r="R803" s="30"/>
    </row>
    <row r="804" spans="18:18" ht="15.75" customHeight="1">
      <c r="R804" s="30"/>
    </row>
    <row r="805" spans="18:18" ht="15.75" customHeight="1">
      <c r="R805" s="30"/>
    </row>
    <row r="806" spans="18:18" ht="15.75" customHeight="1">
      <c r="R806" s="30"/>
    </row>
    <row r="807" spans="18:18" ht="15.75" customHeight="1">
      <c r="R807" s="30"/>
    </row>
    <row r="808" spans="18:18" ht="15.75" customHeight="1">
      <c r="R808" s="30"/>
    </row>
    <row r="809" spans="18:18" ht="15.75" customHeight="1">
      <c r="R809" s="30"/>
    </row>
    <row r="810" spans="18:18" ht="15.75" customHeight="1">
      <c r="R810" s="30"/>
    </row>
    <row r="811" spans="18:18" ht="15.75" customHeight="1">
      <c r="R811" s="30"/>
    </row>
    <row r="812" spans="18:18" ht="15.75" customHeight="1">
      <c r="R812" s="30"/>
    </row>
    <row r="813" spans="18:18" ht="15.75" customHeight="1">
      <c r="R813" s="30"/>
    </row>
    <row r="814" spans="18:18" ht="15.75" customHeight="1">
      <c r="R814" s="30"/>
    </row>
    <row r="815" spans="18:18" ht="15.75" customHeight="1">
      <c r="R815" s="30"/>
    </row>
    <row r="816" spans="18:18" ht="15.75" customHeight="1">
      <c r="R816" s="30"/>
    </row>
    <row r="817" spans="18:18" ht="15.75" customHeight="1">
      <c r="R817" s="30"/>
    </row>
    <row r="818" spans="18:18" ht="15.75" customHeight="1">
      <c r="R818" s="30"/>
    </row>
    <row r="819" spans="18:18" ht="15.75" customHeight="1">
      <c r="R819" s="30"/>
    </row>
    <row r="820" spans="18:18" ht="15.75" customHeight="1">
      <c r="R820" s="30"/>
    </row>
    <row r="821" spans="18:18" ht="15.75" customHeight="1">
      <c r="R821" s="30"/>
    </row>
    <row r="822" spans="18:18" ht="15.75" customHeight="1">
      <c r="R822" s="30"/>
    </row>
    <row r="823" spans="18:18" ht="15.75" customHeight="1">
      <c r="R823" s="30"/>
    </row>
    <row r="824" spans="18:18" ht="15.75" customHeight="1">
      <c r="R824" s="30"/>
    </row>
    <row r="825" spans="18:18" ht="15.75" customHeight="1">
      <c r="R825" s="30"/>
    </row>
    <row r="826" spans="18:18" ht="15.75" customHeight="1">
      <c r="R826" s="30"/>
    </row>
    <row r="827" spans="18:18" ht="15.75" customHeight="1">
      <c r="R827" s="30"/>
    </row>
    <row r="828" spans="18:18" ht="15.75" customHeight="1">
      <c r="R828" s="30"/>
    </row>
    <row r="829" spans="18:18" ht="15.75" customHeight="1">
      <c r="R829" s="30"/>
    </row>
    <row r="830" spans="18:18" ht="15.75" customHeight="1">
      <c r="R830" s="30"/>
    </row>
    <row r="831" spans="18:18" ht="15.75" customHeight="1">
      <c r="R831" s="30"/>
    </row>
    <row r="832" spans="18:18" ht="15.75" customHeight="1">
      <c r="R832" s="30"/>
    </row>
    <row r="833" spans="18:18" ht="15.75" customHeight="1">
      <c r="R833" s="30"/>
    </row>
    <row r="834" spans="18:18" ht="15.75" customHeight="1">
      <c r="R834" s="30"/>
    </row>
    <row r="835" spans="18:18" ht="15.75" customHeight="1">
      <c r="R835" s="30"/>
    </row>
    <row r="836" spans="18:18" ht="15.75" customHeight="1">
      <c r="R836" s="30"/>
    </row>
    <row r="837" spans="18:18" ht="15.75" customHeight="1">
      <c r="R837" s="30"/>
    </row>
    <row r="838" spans="18:18" ht="15.75" customHeight="1">
      <c r="R838" s="30"/>
    </row>
    <row r="839" spans="18:18" ht="15.75" customHeight="1">
      <c r="R839" s="30"/>
    </row>
    <row r="840" spans="18:18" ht="15.75" customHeight="1">
      <c r="R840" s="30"/>
    </row>
    <row r="841" spans="18:18" ht="15.75" customHeight="1">
      <c r="R841" s="30"/>
    </row>
    <row r="842" spans="18:18" ht="15.75" customHeight="1">
      <c r="R842" s="30"/>
    </row>
    <row r="843" spans="18:18" ht="15.75" customHeight="1">
      <c r="R843" s="30"/>
    </row>
    <row r="844" spans="18:18" ht="15.75" customHeight="1">
      <c r="R844" s="30"/>
    </row>
    <row r="845" spans="18:18" ht="15.75" customHeight="1">
      <c r="R845" s="30"/>
    </row>
    <row r="846" spans="18:18" ht="15.75" customHeight="1">
      <c r="R846" s="30"/>
    </row>
    <row r="847" spans="18:18" ht="15.75" customHeight="1">
      <c r="R847" s="30"/>
    </row>
    <row r="848" spans="18:18" ht="15.75" customHeight="1">
      <c r="R848" s="30"/>
    </row>
    <row r="849" spans="18:18" ht="15.75" customHeight="1">
      <c r="R849" s="30"/>
    </row>
    <row r="850" spans="18:18" ht="15.75" customHeight="1">
      <c r="R850" s="30"/>
    </row>
    <row r="851" spans="18:18" ht="15.75" customHeight="1">
      <c r="R851" s="30"/>
    </row>
    <row r="852" spans="18:18" ht="15.75" customHeight="1">
      <c r="R852" s="30"/>
    </row>
    <row r="853" spans="18:18" ht="15.75" customHeight="1">
      <c r="R853" s="30"/>
    </row>
    <row r="854" spans="18:18" ht="15.75" customHeight="1">
      <c r="R854" s="30"/>
    </row>
    <row r="855" spans="18:18" ht="15.75" customHeight="1">
      <c r="R855" s="30"/>
    </row>
    <row r="856" spans="18:18" ht="15.75" customHeight="1">
      <c r="R856" s="30"/>
    </row>
    <row r="857" spans="18:18" ht="15.75" customHeight="1">
      <c r="R857" s="30"/>
    </row>
    <row r="858" spans="18:18" ht="15.75" customHeight="1">
      <c r="R858" s="30"/>
    </row>
    <row r="859" spans="18:18" ht="15.75" customHeight="1">
      <c r="R859" s="30"/>
    </row>
    <row r="860" spans="18:18" ht="15.75" customHeight="1">
      <c r="R860" s="30"/>
    </row>
    <row r="861" spans="18:18" ht="15.75" customHeight="1">
      <c r="R861" s="30"/>
    </row>
    <row r="862" spans="18:18" ht="15.75" customHeight="1">
      <c r="R862" s="30"/>
    </row>
    <row r="863" spans="18:18" ht="15.75" customHeight="1">
      <c r="R863" s="30"/>
    </row>
    <row r="864" spans="18:18" ht="15.75" customHeight="1">
      <c r="R864" s="30"/>
    </row>
    <row r="865" spans="18:18" ht="15.75" customHeight="1">
      <c r="R865" s="30"/>
    </row>
    <row r="866" spans="18:18" ht="15.75" customHeight="1">
      <c r="R866" s="30"/>
    </row>
    <row r="867" spans="18:18" ht="15.75" customHeight="1">
      <c r="R867" s="30"/>
    </row>
    <row r="868" spans="18:18" ht="15.75" customHeight="1">
      <c r="R868" s="30"/>
    </row>
    <row r="869" spans="18:18" ht="15.75" customHeight="1">
      <c r="R869" s="30"/>
    </row>
    <row r="870" spans="18:18" ht="15.75" customHeight="1">
      <c r="R870" s="30"/>
    </row>
    <row r="871" spans="18:18" ht="15.75" customHeight="1">
      <c r="R871" s="30"/>
    </row>
    <row r="872" spans="18:18" ht="15.75" customHeight="1">
      <c r="R872" s="30"/>
    </row>
    <row r="873" spans="18:18" ht="15.75" customHeight="1">
      <c r="R873" s="30"/>
    </row>
    <row r="874" spans="18:18" ht="15.75" customHeight="1">
      <c r="R874" s="30"/>
    </row>
    <row r="875" spans="18:18" ht="15.75" customHeight="1">
      <c r="R875" s="30"/>
    </row>
    <row r="876" spans="18:18" ht="15.75" customHeight="1">
      <c r="R876" s="30"/>
    </row>
    <row r="877" spans="18:18" ht="15.75" customHeight="1">
      <c r="R877" s="30"/>
    </row>
    <row r="878" spans="18:18" ht="15.75" customHeight="1">
      <c r="R878" s="30"/>
    </row>
    <row r="879" spans="18:18" ht="15.75" customHeight="1">
      <c r="R879" s="30"/>
    </row>
    <row r="880" spans="18:18" ht="15.75" customHeight="1">
      <c r="R880" s="30"/>
    </row>
    <row r="881" spans="18:18" ht="15.75" customHeight="1">
      <c r="R881" s="30"/>
    </row>
    <row r="882" spans="18:18" ht="15.75" customHeight="1">
      <c r="R882" s="30"/>
    </row>
    <row r="883" spans="18:18" ht="15.75" customHeight="1">
      <c r="R883" s="30"/>
    </row>
    <row r="884" spans="18:18" ht="15.75" customHeight="1">
      <c r="R884" s="30"/>
    </row>
    <row r="885" spans="18:18" ht="15.75" customHeight="1">
      <c r="R885" s="30"/>
    </row>
    <row r="886" spans="18:18" ht="15.75" customHeight="1">
      <c r="R886" s="30"/>
    </row>
    <row r="887" spans="18:18" ht="15.75" customHeight="1">
      <c r="R887" s="30"/>
    </row>
    <row r="888" spans="18:18" ht="15.75" customHeight="1">
      <c r="R888" s="30"/>
    </row>
    <row r="889" spans="18:18" ht="15.75" customHeight="1">
      <c r="R889" s="30"/>
    </row>
    <row r="890" spans="18:18" ht="15.75" customHeight="1">
      <c r="R890" s="30"/>
    </row>
    <row r="891" spans="18:18" ht="15.75" customHeight="1">
      <c r="R891" s="30"/>
    </row>
    <row r="892" spans="18:18" ht="15.75" customHeight="1">
      <c r="R892" s="30"/>
    </row>
    <row r="893" spans="18:18" ht="15.75" customHeight="1">
      <c r="R893" s="30"/>
    </row>
    <row r="894" spans="18:18" ht="15.75" customHeight="1">
      <c r="R894" s="30"/>
    </row>
    <row r="895" spans="18:18" ht="15.75" customHeight="1">
      <c r="R895" s="30"/>
    </row>
    <row r="896" spans="18:18" ht="15.75" customHeight="1">
      <c r="R896" s="30"/>
    </row>
    <row r="897" spans="18:18" ht="15.75" customHeight="1">
      <c r="R897" s="30"/>
    </row>
    <row r="898" spans="18:18" ht="15.75" customHeight="1">
      <c r="R898" s="30"/>
    </row>
    <row r="899" spans="18:18" ht="15.75" customHeight="1">
      <c r="R899" s="30"/>
    </row>
    <row r="900" spans="18:18" ht="15.75" customHeight="1">
      <c r="R900" s="30"/>
    </row>
    <row r="901" spans="18:18" ht="15.75" customHeight="1">
      <c r="R901" s="30"/>
    </row>
    <row r="902" spans="18:18" ht="15.75" customHeight="1">
      <c r="R902" s="30"/>
    </row>
    <row r="903" spans="18:18" ht="15.75" customHeight="1">
      <c r="R903" s="30"/>
    </row>
    <row r="904" spans="18:18" ht="15.75" customHeight="1">
      <c r="R904" s="30"/>
    </row>
    <row r="905" spans="18:18" ht="15.75" customHeight="1">
      <c r="R905" s="30"/>
    </row>
    <row r="906" spans="18:18" ht="15.75" customHeight="1">
      <c r="R906" s="30"/>
    </row>
    <row r="907" spans="18:18" ht="15.75" customHeight="1">
      <c r="R907" s="30"/>
    </row>
    <row r="908" spans="18:18" ht="15.75" customHeight="1">
      <c r="R908" s="30"/>
    </row>
    <row r="909" spans="18:18" ht="15.75" customHeight="1">
      <c r="R909" s="30"/>
    </row>
    <row r="910" spans="18:18" ht="15.75" customHeight="1">
      <c r="R910" s="30"/>
    </row>
    <row r="911" spans="18:18" ht="15.75" customHeight="1">
      <c r="R911" s="30"/>
    </row>
    <row r="912" spans="18:18" ht="15.75" customHeight="1">
      <c r="R912" s="30"/>
    </row>
    <row r="913" spans="18:18" ht="15.75" customHeight="1">
      <c r="R913" s="30"/>
    </row>
    <row r="914" spans="18:18" ht="15.75" customHeight="1">
      <c r="R914" s="30"/>
    </row>
    <row r="915" spans="18:18" ht="15.75" customHeight="1">
      <c r="R915" s="30"/>
    </row>
    <row r="916" spans="18:18" ht="15.75" customHeight="1">
      <c r="R916" s="30"/>
    </row>
    <row r="917" spans="18:18" ht="15.75" customHeight="1">
      <c r="R917" s="30"/>
    </row>
    <row r="918" spans="18:18" ht="15.75" customHeight="1">
      <c r="R918" s="30"/>
    </row>
    <row r="919" spans="18:18" ht="15.75" customHeight="1">
      <c r="R919" s="30"/>
    </row>
    <row r="920" spans="18:18" ht="15.75" customHeight="1">
      <c r="R920" s="30"/>
    </row>
    <row r="921" spans="18:18" ht="15.75" customHeight="1">
      <c r="R921" s="30"/>
    </row>
    <row r="922" spans="18:18" ht="15.75" customHeight="1">
      <c r="R922" s="30"/>
    </row>
    <row r="923" spans="18:18" ht="15.75" customHeight="1">
      <c r="R923" s="30"/>
    </row>
    <row r="924" spans="18:18" ht="15.75" customHeight="1">
      <c r="R924" s="30"/>
    </row>
    <row r="925" spans="18:18" ht="15.75" customHeight="1">
      <c r="R925" s="30"/>
    </row>
    <row r="926" spans="18:18" ht="15.75" customHeight="1">
      <c r="R926" s="30"/>
    </row>
    <row r="927" spans="18:18" ht="15.75" customHeight="1">
      <c r="R927" s="30"/>
    </row>
    <row r="928" spans="18:18" ht="15.75" customHeight="1">
      <c r="R928" s="30"/>
    </row>
    <row r="929" spans="18:18" ht="15.75" customHeight="1">
      <c r="R929" s="30"/>
    </row>
    <row r="930" spans="18:18" ht="15.75" customHeight="1">
      <c r="R930" s="30"/>
    </row>
    <row r="931" spans="18:18" ht="15.75" customHeight="1">
      <c r="R931" s="30"/>
    </row>
    <row r="932" spans="18:18" ht="15.75" customHeight="1">
      <c r="R932" s="30"/>
    </row>
    <row r="933" spans="18:18" ht="15.75" customHeight="1">
      <c r="R933" s="30"/>
    </row>
    <row r="934" spans="18:18" ht="15.75" customHeight="1">
      <c r="R934" s="30"/>
    </row>
    <row r="935" spans="18:18" ht="15.75" customHeight="1">
      <c r="R935" s="30"/>
    </row>
    <row r="936" spans="18:18" ht="15.75" customHeight="1">
      <c r="R936" s="30"/>
    </row>
    <row r="937" spans="18:18" ht="15.75" customHeight="1">
      <c r="R937" s="30"/>
    </row>
    <row r="938" spans="18:18" ht="15.75" customHeight="1">
      <c r="R938" s="30"/>
    </row>
    <row r="939" spans="18:18" ht="15.75" customHeight="1">
      <c r="R939" s="30"/>
    </row>
    <row r="940" spans="18:18" ht="15.75" customHeight="1">
      <c r="R940" s="30"/>
    </row>
    <row r="941" spans="18:18" ht="15.75" customHeight="1">
      <c r="R941" s="30"/>
    </row>
    <row r="942" spans="18:18" ht="15.75" customHeight="1">
      <c r="R942" s="30"/>
    </row>
    <row r="943" spans="18:18" ht="15.75" customHeight="1">
      <c r="R943" s="30"/>
    </row>
    <row r="944" spans="18:18" ht="15.75" customHeight="1">
      <c r="R944" s="30"/>
    </row>
    <row r="945" spans="18:18" ht="15.75" customHeight="1">
      <c r="R945" s="30"/>
    </row>
    <row r="946" spans="18:18" ht="15.75" customHeight="1">
      <c r="R946" s="30"/>
    </row>
    <row r="947" spans="18:18" ht="15.75" customHeight="1">
      <c r="R947" s="30"/>
    </row>
    <row r="948" spans="18:18" ht="15.75" customHeight="1">
      <c r="R948" s="30"/>
    </row>
    <row r="949" spans="18:18" ht="15.75" customHeight="1">
      <c r="R949" s="30"/>
    </row>
    <row r="950" spans="18:18" ht="15.75" customHeight="1">
      <c r="R950" s="30"/>
    </row>
    <row r="951" spans="18:18" ht="15.75" customHeight="1">
      <c r="R951" s="30"/>
    </row>
    <row r="952" spans="18:18" ht="15.75" customHeight="1">
      <c r="R952" s="30"/>
    </row>
    <row r="953" spans="18:18" ht="15.75" customHeight="1">
      <c r="R953" s="30"/>
    </row>
    <row r="954" spans="18:18" ht="15.75" customHeight="1">
      <c r="R954" s="30"/>
    </row>
    <row r="955" spans="18:18" ht="15.75" customHeight="1">
      <c r="R955" s="30"/>
    </row>
    <row r="956" spans="18:18" ht="15.75" customHeight="1">
      <c r="R956" s="30"/>
    </row>
    <row r="957" spans="18:18" ht="15.75" customHeight="1">
      <c r="R957" s="30"/>
    </row>
    <row r="958" spans="18:18" ht="15.75" customHeight="1">
      <c r="R958" s="30"/>
    </row>
    <row r="959" spans="18:18" ht="15.75" customHeight="1">
      <c r="R959" s="30"/>
    </row>
    <row r="960" spans="18:18" ht="15.75" customHeight="1">
      <c r="R960" s="30"/>
    </row>
    <row r="961" spans="18:18" ht="15.75" customHeight="1">
      <c r="R961" s="30"/>
    </row>
    <row r="962" spans="18:18" ht="15.75" customHeight="1">
      <c r="R962" s="30"/>
    </row>
    <row r="963" spans="18:18" ht="15.75" customHeight="1">
      <c r="R963" s="30"/>
    </row>
    <row r="964" spans="18:18" ht="15.75" customHeight="1">
      <c r="R964" s="30"/>
    </row>
    <row r="965" spans="18:18" ht="15.75" customHeight="1">
      <c r="R965" s="30"/>
    </row>
    <row r="966" spans="18:18" ht="15.75" customHeight="1">
      <c r="R966" s="30"/>
    </row>
    <row r="967" spans="18:18" ht="15.75" customHeight="1">
      <c r="R967" s="30"/>
    </row>
    <row r="968" spans="18:18" ht="15.75" customHeight="1">
      <c r="R968" s="30"/>
    </row>
    <row r="969" spans="18:18" ht="15.75" customHeight="1">
      <c r="R969" s="30"/>
    </row>
    <row r="970" spans="18:18" ht="15.75" customHeight="1">
      <c r="R970" s="30"/>
    </row>
    <row r="971" spans="18:18" ht="15.75" customHeight="1">
      <c r="R971" s="30"/>
    </row>
    <row r="972" spans="18:18" ht="15.75" customHeight="1">
      <c r="R972" s="30"/>
    </row>
    <row r="973" spans="18:18" ht="15.75" customHeight="1">
      <c r="R973" s="30"/>
    </row>
    <row r="974" spans="18:18" ht="15.75" customHeight="1">
      <c r="R974" s="30"/>
    </row>
    <row r="975" spans="18:18" ht="15.75" customHeight="1">
      <c r="R975" s="30"/>
    </row>
    <row r="976" spans="18:18" ht="15.75" customHeight="1">
      <c r="R976" s="30"/>
    </row>
    <row r="977" spans="18:18" ht="15.75" customHeight="1">
      <c r="R977" s="30"/>
    </row>
    <row r="978" spans="18:18" ht="15.75" customHeight="1">
      <c r="R978" s="30"/>
    </row>
    <row r="979" spans="18:18" ht="15.75" customHeight="1">
      <c r="R979" s="30"/>
    </row>
    <row r="980" spans="18:18" ht="15.75" customHeight="1">
      <c r="R980" s="30"/>
    </row>
    <row r="981" spans="18:18" ht="15.75" customHeight="1">
      <c r="R981" s="30"/>
    </row>
    <row r="982" spans="18:18" ht="15.75" customHeight="1">
      <c r="R982" s="30"/>
    </row>
    <row r="983" spans="18:18" ht="15.75" customHeight="1">
      <c r="R983" s="30"/>
    </row>
    <row r="984" spans="18:18" ht="15.75" customHeight="1">
      <c r="R984" s="30"/>
    </row>
    <row r="985" spans="18:18" ht="15.75" customHeight="1">
      <c r="R985" s="30"/>
    </row>
    <row r="986" spans="18:18" ht="15.75" customHeight="1">
      <c r="R986" s="30"/>
    </row>
    <row r="987" spans="18:18" ht="15.75" customHeight="1">
      <c r="R987" s="30"/>
    </row>
    <row r="988" spans="18:18" ht="15.75" customHeight="1">
      <c r="R988" s="30"/>
    </row>
    <row r="989" spans="18:18" ht="15.75" customHeight="1">
      <c r="R989" s="30"/>
    </row>
    <row r="990" spans="18:18" ht="15.75" customHeight="1">
      <c r="R990" s="30"/>
    </row>
    <row r="991" spans="18:18" ht="15.75" customHeight="1">
      <c r="R991" s="30"/>
    </row>
    <row r="992" spans="18:18" ht="15.75" customHeight="1">
      <c r="R992" s="30"/>
    </row>
    <row r="993" spans="18:18" ht="15.75" customHeight="1">
      <c r="R993" s="30"/>
    </row>
    <row r="994" spans="18:18" ht="15.75" customHeight="1">
      <c r="R994" s="30"/>
    </row>
    <row r="995" spans="18:18" ht="15.75" customHeight="1">
      <c r="R995" s="30"/>
    </row>
    <row r="996" spans="18:18" ht="15.75" customHeight="1">
      <c r="R996" s="30"/>
    </row>
    <row r="997" spans="18:18" ht="15.75" customHeight="1">
      <c r="R997" s="30"/>
    </row>
    <row r="998" spans="18:18" ht="15.75" customHeight="1">
      <c r="R998" s="30"/>
    </row>
    <row r="999" spans="18:18" ht="15.75" customHeight="1">
      <c r="R999" s="30"/>
    </row>
    <row r="1000" spans="18:18" ht="15.75" customHeight="1">
      <c r="R1000" s="3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2.6640625" defaultRowHeight="15" customHeight="1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8.6640625" customWidth="1"/>
    <col min="6" max="6" width="9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16.33203125" customWidth="1"/>
    <col min="16" max="16" width="10" customWidth="1"/>
    <col min="17" max="18" width="7.33203125" customWidth="1"/>
    <col min="19" max="19" width="7.1640625" customWidth="1"/>
    <col min="20" max="20" width="11.1640625" customWidth="1"/>
    <col min="21" max="21" width="13.5" customWidth="1"/>
    <col min="22" max="22" width="88.664062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6640625" customWidth="1"/>
    <col min="32" max="32" width="10.1640625" customWidth="1"/>
    <col min="33" max="33" width="8.83203125" customWidth="1"/>
  </cols>
  <sheetData>
    <row r="1" spans="1:33" ht="18.75" customHeight="1">
      <c r="A1" s="46" t="str">
        <f ca="1">IFERROR(__xludf.DUMMYFUNCTION("IFERROR(VLOOKUP(B2,IMPORTRANGE(""https://docs.google.com/spreadsheets/d/1x0DhHglkXKoEBOD2MBsuK_EyIr1ouxD2ftIpqOYFa-k/edit?usp=sharing"",""Ubiquitty-SKU-Specific Info!B1:BJ5000""),3,FALSE),"""")"),"Yellow Extension Cord - 12/3 Gauge, 50ft w/Power Block")</f>
        <v>Yellow Extension Cord - 12/3 Gauge, 50ft w/Power Block</v>
      </c>
      <c r="B1" s="47"/>
      <c r="C1" s="48" t="s">
        <v>0</v>
      </c>
      <c r="D1" s="50" t="s">
        <v>1</v>
      </c>
      <c r="E1" s="50" t="s">
        <v>2</v>
      </c>
      <c r="F1" s="52" t="s">
        <v>3</v>
      </c>
      <c r="G1" s="52" t="s">
        <v>4</v>
      </c>
      <c r="H1" s="53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58" t="s">
        <v>10</v>
      </c>
      <c r="N1" s="59" t="s">
        <v>11</v>
      </c>
      <c r="O1" s="50" t="s">
        <v>12</v>
      </c>
      <c r="P1" s="50" t="s">
        <v>13</v>
      </c>
      <c r="Q1" s="57" t="s">
        <v>14</v>
      </c>
      <c r="R1" s="57" t="s">
        <v>15</v>
      </c>
      <c r="S1" s="60" t="s">
        <v>16</v>
      </c>
      <c r="T1" s="62" t="s">
        <v>2006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Info!B1:BJ5000""),2,FALSE),"""")"),"B073ZMWHZJ")</f>
        <v>B073ZMWHZJ</v>
      </c>
      <c r="B2" s="3" t="s">
        <v>1666</v>
      </c>
      <c r="C2" s="49"/>
      <c r="D2" s="49"/>
      <c r="E2" s="51"/>
      <c r="F2" s="49"/>
      <c r="G2" s="49"/>
      <c r="H2" s="54"/>
      <c r="I2" s="49"/>
      <c r="J2" s="49"/>
      <c r="K2" s="54"/>
      <c r="L2" s="54"/>
      <c r="M2" s="54"/>
      <c r="N2" s="49"/>
      <c r="O2" s="49"/>
      <c r="P2" s="51"/>
      <c r="Q2" s="49"/>
      <c r="R2" s="49"/>
      <c r="S2" s="61"/>
      <c r="T2" s="47"/>
      <c r="U2" s="63"/>
      <c r="V2" s="63"/>
      <c r="W2" s="47"/>
      <c r="X2" s="47"/>
      <c r="Y2" s="47"/>
      <c r="Z2" s="47"/>
      <c r="AA2" s="63"/>
      <c r="AB2" s="63"/>
      <c r="AC2" s="63"/>
      <c r="AD2" s="63"/>
      <c r="AE2" s="47"/>
      <c r="AF2" s="47"/>
      <c r="AG2" s="47"/>
    </row>
    <row r="3" spans="1:33" ht="163.5" customHeight="1">
      <c r="A3" s="55" t="s">
        <v>31</v>
      </c>
      <c r="B3" s="56"/>
      <c r="C3" s="4">
        <f>((AE32+AF32)/0.85)*-1</f>
        <v>31.796032412235295</v>
      </c>
      <c r="D3" s="5">
        <f>SUM(D4:D99765)</f>
        <v>1590</v>
      </c>
      <c r="E3" s="5"/>
      <c r="F3" s="6">
        <f t="shared" ref="F3:G3" si="0">SUM(F4:F99765)</f>
        <v>74383.67</v>
      </c>
      <c r="G3" s="6">
        <f t="shared" si="0"/>
        <v>-322.71000000000015</v>
      </c>
      <c r="H3" s="7">
        <f t="shared" ref="H3:H32" si="1">G3/F3*-1</f>
        <v>4.3384522436174522E-3</v>
      </c>
      <c r="I3" s="8">
        <f t="shared" ref="I3:I32" si="2">J3/F3</f>
        <v>0.27962612463436554</v>
      </c>
      <c r="J3" s="6">
        <f>SUM(J4:J99765)</f>
        <v>20799.617378181516</v>
      </c>
      <c r="K3" s="6">
        <f t="shared" ref="K3:K32" si="3">J3/D3</f>
        <v>13.081520363636173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Sheet!a1:g5000""),2,FALSE),"""")"),"9 - March
4 - April
5 - May
9.5 - June
9.5 - July
13 - Aug
9.5 - Sept
8 - Oct
13 - Nov
9.5 - Dec
6.5 - Jan
9 - Feb")</f>
        <v>9 - March
4 - April
5 - May
9.5 - June
9.5 - July
13 - Aug
9.5 - Sept
8 - Oct
13 - Nov
9.5 - Dec
6.5 - Jan
9 -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QTY-7")</f>
        <v>Del QTY-7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QTY-550")</f>
        <v>US QTY-550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43</v>
      </c>
      <c r="X3" s="7">
        <f>W3/D3</f>
        <v>2.7044025157232705E-2</v>
      </c>
      <c r="Y3" s="6"/>
      <c r="Z3" s="5"/>
      <c r="AA3" s="5"/>
      <c r="AB3" s="5"/>
      <c r="AC3" s="5"/>
      <c r="AD3" s="6">
        <f>SUM(AD4:AD99765)</f>
        <v>-600.65518751954801</v>
      </c>
      <c r="AE3" s="6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Info!B2:BZ3000""),37,FALSE)),"""")*-1"),-19.8466275504)</f>
        <v>-19.846627550400001</v>
      </c>
      <c r="AG3" s="6">
        <f>SUM(AG4:AG99765)</f>
        <v>0</v>
      </c>
    </row>
    <row r="4" spans="1:33" ht="15.75" customHeight="1">
      <c r="A4" s="14" t="s">
        <v>181</v>
      </c>
      <c r="B4" s="14" t="s">
        <v>68</v>
      </c>
      <c r="C4" s="15">
        <f t="shared" ref="C4:C32" si="4">IFERROR(F4/D4," - ")</f>
        <v>57.609999999999985</v>
      </c>
      <c r="D4" s="16">
        <v>21</v>
      </c>
      <c r="E4" s="16">
        <v>0</v>
      </c>
      <c r="F4" s="17">
        <v>1209.8099999999997</v>
      </c>
      <c r="G4" s="17">
        <v>0</v>
      </c>
      <c r="H4" s="18">
        <f t="shared" si="1"/>
        <v>0</v>
      </c>
      <c r="I4" s="18">
        <f t="shared" si="2"/>
        <v>0.44278096603005462</v>
      </c>
      <c r="J4" s="17">
        <f t="shared" ref="J4:J32" si="5">F4*0.85+G4+AF4*D4+D4*AE4+AG4+AD4</f>
        <v>535.68084051282028</v>
      </c>
      <c r="K4" s="17">
        <f t="shared" si="3"/>
        <v>25.508611452991442</v>
      </c>
      <c r="L4" s="16">
        <v>36</v>
      </c>
      <c r="M4" s="19">
        <f t="shared" ref="M4:M32" si="6">IFERROR(D4/L4,"-")</f>
        <v>0.58333333333333337</v>
      </c>
      <c r="N4" s="16">
        <v>168</v>
      </c>
      <c r="O4" s="20">
        <f t="shared" ref="O4:P4" si="7">D4/7</f>
        <v>3</v>
      </c>
      <c r="P4" s="20">
        <f t="shared" si="7"/>
        <v>0</v>
      </c>
      <c r="Q4" s="16">
        <f t="shared" ref="Q4:Q32" si="8">ROUNDDOWN(N4/(O4+P4),0)</f>
        <v>56</v>
      </c>
      <c r="R4" s="16"/>
      <c r="S4" s="21">
        <v>2.5454545454545401</v>
      </c>
      <c r="T4" s="14" t="s">
        <v>34</v>
      </c>
      <c r="U4" s="22" t="s">
        <v>34</v>
      </c>
      <c r="V4" s="23" t="s">
        <v>34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26" t="s">
        <v>35</v>
      </c>
      <c r="AB4" s="27">
        <f t="shared" ref="AB4:AB32" si="11">IF(OR(AA4="UsLargeStandardSize",AA4="UsSmallStandardSize"),-0.69,-0.48)</f>
        <v>-0.69</v>
      </c>
      <c r="AC4" s="28">
        <v>0.2685925925925926</v>
      </c>
      <c r="AD4" s="25">
        <f t="shared" ref="AD4:AD32" si="12">IFERROR(AB4*AC4*D4*2,0)</f>
        <v>-7.7838133333333328</v>
      </c>
      <c r="AE4" s="25">
        <v>-7.32</v>
      </c>
      <c r="AF4" s="25">
        <v>-15.769230769230768</v>
      </c>
      <c r="AG4" s="25">
        <v>0</v>
      </c>
    </row>
    <row r="5" spans="1:33" ht="15.75" customHeight="1">
      <c r="A5" s="14" t="s">
        <v>183</v>
      </c>
      <c r="B5" s="14" t="s">
        <v>1667</v>
      </c>
      <c r="C5" s="15">
        <f t="shared" si="4"/>
        <v>57.626271186440675</v>
      </c>
      <c r="D5" s="16">
        <v>59</v>
      </c>
      <c r="E5" s="16">
        <v>0</v>
      </c>
      <c r="F5" s="29">
        <v>3399.95</v>
      </c>
      <c r="G5" s="29">
        <v>-0.13</v>
      </c>
      <c r="H5" s="18">
        <f t="shared" si="1"/>
        <v>3.8235856409653089E-5</v>
      </c>
      <c r="I5" s="18">
        <f t="shared" si="2"/>
        <v>0.44285025817317053</v>
      </c>
      <c r="J5" s="17">
        <f t="shared" si="5"/>
        <v>1505.6687352758711</v>
      </c>
      <c r="K5" s="17">
        <f t="shared" si="3"/>
        <v>25.519809072472391</v>
      </c>
      <c r="L5" s="16">
        <v>105</v>
      </c>
      <c r="M5" s="19">
        <f t="shared" si="6"/>
        <v>0.56190476190476191</v>
      </c>
      <c r="N5" s="16">
        <v>305</v>
      </c>
      <c r="O5" s="20">
        <f t="shared" ref="O5:P5" si="13">D5/7</f>
        <v>8.4285714285714288</v>
      </c>
      <c r="P5" s="20">
        <f t="shared" si="13"/>
        <v>0</v>
      </c>
      <c r="Q5" s="16">
        <f t="shared" si="8"/>
        <v>36</v>
      </c>
      <c r="R5" s="16"/>
      <c r="S5" s="21">
        <v>2.8533333333333299</v>
      </c>
      <c r="T5" s="14" t="s">
        <v>34</v>
      </c>
      <c r="U5" s="22" t="s">
        <v>34</v>
      </c>
      <c r="V5" s="23" t="s">
        <v>34</v>
      </c>
      <c r="W5" s="14">
        <v>0</v>
      </c>
      <c r="X5" s="24">
        <f t="shared" si="9"/>
        <v>0</v>
      </c>
      <c r="Y5" s="25">
        <f t="shared" si="10"/>
        <v>0</v>
      </c>
      <c r="Z5" s="14">
        <v>0</v>
      </c>
      <c r="AA5" s="14" t="s">
        <v>35</v>
      </c>
      <c r="AB5" s="27">
        <f t="shared" si="11"/>
        <v>-0.69</v>
      </c>
      <c r="AC5" s="28">
        <v>0.26890382387022016</v>
      </c>
      <c r="AD5" s="25">
        <f t="shared" si="12"/>
        <v>-21.894149339513323</v>
      </c>
      <c r="AE5" s="25">
        <v>-7.32</v>
      </c>
      <c r="AF5" s="25">
        <v>-15.769230769230768</v>
      </c>
      <c r="AG5" s="25">
        <v>0</v>
      </c>
    </row>
    <row r="6" spans="1:33" ht="15.75" customHeight="1">
      <c r="A6" s="14" t="s">
        <v>185</v>
      </c>
      <c r="B6" s="14" t="s">
        <v>1668</v>
      </c>
      <c r="C6" s="15">
        <f t="shared" si="4"/>
        <v>58.919230769230758</v>
      </c>
      <c r="D6" s="16">
        <v>39</v>
      </c>
      <c r="E6" s="16">
        <v>0</v>
      </c>
      <c r="F6" s="29">
        <v>2297.8499999999995</v>
      </c>
      <c r="G6" s="29">
        <v>0</v>
      </c>
      <c r="H6" s="18">
        <f t="shared" si="1"/>
        <v>0</v>
      </c>
      <c r="I6" s="18">
        <f t="shared" si="2"/>
        <v>0.45182968717134114</v>
      </c>
      <c r="J6" s="17">
        <f t="shared" si="5"/>
        <v>1038.236846666666</v>
      </c>
      <c r="K6" s="17">
        <f t="shared" si="3"/>
        <v>26.621457606837591</v>
      </c>
      <c r="L6" s="16">
        <v>118</v>
      </c>
      <c r="M6" s="19">
        <f t="shared" si="6"/>
        <v>0.33050847457627119</v>
      </c>
      <c r="N6" s="16">
        <v>264</v>
      </c>
      <c r="O6" s="20">
        <f t="shared" ref="O6:P6" si="14">D6/7</f>
        <v>5.5714285714285712</v>
      </c>
      <c r="P6" s="20">
        <f t="shared" si="14"/>
        <v>0</v>
      </c>
      <c r="Q6" s="16">
        <f t="shared" si="8"/>
        <v>47</v>
      </c>
      <c r="R6" s="16"/>
      <c r="S6" s="21">
        <v>4.7557003257328896</v>
      </c>
      <c r="T6" s="14">
        <v>2840</v>
      </c>
      <c r="U6" s="22">
        <v>32</v>
      </c>
      <c r="V6" s="23" t="s">
        <v>1669</v>
      </c>
      <c r="W6" s="14">
        <v>0</v>
      </c>
      <c r="X6" s="24">
        <f t="shared" si="9"/>
        <v>0</v>
      </c>
      <c r="Y6" s="25">
        <f t="shared" si="10"/>
        <v>0</v>
      </c>
      <c r="Z6" s="14">
        <v>0</v>
      </c>
      <c r="AA6" s="14" t="s">
        <v>35</v>
      </c>
      <c r="AB6" s="27">
        <f t="shared" si="11"/>
        <v>-0.69</v>
      </c>
      <c r="AC6" s="28">
        <v>0.2685925925925926</v>
      </c>
      <c r="AD6" s="25">
        <f t="shared" si="12"/>
        <v>-14.455653333333332</v>
      </c>
      <c r="AE6" s="25">
        <v>-7.32</v>
      </c>
      <c r="AF6" s="25">
        <v>-15.769230769230768</v>
      </c>
      <c r="AG6" s="25">
        <v>0</v>
      </c>
    </row>
    <row r="7" spans="1:33" ht="15.75" customHeight="1">
      <c r="A7" s="14" t="s">
        <v>187</v>
      </c>
      <c r="B7" s="14" t="s">
        <v>1670</v>
      </c>
      <c r="C7" s="15">
        <f t="shared" si="4"/>
        <v>57.087599999999966</v>
      </c>
      <c r="D7" s="16">
        <v>50</v>
      </c>
      <c r="E7" s="16">
        <v>0</v>
      </c>
      <c r="F7" s="29">
        <v>2854.3799999999983</v>
      </c>
      <c r="G7" s="29">
        <v>-0.02</v>
      </c>
      <c r="H7" s="18">
        <f t="shared" si="1"/>
        <v>7.0067755519587485E-6</v>
      </c>
      <c r="I7" s="18">
        <f t="shared" si="2"/>
        <v>0.43904755941730667</v>
      </c>
      <c r="J7" s="17">
        <f t="shared" si="5"/>
        <v>1253.2085726495711</v>
      </c>
      <c r="K7" s="17">
        <f t="shared" si="3"/>
        <v>25.064171452991424</v>
      </c>
      <c r="L7" s="16">
        <v>113</v>
      </c>
      <c r="M7" s="19">
        <f t="shared" si="6"/>
        <v>0.44247787610619471</v>
      </c>
      <c r="N7" s="16">
        <v>221</v>
      </c>
      <c r="O7" s="20">
        <f t="shared" ref="O7:P7" si="15">D7/7</f>
        <v>7.1428571428571432</v>
      </c>
      <c r="P7" s="20">
        <f t="shared" si="15"/>
        <v>0</v>
      </c>
      <c r="Q7" s="16">
        <f t="shared" si="8"/>
        <v>30</v>
      </c>
      <c r="R7" s="16"/>
      <c r="S7" s="21">
        <v>6.2172284644194704</v>
      </c>
      <c r="T7" s="14">
        <v>2840</v>
      </c>
      <c r="U7" s="22">
        <v>32</v>
      </c>
      <c r="V7" s="23" t="s">
        <v>1671</v>
      </c>
      <c r="W7" s="14">
        <v>0</v>
      </c>
      <c r="X7" s="24">
        <f t="shared" si="9"/>
        <v>0</v>
      </c>
      <c r="Y7" s="25">
        <f t="shared" si="10"/>
        <v>0</v>
      </c>
      <c r="Z7" s="14">
        <v>0</v>
      </c>
      <c r="AA7" s="14" t="s">
        <v>35</v>
      </c>
      <c r="AB7" s="27">
        <f t="shared" si="11"/>
        <v>-0.69</v>
      </c>
      <c r="AC7" s="28">
        <v>0.2685925925925926</v>
      </c>
      <c r="AD7" s="25">
        <f t="shared" si="12"/>
        <v>-18.532888888888888</v>
      </c>
      <c r="AE7" s="25">
        <v>-7.32</v>
      </c>
      <c r="AF7" s="25">
        <v>-15.769230769230768</v>
      </c>
      <c r="AG7" s="25">
        <v>0</v>
      </c>
    </row>
    <row r="8" spans="1:33" ht="15.75" customHeight="1">
      <c r="A8" s="14" t="s">
        <v>189</v>
      </c>
      <c r="B8" s="14" t="s">
        <v>68</v>
      </c>
      <c r="C8" s="15">
        <f t="shared" si="4"/>
        <v>59.310500000000005</v>
      </c>
      <c r="D8" s="16">
        <v>40</v>
      </c>
      <c r="E8" s="16">
        <v>0</v>
      </c>
      <c r="F8" s="29">
        <v>2372.42</v>
      </c>
      <c r="G8" s="29">
        <v>0</v>
      </c>
      <c r="H8" s="18">
        <f t="shared" si="1"/>
        <v>0</v>
      </c>
      <c r="I8" s="18">
        <f t="shared" si="2"/>
        <v>0.45444343281918415</v>
      </c>
      <c r="J8" s="17">
        <f t="shared" si="5"/>
        <v>1078.1306888888889</v>
      </c>
      <c r="K8" s="17">
        <f t="shared" si="3"/>
        <v>26.953267222222223</v>
      </c>
      <c r="L8" s="16">
        <v>79</v>
      </c>
      <c r="M8" s="19">
        <f t="shared" si="6"/>
        <v>0.50632911392405067</v>
      </c>
      <c r="N8" s="16">
        <v>178</v>
      </c>
      <c r="O8" s="20">
        <f t="shared" ref="O8:P8" si="16">D8/7</f>
        <v>5.7142857142857144</v>
      </c>
      <c r="P8" s="20">
        <f t="shared" si="16"/>
        <v>0</v>
      </c>
      <c r="Q8" s="16">
        <f t="shared" si="8"/>
        <v>31</v>
      </c>
      <c r="R8" s="16"/>
      <c r="S8" s="21">
        <v>3.07438016528925</v>
      </c>
      <c r="T8" s="14">
        <v>2840</v>
      </c>
      <c r="U8" s="22">
        <v>32</v>
      </c>
      <c r="V8" s="23" t="s">
        <v>1672</v>
      </c>
      <c r="W8" s="14">
        <v>0</v>
      </c>
      <c r="X8" s="24">
        <f t="shared" si="9"/>
        <v>0</v>
      </c>
      <c r="Y8" s="25">
        <f t="shared" si="10"/>
        <v>0</v>
      </c>
      <c r="Z8" s="14">
        <v>0</v>
      </c>
      <c r="AA8" s="14" t="s">
        <v>35</v>
      </c>
      <c r="AB8" s="27">
        <f t="shared" si="11"/>
        <v>-0.69</v>
      </c>
      <c r="AC8" s="28">
        <v>0.2685925925925926</v>
      </c>
      <c r="AD8" s="25">
        <f t="shared" si="12"/>
        <v>-14.82631111111111</v>
      </c>
      <c r="AE8" s="25">
        <v>-7.32</v>
      </c>
      <c r="AF8" s="25">
        <v>-15.77</v>
      </c>
      <c r="AG8" s="25">
        <v>0</v>
      </c>
    </row>
    <row r="9" spans="1:33" ht="15.75" customHeight="1">
      <c r="A9" s="14" t="s">
        <v>191</v>
      </c>
      <c r="B9" s="14" t="s">
        <v>1673</v>
      </c>
      <c r="C9" s="15">
        <f t="shared" si="4"/>
        <v>60.586923076923078</v>
      </c>
      <c r="D9" s="16">
        <v>13</v>
      </c>
      <c r="E9" s="16">
        <v>0</v>
      </c>
      <c r="F9" s="29">
        <v>787.63</v>
      </c>
      <c r="G9" s="29">
        <v>0</v>
      </c>
      <c r="H9" s="18">
        <f t="shared" si="1"/>
        <v>0</v>
      </c>
      <c r="I9" s="18">
        <f t="shared" si="2"/>
        <v>0.45748250941290874</v>
      </c>
      <c r="J9" s="17">
        <f t="shared" si="5"/>
        <v>360.32694888888932</v>
      </c>
      <c r="K9" s="17">
        <f t="shared" si="3"/>
        <v>27.717457606837641</v>
      </c>
      <c r="L9" s="16">
        <v>47</v>
      </c>
      <c r="M9" s="19">
        <f t="shared" si="6"/>
        <v>0.27659574468085107</v>
      </c>
      <c r="N9" s="16">
        <v>166</v>
      </c>
      <c r="O9" s="20">
        <f t="shared" ref="O9:P9" si="17">D9/7</f>
        <v>1.8571428571428572</v>
      </c>
      <c r="P9" s="20">
        <f t="shared" si="17"/>
        <v>0</v>
      </c>
      <c r="Q9" s="16">
        <f t="shared" si="8"/>
        <v>89</v>
      </c>
      <c r="R9" s="16"/>
      <c r="S9" s="21">
        <v>2.78235294117647</v>
      </c>
      <c r="T9" s="14">
        <v>2840</v>
      </c>
      <c r="U9" s="22">
        <v>32</v>
      </c>
      <c r="V9" s="23" t="s">
        <v>1674</v>
      </c>
      <c r="W9" s="14">
        <v>0</v>
      </c>
      <c r="X9" s="24">
        <f t="shared" si="9"/>
        <v>0</v>
      </c>
      <c r="Y9" s="25">
        <f t="shared" si="10"/>
        <v>0</v>
      </c>
      <c r="Z9" s="14">
        <v>0</v>
      </c>
      <c r="AA9" s="14" t="s">
        <v>35</v>
      </c>
      <c r="AB9" s="27">
        <f t="shared" si="11"/>
        <v>-0.69</v>
      </c>
      <c r="AC9" s="28">
        <v>0.2685925925925926</v>
      </c>
      <c r="AD9" s="25">
        <f t="shared" si="12"/>
        <v>-4.8185511111111108</v>
      </c>
      <c r="AE9" s="25">
        <v>-7.32</v>
      </c>
      <c r="AF9" s="25">
        <v>-16.090769230769201</v>
      </c>
      <c r="AG9" s="25">
        <v>0</v>
      </c>
    </row>
    <row r="10" spans="1:33" ht="15.75" customHeight="1">
      <c r="A10" s="14" t="s">
        <v>192</v>
      </c>
      <c r="B10" s="14" t="s">
        <v>68</v>
      </c>
      <c r="C10" s="15">
        <f t="shared" si="4"/>
        <v>49.235555555555571</v>
      </c>
      <c r="D10" s="16">
        <v>36</v>
      </c>
      <c r="E10" s="16">
        <v>0</v>
      </c>
      <c r="F10" s="29">
        <v>1772.4800000000005</v>
      </c>
      <c r="G10" s="29">
        <v>-7.0000000000000007E-2</v>
      </c>
      <c r="H10" s="18">
        <f t="shared" si="1"/>
        <v>3.9492688210868381E-5</v>
      </c>
      <c r="I10" s="18">
        <f t="shared" si="2"/>
        <v>0.3669472308247817</v>
      </c>
      <c r="J10" s="17">
        <f t="shared" si="5"/>
        <v>650.40662769230926</v>
      </c>
      <c r="K10" s="17">
        <f t="shared" si="3"/>
        <v>18.066850769230811</v>
      </c>
      <c r="L10" s="16">
        <v>104</v>
      </c>
      <c r="M10" s="19">
        <f t="shared" si="6"/>
        <v>0.34615384615384615</v>
      </c>
      <c r="N10" s="16">
        <v>247</v>
      </c>
      <c r="O10" s="20">
        <f t="shared" ref="O10:P10" si="18">D10/7</f>
        <v>5.1428571428571432</v>
      </c>
      <c r="P10" s="20">
        <f t="shared" si="18"/>
        <v>0</v>
      </c>
      <c r="Q10" s="16">
        <f t="shared" si="8"/>
        <v>48</v>
      </c>
      <c r="R10" s="16"/>
      <c r="S10" s="21">
        <v>3.4611398963730502</v>
      </c>
      <c r="T10" s="14">
        <v>1740</v>
      </c>
      <c r="U10" s="22">
        <v>32</v>
      </c>
      <c r="V10" s="23" t="s">
        <v>1675</v>
      </c>
      <c r="W10" s="14">
        <v>0</v>
      </c>
      <c r="X10" s="24">
        <f t="shared" si="9"/>
        <v>0</v>
      </c>
      <c r="Y10" s="25">
        <f t="shared" si="10"/>
        <v>0</v>
      </c>
      <c r="Z10" s="14">
        <v>0</v>
      </c>
      <c r="AA10" s="14" t="s">
        <v>35</v>
      </c>
      <c r="AB10" s="27">
        <f t="shared" si="11"/>
        <v>-0.69</v>
      </c>
      <c r="AC10" s="28">
        <v>0.2685925925925926</v>
      </c>
      <c r="AD10" s="25">
        <f t="shared" si="12"/>
        <v>-13.343679999999999</v>
      </c>
      <c r="AE10" s="25">
        <v>-7.32</v>
      </c>
      <c r="AF10" s="25">
        <v>-16.090769230769201</v>
      </c>
      <c r="AG10" s="25">
        <v>0</v>
      </c>
    </row>
    <row r="11" spans="1:33" ht="15.75" customHeight="1">
      <c r="A11" s="14" t="s">
        <v>193</v>
      </c>
      <c r="B11" s="14" t="s">
        <v>1676</v>
      </c>
      <c r="C11" s="15">
        <f t="shared" si="4"/>
        <v>46.649480519480527</v>
      </c>
      <c r="D11" s="16">
        <v>77</v>
      </c>
      <c r="E11" s="16">
        <v>0</v>
      </c>
      <c r="F11" s="29">
        <v>3592.0100000000007</v>
      </c>
      <c r="G11" s="29">
        <v>-0.13</v>
      </c>
      <c r="H11" s="18">
        <f t="shared" si="1"/>
        <v>3.6191435992661482E-5</v>
      </c>
      <c r="I11" s="18">
        <f t="shared" si="2"/>
        <v>0.34017405863065053</v>
      </c>
      <c r="J11" s="17">
        <f t="shared" si="5"/>
        <v>1221.9086203418833</v>
      </c>
      <c r="K11" s="17">
        <f t="shared" si="3"/>
        <v>15.868943121323159</v>
      </c>
      <c r="L11" s="16">
        <v>179</v>
      </c>
      <c r="M11" s="19">
        <f t="shared" si="6"/>
        <v>0.43016759776536312</v>
      </c>
      <c r="N11" s="16">
        <v>167</v>
      </c>
      <c r="O11" s="20">
        <f t="shared" ref="O11:P11" si="19">D11/7</f>
        <v>11</v>
      </c>
      <c r="P11" s="20">
        <f t="shared" si="19"/>
        <v>0</v>
      </c>
      <c r="Q11" s="16">
        <f t="shared" si="8"/>
        <v>15</v>
      </c>
      <c r="R11" s="16"/>
      <c r="S11" s="21">
        <v>4.8860215053763403</v>
      </c>
      <c r="T11" s="14">
        <v>1740</v>
      </c>
      <c r="U11" s="22">
        <v>100</v>
      </c>
      <c r="V11" s="23" t="s">
        <v>1677</v>
      </c>
      <c r="W11" s="14">
        <v>0</v>
      </c>
      <c r="X11" s="24">
        <f t="shared" si="9"/>
        <v>0</v>
      </c>
      <c r="Y11" s="25">
        <f t="shared" si="10"/>
        <v>0</v>
      </c>
      <c r="Z11" s="14">
        <v>0</v>
      </c>
      <c r="AA11" s="14" t="s">
        <v>35</v>
      </c>
      <c r="AB11" s="27">
        <f t="shared" si="11"/>
        <v>-0.69</v>
      </c>
      <c r="AC11" s="28">
        <v>0.2685925925925926</v>
      </c>
      <c r="AD11" s="25">
        <f t="shared" si="12"/>
        <v>-28.540648888888889</v>
      </c>
      <c r="AE11" s="25">
        <v>-7.32</v>
      </c>
      <c r="AF11" s="25">
        <v>-16.090769230769201</v>
      </c>
      <c r="AG11" s="25">
        <v>0</v>
      </c>
    </row>
    <row r="12" spans="1:33" ht="15.75" customHeight="1">
      <c r="A12" s="14" t="s">
        <v>195</v>
      </c>
      <c r="B12" s="14" t="s">
        <v>1678</v>
      </c>
      <c r="C12" s="15">
        <f t="shared" si="4"/>
        <v>47.582549019607853</v>
      </c>
      <c r="D12" s="16">
        <v>51</v>
      </c>
      <c r="E12" s="16">
        <v>0</v>
      </c>
      <c r="F12" s="29">
        <v>2426.7100000000005</v>
      </c>
      <c r="G12" s="29">
        <v>-0.08</v>
      </c>
      <c r="H12" s="18">
        <f t="shared" si="1"/>
        <v>3.2966444280527951E-5</v>
      </c>
      <c r="I12" s="18">
        <f t="shared" si="2"/>
        <v>0.35017398970791919</v>
      </c>
      <c r="J12" s="17">
        <f t="shared" si="5"/>
        <v>849.77072256410474</v>
      </c>
      <c r="K12" s="17">
        <f t="shared" si="3"/>
        <v>16.66217103066872</v>
      </c>
      <c r="L12" s="16">
        <v>118</v>
      </c>
      <c r="M12" s="19">
        <f t="shared" si="6"/>
        <v>0.43220338983050849</v>
      </c>
      <c r="N12" s="16">
        <v>128</v>
      </c>
      <c r="O12" s="20">
        <f t="shared" ref="O12:P12" si="20">D12/7</f>
        <v>7.2857142857142856</v>
      </c>
      <c r="P12" s="20">
        <f t="shared" si="20"/>
        <v>0</v>
      </c>
      <c r="Q12" s="16">
        <f t="shared" si="8"/>
        <v>17</v>
      </c>
      <c r="R12" s="16"/>
      <c r="S12" s="21">
        <v>4.2711864406779601</v>
      </c>
      <c r="T12" s="14">
        <v>1740</v>
      </c>
      <c r="U12" s="22">
        <v>100</v>
      </c>
      <c r="V12" s="23" t="s">
        <v>1679</v>
      </c>
      <c r="W12" s="14">
        <v>0</v>
      </c>
      <c r="X12" s="24">
        <f t="shared" si="9"/>
        <v>0</v>
      </c>
      <c r="Y12" s="25">
        <f t="shared" si="10"/>
        <v>0</v>
      </c>
      <c r="Z12" s="14">
        <v>0</v>
      </c>
      <c r="AA12" s="14" t="s">
        <v>35</v>
      </c>
      <c r="AB12" s="27">
        <f t="shared" si="11"/>
        <v>-0.69</v>
      </c>
      <c r="AC12" s="28">
        <v>0.2685925925925926</v>
      </c>
      <c r="AD12" s="25">
        <f t="shared" si="12"/>
        <v>-18.903546666666664</v>
      </c>
      <c r="AE12" s="25">
        <v>-7.32</v>
      </c>
      <c r="AF12" s="25">
        <v>-16.090769230769201</v>
      </c>
      <c r="AG12" s="25">
        <v>0</v>
      </c>
    </row>
    <row r="13" spans="1:33" ht="15.75" customHeight="1">
      <c r="A13" s="14" t="s">
        <v>197</v>
      </c>
      <c r="B13" s="14" t="s">
        <v>68</v>
      </c>
      <c r="C13" s="15">
        <f t="shared" si="4"/>
        <v>52.91391304347826</v>
      </c>
      <c r="D13" s="16">
        <v>46</v>
      </c>
      <c r="E13" s="16">
        <v>1</v>
      </c>
      <c r="F13" s="17">
        <v>2434.04</v>
      </c>
      <c r="G13" s="29">
        <v>0</v>
      </c>
      <c r="H13" s="18">
        <f t="shared" si="1"/>
        <v>0</v>
      </c>
      <c r="I13" s="18">
        <f t="shared" si="2"/>
        <v>0.39736559063212867</v>
      </c>
      <c r="J13" s="17">
        <f t="shared" si="5"/>
        <v>967.20374222222642</v>
      </c>
      <c r="K13" s="17">
        <f t="shared" si="3"/>
        <v>21.026168309178836</v>
      </c>
      <c r="L13" s="16">
        <v>79</v>
      </c>
      <c r="M13" s="19">
        <f t="shared" si="6"/>
        <v>0.58227848101265822</v>
      </c>
      <c r="N13" s="16">
        <v>79</v>
      </c>
      <c r="O13" s="20">
        <f t="shared" ref="O13:P13" si="21">D13/7</f>
        <v>6.5714285714285712</v>
      </c>
      <c r="P13" s="20">
        <f t="shared" si="21"/>
        <v>0.14285714285714285</v>
      </c>
      <c r="Q13" s="16">
        <f t="shared" si="8"/>
        <v>11</v>
      </c>
      <c r="R13" s="16"/>
      <c r="S13" s="21">
        <v>3.56050069541029</v>
      </c>
      <c r="T13" s="14">
        <v>1740</v>
      </c>
      <c r="U13" s="22">
        <v>100</v>
      </c>
      <c r="V13" s="23" t="s">
        <v>1680</v>
      </c>
      <c r="W13" s="14">
        <v>0</v>
      </c>
      <c r="X13" s="24">
        <f t="shared" si="9"/>
        <v>0</v>
      </c>
      <c r="Y13" s="25">
        <f t="shared" si="10"/>
        <v>0</v>
      </c>
      <c r="Z13" s="14">
        <v>0</v>
      </c>
      <c r="AA13" s="14" t="s">
        <v>35</v>
      </c>
      <c r="AB13" s="27">
        <f t="shared" si="11"/>
        <v>-0.69</v>
      </c>
      <c r="AC13" s="28">
        <v>0.2685925925925926</v>
      </c>
      <c r="AD13" s="25">
        <f t="shared" si="12"/>
        <v>-17.050257777777777</v>
      </c>
      <c r="AE13" s="25">
        <v>-7.32</v>
      </c>
      <c r="AF13" s="25">
        <v>-16.259999999999899</v>
      </c>
      <c r="AG13" s="25">
        <v>0</v>
      </c>
    </row>
    <row r="14" spans="1:33" ht="15.75" customHeight="1">
      <c r="A14" s="14" t="s">
        <v>32</v>
      </c>
      <c r="B14" s="14" t="s">
        <v>1681</v>
      </c>
      <c r="C14" s="15">
        <f t="shared" si="4"/>
        <v>54.038965517241365</v>
      </c>
      <c r="D14" s="16">
        <v>29</v>
      </c>
      <c r="E14" s="16">
        <v>0</v>
      </c>
      <c r="F14" s="17">
        <v>1567.1299999999997</v>
      </c>
      <c r="G14" s="29">
        <v>0</v>
      </c>
      <c r="H14" s="18">
        <f t="shared" si="1"/>
        <v>0</v>
      </c>
      <c r="I14" s="18">
        <f t="shared" si="2"/>
        <v>0.40678911414142233</v>
      </c>
      <c r="J14" s="17">
        <f t="shared" si="5"/>
        <v>637.49142444444703</v>
      </c>
      <c r="K14" s="17">
        <f t="shared" si="3"/>
        <v>21.982462911877484</v>
      </c>
      <c r="L14" s="16">
        <v>75</v>
      </c>
      <c r="M14" s="19">
        <f t="shared" si="6"/>
        <v>0.38666666666666666</v>
      </c>
      <c r="N14" s="16">
        <v>49</v>
      </c>
      <c r="O14" s="20">
        <f t="shared" ref="O14:P14" si="22">D14/7</f>
        <v>4.1428571428571432</v>
      </c>
      <c r="P14" s="20">
        <f t="shared" si="22"/>
        <v>0</v>
      </c>
      <c r="Q14" s="16">
        <f t="shared" si="8"/>
        <v>11</v>
      </c>
      <c r="R14" s="16"/>
      <c r="S14" s="21">
        <v>3.0997150997150902</v>
      </c>
      <c r="T14" s="14">
        <v>1740</v>
      </c>
      <c r="U14" s="22">
        <v>100</v>
      </c>
      <c r="V14" s="23" t="s">
        <v>1680</v>
      </c>
      <c r="W14" s="14">
        <v>0</v>
      </c>
      <c r="X14" s="24">
        <f t="shared" si="9"/>
        <v>0</v>
      </c>
      <c r="Y14" s="25">
        <f t="shared" si="10"/>
        <v>0</v>
      </c>
      <c r="Z14" s="14">
        <v>0</v>
      </c>
      <c r="AA14" s="14" t="s">
        <v>35</v>
      </c>
      <c r="AB14" s="27">
        <f t="shared" si="11"/>
        <v>-0.69</v>
      </c>
      <c r="AC14" s="28">
        <v>0.2685925925925926</v>
      </c>
      <c r="AD14" s="25">
        <f t="shared" si="12"/>
        <v>-10.749075555555555</v>
      </c>
      <c r="AE14" s="25">
        <v>-7.32</v>
      </c>
      <c r="AF14" s="25">
        <v>-16.259999999999899</v>
      </c>
      <c r="AG14" s="25">
        <v>0</v>
      </c>
    </row>
    <row r="15" spans="1:33" ht="15.75" customHeight="1">
      <c r="A15" s="14" t="s">
        <v>36</v>
      </c>
      <c r="B15" s="14" t="s">
        <v>1682</v>
      </c>
      <c r="C15" s="15">
        <f t="shared" si="4"/>
        <v>46.701999999999998</v>
      </c>
      <c r="D15" s="16">
        <v>35</v>
      </c>
      <c r="E15" s="16">
        <v>0</v>
      </c>
      <c r="F15" s="17">
        <v>1634.57</v>
      </c>
      <c r="G15" s="29">
        <v>0</v>
      </c>
      <c r="H15" s="18">
        <f t="shared" si="1"/>
        <v>0</v>
      </c>
      <c r="I15" s="18">
        <f t="shared" si="2"/>
        <v>0.27484994694493209</v>
      </c>
      <c r="J15" s="17">
        <f t="shared" si="5"/>
        <v>449.26147777777766</v>
      </c>
      <c r="K15" s="17">
        <f t="shared" si="3"/>
        <v>12.836042222222218</v>
      </c>
      <c r="L15" s="16">
        <v>109</v>
      </c>
      <c r="M15" s="19">
        <f t="shared" si="6"/>
        <v>0.32110091743119268</v>
      </c>
      <c r="N15" s="16">
        <v>54</v>
      </c>
      <c r="O15" s="20">
        <f t="shared" ref="O15:P15" si="23">D15/7</f>
        <v>5</v>
      </c>
      <c r="P15" s="20">
        <f t="shared" si="23"/>
        <v>0</v>
      </c>
      <c r="Q15" s="16">
        <f t="shared" si="8"/>
        <v>10</v>
      </c>
      <c r="R15" s="16"/>
      <c r="S15" s="21">
        <v>3.4295532646048099</v>
      </c>
      <c r="T15" s="14">
        <v>1740</v>
      </c>
      <c r="U15" s="22">
        <v>100</v>
      </c>
      <c r="V15" s="23" t="s">
        <v>1680</v>
      </c>
      <c r="W15" s="14">
        <v>0</v>
      </c>
      <c r="X15" s="24">
        <f t="shared" si="9"/>
        <v>0</v>
      </c>
      <c r="Y15" s="25">
        <f t="shared" si="10"/>
        <v>0</v>
      </c>
      <c r="Z15" s="14">
        <v>0</v>
      </c>
      <c r="AA15" s="14" t="s">
        <v>35</v>
      </c>
      <c r="AB15" s="27">
        <f t="shared" si="11"/>
        <v>-0.69</v>
      </c>
      <c r="AC15" s="28">
        <v>0.2685925925925926</v>
      </c>
      <c r="AD15" s="25">
        <f t="shared" si="12"/>
        <v>-12.973022222222221</v>
      </c>
      <c r="AE15" s="25">
        <v>-7.32</v>
      </c>
      <c r="AF15" s="25">
        <v>-19.170000000000002</v>
      </c>
      <c r="AG15" s="25">
        <v>0</v>
      </c>
    </row>
    <row r="16" spans="1:33" ht="15.75" customHeight="1">
      <c r="A16" s="14" t="s">
        <v>38</v>
      </c>
      <c r="B16" s="14" t="s">
        <v>311</v>
      </c>
      <c r="C16" s="15">
        <f t="shared" si="4"/>
        <v>47.523333333333341</v>
      </c>
      <c r="D16" s="16">
        <v>21</v>
      </c>
      <c r="E16" s="16">
        <v>0</v>
      </c>
      <c r="F16" s="17">
        <v>997.99000000000012</v>
      </c>
      <c r="G16" s="29">
        <v>0</v>
      </c>
      <c r="H16" s="18">
        <f t="shared" si="1"/>
        <v>0</v>
      </c>
      <c r="I16" s="18">
        <f t="shared" si="2"/>
        <v>0.2847901147974094</v>
      </c>
      <c r="J16" s="17">
        <f t="shared" si="5"/>
        <v>284.21768666666662</v>
      </c>
      <c r="K16" s="17">
        <f t="shared" si="3"/>
        <v>13.534175555555553</v>
      </c>
      <c r="L16" s="16">
        <v>112</v>
      </c>
      <c r="M16" s="19">
        <f t="shared" si="6"/>
        <v>0.1875</v>
      </c>
      <c r="N16" s="16">
        <v>30</v>
      </c>
      <c r="O16" s="20">
        <f t="shared" ref="O16:P16" si="24">D16/7</f>
        <v>3</v>
      </c>
      <c r="P16" s="20">
        <f t="shared" si="24"/>
        <v>0</v>
      </c>
      <c r="Q16" s="16">
        <f t="shared" si="8"/>
        <v>10</v>
      </c>
      <c r="R16" s="16"/>
      <c r="S16" s="21">
        <v>4.9440389294403797</v>
      </c>
      <c r="T16" s="14">
        <v>1740</v>
      </c>
      <c r="U16" s="22">
        <v>100</v>
      </c>
      <c r="V16" s="23" t="s">
        <v>1683</v>
      </c>
      <c r="W16" s="14">
        <v>0</v>
      </c>
      <c r="X16" s="24">
        <f t="shared" si="9"/>
        <v>0</v>
      </c>
      <c r="Y16" s="25">
        <f t="shared" si="10"/>
        <v>0</v>
      </c>
      <c r="Z16" s="14">
        <v>0</v>
      </c>
      <c r="AA16" s="14" t="s">
        <v>35</v>
      </c>
      <c r="AB16" s="27">
        <f t="shared" si="11"/>
        <v>-0.69</v>
      </c>
      <c r="AC16" s="28">
        <v>0.2685925925925926</v>
      </c>
      <c r="AD16" s="25">
        <f t="shared" si="12"/>
        <v>-7.7838133333333328</v>
      </c>
      <c r="AE16" s="25">
        <v>-7.32</v>
      </c>
      <c r="AF16" s="25">
        <v>-19.170000000000002</v>
      </c>
      <c r="AG16" s="25">
        <v>0</v>
      </c>
    </row>
    <row r="17" spans="1:33" ht="15.75" customHeight="1">
      <c r="A17" s="14" t="s">
        <v>40</v>
      </c>
      <c r="B17" s="14" t="s">
        <v>1684</v>
      </c>
      <c r="C17" s="15">
        <f t="shared" si="4"/>
        <v>46.490714285714297</v>
      </c>
      <c r="D17" s="16">
        <v>28</v>
      </c>
      <c r="E17" s="16">
        <v>2</v>
      </c>
      <c r="F17" s="17">
        <v>1301.7400000000002</v>
      </c>
      <c r="G17" s="29">
        <v>0</v>
      </c>
      <c r="H17" s="18">
        <f t="shared" si="1"/>
        <v>0</v>
      </c>
      <c r="I17" s="18">
        <f t="shared" si="2"/>
        <v>0.27223607035369768</v>
      </c>
      <c r="J17" s="17">
        <f t="shared" si="5"/>
        <v>354.38058222222247</v>
      </c>
      <c r="K17" s="17">
        <f t="shared" si="3"/>
        <v>12.656449365079373</v>
      </c>
      <c r="L17" s="16">
        <v>64</v>
      </c>
      <c r="M17" s="19">
        <f t="shared" si="6"/>
        <v>0.4375</v>
      </c>
      <c r="N17" s="16">
        <v>106</v>
      </c>
      <c r="O17" s="20">
        <f t="shared" ref="O17:P17" si="25">D17/7</f>
        <v>4</v>
      </c>
      <c r="P17" s="20">
        <f t="shared" si="25"/>
        <v>0.2857142857142857</v>
      </c>
      <c r="Q17" s="16">
        <f t="shared" si="8"/>
        <v>24</v>
      </c>
      <c r="R17" s="16"/>
      <c r="S17" s="21">
        <v>3.50252100840336</v>
      </c>
      <c r="T17" s="14">
        <v>1708</v>
      </c>
      <c r="U17" s="22">
        <v>100</v>
      </c>
      <c r="V17" s="23" t="s">
        <v>1685</v>
      </c>
      <c r="W17" s="14">
        <v>0</v>
      </c>
      <c r="X17" s="24">
        <f t="shared" si="9"/>
        <v>0</v>
      </c>
      <c r="Y17" s="25">
        <f t="shared" si="10"/>
        <v>0</v>
      </c>
      <c r="Z17" s="14">
        <v>0</v>
      </c>
      <c r="AA17" s="14" t="s">
        <v>35</v>
      </c>
      <c r="AB17" s="27">
        <f t="shared" si="11"/>
        <v>-0.69</v>
      </c>
      <c r="AC17" s="28">
        <v>0.2685925925925926</v>
      </c>
      <c r="AD17" s="25">
        <f t="shared" si="12"/>
        <v>-10.378417777777777</v>
      </c>
      <c r="AE17" s="25">
        <v>-7.32</v>
      </c>
      <c r="AF17" s="25">
        <v>-19.170000000000002</v>
      </c>
      <c r="AG17" s="25">
        <v>0</v>
      </c>
    </row>
    <row r="18" spans="1:33" ht="15.75" customHeight="1">
      <c r="A18" s="14" t="s">
        <v>42</v>
      </c>
      <c r="B18" s="14" t="s">
        <v>68</v>
      </c>
      <c r="C18" s="15">
        <f t="shared" si="4"/>
        <v>38.317611940298519</v>
      </c>
      <c r="D18" s="16">
        <v>67</v>
      </c>
      <c r="E18" s="16">
        <v>0</v>
      </c>
      <c r="F18" s="17">
        <v>2567.2800000000007</v>
      </c>
      <c r="G18" s="29">
        <v>-0.04</v>
      </c>
      <c r="H18" s="18">
        <f t="shared" si="1"/>
        <v>1.5580692405970518E-5</v>
      </c>
      <c r="I18" s="18">
        <f t="shared" si="2"/>
        <v>0.14895153362865252</v>
      </c>
      <c r="J18" s="17">
        <f t="shared" si="5"/>
        <v>382.40029325416714</v>
      </c>
      <c r="K18" s="17">
        <f t="shared" si="3"/>
        <v>5.7074670634950317</v>
      </c>
      <c r="L18" s="16">
        <v>125</v>
      </c>
      <c r="M18" s="19">
        <f t="shared" si="6"/>
        <v>0.53600000000000003</v>
      </c>
      <c r="N18" s="16">
        <v>75</v>
      </c>
      <c r="O18" s="20">
        <f t="shared" ref="O18:P18" si="26">D18/7</f>
        <v>9.5714285714285712</v>
      </c>
      <c r="P18" s="20">
        <f t="shared" si="26"/>
        <v>0</v>
      </c>
      <c r="Q18" s="16">
        <f t="shared" si="8"/>
        <v>7</v>
      </c>
      <c r="R18" s="16"/>
      <c r="S18" s="21">
        <v>2.5754838709677399</v>
      </c>
      <c r="T18" s="14">
        <v>240</v>
      </c>
      <c r="U18" s="22">
        <v>0</v>
      </c>
      <c r="V18" s="23" t="s">
        <v>1686</v>
      </c>
      <c r="W18" s="14">
        <v>0</v>
      </c>
      <c r="X18" s="24">
        <f t="shared" si="9"/>
        <v>0</v>
      </c>
      <c r="Y18" s="25">
        <f t="shared" si="10"/>
        <v>0.01</v>
      </c>
      <c r="Z18" s="14">
        <v>4</v>
      </c>
      <c r="AA18" s="14" t="s">
        <v>35</v>
      </c>
      <c r="AB18" s="27">
        <f t="shared" si="11"/>
        <v>-0.69</v>
      </c>
      <c r="AC18" s="28">
        <v>0.2694971527777778</v>
      </c>
      <c r="AD18" s="25">
        <f t="shared" si="12"/>
        <v>-24.917706745833332</v>
      </c>
      <c r="AE18" s="25">
        <v>-7.32</v>
      </c>
      <c r="AF18" s="25">
        <v>-19.170000000000002</v>
      </c>
      <c r="AG18" s="25">
        <v>0</v>
      </c>
    </row>
    <row r="19" spans="1:33" ht="15.75" customHeight="1">
      <c r="A19" s="14" t="s">
        <v>44</v>
      </c>
      <c r="B19" s="14" t="s">
        <v>1687</v>
      </c>
      <c r="C19" s="15">
        <f t="shared" si="4"/>
        <v>37.336875000000006</v>
      </c>
      <c r="D19" s="16">
        <v>64</v>
      </c>
      <c r="E19" s="16">
        <v>0</v>
      </c>
      <c r="F19" s="17">
        <v>2389.5600000000004</v>
      </c>
      <c r="G19" s="29">
        <v>0</v>
      </c>
      <c r="H19" s="18">
        <f t="shared" si="1"/>
        <v>0</v>
      </c>
      <c r="I19" s="18">
        <f t="shared" si="2"/>
        <v>0.10664892761289382</v>
      </c>
      <c r="J19" s="17">
        <f t="shared" si="5"/>
        <v>254.84401146666661</v>
      </c>
      <c r="K19" s="17">
        <f t="shared" si="3"/>
        <v>3.9819376791666659</v>
      </c>
      <c r="L19" s="16">
        <v>152</v>
      </c>
      <c r="M19" s="19">
        <f t="shared" si="6"/>
        <v>0.42105263157894735</v>
      </c>
      <c r="N19" s="16">
        <v>25</v>
      </c>
      <c r="O19" s="20">
        <f t="shared" ref="O19:P19" si="27">D19/7</f>
        <v>9.1428571428571423</v>
      </c>
      <c r="P19" s="20">
        <f t="shared" si="27"/>
        <v>0</v>
      </c>
      <c r="Q19" s="16">
        <f t="shared" si="8"/>
        <v>2</v>
      </c>
      <c r="R19" s="16"/>
      <c r="S19" s="21">
        <v>3.23493975903614</v>
      </c>
      <c r="T19" s="14">
        <v>240</v>
      </c>
      <c r="U19" s="22">
        <v>240</v>
      </c>
      <c r="V19" s="23" t="s">
        <v>1686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14" t="s">
        <v>35</v>
      </c>
      <c r="AB19" s="27">
        <f t="shared" si="11"/>
        <v>-0.69</v>
      </c>
      <c r="AC19" s="28">
        <v>0.2694971527777778</v>
      </c>
      <c r="AD19" s="25">
        <f t="shared" si="12"/>
        <v>-23.801988533333333</v>
      </c>
      <c r="AE19" s="25">
        <v>-7.32</v>
      </c>
      <c r="AF19" s="25">
        <v>-20.062500000000004</v>
      </c>
      <c r="AG19" s="25">
        <v>0</v>
      </c>
    </row>
    <row r="20" spans="1:33" ht="15.75" customHeight="1">
      <c r="A20" s="14" t="s">
        <v>46</v>
      </c>
      <c r="B20" s="14" t="s">
        <v>1688</v>
      </c>
      <c r="C20" s="15">
        <f t="shared" si="4"/>
        <v>39.166382978723419</v>
      </c>
      <c r="D20" s="16">
        <v>47</v>
      </c>
      <c r="E20" s="16">
        <v>0</v>
      </c>
      <c r="F20" s="17">
        <v>1840.8200000000006</v>
      </c>
      <c r="G20" s="29">
        <v>0</v>
      </c>
      <c r="H20" s="18">
        <f t="shared" si="1"/>
        <v>0</v>
      </c>
      <c r="I20" s="18">
        <f t="shared" si="2"/>
        <v>0.1413717336137339</v>
      </c>
      <c r="J20" s="17">
        <f t="shared" si="5"/>
        <v>260.23991467083374</v>
      </c>
      <c r="K20" s="17">
        <f t="shared" si="3"/>
        <v>5.5370194610815693</v>
      </c>
      <c r="L20" s="16">
        <v>130</v>
      </c>
      <c r="M20" s="19">
        <f t="shared" si="6"/>
        <v>0.36153846153846153</v>
      </c>
      <c r="N20" s="16">
        <v>70</v>
      </c>
      <c r="O20" s="20">
        <f t="shared" ref="O20:P20" si="28">D20/7</f>
        <v>6.7142857142857144</v>
      </c>
      <c r="P20" s="20">
        <f t="shared" si="28"/>
        <v>0</v>
      </c>
      <c r="Q20" s="16">
        <f t="shared" si="8"/>
        <v>10</v>
      </c>
      <c r="R20" s="16"/>
      <c r="S20" s="21">
        <v>3.9490909090908999</v>
      </c>
      <c r="T20" s="14">
        <v>240</v>
      </c>
      <c r="U20" s="22">
        <v>230</v>
      </c>
      <c r="V20" s="23" t="s">
        <v>1689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14" t="s">
        <v>35</v>
      </c>
      <c r="AB20" s="27">
        <f t="shared" si="11"/>
        <v>-0.69</v>
      </c>
      <c r="AC20" s="28">
        <v>0.2694971527777778</v>
      </c>
      <c r="AD20" s="25">
        <f t="shared" si="12"/>
        <v>-17.479585329166667</v>
      </c>
      <c r="AE20" s="25">
        <v>-7.32</v>
      </c>
      <c r="AF20" s="25">
        <v>-20.062500000000004</v>
      </c>
      <c r="AG20" s="25">
        <v>0</v>
      </c>
    </row>
    <row r="21" spans="1:33" ht="15.75" customHeight="1">
      <c r="A21" s="14" t="s">
        <v>47</v>
      </c>
      <c r="B21" s="14" t="s">
        <v>1690</v>
      </c>
      <c r="C21" s="15">
        <f t="shared" si="4"/>
        <v>41.82412698412702</v>
      </c>
      <c r="D21" s="16">
        <v>63</v>
      </c>
      <c r="E21" s="16">
        <v>0</v>
      </c>
      <c r="F21" s="17">
        <v>2634.9200000000023</v>
      </c>
      <c r="G21" s="29">
        <v>0</v>
      </c>
      <c r="H21" s="18">
        <f t="shared" si="1"/>
        <v>0</v>
      </c>
      <c r="I21" s="18">
        <f t="shared" si="2"/>
        <v>0.18640202265628608</v>
      </c>
      <c r="J21" s="17">
        <f t="shared" si="5"/>
        <v>491.15441753750173</v>
      </c>
      <c r="K21" s="17">
        <f t="shared" si="3"/>
        <v>7.7961018656746308</v>
      </c>
      <c r="L21" s="16">
        <v>49</v>
      </c>
      <c r="M21" s="19">
        <f t="shared" si="6"/>
        <v>1.2857142857142858</v>
      </c>
      <c r="N21" s="16">
        <v>650</v>
      </c>
      <c r="O21" s="20">
        <f t="shared" ref="O21:P21" si="29">D21/7</f>
        <v>9</v>
      </c>
      <c r="P21" s="20">
        <f t="shared" si="29"/>
        <v>0</v>
      </c>
      <c r="Q21" s="16">
        <f t="shared" si="8"/>
        <v>72</v>
      </c>
      <c r="R21" s="16"/>
      <c r="S21" s="21">
        <v>1.96579657965796</v>
      </c>
      <c r="T21" s="14">
        <v>240</v>
      </c>
      <c r="U21" s="22">
        <v>230</v>
      </c>
      <c r="V21" s="23" t="s">
        <v>1691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14" t="s">
        <v>35</v>
      </c>
      <c r="AB21" s="27">
        <f t="shared" si="11"/>
        <v>-0.69</v>
      </c>
      <c r="AC21" s="28">
        <v>0.2694971527777778</v>
      </c>
      <c r="AD21" s="25">
        <f t="shared" si="12"/>
        <v>-23.4300824625</v>
      </c>
      <c r="AE21" s="25">
        <v>-7.32</v>
      </c>
      <c r="AF21" s="25">
        <v>-20.062500000000004</v>
      </c>
      <c r="AG21" s="25">
        <v>0</v>
      </c>
    </row>
    <row r="22" spans="1:33" ht="15.75" customHeight="1">
      <c r="A22" s="14" t="s">
        <v>48</v>
      </c>
      <c r="B22" s="14" t="s">
        <v>68</v>
      </c>
      <c r="C22" s="15">
        <f t="shared" si="4"/>
        <v>44.767448979591848</v>
      </c>
      <c r="D22" s="16">
        <v>98</v>
      </c>
      <c r="E22" s="16">
        <v>0</v>
      </c>
      <c r="F22" s="29">
        <v>4387.2100000000009</v>
      </c>
      <c r="G22" s="29">
        <v>0</v>
      </c>
      <c r="H22" s="18">
        <f t="shared" si="1"/>
        <v>0</v>
      </c>
      <c r="I22" s="18">
        <f t="shared" si="2"/>
        <v>0.22973629046764785</v>
      </c>
      <c r="J22" s="17">
        <f t="shared" si="5"/>
        <v>1007.9013509025696</v>
      </c>
      <c r="K22" s="17">
        <f t="shared" si="3"/>
        <v>10.284707662271117</v>
      </c>
      <c r="L22" s="16">
        <v>115</v>
      </c>
      <c r="M22" s="19">
        <f t="shared" si="6"/>
        <v>0.85217391304347823</v>
      </c>
      <c r="N22" s="16">
        <v>500</v>
      </c>
      <c r="O22" s="20">
        <f t="shared" ref="O22:P22" si="30">D22/7</f>
        <v>14</v>
      </c>
      <c r="P22" s="20">
        <f t="shared" si="30"/>
        <v>0</v>
      </c>
      <c r="Q22" s="16">
        <f t="shared" si="8"/>
        <v>35</v>
      </c>
      <c r="R22" s="16"/>
      <c r="S22" s="21">
        <v>2.9042316258351799</v>
      </c>
      <c r="T22" s="14">
        <v>240</v>
      </c>
      <c r="U22" s="22">
        <v>230</v>
      </c>
      <c r="V22" s="23" t="s">
        <v>1691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35</v>
      </c>
      <c r="AB22" s="27">
        <f t="shared" si="11"/>
        <v>-0.69</v>
      </c>
      <c r="AC22" s="28">
        <v>0.27907534085648145</v>
      </c>
      <c r="AD22" s="25">
        <f t="shared" si="12"/>
        <v>-37.742149097430548</v>
      </c>
      <c r="AE22" s="25">
        <v>-7.32</v>
      </c>
      <c r="AF22" s="25">
        <v>-20.062500000000004</v>
      </c>
      <c r="AG22" s="25">
        <v>0</v>
      </c>
    </row>
    <row r="23" spans="1:33" ht="15.75" customHeight="1">
      <c r="A23" s="14" t="s">
        <v>49</v>
      </c>
      <c r="B23" s="14" t="s">
        <v>68</v>
      </c>
      <c r="C23" s="15">
        <f t="shared" si="4"/>
        <v>46.779999999999994</v>
      </c>
      <c r="D23" s="16">
        <v>60</v>
      </c>
      <c r="E23" s="16">
        <v>4</v>
      </c>
      <c r="F23" s="17">
        <v>2806.7999999999997</v>
      </c>
      <c r="G23" s="29">
        <v>0</v>
      </c>
      <c r="H23" s="18">
        <f t="shared" si="1"/>
        <v>0</v>
      </c>
      <c r="I23" s="18">
        <f t="shared" si="2"/>
        <v>0.25642103526331866</v>
      </c>
      <c r="J23" s="17">
        <f t="shared" si="5"/>
        <v>719.72256177708277</v>
      </c>
      <c r="K23" s="17">
        <f t="shared" si="3"/>
        <v>11.995376029618047</v>
      </c>
      <c r="L23" s="16">
        <v>99</v>
      </c>
      <c r="M23" s="19">
        <f t="shared" si="6"/>
        <v>0.60606060606060608</v>
      </c>
      <c r="N23" s="16">
        <v>440</v>
      </c>
      <c r="O23" s="20">
        <f t="shared" ref="O23:P23" si="31">D23/7</f>
        <v>8.5714285714285712</v>
      </c>
      <c r="P23" s="20">
        <f t="shared" si="31"/>
        <v>0.5714285714285714</v>
      </c>
      <c r="Q23" s="16">
        <f t="shared" si="8"/>
        <v>48</v>
      </c>
      <c r="R23" s="16"/>
      <c r="S23" s="21">
        <v>3.1465416178194601</v>
      </c>
      <c r="T23" s="14">
        <v>240</v>
      </c>
      <c r="U23" s="22">
        <v>230</v>
      </c>
      <c r="V23" s="23" t="s">
        <v>1692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35</v>
      </c>
      <c r="AB23" s="27">
        <f t="shared" si="11"/>
        <v>-0.69</v>
      </c>
      <c r="AC23" s="28">
        <v>0.27907534085648145</v>
      </c>
      <c r="AD23" s="25">
        <f t="shared" si="12"/>
        <v>-23.107438222916659</v>
      </c>
      <c r="AE23" s="25">
        <v>-7.32</v>
      </c>
      <c r="AF23" s="25">
        <v>-20.062500000000004</v>
      </c>
      <c r="AG23" s="25">
        <v>0</v>
      </c>
    </row>
    <row r="24" spans="1:33" ht="15.75" customHeight="1">
      <c r="A24" s="14" t="s">
        <v>50</v>
      </c>
      <c r="B24" s="14" t="s">
        <v>1693</v>
      </c>
      <c r="C24" s="15">
        <f t="shared" si="4"/>
        <v>46.64967213114754</v>
      </c>
      <c r="D24" s="16">
        <v>61</v>
      </c>
      <c r="E24" s="16">
        <v>0</v>
      </c>
      <c r="F24" s="17">
        <v>2845.63</v>
      </c>
      <c r="G24" s="17">
        <v>0</v>
      </c>
      <c r="H24" s="18">
        <f t="shared" si="1"/>
        <v>0</v>
      </c>
      <c r="I24" s="18">
        <f t="shared" si="2"/>
        <v>0.25476271961101798</v>
      </c>
      <c r="J24" s="17">
        <f t="shared" si="5"/>
        <v>724.96043780670118</v>
      </c>
      <c r="K24" s="17">
        <f t="shared" si="3"/>
        <v>11.884597341093462</v>
      </c>
      <c r="L24" s="16">
        <v>125</v>
      </c>
      <c r="M24" s="19">
        <f t="shared" si="6"/>
        <v>0.48799999999999999</v>
      </c>
      <c r="N24" s="16">
        <v>353</v>
      </c>
      <c r="O24" s="20">
        <f t="shared" ref="O24:P24" si="32">D24/7</f>
        <v>8.7142857142857135</v>
      </c>
      <c r="P24" s="20">
        <f t="shared" si="32"/>
        <v>0</v>
      </c>
      <c r="Q24" s="16">
        <f t="shared" si="8"/>
        <v>40</v>
      </c>
      <c r="R24" s="16"/>
      <c r="S24" s="21">
        <v>3.4540816326530601</v>
      </c>
      <c r="T24" s="14">
        <v>240</v>
      </c>
      <c r="U24" s="22">
        <v>230</v>
      </c>
      <c r="V24" s="23" t="s">
        <v>1694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14" t="s">
        <v>35</v>
      </c>
      <c r="AB24" s="27">
        <f t="shared" si="11"/>
        <v>-0.69</v>
      </c>
      <c r="AC24" s="28">
        <v>0.27907534085648145</v>
      </c>
      <c r="AD24" s="25">
        <f t="shared" si="12"/>
        <v>-23.492562193298607</v>
      </c>
      <c r="AE24" s="25">
        <v>-7.32</v>
      </c>
      <c r="AF24" s="25">
        <v>-20.062500000000004</v>
      </c>
      <c r="AG24" s="25">
        <v>0</v>
      </c>
    </row>
    <row r="25" spans="1:33" ht="15.75" customHeight="1">
      <c r="A25" s="14" t="s">
        <v>51</v>
      </c>
      <c r="B25" s="14" t="s">
        <v>1695</v>
      </c>
      <c r="C25" s="15">
        <f t="shared" si="4"/>
        <v>47.086964285714281</v>
      </c>
      <c r="D25" s="16">
        <v>56</v>
      </c>
      <c r="E25" s="16">
        <v>0</v>
      </c>
      <c r="F25" s="17">
        <v>2636.87</v>
      </c>
      <c r="G25" s="17">
        <v>0</v>
      </c>
      <c r="H25" s="18">
        <f t="shared" si="1"/>
        <v>0</v>
      </c>
      <c r="I25" s="18">
        <f t="shared" si="2"/>
        <v>0.26034372481715695</v>
      </c>
      <c r="J25" s="17">
        <f t="shared" si="5"/>
        <v>686.49255765861665</v>
      </c>
      <c r="K25" s="17">
        <f t="shared" si="3"/>
        <v>12.258795672475298</v>
      </c>
      <c r="L25" s="16">
        <v>120</v>
      </c>
      <c r="M25" s="19">
        <f t="shared" si="6"/>
        <v>0.46666666666666667</v>
      </c>
      <c r="N25" s="16">
        <v>288</v>
      </c>
      <c r="O25" s="20">
        <f t="shared" ref="O25:P25" si="33">D25/7</f>
        <v>8</v>
      </c>
      <c r="P25" s="20">
        <f t="shared" si="33"/>
        <v>0</v>
      </c>
      <c r="Q25" s="16">
        <f t="shared" si="8"/>
        <v>36</v>
      </c>
      <c r="R25" s="16"/>
      <c r="S25" s="21">
        <v>2.2404006677796331</v>
      </c>
      <c r="T25" s="14">
        <v>440</v>
      </c>
      <c r="U25" s="22">
        <v>230</v>
      </c>
      <c r="V25" s="23" t="s">
        <v>1696</v>
      </c>
      <c r="W25" s="30">
        <v>0</v>
      </c>
      <c r="X25" s="24">
        <f t="shared" si="9"/>
        <v>0</v>
      </c>
      <c r="Y25" s="25">
        <f t="shared" si="10"/>
        <v>0</v>
      </c>
      <c r="Z25" s="30">
        <v>0</v>
      </c>
      <c r="AA25" s="14" t="s">
        <v>35</v>
      </c>
      <c r="AB25" s="27">
        <f t="shared" si="11"/>
        <v>-0.69</v>
      </c>
      <c r="AC25" s="28">
        <v>0.27907534085648145</v>
      </c>
      <c r="AD25" s="25">
        <f t="shared" si="12"/>
        <v>-21.566942341388884</v>
      </c>
      <c r="AE25" s="25">
        <v>-7.32</v>
      </c>
      <c r="AF25" s="25">
        <v>-20.059999999999899</v>
      </c>
      <c r="AG25" s="25">
        <v>0</v>
      </c>
    </row>
    <row r="26" spans="1:33" ht="15.75" customHeight="1">
      <c r="A26" s="14" t="s">
        <v>52</v>
      </c>
      <c r="B26" s="14" t="s">
        <v>1697</v>
      </c>
      <c r="C26" s="15">
        <f t="shared" si="4"/>
        <v>45.279600000000002</v>
      </c>
      <c r="D26" s="16">
        <v>25</v>
      </c>
      <c r="E26" s="16">
        <v>0</v>
      </c>
      <c r="F26" s="17">
        <v>1131.99</v>
      </c>
      <c r="G26" s="17">
        <v>0</v>
      </c>
      <c r="H26" s="18">
        <f t="shared" si="1"/>
        <v>0</v>
      </c>
      <c r="I26" s="18">
        <f t="shared" si="2"/>
        <v>0.2398439038688075</v>
      </c>
      <c r="J26" s="17">
        <f t="shared" si="5"/>
        <v>271.50090074045141</v>
      </c>
      <c r="K26" s="17">
        <f t="shared" si="3"/>
        <v>10.860036029618056</v>
      </c>
      <c r="L26" s="16">
        <v>95</v>
      </c>
      <c r="M26" s="19">
        <f t="shared" si="6"/>
        <v>0.26315789473684209</v>
      </c>
      <c r="N26" s="16">
        <v>280</v>
      </c>
      <c r="O26" s="20">
        <f t="shared" ref="O26:P26" si="34">D26/7</f>
        <v>3.5714285714285716</v>
      </c>
      <c r="P26" s="20">
        <f t="shared" si="34"/>
        <v>0</v>
      </c>
      <c r="Q26" s="16">
        <f t="shared" si="8"/>
        <v>78</v>
      </c>
      <c r="R26" s="16"/>
      <c r="S26" s="21">
        <v>2.3363471971066909</v>
      </c>
      <c r="T26" s="14">
        <v>440</v>
      </c>
      <c r="U26" s="22">
        <v>230</v>
      </c>
      <c r="V26" s="23" t="s">
        <v>1698</v>
      </c>
      <c r="W26" s="30">
        <v>0</v>
      </c>
      <c r="X26" s="24">
        <f t="shared" si="9"/>
        <v>0</v>
      </c>
      <c r="Y26" s="25">
        <f t="shared" si="10"/>
        <v>0</v>
      </c>
      <c r="Z26" s="30">
        <v>0</v>
      </c>
      <c r="AA26" s="14" t="s">
        <v>35</v>
      </c>
      <c r="AB26" s="27">
        <f t="shared" si="11"/>
        <v>-0.69</v>
      </c>
      <c r="AC26" s="28">
        <v>0.27907534085648145</v>
      </c>
      <c r="AD26" s="25">
        <f t="shared" si="12"/>
        <v>-9.628099259548609</v>
      </c>
      <c r="AE26" s="25">
        <v>-7.18</v>
      </c>
      <c r="AF26" s="25">
        <v>-20.0625</v>
      </c>
      <c r="AG26" s="25">
        <v>0</v>
      </c>
    </row>
    <row r="27" spans="1:33" ht="15.75" customHeight="1">
      <c r="A27" s="14" t="s">
        <v>53</v>
      </c>
      <c r="B27" s="14" t="s">
        <v>66</v>
      </c>
      <c r="C27" s="15">
        <f t="shared" si="4"/>
        <v>43.712436974789917</v>
      </c>
      <c r="D27" s="16">
        <v>119</v>
      </c>
      <c r="E27" s="16">
        <v>0</v>
      </c>
      <c r="F27" s="17">
        <v>5201.78</v>
      </c>
      <c r="G27" s="17">
        <v>-283.87000000000012</v>
      </c>
      <c r="H27" s="18">
        <f t="shared" si="1"/>
        <v>5.4571704301219992E-2</v>
      </c>
      <c r="I27" s="18">
        <f t="shared" si="2"/>
        <v>0.15275939150147616</v>
      </c>
      <c r="J27" s="17">
        <f t="shared" si="5"/>
        <v>794.62074752454862</v>
      </c>
      <c r="K27" s="17">
        <f t="shared" si="3"/>
        <v>6.6774852733155345</v>
      </c>
      <c r="L27" s="16">
        <v>204</v>
      </c>
      <c r="M27" s="19">
        <f t="shared" si="6"/>
        <v>0.58333333333333337</v>
      </c>
      <c r="N27" s="16">
        <v>188</v>
      </c>
      <c r="O27" s="20">
        <f t="shared" ref="O27:P27" si="35">D27/7</f>
        <v>17</v>
      </c>
      <c r="P27" s="20">
        <f t="shared" si="35"/>
        <v>0</v>
      </c>
      <c r="Q27" s="16">
        <f t="shared" si="8"/>
        <v>11</v>
      </c>
      <c r="R27" s="16"/>
      <c r="S27" s="21">
        <v>3.4900990099009901</v>
      </c>
      <c r="T27" s="14">
        <v>200</v>
      </c>
      <c r="U27" s="22" t="s">
        <v>34</v>
      </c>
      <c r="V27" s="23" t="s">
        <v>34</v>
      </c>
      <c r="W27" s="30">
        <v>37</v>
      </c>
      <c r="X27" s="24">
        <f t="shared" si="9"/>
        <v>0.31092436974789917</v>
      </c>
      <c r="Y27" s="25">
        <f t="shared" si="10"/>
        <v>4.7311666666666685</v>
      </c>
      <c r="Z27" s="30">
        <v>23</v>
      </c>
      <c r="AA27" s="14" t="s">
        <v>35</v>
      </c>
      <c r="AB27" s="27">
        <f t="shared" si="11"/>
        <v>-0.69</v>
      </c>
      <c r="AC27" s="28">
        <v>0.27907534085648145</v>
      </c>
      <c r="AD27" s="25">
        <f t="shared" si="12"/>
        <v>-45.829752475451379</v>
      </c>
      <c r="AE27" s="25">
        <v>-7.18</v>
      </c>
      <c r="AF27" s="25">
        <v>-20.5275</v>
      </c>
      <c r="AG27" s="25">
        <v>0</v>
      </c>
    </row>
    <row r="28" spans="1:33" ht="15.75" customHeight="1">
      <c r="A28" s="14" t="s">
        <v>54</v>
      </c>
      <c r="B28" s="14" t="s">
        <v>1602</v>
      </c>
      <c r="C28" s="15">
        <f t="shared" si="4"/>
        <v>46.162191780821921</v>
      </c>
      <c r="D28" s="16">
        <v>73</v>
      </c>
      <c r="E28" s="16">
        <v>1</v>
      </c>
      <c r="F28" s="17">
        <v>3369.84</v>
      </c>
      <c r="G28" s="17">
        <v>-37.44</v>
      </c>
      <c r="H28" s="18">
        <f t="shared" si="1"/>
        <v>1.1110319777793603E-2</v>
      </c>
      <c r="I28" s="18">
        <f t="shared" si="2"/>
        <v>0.2303262024790845</v>
      </c>
      <c r="J28" s="17">
        <f t="shared" si="5"/>
        <v>776.16245016211815</v>
      </c>
      <c r="K28" s="17">
        <f t="shared" si="3"/>
        <v>10.63236233098792</v>
      </c>
      <c r="L28" s="16">
        <v>143</v>
      </c>
      <c r="M28" s="19">
        <f t="shared" si="6"/>
        <v>0.51048951048951052</v>
      </c>
      <c r="N28" s="16">
        <v>320</v>
      </c>
      <c r="O28" s="20">
        <f t="shared" ref="O28:P28" si="36">D28/7</f>
        <v>10.428571428571429</v>
      </c>
      <c r="P28" s="20">
        <f t="shared" si="36"/>
        <v>0.14285714285714285</v>
      </c>
      <c r="Q28" s="16">
        <f t="shared" si="8"/>
        <v>30</v>
      </c>
      <c r="R28" s="16"/>
      <c r="S28" s="21">
        <v>3.2948583420776489</v>
      </c>
      <c r="T28" s="14">
        <v>600</v>
      </c>
      <c r="U28" s="22" t="s">
        <v>34</v>
      </c>
      <c r="V28" s="23" t="s">
        <v>34</v>
      </c>
      <c r="W28" s="30">
        <v>6</v>
      </c>
      <c r="X28" s="24">
        <f t="shared" si="9"/>
        <v>8.2191780821917804E-2</v>
      </c>
      <c r="Y28" s="25">
        <f t="shared" si="10"/>
        <v>3.7439999999999998</v>
      </c>
      <c r="Z28" s="30">
        <v>4</v>
      </c>
      <c r="AA28" s="14" t="s">
        <v>35</v>
      </c>
      <c r="AB28" s="27">
        <f t="shared" si="11"/>
        <v>-0.69</v>
      </c>
      <c r="AC28" s="28">
        <v>0.27907534085648145</v>
      </c>
      <c r="AD28" s="25">
        <f t="shared" si="12"/>
        <v>-28.114049837881936</v>
      </c>
      <c r="AE28" s="25">
        <v>-7.18</v>
      </c>
      <c r="AF28" s="25">
        <v>-20.5275</v>
      </c>
      <c r="AG28" s="25">
        <v>0</v>
      </c>
    </row>
    <row r="29" spans="1:33" ht="15.75" customHeight="1">
      <c r="A29" s="14" t="s">
        <v>55</v>
      </c>
      <c r="B29" s="14" t="s">
        <v>1699</v>
      </c>
      <c r="C29" s="15">
        <f t="shared" si="4"/>
        <v>45.968363636363641</v>
      </c>
      <c r="D29" s="16">
        <v>55</v>
      </c>
      <c r="E29" s="16">
        <v>10</v>
      </c>
      <c r="F29" s="17">
        <v>2528.2600000000002</v>
      </c>
      <c r="G29" s="17">
        <v>0</v>
      </c>
      <c r="H29" s="18">
        <f t="shared" si="1"/>
        <v>0</v>
      </c>
      <c r="I29" s="18">
        <f t="shared" si="2"/>
        <v>0.23887048073734238</v>
      </c>
      <c r="J29" s="17">
        <f t="shared" si="5"/>
        <v>603.92668162899326</v>
      </c>
      <c r="K29" s="17">
        <f t="shared" si="3"/>
        <v>10.980485120527151</v>
      </c>
      <c r="L29" s="16">
        <v>159</v>
      </c>
      <c r="M29" s="19">
        <f t="shared" si="6"/>
        <v>0.34591194968553457</v>
      </c>
      <c r="N29" s="16">
        <v>252</v>
      </c>
      <c r="O29" s="20">
        <f t="shared" ref="O29:P29" si="37">D29/7</f>
        <v>7.8571428571428568</v>
      </c>
      <c r="P29" s="20">
        <f t="shared" si="37"/>
        <v>1.4285714285714286</v>
      </c>
      <c r="Q29" s="16">
        <f t="shared" si="8"/>
        <v>27</v>
      </c>
      <c r="R29" s="16"/>
      <c r="S29" s="21">
        <v>3.3725490196078431</v>
      </c>
      <c r="T29" s="14">
        <v>600</v>
      </c>
      <c r="U29" s="22" t="s">
        <v>34</v>
      </c>
      <c r="V29" s="23" t="s">
        <v>34</v>
      </c>
      <c r="W29" s="30">
        <v>0</v>
      </c>
      <c r="X29" s="24">
        <f t="shared" si="9"/>
        <v>0</v>
      </c>
      <c r="Y29" s="25">
        <f t="shared" si="10"/>
        <v>0</v>
      </c>
      <c r="Z29" s="30">
        <v>0</v>
      </c>
      <c r="AA29" s="14" t="s">
        <v>35</v>
      </c>
      <c r="AB29" s="27">
        <f t="shared" si="11"/>
        <v>-0.69</v>
      </c>
      <c r="AC29" s="28">
        <v>0.27907534085648145</v>
      </c>
      <c r="AD29" s="25">
        <f t="shared" si="12"/>
        <v>-21.181818371006941</v>
      </c>
      <c r="AE29" s="25">
        <v>-7.18</v>
      </c>
      <c r="AF29" s="25">
        <v>-20.5275</v>
      </c>
      <c r="AG29" s="25">
        <v>0</v>
      </c>
    </row>
    <row r="30" spans="1:33" ht="15.75" customHeight="1">
      <c r="A30" s="14" t="s">
        <v>57</v>
      </c>
      <c r="B30" s="14" t="s">
        <v>1700</v>
      </c>
      <c r="C30" s="15">
        <f t="shared" si="4"/>
        <v>43.007923076923035</v>
      </c>
      <c r="D30" s="16">
        <v>130</v>
      </c>
      <c r="E30" s="16">
        <v>1</v>
      </c>
      <c r="F30" s="17">
        <v>5591.0299999999943</v>
      </c>
      <c r="G30" s="17">
        <v>-0.13</v>
      </c>
      <c r="H30" s="18">
        <f t="shared" si="1"/>
        <v>2.3251529682366244E-5</v>
      </c>
      <c r="I30" s="18">
        <f t="shared" si="2"/>
        <v>0.21261159433920815</v>
      </c>
      <c r="J30" s="17">
        <f t="shared" si="5"/>
        <v>1188.7178022983417</v>
      </c>
      <c r="K30" s="17">
        <f t="shared" si="3"/>
        <v>9.1439830946026284</v>
      </c>
      <c r="L30" s="16">
        <v>174</v>
      </c>
      <c r="M30" s="19">
        <f t="shared" si="6"/>
        <v>0.74712643678160917</v>
      </c>
      <c r="N30" s="16">
        <v>105</v>
      </c>
      <c r="O30" s="20">
        <f t="shared" ref="O30:P30" si="38">D30/7</f>
        <v>18.571428571428573</v>
      </c>
      <c r="P30" s="20">
        <f t="shared" si="38"/>
        <v>0.14285714285714285</v>
      </c>
      <c r="Q30" s="16">
        <f t="shared" si="8"/>
        <v>5</v>
      </c>
      <c r="R30" s="16"/>
      <c r="S30" s="21">
        <v>2.5462753950338599</v>
      </c>
      <c r="T30" s="14">
        <v>200</v>
      </c>
      <c r="U30" s="22" t="s">
        <v>34</v>
      </c>
      <c r="V30" s="23" t="s">
        <v>34</v>
      </c>
      <c r="W30" s="30">
        <v>0</v>
      </c>
      <c r="X30" s="24">
        <f t="shared" si="9"/>
        <v>0</v>
      </c>
      <c r="Y30" s="25">
        <f t="shared" si="10"/>
        <v>0</v>
      </c>
      <c r="Z30" s="30">
        <v>0</v>
      </c>
      <c r="AA30" s="14" t="s">
        <v>35</v>
      </c>
      <c r="AB30" s="27">
        <f t="shared" si="11"/>
        <v>-0.69</v>
      </c>
      <c r="AC30" s="28">
        <v>0.27907534085648145</v>
      </c>
      <c r="AD30" s="25">
        <f t="shared" si="12"/>
        <v>-50.066116149652764</v>
      </c>
      <c r="AE30" s="25">
        <v>-7.18</v>
      </c>
      <c r="AF30" s="25">
        <v>-19.846627550400001</v>
      </c>
      <c r="AG30" s="25">
        <v>0</v>
      </c>
    </row>
    <row r="31" spans="1:33" ht="15.75" customHeight="1">
      <c r="A31" s="14" t="s">
        <v>58</v>
      </c>
      <c r="B31" s="14" t="s">
        <v>1701</v>
      </c>
      <c r="C31" s="15">
        <f t="shared" si="4"/>
        <v>45.535897435897446</v>
      </c>
      <c r="D31" s="16">
        <v>78</v>
      </c>
      <c r="E31" s="16">
        <v>0</v>
      </c>
      <c r="F31" s="17">
        <v>3551.8000000000006</v>
      </c>
      <c r="G31" s="17">
        <v>-0.8</v>
      </c>
      <c r="H31" s="18">
        <f t="shared" si="1"/>
        <v>2.2523790753983892E-4</v>
      </c>
      <c r="I31" s="18">
        <f t="shared" si="2"/>
        <v>0.24779362052452517</v>
      </c>
      <c r="J31" s="17">
        <f t="shared" si="5"/>
        <v>880.11338137900862</v>
      </c>
      <c r="K31" s="17">
        <f t="shared" si="3"/>
        <v>11.28350488947447</v>
      </c>
      <c r="L31" s="16">
        <v>146</v>
      </c>
      <c r="M31" s="19">
        <f t="shared" si="6"/>
        <v>0.53424657534246578</v>
      </c>
      <c r="N31" s="16">
        <v>42</v>
      </c>
      <c r="O31" s="20">
        <f t="shared" ref="O31:P31" si="39">D31/7</f>
        <v>11.142857142857142</v>
      </c>
      <c r="P31" s="20">
        <f t="shared" si="39"/>
        <v>0</v>
      </c>
      <c r="Q31" s="16">
        <f t="shared" si="8"/>
        <v>3</v>
      </c>
      <c r="R31" s="16"/>
      <c r="S31" s="21">
        <v>3.76730190571715</v>
      </c>
      <c r="T31" s="14" t="s">
        <v>34</v>
      </c>
      <c r="U31" s="22" t="s">
        <v>34</v>
      </c>
      <c r="V31" s="23" t="s">
        <v>1702</v>
      </c>
      <c r="W31" s="30">
        <v>0</v>
      </c>
      <c r="X31" s="24">
        <f t="shared" si="9"/>
        <v>0</v>
      </c>
      <c r="Y31" s="25">
        <f t="shared" si="10"/>
        <v>0</v>
      </c>
      <c r="Z31" s="30">
        <v>0</v>
      </c>
      <c r="AA31" s="14" t="s">
        <v>35</v>
      </c>
      <c r="AB31" s="27">
        <f t="shared" si="11"/>
        <v>-0.69</v>
      </c>
      <c r="AC31" s="28">
        <v>0.27907534085648145</v>
      </c>
      <c r="AD31" s="25">
        <f t="shared" si="12"/>
        <v>-30.039669689791658</v>
      </c>
      <c r="AE31" s="25">
        <v>-7.18</v>
      </c>
      <c r="AF31" s="25">
        <v>-19.846627550400001</v>
      </c>
      <c r="AG31" s="25">
        <v>0</v>
      </c>
    </row>
    <row r="32" spans="1:33" ht="15.75" customHeight="1">
      <c r="A32" s="14" t="s">
        <v>60</v>
      </c>
      <c r="B32" s="14"/>
      <c r="C32" s="15">
        <f t="shared" si="4"/>
        <v>45.942244897959185</v>
      </c>
      <c r="D32" s="16">
        <v>49</v>
      </c>
      <c r="E32" s="16">
        <v>0</v>
      </c>
      <c r="F32" s="17">
        <v>2251.17</v>
      </c>
      <c r="G32" s="17">
        <v>0</v>
      </c>
      <c r="H32" s="18">
        <f t="shared" si="1"/>
        <v>0</v>
      </c>
      <c r="I32" s="18">
        <f t="shared" si="2"/>
        <v>0.25363093527346525</v>
      </c>
      <c r="J32" s="17">
        <f t="shared" si="5"/>
        <v>570.96635255956676</v>
      </c>
      <c r="K32" s="17">
        <f t="shared" si="3"/>
        <v>11.652374542031975</v>
      </c>
      <c r="L32" s="16">
        <v>117</v>
      </c>
      <c r="M32" s="19">
        <f t="shared" si="6"/>
        <v>0.41880341880341881</v>
      </c>
      <c r="N32" s="16">
        <v>190</v>
      </c>
      <c r="O32" s="20">
        <f t="shared" ref="O32:P32" si="40">D32/7</f>
        <v>7</v>
      </c>
      <c r="P32" s="20">
        <f t="shared" si="40"/>
        <v>0</v>
      </c>
      <c r="Q32" s="16">
        <f t="shared" si="8"/>
        <v>27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4.6877370417193429</v>
      </c>
      <c r="T32" s="14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23" t="str">
        <f ca="1">IFERROR(__xludf.DUMMYFUNCTION("IFERROR(VLOOKUP($B$2,IMPORTRANGE(""https://docs.google.com/spreadsheets/d/1KiWZV1ko8G7lnRucBRBd29jj3Be6ltMfljMDqzOkQmI/edit#gid=1381463014"",""Lookup!A:D""),2,FALSE),"""")"),"No Transit or Factory Storage, 800 In Production 60-100 days from Earliest Arrival")</f>
        <v>No Transit or Factory Storage, 800 In Production 60-100 days from Earliest Arrival</v>
      </c>
      <c r="W32" s="30">
        <v>0</v>
      </c>
      <c r="X32" s="24">
        <f t="shared" si="9"/>
        <v>0</v>
      </c>
      <c r="Y32" s="25">
        <f t="shared" si="10"/>
        <v>0</v>
      </c>
      <c r="Z32" s="30">
        <v>0</v>
      </c>
      <c r="AA32" s="14" t="s">
        <v>35</v>
      </c>
      <c r="AB32" s="27">
        <f t="shared" si="11"/>
        <v>-0.69</v>
      </c>
      <c r="AC32" s="28">
        <v>0.2694971527777778</v>
      </c>
      <c r="AD32" s="25">
        <f t="shared" si="12"/>
        <v>-18.223397470833334</v>
      </c>
      <c r="AE32" s="25">
        <v>-7.18</v>
      </c>
      <c r="AF32" s="25">
        <v>-19.846627550400001</v>
      </c>
      <c r="AG32" s="25">
        <v>0</v>
      </c>
    </row>
    <row r="33" spans="1:33" ht="15.75" customHeight="1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16"/>
      <c r="S33" s="21"/>
      <c r="T33" s="31"/>
      <c r="U33" s="36"/>
      <c r="V33" s="1"/>
      <c r="W33" s="31"/>
      <c r="X33" s="31"/>
      <c r="Y33" s="31"/>
      <c r="Z33" s="31"/>
      <c r="AA33" s="2"/>
      <c r="AB33" s="31"/>
      <c r="AC33" s="31"/>
      <c r="AD33" s="31"/>
      <c r="AE33" s="37"/>
      <c r="AF33" s="37"/>
      <c r="AG33" s="37"/>
    </row>
    <row r="34" spans="1:33" ht="15.75" customHeight="1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6"/>
      <c r="V34" s="1"/>
      <c r="W34" s="31"/>
      <c r="X34" s="31"/>
      <c r="Y34" s="31"/>
      <c r="Z34" s="31"/>
      <c r="AA34" s="2"/>
      <c r="AB34" s="31"/>
      <c r="AC34" s="31"/>
      <c r="AD34" s="31"/>
      <c r="AE34" s="37"/>
      <c r="AF34" s="37"/>
      <c r="AG34" s="37"/>
    </row>
    <row r="35" spans="1:33" ht="15.75" customHeight="1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6"/>
      <c r="V35" s="1"/>
      <c r="W35" s="31"/>
      <c r="X35" s="31"/>
      <c r="Y35" s="31"/>
      <c r="Z35" s="31"/>
      <c r="AA35" s="2"/>
      <c r="AB35" s="31"/>
      <c r="AC35" s="31"/>
      <c r="AD35" s="31"/>
      <c r="AE35" s="37"/>
      <c r="AF35" s="37"/>
      <c r="AG35" s="37"/>
    </row>
    <row r="36" spans="1:33" ht="15.75" customHeight="1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6"/>
      <c r="V36" s="1"/>
      <c r="W36" s="31"/>
      <c r="X36" s="31"/>
      <c r="Y36" s="31"/>
      <c r="Z36" s="31"/>
      <c r="AA36" s="2"/>
      <c r="AB36" s="31"/>
      <c r="AC36" s="31"/>
      <c r="AD36" s="31"/>
      <c r="AE36" s="37"/>
      <c r="AF36" s="37"/>
      <c r="AG36" s="37"/>
    </row>
    <row r="37" spans="1:33" ht="15.75" customHeight="1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6"/>
      <c r="V37" s="1"/>
      <c r="W37" s="31"/>
      <c r="X37" s="31"/>
      <c r="Y37" s="31"/>
      <c r="Z37" s="31"/>
      <c r="AA37" s="2"/>
      <c r="AB37" s="31"/>
      <c r="AC37" s="31"/>
      <c r="AD37" s="31"/>
      <c r="AE37" s="37"/>
      <c r="AF37" s="37"/>
      <c r="AG37" s="37"/>
    </row>
    <row r="38" spans="1:33" ht="15.75" customHeight="1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6"/>
      <c r="V38" s="1"/>
      <c r="W38" s="31"/>
      <c r="X38" s="31"/>
      <c r="Y38" s="31"/>
      <c r="Z38" s="31"/>
      <c r="AA38" s="2"/>
      <c r="AB38" s="31"/>
      <c r="AC38" s="31"/>
      <c r="AD38" s="31"/>
      <c r="AE38" s="37"/>
      <c r="AF38" s="37"/>
      <c r="AG38" s="37"/>
    </row>
    <row r="39" spans="1:33" ht="15.75" customHeight="1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6"/>
      <c r="V39" s="1"/>
      <c r="W39" s="31"/>
      <c r="X39" s="31"/>
      <c r="Y39" s="31"/>
      <c r="Z39" s="31"/>
      <c r="AA39" s="2"/>
      <c r="AB39" s="31"/>
      <c r="AC39" s="31"/>
      <c r="AD39" s="31"/>
      <c r="AE39" s="37"/>
      <c r="AF39" s="37"/>
      <c r="AG39" s="37"/>
    </row>
    <row r="40" spans="1:33" ht="15.75" customHeight="1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6"/>
      <c r="V40" s="1"/>
      <c r="W40" s="31"/>
      <c r="X40" s="31"/>
      <c r="Y40" s="31"/>
      <c r="Z40" s="31"/>
      <c r="AA40" s="2"/>
      <c r="AB40" s="31"/>
      <c r="AC40" s="31"/>
      <c r="AD40" s="31"/>
      <c r="AE40" s="37"/>
      <c r="AF40" s="37"/>
      <c r="AG40" s="37"/>
    </row>
    <row r="41" spans="1:33" ht="15.75" customHeight="1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6"/>
      <c r="V41" s="1"/>
      <c r="W41" s="31"/>
      <c r="X41" s="31"/>
      <c r="Y41" s="31"/>
      <c r="Z41" s="31"/>
      <c r="AA41" s="2"/>
      <c r="AB41" s="31"/>
      <c r="AC41" s="31"/>
      <c r="AD41" s="31"/>
      <c r="AE41" s="37"/>
      <c r="AF41" s="37"/>
      <c r="AG41" s="37"/>
    </row>
    <row r="42" spans="1:33" ht="15.75" customHeight="1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6"/>
      <c r="V42" s="1"/>
      <c r="W42" s="31"/>
      <c r="X42" s="31"/>
      <c r="Y42" s="31"/>
      <c r="Z42" s="31"/>
      <c r="AA42" s="2"/>
      <c r="AB42" s="31"/>
      <c r="AC42" s="31"/>
      <c r="AD42" s="31"/>
      <c r="AE42" s="37"/>
      <c r="AF42" s="37"/>
      <c r="AG42" s="37"/>
    </row>
    <row r="43" spans="1:33" ht="15.75" customHeight="1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6"/>
      <c r="V43" s="1"/>
      <c r="W43" s="31"/>
      <c r="X43" s="31"/>
      <c r="Y43" s="31"/>
      <c r="Z43" s="31"/>
      <c r="AA43" s="2"/>
      <c r="AB43" s="31"/>
      <c r="AC43" s="31"/>
      <c r="AD43" s="31"/>
      <c r="AE43" s="37"/>
      <c r="AF43" s="37"/>
      <c r="AG43" s="37"/>
    </row>
    <row r="44" spans="1:33" ht="15.75" customHeight="1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6"/>
      <c r="V44" s="1"/>
      <c r="W44" s="31"/>
      <c r="X44" s="31"/>
      <c r="Y44" s="31"/>
      <c r="Z44" s="31"/>
      <c r="AA44" s="2"/>
      <c r="AB44" s="31"/>
      <c r="AC44" s="31"/>
      <c r="AD44" s="31"/>
      <c r="AE44" s="37"/>
      <c r="AF44" s="37"/>
      <c r="AG44" s="37"/>
    </row>
    <row r="45" spans="1:33" ht="15.75" customHeight="1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6"/>
      <c r="V45" s="1"/>
      <c r="W45" s="31"/>
      <c r="X45" s="31"/>
      <c r="Y45" s="31"/>
      <c r="Z45" s="31"/>
      <c r="AA45" s="2"/>
      <c r="AB45" s="31"/>
      <c r="AC45" s="31"/>
      <c r="AD45" s="31"/>
      <c r="AE45" s="37"/>
      <c r="AF45" s="37"/>
      <c r="AG45" s="37"/>
    </row>
    <row r="46" spans="1:33" ht="15.75" customHeight="1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6"/>
      <c r="V46" s="1"/>
      <c r="W46" s="31"/>
      <c r="X46" s="31"/>
      <c r="Y46" s="31"/>
      <c r="Z46" s="31"/>
      <c r="AA46" s="2"/>
      <c r="AB46" s="31"/>
      <c r="AC46" s="31"/>
      <c r="AD46" s="31"/>
      <c r="AE46" s="37"/>
      <c r="AF46" s="37"/>
      <c r="AG46" s="37"/>
    </row>
    <row r="47" spans="1:33" ht="15.75" customHeight="1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6"/>
      <c r="V47" s="1"/>
      <c r="W47" s="31"/>
      <c r="X47" s="31"/>
      <c r="Y47" s="31"/>
      <c r="Z47" s="31"/>
      <c r="AA47" s="2"/>
      <c r="AB47" s="31"/>
      <c r="AC47" s="31"/>
      <c r="AD47" s="31"/>
      <c r="AE47" s="37"/>
      <c r="AF47" s="37"/>
      <c r="AG47" s="37"/>
    </row>
    <row r="48" spans="1:33" ht="15.75" customHeight="1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6"/>
      <c r="V48" s="1"/>
      <c r="W48" s="31"/>
      <c r="X48" s="31"/>
      <c r="Y48" s="31"/>
      <c r="Z48" s="31"/>
      <c r="AA48" s="2"/>
      <c r="AB48" s="31"/>
      <c r="AC48" s="31"/>
      <c r="AD48" s="31"/>
      <c r="AE48" s="37"/>
      <c r="AF48" s="37"/>
      <c r="AG48" s="37"/>
    </row>
    <row r="49" spans="1:33" ht="15.75" customHeight="1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6"/>
      <c r="V49" s="1"/>
      <c r="W49" s="31"/>
      <c r="X49" s="31"/>
      <c r="Y49" s="31"/>
      <c r="Z49" s="31"/>
      <c r="AA49" s="2"/>
      <c r="AB49" s="31"/>
      <c r="AC49" s="31"/>
      <c r="AD49" s="31"/>
      <c r="AE49" s="37"/>
      <c r="AF49" s="37"/>
      <c r="AG49" s="37"/>
    </row>
    <row r="50" spans="1:33" ht="15.75" customHeight="1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6"/>
      <c r="V50" s="1"/>
      <c r="W50" s="31"/>
      <c r="X50" s="31"/>
      <c r="Y50" s="31"/>
      <c r="Z50" s="31"/>
      <c r="AA50" s="2"/>
      <c r="AB50" s="31"/>
      <c r="AC50" s="31"/>
      <c r="AD50" s="31"/>
      <c r="AE50" s="37"/>
      <c r="AF50" s="37"/>
      <c r="AG50" s="37"/>
    </row>
    <row r="51" spans="1:33" ht="15.75" customHeight="1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6"/>
      <c r="V51" s="1"/>
      <c r="W51" s="31"/>
      <c r="X51" s="31"/>
      <c r="Y51" s="31"/>
      <c r="Z51" s="31"/>
      <c r="AA51" s="2"/>
      <c r="AB51" s="31"/>
      <c r="AC51" s="31"/>
      <c r="AD51" s="31"/>
      <c r="AE51" s="37"/>
      <c r="AF51" s="37"/>
      <c r="AG51" s="37"/>
    </row>
    <row r="52" spans="1:33" ht="15.75" customHeight="1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6"/>
      <c r="V52" s="1"/>
      <c r="W52" s="31"/>
      <c r="X52" s="31"/>
      <c r="Y52" s="31"/>
      <c r="Z52" s="31"/>
      <c r="AA52" s="2"/>
      <c r="AB52" s="31"/>
      <c r="AC52" s="31"/>
      <c r="AD52" s="31"/>
      <c r="AE52" s="37"/>
      <c r="AF52" s="37"/>
      <c r="AG52" s="37"/>
    </row>
    <row r="53" spans="1:33" ht="15.75" customHeight="1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6"/>
      <c r="V53" s="1"/>
      <c r="W53" s="31"/>
      <c r="X53" s="31"/>
      <c r="Y53" s="31"/>
      <c r="Z53" s="31"/>
      <c r="AA53" s="2"/>
      <c r="AB53" s="31"/>
      <c r="AC53" s="31"/>
      <c r="AD53" s="31"/>
      <c r="AE53" s="37"/>
      <c r="AF53" s="37"/>
      <c r="AG53" s="37"/>
    </row>
    <row r="54" spans="1:33" ht="15.75" customHeight="1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6"/>
      <c r="V54" s="1"/>
      <c r="W54" s="31"/>
      <c r="X54" s="31"/>
      <c r="Y54" s="31"/>
      <c r="Z54" s="31"/>
      <c r="AA54" s="2"/>
      <c r="AB54" s="31"/>
      <c r="AC54" s="31"/>
      <c r="AD54" s="31"/>
      <c r="AE54" s="37"/>
      <c r="AF54" s="37"/>
      <c r="AG54" s="37"/>
    </row>
    <row r="55" spans="1:33" ht="15.75" customHeight="1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6"/>
      <c r="V55" s="1"/>
      <c r="W55" s="31"/>
      <c r="X55" s="31"/>
      <c r="Y55" s="31"/>
      <c r="Z55" s="31"/>
      <c r="AA55" s="2"/>
      <c r="AB55" s="31"/>
      <c r="AC55" s="31"/>
      <c r="AD55" s="31"/>
      <c r="AE55" s="37"/>
      <c r="AF55" s="37"/>
      <c r="AG55" s="37"/>
    </row>
    <row r="56" spans="1:33" ht="15.75" customHeight="1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6"/>
      <c r="V56" s="1"/>
      <c r="W56" s="31"/>
      <c r="X56" s="31"/>
      <c r="Y56" s="31"/>
      <c r="Z56" s="31"/>
      <c r="AA56" s="2"/>
      <c r="AB56" s="31"/>
      <c r="AC56" s="31"/>
      <c r="AD56" s="31"/>
      <c r="AE56" s="37"/>
      <c r="AF56" s="37"/>
      <c r="AG56" s="37"/>
    </row>
    <row r="57" spans="1:33" ht="15.75" customHeight="1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6"/>
      <c r="V57" s="1"/>
      <c r="W57" s="31"/>
      <c r="X57" s="31"/>
      <c r="Y57" s="31"/>
      <c r="Z57" s="31"/>
      <c r="AA57" s="2"/>
      <c r="AB57" s="31"/>
      <c r="AC57" s="31"/>
      <c r="AD57" s="31"/>
      <c r="AE57" s="37"/>
      <c r="AF57" s="37"/>
      <c r="AG57" s="37"/>
    </row>
    <row r="58" spans="1:33" ht="15.75" customHeight="1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6"/>
      <c r="V58" s="1"/>
      <c r="W58" s="31"/>
      <c r="X58" s="31"/>
      <c r="Y58" s="31"/>
      <c r="Z58" s="31"/>
      <c r="AA58" s="2"/>
      <c r="AB58" s="31"/>
      <c r="AC58" s="31"/>
      <c r="AD58" s="31"/>
      <c r="AE58" s="37"/>
      <c r="AF58" s="37"/>
      <c r="AG58" s="37"/>
    </row>
    <row r="59" spans="1:33" ht="15.75" customHeight="1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6"/>
      <c r="V59" s="1"/>
      <c r="W59" s="31"/>
      <c r="X59" s="31"/>
      <c r="Y59" s="31"/>
      <c r="Z59" s="31"/>
      <c r="AA59" s="2"/>
      <c r="AB59" s="31"/>
      <c r="AC59" s="31"/>
      <c r="AD59" s="31"/>
      <c r="AE59" s="37"/>
      <c r="AF59" s="37"/>
      <c r="AG59" s="37"/>
    </row>
    <row r="60" spans="1:33" ht="15.75" customHeight="1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6"/>
      <c r="V60" s="1"/>
      <c r="W60" s="31"/>
      <c r="X60" s="31"/>
      <c r="Y60" s="31"/>
      <c r="Z60" s="31"/>
      <c r="AA60" s="2"/>
      <c r="AB60" s="31"/>
      <c r="AC60" s="31"/>
      <c r="AD60" s="31"/>
      <c r="AE60" s="37"/>
      <c r="AF60" s="37"/>
      <c r="AG60" s="37"/>
    </row>
    <row r="61" spans="1:33" ht="15.75" customHeight="1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6"/>
      <c r="V61" s="1"/>
      <c r="W61" s="31"/>
      <c r="X61" s="31"/>
      <c r="Y61" s="31"/>
      <c r="Z61" s="31"/>
      <c r="AA61" s="2"/>
      <c r="AB61" s="31"/>
      <c r="AC61" s="31"/>
      <c r="AD61" s="31"/>
      <c r="AE61" s="37"/>
      <c r="AF61" s="37"/>
      <c r="AG61" s="37"/>
    </row>
    <row r="62" spans="1:33" ht="15.75" customHeight="1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6"/>
      <c r="V62" s="1"/>
      <c r="W62" s="31"/>
      <c r="X62" s="31"/>
      <c r="Y62" s="31"/>
      <c r="Z62" s="31"/>
      <c r="AA62" s="2"/>
      <c r="AB62" s="31"/>
      <c r="AC62" s="31"/>
      <c r="AD62" s="31"/>
      <c r="AE62" s="37"/>
      <c r="AF62" s="37"/>
      <c r="AG62" s="37"/>
    </row>
    <row r="63" spans="1:33" ht="15.75" customHeight="1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6"/>
      <c r="V63" s="1"/>
      <c r="W63" s="31"/>
      <c r="X63" s="31"/>
      <c r="Y63" s="31"/>
      <c r="Z63" s="31"/>
      <c r="AA63" s="2"/>
      <c r="AB63" s="31"/>
      <c r="AC63" s="31"/>
      <c r="AD63" s="31"/>
      <c r="AE63" s="37"/>
      <c r="AF63" s="37"/>
      <c r="AG63" s="37"/>
    </row>
    <row r="64" spans="1:33" ht="15.75" customHeight="1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6"/>
      <c r="V64" s="1"/>
      <c r="W64" s="31"/>
      <c r="X64" s="31"/>
      <c r="Y64" s="31"/>
      <c r="Z64" s="31"/>
      <c r="AA64" s="2"/>
      <c r="AB64" s="31"/>
      <c r="AC64" s="31"/>
      <c r="AD64" s="31"/>
      <c r="AE64" s="37"/>
      <c r="AF64" s="37"/>
      <c r="AG64" s="37"/>
    </row>
    <row r="65" spans="1:33" ht="15.75" customHeight="1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6"/>
      <c r="V65" s="1"/>
      <c r="W65" s="31"/>
      <c r="X65" s="31"/>
      <c r="Y65" s="31"/>
      <c r="Z65" s="31"/>
      <c r="AA65" s="2"/>
      <c r="AB65" s="31"/>
      <c r="AC65" s="31"/>
      <c r="AD65" s="31"/>
      <c r="AE65" s="37"/>
      <c r="AF65" s="37"/>
      <c r="AG65" s="37"/>
    </row>
    <row r="66" spans="1:33" ht="15.75" customHeight="1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6"/>
      <c r="V66" s="1"/>
      <c r="W66" s="31"/>
      <c r="X66" s="31"/>
      <c r="Y66" s="31"/>
      <c r="Z66" s="31"/>
      <c r="AA66" s="2"/>
      <c r="AB66" s="31"/>
      <c r="AC66" s="31"/>
      <c r="AD66" s="31"/>
      <c r="AE66" s="37"/>
      <c r="AF66" s="37"/>
      <c r="AG66" s="37"/>
    </row>
    <row r="67" spans="1:33" ht="15.75" customHeight="1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6"/>
      <c r="V67" s="1"/>
      <c r="W67" s="31"/>
      <c r="X67" s="31"/>
      <c r="Y67" s="31"/>
      <c r="Z67" s="31"/>
      <c r="AA67" s="2"/>
      <c r="AB67" s="31"/>
      <c r="AC67" s="31"/>
      <c r="AD67" s="31"/>
      <c r="AE67" s="37"/>
      <c r="AF67" s="37"/>
      <c r="AG67" s="37"/>
    </row>
    <row r="68" spans="1:33" ht="15.75" customHeight="1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6"/>
      <c r="V68" s="1"/>
      <c r="W68" s="31"/>
      <c r="X68" s="31"/>
      <c r="Y68" s="31"/>
      <c r="Z68" s="31"/>
      <c r="AA68" s="2"/>
      <c r="AB68" s="31"/>
      <c r="AC68" s="31"/>
      <c r="AD68" s="31"/>
      <c r="AE68" s="37"/>
      <c r="AF68" s="37"/>
      <c r="AG68" s="37"/>
    </row>
    <row r="69" spans="1:33" ht="15.75" customHeight="1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6"/>
      <c r="V69" s="1"/>
      <c r="W69" s="31"/>
      <c r="X69" s="31"/>
      <c r="Y69" s="31"/>
      <c r="Z69" s="31"/>
      <c r="AA69" s="2"/>
      <c r="AB69" s="31"/>
      <c r="AC69" s="31"/>
      <c r="AD69" s="31"/>
      <c r="AE69" s="37"/>
      <c r="AF69" s="37"/>
      <c r="AG69" s="37"/>
    </row>
    <row r="70" spans="1:33" ht="15.75" customHeight="1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6"/>
      <c r="V70" s="1"/>
      <c r="W70" s="31"/>
      <c r="X70" s="31"/>
      <c r="Y70" s="31"/>
      <c r="Z70" s="31"/>
      <c r="AA70" s="2"/>
      <c r="AB70" s="31"/>
      <c r="AC70" s="31"/>
      <c r="AD70" s="31"/>
      <c r="AE70" s="37"/>
      <c r="AF70" s="37"/>
      <c r="AG70" s="37"/>
    </row>
    <row r="71" spans="1:33" ht="15.75" customHeight="1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6"/>
      <c r="V71" s="1"/>
      <c r="W71" s="31"/>
      <c r="X71" s="31"/>
      <c r="Y71" s="31"/>
      <c r="Z71" s="31"/>
      <c r="AA71" s="2"/>
      <c r="AB71" s="31"/>
      <c r="AC71" s="31"/>
      <c r="AD71" s="31"/>
      <c r="AE71" s="37"/>
      <c r="AF71" s="37"/>
      <c r="AG71" s="37"/>
    </row>
    <row r="72" spans="1:33" ht="15.75" customHeight="1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6"/>
      <c r="V72" s="1"/>
      <c r="W72" s="31"/>
      <c r="X72" s="31"/>
      <c r="Y72" s="31"/>
      <c r="Z72" s="31"/>
      <c r="AA72" s="2"/>
      <c r="AB72" s="31"/>
      <c r="AC72" s="31"/>
      <c r="AD72" s="31"/>
      <c r="AE72" s="37"/>
      <c r="AF72" s="37"/>
      <c r="AG72" s="37"/>
    </row>
    <row r="73" spans="1:33" ht="15.75" customHeight="1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6"/>
      <c r="V73" s="1"/>
      <c r="W73" s="31"/>
      <c r="X73" s="31"/>
      <c r="Y73" s="31"/>
      <c r="Z73" s="31"/>
      <c r="AA73" s="2"/>
      <c r="AB73" s="31"/>
      <c r="AC73" s="31"/>
      <c r="AD73" s="31"/>
      <c r="AE73" s="37"/>
      <c r="AF73" s="37"/>
      <c r="AG73" s="37"/>
    </row>
    <row r="74" spans="1:33" ht="15.75" customHeight="1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6"/>
      <c r="V74" s="1"/>
      <c r="W74" s="31"/>
      <c r="X74" s="31"/>
      <c r="Y74" s="31"/>
      <c r="Z74" s="31"/>
      <c r="AA74" s="2"/>
      <c r="AB74" s="31"/>
      <c r="AC74" s="31"/>
      <c r="AD74" s="31"/>
      <c r="AE74" s="37"/>
      <c r="AF74" s="37"/>
      <c r="AG74" s="37"/>
    </row>
    <row r="75" spans="1:33" ht="15.75" customHeight="1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6"/>
      <c r="V75" s="1"/>
      <c r="W75" s="31"/>
      <c r="X75" s="31"/>
      <c r="Y75" s="31"/>
      <c r="Z75" s="31"/>
      <c r="AA75" s="2"/>
      <c r="AB75" s="31"/>
      <c r="AC75" s="31"/>
      <c r="AD75" s="31"/>
      <c r="AE75" s="37"/>
      <c r="AF75" s="37"/>
      <c r="AG75" s="37"/>
    </row>
    <row r="76" spans="1:33" ht="15.75" customHeight="1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6"/>
      <c r="V76" s="1"/>
      <c r="W76" s="31"/>
      <c r="X76" s="31"/>
      <c r="Y76" s="31"/>
      <c r="Z76" s="31"/>
      <c r="AA76" s="2"/>
      <c r="AB76" s="31"/>
      <c r="AC76" s="31"/>
      <c r="AD76" s="31"/>
      <c r="AE76" s="37"/>
      <c r="AF76" s="37"/>
      <c r="AG76" s="37"/>
    </row>
    <row r="77" spans="1:33" ht="15.75" customHeight="1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6"/>
      <c r="V77" s="1"/>
      <c r="W77" s="31"/>
      <c r="X77" s="31"/>
      <c r="Y77" s="31"/>
      <c r="Z77" s="31"/>
      <c r="AA77" s="2"/>
      <c r="AB77" s="31"/>
      <c r="AC77" s="31"/>
      <c r="AD77" s="31"/>
      <c r="AE77" s="37"/>
      <c r="AF77" s="37"/>
      <c r="AG77" s="37"/>
    </row>
    <row r="78" spans="1:33" ht="15.75" customHeight="1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6"/>
      <c r="V78" s="1"/>
      <c r="W78" s="31"/>
      <c r="X78" s="31"/>
      <c r="Y78" s="31"/>
      <c r="Z78" s="31"/>
      <c r="AA78" s="2"/>
      <c r="AB78" s="31"/>
      <c r="AC78" s="31"/>
      <c r="AD78" s="31"/>
      <c r="AE78" s="37"/>
      <c r="AF78" s="37"/>
      <c r="AG78" s="37"/>
    </row>
    <row r="79" spans="1:33" ht="15.75" customHeight="1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6"/>
      <c r="V79" s="1"/>
      <c r="W79" s="31"/>
      <c r="X79" s="31"/>
      <c r="Y79" s="31"/>
      <c r="Z79" s="31"/>
      <c r="AA79" s="2"/>
      <c r="AB79" s="31"/>
      <c r="AC79" s="31"/>
      <c r="AD79" s="31"/>
      <c r="AE79" s="37"/>
      <c r="AF79" s="37"/>
      <c r="AG79" s="37"/>
    </row>
    <row r="80" spans="1:33" ht="15.75" customHeight="1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6"/>
      <c r="V80" s="1"/>
      <c r="W80" s="31"/>
      <c r="X80" s="31"/>
      <c r="Y80" s="31"/>
      <c r="Z80" s="31"/>
      <c r="AA80" s="2"/>
      <c r="AB80" s="31"/>
      <c r="AC80" s="31"/>
      <c r="AD80" s="31"/>
      <c r="AE80" s="37"/>
      <c r="AF80" s="37"/>
      <c r="AG80" s="37"/>
    </row>
    <row r="81" spans="1:33" ht="15.75" customHeight="1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6"/>
      <c r="V81" s="1"/>
      <c r="W81" s="31"/>
      <c r="X81" s="31"/>
      <c r="Y81" s="31"/>
      <c r="Z81" s="31"/>
      <c r="AA81" s="2"/>
      <c r="AB81" s="31"/>
      <c r="AC81" s="31"/>
      <c r="AD81" s="31"/>
      <c r="AE81" s="37"/>
      <c r="AF81" s="37"/>
      <c r="AG81" s="37"/>
    </row>
    <row r="82" spans="1:33" ht="15.75" customHeight="1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6"/>
      <c r="V82" s="1"/>
      <c r="W82" s="31"/>
      <c r="X82" s="31"/>
      <c r="Y82" s="31"/>
      <c r="Z82" s="31"/>
      <c r="AA82" s="2"/>
      <c r="AB82" s="31"/>
      <c r="AC82" s="31"/>
      <c r="AD82" s="31"/>
      <c r="AE82" s="37"/>
      <c r="AF82" s="37"/>
      <c r="AG82" s="37"/>
    </row>
    <row r="83" spans="1:33" ht="15.75" customHeight="1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6"/>
      <c r="V83" s="1"/>
      <c r="W83" s="31"/>
      <c r="X83" s="31"/>
      <c r="Y83" s="31"/>
      <c r="Z83" s="31"/>
      <c r="AA83" s="2"/>
      <c r="AB83" s="31"/>
      <c r="AC83" s="31"/>
      <c r="AD83" s="31"/>
      <c r="AE83" s="37"/>
      <c r="AF83" s="37"/>
      <c r="AG83" s="37"/>
    </row>
    <row r="84" spans="1:33" ht="15.75" customHeight="1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6"/>
      <c r="V84" s="1"/>
      <c r="W84" s="31"/>
      <c r="X84" s="31"/>
      <c r="Y84" s="31"/>
      <c r="Z84" s="31"/>
      <c r="AA84" s="2"/>
      <c r="AB84" s="31"/>
      <c r="AC84" s="31"/>
      <c r="AD84" s="31"/>
      <c r="AE84" s="37"/>
      <c r="AF84" s="37"/>
      <c r="AG84" s="37"/>
    </row>
    <row r="85" spans="1:33" ht="15.75" customHeight="1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6"/>
      <c r="V85" s="1"/>
      <c r="W85" s="31"/>
      <c r="X85" s="31"/>
      <c r="Y85" s="31"/>
      <c r="Z85" s="31"/>
      <c r="AA85" s="2"/>
      <c r="AB85" s="31"/>
      <c r="AC85" s="31"/>
      <c r="AD85" s="31"/>
      <c r="AE85" s="37"/>
      <c r="AF85" s="37"/>
      <c r="AG85" s="37"/>
    </row>
    <row r="86" spans="1:33" ht="15.75" customHeight="1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6"/>
      <c r="V86" s="1"/>
      <c r="W86" s="31"/>
      <c r="X86" s="31"/>
      <c r="Y86" s="31"/>
      <c r="Z86" s="31"/>
      <c r="AA86" s="2"/>
      <c r="AB86" s="31"/>
      <c r="AC86" s="31"/>
      <c r="AD86" s="31"/>
      <c r="AE86" s="37"/>
      <c r="AF86" s="37"/>
      <c r="AG86" s="37"/>
    </row>
    <row r="87" spans="1:33" ht="15.75" customHeight="1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6"/>
      <c r="V87" s="1"/>
      <c r="W87" s="31"/>
      <c r="X87" s="31"/>
      <c r="Y87" s="31"/>
      <c r="Z87" s="31"/>
      <c r="AA87" s="2"/>
      <c r="AB87" s="31"/>
      <c r="AC87" s="31"/>
      <c r="AD87" s="31"/>
      <c r="AE87" s="37"/>
      <c r="AF87" s="37"/>
      <c r="AG87" s="37"/>
    </row>
    <row r="88" spans="1:33" ht="15.75" customHeight="1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6"/>
      <c r="V88" s="1"/>
      <c r="W88" s="31"/>
      <c r="X88" s="31"/>
      <c r="Y88" s="31"/>
      <c r="Z88" s="31"/>
      <c r="AA88" s="2"/>
      <c r="AB88" s="31"/>
      <c r="AC88" s="31"/>
      <c r="AD88" s="31"/>
      <c r="AE88" s="37"/>
      <c r="AF88" s="37"/>
      <c r="AG88" s="37"/>
    </row>
    <row r="89" spans="1:33" ht="15.75" customHeight="1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6"/>
      <c r="V89" s="1"/>
      <c r="W89" s="31"/>
      <c r="X89" s="31"/>
      <c r="Y89" s="31"/>
      <c r="Z89" s="31"/>
      <c r="AA89" s="2"/>
      <c r="AB89" s="31"/>
      <c r="AC89" s="31"/>
      <c r="AD89" s="31"/>
      <c r="AE89" s="37"/>
      <c r="AF89" s="37"/>
      <c r="AG89" s="37"/>
    </row>
    <row r="90" spans="1:33" ht="15.75" customHeight="1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6"/>
      <c r="V90" s="1"/>
      <c r="W90" s="31"/>
      <c r="X90" s="31"/>
      <c r="Y90" s="31"/>
      <c r="Z90" s="31"/>
      <c r="AA90" s="2"/>
      <c r="AB90" s="31"/>
      <c r="AC90" s="31"/>
      <c r="AD90" s="31"/>
      <c r="AE90" s="37"/>
      <c r="AF90" s="37"/>
      <c r="AG90" s="37"/>
    </row>
    <row r="91" spans="1:33" ht="15.75" customHeight="1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6"/>
      <c r="V91" s="1"/>
      <c r="W91" s="31"/>
      <c r="X91" s="31"/>
      <c r="Y91" s="31"/>
      <c r="Z91" s="31"/>
      <c r="AA91" s="2"/>
      <c r="AB91" s="31"/>
      <c r="AC91" s="31"/>
      <c r="AD91" s="31"/>
      <c r="AE91" s="37"/>
      <c r="AF91" s="37"/>
      <c r="AG91" s="37"/>
    </row>
    <row r="92" spans="1:33" ht="15.75" customHeight="1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6"/>
      <c r="V92" s="1"/>
      <c r="W92" s="31"/>
      <c r="X92" s="31"/>
      <c r="Y92" s="31"/>
      <c r="Z92" s="31"/>
      <c r="AA92" s="2"/>
      <c r="AB92" s="31"/>
      <c r="AC92" s="31"/>
      <c r="AD92" s="31"/>
      <c r="AE92" s="37"/>
      <c r="AF92" s="37"/>
      <c r="AG92" s="37"/>
    </row>
    <row r="93" spans="1:33" ht="15.75" customHeight="1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6"/>
      <c r="V93" s="1"/>
      <c r="W93" s="31"/>
      <c r="X93" s="31"/>
      <c r="Y93" s="31"/>
      <c r="Z93" s="31"/>
      <c r="AA93" s="2"/>
      <c r="AB93" s="31"/>
      <c r="AC93" s="31"/>
      <c r="AD93" s="31"/>
      <c r="AE93" s="37"/>
      <c r="AF93" s="37"/>
      <c r="AG93" s="37"/>
    </row>
    <row r="94" spans="1:33" ht="15.75" customHeight="1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6"/>
      <c r="V94" s="1"/>
      <c r="W94" s="31"/>
      <c r="X94" s="31"/>
      <c r="Y94" s="31"/>
      <c r="Z94" s="31"/>
      <c r="AA94" s="2"/>
      <c r="AB94" s="31"/>
      <c r="AC94" s="31"/>
      <c r="AD94" s="31"/>
      <c r="AE94" s="37"/>
      <c r="AF94" s="37"/>
      <c r="AG94" s="37"/>
    </row>
    <row r="95" spans="1:33" ht="15.75" customHeight="1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6"/>
      <c r="V95" s="1"/>
      <c r="W95" s="31"/>
      <c r="X95" s="31"/>
      <c r="Y95" s="31"/>
      <c r="Z95" s="31"/>
      <c r="AA95" s="2"/>
      <c r="AB95" s="31"/>
      <c r="AC95" s="31"/>
      <c r="AD95" s="31"/>
      <c r="AE95" s="37"/>
      <c r="AF95" s="37"/>
      <c r="AG95" s="37"/>
    </row>
    <row r="96" spans="1:33" ht="15.75" customHeight="1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6"/>
      <c r="V96" s="1"/>
      <c r="W96" s="31"/>
      <c r="X96" s="31"/>
      <c r="Y96" s="31"/>
      <c r="Z96" s="31"/>
      <c r="AA96" s="2"/>
      <c r="AB96" s="31"/>
      <c r="AC96" s="31"/>
      <c r="AD96" s="31"/>
      <c r="AE96" s="37"/>
      <c r="AF96" s="37"/>
      <c r="AG96" s="37"/>
    </row>
    <row r="97" spans="1:33" ht="15.75" customHeight="1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8"/>
      <c r="R97" s="38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8"/>
      <c r="R98" s="38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8"/>
      <c r="R99" s="38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8"/>
      <c r="R100" s="38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8"/>
      <c r="R101" s="38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8"/>
      <c r="R102" s="38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8"/>
      <c r="R103" s="38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8"/>
      <c r="R104" s="38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8"/>
      <c r="R105" s="38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8"/>
      <c r="R106" s="38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8"/>
      <c r="R107" s="38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8"/>
      <c r="R108" s="38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8"/>
      <c r="R109" s="38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8"/>
      <c r="R110" s="38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8"/>
      <c r="R111" s="38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8"/>
      <c r="R112" s="38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8"/>
      <c r="R113" s="38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8"/>
      <c r="R114" s="38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>
      <c r="A115" s="31"/>
      <c r="B115" s="31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>
      <c r="A116" s="31"/>
      <c r="B116" s="31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>
      <c r="A117" s="31"/>
      <c r="B117" s="31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>
      <c r="A118" s="31"/>
      <c r="B118" s="31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>
      <c r="A119" s="31"/>
      <c r="B119" s="31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>
      <c r="A120" s="31"/>
      <c r="B120" s="31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>
      <c r="A121" s="31"/>
      <c r="B121" s="31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>
      <c r="A122" s="31"/>
      <c r="B122" s="31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>
      <c r="A123" s="31"/>
      <c r="B123" s="31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>
      <c r="A124" s="31"/>
      <c r="B124" s="31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>
      <c r="A125" s="31"/>
      <c r="B125" s="31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>
      <c r="A126" s="31"/>
      <c r="B126" s="31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>
      <c r="A127" s="31"/>
      <c r="B127" s="31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>
      <c r="A128" s="31"/>
      <c r="B128" s="31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>
      <c r="A129" s="31"/>
      <c r="B129" s="31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>
      <c r="A130" s="31"/>
      <c r="B130" s="31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>
      <c r="A131" s="31"/>
      <c r="B131" s="31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>
      <c r="A132" s="31"/>
      <c r="B132" s="31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>
      <c r="A133" s="31"/>
      <c r="B133" s="31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>
      <c r="A134" s="31"/>
      <c r="B134" s="31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>
      <c r="A135" s="31"/>
      <c r="B135" s="31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>
      <c r="A136" s="31"/>
      <c r="B136" s="31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>
      <c r="A137" s="31"/>
      <c r="B137" s="31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>
      <c r="A138" s="31"/>
      <c r="B138" s="31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>
      <c r="A139" s="31"/>
      <c r="B139" s="31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>
      <c r="A140" s="31"/>
      <c r="B140" s="31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>
      <c r="A141" s="31"/>
      <c r="B141" s="31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2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>
      <c r="A142" s="31"/>
      <c r="B142" s="31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2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>
      <c r="A143" s="31"/>
      <c r="B143" s="31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2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>
      <c r="A144" s="31"/>
      <c r="B144" s="31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2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>
      <c r="A145" s="31"/>
      <c r="B145" s="31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2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>
      <c r="A146" s="31"/>
      <c r="B146" s="31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2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>
      <c r="A147" s="31"/>
      <c r="B147" s="31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2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>
      <c r="A148" s="31"/>
      <c r="B148" s="31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2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</row>
    <row r="149" spans="1:33" ht="15.75" customHeight="1">
      <c r="A149" s="14"/>
      <c r="B149" s="14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>
      <c r="A150" s="14"/>
      <c r="B150" s="14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>
      <c r="A151" s="14"/>
      <c r="B151" s="14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>
      <c r="A152" s="14"/>
      <c r="B152" s="14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>
      <c r="A153" s="14"/>
      <c r="B153" s="14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>
      <c r="A154" s="14"/>
      <c r="B154" s="14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>
      <c r="A155" s="14"/>
      <c r="B155" s="14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>
      <c r="A156" s="14"/>
      <c r="B156" s="14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>
      <c r="A157" s="14"/>
      <c r="B157" s="14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>
      <c r="A158" s="14"/>
      <c r="B158" s="14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>
      <c r="A159" s="14"/>
      <c r="B159" s="14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>
      <c r="A160" s="14"/>
      <c r="B160" s="14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>
      <c r="A161" s="14"/>
      <c r="B161" s="14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>
      <c r="A162" s="14"/>
      <c r="B162" s="14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>
      <c r="A163" s="14"/>
      <c r="B163" s="14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>
      <c r="A164" s="14"/>
      <c r="B164" s="14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>
      <c r="A165" s="14"/>
      <c r="B165" s="14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>
      <c r="A166" s="14"/>
      <c r="B166" s="14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>
      <c r="A167" s="14"/>
      <c r="B167" s="14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>
      <c r="A168" s="14"/>
      <c r="B168" s="14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>
      <c r="A169" s="14"/>
      <c r="B169" s="14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>
      <c r="A170" s="14"/>
      <c r="B170" s="14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>
      <c r="A171" s="14"/>
      <c r="B171" s="14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>
      <c r="A172" s="14"/>
      <c r="B172" s="14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>
      <c r="A173" s="14"/>
      <c r="B173" s="14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>
      <c r="A174" s="14"/>
      <c r="B174" s="14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>
      <c r="A175" s="14"/>
      <c r="B175" s="14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>
      <c r="A176" s="14"/>
      <c r="B176" s="14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>
      <c r="A177" s="14"/>
      <c r="B177" s="14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>
      <c r="A178" s="14"/>
      <c r="B178" s="14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>
      <c r="A179" s="14"/>
      <c r="B179" s="14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>
      <c r="A180" s="14"/>
      <c r="B180" s="14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>
      <c r="A181" s="14"/>
      <c r="B181" s="14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>
      <c r="A182" s="14"/>
      <c r="B182" s="14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>
      <c r="A183" s="14"/>
      <c r="B183" s="14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>
      <c r="A184" s="14"/>
      <c r="B184" s="14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>
      <c r="A185" s="14"/>
      <c r="B185" s="14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>
      <c r="A186" s="14"/>
      <c r="B186" s="14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>
      <c r="A187" s="14"/>
      <c r="B187" s="14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>
      <c r="A188" s="14"/>
      <c r="B188" s="14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>
      <c r="A189" s="14"/>
      <c r="B189" s="14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>
      <c r="A190" s="14"/>
      <c r="B190" s="14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>
      <c r="A191" s="14"/>
      <c r="B191" s="14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>
      <c r="A192" s="14"/>
      <c r="B192" s="14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>
      <c r="A193" s="14"/>
      <c r="B193" s="14"/>
      <c r="C193" s="39"/>
      <c r="D193" s="39"/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>
      <c r="A194" s="14"/>
      <c r="B194" s="14"/>
      <c r="C194" s="39"/>
      <c r="D194" s="39"/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>
      <c r="A195" s="14"/>
      <c r="B195" s="14"/>
      <c r="C195" s="39"/>
      <c r="D195" s="39"/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>
      <c r="A196" s="14"/>
      <c r="B196" s="14"/>
      <c r="C196" s="39"/>
      <c r="D196" s="39"/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>
      <c r="A197" s="14"/>
      <c r="B197" s="14"/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>
      <c r="A198" s="14"/>
      <c r="B198" s="14"/>
      <c r="C198" s="39"/>
      <c r="D198" s="39"/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>
      <c r="A199" s="14"/>
      <c r="B199" s="14"/>
      <c r="C199" s="39"/>
      <c r="D199" s="39"/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>
      <c r="A200" s="14"/>
      <c r="B200" s="14"/>
      <c r="C200" s="39"/>
      <c r="D200" s="39"/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>
      <c r="A201" s="14"/>
      <c r="B201" s="14"/>
      <c r="C201" s="39"/>
      <c r="D201" s="39"/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>
      <c r="A202" s="14"/>
      <c r="B202" s="14"/>
      <c r="C202" s="39"/>
      <c r="D202" s="39"/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>
      <c r="A203" s="14"/>
      <c r="B203" s="14"/>
      <c r="C203" s="39"/>
      <c r="D203" s="39"/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>
      <c r="A204" s="14"/>
      <c r="B204" s="14"/>
      <c r="C204" s="39"/>
      <c r="D204" s="39"/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>
      <c r="A205" s="14"/>
      <c r="B205" s="14"/>
      <c r="C205" s="39"/>
      <c r="D205" s="39"/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>
      <c r="A206" s="14"/>
      <c r="B206" s="14"/>
      <c r="C206" s="39"/>
      <c r="D206" s="39"/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>
      <c r="A207" s="14"/>
      <c r="B207" s="14"/>
      <c r="C207" s="39"/>
      <c r="D207" s="39"/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>
      <c r="A208" s="14"/>
      <c r="B208" s="14"/>
      <c r="C208" s="39"/>
      <c r="D208" s="39"/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>
      <c r="A209" s="14"/>
      <c r="B209" s="14"/>
      <c r="C209" s="39"/>
      <c r="D209" s="39"/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>
      <c r="A210" s="14"/>
      <c r="B210" s="14"/>
      <c r="C210" s="39"/>
      <c r="D210" s="39"/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>
      <c r="A211" s="14"/>
      <c r="B211" s="14"/>
      <c r="C211" s="39"/>
      <c r="D211" s="39"/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>
      <c r="A212" s="14"/>
      <c r="B212" s="14"/>
      <c r="C212" s="39"/>
      <c r="D212" s="39"/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>
      <c r="A213" s="14"/>
      <c r="B213" s="14"/>
      <c r="C213" s="39"/>
      <c r="D213" s="39"/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>
      <c r="A214" s="14"/>
      <c r="B214" s="14"/>
      <c r="C214" s="39"/>
      <c r="D214" s="39"/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>
      <c r="A215" s="14"/>
      <c r="B215" s="14"/>
      <c r="C215" s="39"/>
      <c r="D215" s="39"/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>
      <c r="A216" s="14"/>
      <c r="B216" s="14"/>
      <c r="C216" s="39"/>
      <c r="D216" s="39"/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>
      <c r="A217" s="14"/>
      <c r="B217" s="14"/>
      <c r="C217" s="39"/>
      <c r="D217" s="39"/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>
      <c r="A218" s="14"/>
      <c r="B218" s="14"/>
      <c r="C218" s="39"/>
      <c r="D218" s="39"/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>
      <c r="A219" s="14"/>
      <c r="B219" s="14"/>
      <c r="C219" s="39"/>
      <c r="D219" s="39"/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>
      <c r="A220" s="14"/>
      <c r="B220" s="14"/>
      <c r="C220" s="39"/>
      <c r="D220" s="39"/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>
      <c r="R221" s="30"/>
      <c r="S221" s="40"/>
    </row>
    <row r="222" spans="1:33" ht="15.75" customHeight="1">
      <c r="R222" s="30"/>
      <c r="S222" s="40"/>
    </row>
    <row r="223" spans="1:33" ht="15.75" customHeight="1">
      <c r="R223" s="30"/>
      <c r="S223" s="40"/>
    </row>
    <row r="224" spans="1:33" ht="15.75" customHeight="1">
      <c r="R224" s="30"/>
      <c r="S224" s="40"/>
    </row>
    <row r="225" spans="18:18" ht="15.75" customHeight="1">
      <c r="R225" s="30"/>
    </row>
    <row r="226" spans="18:18" ht="15.75" customHeight="1">
      <c r="R226" s="30"/>
    </row>
    <row r="227" spans="18:18" ht="15.75" customHeight="1">
      <c r="R227" s="30"/>
    </row>
    <row r="228" spans="18:18" ht="15.75" customHeight="1">
      <c r="R228" s="30"/>
    </row>
    <row r="229" spans="18:18" ht="15.75" customHeight="1">
      <c r="R229" s="30"/>
    </row>
    <row r="230" spans="18:18" ht="15.75" customHeight="1">
      <c r="R230" s="30"/>
    </row>
    <row r="231" spans="18:18" ht="15.75" customHeight="1">
      <c r="R231" s="30"/>
    </row>
    <row r="232" spans="18:18" ht="15.75" customHeight="1">
      <c r="R232" s="30"/>
    </row>
    <row r="233" spans="18:18" ht="15.75" customHeight="1">
      <c r="R233" s="30"/>
    </row>
    <row r="234" spans="18:18" ht="15.75" customHeight="1">
      <c r="R234" s="30"/>
    </row>
    <row r="235" spans="18:18" ht="15.75" customHeight="1">
      <c r="R235" s="30"/>
    </row>
    <row r="236" spans="18:18" ht="15.75" customHeight="1">
      <c r="R236" s="30"/>
    </row>
    <row r="237" spans="18:18" ht="15.75" customHeight="1">
      <c r="R237" s="30"/>
    </row>
    <row r="238" spans="18:18" ht="15.75" customHeight="1">
      <c r="R238" s="30"/>
    </row>
    <row r="239" spans="18:18" ht="15.75" customHeight="1">
      <c r="R239" s="30"/>
    </row>
    <row r="240" spans="18:18" ht="15.75" customHeight="1">
      <c r="R240" s="30"/>
    </row>
    <row r="241" spans="18:18" ht="15.75" customHeight="1">
      <c r="R241" s="30"/>
    </row>
    <row r="242" spans="18:18" ht="15.75" customHeight="1">
      <c r="R242" s="30"/>
    </row>
    <row r="243" spans="18:18" ht="15.75" customHeight="1">
      <c r="R243" s="30"/>
    </row>
    <row r="244" spans="18:18" ht="15.75" customHeight="1">
      <c r="R244" s="30"/>
    </row>
    <row r="245" spans="18:18" ht="15.75" customHeight="1">
      <c r="R245" s="30"/>
    </row>
    <row r="246" spans="18:18" ht="15.75" customHeight="1">
      <c r="R246" s="30"/>
    </row>
    <row r="247" spans="18:18" ht="15.75" customHeight="1">
      <c r="R247" s="30"/>
    </row>
    <row r="248" spans="18:18" ht="15.75" customHeight="1">
      <c r="R248" s="30"/>
    </row>
    <row r="249" spans="18:18" ht="15.75" customHeight="1">
      <c r="R249" s="30"/>
    </row>
    <row r="250" spans="18:18" ht="15.75" customHeight="1">
      <c r="R250" s="30"/>
    </row>
    <row r="251" spans="18:18" ht="15.75" customHeight="1">
      <c r="R251" s="30"/>
    </row>
    <row r="252" spans="18:18" ht="15.75" customHeight="1">
      <c r="R252" s="30"/>
    </row>
    <row r="253" spans="18:18" ht="15.75" customHeight="1">
      <c r="R253" s="30"/>
    </row>
    <row r="254" spans="18:18" ht="15.75" customHeight="1">
      <c r="R254" s="30"/>
    </row>
    <row r="255" spans="18:18" ht="15.75" customHeight="1">
      <c r="R255" s="30"/>
    </row>
    <row r="256" spans="18:18" ht="15.75" customHeight="1">
      <c r="R256" s="30"/>
    </row>
    <row r="257" spans="18:18" ht="15.75" customHeight="1">
      <c r="R257" s="30"/>
    </row>
    <row r="258" spans="18:18" ht="15.75" customHeight="1">
      <c r="R258" s="30"/>
    </row>
    <row r="259" spans="18:18" ht="15.75" customHeight="1">
      <c r="R259" s="30"/>
    </row>
    <row r="260" spans="18:18" ht="15.75" customHeight="1">
      <c r="R260" s="30"/>
    </row>
    <row r="261" spans="18:18" ht="15.75" customHeight="1">
      <c r="R261" s="30"/>
    </row>
    <row r="262" spans="18:18" ht="15.75" customHeight="1">
      <c r="R262" s="30"/>
    </row>
    <row r="263" spans="18:18" ht="15.75" customHeight="1">
      <c r="R263" s="30"/>
    </row>
    <row r="264" spans="18:18" ht="15.75" customHeight="1">
      <c r="R264" s="30"/>
    </row>
    <row r="265" spans="18:18" ht="15.75" customHeight="1">
      <c r="R265" s="30"/>
    </row>
    <row r="266" spans="18:18" ht="15.75" customHeight="1">
      <c r="R266" s="30"/>
    </row>
    <row r="267" spans="18:18" ht="15.75" customHeight="1">
      <c r="R267" s="30"/>
    </row>
    <row r="268" spans="18:18" ht="15.75" customHeight="1">
      <c r="R268" s="30"/>
    </row>
    <row r="269" spans="18:18" ht="15.75" customHeight="1">
      <c r="R269" s="30"/>
    </row>
    <row r="270" spans="18:18" ht="15.75" customHeight="1">
      <c r="R270" s="30"/>
    </row>
    <row r="271" spans="18:18" ht="15.75" customHeight="1">
      <c r="R271" s="30"/>
    </row>
    <row r="272" spans="18:18" ht="15.75" customHeight="1">
      <c r="R272" s="30"/>
    </row>
    <row r="273" spans="18:18" ht="15.75" customHeight="1">
      <c r="R273" s="30"/>
    </row>
    <row r="274" spans="18:18" ht="15.75" customHeight="1">
      <c r="R274" s="30"/>
    </row>
    <row r="275" spans="18:18" ht="15.75" customHeight="1">
      <c r="R275" s="30"/>
    </row>
    <row r="276" spans="18:18" ht="15.75" customHeight="1">
      <c r="R276" s="30"/>
    </row>
    <row r="277" spans="18:18" ht="15.75" customHeight="1">
      <c r="R277" s="30"/>
    </row>
    <row r="278" spans="18:18" ht="15.75" customHeight="1">
      <c r="R278" s="30"/>
    </row>
    <row r="279" spans="18:18" ht="15.75" customHeight="1">
      <c r="R279" s="30"/>
    </row>
    <row r="280" spans="18:18" ht="15.75" customHeight="1">
      <c r="R280" s="30"/>
    </row>
    <row r="281" spans="18:18" ht="15.75" customHeight="1">
      <c r="R281" s="30"/>
    </row>
    <row r="282" spans="18:18" ht="15.75" customHeight="1">
      <c r="R282" s="30"/>
    </row>
    <row r="283" spans="18:18" ht="15.75" customHeight="1">
      <c r="R283" s="30"/>
    </row>
    <row r="284" spans="18:18" ht="15.75" customHeight="1">
      <c r="R284" s="30"/>
    </row>
    <row r="285" spans="18:18" ht="15.75" customHeight="1">
      <c r="R285" s="30"/>
    </row>
    <row r="286" spans="18:18" ht="15.75" customHeight="1">
      <c r="R286" s="30"/>
    </row>
    <row r="287" spans="18:18" ht="15.75" customHeight="1">
      <c r="R287" s="30"/>
    </row>
    <row r="288" spans="18:18" ht="15.75" customHeight="1">
      <c r="R288" s="30"/>
    </row>
    <row r="289" spans="18:18" ht="15.75" customHeight="1">
      <c r="R289" s="30"/>
    </row>
    <row r="290" spans="18:18" ht="15.75" customHeight="1">
      <c r="R290" s="30"/>
    </row>
    <row r="291" spans="18:18" ht="15.75" customHeight="1">
      <c r="R291" s="30"/>
    </row>
    <row r="292" spans="18:18" ht="15.75" customHeight="1">
      <c r="R292" s="30"/>
    </row>
    <row r="293" spans="18:18" ht="15.75" customHeight="1">
      <c r="R293" s="30"/>
    </row>
    <row r="294" spans="18:18" ht="15.75" customHeight="1">
      <c r="R294" s="30"/>
    </row>
    <row r="295" spans="18:18" ht="15.75" customHeight="1">
      <c r="R295" s="30"/>
    </row>
    <row r="296" spans="18:18" ht="15.75" customHeight="1">
      <c r="R296" s="30"/>
    </row>
    <row r="297" spans="18:18" ht="15.75" customHeight="1">
      <c r="R297" s="30"/>
    </row>
    <row r="298" spans="18:18" ht="15.75" customHeight="1">
      <c r="R298" s="30"/>
    </row>
    <row r="299" spans="18:18" ht="15.75" customHeight="1">
      <c r="R299" s="30"/>
    </row>
    <row r="300" spans="18:18" ht="15.75" customHeight="1">
      <c r="R300" s="30"/>
    </row>
    <row r="301" spans="18:18" ht="15.75" customHeight="1">
      <c r="R301" s="30"/>
    </row>
    <row r="302" spans="18:18" ht="15.75" customHeight="1">
      <c r="R302" s="30"/>
    </row>
    <row r="303" spans="18:18" ht="15.75" customHeight="1">
      <c r="R303" s="30"/>
    </row>
    <row r="304" spans="18:18" ht="15.75" customHeight="1">
      <c r="R304" s="30"/>
    </row>
    <row r="305" spans="18:18" ht="15.75" customHeight="1">
      <c r="R305" s="30"/>
    </row>
    <row r="306" spans="18:18" ht="15.75" customHeight="1">
      <c r="R306" s="30"/>
    </row>
    <row r="307" spans="18:18" ht="15.75" customHeight="1">
      <c r="R307" s="30"/>
    </row>
    <row r="308" spans="18:18" ht="15.75" customHeight="1">
      <c r="R308" s="30"/>
    </row>
    <row r="309" spans="18:18" ht="15.75" customHeight="1">
      <c r="R309" s="30"/>
    </row>
    <row r="310" spans="18:18" ht="15.75" customHeight="1">
      <c r="R310" s="30"/>
    </row>
    <row r="311" spans="18:18" ht="15.75" customHeight="1">
      <c r="R311" s="30"/>
    </row>
    <row r="312" spans="18:18" ht="15.75" customHeight="1">
      <c r="R312" s="30"/>
    </row>
    <row r="313" spans="18:18" ht="15.75" customHeight="1">
      <c r="R313" s="30"/>
    </row>
    <row r="314" spans="18:18" ht="15.75" customHeight="1">
      <c r="R314" s="30"/>
    </row>
    <row r="315" spans="18:18" ht="15.75" customHeight="1">
      <c r="R315" s="30"/>
    </row>
    <row r="316" spans="18:18" ht="15.75" customHeight="1">
      <c r="R316" s="30"/>
    </row>
    <row r="317" spans="18:18" ht="15.75" customHeight="1">
      <c r="R317" s="30"/>
    </row>
    <row r="318" spans="18:18" ht="15.75" customHeight="1">
      <c r="R318" s="30"/>
    </row>
    <row r="319" spans="18:18" ht="15.75" customHeight="1">
      <c r="R319" s="30"/>
    </row>
    <row r="320" spans="18:18" ht="15.75" customHeight="1">
      <c r="R320" s="30"/>
    </row>
    <row r="321" spans="18:18" ht="15.75" customHeight="1">
      <c r="R321" s="30"/>
    </row>
    <row r="322" spans="18:18" ht="15.75" customHeight="1">
      <c r="R322" s="30"/>
    </row>
    <row r="323" spans="18:18" ht="15.75" customHeight="1">
      <c r="R323" s="30"/>
    </row>
    <row r="324" spans="18:18" ht="15.75" customHeight="1">
      <c r="R324" s="30"/>
    </row>
    <row r="325" spans="18:18" ht="15.75" customHeight="1">
      <c r="R325" s="30"/>
    </row>
    <row r="326" spans="18:18" ht="15.75" customHeight="1">
      <c r="R326" s="30"/>
    </row>
    <row r="327" spans="18:18" ht="15.75" customHeight="1">
      <c r="R327" s="30"/>
    </row>
    <row r="328" spans="18:18" ht="15.75" customHeight="1">
      <c r="R328" s="30"/>
    </row>
    <row r="329" spans="18:18" ht="15.75" customHeight="1">
      <c r="R329" s="30"/>
    </row>
    <row r="330" spans="18:18" ht="15.75" customHeight="1">
      <c r="R330" s="30"/>
    </row>
    <row r="331" spans="18:18" ht="15.75" customHeight="1">
      <c r="R331" s="30"/>
    </row>
    <row r="332" spans="18:18" ht="15.75" customHeight="1">
      <c r="R332" s="30"/>
    </row>
    <row r="333" spans="18:18" ht="15.75" customHeight="1">
      <c r="R333" s="30"/>
    </row>
    <row r="334" spans="18:18" ht="15.75" customHeight="1">
      <c r="R334" s="30"/>
    </row>
    <row r="335" spans="18:18" ht="15.75" customHeight="1">
      <c r="R335" s="30"/>
    </row>
    <row r="336" spans="18:18" ht="15.75" customHeight="1">
      <c r="R336" s="30"/>
    </row>
    <row r="337" spans="18:18" ht="15.75" customHeight="1">
      <c r="R337" s="30"/>
    </row>
    <row r="338" spans="18:18" ht="15.75" customHeight="1">
      <c r="R338" s="30"/>
    </row>
    <row r="339" spans="18:18" ht="15.75" customHeight="1">
      <c r="R339" s="30"/>
    </row>
    <row r="340" spans="18:18" ht="15.75" customHeight="1">
      <c r="R340" s="30"/>
    </row>
    <row r="341" spans="18:18" ht="15.75" customHeight="1">
      <c r="R341" s="30"/>
    </row>
    <row r="342" spans="18:18" ht="15.75" customHeight="1">
      <c r="R342" s="30"/>
    </row>
    <row r="343" spans="18:18" ht="15.75" customHeight="1">
      <c r="R343" s="30"/>
    </row>
    <row r="344" spans="18:18" ht="15.75" customHeight="1">
      <c r="R344" s="30"/>
    </row>
    <row r="345" spans="18:18" ht="15.75" customHeight="1">
      <c r="R345" s="30"/>
    </row>
    <row r="346" spans="18:18" ht="15.75" customHeight="1">
      <c r="R346" s="30"/>
    </row>
    <row r="347" spans="18:18" ht="15.75" customHeight="1">
      <c r="R347" s="30"/>
    </row>
    <row r="348" spans="18:18" ht="15.75" customHeight="1">
      <c r="R348" s="30"/>
    </row>
    <row r="349" spans="18:18" ht="15.75" customHeight="1">
      <c r="R349" s="30"/>
    </row>
    <row r="350" spans="18:18" ht="15.75" customHeight="1">
      <c r="R350" s="30"/>
    </row>
    <row r="351" spans="18:18" ht="15.75" customHeight="1">
      <c r="R351" s="30"/>
    </row>
    <row r="352" spans="18:18" ht="15.75" customHeight="1">
      <c r="R352" s="30"/>
    </row>
    <row r="353" spans="18:18" ht="15.75" customHeight="1">
      <c r="R353" s="30"/>
    </row>
    <row r="354" spans="18:18" ht="15.75" customHeight="1">
      <c r="R354" s="30"/>
    </row>
    <row r="355" spans="18:18" ht="15.75" customHeight="1">
      <c r="R355" s="30"/>
    </row>
    <row r="356" spans="18:18" ht="15.75" customHeight="1">
      <c r="R356" s="30"/>
    </row>
    <row r="357" spans="18:18" ht="15.75" customHeight="1">
      <c r="R357" s="30"/>
    </row>
    <row r="358" spans="18:18" ht="15.75" customHeight="1">
      <c r="R358" s="30"/>
    </row>
    <row r="359" spans="18:18" ht="15.75" customHeight="1">
      <c r="R359" s="30"/>
    </row>
    <row r="360" spans="18:18" ht="15.75" customHeight="1">
      <c r="R360" s="30"/>
    </row>
    <row r="361" spans="18:18" ht="15.75" customHeight="1">
      <c r="R361" s="30"/>
    </row>
    <row r="362" spans="18:18" ht="15.75" customHeight="1">
      <c r="R362" s="30"/>
    </row>
    <row r="363" spans="18:18" ht="15.75" customHeight="1">
      <c r="R363" s="30"/>
    </row>
    <row r="364" spans="18:18" ht="15.75" customHeight="1">
      <c r="R364" s="30"/>
    </row>
    <row r="365" spans="18:18" ht="15.75" customHeight="1">
      <c r="R365" s="30"/>
    </row>
    <row r="366" spans="18:18" ht="15.75" customHeight="1">
      <c r="R366" s="30"/>
    </row>
    <row r="367" spans="18:18" ht="15.75" customHeight="1">
      <c r="R367" s="30"/>
    </row>
    <row r="368" spans="18:18" ht="15.75" customHeight="1">
      <c r="R368" s="30"/>
    </row>
    <row r="369" spans="18:18" ht="15.75" customHeight="1">
      <c r="R369" s="30"/>
    </row>
    <row r="370" spans="18:18" ht="15.75" customHeight="1">
      <c r="R370" s="30"/>
    </row>
    <row r="371" spans="18:18" ht="15.75" customHeight="1">
      <c r="R371" s="30"/>
    </row>
    <row r="372" spans="18:18" ht="15.75" customHeight="1">
      <c r="R372" s="30"/>
    </row>
    <row r="373" spans="18:18" ht="15.75" customHeight="1">
      <c r="R373" s="30"/>
    </row>
    <row r="374" spans="18:18" ht="15.75" customHeight="1">
      <c r="R374" s="30"/>
    </row>
    <row r="375" spans="18:18" ht="15.75" customHeight="1">
      <c r="R375" s="30"/>
    </row>
    <row r="376" spans="18:18" ht="15.75" customHeight="1">
      <c r="R376" s="30"/>
    </row>
    <row r="377" spans="18:18" ht="15.75" customHeight="1">
      <c r="R377" s="30"/>
    </row>
    <row r="378" spans="18:18" ht="15.75" customHeight="1">
      <c r="R378" s="30"/>
    </row>
    <row r="379" spans="18:18" ht="15.75" customHeight="1">
      <c r="R379" s="30"/>
    </row>
    <row r="380" spans="18:18" ht="15.75" customHeight="1">
      <c r="R380" s="30"/>
    </row>
    <row r="381" spans="18:18" ht="15.75" customHeight="1">
      <c r="R381" s="30"/>
    </row>
    <row r="382" spans="18:18" ht="15.75" customHeight="1">
      <c r="R382" s="30"/>
    </row>
    <row r="383" spans="18:18" ht="15.75" customHeight="1">
      <c r="R383" s="30"/>
    </row>
    <row r="384" spans="18:18" ht="15.75" customHeight="1">
      <c r="R384" s="30"/>
    </row>
    <row r="385" spans="18:18" ht="15.75" customHeight="1">
      <c r="R385" s="30"/>
    </row>
    <row r="386" spans="18:18" ht="15.75" customHeight="1">
      <c r="R386" s="30"/>
    </row>
    <row r="387" spans="18:18" ht="15.75" customHeight="1">
      <c r="R387" s="30"/>
    </row>
    <row r="388" spans="18:18" ht="15.75" customHeight="1">
      <c r="R388" s="30"/>
    </row>
    <row r="389" spans="18:18" ht="15.75" customHeight="1">
      <c r="R389" s="30"/>
    </row>
    <row r="390" spans="18:18" ht="15.75" customHeight="1">
      <c r="R390" s="30"/>
    </row>
    <row r="391" spans="18:18" ht="15.75" customHeight="1">
      <c r="R391" s="30"/>
    </row>
    <row r="392" spans="18:18" ht="15.75" customHeight="1">
      <c r="R392" s="30"/>
    </row>
    <row r="393" spans="18:18" ht="15.75" customHeight="1">
      <c r="R393" s="30"/>
    </row>
    <row r="394" spans="18:18" ht="15.75" customHeight="1">
      <c r="R394" s="30"/>
    </row>
    <row r="395" spans="18:18" ht="15.75" customHeight="1">
      <c r="R395" s="30"/>
    </row>
    <row r="396" spans="18:18" ht="15.75" customHeight="1">
      <c r="R396" s="30"/>
    </row>
    <row r="397" spans="18:18" ht="15.75" customHeight="1">
      <c r="R397" s="30"/>
    </row>
    <row r="398" spans="18:18" ht="15.75" customHeight="1">
      <c r="R398" s="30"/>
    </row>
    <row r="399" spans="18:18" ht="15.75" customHeight="1">
      <c r="R399" s="30"/>
    </row>
    <row r="400" spans="18:18" ht="15.75" customHeight="1">
      <c r="R400" s="30"/>
    </row>
    <row r="401" spans="18:18" ht="15.75" customHeight="1">
      <c r="R401" s="30"/>
    </row>
    <row r="402" spans="18:18" ht="15.75" customHeight="1">
      <c r="R402" s="30"/>
    </row>
    <row r="403" spans="18:18" ht="15.75" customHeight="1">
      <c r="R403" s="30"/>
    </row>
    <row r="404" spans="18:18" ht="15.75" customHeight="1">
      <c r="R404" s="30"/>
    </row>
    <row r="405" spans="18:18" ht="15.75" customHeight="1">
      <c r="R405" s="30"/>
    </row>
    <row r="406" spans="18:18" ht="15.75" customHeight="1">
      <c r="R406" s="30"/>
    </row>
    <row r="407" spans="18:18" ht="15.75" customHeight="1">
      <c r="R407" s="30"/>
    </row>
    <row r="408" spans="18:18" ht="15.75" customHeight="1">
      <c r="R408" s="30"/>
    </row>
    <row r="409" spans="18:18" ht="15.75" customHeight="1">
      <c r="R409" s="30"/>
    </row>
    <row r="410" spans="18:18" ht="15.75" customHeight="1">
      <c r="R410" s="30"/>
    </row>
    <row r="411" spans="18:18" ht="15.75" customHeight="1">
      <c r="R411" s="30"/>
    </row>
    <row r="412" spans="18:18" ht="15.75" customHeight="1">
      <c r="R412" s="30"/>
    </row>
    <row r="413" spans="18:18" ht="15.75" customHeight="1">
      <c r="R413" s="30"/>
    </row>
    <row r="414" spans="18:18" ht="15.75" customHeight="1">
      <c r="R414" s="30"/>
    </row>
    <row r="415" spans="18:18" ht="15.75" customHeight="1">
      <c r="R415" s="30"/>
    </row>
    <row r="416" spans="18:18" ht="15.75" customHeight="1">
      <c r="R416" s="30"/>
    </row>
    <row r="417" spans="18:18" ht="15.75" customHeight="1">
      <c r="R417" s="30"/>
    </row>
    <row r="418" spans="18:18" ht="15.75" customHeight="1">
      <c r="R418" s="30"/>
    </row>
    <row r="419" spans="18:18" ht="15.75" customHeight="1">
      <c r="R419" s="30"/>
    </row>
    <row r="420" spans="18:18" ht="15.75" customHeight="1">
      <c r="R420" s="30"/>
    </row>
    <row r="421" spans="18:18" ht="15.75" customHeight="1">
      <c r="R421" s="30"/>
    </row>
    <row r="422" spans="18:18" ht="15.75" customHeight="1">
      <c r="R422" s="30"/>
    </row>
    <row r="423" spans="18:18" ht="15.75" customHeight="1">
      <c r="R423" s="30"/>
    </row>
    <row r="424" spans="18:18" ht="15.75" customHeight="1">
      <c r="R424" s="30"/>
    </row>
    <row r="425" spans="18:18" ht="15.75" customHeight="1">
      <c r="R425" s="30"/>
    </row>
    <row r="426" spans="18:18" ht="15.75" customHeight="1">
      <c r="R426" s="30"/>
    </row>
    <row r="427" spans="18:18" ht="15.75" customHeight="1">
      <c r="R427" s="30"/>
    </row>
    <row r="428" spans="18:18" ht="15.75" customHeight="1">
      <c r="R428" s="30"/>
    </row>
    <row r="429" spans="18:18" ht="15.75" customHeight="1">
      <c r="R429" s="30"/>
    </row>
    <row r="430" spans="18:18" ht="15.75" customHeight="1">
      <c r="R430" s="30"/>
    </row>
    <row r="431" spans="18:18" ht="15.75" customHeight="1">
      <c r="R431" s="30"/>
    </row>
    <row r="432" spans="18:18" ht="15.75" customHeight="1">
      <c r="R432" s="30"/>
    </row>
    <row r="433" spans="18:18" ht="15.75" customHeight="1">
      <c r="R433" s="30"/>
    </row>
    <row r="434" spans="18:18" ht="15.75" customHeight="1">
      <c r="R434" s="30"/>
    </row>
    <row r="435" spans="18:18" ht="15.75" customHeight="1">
      <c r="R435" s="30"/>
    </row>
    <row r="436" spans="18:18" ht="15.75" customHeight="1">
      <c r="R436" s="30"/>
    </row>
    <row r="437" spans="18:18" ht="15.75" customHeight="1">
      <c r="R437" s="30"/>
    </row>
    <row r="438" spans="18:18" ht="15.75" customHeight="1">
      <c r="R438" s="30"/>
    </row>
    <row r="439" spans="18:18" ht="15.75" customHeight="1">
      <c r="R439" s="30"/>
    </row>
    <row r="440" spans="18:18" ht="15.75" customHeight="1">
      <c r="R440" s="30"/>
    </row>
    <row r="441" spans="18:18" ht="15.75" customHeight="1">
      <c r="R441" s="30"/>
    </row>
    <row r="442" spans="18:18" ht="15.75" customHeight="1">
      <c r="R442" s="30"/>
    </row>
    <row r="443" spans="18:18" ht="15.75" customHeight="1">
      <c r="R443" s="30"/>
    </row>
    <row r="444" spans="18:18" ht="15.75" customHeight="1">
      <c r="R444" s="30"/>
    </row>
    <row r="445" spans="18:18" ht="15.75" customHeight="1">
      <c r="R445" s="30"/>
    </row>
    <row r="446" spans="18:18" ht="15.75" customHeight="1">
      <c r="R446" s="30"/>
    </row>
    <row r="447" spans="18:18" ht="15.75" customHeight="1">
      <c r="R447" s="30"/>
    </row>
    <row r="448" spans="18:18" ht="15.75" customHeight="1">
      <c r="R448" s="30"/>
    </row>
    <row r="449" spans="18:18" ht="15.75" customHeight="1">
      <c r="R449" s="30"/>
    </row>
    <row r="450" spans="18:18" ht="15.75" customHeight="1">
      <c r="R450" s="30"/>
    </row>
    <row r="451" spans="18:18" ht="15.75" customHeight="1">
      <c r="R451" s="30"/>
    </row>
    <row r="452" spans="18:18" ht="15.75" customHeight="1">
      <c r="R452" s="30"/>
    </row>
    <row r="453" spans="18:18" ht="15.75" customHeight="1">
      <c r="R453" s="30"/>
    </row>
    <row r="454" spans="18:18" ht="15.75" customHeight="1">
      <c r="R454" s="30"/>
    </row>
    <row r="455" spans="18:18" ht="15.75" customHeight="1">
      <c r="R455" s="30"/>
    </row>
    <row r="456" spans="18:18" ht="15.75" customHeight="1">
      <c r="R456" s="30"/>
    </row>
    <row r="457" spans="18:18" ht="15.75" customHeight="1">
      <c r="R457" s="30"/>
    </row>
    <row r="458" spans="18:18" ht="15.75" customHeight="1">
      <c r="R458" s="30"/>
    </row>
    <row r="459" spans="18:18" ht="15.75" customHeight="1">
      <c r="R459" s="30"/>
    </row>
    <row r="460" spans="18:18" ht="15.75" customHeight="1">
      <c r="R460" s="30"/>
    </row>
    <row r="461" spans="18:18" ht="15.75" customHeight="1">
      <c r="R461" s="30"/>
    </row>
    <row r="462" spans="18:18" ht="15.75" customHeight="1">
      <c r="R462" s="30"/>
    </row>
    <row r="463" spans="18:18" ht="15.75" customHeight="1">
      <c r="R463" s="30"/>
    </row>
    <row r="464" spans="18:18" ht="15.75" customHeight="1">
      <c r="R464" s="30"/>
    </row>
    <row r="465" spans="18:18" ht="15.75" customHeight="1">
      <c r="R465" s="30"/>
    </row>
    <row r="466" spans="18:18" ht="15.75" customHeight="1">
      <c r="R466" s="30"/>
    </row>
    <row r="467" spans="18:18" ht="15.75" customHeight="1">
      <c r="R467" s="30"/>
    </row>
    <row r="468" spans="18:18" ht="15.75" customHeight="1">
      <c r="R468" s="30"/>
    </row>
    <row r="469" spans="18:18" ht="15.75" customHeight="1">
      <c r="R469" s="30"/>
    </row>
    <row r="470" spans="18:18" ht="15.75" customHeight="1">
      <c r="R470" s="30"/>
    </row>
    <row r="471" spans="18:18" ht="15.75" customHeight="1">
      <c r="R471" s="30"/>
    </row>
    <row r="472" spans="18:18" ht="15.75" customHeight="1">
      <c r="R472" s="30"/>
    </row>
    <row r="473" spans="18:18" ht="15.75" customHeight="1">
      <c r="R473" s="30"/>
    </row>
    <row r="474" spans="18:18" ht="15.75" customHeight="1">
      <c r="R474" s="30"/>
    </row>
    <row r="475" spans="18:18" ht="15.75" customHeight="1">
      <c r="R475" s="30"/>
    </row>
    <row r="476" spans="18:18" ht="15.75" customHeight="1">
      <c r="R476" s="30"/>
    </row>
    <row r="477" spans="18:18" ht="15.75" customHeight="1">
      <c r="R477" s="30"/>
    </row>
    <row r="478" spans="18:18" ht="15.75" customHeight="1">
      <c r="R478" s="30"/>
    </row>
    <row r="479" spans="18:18" ht="15.75" customHeight="1">
      <c r="R479" s="30"/>
    </row>
    <row r="480" spans="18:18" ht="15.75" customHeight="1">
      <c r="R480" s="30"/>
    </row>
    <row r="481" spans="18:18" ht="15.75" customHeight="1">
      <c r="R481" s="30"/>
    </row>
    <row r="482" spans="18:18" ht="15.75" customHeight="1">
      <c r="R482" s="30"/>
    </row>
    <row r="483" spans="18:18" ht="15.75" customHeight="1">
      <c r="R483" s="30"/>
    </row>
    <row r="484" spans="18:18" ht="15.75" customHeight="1">
      <c r="R484" s="30"/>
    </row>
    <row r="485" spans="18:18" ht="15.75" customHeight="1">
      <c r="R485" s="30"/>
    </row>
    <row r="486" spans="18:18" ht="15.75" customHeight="1">
      <c r="R486" s="30"/>
    </row>
    <row r="487" spans="18:18" ht="15.75" customHeight="1">
      <c r="R487" s="30"/>
    </row>
    <row r="488" spans="18:18" ht="15.75" customHeight="1">
      <c r="R488" s="30"/>
    </row>
    <row r="489" spans="18:18" ht="15.75" customHeight="1">
      <c r="R489" s="30"/>
    </row>
    <row r="490" spans="18:18" ht="15.75" customHeight="1">
      <c r="R490" s="30"/>
    </row>
    <row r="491" spans="18:18" ht="15.75" customHeight="1">
      <c r="R491" s="30"/>
    </row>
    <row r="492" spans="18:18" ht="15.75" customHeight="1">
      <c r="R492" s="30"/>
    </row>
    <row r="493" spans="18:18" ht="15.75" customHeight="1">
      <c r="R493" s="30"/>
    </row>
    <row r="494" spans="18:18" ht="15.75" customHeight="1">
      <c r="R494" s="30"/>
    </row>
    <row r="495" spans="18:18" ht="15.75" customHeight="1">
      <c r="R495" s="30"/>
    </row>
    <row r="496" spans="18:18" ht="15.75" customHeight="1">
      <c r="R496" s="30"/>
    </row>
    <row r="497" spans="18:18" ht="15.75" customHeight="1">
      <c r="R497" s="30"/>
    </row>
    <row r="498" spans="18:18" ht="15.75" customHeight="1">
      <c r="R498" s="30"/>
    </row>
    <row r="499" spans="18:18" ht="15.75" customHeight="1">
      <c r="R499" s="30"/>
    </row>
    <row r="500" spans="18:18" ht="15.75" customHeight="1">
      <c r="R500" s="30"/>
    </row>
    <row r="501" spans="18:18" ht="15.75" customHeight="1">
      <c r="R501" s="30"/>
    </row>
    <row r="502" spans="18:18" ht="15.75" customHeight="1">
      <c r="R502" s="30"/>
    </row>
    <row r="503" spans="18:18" ht="15.75" customHeight="1">
      <c r="R503" s="30"/>
    </row>
    <row r="504" spans="18:18" ht="15.75" customHeight="1">
      <c r="R504" s="30"/>
    </row>
    <row r="505" spans="18:18" ht="15.75" customHeight="1">
      <c r="R505" s="30"/>
    </row>
    <row r="506" spans="18:18" ht="15.75" customHeight="1">
      <c r="R506" s="30"/>
    </row>
    <row r="507" spans="18:18" ht="15.75" customHeight="1">
      <c r="R507" s="30"/>
    </row>
    <row r="508" spans="18:18" ht="15.75" customHeight="1">
      <c r="R508" s="30"/>
    </row>
    <row r="509" spans="18:18" ht="15.75" customHeight="1">
      <c r="R509" s="30"/>
    </row>
    <row r="510" spans="18:18" ht="15.75" customHeight="1">
      <c r="R510" s="30"/>
    </row>
    <row r="511" spans="18:18" ht="15.75" customHeight="1">
      <c r="R511" s="30"/>
    </row>
    <row r="512" spans="18:18" ht="15.75" customHeight="1">
      <c r="R512" s="30"/>
    </row>
    <row r="513" spans="18:18" ht="15.75" customHeight="1">
      <c r="R513" s="30"/>
    </row>
    <row r="514" spans="18:18" ht="15.75" customHeight="1">
      <c r="R514" s="30"/>
    </row>
    <row r="515" spans="18:18" ht="15.75" customHeight="1">
      <c r="R515" s="30"/>
    </row>
    <row r="516" spans="18:18" ht="15.75" customHeight="1">
      <c r="R516" s="30"/>
    </row>
    <row r="517" spans="18:18" ht="15.75" customHeight="1">
      <c r="R517" s="30"/>
    </row>
    <row r="518" spans="18:18" ht="15.75" customHeight="1">
      <c r="R518" s="30"/>
    </row>
    <row r="519" spans="18:18" ht="15.75" customHeight="1">
      <c r="R519" s="30"/>
    </row>
    <row r="520" spans="18:18" ht="15.75" customHeight="1">
      <c r="R520" s="30"/>
    </row>
    <row r="521" spans="18:18" ht="15.75" customHeight="1">
      <c r="R521" s="30"/>
    </row>
    <row r="522" spans="18:18" ht="15.75" customHeight="1">
      <c r="R522" s="30"/>
    </row>
    <row r="523" spans="18:18" ht="15.75" customHeight="1">
      <c r="R523" s="30"/>
    </row>
    <row r="524" spans="18:18" ht="15.75" customHeight="1">
      <c r="R524" s="30"/>
    </row>
    <row r="525" spans="18:18" ht="15.75" customHeight="1">
      <c r="R525" s="30"/>
    </row>
    <row r="526" spans="18:18" ht="15.75" customHeight="1">
      <c r="R526" s="30"/>
    </row>
    <row r="527" spans="18:18" ht="15.75" customHeight="1">
      <c r="R527" s="30"/>
    </row>
    <row r="528" spans="18:18" ht="15.75" customHeight="1">
      <c r="R528" s="30"/>
    </row>
    <row r="529" spans="18:18" ht="15.75" customHeight="1">
      <c r="R529" s="30"/>
    </row>
    <row r="530" spans="18:18" ht="15.75" customHeight="1">
      <c r="R530" s="30"/>
    </row>
    <row r="531" spans="18:18" ht="15.75" customHeight="1">
      <c r="R531" s="30"/>
    </row>
    <row r="532" spans="18:18" ht="15.75" customHeight="1">
      <c r="R532" s="30"/>
    </row>
    <row r="533" spans="18:18" ht="15.75" customHeight="1">
      <c r="R533" s="30"/>
    </row>
    <row r="534" spans="18:18" ht="15.75" customHeight="1">
      <c r="R534" s="30"/>
    </row>
    <row r="535" spans="18:18" ht="15.75" customHeight="1">
      <c r="R535" s="30"/>
    </row>
    <row r="536" spans="18:18" ht="15.75" customHeight="1">
      <c r="R536" s="30"/>
    </row>
    <row r="537" spans="18:18" ht="15.75" customHeight="1">
      <c r="R537" s="30"/>
    </row>
    <row r="538" spans="18:18" ht="15.75" customHeight="1">
      <c r="R538" s="30"/>
    </row>
    <row r="539" spans="18:18" ht="15.75" customHeight="1">
      <c r="R539" s="30"/>
    </row>
    <row r="540" spans="18:18" ht="15.75" customHeight="1">
      <c r="R540" s="30"/>
    </row>
    <row r="541" spans="18:18" ht="15.75" customHeight="1">
      <c r="R541" s="30"/>
    </row>
    <row r="542" spans="18:18" ht="15.75" customHeight="1">
      <c r="R542" s="30"/>
    </row>
    <row r="543" spans="18:18" ht="15.75" customHeight="1">
      <c r="R543" s="30"/>
    </row>
    <row r="544" spans="18:18" ht="15.75" customHeight="1">
      <c r="R544" s="30"/>
    </row>
    <row r="545" spans="18:18" ht="15.75" customHeight="1">
      <c r="R545" s="30"/>
    </row>
    <row r="546" spans="18:18" ht="15.75" customHeight="1">
      <c r="R546" s="30"/>
    </row>
    <row r="547" spans="18:18" ht="15.75" customHeight="1">
      <c r="R547" s="30"/>
    </row>
    <row r="548" spans="18:18" ht="15.75" customHeight="1">
      <c r="R548" s="30"/>
    </row>
    <row r="549" spans="18:18" ht="15.75" customHeight="1">
      <c r="R549" s="30"/>
    </row>
    <row r="550" spans="18:18" ht="15.75" customHeight="1">
      <c r="R550" s="30"/>
    </row>
    <row r="551" spans="18:18" ht="15.75" customHeight="1">
      <c r="R551" s="30"/>
    </row>
    <row r="552" spans="18:18" ht="15.75" customHeight="1">
      <c r="R552" s="30"/>
    </row>
    <row r="553" spans="18:18" ht="15.75" customHeight="1">
      <c r="R553" s="30"/>
    </row>
    <row r="554" spans="18:18" ht="15.75" customHeight="1">
      <c r="R554" s="30"/>
    </row>
    <row r="555" spans="18:18" ht="15.75" customHeight="1">
      <c r="R555" s="30"/>
    </row>
    <row r="556" spans="18:18" ht="15.75" customHeight="1">
      <c r="R556" s="30"/>
    </row>
    <row r="557" spans="18:18" ht="15.75" customHeight="1">
      <c r="R557" s="30"/>
    </row>
    <row r="558" spans="18:18" ht="15.75" customHeight="1">
      <c r="R558" s="30"/>
    </row>
    <row r="559" spans="18:18" ht="15.75" customHeight="1">
      <c r="R559" s="30"/>
    </row>
    <row r="560" spans="18:18" ht="15.75" customHeight="1">
      <c r="R560" s="30"/>
    </row>
    <row r="561" spans="18:18" ht="15.75" customHeight="1">
      <c r="R561" s="30"/>
    </row>
    <row r="562" spans="18:18" ht="15.75" customHeight="1">
      <c r="R562" s="30"/>
    </row>
    <row r="563" spans="18:18" ht="15.75" customHeight="1">
      <c r="R563" s="30"/>
    </row>
    <row r="564" spans="18:18" ht="15.75" customHeight="1">
      <c r="R564" s="30"/>
    </row>
    <row r="565" spans="18:18" ht="15.75" customHeight="1">
      <c r="R565" s="30"/>
    </row>
    <row r="566" spans="18:18" ht="15.75" customHeight="1">
      <c r="R566" s="30"/>
    </row>
    <row r="567" spans="18:18" ht="15.75" customHeight="1">
      <c r="R567" s="30"/>
    </row>
    <row r="568" spans="18:18" ht="15.75" customHeight="1">
      <c r="R568" s="30"/>
    </row>
    <row r="569" spans="18:18" ht="15.75" customHeight="1">
      <c r="R569" s="30"/>
    </row>
    <row r="570" spans="18:18" ht="15.75" customHeight="1">
      <c r="R570" s="30"/>
    </row>
    <row r="571" spans="18:18" ht="15.75" customHeight="1">
      <c r="R571" s="30"/>
    </row>
    <row r="572" spans="18:18" ht="15.75" customHeight="1">
      <c r="R572" s="30"/>
    </row>
    <row r="573" spans="18:18" ht="15.75" customHeight="1">
      <c r="R573" s="30"/>
    </row>
    <row r="574" spans="18:18" ht="15.75" customHeight="1">
      <c r="R574" s="30"/>
    </row>
    <row r="575" spans="18:18" ht="15.75" customHeight="1">
      <c r="R575" s="30"/>
    </row>
    <row r="576" spans="18:18" ht="15.75" customHeight="1">
      <c r="R576" s="30"/>
    </row>
    <row r="577" spans="18:18" ht="15.75" customHeight="1">
      <c r="R577" s="30"/>
    </row>
    <row r="578" spans="18:18" ht="15.75" customHeight="1">
      <c r="R578" s="30"/>
    </row>
    <row r="579" spans="18:18" ht="15.75" customHeight="1">
      <c r="R579" s="30"/>
    </row>
    <row r="580" spans="18:18" ht="15.75" customHeight="1">
      <c r="R580" s="30"/>
    </row>
    <row r="581" spans="18:18" ht="15.75" customHeight="1">
      <c r="R581" s="30"/>
    </row>
    <row r="582" spans="18:18" ht="15.75" customHeight="1">
      <c r="R582" s="30"/>
    </row>
    <row r="583" spans="18:18" ht="15.75" customHeight="1">
      <c r="R583" s="30"/>
    </row>
    <row r="584" spans="18:18" ht="15.75" customHeight="1">
      <c r="R584" s="30"/>
    </row>
    <row r="585" spans="18:18" ht="15.75" customHeight="1">
      <c r="R585" s="30"/>
    </row>
    <row r="586" spans="18:18" ht="15.75" customHeight="1">
      <c r="R586" s="30"/>
    </row>
    <row r="587" spans="18:18" ht="15.75" customHeight="1">
      <c r="R587" s="30"/>
    </row>
    <row r="588" spans="18:18" ht="15.75" customHeight="1">
      <c r="R588" s="30"/>
    </row>
    <row r="589" spans="18:18" ht="15.75" customHeight="1">
      <c r="R589" s="30"/>
    </row>
    <row r="590" spans="18:18" ht="15.75" customHeight="1">
      <c r="R590" s="30"/>
    </row>
    <row r="591" spans="18:18" ht="15.75" customHeight="1">
      <c r="R591" s="30"/>
    </row>
    <row r="592" spans="18:18" ht="15.75" customHeight="1">
      <c r="R592" s="30"/>
    </row>
    <row r="593" spans="18:18" ht="15.75" customHeight="1">
      <c r="R593" s="30"/>
    </row>
    <row r="594" spans="18:18" ht="15.75" customHeight="1">
      <c r="R594" s="30"/>
    </row>
    <row r="595" spans="18:18" ht="15.75" customHeight="1">
      <c r="R595" s="30"/>
    </row>
    <row r="596" spans="18:18" ht="15.75" customHeight="1">
      <c r="R596" s="30"/>
    </row>
    <row r="597" spans="18:18" ht="15.75" customHeight="1">
      <c r="R597" s="30"/>
    </row>
    <row r="598" spans="18:18" ht="15.75" customHeight="1">
      <c r="R598" s="30"/>
    </row>
    <row r="599" spans="18:18" ht="15.75" customHeight="1">
      <c r="R599" s="30"/>
    </row>
    <row r="600" spans="18:18" ht="15.75" customHeight="1">
      <c r="R600" s="30"/>
    </row>
    <row r="601" spans="18:18" ht="15.75" customHeight="1">
      <c r="R601" s="30"/>
    </row>
    <row r="602" spans="18:18" ht="15.75" customHeight="1">
      <c r="R602" s="30"/>
    </row>
    <row r="603" spans="18:18" ht="15.75" customHeight="1">
      <c r="R603" s="30"/>
    </row>
    <row r="604" spans="18:18" ht="15.75" customHeight="1">
      <c r="R604" s="30"/>
    </row>
    <row r="605" spans="18:18" ht="15.75" customHeight="1">
      <c r="R605" s="30"/>
    </row>
    <row r="606" spans="18:18" ht="15.75" customHeight="1">
      <c r="R606" s="30"/>
    </row>
    <row r="607" spans="18:18" ht="15.75" customHeight="1">
      <c r="R607" s="30"/>
    </row>
    <row r="608" spans="18:18" ht="15.75" customHeight="1">
      <c r="R608" s="30"/>
    </row>
    <row r="609" spans="18:18" ht="15.75" customHeight="1">
      <c r="R609" s="30"/>
    </row>
    <row r="610" spans="18:18" ht="15.75" customHeight="1">
      <c r="R610" s="30"/>
    </row>
    <row r="611" spans="18:18" ht="15.75" customHeight="1">
      <c r="R611" s="30"/>
    </row>
    <row r="612" spans="18:18" ht="15.75" customHeight="1">
      <c r="R612" s="30"/>
    </row>
    <row r="613" spans="18:18" ht="15.75" customHeight="1">
      <c r="R613" s="30"/>
    </row>
    <row r="614" spans="18:18" ht="15.75" customHeight="1">
      <c r="R614" s="30"/>
    </row>
    <row r="615" spans="18:18" ht="15.75" customHeight="1">
      <c r="R615" s="30"/>
    </row>
    <row r="616" spans="18:18" ht="15.75" customHeight="1">
      <c r="R616" s="30"/>
    </row>
    <row r="617" spans="18:18" ht="15.75" customHeight="1">
      <c r="R617" s="30"/>
    </row>
    <row r="618" spans="18:18" ht="15.75" customHeight="1">
      <c r="R618" s="30"/>
    </row>
    <row r="619" spans="18:18" ht="15.75" customHeight="1">
      <c r="R619" s="30"/>
    </row>
    <row r="620" spans="18:18" ht="15.75" customHeight="1">
      <c r="R620" s="30"/>
    </row>
    <row r="621" spans="18:18" ht="15.75" customHeight="1">
      <c r="R621" s="30"/>
    </row>
    <row r="622" spans="18:18" ht="15.75" customHeight="1">
      <c r="R622" s="30"/>
    </row>
    <row r="623" spans="18:18" ht="15.75" customHeight="1">
      <c r="R623" s="30"/>
    </row>
    <row r="624" spans="18:18" ht="15.75" customHeight="1">
      <c r="R624" s="30"/>
    </row>
    <row r="625" spans="18:18" ht="15.75" customHeight="1">
      <c r="R625" s="30"/>
    </row>
    <row r="626" spans="18:18" ht="15.75" customHeight="1">
      <c r="R626" s="30"/>
    </row>
    <row r="627" spans="18:18" ht="15.75" customHeight="1">
      <c r="R627" s="30"/>
    </row>
    <row r="628" spans="18:18" ht="15.75" customHeight="1">
      <c r="R628" s="30"/>
    </row>
    <row r="629" spans="18:18" ht="15.75" customHeight="1">
      <c r="R629" s="30"/>
    </row>
    <row r="630" spans="18:18" ht="15.75" customHeight="1">
      <c r="R630" s="30"/>
    </row>
    <row r="631" spans="18:18" ht="15.75" customHeight="1">
      <c r="R631" s="30"/>
    </row>
    <row r="632" spans="18:18" ht="15.75" customHeight="1">
      <c r="R632" s="30"/>
    </row>
    <row r="633" spans="18:18" ht="15.75" customHeight="1">
      <c r="R633" s="30"/>
    </row>
    <row r="634" spans="18:18" ht="15.75" customHeight="1">
      <c r="R634" s="30"/>
    </row>
    <row r="635" spans="18:18" ht="15.75" customHeight="1">
      <c r="R635" s="30"/>
    </row>
    <row r="636" spans="18:18" ht="15.75" customHeight="1">
      <c r="R636" s="30"/>
    </row>
    <row r="637" spans="18:18" ht="15.75" customHeight="1">
      <c r="R637" s="30"/>
    </row>
    <row r="638" spans="18:18" ht="15.75" customHeight="1">
      <c r="R638" s="30"/>
    </row>
    <row r="639" spans="18:18" ht="15.75" customHeight="1">
      <c r="R639" s="30"/>
    </row>
    <row r="640" spans="18:18" ht="15.75" customHeight="1">
      <c r="R640" s="30"/>
    </row>
    <row r="641" spans="18:18" ht="15.75" customHeight="1">
      <c r="R641" s="30"/>
    </row>
    <row r="642" spans="18:18" ht="15.75" customHeight="1">
      <c r="R642" s="30"/>
    </row>
    <row r="643" spans="18:18" ht="15.75" customHeight="1">
      <c r="R643" s="30"/>
    </row>
    <row r="644" spans="18:18" ht="15.75" customHeight="1">
      <c r="R644" s="30"/>
    </row>
    <row r="645" spans="18:18" ht="15.75" customHeight="1">
      <c r="R645" s="30"/>
    </row>
    <row r="646" spans="18:18" ht="15.75" customHeight="1">
      <c r="R646" s="30"/>
    </row>
    <row r="647" spans="18:18" ht="15.75" customHeight="1">
      <c r="R647" s="30"/>
    </row>
    <row r="648" spans="18:18" ht="15.75" customHeight="1">
      <c r="R648" s="30"/>
    </row>
    <row r="649" spans="18:18" ht="15.75" customHeight="1">
      <c r="R649" s="30"/>
    </row>
    <row r="650" spans="18:18" ht="15.75" customHeight="1">
      <c r="R650" s="30"/>
    </row>
    <row r="651" spans="18:18" ht="15.75" customHeight="1">
      <c r="R651" s="30"/>
    </row>
    <row r="652" spans="18:18" ht="15.75" customHeight="1">
      <c r="R652" s="30"/>
    </row>
    <row r="653" spans="18:18" ht="15.75" customHeight="1">
      <c r="R653" s="30"/>
    </row>
    <row r="654" spans="18:18" ht="15.75" customHeight="1">
      <c r="R654" s="30"/>
    </row>
    <row r="655" spans="18:18" ht="15.75" customHeight="1">
      <c r="R655" s="30"/>
    </row>
    <row r="656" spans="18:18" ht="15.75" customHeight="1">
      <c r="R656" s="30"/>
    </row>
    <row r="657" spans="18:18" ht="15.75" customHeight="1">
      <c r="R657" s="30"/>
    </row>
    <row r="658" spans="18:18" ht="15.75" customHeight="1">
      <c r="R658" s="30"/>
    </row>
    <row r="659" spans="18:18" ht="15.75" customHeight="1">
      <c r="R659" s="30"/>
    </row>
    <row r="660" spans="18:18" ht="15.75" customHeight="1">
      <c r="R660" s="30"/>
    </row>
    <row r="661" spans="18:18" ht="15.75" customHeight="1">
      <c r="R661" s="30"/>
    </row>
    <row r="662" spans="18:18" ht="15.75" customHeight="1">
      <c r="R662" s="30"/>
    </row>
    <row r="663" spans="18:18" ht="15.75" customHeight="1">
      <c r="R663" s="30"/>
    </row>
    <row r="664" spans="18:18" ht="15.75" customHeight="1">
      <c r="R664" s="30"/>
    </row>
    <row r="665" spans="18:18" ht="15.75" customHeight="1">
      <c r="R665" s="30"/>
    </row>
    <row r="666" spans="18:18" ht="15.75" customHeight="1">
      <c r="R666" s="30"/>
    </row>
    <row r="667" spans="18:18" ht="15.75" customHeight="1">
      <c r="R667" s="30"/>
    </row>
    <row r="668" spans="18:18" ht="15.75" customHeight="1">
      <c r="R668" s="30"/>
    </row>
    <row r="669" spans="18:18" ht="15.75" customHeight="1">
      <c r="R669" s="30"/>
    </row>
    <row r="670" spans="18:18" ht="15.75" customHeight="1">
      <c r="R670" s="30"/>
    </row>
    <row r="671" spans="18:18" ht="15.75" customHeight="1">
      <c r="R671" s="30"/>
    </row>
    <row r="672" spans="18:18" ht="15.75" customHeight="1">
      <c r="R672" s="30"/>
    </row>
    <row r="673" spans="18:18" ht="15.75" customHeight="1">
      <c r="R673" s="30"/>
    </row>
    <row r="674" spans="18:18" ht="15.75" customHeight="1">
      <c r="R674" s="30"/>
    </row>
    <row r="675" spans="18:18" ht="15.75" customHeight="1">
      <c r="R675" s="30"/>
    </row>
    <row r="676" spans="18:18" ht="15.75" customHeight="1">
      <c r="R676" s="30"/>
    </row>
    <row r="677" spans="18:18" ht="15.75" customHeight="1">
      <c r="R677" s="30"/>
    </row>
    <row r="678" spans="18:18" ht="15.75" customHeight="1">
      <c r="R678" s="30"/>
    </row>
    <row r="679" spans="18:18" ht="15.75" customHeight="1">
      <c r="R679" s="30"/>
    </row>
    <row r="680" spans="18:18" ht="15.75" customHeight="1">
      <c r="R680" s="30"/>
    </row>
    <row r="681" spans="18:18" ht="15.75" customHeight="1">
      <c r="R681" s="30"/>
    </row>
    <row r="682" spans="18:18" ht="15.75" customHeight="1">
      <c r="R682" s="30"/>
    </row>
    <row r="683" spans="18:18" ht="15.75" customHeight="1">
      <c r="R683" s="30"/>
    </row>
    <row r="684" spans="18:18" ht="15.75" customHeight="1">
      <c r="R684" s="30"/>
    </row>
    <row r="685" spans="18:18" ht="15.75" customHeight="1">
      <c r="R685" s="30"/>
    </row>
    <row r="686" spans="18:18" ht="15.75" customHeight="1">
      <c r="R686" s="30"/>
    </row>
    <row r="687" spans="18:18" ht="15.75" customHeight="1">
      <c r="R687" s="30"/>
    </row>
    <row r="688" spans="18:18" ht="15.75" customHeight="1">
      <c r="R688" s="30"/>
    </row>
    <row r="689" spans="18:18" ht="15.75" customHeight="1">
      <c r="R689" s="30"/>
    </row>
    <row r="690" spans="18:18" ht="15.75" customHeight="1">
      <c r="R690" s="30"/>
    </row>
    <row r="691" spans="18:18" ht="15.75" customHeight="1">
      <c r="R691" s="30"/>
    </row>
    <row r="692" spans="18:18" ht="15.75" customHeight="1">
      <c r="R692" s="30"/>
    </row>
    <row r="693" spans="18:18" ht="15.75" customHeight="1">
      <c r="R693" s="30"/>
    </row>
    <row r="694" spans="18:18" ht="15.75" customHeight="1">
      <c r="R694" s="30"/>
    </row>
    <row r="695" spans="18:18" ht="15.75" customHeight="1">
      <c r="R695" s="30"/>
    </row>
    <row r="696" spans="18:18" ht="15.75" customHeight="1">
      <c r="R696" s="30"/>
    </row>
    <row r="697" spans="18:18" ht="15.75" customHeight="1">
      <c r="R697" s="30"/>
    </row>
    <row r="698" spans="18:18" ht="15.75" customHeight="1">
      <c r="R698" s="30"/>
    </row>
    <row r="699" spans="18:18" ht="15.75" customHeight="1">
      <c r="R699" s="30"/>
    </row>
    <row r="700" spans="18:18" ht="15.75" customHeight="1">
      <c r="R700" s="30"/>
    </row>
    <row r="701" spans="18:18" ht="15.75" customHeight="1">
      <c r="R701" s="30"/>
    </row>
    <row r="702" spans="18:18" ht="15.75" customHeight="1">
      <c r="R702" s="30"/>
    </row>
    <row r="703" spans="18:18" ht="15.75" customHeight="1">
      <c r="R703" s="30"/>
    </row>
    <row r="704" spans="18:18" ht="15.75" customHeight="1">
      <c r="R704" s="30"/>
    </row>
    <row r="705" spans="18:18" ht="15.75" customHeight="1">
      <c r="R705" s="30"/>
    </row>
    <row r="706" spans="18:18" ht="15.75" customHeight="1">
      <c r="R706" s="30"/>
    </row>
    <row r="707" spans="18:18" ht="15.75" customHeight="1">
      <c r="R707" s="30"/>
    </row>
    <row r="708" spans="18:18" ht="15.75" customHeight="1">
      <c r="R708" s="30"/>
    </row>
    <row r="709" spans="18:18" ht="15.75" customHeight="1">
      <c r="R709" s="30"/>
    </row>
    <row r="710" spans="18:18" ht="15.75" customHeight="1">
      <c r="R710" s="30"/>
    </row>
    <row r="711" spans="18:18" ht="15.75" customHeight="1">
      <c r="R711" s="30"/>
    </row>
    <row r="712" spans="18:18" ht="15.75" customHeight="1">
      <c r="R712" s="30"/>
    </row>
    <row r="713" spans="18:18" ht="15.75" customHeight="1">
      <c r="R713" s="30"/>
    </row>
    <row r="714" spans="18:18" ht="15.75" customHeight="1">
      <c r="R714" s="30"/>
    </row>
    <row r="715" spans="18:18" ht="15.75" customHeight="1">
      <c r="R715" s="30"/>
    </row>
    <row r="716" spans="18:18" ht="15.75" customHeight="1">
      <c r="R716" s="30"/>
    </row>
    <row r="717" spans="18:18" ht="15.75" customHeight="1">
      <c r="R717" s="30"/>
    </row>
    <row r="718" spans="18:18" ht="15.75" customHeight="1">
      <c r="R718" s="30"/>
    </row>
    <row r="719" spans="18:18" ht="15.75" customHeight="1">
      <c r="R719" s="30"/>
    </row>
    <row r="720" spans="18:18" ht="15.75" customHeight="1">
      <c r="R720" s="30"/>
    </row>
    <row r="721" spans="18:18" ht="15.75" customHeight="1">
      <c r="R721" s="30"/>
    </row>
    <row r="722" spans="18:18" ht="15.75" customHeight="1">
      <c r="R722" s="30"/>
    </row>
    <row r="723" spans="18:18" ht="15.75" customHeight="1">
      <c r="R723" s="30"/>
    </row>
    <row r="724" spans="18:18" ht="15.75" customHeight="1">
      <c r="R724" s="30"/>
    </row>
    <row r="725" spans="18:18" ht="15.75" customHeight="1">
      <c r="R725" s="30"/>
    </row>
    <row r="726" spans="18:18" ht="15.75" customHeight="1">
      <c r="R726" s="30"/>
    </row>
    <row r="727" spans="18:18" ht="15.75" customHeight="1">
      <c r="R727" s="30"/>
    </row>
    <row r="728" spans="18:18" ht="15.75" customHeight="1">
      <c r="R728" s="30"/>
    </row>
    <row r="729" spans="18:18" ht="15.75" customHeight="1">
      <c r="R729" s="30"/>
    </row>
    <row r="730" spans="18:18" ht="15.75" customHeight="1">
      <c r="R730" s="30"/>
    </row>
    <row r="731" spans="18:18" ht="15.75" customHeight="1">
      <c r="R731" s="30"/>
    </row>
    <row r="732" spans="18:18" ht="15.75" customHeight="1">
      <c r="R732" s="30"/>
    </row>
    <row r="733" spans="18:18" ht="15.75" customHeight="1">
      <c r="R733" s="30"/>
    </row>
    <row r="734" spans="18:18" ht="15.75" customHeight="1">
      <c r="R734" s="30"/>
    </row>
    <row r="735" spans="18:18" ht="15.75" customHeight="1">
      <c r="R735" s="30"/>
    </row>
    <row r="736" spans="18:18" ht="15.75" customHeight="1">
      <c r="R736" s="30"/>
    </row>
    <row r="737" spans="18:18" ht="15.75" customHeight="1">
      <c r="R737" s="30"/>
    </row>
    <row r="738" spans="18:18" ht="15.75" customHeight="1">
      <c r="R738" s="30"/>
    </row>
    <row r="739" spans="18:18" ht="15.75" customHeight="1">
      <c r="R739" s="30"/>
    </row>
    <row r="740" spans="18:18" ht="15.75" customHeight="1">
      <c r="R740" s="30"/>
    </row>
    <row r="741" spans="18:18" ht="15.75" customHeight="1">
      <c r="R741" s="30"/>
    </row>
    <row r="742" spans="18:18" ht="15.75" customHeight="1">
      <c r="R742" s="30"/>
    </row>
    <row r="743" spans="18:18" ht="15.75" customHeight="1">
      <c r="R743" s="30"/>
    </row>
    <row r="744" spans="18:18" ht="15.75" customHeight="1">
      <c r="R744" s="30"/>
    </row>
    <row r="745" spans="18:18" ht="15.75" customHeight="1">
      <c r="R745" s="30"/>
    </row>
    <row r="746" spans="18:18" ht="15.75" customHeight="1">
      <c r="R746" s="30"/>
    </row>
    <row r="747" spans="18:18" ht="15.75" customHeight="1">
      <c r="R747" s="30"/>
    </row>
    <row r="748" spans="18:18" ht="15.75" customHeight="1">
      <c r="R748" s="30"/>
    </row>
    <row r="749" spans="18:18" ht="15.75" customHeight="1">
      <c r="R749" s="30"/>
    </row>
    <row r="750" spans="18:18" ht="15.75" customHeight="1">
      <c r="R750" s="30"/>
    </row>
    <row r="751" spans="18:18" ht="15.75" customHeight="1">
      <c r="R751" s="30"/>
    </row>
    <row r="752" spans="18:18" ht="15.75" customHeight="1">
      <c r="R752" s="30"/>
    </row>
    <row r="753" spans="18:18" ht="15.75" customHeight="1">
      <c r="R753" s="30"/>
    </row>
    <row r="754" spans="18:18" ht="15.75" customHeight="1">
      <c r="R754" s="30"/>
    </row>
    <row r="755" spans="18:18" ht="15.75" customHeight="1">
      <c r="R755" s="30"/>
    </row>
    <row r="756" spans="18:18" ht="15.75" customHeight="1">
      <c r="R756" s="30"/>
    </row>
    <row r="757" spans="18:18" ht="15.75" customHeight="1">
      <c r="R757" s="30"/>
    </row>
    <row r="758" spans="18:18" ht="15.75" customHeight="1">
      <c r="R758" s="30"/>
    </row>
    <row r="759" spans="18:18" ht="15.75" customHeight="1">
      <c r="R759" s="30"/>
    </row>
    <row r="760" spans="18:18" ht="15.75" customHeight="1">
      <c r="R760" s="30"/>
    </row>
    <row r="761" spans="18:18" ht="15.75" customHeight="1">
      <c r="R761" s="30"/>
    </row>
    <row r="762" spans="18:18" ht="15.75" customHeight="1">
      <c r="R762" s="30"/>
    </row>
    <row r="763" spans="18:18" ht="15.75" customHeight="1">
      <c r="R763" s="30"/>
    </row>
    <row r="764" spans="18:18" ht="15.75" customHeight="1">
      <c r="R764" s="30"/>
    </row>
    <row r="765" spans="18:18" ht="15.75" customHeight="1">
      <c r="R765" s="30"/>
    </row>
    <row r="766" spans="18:18" ht="15.75" customHeight="1">
      <c r="R766" s="30"/>
    </row>
    <row r="767" spans="18:18" ht="15.75" customHeight="1">
      <c r="R767" s="30"/>
    </row>
    <row r="768" spans="18:18" ht="15.75" customHeight="1">
      <c r="R768" s="30"/>
    </row>
    <row r="769" spans="18:18" ht="15.75" customHeight="1">
      <c r="R769" s="30"/>
    </row>
    <row r="770" spans="18:18" ht="15.75" customHeight="1">
      <c r="R770" s="30"/>
    </row>
    <row r="771" spans="18:18" ht="15.75" customHeight="1">
      <c r="R771" s="30"/>
    </row>
    <row r="772" spans="18:18" ht="15.75" customHeight="1">
      <c r="R772" s="30"/>
    </row>
    <row r="773" spans="18:18" ht="15.75" customHeight="1">
      <c r="R773" s="30"/>
    </row>
    <row r="774" spans="18:18" ht="15.75" customHeight="1">
      <c r="R774" s="30"/>
    </row>
    <row r="775" spans="18:18" ht="15.75" customHeight="1">
      <c r="R775" s="30"/>
    </row>
    <row r="776" spans="18:18" ht="15.75" customHeight="1">
      <c r="R776" s="30"/>
    </row>
    <row r="777" spans="18:18" ht="15.75" customHeight="1">
      <c r="R777" s="30"/>
    </row>
    <row r="778" spans="18:18" ht="15.75" customHeight="1">
      <c r="R778" s="30"/>
    </row>
    <row r="779" spans="18:18" ht="15.75" customHeight="1">
      <c r="R779" s="30"/>
    </row>
    <row r="780" spans="18:18" ht="15.75" customHeight="1">
      <c r="R780" s="30"/>
    </row>
    <row r="781" spans="18:18" ht="15.75" customHeight="1">
      <c r="R781" s="30"/>
    </row>
    <row r="782" spans="18:18" ht="15.75" customHeight="1">
      <c r="R782" s="30"/>
    </row>
    <row r="783" spans="18:18" ht="15.75" customHeight="1">
      <c r="R783" s="30"/>
    </row>
    <row r="784" spans="18:18" ht="15.75" customHeight="1">
      <c r="R784" s="30"/>
    </row>
    <row r="785" spans="18:18" ht="15.75" customHeight="1">
      <c r="R785" s="30"/>
    </row>
    <row r="786" spans="18:18" ht="15.75" customHeight="1">
      <c r="R786" s="30"/>
    </row>
    <row r="787" spans="18:18" ht="15.75" customHeight="1">
      <c r="R787" s="30"/>
    </row>
    <row r="788" spans="18:18" ht="15.75" customHeight="1">
      <c r="R788" s="30"/>
    </row>
    <row r="789" spans="18:18" ht="15.75" customHeight="1">
      <c r="R789" s="30"/>
    </row>
    <row r="790" spans="18:18" ht="15.75" customHeight="1">
      <c r="R790" s="30"/>
    </row>
    <row r="791" spans="18:18" ht="15.75" customHeight="1">
      <c r="R791" s="30"/>
    </row>
    <row r="792" spans="18:18" ht="15.75" customHeight="1">
      <c r="R792" s="30"/>
    </row>
    <row r="793" spans="18:18" ht="15.75" customHeight="1">
      <c r="R793" s="30"/>
    </row>
    <row r="794" spans="18:18" ht="15.75" customHeight="1">
      <c r="R794" s="30"/>
    </row>
    <row r="795" spans="18:18" ht="15.75" customHeight="1">
      <c r="R795" s="30"/>
    </row>
    <row r="796" spans="18:18" ht="15.75" customHeight="1">
      <c r="R796" s="30"/>
    </row>
    <row r="797" spans="18:18" ht="15.75" customHeight="1">
      <c r="R797" s="30"/>
    </row>
    <row r="798" spans="18:18" ht="15.75" customHeight="1">
      <c r="R798" s="30"/>
    </row>
    <row r="799" spans="18:18" ht="15.75" customHeight="1">
      <c r="R799" s="30"/>
    </row>
    <row r="800" spans="18:18" ht="15.75" customHeight="1">
      <c r="R800" s="30"/>
    </row>
    <row r="801" spans="18:18" ht="15.75" customHeight="1">
      <c r="R801" s="30"/>
    </row>
    <row r="802" spans="18:18" ht="15.75" customHeight="1">
      <c r="R802" s="30"/>
    </row>
    <row r="803" spans="18:18" ht="15.75" customHeight="1">
      <c r="R803" s="30"/>
    </row>
    <row r="804" spans="18:18" ht="15.75" customHeight="1">
      <c r="R804" s="30"/>
    </row>
    <row r="805" spans="18:18" ht="15.75" customHeight="1">
      <c r="R805" s="30"/>
    </row>
    <row r="806" spans="18:18" ht="15.75" customHeight="1">
      <c r="R806" s="30"/>
    </row>
    <row r="807" spans="18:18" ht="15.75" customHeight="1">
      <c r="R807" s="30"/>
    </row>
    <row r="808" spans="18:18" ht="15.75" customHeight="1">
      <c r="R808" s="30"/>
    </row>
    <row r="809" spans="18:18" ht="15.75" customHeight="1">
      <c r="R809" s="30"/>
    </row>
    <row r="810" spans="18:18" ht="15.75" customHeight="1">
      <c r="R810" s="30"/>
    </row>
    <row r="811" spans="18:18" ht="15.75" customHeight="1">
      <c r="R811" s="30"/>
    </row>
    <row r="812" spans="18:18" ht="15.75" customHeight="1">
      <c r="R812" s="30"/>
    </row>
    <row r="813" spans="18:18" ht="15.75" customHeight="1">
      <c r="R813" s="30"/>
    </row>
    <row r="814" spans="18:18" ht="15.75" customHeight="1">
      <c r="R814" s="30"/>
    </row>
    <row r="815" spans="18:18" ht="15.75" customHeight="1">
      <c r="R815" s="30"/>
    </row>
    <row r="816" spans="18:18" ht="15.75" customHeight="1">
      <c r="R816" s="30"/>
    </row>
    <row r="817" spans="18:18" ht="15.75" customHeight="1">
      <c r="R817" s="30"/>
    </row>
    <row r="818" spans="18:18" ht="15.75" customHeight="1">
      <c r="R818" s="30"/>
    </row>
    <row r="819" spans="18:18" ht="15.75" customHeight="1">
      <c r="R819" s="30"/>
    </row>
    <row r="820" spans="18:18" ht="15.75" customHeight="1">
      <c r="R820" s="30"/>
    </row>
    <row r="821" spans="18:18" ht="15.75" customHeight="1">
      <c r="R821" s="30"/>
    </row>
    <row r="822" spans="18:18" ht="15.75" customHeight="1">
      <c r="R822" s="30"/>
    </row>
    <row r="823" spans="18:18" ht="15.75" customHeight="1">
      <c r="R823" s="30"/>
    </row>
    <row r="824" spans="18:18" ht="15.75" customHeight="1">
      <c r="R824" s="30"/>
    </row>
    <row r="825" spans="18:18" ht="15.75" customHeight="1">
      <c r="R825" s="30"/>
    </row>
    <row r="826" spans="18:18" ht="15.75" customHeight="1">
      <c r="R826" s="30"/>
    </row>
    <row r="827" spans="18:18" ht="15.75" customHeight="1">
      <c r="R827" s="30"/>
    </row>
    <row r="828" spans="18:18" ht="15.75" customHeight="1">
      <c r="R828" s="30"/>
    </row>
    <row r="829" spans="18:18" ht="15.75" customHeight="1">
      <c r="R829" s="30"/>
    </row>
    <row r="830" spans="18:18" ht="15.75" customHeight="1">
      <c r="R830" s="30"/>
    </row>
    <row r="831" spans="18:18" ht="15.75" customHeight="1">
      <c r="R831" s="30"/>
    </row>
    <row r="832" spans="18:18" ht="15.75" customHeight="1">
      <c r="R832" s="30"/>
    </row>
    <row r="833" spans="18:18" ht="15.75" customHeight="1">
      <c r="R833" s="30"/>
    </row>
    <row r="834" spans="18:18" ht="15.75" customHeight="1">
      <c r="R834" s="30"/>
    </row>
    <row r="835" spans="18:18" ht="15.75" customHeight="1">
      <c r="R835" s="30"/>
    </row>
    <row r="836" spans="18:18" ht="15.75" customHeight="1">
      <c r="R836" s="30"/>
    </row>
    <row r="837" spans="18:18" ht="15.75" customHeight="1">
      <c r="R837" s="30"/>
    </row>
    <row r="838" spans="18:18" ht="15.75" customHeight="1">
      <c r="R838" s="30"/>
    </row>
    <row r="839" spans="18:18" ht="15.75" customHeight="1">
      <c r="R839" s="30"/>
    </row>
    <row r="840" spans="18:18" ht="15.75" customHeight="1">
      <c r="R840" s="30"/>
    </row>
    <row r="841" spans="18:18" ht="15.75" customHeight="1">
      <c r="R841" s="30"/>
    </row>
    <row r="842" spans="18:18" ht="15.75" customHeight="1">
      <c r="R842" s="30"/>
    </row>
    <row r="843" spans="18:18" ht="15.75" customHeight="1">
      <c r="R843" s="30"/>
    </row>
    <row r="844" spans="18:18" ht="15.75" customHeight="1">
      <c r="R844" s="30"/>
    </row>
    <row r="845" spans="18:18" ht="15.75" customHeight="1">
      <c r="R845" s="30"/>
    </row>
    <row r="846" spans="18:18" ht="15.75" customHeight="1">
      <c r="R846" s="30"/>
    </row>
    <row r="847" spans="18:18" ht="15.75" customHeight="1">
      <c r="R847" s="30"/>
    </row>
    <row r="848" spans="18:18" ht="15.75" customHeight="1">
      <c r="R848" s="30"/>
    </row>
    <row r="849" spans="18:18" ht="15.75" customHeight="1">
      <c r="R849" s="30"/>
    </row>
    <row r="850" spans="18:18" ht="15.75" customHeight="1">
      <c r="R850" s="30"/>
    </row>
    <row r="851" spans="18:18" ht="15.75" customHeight="1">
      <c r="R851" s="30"/>
    </row>
    <row r="852" spans="18:18" ht="15.75" customHeight="1">
      <c r="R852" s="30"/>
    </row>
    <row r="853" spans="18:18" ht="15.75" customHeight="1">
      <c r="R853" s="30"/>
    </row>
    <row r="854" spans="18:18" ht="15.75" customHeight="1">
      <c r="R854" s="30"/>
    </row>
    <row r="855" spans="18:18" ht="15.75" customHeight="1">
      <c r="R855" s="30"/>
    </row>
    <row r="856" spans="18:18" ht="15.75" customHeight="1">
      <c r="R856" s="30"/>
    </row>
    <row r="857" spans="18:18" ht="15.75" customHeight="1">
      <c r="R857" s="30"/>
    </row>
    <row r="858" spans="18:18" ht="15.75" customHeight="1">
      <c r="R858" s="30"/>
    </row>
    <row r="859" spans="18:18" ht="15.75" customHeight="1">
      <c r="R859" s="30"/>
    </row>
    <row r="860" spans="18:18" ht="15.75" customHeight="1">
      <c r="R860" s="30"/>
    </row>
    <row r="861" spans="18:18" ht="15.75" customHeight="1">
      <c r="R861" s="30"/>
    </row>
    <row r="862" spans="18:18" ht="15.75" customHeight="1">
      <c r="R862" s="30"/>
    </row>
    <row r="863" spans="18:18" ht="15.75" customHeight="1">
      <c r="R863" s="30"/>
    </row>
    <row r="864" spans="18:18" ht="15.75" customHeight="1">
      <c r="R864" s="30"/>
    </row>
    <row r="865" spans="18:18" ht="15.75" customHeight="1">
      <c r="R865" s="30"/>
    </row>
    <row r="866" spans="18:18" ht="15.75" customHeight="1">
      <c r="R866" s="30"/>
    </row>
    <row r="867" spans="18:18" ht="15.75" customHeight="1">
      <c r="R867" s="30"/>
    </row>
    <row r="868" spans="18:18" ht="15.75" customHeight="1">
      <c r="R868" s="30"/>
    </row>
    <row r="869" spans="18:18" ht="15.75" customHeight="1">
      <c r="R869" s="30"/>
    </row>
    <row r="870" spans="18:18" ht="15.75" customHeight="1">
      <c r="R870" s="30"/>
    </row>
    <row r="871" spans="18:18" ht="15.75" customHeight="1">
      <c r="R871" s="30"/>
    </row>
    <row r="872" spans="18:18" ht="15.75" customHeight="1">
      <c r="R872" s="30"/>
    </row>
    <row r="873" spans="18:18" ht="15.75" customHeight="1">
      <c r="R873" s="30"/>
    </row>
    <row r="874" spans="18:18" ht="15.75" customHeight="1">
      <c r="R874" s="30"/>
    </row>
    <row r="875" spans="18:18" ht="15.75" customHeight="1">
      <c r="R875" s="30"/>
    </row>
    <row r="876" spans="18:18" ht="15.75" customHeight="1">
      <c r="R876" s="30"/>
    </row>
    <row r="877" spans="18:18" ht="15.75" customHeight="1">
      <c r="R877" s="30"/>
    </row>
    <row r="878" spans="18:18" ht="15.75" customHeight="1">
      <c r="R878" s="30"/>
    </row>
    <row r="879" spans="18:18" ht="15.75" customHeight="1">
      <c r="R879" s="30"/>
    </row>
    <row r="880" spans="18:18" ht="15.75" customHeight="1">
      <c r="R880" s="30"/>
    </row>
    <row r="881" spans="18:18" ht="15.75" customHeight="1">
      <c r="R881" s="30"/>
    </row>
    <row r="882" spans="18:18" ht="15.75" customHeight="1">
      <c r="R882" s="30"/>
    </row>
    <row r="883" spans="18:18" ht="15.75" customHeight="1">
      <c r="R883" s="30"/>
    </row>
    <row r="884" spans="18:18" ht="15.75" customHeight="1">
      <c r="R884" s="30"/>
    </row>
    <row r="885" spans="18:18" ht="15.75" customHeight="1">
      <c r="R885" s="30"/>
    </row>
    <row r="886" spans="18:18" ht="15.75" customHeight="1">
      <c r="R886" s="30"/>
    </row>
    <row r="887" spans="18:18" ht="15.75" customHeight="1">
      <c r="R887" s="30"/>
    </row>
    <row r="888" spans="18:18" ht="15.75" customHeight="1">
      <c r="R888" s="30"/>
    </row>
    <row r="889" spans="18:18" ht="15.75" customHeight="1">
      <c r="R889" s="30"/>
    </row>
    <row r="890" spans="18:18" ht="15.75" customHeight="1">
      <c r="R890" s="30"/>
    </row>
    <row r="891" spans="18:18" ht="15.75" customHeight="1">
      <c r="R891" s="30"/>
    </row>
    <row r="892" spans="18:18" ht="15.75" customHeight="1">
      <c r="R892" s="30"/>
    </row>
    <row r="893" spans="18:18" ht="15.75" customHeight="1">
      <c r="R893" s="30"/>
    </row>
    <row r="894" spans="18:18" ht="15.75" customHeight="1">
      <c r="R894" s="30"/>
    </row>
    <row r="895" spans="18:18" ht="15.75" customHeight="1">
      <c r="R895" s="30"/>
    </row>
    <row r="896" spans="18:18" ht="15.75" customHeight="1">
      <c r="R896" s="30"/>
    </row>
    <row r="897" spans="18:18" ht="15.75" customHeight="1">
      <c r="R897" s="30"/>
    </row>
    <row r="898" spans="18:18" ht="15.75" customHeight="1">
      <c r="R898" s="30"/>
    </row>
    <row r="899" spans="18:18" ht="15.75" customHeight="1">
      <c r="R899" s="30"/>
    </row>
    <row r="900" spans="18:18" ht="15.75" customHeight="1">
      <c r="R900" s="30"/>
    </row>
    <row r="901" spans="18:18" ht="15.75" customHeight="1">
      <c r="R901" s="30"/>
    </row>
    <row r="902" spans="18:18" ht="15.75" customHeight="1">
      <c r="R902" s="30"/>
    </row>
    <row r="903" spans="18:18" ht="15.75" customHeight="1">
      <c r="R903" s="30"/>
    </row>
    <row r="904" spans="18:18" ht="15.75" customHeight="1">
      <c r="R904" s="30"/>
    </row>
    <row r="905" spans="18:18" ht="15.75" customHeight="1">
      <c r="R905" s="30"/>
    </row>
    <row r="906" spans="18:18" ht="15.75" customHeight="1">
      <c r="R906" s="30"/>
    </row>
    <row r="907" spans="18:18" ht="15.75" customHeight="1">
      <c r="R907" s="30"/>
    </row>
    <row r="908" spans="18:18" ht="15.75" customHeight="1">
      <c r="R908" s="30"/>
    </row>
    <row r="909" spans="18:18" ht="15.75" customHeight="1">
      <c r="R909" s="30"/>
    </row>
    <row r="910" spans="18:18" ht="15.75" customHeight="1">
      <c r="R910" s="30"/>
    </row>
    <row r="911" spans="18:18" ht="15.75" customHeight="1">
      <c r="R911" s="30"/>
    </row>
    <row r="912" spans="18:18" ht="15.75" customHeight="1">
      <c r="R912" s="30"/>
    </row>
    <row r="913" spans="18:18" ht="15.75" customHeight="1">
      <c r="R913" s="30"/>
    </row>
    <row r="914" spans="18:18" ht="15.75" customHeight="1">
      <c r="R914" s="30"/>
    </row>
    <row r="915" spans="18:18" ht="15.75" customHeight="1">
      <c r="R915" s="30"/>
    </row>
    <row r="916" spans="18:18" ht="15.75" customHeight="1">
      <c r="R916" s="30"/>
    </row>
    <row r="917" spans="18:18" ht="15.75" customHeight="1">
      <c r="R917" s="30"/>
    </row>
    <row r="918" spans="18:18" ht="15.75" customHeight="1">
      <c r="R918" s="30"/>
    </row>
    <row r="919" spans="18:18" ht="15.75" customHeight="1">
      <c r="R919" s="30"/>
    </row>
    <row r="920" spans="18:18" ht="15.75" customHeight="1">
      <c r="R920" s="30"/>
    </row>
    <row r="921" spans="18:18" ht="15.75" customHeight="1">
      <c r="R921" s="30"/>
    </row>
    <row r="922" spans="18:18" ht="15.75" customHeight="1">
      <c r="R922" s="30"/>
    </row>
    <row r="923" spans="18:18" ht="15.75" customHeight="1">
      <c r="R923" s="30"/>
    </row>
    <row r="924" spans="18:18" ht="15.75" customHeight="1">
      <c r="R924" s="30"/>
    </row>
    <row r="925" spans="18:18" ht="15.75" customHeight="1">
      <c r="R925" s="30"/>
    </row>
    <row r="926" spans="18:18" ht="15.75" customHeight="1">
      <c r="R926" s="30"/>
    </row>
    <row r="927" spans="18:18" ht="15.75" customHeight="1">
      <c r="R927" s="30"/>
    </row>
    <row r="928" spans="18:18" ht="15.75" customHeight="1">
      <c r="R928" s="30"/>
    </row>
    <row r="929" spans="18:18" ht="15.75" customHeight="1">
      <c r="R929" s="30"/>
    </row>
    <row r="930" spans="18:18" ht="15.75" customHeight="1">
      <c r="R930" s="30"/>
    </row>
    <row r="931" spans="18:18" ht="15.75" customHeight="1">
      <c r="R931" s="30"/>
    </row>
    <row r="932" spans="18:18" ht="15.75" customHeight="1">
      <c r="R932" s="30"/>
    </row>
    <row r="933" spans="18:18" ht="15.75" customHeight="1">
      <c r="R933" s="30"/>
    </row>
    <row r="934" spans="18:18" ht="15.75" customHeight="1">
      <c r="R934" s="30"/>
    </row>
    <row r="935" spans="18:18" ht="15.75" customHeight="1">
      <c r="R935" s="30"/>
    </row>
    <row r="936" spans="18:18" ht="15.75" customHeight="1">
      <c r="R936" s="30"/>
    </row>
    <row r="937" spans="18:18" ht="15.75" customHeight="1">
      <c r="R937" s="30"/>
    </row>
    <row r="938" spans="18:18" ht="15.75" customHeight="1">
      <c r="R938" s="30"/>
    </row>
    <row r="939" spans="18:18" ht="15.75" customHeight="1">
      <c r="R939" s="30"/>
    </row>
    <row r="940" spans="18:18" ht="15.75" customHeight="1">
      <c r="R940" s="30"/>
    </row>
    <row r="941" spans="18:18" ht="15.75" customHeight="1">
      <c r="R941" s="30"/>
    </row>
    <row r="942" spans="18:18" ht="15.75" customHeight="1">
      <c r="R942" s="30"/>
    </row>
    <row r="943" spans="18:18" ht="15.75" customHeight="1">
      <c r="R943" s="30"/>
    </row>
    <row r="944" spans="18:18" ht="15.75" customHeight="1">
      <c r="R944" s="30"/>
    </row>
    <row r="945" spans="18:18" ht="15.75" customHeight="1">
      <c r="R945" s="30"/>
    </row>
    <row r="946" spans="18:18" ht="15.75" customHeight="1">
      <c r="R946" s="30"/>
    </row>
    <row r="947" spans="18:18" ht="15.75" customHeight="1">
      <c r="R947" s="30"/>
    </row>
    <row r="948" spans="18:18" ht="15.75" customHeight="1">
      <c r="R948" s="30"/>
    </row>
    <row r="949" spans="18:18" ht="15.75" customHeight="1">
      <c r="R949" s="30"/>
    </row>
    <row r="950" spans="18:18" ht="15.75" customHeight="1">
      <c r="R950" s="30"/>
    </row>
    <row r="951" spans="18:18" ht="15.75" customHeight="1">
      <c r="R951" s="30"/>
    </row>
    <row r="952" spans="18:18" ht="15.75" customHeight="1">
      <c r="R952" s="30"/>
    </row>
    <row r="953" spans="18:18" ht="15.75" customHeight="1">
      <c r="R953" s="30"/>
    </row>
    <row r="954" spans="18:18" ht="15.75" customHeight="1">
      <c r="R954" s="30"/>
    </row>
    <row r="955" spans="18:18" ht="15.75" customHeight="1">
      <c r="R955" s="30"/>
    </row>
    <row r="956" spans="18:18" ht="15.75" customHeight="1">
      <c r="R956" s="30"/>
    </row>
    <row r="957" spans="18:18" ht="15.75" customHeight="1">
      <c r="R957" s="30"/>
    </row>
    <row r="958" spans="18:18" ht="15.75" customHeight="1">
      <c r="R958" s="30"/>
    </row>
    <row r="959" spans="18:18" ht="15.75" customHeight="1">
      <c r="R959" s="30"/>
    </row>
    <row r="960" spans="18:18" ht="15.75" customHeight="1">
      <c r="R960" s="30"/>
    </row>
    <row r="961" spans="18:18" ht="15.75" customHeight="1">
      <c r="R961" s="30"/>
    </row>
    <row r="962" spans="18:18" ht="15.75" customHeight="1">
      <c r="R962" s="30"/>
    </row>
    <row r="963" spans="18:18" ht="15.75" customHeight="1">
      <c r="R963" s="30"/>
    </row>
    <row r="964" spans="18:18" ht="15.75" customHeight="1">
      <c r="R964" s="30"/>
    </row>
    <row r="965" spans="18:18" ht="15.75" customHeight="1">
      <c r="R965" s="30"/>
    </row>
    <row r="966" spans="18:18" ht="15.75" customHeight="1">
      <c r="R966" s="30"/>
    </row>
    <row r="967" spans="18:18" ht="15.75" customHeight="1">
      <c r="R967" s="30"/>
    </row>
    <row r="968" spans="18:18" ht="15.75" customHeight="1">
      <c r="R968" s="30"/>
    </row>
    <row r="969" spans="18:18" ht="15.75" customHeight="1">
      <c r="R969" s="30"/>
    </row>
    <row r="970" spans="18:18" ht="15.75" customHeight="1">
      <c r="R970" s="30"/>
    </row>
    <row r="971" spans="18:18" ht="15.75" customHeight="1">
      <c r="R971" s="30"/>
    </row>
    <row r="972" spans="18:18" ht="15.75" customHeight="1">
      <c r="R972" s="30"/>
    </row>
    <row r="973" spans="18:18" ht="15.75" customHeight="1">
      <c r="R973" s="30"/>
    </row>
    <row r="974" spans="18:18" ht="15.75" customHeight="1">
      <c r="R974" s="30"/>
    </row>
    <row r="975" spans="18:18" ht="15.75" customHeight="1">
      <c r="R975" s="30"/>
    </row>
    <row r="976" spans="18:18" ht="15.75" customHeight="1">
      <c r="R976" s="30"/>
    </row>
    <row r="977" spans="18:18" ht="15.75" customHeight="1">
      <c r="R977" s="30"/>
    </row>
    <row r="978" spans="18:18" ht="15.75" customHeight="1">
      <c r="R978" s="30"/>
    </row>
    <row r="979" spans="18:18" ht="15.75" customHeight="1">
      <c r="R979" s="30"/>
    </row>
    <row r="980" spans="18:18" ht="15.75" customHeight="1">
      <c r="R980" s="30"/>
    </row>
    <row r="981" spans="18:18" ht="15.75" customHeight="1">
      <c r="R981" s="30"/>
    </row>
    <row r="982" spans="18:18" ht="15.75" customHeight="1">
      <c r="R982" s="30"/>
    </row>
    <row r="983" spans="18:18" ht="15.75" customHeight="1">
      <c r="R983" s="30"/>
    </row>
    <row r="984" spans="18:18" ht="15.75" customHeight="1">
      <c r="R984" s="30"/>
    </row>
    <row r="985" spans="18:18" ht="15.75" customHeight="1">
      <c r="R985" s="30"/>
    </row>
    <row r="986" spans="18:18" ht="15.75" customHeight="1">
      <c r="R986" s="30"/>
    </row>
    <row r="987" spans="18:18" ht="15.75" customHeight="1">
      <c r="R987" s="30"/>
    </row>
    <row r="988" spans="18:18" ht="15.75" customHeight="1">
      <c r="R988" s="30"/>
    </row>
    <row r="989" spans="18:18" ht="15.75" customHeight="1">
      <c r="R989" s="30"/>
    </row>
    <row r="990" spans="18:18" ht="15.75" customHeight="1">
      <c r="R990" s="30"/>
    </row>
    <row r="991" spans="18:18" ht="15.75" customHeight="1">
      <c r="R991" s="30"/>
    </row>
    <row r="992" spans="18:18" ht="15.75" customHeight="1">
      <c r="R992" s="30"/>
    </row>
    <row r="993" spans="18:18" ht="15.75" customHeight="1">
      <c r="R993" s="30"/>
    </row>
    <row r="994" spans="18:18" ht="15.75" customHeight="1">
      <c r="R994" s="30"/>
    </row>
    <row r="995" spans="18:18" ht="15.75" customHeight="1">
      <c r="R995" s="30"/>
    </row>
    <row r="996" spans="18:18" ht="15.75" customHeight="1">
      <c r="R996" s="30"/>
    </row>
    <row r="997" spans="18:18" ht="15.75" customHeight="1">
      <c r="R997" s="30"/>
    </row>
    <row r="998" spans="18:18" ht="15.75" customHeight="1">
      <c r="R998" s="30"/>
    </row>
    <row r="999" spans="18:18" ht="15.75" customHeight="1">
      <c r="R999" s="30"/>
    </row>
    <row r="1000" spans="18:18" ht="15.75" customHeight="1">
      <c r="R1000" s="3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2.6640625" defaultRowHeight="15" customHeight="1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8.6640625" customWidth="1"/>
    <col min="6" max="6" width="9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16.33203125" customWidth="1"/>
    <col min="16" max="16" width="10" customWidth="1"/>
    <col min="17" max="18" width="7.33203125" customWidth="1"/>
    <col min="19" max="19" width="7.1640625" customWidth="1"/>
    <col min="20" max="20" width="15.1640625" customWidth="1"/>
    <col min="21" max="21" width="26.5" customWidth="1"/>
    <col min="22" max="22" width="102.664062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6640625" customWidth="1"/>
    <col min="32" max="32" width="10.1640625" customWidth="1"/>
    <col min="33" max="33" width="8.83203125" customWidth="1"/>
  </cols>
  <sheetData>
    <row r="1" spans="1:33" ht="18.75" customHeight="1">
      <c r="A1" s="46" t="str">
        <f ca="1">IFERROR(__xludf.DUMMYFUNCTION("IFERROR(VLOOKUP(B2,IMPORTRANGE(""https://docs.google.com/spreadsheets/d/1x0DhHglkXKoEBOD2MBsuK_EyIr1ouxD2ftIpqOYFa-k/edit?usp=sharing"",""Ubiquitty-SKU-Specific Info!B1:BJ5000""),3,FALSE),"""")"),"2 Pack of Outdoor Extension Cord - 12/3 SJTW Heavy Duty Yellow 3 Prong Extension Cable - Great for Garden and Major Appliances (50 Foot - Yellow)")</f>
        <v>2 Pack of Outdoor Extension Cord - 12/3 SJTW Heavy Duty Yellow 3 Prong Extension Cable - Great for Garden and Major Appliances (50 Foot - Yellow)</v>
      </c>
      <c r="B1" s="47"/>
      <c r="C1" s="48" t="s">
        <v>0</v>
      </c>
      <c r="D1" s="50" t="s">
        <v>1</v>
      </c>
      <c r="E1" s="50" t="s">
        <v>2</v>
      </c>
      <c r="F1" s="52" t="s">
        <v>3</v>
      </c>
      <c r="G1" s="52" t="s">
        <v>4</v>
      </c>
      <c r="H1" s="53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58" t="s">
        <v>10</v>
      </c>
      <c r="N1" s="59" t="s">
        <v>11</v>
      </c>
      <c r="O1" s="50" t="s">
        <v>12</v>
      </c>
      <c r="P1" s="50" t="s">
        <v>13</v>
      </c>
      <c r="Q1" s="57" t="s">
        <v>14</v>
      </c>
      <c r="R1" s="57" t="s">
        <v>15</v>
      </c>
      <c r="S1" s="60" t="s">
        <v>16</v>
      </c>
      <c r="T1" s="62" t="s">
        <v>2006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Info!B1:BJ5000""),2,FALSE),"""")"),"B07MTPF72D")</f>
        <v>B07MTPF72D</v>
      </c>
      <c r="B2" s="3" t="s">
        <v>1703</v>
      </c>
      <c r="C2" s="49"/>
      <c r="D2" s="49"/>
      <c r="E2" s="51"/>
      <c r="F2" s="49"/>
      <c r="G2" s="49"/>
      <c r="H2" s="54"/>
      <c r="I2" s="49"/>
      <c r="J2" s="49"/>
      <c r="K2" s="54"/>
      <c r="L2" s="54"/>
      <c r="M2" s="54"/>
      <c r="N2" s="49"/>
      <c r="O2" s="49"/>
      <c r="P2" s="51"/>
      <c r="Q2" s="49"/>
      <c r="R2" s="49"/>
      <c r="S2" s="61"/>
      <c r="T2" s="47"/>
      <c r="U2" s="63"/>
      <c r="V2" s="63"/>
      <c r="W2" s="47"/>
      <c r="X2" s="47"/>
      <c r="Y2" s="47"/>
      <c r="Z2" s="47"/>
      <c r="AA2" s="63"/>
      <c r="AB2" s="63"/>
      <c r="AC2" s="63"/>
      <c r="AD2" s="63"/>
      <c r="AE2" s="47"/>
      <c r="AF2" s="47"/>
      <c r="AG2" s="47"/>
    </row>
    <row r="3" spans="1:33" ht="108.75" customHeight="1">
      <c r="A3" s="55" t="s">
        <v>31</v>
      </c>
      <c r="B3" s="56"/>
      <c r="C3" s="4">
        <f>((AE32+AF32)/0.85)*-1</f>
        <v>60.529738868235299</v>
      </c>
      <c r="D3" s="5">
        <f>SUM(D4:D99765)</f>
        <v>1211</v>
      </c>
      <c r="E3" s="5"/>
      <c r="F3" s="6">
        <f t="shared" ref="F3:G3" si="0">SUM(F4:F99765)</f>
        <v>96889.209999999977</v>
      </c>
      <c r="G3" s="6">
        <f t="shared" si="0"/>
        <v>-11.16</v>
      </c>
      <c r="H3" s="7">
        <f t="shared" ref="H3:H32" si="1">G3/F3*-1</f>
        <v>1.1518310449636242E-4</v>
      </c>
      <c r="I3" s="8">
        <f t="shared" ref="I3:I32" si="2">J3/F3</f>
        <v>0.27322959056066121</v>
      </c>
      <c r="J3" s="6">
        <f>SUM(J4:J99765)</f>
        <v>26472.999178045913</v>
      </c>
      <c r="K3" s="6">
        <f t="shared" ref="K3:K32" si="3">J3/D3</f>
        <v>21.860445233729077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Sheet!a1:g5000""),2,FALSE),"""")"),"7.5 - March
7.5 - April
7 - May
7.5 - June
7.5 - July
8 - Aug
8 - Sept
10 - Oct
10.5 - Nov
9 - Dec
7.5 - Jan
7.5 - Feb")</f>
        <v>7.5 - March
7.5 - April
7 - May
7.5 - June
7.5 - July
8 - Aug
8 - Sept
10 - Oct
10.5 - Nov
9 - Dec
7.5 - Jan
7.5 -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QTY-0")</f>
        <v>Del QTY-0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QTY-0")</f>
        <v>US QTY-0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0</v>
      </c>
      <c r="X3" s="7">
        <f>W3/D3</f>
        <v>0</v>
      </c>
      <c r="Y3" s="6"/>
      <c r="Z3" s="5"/>
      <c r="AA3" s="5"/>
      <c r="AB3" s="5"/>
      <c r="AC3" s="5"/>
      <c r="AD3" s="6">
        <f>SUM(AD4:AD99765)</f>
        <v>-730.6653812627344</v>
      </c>
      <c r="AE3" s="6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Info!B2:BZ3000""),37,FALSE)),"""")*-1"),-42.170278038)</f>
        <v>-42.170278037999999</v>
      </c>
      <c r="AG3" s="6">
        <f>SUM(AG4:AG99765)</f>
        <v>0</v>
      </c>
    </row>
    <row r="4" spans="1:33" ht="15.75" customHeight="1">
      <c r="A4" s="14" t="s">
        <v>181</v>
      </c>
      <c r="B4" s="14" t="s">
        <v>530</v>
      </c>
      <c r="C4" s="15">
        <f t="shared" ref="C4:C32" si="4">IFERROR(F4/D4," - ")</f>
        <v>70.25926829268289</v>
      </c>
      <c r="D4" s="16">
        <v>41</v>
      </c>
      <c r="E4" s="16">
        <v>0</v>
      </c>
      <c r="F4" s="17">
        <v>2880.6299999999987</v>
      </c>
      <c r="G4" s="17">
        <v>0</v>
      </c>
      <c r="H4" s="18">
        <f t="shared" si="1"/>
        <v>0</v>
      </c>
      <c r="I4" s="18">
        <f t="shared" si="2"/>
        <v>0.26011273122781964</v>
      </c>
      <c r="J4" s="17">
        <f t="shared" ref="J4:J32" si="5">F4*0.85+G4+AF4*D4+D4*AE4+AG4+AD4</f>
        <v>749.28853695679379</v>
      </c>
      <c r="K4" s="17">
        <f t="shared" si="3"/>
        <v>18.275330169677897</v>
      </c>
      <c r="L4" s="16">
        <v>152</v>
      </c>
      <c r="M4" s="19">
        <f t="shared" ref="M4:M32" si="6">IFERROR(D4/L4,"-")</f>
        <v>0.26973684210526316</v>
      </c>
      <c r="N4" s="16">
        <v>164</v>
      </c>
      <c r="O4" s="20">
        <f t="shared" ref="O4:P4" si="7">D4/7</f>
        <v>5.8571428571428568</v>
      </c>
      <c r="P4" s="20">
        <f t="shared" si="7"/>
        <v>0</v>
      </c>
      <c r="Q4" s="16">
        <f t="shared" ref="Q4:Q32" si="8">ROUNDDOWN(N4/(O4+P4),0)</f>
        <v>28</v>
      </c>
      <c r="R4" s="16"/>
      <c r="S4" s="21">
        <v>4.99470899470899</v>
      </c>
      <c r="T4" s="14" t="s">
        <v>34</v>
      </c>
      <c r="U4" s="22" t="s">
        <v>34</v>
      </c>
      <c r="V4" s="23" t="s">
        <v>34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26" t="s">
        <v>35</v>
      </c>
      <c r="AB4" s="27">
        <f t="shared" ref="AB4:AB32" si="11">IF(OR(AA4="UsLargeStandardSize",AA4="UsSmallStandardSize"),-0.69,-0.48)</f>
        <v>-0.69</v>
      </c>
      <c r="AC4" s="28">
        <v>0.45720674999999994</v>
      </c>
      <c r="AD4" s="25">
        <f t="shared" ref="AD4:AD32" si="12">IFERROR(AB4*AC4*D4*2,0)</f>
        <v>-25.868757914999993</v>
      </c>
      <c r="AE4" s="25">
        <v>-9.98</v>
      </c>
      <c r="AF4" s="25">
        <v>-30.834102564102565</v>
      </c>
      <c r="AG4" s="25">
        <v>0</v>
      </c>
    </row>
    <row r="5" spans="1:33" ht="15.75" customHeight="1">
      <c r="A5" s="14" t="s">
        <v>183</v>
      </c>
      <c r="B5" s="14" t="s">
        <v>1704</v>
      </c>
      <c r="C5" s="15">
        <f t="shared" si="4"/>
        <v>70.981428571428552</v>
      </c>
      <c r="D5" s="16">
        <v>42</v>
      </c>
      <c r="E5" s="16">
        <v>0</v>
      </c>
      <c r="F5" s="29">
        <v>2981.2199999999993</v>
      </c>
      <c r="G5" s="29">
        <v>0</v>
      </c>
      <c r="H5" s="18">
        <f t="shared" si="1"/>
        <v>0</v>
      </c>
      <c r="I5" s="18">
        <f t="shared" si="2"/>
        <v>0.26610390463801969</v>
      </c>
      <c r="J5" s="17">
        <f t="shared" si="5"/>
        <v>793.31428258495691</v>
      </c>
      <c r="K5" s="17">
        <f t="shared" si="3"/>
        <v>18.888435299641831</v>
      </c>
      <c r="L5" s="16">
        <v>176</v>
      </c>
      <c r="M5" s="19">
        <f t="shared" si="6"/>
        <v>0.23863636363636365</v>
      </c>
      <c r="N5" s="16">
        <v>195</v>
      </c>
      <c r="O5" s="20">
        <f t="shared" ref="O5:P5" si="13">D5/7</f>
        <v>6</v>
      </c>
      <c r="P5" s="20">
        <f t="shared" si="13"/>
        <v>0</v>
      </c>
      <c r="Q5" s="16">
        <f t="shared" si="8"/>
        <v>32</v>
      </c>
      <c r="R5" s="16"/>
      <c r="S5" s="21">
        <v>4.4431314623338203</v>
      </c>
      <c r="T5" s="14" t="s">
        <v>34</v>
      </c>
      <c r="U5" s="22" t="s">
        <v>34</v>
      </c>
      <c r="V5" s="23" t="s">
        <v>34</v>
      </c>
      <c r="W5" s="14">
        <v>0</v>
      </c>
      <c r="X5" s="24">
        <f t="shared" si="9"/>
        <v>0</v>
      </c>
      <c r="Y5" s="25">
        <f t="shared" si="10"/>
        <v>0</v>
      </c>
      <c r="Z5" s="14">
        <v>0</v>
      </c>
      <c r="AA5" s="14" t="s">
        <v>35</v>
      </c>
      <c r="AB5" s="27">
        <f t="shared" si="11"/>
        <v>-0.69</v>
      </c>
      <c r="AC5" s="28">
        <v>0.45773653765932787</v>
      </c>
      <c r="AD5" s="25">
        <f t="shared" si="12"/>
        <v>-26.530409722734639</v>
      </c>
      <c r="AE5" s="25">
        <v>-9.98</v>
      </c>
      <c r="AF5" s="25">
        <v>-30.834102564102565</v>
      </c>
      <c r="AG5" s="25">
        <v>0</v>
      </c>
    </row>
    <row r="6" spans="1:33" ht="15.75" customHeight="1">
      <c r="A6" s="14" t="s">
        <v>185</v>
      </c>
      <c r="B6" s="14" t="s">
        <v>1705</v>
      </c>
      <c r="C6" s="15">
        <f t="shared" si="4"/>
        <v>75.99823529411762</v>
      </c>
      <c r="D6" s="16">
        <v>51</v>
      </c>
      <c r="E6" s="16">
        <v>1</v>
      </c>
      <c r="F6" s="29">
        <v>3875.9099999999989</v>
      </c>
      <c r="G6" s="29">
        <v>0</v>
      </c>
      <c r="H6" s="18">
        <f t="shared" si="1"/>
        <v>0</v>
      </c>
      <c r="I6" s="18">
        <f t="shared" si="2"/>
        <v>0.30465775989787386</v>
      </c>
      <c r="J6" s="17">
        <f t="shared" si="5"/>
        <v>1180.826058165768</v>
      </c>
      <c r="K6" s="17">
        <f t="shared" si="3"/>
        <v>23.153452120897413</v>
      </c>
      <c r="L6" s="16">
        <v>172</v>
      </c>
      <c r="M6" s="19">
        <f t="shared" si="6"/>
        <v>0.29651162790697677</v>
      </c>
      <c r="N6" s="16">
        <v>140</v>
      </c>
      <c r="O6" s="20">
        <f t="shared" ref="O6:P6" si="14">D6/7</f>
        <v>7.2857142857142856</v>
      </c>
      <c r="P6" s="20">
        <f t="shared" si="14"/>
        <v>0.14285714285714285</v>
      </c>
      <c r="Q6" s="16">
        <f t="shared" si="8"/>
        <v>18</v>
      </c>
      <c r="R6" s="16"/>
      <c r="S6" s="21">
        <v>5.0110584518167398</v>
      </c>
      <c r="T6" s="14">
        <v>1062</v>
      </c>
      <c r="U6" s="22">
        <v>162</v>
      </c>
      <c r="V6" s="23" t="s">
        <v>1706</v>
      </c>
      <c r="W6" s="14">
        <v>0</v>
      </c>
      <c r="X6" s="24">
        <f t="shared" si="9"/>
        <v>0</v>
      </c>
      <c r="Y6" s="25">
        <f t="shared" si="10"/>
        <v>0</v>
      </c>
      <c r="Z6" s="14">
        <v>0</v>
      </c>
      <c r="AA6" s="14" t="s">
        <v>35</v>
      </c>
      <c r="AB6" s="27">
        <f t="shared" si="11"/>
        <v>-0.69</v>
      </c>
      <c r="AC6" s="28">
        <v>0.45720674999999994</v>
      </c>
      <c r="AD6" s="25">
        <f t="shared" si="12"/>
        <v>-32.178211064999992</v>
      </c>
      <c r="AE6" s="25">
        <v>-9.98</v>
      </c>
      <c r="AF6" s="25">
        <v>-30.834102564102565</v>
      </c>
      <c r="AG6" s="25">
        <v>0</v>
      </c>
    </row>
    <row r="7" spans="1:33" ht="15.75" customHeight="1">
      <c r="A7" s="14" t="s">
        <v>187</v>
      </c>
      <c r="B7" s="14" t="s">
        <v>436</v>
      </c>
      <c r="C7" s="15">
        <f t="shared" si="4"/>
        <v>82.254000000000019</v>
      </c>
      <c r="D7" s="16">
        <v>25</v>
      </c>
      <c r="E7" s="16">
        <v>0</v>
      </c>
      <c r="F7" s="29">
        <v>2056.3500000000004</v>
      </c>
      <c r="G7" s="29">
        <v>0</v>
      </c>
      <c r="H7" s="18">
        <f t="shared" si="1"/>
        <v>0</v>
      </c>
      <c r="I7" s="18">
        <f t="shared" si="2"/>
        <v>0.34613334452911038</v>
      </c>
      <c r="J7" s="17">
        <f t="shared" si="5"/>
        <v>711.7713030224362</v>
      </c>
      <c r="K7" s="17">
        <f t="shared" si="3"/>
        <v>28.470852120897447</v>
      </c>
      <c r="L7" s="16">
        <v>186</v>
      </c>
      <c r="M7" s="19">
        <f t="shared" si="6"/>
        <v>0.13440860215053763</v>
      </c>
      <c r="N7" s="16">
        <v>141</v>
      </c>
      <c r="O7" s="20">
        <f t="shared" ref="O7:P7" si="15">D7/7</f>
        <v>3.5714285714285716</v>
      </c>
      <c r="P7" s="20">
        <f t="shared" si="15"/>
        <v>0</v>
      </c>
      <c r="Q7" s="16">
        <f t="shared" si="8"/>
        <v>39</v>
      </c>
      <c r="R7" s="16"/>
      <c r="S7" s="21">
        <v>4.7084639498432601</v>
      </c>
      <c r="T7" s="14">
        <v>1600</v>
      </c>
      <c r="U7" s="22">
        <v>162</v>
      </c>
      <c r="V7" s="23" t="s">
        <v>1707</v>
      </c>
      <c r="W7" s="14">
        <v>0</v>
      </c>
      <c r="X7" s="24">
        <f t="shared" si="9"/>
        <v>0</v>
      </c>
      <c r="Y7" s="25">
        <f t="shared" si="10"/>
        <v>0</v>
      </c>
      <c r="Z7" s="14">
        <v>0</v>
      </c>
      <c r="AA7" s="14" t="s">
        <v>35</v>
      </c>
      <c r="AB7" s="27">
        <f t="shared" si="11"/>
        <v>-0.69</v>
      </c>
      <c r="AC7" s="28">
        <v>0.45720674999999994</v>
      </c>
      <c r="AD7" s="25">
        <f t="shared" si="12"/>
        <v>-15.773632874999995</v>
      </c>
      <c r="AE7" s="25">
        <v>-9.98</v>
      </c>
      <c r="AF7" s="25">
        <v>-30.834102564102565</v>
      </c>
      <c r="AG7" s="25">
        <v>0</v>
      </c>
    </row>
    <row r="8" spans="1:33" ht="15.75" customHeight="1">
      <c r="A8" s="14" t="s">
        <v>189</v>
      </c>
      <c r="B8" s="14" t="s">
        <v>1002</v>
      </c>
      <c r="C8" s="15">
        <f t="shared" si="4"/>
        <v>80.601249999999979</v>
      </c>
      <c r="D8" s="16">
        <v>40</v>
      </c>
      <c r="E8" s="16">
        <v>0</v>
      </c>
      <c r="F8" s="29">
        <v>3224.0499999999993</v>
      </c>
      <c r="G8" s="29">
        <v>0</v>
      </c>
      <c r="H8" s="18">
        <f t="shared" si="1"/>
        <v>0</v>
      </c>
      <c r="I8" s="18">
        <f t="shared" si="2"/>
        <v>0.3358523246847907</v>
      </c>
      <c r="J8" s="17">
        <f t="shared" si="5"/>
        <v>1082.8046873999992</v>
      </c>
      <c r="K8" s="17">
        <f t="shared" si="3"/>
        <v>27.07011718499998</v>
      </c>
      <c r="L8" s="16">
        <v>149</v>
      </c>
      <c r="M8" s="19">
        <f t="shared" si="6"/>
        <v>0.26845637583892618</v>
      </c>
      <c r="N8" s="16">
        <v>204</v>
      </c>
      <c r="O8" s="20">
        <f t="shared" ref="O8:P8" si="16">D8/7</f>
        <v>5.7142857142857144</v>
      </c>
      <c r="P8" s="20">
        <f t="shared" si="16"/>
        <v>0</v>
      </c>
      <c r="Q8" s="16">
        <f t="shared" si="8"/>
        <v>35</v>
      </c>
      <c r="R8" s="16"/>
      <c r="S8" s="21">
        <v>3.5510204081632599</v>
      </c>
      <c r="T8" s="14">
        <v>1400</v>
      </c>
      <c r="U8" s="22">
        <v>162</v>
      </c>
      <c r="V8" s="23" t="s">
        <v>1708</v>
      </c>
      <c r="W8" s="14">
        <v>0</v>
      </c>
      <c r="X8" s="24">
        <f t="shared" si="9"/>
        <v>0</v>
      </c>
      <c r="Y8" s="25">
        <f t="shared" si="10"/>
        <v>0</v>
      </c>
      <c r="Z8" s="14">
        <v>0</v>
      </c>
      <c r="AA8" s="14" t="s">
        <v>35</v>
      </c>
      <c r="AB8" s="27">
        <f t="shared" si="11"/>
        <v>-0.69</v>
      </c>
      <c r="AC8" s="28">
        <v>0.45720674999999994</v>
      </c>
      <c r="AD8" s="25">
        <f t="shared" si="12"/>
        <v>-25.237812599999994</v>
      </c>
      <c r="AE8" s="25">
        <v>-9.98</v>
      </c>
      <c r="AF8" s="25">
        <v>-30.83</v>
      </c>
      <c r="AG8" s="25">
        <v>0</v>
      </c>
    </row>
    <row r="9" spans="1:33" ht="15.75" customHeight="1">
      <c r="A9" s="14" t="s">
        <v>191</v>
      </c>
      <c r="B9" s="14" t="s">
        <v>1709</v>
      </c>
      <c r="C9" s="15">
        <f t="shared" si="4"/>
        <v>80.040933333333328</v>
      </c>
      <c r="D9" s="16">
        <v>75</v>
      </c>
      <c r="E9" s="16">
        <v>0</v>
      </c>
      <c r="F9" s="29">
        <v>6003.07</v>
      </c>
      <c r="G9" s="29">
        <v>0</v>
      </c>
      <c r="H9" s="18">
        <f t="shared" si="1"/>
        <v>0</v>
      </c>
      <c r="I9" s="18">
        <f t="shared" si="2"/>
        <v>0.32355882801344893</v>
      </c>
      <c r="J9" s="17">
        <f t="shared" si="5"/>
        <v>1942.3462936826947</v>
      </c>
      <c r="K9" s="17">
        <f t="shared" si="3"/>
        <v>25.897950582435929</v>
      </c>
      <c r="L9" s="16">
        <v>256</v>
      </c>
      <c r="M9" s="19">
        <f t="shared" si="6"/>
        <v>0.29296875</v>
      </c>
      <c r="N9" s="16">
        <v>129</v>
      </c>
      <c r="O9" s="20">
        <f t="shared" ref="O9:P9" si="17">D9/7</f>
        <v>10.714285714285714</v>
      </c>
      <c r="P9" s="20">
        <f t="shared" si="17"/>
        <v>0</v>
      </c>
      <c r="Q9" s="16">
        <f t="shared" si="8"/>
        <v>12</v>
      </c>
      <c r="R9" s="16"/>
      <c r="S9" s="21">
        <v>5.07910750507099</v>
      </c>
      <c r="T9" s="14">
        <v>1400</v>
      </c>
      <c r="U9" s="22">
        <v>162</v>
      </c>
      <c r="V9" s="23" t="s">
        <v>1710</v>
      </c>
      <c r="W9" s="14">
        <v>0</v>
      </c>
      <c r="X9" s="24">
        <f t="shared" si="9"/>
        <v>0</v>
      </c>
      <c r="Y9" s="25">
        <f t="shared" si="10"/>
        <v>0</v>
      </c>
      <c r="Z9" s="14">
        <v>0</v>
      </c>
      <c r="AA9" s="14" t="s">
        <v>35</v>
      </c>
      <c r="AB9" s="27">
        <f t="shared" si="11"/>
        <v>-0.69</v>
      </c>
      <c r="AC9" s="28">
        <v>0.45720674999999994</v>
      </c>
      <c r="AD9" s="25">
        <f t="shared" si="12"/>
        <v>-47.320898624999991</v>
      </c>
      <c r="AE9" s="25">
        <v>-9.98</v>
      </c>
      <c r="AF9" s="25">
        <v>-31.525897435897399</v>
      </c>
      <c r="AG9" s="25">
        <v>0</v>
      </c>
    </row>
    <row r="10" spans="1:33" ht="15.75" customHeight="1">
      <c r="A10" s="14" t="s">
        <v>192</v>
      </c>
      <c r="B10" s="14" t="s">
        <v>1215</v>
      </c>
      <c r="C10" s="15">
        <f t="shared" si="4"/>
        <v>81.86914893617022</v>
      </c>
      <c r="D10" s="16">
        <v>47</v>
      </c>
      <c r="E10" s="16">
        <v>0</v>
      </c>
      <c r="F10" s="29">
        <v>3847.8500000000004</v>
      </c>
      <c r="G10" s="29">
        <v>0</v>
      </c>
      <c r="H10" s="18">
        <f t="shared" si="1"/>
        <v>0</v>
      </c>
      <c r="I10" s="18">
        <f t="shared" si="2"/>
        <v>0.33531475777585468</v>
      </c>
      <c r="J10" s="17">
        <f t="shared" si="5"/>
        <v>1290.2408907078225</v>
      </c>
      <c r="K10" s="17">
        <f t="shared" si="3"/>
        <v>27.451933844847286</v>
      </c>
      <c r="L10" s="16">
        <v>260</v>
      </c>
      <c r="M10" s="19">
        <f t="shared" si="6"/>
        <v>0.18076923076923077</v>
      </c>
      <c r="N10" s="16">
        <v>86</v>
      </c>
      <c r="O10" s="20">
        <f t="shared" ref="O10:P10" si="18">D10/7</f>
        <v>6.7142857142857144</v>
      </c>
      <c r="P10" s="20">
        <f t="shared" si="18"/>
        <v>0</v>
      </c>
      <c r="Q10" s="16">
        <f t="shared" si="8"/>
        <v>12</v>
      </c>
      <c r="R10" s="16"/>
      <c r="S10" s="21">
        <v>5.2738853503184702</v>
      </c>
      <c r="T10" s="14">
        <v>900</v>
      </c>
      <c r="U10" s="22">
        <v>100</v>
      </c>
      <c r="V10" s="23" t="s">
        <v>1711</v>
      </c>
      <c r="W10" s="14">
        <v>0</v>
      </c>
      <c r="X10" s="24">
        <f t="shared" si="9"/>
        <v>0</v>
      </c>
      <c r="Y10" s="25">
        <f t="shared" si="10"/>
        <v>0</v>
      </c>
      <c r="Z10" s="14">
        <v>0</v>
      </c>
      <c r="AA10" s="14" t="s">
        <v>35</v>
      </c>
      <c r="AB10" s="27">
        <f t="shared" si="11"/>
        <v>-0.69</v>
      </c>
      <c r="AC10" s="28">
        <v>0.45720674999999994</v>
      </c>
      <c r="AD10" s="25">
        <f t="shared" si="12"/>
        <v>-29.654429804999992</v>
      </c>
      <c r="AE10" s="25">
        <v>-9.98</v>
      </c>
      <c r="AF10" s="25">
        <v>-31.525897435897399</v>
      </c>
      <c r="AG10" s="25">
        <v>0</v>
      </c>
    </row>
    <row r="11" spans="1:33" ht="15.75" customHeight="1">
      <c r="A11" s="14" t="s">
        <v>193</v>
      </c>
      <c r="B11" s="14" t="s">
        <v>1712</v>
      </c>
      <c r="C11" s="15">
        <f t="shared" si="4"/>
        <v>88.108035714285663</v>
      </c>
      <c r="D11" s="16">
        <v>56</v>
      </c>
      <c r="E11" s="16">
        <v>0</v>
      </c>
      <c r="F11" s="29">
        <v>4934.0499999999975</v>
      </c>
      <c r="G11" s="29">
        <v>0</v>
      </c>
      <c r="H11" s="18">
        <f t="shared" si="1"/>
        <v>0</v>
      </c>
      <c r="I11" s="18">
        <f t="shared" si="2"/>
        <v>0.37175936724389586</v>
      </c>
      <c r="J11" s="17">
        <f t="shared" si="5"/>
        <v>1834.2793059497433</v>
      </c>
      <c r="K11" s="17">
        <f t="shared" si="3"/>
        <v>32.754987606245415</v>
      </c>
      <c r="L11" s="16">
        <v>204</v>
      </c>
      <c r="M11" s="19">
        <f t="shared" si="6"/>
        <v>0.27450980392156865</v>
      </c>
      <c r="N11" s="16">
        <v>36</v>
      </c>
      <c r="O11" s="20">
        <f t="shared" ref="O11:P11" si="19">D11/7</f>
        <v>8</v>
      </c>
      <c r="P11" s="20">
        <f t="shared" si="19"/>
        <v>0</v>
      </c>
      <c r="Q11" s="16">
        <f t="shared" si="8"/>
        <v>4</v>
      </c>
      <c r="R11" s="16"/>
      <c r="S11" s="21">
        <v>5.2662473794549198</v>
      </c>
      <c r="T11" s="14">
        <v>1000</v>
      </c>
      <c r="U11" s="22">
        <v>100</v>
      </c>
      <c r="V11" s="23" t="s">
        <v>1713</v>
      </c>
      <c r="W11" s="14">
        <v>0</v>
      </c>
      <c r="X11" s="24">
        <f t="shared" si="9"/>
        <v>0</v>
      </c>
      <c r="Y11" s="25">
        <f t="shared" si="10"/>
        <v>0</v>
      </c>
      <c r="Z11" s="14">
        <v>0</v>
      </c>
      <c r="AA11" s="14" t="s">
        <v>35</v>
      </c>
      <c r="AB11" s="27">
        <f t="shared" si="11"/>
        <v>-0.69</v>
      </c>
      <c r="AC11" s="28">
        <v>0.45720674999999994</v>
      </c>
      <c r="AD11" s="25">
        <f t="shared" si="12"/>
        <v>-35.33293763999999</v>
      </c>
      <c r="AE11" s="25">
        <v>-9.98</v>
      </c>
      <c r="AF11" s="25">
        <v>-31.525897435897399</v>
      </c>
      <c r="AG11" s="25">
        <v>0</v>
      </c>
    </row>
    <row r="12" spans="1:33" ht="15.75" customHeight="1">
      <c r="A12" s="14" t="s">
        <v>195</v>
      </c>
      <c r="B12" s="14" t="s">
        <v>45</v>
      </c>
      <c r="C12" s="15">
        <f t="shared" si="4"/>
        <v>98.693461538461492</v>
      </c>
      <c r="D12" s="16">
        <v>26</v>
      </c>
      <c r="E12" s="16">
        <v>0</v>
      </c>
      <c r="F12" s="29">
        <v>2566.0299999999988</v>
      </c>
      <c r="G12" s="29">
        <v>0</v>
      </c>
      <c r="H12" s="18">
        <f t="shared" si="1"/>
        <v>0</v>
      </c>
      <c r="I12" s="18">
        <f t="shared" si="2"/>
        <v>0.42305335030247776</v>
      </c>
      <c r="J12" s="17">
        <f t="shared" si="5"/>
        <v>1085.5675884766665</v>
      </c>
      <c r="K12" s="17">
        <f t="shared" si="3"/>
        <v>41.752599556794863</v>
      </c>
      <c r="L12" s="16">
        <v>142</v>
      </c>
      <c r="M12" s="19">
        <f t="shared" si="6"/>
        <v>0.18309859154929578</v>
      </c>
      <c r="N12" s="16">
        <v>5</v>
      </c>
      <c r="O12" s="20">
        <f t="shared" ref="O12:P12" si="20">D12/7</f>
        <v>3.7142857142857144</v>
      </c>
      <c r="P12" s="20">
        <f t="shared" si="20"/>
        <v>0</v>
      </c>
      <c r="Q12" s="16">
        <f t="shared" si="8"/>
        <v>1</v>
      </c>
      <c r="R12" s="16"/>
      <c r="S12" s="21">
        <v>6.9666666666666597</v>
      </c>
      <c r="T12" s="14">
        <v>1000</v>
      </c>
      <c r="U12" s="22">
        <v>100</v>
      </c>
      <c r="V12" s="23" t="s">
        <v>1714</v>
      </c>
      <c r="W12" s="14">
        <v>0</v>
      </c>
      <c r="X12" s="24">
        <f t="shared" si="9"/>
        <v>0</v>
      </c>
      <c r="Y12" s="25">
        <f t="shared" si="10"/>
        <v>0</v>
      </c>
      <c r="Z12" s="14">
        <v>0</v>
      </c>
      <c r="AA12" s="14" t="s">
        <v>35</v>
      </c>
      <c r="AB12" s="27">
        <f t="shared" si="11"/>
        <v>-0.69</v>
      </c>
      <c r="AC12" s="28">
        <v>0.45720674999999994</v>
      </c>
      <c r="AD12" s="25">
        <f t="shared" si="12"/>
        <v>-16.404578189999995</v>
      </c>
      <c r="AE12" s="25">
        <v>-9.98</v>
      </c>
      <c r="AF12" s="25">
        <v>-31.525897435897399</v>
      </c>
      <c r="AG12" s="25">
        <v>0</v>
      </c>
    </row>
    <row r="13" spans="1:33" ht="15.75" customHeight="1">
      <c r="A13" s="14" t="s">
        <v>197</v>
      </c>
      <c r="B13" s="14" t="s">
        <v>45</v>
      </c>
      <c r="C13" s="15">
        <f t="shared" si="4"/>
        <v>99.99</v>
      </c>
      <c r="D13" s="16">
        <v>2</v>
      </c>
      <c r="E13" s="16">
        <v>0</v>
      </c>
      <c r="F13" s="17">
        <v>199.98</v>
      </c>
      <c r="G13" s="29">
        <v>0</v>
      </c>
      <c r="H13" s="18">
        <f t="shared" si="1"/>
        <v>0</v>
      </c>
      <c r="I13" s="18">
        <f t="shared" si="2"/>
        <v>0.42494804165416528</v>
      </c>
      <c r="J13" s="17">
        <f t="shared" si="5"/>
        <v>84.98110936999997</v>
      </c>
      <c r="K13" s="17">
        <f t="shared" si="3"/>
        <v>42.490554684999985</v>
      </c>
      <c r="L13" s="16">
        <v>78</v>
      </c>
      <c r="M13" s="19">
        <f t="shared" si="6"/>
        <v>2.564102564102564E-2</v>
      </c>
      <c r="N13" s="16">
        <v>1</v>
      </c>
      <c r="O13" s="20">
        <f t="shared" ref="O13:P13" si="21">D13/7</f>
        <v>0.2857142857142857</v>
      </c>
      <c r="P13" s="20">
        <f t="shared" si="21"/>
        <v>0</v>
      </c>
      <c r="Q13" s="16">
        <f t="shared" si="8"/>
        <v>3</v>
      </c>
      <c r="R13" s="16"/>
      <c r="S13" s="21">
        <v>4.8316831683168298</v>
      </c>
      <c r="T13" s="14">
        <v>900</v>
      </c>
      <c r="U13" s="22">
        <v>100</v>
      </c>
      <c r="V13" s="23" t="s">
        <v>1715</v>
      </c>
      <c r="W13" s="14">
        <v>0</v>
      </c>
      <c r="X13" s="24">
        <f t="shared" si="9"/>
        <v>0</v>
      </c>
      <c r="Y13" s="25">
        <f t="shared" si="10"/>
        <v>0</v>
      </c>
      <c r="Z13" s="14">
        <v>0</v>
      </c>
      <c r="AA13" s="14" t="s">
        <v>35</v>
      </c>
      <c r="AB13" s="27">
        <f t="shared" si="11"/>
        <v>-0.69</v>
      </c>
      <c r="AC13" s="28">
        <v>0.45720674999999994</v>
      </c>
      <c r="AD13" s="25">
        <f t="shared" si="12"/>
        <v>-1.2618906299999997</v>
      </c>
      <c r="AE13" s="25">
        <v>-9.98</v>
      </c>
      <c r="AF13" s="25">
        <v>-31.89</v>
      </c>
      <c r="AG13" s="25">
        <v>0</v>
      </c>
    </row>
    <row r="14" spans="1:33" ht="15.75" customHeight="1">
      <c r="A14" s="14" t="s">
        <v>32</v>
      </c>
      <c r="B14" s="14" t="s">
        <v>1716</v>
      </c>
      <c r="C14" s="15">
        <f t="shared" si="4"/>
        <v>99.99</v>
      </c>
      <c r="D14" s="16">
        <v>1</v>
      </c>
      <c r="E14" s="16">
        <v>0</v>
      </c>
      <c r="F14" s="17">
        <v>99.99</v>
      </c>
      <c r="G14" s="29">
        <v>0</v>
      </c>
      <c r="H14" s="18">
        <f t="shared" si="1"/>
        <v>0</v>
      </c>
      <c r="I14" s="18">
        <f t="shared" si="2"/>
        <v>0.42494804165416528</v>
      </c>
      <c r="J14" s="17">
        <f t="shared" si="5"/>
        <v>42.490554684999985</v>
      </c>
      <c r="K14" s="17">
        <f t="shared" si="3"/>
        <v>42.490554684999985</v>
      </c>
      <c r="L14" s="16">
        <v>152</v>
      </c>
      <c r="M14" s="19">
        <f t="shared" si="6"/>
        <v>6.5789473684210523E-3</v>
      </c>
      <c r="N14" s="16">
        <v>102</v>
      </c>
      <c r="O14" s="20">
        <f t="shared" ref="O14:P14" si="22">D14/7</f>
        <v>0.14285714285714285</v>
      </c>
      <c r="P14" s="20">
        <f t="shared" si="22"/>
        <v>0</v>
      </c>
      <c r="Q14" s="16">
        <f t="shared" si="8"/>
        <v>714</v>
      </c>
      <c r="R14" s="16"/>
      <c r="S14" s="21">
        <v>3.7513321492007101</v>
      </c>
      <c r="T14" s="14">
        <v>800</v>
      </c>
      <c r="U14" s="22">
        <v>100</v>
      </c>
      <c r="V14" s="23" t="s">
        <v>1715</v>
      </c>
      <c r="W14" s="14">
        <v>0</v>
      </c>
      <c r="X14" s="24">
        <f t="shared" si="9"/>
        <v>0</v>
      </c>
      <c r="Y14" s="25">
        <f t="shared" si="10"/>
        <v>0</v>
      </c>
      <c r="Z14" s="14">
        <v>0</v>
      </c>
      <c r="AA14" s="14" t="s">
        <v>35</v>
      </c>
      <c r="AB14" s="27">
        <f t="shared" si="11"/>
        <v>-0.69</v>
      </c>
      <c r="AC14" s="28">
        <v>0.45720674999999994</v>
      </c>
      <c r="AD14" s="25">
        <f t="shared" si="12"/>
        <v>-0.63094531499999984</v>
      </c>
      <c r="AE14" s="25">
        <v>-9.98</v>
      </c>
      <c r="AF14" s="25">
        <v>-31.89</v>
      </c>
      <c r="AG14" s="25">
        <v>0</v>
      </c>
    </row>
    <row r="15" spans="1:33" ht="15.75" customHeight="1">
      <c r="A15" s="14" t="s">
        <v>36</v>
      </c>
      <c r="B15" s="14" t="s">
        <v>1717</v>
      </c>
      <c r="C15" s="15">
        <f t="shared" si="4"/>
        <v>82.920000000000016</v>
      </c>
      <c r="D15" s="16">
        <v>9</v>
      </c>
      <c r="E15" s="16">
        <v>0</v>
      </c>
      <c r="F15" s="17">
        <v>746.2800000000002</v>
      </c>
      <c r="G15" s="29">
        <v>0</v>
      </c>
      <c r="H15" s="18">
        <f t="shared" si="1"/>
        <v>0</v>
      </c>
      <c r="I15" s="18">
        <f t="shared" si="2"/>
        <v>0.28329781337433807</v>
      </c>
      <c r="J15" s="17">
        <f t="shared" si="5"/>
        <v>211.41949216500109</v>
      </c>
      <c r="K15" s="17">
        <f t="shared" si="3"/>
        <v>23.491054685000123</v>
      </c>
      <c r="L15" s="16">
        <v>213</v>
      </c>
      <c r="M15" s="19">
        <f t="shared" si="6"/>
        <v>4.2253521126760563E-2</v>
      </c>
      <c r="N15" s="16">
        <v>91</v>
      </c>
      <c r="O15" s="20">
        <f t="shared" ref="O15:P15" si="23">D15/7</f>
        <v>1.2857142857142858</v>
      </c>
      <c r="P15" s="20">
        <f t="shared" si="23"/>
        <v>0</v>
      </c>
      <c r="Q15" s="16">
        <f t="shared" si="8"/>
        <v>70</v>
      </c>
      <c r="R15" s="16"/>
      <c r="S15" s="21">
        <v>4.3203661327231098</v>
      </c>
      <c r="T15" s="14">
        <v>800</v>
      </c>
      <c r="U15" s="22">
        <v>100</v>
      </c>
      <c r="V15" s="23" t="s">
        <v>1718</v>
      </c>
      <c r="W15" s="14">
        <v>0</v>
      </c>
      <c r="X15" s="24">
        <f t="shared" si="9"/>
        <v>0</v>
      </c>
      <c r="Y15" s="25">
        <f t="shared" si="10"/>
        <v>0</v>
      </c>
      <c r="Z15" s="14">
        <v>0</v>
      </c>
      <c r="AA15" s="14" t="s">
        <v>35</v>
      </c>
      <c r="AB15" s="27">
        <f t="shared" si="11"/>
        <v>-0.69</v>
      </c>
      <c r="AC15" s="28">
        <v>0.45720674999999994</v>
      </c>
      <c r="AD15" s="25">
        <f t="shared" si="12"/>
        <v>-5.6785078349999987</v>
      </c>
      <c r="AE15" s="25">
        <v>-9.98</v>
      </c>
      <c r="AF15" s="25">
        <v>-36.379999999999903</v>
      </c>
      <c r="AG15" s="25">
        <v>0</v>
      </c>
    </row>
    <row r="16" spans="1:33" ht="15.75" customHeight="1">
      <c r="A16" s="14" t="s">
        <v>38</v>
      </c>
      <c r="B16" s="14" t="s">
        <v>68</v>
      </c>
      <c r="C16" s="15">
        <f t="shared" si="4"/>
        <v>77.960476190476157</v>
      </c>
      <c r="D16" s="16">
        <v>42</v>
      </c>
      <c r="E16" s="16">
        <v>0</v>
      </c>
      <c r="F16" s="17">
        <v>3274.3399999999988</v>
      </c>
      <c r="G16" s="29">
        <v>0</v>
      </c>
      <c r="H16" s="18">
        <f t="shared" si="1"/>
        <v>0</v>
      </c>
      <c r="I16" s="18">
        <f t="shared" si="2"/>
        <v>0.24724655862555606</v>
      </c>
      <c r="J16" s="17">
        <f t="shared" si="5"/>
        <v>809.56929677000289</v>
      </c>
      <c r="K16" s="17">
        <f t="shared" si="3"/>
        <v>19.275459446904829</v>
      </c>
      <c r="L16" s="16">
        <v>167</v>
      </c>
      <c r="M16" s="19">
        <f t="shared" si="6"/>
        <v>0.25149700598802394</v>
      </c>
      <c r="N16" s="16">
        <v>54</v>
      </c>
      <c r="O16" s="20">
        <f t="shared" ref="O16:P16" si="24">D16/7</f>
        <v>6</v>
      </c>
      <c r="P16" s="20">
        <f t="shared" si="24"/>
        <v>0</v>
      </c>
      <c r="Q16" s="16">
        <f t="shared" si="8"/>
        <v>9</v>
      </c>
      <c r="R16" s="16"/>
      <c r="S16" s="21">
        <v>5.5468277945619304</v>
      </c>
      <c r="T16" s="14">
        <v>800</v>
      </c>
      <c r="U16" s="22">
        <v>100</v>
      </c>
      <c r="V16" s="23" t="s">
        <v>1719</v>
      </c>
      <c r="W16" s="14">
        <v>0</v>
      </c>
      <c r="X16" s="24">
        <f t="shared" si="9"/>
        <v>0</v>
      </c>
      <c r="Y16" s="25">
        <f t="shared" si="10"/>
        <v>0</v>
      </c>
      <c r="Z16" s="14">
        <v>0</v>
      </c>
      <c r="AA16" s="14" t="s">
        <v>35</v>
      </c>
      <c r="AB16" s="27">
        <f t="shared" si="11"/>
        <v>-0.69</v>
      </c>
      <c r="AC16" s="28">
        <v>0.45720674999999994</v>
      </c>
      <c r="AD16" s="25">
        <f t="shared" si="12"/>
        <v>-26.499703229999994</v>
      </c>
      <c r="AE16" s="25">
        <v>-9.98</v>
      </c>
      <c r="AF16" s="25">
        <v>-36.379999999999903</v>
      </c>
      <c r="AG16" s="25">
        <v>0</v>
      </c>
    </row>
    <row r="17" spans="1:33" ht="15.75" customHeight="1">
      <c r="A17" s="14" t="s">
        <v>40</v>
      </c>
      <c r="B17" s="14" t="s">
        <v>68</v>
      </c>
      <c r="C17" s="15">
        <f t="shared" si="4"/>
        <v>70.742452830188682</v>
      </c>
      <c r="D17" s="16">
        <v>53</v>
      </c>
      <c r="E17" s="16">
        <v>0</v>
      </c>
      <c r="F17" s="17">
        <v>3749.35</v>
      </c>
      <c r="G17" s="29">
        <v>-0.08</v>
      </c>
      <c r="H17" s="18">
        <f t="shared" si="1"/>
        <v>2.1337031752170377E-5</v>
      </c>
      <c r="I17" s="18">
        <f t="shared" si="2"/>
        <v>0.33571885793537681</v>
      </c>
      <c r="J17" s="17">
        <f t="shared" si="5"/>
        <v>1258.727500000005</v>
      </c>
      <c r="K17" s="17">
        <f t="shared" si="3"/>
        <v>23.749575471698208</v>
      </c>
      <c r="L17" s="16">
        <v>197</v>
      </c>
      <c r="M17" s="19">
        <f t="shared" si="6"/>
        <v>0.26903553299492383</v>
      </c>
      <c r="N17" s="16">
        <v>3</v>
      </c>
      <c r="O17" s="20">
        <f t="shared" ref="O17:P17" si="25">D17/7</f>
        <v>7.5714285714285712</v>
      </c>
      <c r="P17" s="20">
        <f t="shared" si="25"/>
        <v>0</v>
      </c>
      <c r="Q17" s="16">
        <f t="shared" si="8"/>
        <v>0</v>
      </c>
      <c r="R17" s="16"/>
      <c r="S17" s="21">
        <v>4.6748166259168702</v>
      </c>
      <c r="T17" s="14">
        <v>638</v>
      </c>
      <c r="U17" s="22">
        <v>100</v>
      </c>
      <c r="V17" s="23" t="s">
        <v>1720</v>
      </c>
      <c r="W17" s="14">
        <v>0</v>
      </c>
      <c r="X17" s="24">
        <f t="shared" si="9"/>
        <v>0</v>
      </c>
      <c r="Y17" s="25">
        <f t="shared" si="10"/>
        <v>0</v>
      </c>
      <c r="Z17" s="14">
        <v>0</v>
      </c>
      <c r="AA17" s="14" t="e">
        <v>#N/A</v>
      </c>
      <c r="AB17" s="27" t="e">
        <f t="shared" si="11"/>
        <v>#N/A</v>
      </c>
      <c r="AC17" s="28" t="e">
        <v>#N/A</v>
      </c>
      <c r="AD17" s="25">
        <f t="shared" si="12"/>
        <v>0</v>
      </c>
      <c r="AE17" s="25">
        <v>0</v>
      </c>
      <c r="AF17" s="25">
        <v>-36.379999999999903</v>
      </c>
      <c r="AG17" s="25">
        <v>0</v>
      </c>
    </row>
    <row r="18" spans="1:33" ht="15.75" customHeight="1">
      <c r="A18" s="14" t="s">
        <v>42</v>
      </c>
      <c r="B18" s="14" t="s">
        <v>537</v>
      </c>
      <c r="C18" s="15">
        <f t="shared" si="4"/>
        <v>67.066825396825379</v>
      </c>
      <c r="D18" s="16">
        <v>63</v>
      </c>
      <c r="E18" s="16">
        <v>0</v>
      </c>
      <c r="F18" s="17">
        <v>4225.2099999999991</v>
      </c>
      <c r="G18" s="29">
        <v>0</v>
      </c>
      <c r="H18" s="18">
        <f t="shared" si="1"/>
        <v>0</v>
      </c>
      <c r="I18" s="18">
        <f t="shared" si="2"/>
        <v>0.1493414398704456</v>
      </c>
      <c r="J18" s="17">
        <f t="shared" si="5"/>
        <v>630.99894515500534</v>
      </c>
      <c r="K18" s="17">
        <f t="shared" si="3"/>
        <v>10.015856272301672</v>
      </c>
      <c r="L18" s="16">
        <v>165</v>
      </c>
      <c r="M18" s="19">
        <f t="shared" si="6"/>
        <v>0.38181818181818183</v>
      </c>
      <c r="N18" s="16">
        <v>238</v>
      </c>
      <c r="O18" s="20">
        <f t="shared" ref="O18:P18" si="26">D18/7</f>
        <v>9</v>
      </c>
      <c r="P18" s="20">
        <f t="shared" si="26"/>
        <v>0</v>
      </c>
      <c r="Q18" s="16">
        <f t="shared" si="8"/>
        <v>26</v>
      </c>
      <c r="R18" s="16"/>
      <c r="S18" s="21">
        <v>3.3192982456140299</v>
      </c>
      <c r="T18" s="14">
        <v>338</v>
      </c>
      <c r="U18" s="22">
        <v>0</v>
      </c>
      <c r="V18" s="23" t="s">
        <v>1721</v>
      </c>
      <c r="W18" s="14">
        <v>0</v>
      </c>
      <c r="X18" s="24">
        <f t="shared" si="9"/>
        <v>0</v>
      </c>
      <c r="Y18" s="25">
        <f t="shared" si="10"/>
        <v>0</v>
      </c>
      <c r="Z18" s="14">
        <v>0</v>
      </c>
      <c r="AA18" s="14" t="s">
        <v>35</v>
      </c>
      <c r="AB18" s="27">
        <f t="shared" si="11"/>
        <v>-0.69</v>
      </c>
      <c r="AC18" s="28">
        <v>0.45720674999999994</v>
      </c>
      <c r="AD18" s="25">
        <f t="shared" si="12"/>
        <v>-39.749554844999992</v>
      </c>
      <c r="AE18" s="25">
        <v>-9.98</v>
      </c>
      <c r="AF18" s="25">
        <v>-36.379999999999903</v>
      </c>
      <c r="AG18" s="25">
        <v>0</v>
      </c>
    </row>
    <row r="19" spans="1:33" ht="15.75" customHeight="1">
      <c r="A19" s="14" t="s">
        <v>44</v>
      </c>
      <c r="B19" s="14" t="s">
        <v>1722</v>
      </c>
      <c r="C19" s="15">
        <f t="shared" si="4"/>
        <v>68.929809523809553</v>
      </c>
      <c r="D19" s="16">
        <v>105</v>
      </c>
      <c r="E19" s="16">
        <v>0</v>
      </c>
      <c r="F19" s="17">
        <v>7237.6300000000028</v>
      </c>
      <c r="G19" s="29">
        <v>0</v>
      </c>
      <c r="H19" s="18">
        <f t="shared" si="1"/>
        <v>0</v>
      </c>
      <c r="I19" s="18">
        <f t="shared" si="2"/>
        <v>0.14394922673927837</v>
      </c>
      <c r="J19" s="17">
        <f t="shared" si="5"/>
        <v>1041.8512419250037</v>
      </c>
      <c r="K19" s="17">
        <f t="shared" si="3"/>
        <v>9.9223927802381304</v>
      </c>
      <c r="L19" s="16">
        <v>242</v>
      </c>
      <c r="M19" s="19">
        <f t="shared" si="6"/>
        <v>0.43388429752066116</v>
      </c>
      <c r="N19" s="16">
        <v>349</v>
      </c>
      <c r="O19" s="20">
        <f t="shared" ref="O19:P19" si="27">D19/7</f>
        <v>15</v>
      </c>
      <c r="P19" s="20">
        <f t="shared" si="27"/>
        <v>0</v>
      </c>
      <c r="Q19" s="16">
        <f t="shared" si="8"/>
        <v>23</v>
      </c>
      <c r="R19" s="16"/>
      <c r="S19" s="21">
        <v>2.59893048128342</v>
      </c>
      <c r="T19" s="14">
        <v>200</v>
      </c>
      <c r="U19" s="22">
        <v>100</v>
      </c>
      <c r="V19" s="23" t="s">
        <v>1341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14" t="s">
        <v>35</v>
      </c>
      <c r="AB19" s="27">
        <f t="shared" si="11"/>
        <v>-0.69</v>
      </c>
      <c r="AC19" s="28">
        <v>0.45720674999999994</v>
      </c>
      <c r="AD19" s="25">
        <f t="shared" si="12"/>
        <v>-66.249258074999986</v>
      </c>
      <c r="AE19" s="25">
        <v>-9.98</v>
      </c>
      <c r="AF19" s="25">
        <v>-38.056999999999988</v>
      </c>
      <c r="AG19" s="25">
        <v>0</v>
      </c>
    </row>
    <row r="20" spans="1:33" ht="15.75" customHeight="1">
      <c r="A20" s="14" t="s">
        <v>46</v>
      </c>
      <c r="B20" s="14" t="s">
        <v>1723</v>
      </c>
      <c r="C20" s="15">
        <f t="shared" si="4"/>
        <v>76.236857142857104</v>
      </c>
      <c r="D20" s="16">
        <v>105</v>
      </c>
      <c r="E20" s="16">
        <v>2</v>
      </c>
      <c r="F20" s="17">
        <v>8004.8699999999953</v>
      </c>
      <c r="G20" s="29">
        <v>0</v>
      </c>
      <c r="H20" s="18">
        <f t="shared" si="1"/>
        <v>0</v>
      </c>
      <c r="I20" s="18">
        <f t="shared" si="2"/>
        <v>0.21162183045133748</v>
      </c>
      <c r="J20" s="17">
        <f t="shared" si="5"/>
        <v>1694.0052419249969</v>
      </c>
      <c r="K20" s="17">
        <f t="shared" si="3"/>
        <v>16.133383256428541</v>
      </c>
      <c r="L20" s="16">
        <v>183</v>
      </c>
      <c r="M20" s="19">
        <f t="shared" si="6"/>
        <v>0.57377049180327866</v>
      </c>
      <c r="N20" s="16">
        <v>226</v>
      </c>
      <c r="O20" s="20">
        <f t="shared" ref="O20:P20" si="28">D20/7</f>
        <v>15</v>
      </c>
      <c r="P20" s="20">
        <f t="shared" si="28"/>
        <v>0.2857142857142857</v>
      </c>
      <c r="Q20" s="16">
        <f t="shared" si="8"/>
        <v>14</v>
      </c>
      <c r="R20" s="16"/>
      <c r="S20" s="21">
        <v>4.4688090737239996</v>
      </c>
      <c r="T20" s="14">
        <v>100</v>
      </c>
      <c r="U20" s="22">
        <v>100</v>
      </c>
      <c r="V20" s="23" t="s">
        <v>1342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14" t="s">
        <v>35</v>
      </c>
      <c r="AB20" s="27">
        <f t="shared" si="11"/>
        <v>-0.69</v>
      </c>
      <c r="AC20" s="28">
        <v>0.45720674999999994</v>
      </c>
      <c r="AD20" s="25">
        <f t="shared" si="12"/>
        <v>-66.249258074999986</v>
      </c>
      <c r="AE20" s="25">
        <v>-9.98</v>
      </c>
      <c r="AF20" s="25">
        <v>-38.056999999999988</v>
      </c>
      <c r="AG20" s="25">
        <v>0</v>
      </c>
    </row>
    <row r="21" spans="1:33" ht="15.75" customHeight="1">
      <c r="A21" s="14" t="s">
        <v>47</v>
      </c>
      <c r="B21" s="14" t="s">
        <v>1724</v>
      </c>
      <c r="C21" s="15">
        <f t="shared" si="4"/>
        <v>80.9140579710145</v>
      </c>
      <c r="D21" s="16">
        <v>69</v>
      </c>
      <c r="E21" s="16">
        <v>2</v>
      </c>
      <c r="F21" s="17">
        <v>5583.0700000000006</v>
      </c>
      <c r="G21" s="29">
        <v>0</v>
      </c>
      <c r="H21" s="18">
        <f t="shared" si="1"/>
        <v>0</v>
      </c>
      <c r="I21" s="18">
        <f t="shared" si="2"/>
        <v>0.24852299420659268</v>
      </c>
      <c r="J21" s="17">
        <f t="shared" si="5"/>
        <v>1387.5212732650016</v>
      </c>
      <c r="K21" s="17">
        <f t="shared" si="3"/>
        <v>20.10900396036234</v>
      </c>
      <c r="L21" s="16">
        <v>96</v>
      </c>
      <c r="M21" s="19">
        <f t="shared" si="6"/>
        <v>0.71875</v>
      </c>
      <c r="N21" s="16">
        <v>360</v>
      </c>
      <c r="O21" s="20">
        <f t="shared" ref="O21:P21" si="29">D21/7</f>
        <v>9.8571428571428577</v>
      </c>
      <c r="P21" s="20">
        <f t="shared" si="29"/>
        <v>0.2857142857142857</v>
      </c>
      <c r="Q21" s="16">
        <f t="shared" si="8"/>
        <v>35</v>
      </c>
      <c r="R21" s="16"/>
      <c r="S21" s="21">
        <v>4.1231766612641803</v>
      </c>
      <c r="T21" s="14">
        <v>200</v>
      </c>
      <c r="U21" s="22">
        <v>100</v>
      </c>
      <c r="V21" s="23" t="s">
        <v>1344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14" t="s">
        <v>35</v>
      </c>
      <c r="AB21" s="27">
        <f t="shared" si="11"/>
        <v>-0.69</v>
      </c>
      <c r="AC21" s="28">
        <v>0.45720674999999994</v>
      </c>
      <c r="AD21" s="25">
        <f t="shared" si="12"/>
        <v>-43.535226734999988</v>
      </c>
      <c r="AE21" s="25">
        <v>-9.98</v>
      </c>
      <c r="AF21" s="25">
        <v>-38.056999999999988</v>
      </c>
      <c r="AG21" s="25">
        <v>0</v>
      </c>
    </row>
    <row r="22" spans="1:33" ht="15.75" customHeight="1">
      <c r="A22" s="14" t="s">
        <v>48</v>
      </c>
      <c r="B22" s="14" t="s">
        <v>1725</v>
      </c>
      <c r="C22" s="15">
        <f t="shared" si="4"/>
        <v>85.021515151515132</v>
      </c>
      <c r="D22" s="16">
        <v>33</v>
      </c>
      <c r="E22" s="16">
        <v>0</v>
      </c>
      <c r="F22" s="29">
        <v>2805.7099999999996</v>
      </c>
      <c r="G22" s="29">
        <v>0</v>
      </c>
      <c r="H22" s="18">
        <f t="shared" si="1"/>
        <v>0</v>
      </c>
      <c r="I22" s="18">
        <f t="shared" si="2"/>
        <v>0.27758082788492044</v>
      </c>
      <c r="J22" s="17">
        <f t="shared" si="5"/>
        <v>778.81130460500003</v>
      </c>
      <c r="K22" s="17">
        <f t="shared" si="3"/>
        <v>23.60034256378788</v>
      </c>
      <c r="L22" s="16">
        <v>106</v>
      </c>
      <c r="M22" s="19">
        <f t="shared" si="6"/>
        <v>0.31132075471698112</v>
      </c>
      <c r="N22" s="16">
        <v>323</v>
      </c>
      <c r="O22" s="20">
        <f t="shared" ref="O22:P22" si="30">D22/7</f>
        <v>4.7142857142857144</v>
      </c>
      <c r="P22" s="20">
        <f t="shared" si="30"/>
        <v>0</v>
      </c>
      <c r="Q22" s="16">
        <f t="shared" si="8"/>
        <v>68</v>
      </c>
      <c r="R22" s="16"/>
      <c r="S22" s="21">
        <v>3.84375</v>
      </c>
      <c r="T22" s="14">
        <v>200</v>
      </c>
      <c r="U22" s="22">
        <v>100</v>
      </c>
      <c r="V22" s="23" t="s">
        <v>1344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35</v>
      </c>
      <c r="AB22" s="27">
        <f t="shared" si="11"/>
        <v>-0.69</v>
      </c>
      <c r="AC22" s="28">
        <v>0.45720674999999994</v>
      </c>
      <c r="AD22" s="25">
        <f t="shared" si="12"/>
        <v>-20.821195394999993</v>
      </c>
      <c r="AE22" s="25">
        <v>-9.98</v>
      </c>
      <c r="AF22" s="25">
        <v>-38.056999999999988</v>
      </c>
      <c r="AG22" s="25">
        <v>0</v>
      </c>
    </row>
    <row r="23" spans="1:33" ht="15.75" customHeight="1">
      <c r="A23" s="14" t="s">
        <v>49</v>
      </c>
      <c r="B23" s="14" t="s">
        <v>68</v>
      </c>
      <c r="C23" s="15">
        <f t="shared" si="4"/>
        <v>88.169433962264122</v>
      </c>
      <c r="D23" s="16">
        <v>53</v>
      </c>
      <c r="E23" s="16">
        <v>0</v>
      </c>
      <c r="F23" s="17">
        <v>4672.9799999999987</v>
      </c>
      <c r="G23" s="29">
        <v>0</v>
      </c>
      <c r="H23" s="18">
        <f t="shared" si="1"/>
        <v>0</v>
      </c>
      <c r="I23" s="18">
        <f t="shared" si="2"/>
        <v>0.29801794535927811</v>
      </c>
      <c r="J23" s="17">
        <f t="shared" si="5"/>
        <v>1392.6318983049991</v>
      </c>
      <c r="K23" s="17">
        <f t="shared" si="3"/>
        <v>26.276073552924512</v>
      </c>
      <c r="L23" s="16">
        <v>112</v>
      </c>
      <c r="M23" s="19">
        <f t="shared" si="6"/>
        <v>0.4732142857142857</v>
      </c>
      <c r="N23" s="16">
        <v>265</v>
      </c>
      <c r="O23" s="20">
        <f t="shared" ref="O23:P23" si="31">D23/7</f>
        <v>7.5714285714285712</v>
      </c>
      <c r="P23" s="20">
        <f t="shared" si="31"/>
        <v>0</v>
      </c>
      <c r="Q23" s="16">
        <f t="shared" si="8"/>
        <v>35</v>
      </c>
      <c r="R23" s="16"/>
      <c r="S23" s="21">
        <v>3.0264817150062999</v>
      </c>
      <c r="T23" s="14">
        <v>200</v>
      </c>
      <c r="U23" s="22">
        <v>100</v>
      </c>
      <c r="V23" s="23" t="s">
        <v>1344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35</v>
      </c>
      <c r="AB23" s="27">
        <f t="shared" si="11"/>
        <v>-0.69</v>
      </c>
      <c r="AC23" s="28">
        <v>0.45720674999999994</v>
      </c>
      <c r="AD23" s="25">
        <f t="shared" si="12"/>
        <v>-33.440101694999989</v>
      </c>
      <c r="AE23" s="25">
        <v>-9.98</v>
      </c>
      <c r="AF23" s="25">
        <v>-38.056999999999988</v>
      </c>
      <c r="AG23" s="25">
        <v>0</v>
      </c>
    </row>
    <row r="24" spans="1:33" ht="15.75" customHeight="1">
      <c r="A24" s="14" t="s">
        <v>50</v>
      </c>
      <c r="B24" s="14" t="s">
        <v>1726</v>
      </c>
      <c r="C24" s="15">
        <f t="shared" si="4"/>
        <v>84.129743589743597</v>
      </c>
      <c r="D24" s="16">
        <v>39</v>
      </c>
      <c r="E24" s="16">
        <v>0</v>
      </c>
      <c r="F24" s="17">
        <v>3281.0600000000004</v>
      </c>
      <c r="G24" s="17">
        <v>0</v>
      </c>
      <c r="H24" s="18">
        <f t="shared" si="1"/>
        <v>0</v>
      </c>
      <c r="I24" s="18">
        <f t="shared" si="2"/>
        <v>0.27151320997330153</v>
      </c>
      <c r="J24" s="17">
        <f t="shared" si="5"/>
        <v>890.85113271500074</v>
      </c>
      <c r="K24" s="17">
        <f t="shared" si="3"/>
        <v>22.842336736282071</v>
      </c>
      <c r="L24" s="16">
        <v>146</v>
      </c>
      <c r="M24" s="19">
        <f t="shared" si="6"/>
        <v>0.26712328767123289</v>
      </c>
      <c r="N24" s="16">
        <v>227</v>
      </c>
      <c r="O24" s="20">
        <f t="shared" ref="O24:P24" si="32">D24/7</f>
        <v>5.5714285714285712</v>
      </c>
      <c r="P24" s="20">
        <f t="shared" si="32"/>
        <v>0</v>
      </c>
      <c r="Q24" s="16">
        <f t="shared" si="8"/>
        <v>40</v>
      </c>
      <c r="R24" s="16"/>
      <c r="S24" s="21">
        <v>3.3595505617977501</v>
      </c>
      <c r="T24" s="14">
        <v>200</v>
      </c>
      <c r="U24" s="22">
        <v>100</v>
      </c>
      <c r="V24" s="23" t="s">
        <v>1727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14" t="s">
        <v>35</v>
      </c>
      <c r="AB24" s="27">
        <f t="shared" si="11"/>
        <v>-0.69</v>
      </c>
      <c r="AC24" s="28">
        <v>0.45720674999999994</v>
      </c>
      <c r="AD24" s="25">
        <f t="shared" si="12"/>
        <v>-24.606867284999993</v>
      </c>
      <c r="AE24" s="25">
        <v>-9.98</v>
      </c>
      <c r="AF24" s="25">
        <v>-38.056999999999988</v>
      </c>
      <c r="AG24" s="25">
        <v>0</v>
      </c>
    </row>
    <row r="25" spans="1:33" ht="15.75" customHeight="1">
      <c r="A25" s="14" t="s">
        <v>51</v>
      </c>
      <c r="B25" s="14" t="s">
        <v>64</v>
      </c>
      <c r="C25" s="15">
        <f t="shared" si="4"/>
        <v>84.868461538461531</v>
      </c>
      <c r="D25" s="16">
        <v>39</v>
      </c>
      <c r="E25" s="16">
        <v>0</v>
      </c>
      <c r="F25" s="17">
        <v>3309.87</v>
      </c>
      <c r="G25" s="17">
        <v>0</v>
      </c>
      <c r="H25" s="18">
        <f t="shared" si="1"/>
        <v>0</v>
      </c>
      <c r="I25" s="18">
        <f t="shared" si="2"/>
        <v>0.27651316598990283</v>
      </c>
      <c r="J25" s="17">
        <f t="shared" si="5"/>
        <v>915.22263271499958</v>
      </c>
      <c r="K25" s="17">
        <f t="shared" si="3"/>
        <v>23.467246992692296</v>
      </c>
      <c r="L25" s="16">
        <v>113</v>
      </c>
      <c r="M25" s="19">
        <f t="shared" si="6"/>
        <v>0.34513274336283184</v>
      </c>
      <c r="N25" s="16">
        <v>195</v>
      </c>
      <c r="O25" s="20">
        <f t="shared" ref="O25:P25" si="33">D25/7</f>
        <v>5.5714285714285712</v>
      </c>
      <c r="P25" s="20">
        <f t="shared" si="33"/>
        <v>0</v>
      </c>
      <c r="Q25" s="16">
        <f t="shared" si="8"/>
        <v>35</v>
      </c>
      <c r="R25" s="16"/>
      <c r="S25" s="21">
        <v>4.583333333333333</v>
      </c>
      <c r="T25" s="14">
        <v>600</v>
      </c>
      <c r="U25" s="22">
        <v>100</v>
      </c>
      <c r="V25" s="23" t="s">
        <v>1728</v>
      </c>
      <c r="W25" s="30">
        <v>0</v>
      </c>
      <c r="X25" s="24">
        <f t="shared" si="9"/>
        <v>0</v>
      </c>
      <c r="Y25" s="25">
        <f t="shared" si="10"/>
        <v>0</v>
      </c>
      <c r="Z25" s="30">
        <v>0</v>
      </c>
      <c r="AA25" s="14" t="s">
        <v>35</v>
      </c>
      <c r="AB25" s="27">
        <f t="shared" si="11"/>
        <v>-0.69</v>
      </c>
      <c r="AC25" s="28">
        <v>0.45720674999999994</v>
      </c>
      <c r="AD25" s="25">
        <f t="shared" si="12"/>
        <v>-24.606867284999993</v>
      </c>
      <c r="AE25" s="25">
        <v>-9.98</v>
      </c>
      <c r="AF25" s="25">
        <v>-38.06</v>
      </c>
      <c r="AG25" s="25">
        <v>0</v>
      </c>
    </row>
    <row r="26" spans="1:33" ht="15.75" customHeight="1">
      <c r="A26" s="14" t="s">
        <v>52</v>
      </c>
      <c r="B26" s="14" t="s">
        <v>1729</v>
      </c>
      <c r="C26" s="15">
        <f t="shared" si="4"/>
        <v>86.330212765957441</v>
      </c>
      <c r="D26" s="16">
        <v>47</v>
      </c>
      <c r="E26" s="16">
        <v>0</v>
      </c>
      <c r="F26" s="17">
        <v>4057.52</v>
      </c>
      <c r="G26" s="17">
        <v>-9.0399999999999991</v>
      </c>
      <c r="H26" s="18">
        <f t="shared" si="1"/>
        <v>2.2279619077663201E-3</v>
      </c>
      <c r="I26" s="18">
        <f t="shared" si="2"/>
        <v>0.2921386882122588</v>
      </c>
      <c r="J26" s="17">
        <f t="shared" si="5"/>
        <v>1185.3585701950044</v>
      </c>
      <c r="K26" s="17">
        <f t="shared" si="3"/>
        <v>25.22039511053201</v>
      </c>
      <c r="L26" s="16">
        <v>125</v>
      </c>
      <c r="M26" s="19">
        <f t="shared" si="6"/>
        <v>0.376</v>
      </c>
      <c r="N26" s="16">
        <v>153</v>
      </c>
      <c r="O26" s="20">
        <f t="shared" ref="O26:P26" si="34">D26/7</f>
        <v>6.7142857142857144</v>
      </c>
      <c r="P26" s="20">
        <f t="shared" si="34"/>
        <v>0</v>
      </c>
      <c r="Q26" s="16">
        <f t="shared" si="8"/>
        <v>22</v>
      </c>
      <c r="R26" s="16"/>
      <c r="S26" s="21">
        <v>3.6790830945558741</v>
      </c>
      <c r="T26" s="14">
        <v>600</v>
      </c>
      <c r="U26" s="22">
        <v>100</v>
      </c>
      <c r="V26" s="23" t="s">
        <v>1730</v>
      </c>
      <c r="W26" s="30">
        <v>0</v>
      </c>
      <c r="X26" s="24">
        <f t="shared" si="9"/>
        <v>0</v>
      </c>
      <c r="Y26" s="25">
        <f t="shared" si="10"/>
        <v>4.5199999999999996</v>
      </c>
      <c r="Z26" s="30">
        <v>2</v>
      </c>
      <c r="AA26" s="14" t="s">
        <v>35</v>
      </c>
      <c r="AB26" s="27">
        <f t="shared" si="11"/>
        <v>-0.69</v>
      </c>
      <c r="AC26" s="28">
        <v>0.45720674999999994</v>
      </c>
      <c r="AD26" s="25">
        <f t="shared" si="12"/>
        <v>-29.654429804999992</v>
      </c>
      <c r="AE26" s="25">
        <v>-9.2799999999999994</v>
      </c>
      <c r="AF26" s="25">
        <v>-38.056999999999903</v>
      </c>
      <c r="AG26" s="25">
        <v>0</v>
      </c>
    </row>
    <row r="27" spans="1:33" ht="15.75" customHeight="1">
      <c r="A27" s="14" t="s">
        <v>53</v>
      </c>
      <c r="B27" s="14" t="s">
        <v>454</v>
      </c>
      <c r="C27" s="15">
        <f t="shared" si="4"/>
        <v>86.060192307692304</v>
      </c>
      <c r="D27" s="16">
        <v>52</v>
      </c>
      <c r="E27" s="16">
        <v>0</v>
      </c>
      <c r="F27" s="17">
        <v>4475.13</v>
      </c>
      <c r="G27" s="17">
        <v>-2.04</v>
      </c>
      <c r="H27" s="18">
        <f t="shared" si="1"/>
        <v>4.5585267914004734E-4</v>
      </c>
      <c r="I27" s="18">
        <f t="shared" si="2"/>
        <v>0.23695609817368546</v>
      </c>
      <c r="J27" s="17">
        <f t="shared" si="5"/>
        <v>1060.4093436200051</v>
      </c>
      <c r="K27" s="17">
        <f t="shared" si="3"/>
        <v>20.392487377307791</v>
      </c>
      <c r="L27" s="16">
        <v>152</v>
      </c>
      <c r="M27" s="19">
        <f t="shared" si="6"/>
        <v>0.34210526315789475</v>
      </c>
      <c r="N27" s="16">
        <v>97</v>
      </c>
      <c r="O27" s="20">
        <f t="shared" ref="O27:P27" si="35">D27/7</f>
        <v>7.4285714285714288</v>
      </c>
      <c r="P27" s="20">
        <f t="shared" si="35"/>
        <v>0</v>
      </c>
      <c r="Q27" s="16">
        <f t="shared" si="8"/>
        <v>13</v>
      </c>
      <c r="R27" s="16"/>
      <c r="S27" s="21">
        <v>3.477611940298508</v>
      </c>
      <c r="T27" s="14">
        <v>600</v>
      </c>
      <c r="U27" s="22">
        <v>100</v>
      </c>
      <c r="V27" s="23" t="s">
        <v>1731</v>
      </c>
      <c r="W27" s="30">
        <v>0</v>
      </c>
      <c r="X27" s="24">
        <f t="shared" si="9"/>
        <v>0</v>
      </c>
      <c r="Y27" s="25">
        <f t="shared" si="10"/>
        <v>1.02</v>
      </c>
      <c r="Z27" s="30">
        <v>2</v>
      </c>
      <c r="AA27" s="14" t="s">
        <v>35</v>
      </c>
      <c r="AB27" s="27">
        <f t="shared" si="11"/>
        <v>-0.69</v>
      </c>
      <c r="AC27" s="28">
        <v>0.45720674999999994</v>
      </c>
      <c r="AD27" s="25">
        <f t="shared" si="12"/>
        <v>-32.80915637999999</v>
      </c>
      <c r="AE27" s="25">
        <v>-9.2799999999999994</v>
      </c>
      <c r="AF27" s="25">
        <v>-42.808499999999903</v>
      </c>
      <c r="AG27" s="25">
        <v>0</v>
      </c>
    </row>
    <row r="28" spans="1:33" ht="15.75" customHeight="1">
      <c r="A28" s="14" t="s">
        <v>54</v>
      </c>
      <c r="B28" s="14" t="s">
        <v>1732</v>
      </c>
      <c r="C28" s="15">
        <f t="shared" si="4"/>
        <v>88.07683333333334</v>
      </c>
      <c r="D28" s="16">
        <v>60</v>
      </c>
      <c r="E28" s="16">
        <v>0</v>
      </c>
      <c r="F28" s="17">
        <v>5284.6100000000006</v>
      </c>
      <c r="G28" s="17">
        <v>0</v>
      </c>
      <c r="H28" s="18">
        <f t="shared" si="1"/>
        <v>0</v>
      </c>
      <c r="I28" s="18">
        <f t="shared" si="2"/>
        <v>0.25143800225560753</v>
      </c>
      <c r="J28" s="17">
        <f t="shared" si="5"/>
        <v>1328.7517811000064</v>
      </c>
      <c r="K28" s="17">
        <f t="shared" si="3"/>
        <v>22.14586301833344</v>
      </c>
      <c r="L28" s="16">
        <v>131</v>
      </c>
      <c r="M28" s="19">
        <f t="shared" si="6"/>
        <v>0.4580152671755725</v>
      </c>
      <c r="N28" s="16">
        <v>40</v>
      </c>
      <c r="O28" s="20">
        <f t="shared" ref="O28:P28" si="36">D28/7</f>
        <v>8.5714285714285712</v>
      </c>
      <c r="P28" s="20">
        <f t="shared" si="36"/>
        <v>0</v>
      </c>
      <c r="Q28" s="16">
        <f t="shared" si="8"/>
        <v>4</v>
      </c>
      <c r="R28" s="16"/>
      <c r="S28" s="21">
        <v>3.9469496021220158</v>
      </c>
      <c r="T28" s="14">
        <v>1500</v>
      </c>
      <c r="U28" s="22">
        <v>44384</v>
      </c>
      <c r="V28" s="23" t="s">
        <v>1733</v>
      </c>
      <c r="W28" s="30">
        <v>0</v>
      </c>
      <c r="X28" s="24">
        <f t="shared" si="9"/>
        <v>0</v>
      </c>
      <c r="Y28" s="25">
        <f t="shared" si="10"/>
        <v>0</v>
      </c>
      <c r="Z28" s="30">
        <v>0</v>
      </c>
      <c r="AA28" s="14" t="s">
        <v>35</v>
      </c>
      <c r="AB28" s="27">
        <f t="shared" si="11"/>
        <v>-0.69</v>
      </c>
      <c r="AC28" s="28">
        <v>0.45720674999999994</v>
      </c>
      <c r="AD28" s="25">
        <f t="shared" si="12"/>
        <v>-37.85671889999999</v>
      </c>
      <c r="AE28" s="25">
        <v>-9.2799999999999994</v>
      </c>
      <c r="AF28" s="25">
        <v>-42.808499999999903</v>
      </c>
      <c r="AG28" s="25">
        <v>0</v>
      </c>
    </row>
    <row r="29" spans="1:33" ht="15.75" customHeight="1">
      <c r="A29" s="14" t="s">
        <v>55</v>
      </c>
      <c r="B29" s="14" t="s">
        <v>45</v>
      </c>
      <c r="C29" s="15">
        <f t="shared" si="4"/>
        <v>97.501470588235293</v>
      </c>
      <c r="D29" s="16">
        <v>34</v>
      </c>
      <c r="E29" s="16">
        <v>0</v>
      </c>
      <c r="F29" s="17">
        <v>3315.05</v>
      </c>
      <c r="G29" s="17">
        <v>0</v>
      </c>
      <c r="H29" s="18">
        <f t="shared" si="1"/>
        <v>0</v>
      </c>
      <c r="I29" s="18">
        <f t="shared" si="2"/>
        <v>0.30929589577532868</v>
      </c>
      <c r="J29" s="17">
        <f t="shared" si="5"/>
        <v>1025.3313592900033</v>
      </c>
      <c r="K29" s="17">
        <f t="shared" si="3"/>
        <v>30.156804685000097</v>
      </c>
      <c r="L29" s="16">
        <v>95</v>
      </c>
      <c r="M29" s="19">
        <f t="shared" si="6"/>
        <v>0.35789473684210527</v>
      </c>
      <c r="N29" s="16">
        <v>4</v>
      </c>
      <c r="O29" s="20">
        <f t="shared" ref="O29:P29" si="37">D29/7</f>
        <v>4.8571428571428568</v>
      </c>
      <c r="P29" s="20">
        <f t="shared" si="37"/>
        <v>0</v>
      </c>
      <c r="Q29" s="16">
        <f t="shared" si="8"/>
        <v>0</v>
      </c>
      <c r="R29" s="16"/>
      <c r="S29" s="21">
        <v>4.973154362416107</v>
      </c>
      <c r="T29" s="14">
        <v>1860</v>
      </c>
      <c r="U29" s="22">
        <v>44386</v>
      </c>
      <c r="V29" s="23" t="s">
        <v>1734</v>
      </c>
      <c r="W29" s="30">
        <v>0</v>
      </c>
      <c r="X29" s="24">
        <f t="shared" si="9"/>
        <v>0</v>
      </c>
      <c r="Y29" s="25">
        <f t="shared" si="10"/>
        <v>0</v>
      </c>
      <c r="Z29" s="30">
        <v>0</v>
      </c>
      <c r="AA29" s="14" t="s">
        <v>35</v>
      </c>
      <c r="AB29" s="27">
        <f t="shared" si="11"/>
        <v>-0.69</v>
      </c>
      <c r="AC29" s="28">
        <v>0.45720674999999994</v>
      </c>
      <c r="AD29" s="25">
        <f t="shared" si="12"/>
        <v>-21.452140709999995</v>
      </c>
      <c r="AE29" s="25">
        <v>-9.2799999999999994</v>
      </c>
      <c r="AF29" s="25">
        <v>-42.808499999999903</v>
      </c>
      <c r="AG29" s="25">
        <v>0</v>
      </c>
    </row>
    <row r="30" spans="1:33" ht="15.75" customHeight="1">
      <c r="A30" s="14" t="s">
        <v>57</v>
      </c>
      <c r="B30" s="14" t="s">
        <v>45</v>
      </c>
      <c r="C30" s="15">
        <f t="shared" si="4"/>
        <v>98.7</v>
      </c>
      <c r="D30" s="16">
        <v>1</v>
      </c>
      <c r="E30" s="16">
        <v>0</v>
      </c>
      <c r="F30" s="17">
        <v>98.7</v>
      </c>
      <c r="G30" s="17">
        <v>0</v>
      </c>
      <c r="H30" s="18">
        <f t="shared" si="1"/>
        <v>0</v>
      </c>
      <c r="I30" s="18">
        <f t="shared" si="2"/>
        <v>0.32232803087132722</v>
      </c>
      <c r="J30" s="17">
        <f t="shared" si="5"/>
        <v>31.813776646999997</v>
      </c>
      <c r="K30" s="17">
        <f t="shared" si="3"/>
        <v>31.813776646999997</v>
      </c>
      <c r="L30" s="16">
        <v>8</v>
      </c>
      <c r="M30" s="19">
        <f t="shared" si="6"/>
        <v>0.125</v>
      </c>
      <c r="N30" s="16">
        <v>3</v>
      </c>
      <c r="O30" s="20">
        <f t="shared" ref="O30:P30" si="38">D30/7</f>
        <v>0.14285714285714285</v>
      </c>
      <c r="P30" s="20">
        <f t="shared" si="38"/>
        <v>0</v>
      </c>
      <c r="Q30" s="16">
        <f t="shared" si="8"/>
        <v>21</v>
      </c>
      <c r="R30" s="16"/>
      <c r="S30" s="21">
        <v>4.7537190082644631</v>
      </c>
      <c r="T30" s="14">
        <v>1000</v>
      </c>
      <c r="U30" s="22">
        <v>100</v>
      </c>
      <c r="V30" s="23" t="s">
        <v>1735</v>
      </c>
      <c r="W30" s="30">
        <v>0</v>
      </c>
      <c r="X30" s="24">
        <f t="shared" si="9"/>
        <v>0</v>
      </c>
      <c r="Y30" s="25">
        <f t="shared" si="10"/>
        <v>0</v>
      </c>
      <c r="Z30" s="30">
        <v>0</v>
      </c>
      <c r="AA30" s="14" t="s">
        <v>35</v>
      </c>
      <c r="AB30" s="27">
        <f t="shared" si="11"/>
        <v>-0.69</v>
      </c>
      <c r="AC30" s="28">
        <v>0.45720674999999994</v>
      </c>
      <c r="AD30" s="25">
        <f t="shared" si="12"/>
        <v>-0.63094531499999984</v>
      </c>
      <c r="AE30" s="25">
        <v>-9.2799999999999994</v>
      </c>
      <c r="AF30" s="25">
        <v>-42.170278037999999</v>
      </c>
      <c r="AG30" s="25">
        <v>0</v>
      </c>
    </row>
    <row r="31" spans="1:33" ht="15.75" customHeight="1">
      <c r="A31" s="14" t="s">
        <v>58</v>
      </c>
      <c r="B31" s="14" t="s">
        <v>602</v>
      </c>
      <c r="C31" s="15" t="str">
        <f t="shared" si="4"/>
        <v xml:space="preserve"> - </v>
      </c>
      <c r="D31" s="16">
        <v>0</v>
      </c>
      <c r="E31" s="16">
        <v>0</v>
      </c>
      <c r="F31" s="17">
        <v>0</v>
      </c>
      <c r="G31" s="17">
        <v>0</v>
      </c>
      <c r="H31" s="18" t="e">
        <f t="shared" si="1"/>
        <v>#DIV/0!</v>
      </c>
      <c r="I31" s="18" t="e">
        <f t="shared" si="2"/>
        <v>#DIV/0!</v>
      </c>
      <c r="J31" s="17">
        <f t="shared" si="5"/>
        <v>0</v>
      </c>
      <c r="K31" s="17" t="e">
        <f t="shared" si="3"/>
        <v>#DIV/0!</v>
      </c>
      <c r="L31" s="16">
        <v>0</v>
      </c>
      <c r="M31" s="19" t="str">
        <f t="shared" si="6"/>
        <v>-</v>
      </c>
      <c r="N31" s="16">
        <v>1</v>
      </c>
      <c r="O31" s="20">
        <f t="shared" ref="O31:P31" si="39">D31/7</f>
        <v>0</v>
      </c>
      <c r="P31" s="20">
        <f t="shared" si="39"/>
        <v>0</v>
      </c>
      <c r="Q31" s="16" t="e">
        <f t="shared" si="8"/>
        <v>#DIV/0!</v>
      </c>
      <c r="R31" s="16"/>
      <c r="S31" s="21">
        <v>4.3760129659643399</v>
      </c>
      <c r="T31" s="14">
        <v>140</v>
      </c>
      <c r="U31" s="22">
        <v>560</v>
      </c>
      <c r="V31" s="23" t="s">
        <v>1736</v>
      </c>
      <c r="W31" s="30">
        <v>0</v>
      </c>
      <c r="X31" s="24">
        <f t="shared" si="9"/>
        <v>0</v>
      </c>
      <c r="Y31" s="25">
        <f t="shared" si="10"/>
        <v>0</v>
      </c>
      <c r="Z31" s="30">
        <v>0</v>
      </c>
      <c r="AA31" s="14" t="s">
        <v>35</v>
      </c>
      <c r="AB31" s="27">
        <f t="shared" si="11"/>
        <v>-0.69</v>
      </c>
      <c r="AC31" s="28">
        <v>0.45720674999999994</v>
      </c>
      <c r="AD31" s="25">
        <f t="shared" si="12"/>
        <v>0</v>
      </c>
      <c r="AE31" s="25">
        <v>-9.2799999999999994</v>
      </c>
      <c r="AF31" s="25">
        <v>-42.170278038000006</v>
      </c>
      <c r="AG31" s="25">
        <v>0</v>
      </c>
    </row>
    <row r="32" spans="1:33" ht="15.75" customHeight="1">
      <c r="A32" s="14" t="s">
        <v>60</v>
      </c>
      <c r="B32" s="14"/>
      <c r="C32" s="15">
        <f t="shared" si="4"/>
        <v>98.7</v>
      </c>
      <c r="D32" s="16">
        <v>1</v>
      </c>
      <c r="E32" s="16">
        <v>0</v>
      </c>
      <c r="F32" s="17">
        <v>98.7</v>
      </c>
      <c r="G32" s="17">
        <v>0</v>
      </c>
      <c r="H32" s="18">
        <f t="shared" si="1"/>
        <v>0</v>
      </c>
      <c r="I32" s="18">
        <f t="shared" si="2"/>
        <v>0.32232803087132722</v>
      </c>
      <c r="J32" s="17">
        <f t="shared" si="5"/>
        <v>31.813776646999997</v>
      </c>
      <c r="K32" s="17">
        <f t="shared" si="3"/>
        <v>31.813776646999997</v>
      </c>
      <c r="L32" s="16">
        <v>15</v>
      </c>
      <c r="M32" s="19">
        <f t="shared" si="6"/>
        <v>6.6666666666666666E-2</v>
      </c>
      <c r="N32" s="16">
        <v>2</v>
      </c>
      <c r="O32" s="20">
        <f t="shared" ref="O32:P32" si="40">D32/7</f>
        <v>0.14285714285714285</v>
      </c>
      <c r="P32" s="20">
        <f t="shared" si="40"/>
        <v>0</v>
      </c>
      <c r="Q32" s="16">
        <f t="shared" si="8"/>
        <v>14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0</v>
      </c>
      <c r="T32" s="14">
        <f ca="1">IFERROR(__xludf.DUMMYFUNCTION("IFERROR(VLOOKUP($B$2,IMPORTRANGE(""https://docs.google.com/spreadsheets/d/1KiWZV1ko8G7lnRucBRBd29jj3Be6ltMfljMDqzOkQmI/edit#gid=1381463014"",""Lookup!A:D""),4,FALSE),"""")"),140)</f>
        <v>140</v>
      </c>
      <c r="U32" s="22">
        <f ca="1">IFERROR(__xludf.DUMMYFUNCTION("IFERROR(VLOOKUP($B$2,IMPORTRANGE(""https://docs.google.com/spreadsheets/d/1KiWZV1ko8G7lnRucBRBd29jj3Be6ltMfljMDqzOkQmI/edit#gid=1381463014"",""Lookup!A:D""),3,FALSE),"""")"),560)</f>
        <v>560</v>
      </c>
      <c r="V32" s="23" t="str">
        <f ca="1">IFERROR(__xludf.DUMMYFUNCTION("IFERROR(VLOOKUP($B$2,IMPORTRANGE(""https://docs.google.com/spreadsheets/d/1KiWZV1ko8G7lnRucBRBd29jj3Be6ltMfljMDqzOkQmI/edit#gid=1381463014"",""Lookup!A:D""),2,FALSE),"""")"),"| 408  - 100 units 07/19| 410  - 100 units 07/20| 418  - 360 units 09/03")</f>
        <v>| 408  - 100 units 07/19| 410  - 100 units 07/20| 418  - 360 units 09/03</v>
      </c>
      <c r="W32" s="30">
        <v>0</v>
      </c>
      <c r="X32" s="24">
        <f t="shared" si="9"/>
        <v>0</v>
      </c>
      <c r="Y32" s="25">
        <f t="shared" si="10"/>
        <v>0</v>
      </c>
      <c r="Z32" s="30">
        <v>0</v>
      </c>
      <c r="AA32" s="14" t="s">
        <v>35</v>
      </c>
      <c r="AB32" s="27">
        <f t="shared" si="11"/>
        <v>-0.69</v>
      </c>
      <c r="AC32" s="28">
        <v>0.45720674999999994</v>
      </c>
      <c r="AD32" s="25">
        <f t="shared" si="12"/>
        <v>-0.63094531499999984</v>
      </c>
      <c r="AE32" s="25">
        <v>-9.2799999999999994</v>
      </c>
      <c r="AF32" s="25">
        <v>-42.170278037999999</v>
      </c>
      <c r="AG32" s="25">
        <v>0</v>
      </c>
    </row>
    <row r="33" spans="1:33" ht="15.75" customHeight="1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16"/>
      <c r="S33" s="21"/>
      <c r="T33" s="31"/>
      <c r="U33" s="36"/>
      <c r="V33" s="1"/>
      <c r="W33" s="31"/>
      <c r="X33" s="31"/>
      <c r="Y33" s="31"/>
      <c r="Z33" s="31"/>
      <c r="AA33" s="2"/>
      <c r="AB33" s="31"/>
      <c r="AC33" s="31"/>
      <c r="AD33" s="31"/>
      <c r="AE33" s="37"/>
      <c r="AF33" s="37"/>
      <c r="AG33" s="37"/>
    </row>
    <row r="34" spans="1:33" ht="15.75" customHeight="1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6"/>
      <c r="V34" s="1"/>
      <c r="W34" s="31"/>
      <c r="X34" s="31"/>
      <c r="Y34" s="31"/>
      <c r="Z34" s="31"/>
      <c r="AA34" s="2"/>
      <c r="AB34" s="31"/>
      <c r="AC34" s="31"/>
      <c r="AD34" s="31"/>
      <c r="AE34" s="37"/>
      <c r="AF34" s="37"/>
      <c r="AG34" s="37"/>
    </row>
    <row r="35" spans="1:33" ht="15.75" customHeight="1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6"/>
      <c r="V35" s="1"/>
      <c r="W35" s="31"/>
      <c r="X35" s="31"/>
      <c r="Y35" s="31"/>
      <c r="Z35" s="31"/>
      <c r="AA35" s="2"/>
      <c r="AB35" s="31"/>
      <c r="AC35" s="31"/>
      <c r="AD35" s="31"/>
      <c r="AE35" s="37"/>
      <c r="AF35" s="37"/>
      <c r="AG35" s="37"/>
    </row>
    <row r="36" spans="1:33" ht="15.75" customHeight="1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6"/>
      <c r="V36" s="1"/>
      <c r="W36" s="31"/>
      <c r="X36" s="31"/>
      <c r="Y36" s="31"/>
      <c r="Z36" s="31"/>
      <c r="AA36" s="2"/>
      <c r="AB36" s="31"/>
      <c r="AC36" s="31"/>
      <c r="AD36" s="31"/>
      <c r="AE36" s="37"/>
      <c r="AF36" s="37"/>
      <c r="AG36" s="37"/>
    </row>
    <row r="37" spans="1:33" ht="15.75" customHeight="1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6"/>
      <c r="V37" s="1"/>
      <c r="W37" s="31"/>
      <c r="X37" s="31"/>
      <c r="Y37" s="31"/>
      <c r="Z37" s="31"/>
      <c r="AA37" s="2"/>
      <c r="AB37" s="31"/>
      <c r="AC37" s="31"/>
      <c r="AD37" s="31"/>
      <c r="AE37" s="37"/>
      <c r="AF37" s="37"/>
      <c r="AG37" s="37"/>
    </row>
    <row r="38" spans="1:33" ht="15.75" customHeight="1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6"/>
      <c r="V38" s="1"/>
      <c r="W38" s="31"/>
      <c r="X38" s="31"/>
      <c r="Y38" s="31"/>
      <c r="Z38" s="31"/>
      <c r="AA38" s="2"/>
      <c r="AB38" s="31"/>
      <c r="AC38" s="31"/>
      <c r="AD38" s="31"/>
      <c r="AE38" s="37"/>
      <c r="AF38" s="37"/>
      <c r="AG38" s="37"/>
    </row>
    <row r="39" spans="1:33" ht="15.75" customHeight="1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6"/>
      <c r="V39" s="1"/>
      <c r="W39" s="31"/>
      <c r="X39" s="31"/>
      <c r="Y39" s="31"/>
      <c r="Z39" s="31"/>
      <c r="AA39" s="2"/>
      <c r="AB39" s="31"/>
      <c r="AC39" s="31"/>
      <c r="AD39" s="31"/>
      <c r="AE39" s="37"/>
      <c r="AF39" s="37"/>
      <c r="AG39" s="37"/>
    </row>
    <row r="40" spans="1:33" ht="15.75" customHeight="1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6"/>
      <c r="V40" s="1"/>
      <c r="W40" s="31"/>
      <c r="X40" s="31"/>
      <c r="Y40" s="31"/>
      <c r="Z40" s="31"/>
      <c r="AA40" s="2"/>
      <c r="AB40" s="31"/>
      <c r="AC40" s="31"/>
      <c r="AD40" s="31"/>
      <c r="AE40" s="37"/>
      <c r="AF40" s="37"/>
      <c r="AG40" s="37"/>
    </row>
    <row r="41" spans="1:33" ht="15.75" customHeight="1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6"/>
      <c r="V41" s="1"/>
      <c r="W41" s="31"/>
      <c r="X41" s="31"/>
      <c r="Y41" s="31"/>
      <c r="Z41" s="31"/>
      <c r="AA41" s="2"/>
      <c r="AB41" s="31"/>
      <c r="AC41" s="31"/>
      <c r="AD41" s="31"/>
      <c r="AE41" s="37"/>
      <c r="AF41" s="37"/>
      <c r="AG41" s="37"/>
    </row>
    <row r="42" spans="1:33" ht="15.75" customHeight="1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6"/>
      <c r="V42" s="1"/>
      <c r="W42" s="31"/>
      <c r="X42" s="31"/>
      <c r="Y42" s="31"/>
      <c r="Z42" s="31"/>
      <c r="AA42" s="2"/>
      <c r="AB42" s="31"/>
      <c r="AC42" s="31"/>
      <c r="AD42" s="31"/>
      <c r="AE42" s="37"/>
      <c r="AF42" s="37"/>
      <c r="AG42" s="37"/>
    </row>
    <row r="43" spans="1:33" ht="15.75" customHeight="1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6"/>
      <c r="V43" s="1"/>
      <c r="W43" s="31"/>
      <c r="X43" s="31"/>
      <c r="Y43" s="31"/>
      <c r="Z43" s="31"/>
      <c r="AA43" s="2"/>
      <c r="AB43" s="31"/>
      <c r="AC43" s="31"/>
      <c r="AD43" s="31"/>
      <c r="AE43" s="37"/>
      <c r="AF43" s="37"/>
      <c r="AG43" s="37"/>
    </row>
    <row r="44" spans="1:33" ht="15.75" customHeight="1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6"/>
      <c r="V44" s="1"/>
      <c r="W44" s="31"/>
      <c r="X44" s="31"/>
      <c r="Y44" s="31"/>
      <c r="Z44" s="31"/>
      <c r="AA44" s="2"/>
      <c r="AB44" s="31"/>
      <c r="AC44" s="31"/>
      <c r="AD44" s="31"/>
      <c r="AE44" s="37"/>
      <c r="AF44" s="37"/>
      <c r="AG44" s="37"/>
    </row>
    <row r="45" spans="1:33" ht="15.75" customHeight="1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6"/>
      <c r="V45" s="1"/>
      <c r="W45" s="31"/>
      <c r="X45" s="31"/>
      <c r="Y45" s="31"/>
      <c r="Z45" s="31"/>
      <c r="AA45" s="2"/>
      <c r="AB45" s="31"/>
      <c r="AC45" s="31"/>
      <c r="AD45" s="31"/>
      <c r="AE45" s="37"/>
      <c r="AF45" s="37"/>
      <c r="AG45" s="37"/>
    </row>
    <row r="46" spans="1:33" ht="15.75" customHeight="1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6"/>
      <c r="V46" s="1"/>
      <c r="W46" s="31"/>
      <c r="X46" s="31"/>
      <c r="Y46" s="31"/>
      <c r="Z46" s="31"/>
      <c r="AA46" s="2"/>
      <c r="AB46" s="31"/>
      <c r="AC46" s="31"/>
      <c r="AD46" s="31"/>
      <c r="AE46" s="37"/>
      <c r="AF46" s="37"/>
      <c r="AG46" s="37"/>
    </row>
    <row r="47" spans="1:33" ht="15.75" customHeight="1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6"/>
      <c r="V47" s="1"/>
      <c r="W47" s="31"/>
      <c r="X47" s="31"/>
      <c r="Y47" s="31"/>
      <c r="Z47" s="31"/>
      <c r="AA47" s="2"/>
      <c r="AB47" s="31"/>
      <c r="AC47" s="31"/>
      <c r="AD47" s="31"/>
      <c r="AE47" s="37"/>
      <c r="AF47" s="37"/>
      <c r="AG47" s="37"/>
    </row>
    <row r="48" spans="1:33" ht="15.75" customHeight="1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6"/>
      <c r="V48" s="1"/>
      <c r="W48" s="31"/>
      <c r="X48" s="31"/>
      <c r="Y48" s="31"/>
      <c r="Z48" s="31"/>
      <c r="AA48" s="2"/>
      <c r="AB48" s="31"/>
      <c r="AC48" s="31"/>
      <c r="AD48" s="31"/>
      <c r="AE48" s="37"/>
      <c r="AF48" s="37"/>
      <c r="AG48" s="37"/>
    </row>
    <row r="49" spans="1:33" ht="15.75" customHeight="1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6"/>
      <c r="V49" s="1"/>
      <c r="W49" s="31"/>
      <c r="X49" s="31"/>
      <c r="Y49" s="31"/>
      <c r="Z49" s="31"/>
      <c r="AA49" s="2"/>
      <c r="AB49" s="31"/>
      <c r="AC49" s="31"/>
      <c r="AD49" s="31"/>
      <c r="AE49" s="37"/>
      <c r="AF49" s="37"/>
      <c r="AG49" s="37"/>
    </row>
    <row r="50" spans="1:33" ht="15.75" customHeight="1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6"/>
      <c r="V50" s="1"/>
      <c r="W50" s="31"/>
      <c r="X50" s="31"/>
      <c r="Y50" s="31"/>
      <c r="Z50" s="31"/>
      <c r="AA50" s="2"/>
      <c r="AB50" s="31"/>
      <c r="AC50" s="31"/>
      <c r="AD50" s="31"/>
      <c r="AE50" s="37"/>
      <c r="AF50" s="37"/>
      <c r="AG50" s="37"/>
    </row>
    <row r="51" spans="1:33" ht="15.75" customHeight="1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6"/>
      <c r="V51" s="1"/>
      <c r="W51" s="31"/>
      <c r="X51" s="31"/>
      <c r="Y51" s="31"/>
      <c r="Z51" s="31"/>
      <c r="AA51" s="2"/>
      <c r="AB51" s="31"/>
      <c r="AC51" s="31"/>
      <c r="AD51" s="31"/>
      <c r="AE51" s="37"/>
      <c r="AF51" s="37"/>
      <c r="AG51" s="37"/>
    </row>
    <row r="52" spans="1:33" ht="15.75" customHeight="1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6"/>
      <c r="V52" s="1"/>
      <c r="W52" s="31"/>
      <c r="X52" s="31"/>
      <c r="Y52" s="31"/>
      <c r="Z52" s="31"/>
      <c r="AA52" s="2"/>
      <c r="AB52" s="31"/>
      <c r="AC52" s="31"/>
      <c r="AD52" s="31"/>
      <c r="AE52" s="37"/>
      <c r="AF52" s="37"/>
      <c r="AG52" s="37"/>
    </row>
    <row r="53" spans="1:33" ht="15.75" customHeight="1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6"/>
      <c r="V53" s="1"/>
      <c r="W53" s="31"/>
      <c r="X53" s="31"/>
      <c r="Y53" s="31"/>
      <c r="Z53" s="31"/>
      <c r="AA53" s="2"/>
      <c r="AB53" s="31"/>
      <c r="AC53" s="31"/>
      <c r="AD53" s="31"/>
      <c r="AE53" s="37"/>
      <c r="AF53" s="37"/>
      <c r="AG53" s="37"/>
    </row>
    <row r="54" spans="1:33" ht="15.75" customHeight="1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6"/>
      <c r="V54" s="1"/>
      <c r="W54" s="31"/>
      <c r="X54" s="31"/>
      <c r="Y54" s="31"/>
      <c r="Z54" s="31"/>
      <c r="AA54" s="2"/>
      <c r="AB54" s="31"/>
      <c r="AC54" s="31"/>
      <c r="AD54" s="31"/>
      <c r="AE54" s="37"/>
      <c r="AF54" s="37"/>
      <c r="AG54" s="37"/>
    </row>
    <row r="55" spans="1:33" ht="15.75" customHeight="1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6"/>
      <c r="V55" s="1"/>
      <c r="W55" s="31"/>
      <c r="X55" s="31"/>
      <c r="Y55" s="31"/>
      <c r="Z55" s="31"/>
      <c r="AA55" s="2"/>
      <c r="AB55" s="31"/>
      <c r="AC55" s="31"/>
      <c r="AD55" s="31"/>
      <c r="AE55" s="37"/>
      <c r="AF55" s="37"/>
      <c r="AG55" s="37"/>
    </row>
    <row r="56" spans="1:33" ht="15.75" customHeight="1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6"/>
      <c r="V56" s="1"/>
      <c r="W56" s="31"/>
      <c r="X56" s="31"/>
      <c r="Y56" s="31"/>
      <c r="Z56" s="31"/>
      <c r="AA56" s="2"/>
      <c r="AB56" s="31"/>
      <c r="AC56" s="31"/>
      <c r="AD56" s="31"/>
      <c r="AE56" s="37"/>
      <c r="AF56" s="37"/>
      <c r="AG56" s="37"/>
    </row>
    <row r="57" spans="1:33" ht="15.75" customHeight="1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6"/>
      <c r="V57" s="1"/>
      <c r="W57" s="31"/>
      <c r="X57" s="31"/>
      <c r="Y57" s="31"/>
      <c r="Z57" s="31"/>
      <c r="AA57" s="2"/>
      <c r="AB57" s="31"/>
      <c r="AC57" s="31"/>
      <c r="AD57" s="31"/>
      <c r="AE57" s="37"/>
      <c r="AF57" s="37"/>
      <c r="AG57" s="37"/>
    </row>
    <row r="58" spans="1:33" ht="15.75" customHeight="1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6"/>
      <c r="V58" s="1"/>
      <c r="W58" s="31"/>
      <c r="X58" s="31"/>
      <c r="Y58" s="31"/>
      <c r="Z58" s="31"/>
      <c r="AA58" s="2"/>
      <c r="AB58" s="31"/>
      <c r="AC58" s="31"/>
      <c r="AD58" s="31"/>
      <c r="AE58" s="37"/>
      <c r="AF58" s="37"/>
      <c r="AG58" s="37"/>
    </row>
    <row r="59" spans="1:33" ht="15.75" customHeight="1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6"/>
      <c r="V59" s="1"/>
      <c r="W59" s="31"/>
      <c r="X59" s="31"/>
      <c r="Y59" s="31"/>
      <c r="Z59" s="31"/>
      <c r="AA59" s="2"/>
      <c r="AB59" s="31"/>
      <c r="AC59" s="31"/>
      <c r="AD59" s="31"/>
      <c r="AE59" s="37"/>
      <c r="AF59" s="37"/>
      <c r="AG59" s="37"/>
    </row>
    <row r="60" spans="1:33" ht="15.75" customHeight="1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6"/>
      <c r="V60" s="1"/>
      <c r="W60" s="31"/>
      <c r="X60" s="31"/>
      <c r="Y60" s="31"/>
      <c r="Z60" s="31"/>
      <c r="AA60" s="2"/>
      <c r="AB60" s="31"/>
      <c r="AC60" s="31"/>
      <c r="AD60" s="31"/>
      <c r="AE60" s="37"/>
      <c r="AF60" s="37"/>
      <c r="AG60" s="37"/>
    </row>
    <row r="61" spans="1:33" ht="15.75" customHeight="1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6"/>
      <c r="V61" s="1"/>
      <c r="W61" s="31"/>
      <c r="X61" s="31"/>
      <c r="Y61" s="31"/>
      <c r="Z61" s="31"/>
      <c r="AA61" s="2"/>
      <c r="AB61" s="31"/>
      <c r="AC61" s="31"/>
      <c r="AD61" s="31"/>
      <c r="AE61" s="37"/>
      <c r="AF61" s="37"/>
      <c r="AG61" s="37"/>
    </row>
    <row r="62" spans="1:33" ht="15.75" customHeight="1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6"/>
      <c r="V62" s="1"/>
      <c r="W62" s="31"/>
      <c r="X62" s="31"/>
      <c r="Y62" s="31"/>
      <c r="Z62" s="31"/>
      <c r="AA62" s="2"/>
      <c r="AB62" s="31"/>
      <c r="AC62" s="31"/>
      <c r="AD62" s="31"/>
      <c r="AE62" s="37"/>
      <c r="AF62" s="37"/>
      <c r="AG62" s="37"/>
    </row>
    <row r="63" spans="1:33" ht="15.75" customHeight="1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6"/>
      <c r="V63" s="1"/>
      <c r="W63" s="31"/>
      <c r="X63" s="31"/>
      <c r="Y63" s="31"/>
      <c r="Z63" s="31"/>
      <c r="AA63" s="2"/>
      <c r="AB63" s="31"/>
      <c r="AC63" s="31"/>
      <c r="AD63" s="31"/>
      <c r="AE63" s="37"/>
      <c r="AF63" s="37"/>
      <c r="AG63" s="37"/>
    </row>
    <row r="64" spans="1:33" ht="15.75" customHeight="1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6"/>
      <c r="V64" s="1"/>
      <c r="W64" s="31"/>
      <c r="X64" s="31"/>
      <c r="Y64" s="31"/>
      <c r="Z64" s="31"/>
      <c r="AA64" s="2"/>
      <c r="AB64" s="31"/>
      <c r="AC64" s="31"/>
      <c r="AD64" s="31"/>
      <c r="AE64" s="37"/>
      <c r="AF64" s="37"/>
      <c r="AG64" s="37"/>
    </row>
    <row r="65" spans="1:33" ht="15.75" customHeight="1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6"/>
      <c r="V65" s="1"/>
      <c r="W65" s="31"/>
      <c r="X65" s="31"/>
      <c r="Y65" s="31"/>
      <c r="Z65" s="31"/>
      <c r="AA65" s="2"/>
      <c r="AB65" s="31"/>
      <c r="AC65" s="31"/>
      <c r="AD65" s="31"/>
      <c r="AE65" s="37"/>
      <c r="AF65" s="37"/>
      <c r="AG65" s="37"/>
    </row>
    <row r="66" spans="1:33" ht="15.75" customHeight="1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6"/>
      <c r="V66" s="1"/>
      <c r="W66" s="31"/>
      <c r="X66" s="31"/>
      <c r="Y66" s="31"/>
      <c r="Z66" s="31"/>
      <c r="AA66" s="2"/>
      <c r="AB66" s="31"/>
      <c r="AC66" s="31"/>
      <c r="AD66" s="31"/>
      <c r="AE66" s="37"/>
      <c r="AF66" s="37"/>
      <c r="AG66" s="37"/>
    </row>
    <row r="67" spans="1:33" ht="15.75" customHeight="1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6"/>
      <c r="V67" s="1"/>
      <c r="W67" s="31"/>
      <c r="X67" s="31"/>
      <c r="Y67" s="31"/>
      <c r="Z67" s="31"/>
      <c r="AA67" s="2"/>
      <c r="AB67" s="31"/>
      <c r="AC67" s="31"/>
      <c r="AD67" s="31"/>
      <c r="AE67" s="37"/>
      <c r="AF67" s="37"/>
      <c r="AG67" s="37"/>
    </row>
    <row r="68" spans="1:33" ht="15.75" customHeight="1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6"/>
      <c r="V68" s="1"/>
      <c r="W68" s="31"/>
      <c r="X68" s="31"/>
      <c r="Y68" s="31"/>
      <c r="Z68" s="31"/>
      <c r="AA68" s="2"/>
      <c r="AB68" s="31"/>
      <c r="AC68" s="31"/>
      <c r="AD68" s="31"/>
      <c r="AE68" s="37"/>
      <c r="AF68" s="37"/>
      <c r="AG68" s="37"/>
    </row>
    <row r="69" spans="1:33" ht="15.75" customHeight="1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6"/>
      <c r="V69" s="1"/>
      <c r="W69" s="31"/>
      <c r="X69" s="31"/>
      <c r="Y69" s="31"/>
      <c r="Z69" s="31"/>
      <c r="AA69" s="2"/>
      <c r="AB69" s="31"/>
      <c r="AC69" s="31"/>
      <c r="AD69" s="31"/>
      <c r="AE69" s="37"/>
      <c r="AF69" s="37"/>
      <c r="AG69" s="37"/>
    </row>
    <row r="70" spans="1:33" ht="15.75" customHeight="1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6"/>
      <c r="V70" s="1"/>
      <c r="W70" s="31"/>
      <c r="X70" s="31"/>
      <c r="Y70" s="31"/>
      <c r="Z70" s="31"/>
      <c r="AA70" s="2"/>
      <c r="AB70" s="31"/>
      <c r="AC70" s="31"/>
      <c r="AD70" s="31"/>
      <c r="AE70" s="37"/>
      <c r="AF70" s="37"/>
      <c r="AG70" s="37"/>
    </row>
    <row r="71" spans="1:33" ht="15.75" customHeight="1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6"/>
      <c r="V71" s="1"/>
      <c r="W71" s="31"/>
      <c r="X71" s="31"/>
      <c r="Y71" s="31"/>
      <c r="Z71" s="31"/>
      <c r="AA71" s="2"/>
      <c r="AB71" s="31"/>
      <c r="AC71" s="31"/>
      <c r="AD71" s="31"/>
      <c r="AE71" s="37"/>
      <c r="AF71" s="37"/>
      <c r="AG71" s="37"/>
    </row>
    <row r="72" spans="1:33" ht="15.75" customHeight="1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6"/>
      <c r="V72" s="1"/>
      <c r="W72" s="31"/>
      <c r="X72" s="31"/>
      <c r="Y72" s="31"/>
      <c r="Z72" s="31"/>
      <c r="AA72" s="2"/>
      <c r="AB72" s="31"/>
      <c r="AC72" s="31"/>
      <c r="AD72" s="31"/>
      <c r="AE72" s="37"/>
      <c r="AF72" s="37"/>
      <c r="AG72" s="37"/>
    </row>
    <row r="73" spans="1:33" ht="15.75" customHeight="1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6"/>
      <c r="V73" s="1"/>
      <c r="W73" s="31"/>
      <c r="X73" s="31"/>
      <c r="Y73" s="31"/>
      <c r="Z73" s="31"/>
      <c r="AA73" s="2"/>
      <c r="AB73" s="31"/>
      <c r="AC73" s="31"/>
      <c r="AD73" s="31"/>
      <c r="AE73" s="37"/>
      <c r="AF73" s="37"/>
      <c r="AG73" s="37"/>
    </row>
    <row r="74" spans="1:33" ht="15.75" customHeight="1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6"/>
      <c r="V74" s="1"/>
      <c r="W74" s="31"/>
      <c r="X74" s="31"/>
      <c r="Y74" s="31"/>
      <c r="Z74" s="31"/>
      <c r="AA74" s="2"/>
      <c r="AB74" s="31"/>
      <c r="AC74" s="31"/>
      <c r="AD74" s="31"/>
      <c r="AE74" s="37"/>
      <c r="AF74" s="37"/>
      <c r="AG74" s="37"/>
    </row>
    <row r="75" spans="1:33" ht="15.75" customHeight="1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6"/>
      <c r="V75" s="1"/>
      <c r="W75" s="31"/>
      <c r="X75" s="31"/>
      <c r="Y75" s="31"/>
      <c r="Z75" s="31"/>
      <c r="AA75" s="2"/>
      <c r="AB75" s="31"/>
      <c r="AC75" s="31"/>
      <c r="AD75" s="31"/>
      <c r="AE75" s="37"/>
      <c r="AF75" s="37"/>
      <c r="AG75" s="37"/>
    </row>
    <row r="76" spans="1:33" ht="15.75" customHeight="1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6"/>
      <c r="V76" s="1"/>
      <c r="W76" s="31"/>
      <c r="X76" s="31"/>
      <c r="Y76" s="31"/>
      <c r="Z76" s="31"/>
      <c r="AA76" s="2"/>
      <c r="AB76" s="31"/>
      <c r="AC76" s="31"/>
      <c r="AD76" s="31"/>
      <c r="AE76" s="37"/>
      <c r="AF76" s="37"/>
      <c r="AG76" s="37"/>
    </row>
    <row r="77" spans="1:33" ht="15.75" customHeight="1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6"/>
      <c r="V77" s="1"/>
      <c r="W77" s="31"/>
      <c r="X77" s="31"/>
      <c r="Y77" s="31"/>
      <c r="Z77" s="31"/>
      <c r="AA77" s="2"/>
      <c r="AB77" s="31"/>
      <c r="AC77" s="31"/>
      <c r="AD77" s="31"/>
      <c r="AE77" s="37"/>
      <c r="AF77" s="37"/>
      <c r="AG77" s="37"/>
    </row>
    <row r="78" spans="1:33" ht="15.75" customHeight="1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6"/>
      <c r="V78" s="1"/>
      <c r="W78" s="31"/>
      <c r="X78" s="31"/>
      <c r="Y78" s="31"/>
      <c r="Z78" s="31"/>
      <c r="AA78" s="2"/>
      <c r="AB78" s="31"/>
      <c r="AC78" s="31"/>
      <c r="AD78" s="31"/>
      <c r="AE78" s="37"/>
      <c r="AF78" s="37"/>
      <c r="AG78" s="37"/>
    </row>
    <row r="79" spans="1:33" ht="15.75" customHeight="1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6"/>
      <c r="V79" s="1"/>
      <c r="W79" s="31"/>
      <c r="X79" s="31"/>
      <c r="Y79" s="31"/>
      <c r="Z79" s="31"/>
      <c r="AA79" s="2"/>
      <c r="AB79" s="31"/>
      <c r="AC79" s="31"/>
      <c r="AD79" s="31"/>
      <c r="AE79" s="37"/>
      <c r="AF79" s="37"/>
      <c r="AG79" s="37"/>
    </row>
    <row r="80" spans="1:33" ht="15.75" customHeight="1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6"/>
      <c r="V80" s="1"/>
      <c r="W80" s="31"/>
      <c r="X80" s="31"/>
      <c r="Y80" s="31"/>
      <c r="Z80" s="31"/>
      <c r="AA80" s="2"/>
      <c r="AB80" s="31"/>
      <c r="AC80" s="31"/>
      <c r="AD80" s="31"/>
      <c r="AE80" s="37"/>
      <c r="AF80" s="37"/>
      <c r="AG80" s="37"/>
    </row>
    <row r="81" spans="1:33" ht="15.75" customHeight="1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6"/>
      <c r="V81" s="1"/>
      <c r="W81" s="31"/>
      <c r="X81" s="31"/>
      <c r="Y81" s="31"/>
      <c r="Z81" s="31"/>
      <c r="AA81" s="2"/>
      <c r="AB81" s="31"/>
      <c r="AC81" s="31"/>
      <c r="AD81" s="31"/>
      <c r="AE81" s="37"/>
      <c r="AF81" s="37"/>
      <c r="AG81" s="37"/>
    </row>
    <row r="82" spans="1:33" ht="15.75" customHeight="1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6"/>
      <c r="V82" s="1"/>
      <c r="W82" s="31"/>
      <c r="X82" s="31"/>
      <c r="Y82" s="31"/>
      <c r="Z82" s="31"/>
      <c r="AA82" s="2"/>
      <c r="AB82" s="31"/>
      <c r="AC82" s="31"/>
      <c r="AD82" s="31"/>
      <c r="AE82" s="37"/>
      <c r="AF82" s="37"/>
      <c r="AG82" s="37"/>
    </row>
    <row r="83" spans="1:33" ht="15.75" customHeight="1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6"/>
      <c r="V83" s="1"/>
      <c r="W83" s="31"/>
      <c r="X83" s="31"/>
      <c r="Y83" s="31"/>
      <c r="Z83" s="31"/>
      <c r="AA83" s="2"/>
      <c r="AB83" s="31"/>
      <c r="AC83" s="31"/>
      <c r="AD83" s="31"/>
      <c r="AE83" s="37"/>
      <c r="AF83" s="37"/>
      <c r="AG83" s="37"/>
    </row>
    <row r="84" spans="1:33" ht="15.75" customHeight="1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6"/>
      <c r="V84" s="1"/>
      <c r="W84" s="31"/>
      <c r="X84" s="31"/>
      <c r="Y84" s="31"/>
      <c r="Z84" s="31"/>
      <c r="AA84" s="2"/>
      <c r="AB84" s="31"/>
      <c r="AC84" s="31"/>
      <c r="AD84" s="31"/>
      <c r="AE84" s="37"/>
      <c r="AF84" s="37"/>
      <c r="AG84" s="37"/>
    </row>
    <row r="85" spans="1:33" ht="15.75" customHeight="1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6"/>
      <c r="V85" s="1"/>
      <c r="W85" s="31"/>
      <c r="X85" s="31"/>
      <c r="Y85" s="31"/>
      <c r="Z85" s="31"/>
      <c r="AA85" s="2"/>
      <c r="AB85" s="31"/>
      <c r="AC85" s="31"/>
      <c r="AD85" s="31"/>
      <c r="AE85" s="37"/>
      <c r="AF85" s="37"/>
      <c r="AG85" s="37"/>
    </row>
    <row r="86" spans="1:33" ht="15.75" customHeight="1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6"/>
      <c r="V86" s="1"/>
      <c r="W86" s="31"/>
      <c r="X86" s="31"/>
      <c r="Y86" s="31"/>
      <c r="Z86" s="31"/>
      <c r="AA86" s="2"/>
      <c r="AB86" s="31"/>
      <c r="AC86" s="31"/>
      <c r="AD86" s="31"/>
      <c r="AE86" s="37"/>
      <c r="AF86" s="37"/>
      <c r="AG86" s="37"/>
    </row>
    <row r="87" spans="1:33" ht="15.75" customHeight="1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6"/>
      <c r="V87" s="1"/>
      <c r="W87" s="31"/>
      <c r="X87" s="31"/>
      <c r="Y87" s="31"/>
      <c r="Z87" s="31"/>
      <c r="AA87" s="2"/>
      <c r="AB87" s="31"/>
      <c r="AC87" s="31"/>
      <c r="AD87" s="31"/>
      <c r="AE87" s="37"/>
      <c r="AF87" s="37"/>
      <c r="AG87" s="37"/>
    </row>
    <row r="88" spans="1:33" ht="15.75" customHeight="1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6"/>
      <c r="V88" s="1"/>
      <c r="W88" s="31"/>
      <c r="X88" s="31"/>
      <c r="Y88" s="31"/>
      <c r="Z88" s="31"/>
      <c r="AA88" s="2"/>
      <c r="AB88" s="31"/>
      <c r="AC88" s="31"/>
      <c r="AD88" s="31"/>
      <c r="AE88" s="37"/>
      <c r="AF88" s="37"/>
      <c r="AG88" s="37"/>
    </row>
    <row r="89" spans="1:33" ht="15.75" customHeight="1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6"/>
      <c r="V89" s="1"/>
      <c r="W89" s="31"/>
      <c r="X89" s="31"/>
      <c r="Y89" s="31"/>
      <c r="Z89" s="31"/>
      <c r="AA89" s="2"/>
      <c r="AB89" s="31"/>
      <c r="AC89" s="31"/>
      <c r="AD89" s="31"/>
      <c r="AE89" s="37"/>
      <c r="AF89" s="37"/>
      <c r="AG89" s="37"/>
    </row>
    <row r="90" spans="1:33" ht="15.75" customHeight="1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6"/>
      <c r="V90" s="1"/>
      <c r="W90" s="31"/>
      <c r="X90" s="31"/>
      <c r="Y90" s="31"/>
      <c r="Z90" s="31"/>
      <c r="AA90" s="2"/>
      <c r="AB90" s="31"/>
      <c r="AC90" s="31"/>
      <c r="AD90" s="31"/>
      <c r="AE90" s="37"/>
      <c r="AF90" s="37"/>
      <c r="AG90" s="37"/>
    </row>
    <row r="91" spans="1:33" ht="15.75" customHeight="1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6"/>
      <c r="V91" s="1"/>
      <c r="W91" s="31"/>
      <c r="X91" s="31"/>
      <c r="Y91" s="31"/>
      <c r="Z91" s="31"/>
      <c r="AA91" s="2"/>
      <c r="AB91" s="31"/>
      <c r="AC91" s="31"/>
      <c r="AD91" s="31"/>
      <c r="AE91" s="37"/>
      <c r="AF91" s="37"/>
      <c r="AG91" s="37"/>
    </row>
    <row r="92" spans="1:33" ht="15.75" customHeight="1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6"/>
      <c r="V92" s="1"/>
      <c r="W92" s="31"/>
      <c r="X92" s="31"/>
      <c r="Y92" s="31"/>
      <c r="Z92" s="31"/>
      <c r="AA92" s="2"/>
      <c r="AB92" s="31"/>
      <c r="AC92" s="31"/>
      <c r="AD92" s="31"/>
      <c r="AE92" s="37"/>
      <c r="AF92" s="37"/>
      <c r="AG92" s="37"/>
    </row>
    <row r="93" spans="1:33" ht="15.75" customHeight="1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6"/>
      <c r="V93" s="1"/>
      <c r="W93" s="31"/>
      <c r="X93" s="31"/>
      <c r="Y93" s="31"/>
      <c r="Z93" s="31"/>
      <c r="AA93" s="2"/>
      <c r="AB93" s="31"/>
      <c r="AC93" s="31"/>
      <c r="AD93" s="31"/>
      <c r="AE93" s="37"/>
      <c r="AF93" s="37"/>
      <c r="AG93" s="37"/>
    </row>
    <row r="94" spans="1:33" ht="15.75" customHeight="1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6"/>
      <c r="V94" s="1"/>
      <c r="W94" s="31"/>
      <c r="X94" s="31"/>
      <c r="Y94" s="31"/>
      <c r="Z94" s="31"/>
      <c r="AA94" s="2"/>
      <c r="AB94" s="31"/>
      <c r="AC94" s="31"/>
      <c r="AD94" s="31"/>
      <c r="AE94" s="37"/>
      <c r="AF94" s="37"/>
      <c r="AG94" s="37"/>
    </row>
    <row r="95" spans="1:33" ht="15.75" customHeight="1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6"/>
      <c r="V95" s="1"/>
      <c r="W95" s="31"/>
      <c r="X95" s="31"/>
      <c r="Y95" s="31"/>
      <c r="Z95" s="31"/>
      <c r="AA95" s="2"/>
      <c r="AB95" s="31"/>
      <c r="AC95" s="31"/>
      <c r="AD95" s="31"/>
      <c r="AE95" s="37"/>
      <c r="AF95" s="37"/>
      <c r="AG95" s="37"/>
    </row>
    <row r="96" spans="1:33" ht="15.75" customHeight="1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6"/>
      <c r="V96" s="1"/>
      <c r="W96" s="31"/>
      <c r="X96" s="31"/>
      <c r="Y96" s="31"/>
      <c r="Z96" s="31"/>
      <c r="AA96" s="2"/>
      <c r="AB96" s="31"/>
      <c r="AC96" s="31"/>
      <c r="AD96" s="31"/>
      <c r="AE96" s="37"/>
      <c r="AF96" s="37"/>
      <c r="AG96" s="37"/>
    </row>
    <row r="97" spans="1:33" ht="15.75" customHeight="1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8"/>
      <c r="R97" s="38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8"/>
      <c r="R98" s="38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8"/>
      <c r="R99" s="38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8"/>
      <c r="R100" s="38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8"/>
      <c r="R101" s="38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8"/>
      <c r="R102" s="38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8"/>
      <c r="R103" s="38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8"/>
      <c r="R104" s="38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8"/>
      <c r="R105" s="38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8"/>
      <c r="R106" s="38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8"/>
      <c r="R107" s="38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8"/>
      <c r="R108" s="38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8"/>
      <c r="R109" s="38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8"/>
      <c r="R110" s="38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8"/>
      <c r="R111" s="38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8"/>
      <c r="R112" s="38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8"/>
      <c r="R113" s="38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8"/>
      <c r="R114" s="38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>
      <c r="A115" s="31"/>
      <c r="B115" s="31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>
      <c r="A116" s="31"/>
      <c r="B116" s="31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>
      <c r="A117" s="31"/>
      <c r="B117" s="31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>
      <c r="A118" s="31"/>
      <c r="B118" s="31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>
      <c r="A119" s="31"/>
      <c r="B119" s="31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>
      <c r="A120" s="31"/>
      <c r="B120" s="31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>
      <c r="A121" s="31"/>
      <c r="B121" s="31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>
      <c r="A122" s="31"/>
      <c r="B122" s="31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>
      <c r="A123" s="31"/>
      <c r="B123" s="31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>
      <c r="A124" s="31"/>
      <c r="B124" s="31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>
      <c r="A125" s="31"/>
      <c r="B125" s="31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>
      <c r="A126" s="31"/>
      <c r="B126" s="31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>
      <c r="A127" s="31"/>
      <c r="B127" s="31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>
      <c r="A128" s="31"/>
      <c r="B128" s="31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>
      <c r="A129" s="31"/>
      <c r="B129" s="31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>
      <c r="A130" s="31"/>
      <c r="B130" s="31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>
      <c r="A131" s="31"/>
      <c r="B131" s="31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>
      <c r="A132" s="31"/>
      <c r="B132" s="31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>
      <c r="A133" s="31"/>
      <c r="B133" s="31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>
      <c r="A134" s="31"/>
      <c r="B134" s="31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>
      <c r="A135" s="31"/>
      <c r="B135" s="31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>
      <c r="A136" s="31"/>
      <c r="B136" s="31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>
      <c r="A137" s="31"/>
      <c r="B137" s="31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>
      <c r="A138" s="31"/>
      <c r="B138" s="31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>
      <c r="A139" s="31"/>
      <c r="B139" s="31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>
      <c r="A140" s="31"/>
      <c r="B140" s="31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>
      <c r="A141" s="31"/>
      <c r="B141" s="31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2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>
      <c r="A142" s="31"/>
      <c r="B142" s="31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2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>
      <c r="A143" s="31"/>
      <c r="B143" s="31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2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>
      <c r="A144" s="31"/>
      <c r="B144" s="31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2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>
      <c r="A145" s="31"/>
      <c r="B145" s="31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2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>
      <c r="A146" s="31"/>
      <c r="B146" s="31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2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>
      <c r="A147" s="31"/>
      <c r="B147" s="31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2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>
      <c r="A148" s="31"/>
      <c r="B148" s="31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2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</row>
    <row r="149" spans="1:33" ht="15.75" customHeight="1">
      <c r="A149" s="14"/>
      <c r="B149" s="14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>
      <c r="A150" s="14"/>
      <c r="B150" s="14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>
      <c r="A151" s="14"/>
      <c r="B151" s="14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>
      <c r="A152" s="14"/>
      <c r="B152" s="14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>
      <c r="A153" s="14"/>
      <c r="B153" s="14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>
      <c r="A154" s="14"/>
      <c r="B154" s="14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>
      <c r="A155" s="14"/>
      <c r="B155" s="14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>
      <c r="A156" s="14"/>
      <c r="B156" s="14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>
      <c r="A157" s="14"/>
      <c r="B157" s="14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>
      <c r="A158" s="14"/>
      <c r="B158" s="14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>
      <c r="A159" s="14"/>
      <c r="B159" s="14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>
      <c r="A160" s="14"/>
      <c r="B160" s="14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>
      <c r="A161" s="14"/>
      <c r="B161" s="14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>
      <c r="A162" s="14"/>
      <c r="B162" s="14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>
      <c r="A163" s="14"/>
      <c r="B163" s="14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>
      <c r="A164" s="14"/>
      <c r="B164" s="14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>
      <c r="A165" s="14"/>
      <c r="B165" s="14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>
      <c r="A166" s="14"/>
      <c r="B166" s="14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>
      <c r="A167" s="14"/>
      <c r="B167" s="14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>
      <c r="A168" s="14"/>
      <c r="B168" s="14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>
      <c r="A169" s="14"/>
      <c r="B169" s="14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>
      <c r="A170" s="14"/>
      <c r="B170" s="14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>
      <c r="A171" s="14"/>
      <c r="B171" s="14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>
      <c r="A172" s="14"/>
      <c r="B172" s="14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>
      <c r="A173" s="14"/>
      <c r="B173" s="14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>
      <c r="A174" s="14"/>
      <c r="B174" s="14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>
      <c r="A175" s="14"/>
      <c r="B175" s="14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>
      <c r="A176" s="14"/>
      <c r="B176" s="14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>
      <c r="A177" s="14"/>
      <c r="B177" s="14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>
      <c r="A178" s="14"/>
      <c r="B178" s="14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>
      <c r="A179" s="14"/>
      <c r="B179" s="14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>
      <c r="A180" s="14"/>
      <c r="B180" s="14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>
      <c r="A181" s="14"/>
      <c r="B181" s="14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>
      <c r="A182" s="14"/>
      <c r="B182" s="14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>
      <c r="A183" s="14"/>
      <c r="B183" s="14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>
      <c r="A184" s="14"/>
      <c r="B184" s="14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>
      <c r="A185" s="14"/>
      <c r="B185" s="14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>
      <c r="A186" s="14"/>
      <c r="B186" s="14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>
      <c r="A187" s="14"/>
      <c r="B187" s="14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>
      <c r="A188" s="14"/>
      <c r="B188" s="14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>
      <c r="A189" s="14"/>
      <c r="B189" s="14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>
      <c r="A190" s="14"/>
      <c r="B190" s="14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>
      <c r="A191" s="14"/>
      <c r="B191" s="14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>
      <c r="A192" s="14"/>
      <c r="B192" s="14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>
      <c r="A193" s="14"/>
      <c r="B193" s="14"/>
      <c r="C193" s="39"/>
      <c r="D193" s="39"/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>
      <c r="A194" s="14"/>
      <c r="B194" s="14"/>
      <c r="C194" s="39"/>
      <c r="D194" s="39"/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>
      <c r="A195" s="14"/>
      <c r="B195" s="14"/>
      <c r="C195" s="39"/>
      <c r="D195" s="39"/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>
      <c r="A196" s="14"/>
      <c r="B196" s="14"/>
      <c r="C196" s="39"/>
      <c r="D196" s="39"/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>
      <c r="A197" s="14"/>
      <c r="B197" s="14"/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>
      <c r="A198" s="14"/>
      <c r="B198" s="14"/>
      <c r="C198" s="39"/>
      <c r="D198" s="39"/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>
      <c r="A199" s="14"/>
      <c r="B199" s="14"/>
      <c r="C199" s="39"/>
      <c r="D199" s="39"/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>
      <c r="A200" s="14"/>
      <c r="B200" s="14"/>
      <c r="C200" s="39"/>
      <c r="D200" s="39"/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>
      <c r="A201" s="14"/>
      <c r="B201" s="14"/>
      <c r="C201" s="39"/>
      <c r="D201" s="39"/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>
      <c r="A202" s="14"/>
      <c r="B202" s="14"/>
      <c r="C202" s="39"/>
      <c r="D202" s="39"/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>
      <c r="A203" s="14"/>
      <c r="B203" s="14"/>
      <c r="C203" s="39"/>
      <c r="D203" s="39"/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>
      <c r="A204" s="14"/>
      <c r="B204" s="14"/>
      <c r="C204" s="39"/>
      <c r="D204" s="39"/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>
      <c r="A205" s="14"/>
      <c r="B205" s="14"/>
      <c r="C205" s="39"/>
      <c r="D205" s="39"/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>
      <c r="A206" s="14"/>
      <c r="B206" s="14"/>
      <c r="C206" s="39"/>
      <c r="D206" s="39"/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>
      <c r="A207" s="14"/>
      <c r="B207" s="14"/>
      <c r="C207" s="39"/>
      <c r="D207" s="39"/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>
      <c r="A208" s="14"/>
      <c r="B208" s="14"/>
      <c r="C208" s="39"/>
      <c r="D208" s="39"/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>
      <c r="A209" s="14"/>
      <c r="B209" s="14"/>
      <c r="C209" s="39"/>
      <c r="D209" s="39"/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>
      <c r="A210" s="14"/>
      <c r="B210" s="14"/>
      <c r="C210" s="39"/>
      <c r="D210" s="39"/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>
      <c r="A211" s="14"/>
      <c r="B211" s="14"/>
      <c r="C211" s="39"/>
      <c r="D211" s="39"/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>
      <c r="A212" s="14"/>
      <c r="B212" s="14"/>
      <c r="C212" s="39"/>
      <c r="D212" s="39"/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>
      <c r="A213" s="14"/>
      <c r="B213" s="14"/>
      <c r="C213" s="39"/>
      <c r="D213" s="39"/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>
      <c r="A214" s="14"/>
      <c r="B214" s="14"/>
      <c r="C214" s="39"/>
      <c r="D214" s="39"/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>
      <c r="A215" s="14"/>
      <c r="B215" s="14"/>
      <c r="C215" s="39"/>
      <c r="D215" s="39"/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>
      <c r="A216" s="14"/>
      <c r="B216" s="14"/>
      <c r="C216" s="39"/>
      <c r="D216" s="39"/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>
      <c r="A217" s="14"/>
      <c r="B217" s="14"/>
      <c r="C217" s="39"/>
      <c r="D217" s="39"/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>
      <c r="A218" s="14"/>
      <c r="B218" s="14"/>
      <c r="C218" s="39"/>
      <c r="D218" s="39"/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>
      <c r="A219" s="14"/>
      <c r="B219" s="14"/>
      <c r="C219" s="39"/>
      <c r="D219" s="39"/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>
      <c r="A220" s="14"/>
      <c r="B220" s="14"/>
      <c r="C220" s="39"/>
      <c r="D220" s="39"/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>
      <c r="R221" s="30"/>
      <c r="S221" s="40"/>
    </row>
    <row r="222" spans="1:33" ht="15.75" customHeight="1">
      <c r="R222" s="30"/>
      <c r="S222" s="40"/>
    </row>
    <row r="223" spans="1:33" ht="15.75" customHeight="1">
      <c r="R223" s="30"/>
      <c r="S223" s="40"/>
    </row>
    <row r="224" spans="1:33" ht="15.75" customHeight="1">
      <c r="R224" s="30"/>
      <c r="S224" s="40"/>
    </row>
    <row r="225" spans="18:18" ht="15.75" customHeight="1">
      <c r="R225" s="30"/>
    </row>
    <row r="226" spans="18:18" ht="15.75" customHeight="1">
      <c r="R226" s="30"/>
    </row>
    <row r="227" spans="18:18" ht="15.75" customHeight="1">
      <c r="R227" s="30"/>
    </row>
    <row r="228" spans="18:18" ht="15.75" customHeight="1">
      <c r="R228" s="30"/>
    </row>
    <row r="229" spans="18:18" ht="15.75" customHeight="1">
      <c r="R229" s="30"/>
    </row>
    <row r="230" spans="18:18" ht="15.75" customHeight="1">
      <c r="R230" s="30"/>
    </row>
    <row r="231" spans="18:18" ht="15.75" customHeight="1">
      <c r="R231" s="30"/>
    </row>
    <row r="232" spans="18:18" ht="15.75" customHeight="1">
      <c r="R232" s="30"/>
    </row>
    <row r="233" spans="18:18" ht="15.75" customHeight="1">
      <c r="R233" s="30"/>
    </row>
    <row r="234" spans="18:18" ht="15.75" customHeight="1">
      <c r="R234" s="30"/>
    </row>
    <row r="235" spans="18:18" ht="15.75" customHeight="1">
      <c r="R235" s="30"/>
    </row>
    <row r="236" spans="18:18" ht="15.75" customHeight="1">
      <c r="R236" s="30"/>
    </row>
    <row r="237" spans="18:18" ht="15.75" customHeight="1">
      <c r="R237" s="30"/>
    </row>
    <row r="238" spans="18:18" ht="15.75" customHeight="1">
      <c r="R238" s="30"/>
    </row>
    <row r="239" spans="18:18" ht="15.75" customHeight="1">
      <c r="R239" s="30"/>
    </row>
    <row r="240" spans="18:18" ht="15.75" customHeight="1">
      <c r="R240" s="30"/>
    </row>
    <row r="241" spans="18:18" ht="15.75" customHeight="1">
      <c r="R241" s="30"/>
    </row>
    <row r="242" spans="18:18" ht="15.75" customHeight="1">
      <c r="R242" s="30"/>
    </row>
    <row r="243" spans="18:18" ht="15.75" customHeight="1">
      <c r="R243" s="30"/>
    </row>
    <row r="244" spans="18:18" ht="15.75" customHeight="1">
      <c r="R244" s="30"/>
    </row>
    <row r="245" spans="18:18" ht="15.75" customHeight="1">
      <c r="R245" s="30"/>
    </row>
    <row r="246" spans="18:18" ht="15.75" customHeight="1">
      <c r="R246" s="30"/>
    </row>
    <row r="247" spans="18:18" ht="15.75" customHeight="1">
      <c r="R247" s="30"/>
    </row>
    <row r="248" spans="18:18" ht="15.75" customHeight="1">
      <c r="R248" s="30"/>
    </row>
    <row r="249" spans="18:18" ht="15.75" customHeight="1">
      <c r="R249" s="30"/>
    </row>
    <row r="250" spans="18:18" ht="15.75" customHeight="1">
      <c r="R250" s="30"/>
    </row>
    <row r="251" spans="18:18" ht="15.75" customHeight="1">
      <c r="R251" s="30"/>
    </row>
    <row r="252" spans="18:18" ht="15.75" customHeight="1">
      <c r="R252" s="30"/>
    </row>
    <row r="253" spans="18:18" ht="15.75" customHeight="1">
      <c r="R253" s="30"/>
    </row>
    <row r="254" spans="18:18" ht="15.75" customHeight="1">
      <c r="R254" s="30"/>
    </row>
    <row r="255" spans="18:18" ht="15.75" customHeight="1">
      <c r="R255" s="30"/>
    </row>
    <row r="256" spans="18:18" ht="15.75" customHeight="1">
      <c r="R256" s="30"/>
    </row>
    <row r="257" spans="18:18" ht="15.75" customHeight="1">
      <c r="R257" s="30"/>
    </row>
    <row r="258" spans="18:18" ht="15.75" customHeight="1">
      <c r="R258" s="30"/>
    </row>
    <row r="259" spans="18:18" ht="15.75" customHeight="1">
      <c r="R259" s="30"/>
    </row>
    <row r="260" spans="18:18" ht="15.75" customHeight="1">
      <c r="R260" s="30"/>
    </row>
    <row r="261" spans="18:18" ht="15.75" customHeight="1">
      <c r="R261" s="30"/>
    </row>
    <row r="262" spans="18:18" ht="15.75" customHeight="1">
      <c r="R262" s="30"/>
    </row>
    <row r="263" spans="18:18" ht="15.75" customHeight="1">
      <c r="R263" s="30"/>
    </row>
    <row r="264" spans="18:18" ht="15.75" customHeight="1">
      <c r="R264" s="30"/>
    </row>
    <row r="265" spans="18:18" ht="15.75" customHeight="1">
      <c r="R265" s="30"/>
    </row>
    <row r="266" spans="18:18" ht="15.75" customHeight="1">
      <c r="R266" s="30"/>
    </row>
    <row r="267" spans="18:18" ht="15.75" customHeight="1">
      <c r="R267" s="30"/>
    </row>
    <row r="268" spans="18:18" ht="15.75" customHeight="1">
      <c r="R268" s="30"/>
    </row>
    <row r="269" spans="18:18" ht="15.75" customHeight="1">
      <c r="R269" s="30"/>
    </row>
    <row r="270" spans="18:18" ht="15.75" customHeight="1">
      <c r="R270" s="30"/>
    </row>
    <row r="271" spans="18:18" ht="15.75" customHeight="1">
      <c r="R271" s="30"/>
    </row>
    <row r="272" spans="18:18" ht="15.75" customHeight="1">
      <c r="R272" s="30"/>
    </row>
    <row r="273" spans="18:18" ht="15.75" customHeight="1">
      <c r="R273" s="30"/>
    </row>
    <row r="274" spans="18:18" ht="15.75" customHeight="1">
      <c r="R274" s="30"/>
    </row>
    <row r="275" spans="18:18" ht="15.75" customHeight="1">
      <c r="R275" s="30"/>
    </row>
    <row r="276" spans="18:18" ht="15.75" customHeight="1">
      <c r="R276" s="30"/>
    </row>
    <row r="277" spans="18:18" ht="15.75" customHeight="1">
      <c r="R277" s="30"/>
    </row>
    <row r="278" spans="18:18" ht="15.75" customHeight="1">
      <c r="R278" s="30"/>
    </row>
    <row r="279" spans="18:18" ht="15.75" customHeight="1">
      <c r="R279" s="30"/>
    </row>
    <row r="280" spans="18:18" ht="15.75" customHeight="1">
      <c r="R280" s="30"/>
    </row>
    <row r="281" spans="18:18" ht="15.75" customHeight="1">
      <c r="R281" s="30"/>
    </row>
    <row r="282" spans="18:18" ht="15.75" customHeight="1">
      <c r="R282" s="30"/>
    </row>
    <row r="283" spans="18:18" ht="15.75" customHeight="1">
      <c r="R283" s="30"/>
    </row>
    <row r="284" spans="18:18" ht="15.75" customHeight="1">
      <c r="R284" s="30"/>
    </row>
    <row r="285" spans="18:18" ht="15.75" customHeight="1">
      <c r="R285" s="30"/>
    </row>
    <row r="286" spans="18:18" ht="15.75" customHeight="1">
      <c r="R286" s="30"/>
    </row>
    <row r="287" spans="18:18" ht="15.75" customHeight="1">
      <c r="R287" s="30"/>
    </row>
    <row r="288" spans="18:18" ht="15.75" customHeight="1">
      <c r="R288" s="30"/>
    </row>
    <row r="289" spans="18:18" ht="15.75" customHeight="1">
      <c r="R289" s="30"/>
    </row>
    <row r="290" spans="18:18" ht="15.75" customHeight="1">
      <c r="R290" s="30"/>
    </row>
    <row r="291" spans="18:18" ht="15.75" customHeight="1">
      <c r="R291" s="30"/>
    </row>
    <row r="292" spans="18:18" ht="15.75" customHeight="1">
      <c r="R292" s="30"/>
    </row>
    <row r="293" spans="18:18" ht="15.75" customHeight="1">
      <c r="R293" s="30"/>
    </row>
    <row r="294" spans="18:18" ht="15.75" customHeight="1">
      <c r="R294" s="30"/>
    </row>
    <row r="295" spans="18:18" ht="15.75" customHeight="1">
      <c r="R295" s="30"/>
    </row>
    <row r="296" spans="18:18" ht="15.75" customHeight="1">
      <c r="R296" s="30"/>
    </row>
    <row r="297" spans="18:18" ht="15.75" customHeight="1">
      <c r="R297" s="30"/>
    </row>
    <row r="298" spans="18:18" ht="15.75" customHeight="1">
      <c r="R298" s="30"/>
    </row>
    <row r="299" spans="18:18" ht="15.75" customHeight="1">
      <c r="R299" s="30"/>
    </row>
    <row r="300" spans="18:18" ht="15.75" customHeight="1">
      <c r="R300" s="30"/>
    </row>
    <row r="301" spans="18:18" ht="15.75" customHeight="1">
      <c r="R301" s="30"/>
    </row>
    <row r="302" spans="18:18" ht="15.75" customHeight="1">
      <c r="R302" s="30"/>
    </row>
    <row r="303" spans="18:18" ht="15.75" customHeight="1">
      <c r="R303" s="30"/>
    </row>
    <row r="304" spans="18:18" ht="15.75" customHeight="1">
      <c r="R304" s="30"/>
    </row>
    <row r="305" spans="18:18" ht="15.75" customHeight="1">
      <c r="R305" s="30"/>
    </row>
    <row r="306" spans="18:18" ht="15.75" customHeight="1">
      <c r="R306" s="30"/>
    </row>
    <row r="307" spans="18:18" ht="15.75" customHeight="1">
      <c r="R307" s="30"/>
    </row>
    <row r="308" spans="18:18" ht="15.75" customHeight="1">
      <c r="R308" s="30"/>
    </row>
    <row r="309" spans="18:18" ht="15.75" customHeight="1">
      <c r="R309" s="30"/>
    </row>
    <row r="310" spans="18:18" ht="15.75" customHeight="1">
      <c r="R310" s="30"/>
    </row>
    <row r="311" spans="18:18" ht="15.75" customHeight="1">
      <c r="R311" s="30"/>
    </row>
    <row r="312" spans="18:18" ht="15.75" customHeight="1">
      <c r="R312" s="30"/>
    </row>
    <row r="313" spans="18:18" ht="15.75" customHeight="1">
      <c r="R313" s="30"/>
    </row>
    <row r="314" spans="18:18" ht="15.75" customHeight="1">
      <c r="R314" s="30"/>
    </row>
    <row r="315" spans="18:18" ht="15.75" customHeight="1">
      <c r="R315" s="30"/>
    </row>
    <row r="316" spans="18:18" ht="15.75" customHeight="1">
      <c r="R316" s="30"/>
    </row>
    <row r="317" spans="18:18" ht="15.75" customHeight="1">
      <c r="R317" s="30"/>
    </row>
    <row r="318" spans="18:18" ht="15.75" customHeight="1">
      <c r="R318" s="30"/>
    </row>
    <row r="319" spans="18:18" ht="15.75" customHeight="1">
      <c r="R319" s="30"/>
    </row>
    <row r="320" spans="18:18" ht="15.75" customHeight="1">
      <c r="R320" s="30"/>
    </row>
    <row r="321" spans="18:18" ht="15.75" customHeight="1">
      <c r="R321" s="30"/>
    </row>
    <row r="322" spans="18:18" ht="15.75" customHeight="1">
      <c r="R322" s="30"/>
    </row>
    <row r="323" spans="18:18" ht="15.75" customHeight="1">
      <c r="R323" s="30"/>
    </row>
    <row r="324" spans="18:18" ht="15.75" customHeight="1">
      <c r="R324" s="30"/>
    </row>
    <row r="325" spans="18:18" ht="15.75" customHeight="1">
      <c r="R325" s="30"/>
    </row>
    <row r="326" spans="18:18" ht="15.75" customHeight="1">
      <c r="R326" s="30"/>
    </row>
    <row r="327" spans="18:18" ht="15.75" customHeight="1">
      <c r="R327" s="30"/>
    </row>
    <row r="328" spans="18:18" ht="15.75" customHeight="1">
      <c r="R328" s="30"/>
    </row>
    <row r="329" spans="18:18" ht="15.75" customHeight="1">
      <c r="R329" s="30"/>
    </row>
    <row r="330" spans="18:18" ht="15.75" customHeight="1">
      <c r="R330" s="30"/>
    </row>
    <row r="331" spans="18:18" ht="15.75" customHeight="1">
      <c r="R331" s="30"/>
    </row>
    <row r="332" spans="18:18" ht="15.75" customHeight="1">
      <c r="R332" s="30"/>
    </row>
    <row r="333" spans="18:18" ht="15.75" customHeight="1">
      <c r="R333" s="30"/>
    </row>
    <row r="334" spans="18:18" ht="15.75" customHeight="1">
      <c r="R334" s="30"/>
    </row>
    <row r="335" spans="18:18" ht="15.75" customHeight="1">
      <c r="R335" s="30"/>
    </row>
    <row r="336" spans="18:18" ht="15.75" customHeight="1">
      <c r="R336" s="30"/>
    </row>
    <row r="337" spans="18:18" ht="15.75" customHeight="1">
      <c r="R337" s="30"/>
    </row>
    <row r="338" spans="18:18" ht="15.75" customHeight="1">
      <c r="R338" s="30"/>
    </row>
    <row r="339" spans="18:18" ht="15.75" customHeight="1">
      <c r="R339" s="30"/>
    </row>
    <row r="340" spans="18:18" ht="15.75" customHeight="1">
      <c r="R340" s="30"/>
    </row>
    <row r="341" spans="18:18" ht="15.75" customHeight="1">
      <c r="R341" s="30"/>
    </row>
    <row r="342" spans="18:18" ht="15.75" customHeight="1">
      <c r="R342" s="30"/>
    </row>
    <row r="343" spans="18:18" ht="15.75" customHeight="1">
      <c r="R343" s="30"/>
    </row>
    <row r="344" spans="18:18" ht="15.75" customHeight="1">
      <c r="R344" s="30"/>
    </row>
    <row r="345" spans="18:18" ht="15.75" customHeight="1">
      <c r="R345" s="30"/>
    </row>
    <row r="346" spans="18:18" ht="15.75" customHeight="1">
      <c r="R346" s="30"/>
    </row>
    <row r="347" spans="18:18" ht="15.75" customHeight="1">
      <c r="R347" s="30"/>
    </row>
    <row r="348" spans="18:18" ht="15.75" customHeight="1">
      <c r="R348" s="30"/>
    </row>
    <row r="349" spans="18:18" ht="15.75" customHeight="1">
      <c r="R349" s="30"/>
    </row>
    <row r="350" spans="18:18" ht="15.75" customHeight="1">
      <c r="R350" s="30"/>
    </row>
    <row r="351" spans="18:18" ht="15.75" customHeight="1">
      <c r="R351" s="30"/>
    </row>
    <row r="352" spans="18:18" ht="15.75" customHeight="1">
      <c r="R352" s="30"/>
    </row>
    <row r="353" spans="18:18" ht="15.75" customHeight="1">
      <c r="R353" s="30"/>
    </row>
    <row r="354" spans="18:18" ht="15.75" customHeight="1">
      <c r="R354" s="30"/>
    </row>
    <row r="355" spans="18:18" ht="15.75" customHeight="1">
      <c r="R355" s="30"/>
    </row>
    <row r="356" spans="18:18" ht="15.75" customHeight="1">
      <c r="R356" s="30"/>
    </row>
    <row r="357" spans="18:18" ht="15.75" customHeight="1">
      <c r="R357" s="30"/>
    </row>
    <row r="358" spans="18:18" ht="15.75" customHeight="1">
      <c r="R358" s="30"/>
    </row>
    <row r="359" spans="18:18" ht="15.75" customHeight="1">
      <c r="R359" s="30"/>
    </row>
    <row r="360" spans="18:18" ht="15.75" customHeight="1">
      <c r="R360" s="30"/>
    </row>
    <row r="361" spans="18:18" ht="15.75" customHeight="1">
      <c r="R361" s="30"/>
    </row>
    <row r="362" spans="18:18" ht="15.75" customHeight="1">
      <c r="R362" s="30"/>
    </row>
    <row r="363" spans="18:18" ht="15.75" customHeight="1">
      <c r="R363" s="30"/>
    </row>
    <row r="364" spans="18:18" ht="15.75" customHeight="1">
      <c r="R364" s="30"/>
    </row>
    <row r="365" spans="18:18" ht="15.75" customHeight="1">
      <c r="R365" s="30"/>
    </row>
    <row r="366" spans="18:18" ht="15.75" customHeight="1">
      <c r="R366" s="30"/>
    </row>
    <row r="367" spans="18:18" ht="15.75" customHeight="1">
      <c r="R367" s="30"/>
    </row>
    <row r="368" spans="18:18" ht="15.75" customHeight="1">
      <c r="R368" s="30"/>
    </row>
    <row r="369" spans="18:18" ht="15.75" customHeight="1">
      <c r="R369" s="30"/>
    </row>
    <row r="370" spans="18:18" ht="15.75" customHeight="1">
      <c r="R370" s="30"/>
    </row>
    <row r="371" spans="18:18" ht="15.75" customHeight="1">
      <c r="R371" s="30"/>
    </row>
    <row r="372" spans="18:18" ht="15.75" customHeight="1">
      <c r="R372" s="30"/>
    </row>
    <row r="373" spans="18:18" ht="15.75" customHeight="1">
      <c r="R373" s="30"/>
    </row>
    <row r="374" spans="18:18" ht="15.75" customHeight="1">
      <c r="R374" s="30"/>
    </row>
    <row r="375" spans="18:18" ht="15.75" customHeight="1">
      <c r="R375" s="30"/>
    </row>
    <row r="376" spans="18:18" ht="15.75" customHeight="1">
      <c r="R376" s="30"/>
    </row>
    <row r="377" spans="18:18" ht="15.75" customHeight="1">
      <c r="R377" s="30"/>
    </row>
    <row r="378" spans="18:18" ht="15.75" customHeight="1">
      <c r="R378" s="30"/>
    </row>
    <row r="379" spans="18:18" ht="15.75" customHeight="1">
      <c r="R379" s="30"/>
    </row>
    <row r="380" spans="18:18" ht="15.75" customHeight="1">
      <c r="R380" s="30"/>
    </row>
    <row r="381" spans="18:18" ht="15.75" customHeight="1">
      <c r="R381" s="30"/>
    </row>
    <row r="382" spans="18:18" ht="15.75" customHeight="1">
      <c r="R382" s="30"/>
    </row>
    <row r="383" spans="18:18" ht="15.75" customHeight="1">
      <c r="R383" s="30"/>
    </row>
    <row r="384" spans="18:18" ht="15.75" customHeight="1">
      <c r="R384" s="30"/>
    </row>
    <row r="385" spans="18:18" ht="15.75" customHeight="1">
      <c r="R385" s="30"/>
    </row>
    <row r="386" spans="18:18" ht="15.75" customHeight="1">
      <c r="R386" s="30"/>
    </row>
    <row r="387" spans="18:18" ht="15.75" customHeight="1">
      <c r="R387" s="30"/>
    </row>
    <row r="388" spans="18:18" ht="15.75" customHeight="1">
      <c r="R388" s="30"/>
    </row>
    <row r="389" spans="18:18" ht="15.75" customHeight="1">
      <c r="R389" s="30"/>
    </row>
    <row r="390" spans="18:18" ht="15.75" customHeight="1">
      <c r="R390" s="30"/>
    </row>
    <row r="391" spans="18:18" ht="15.75" customHeight="1">
      <c r="R391" s="30"/>
    </row>
    <row r="392" spans="18:18" ht="15.75" customHeight="1">
      <c r="R392" s="30"/>
    </row>
    <row r="393" spans="18:18" ht="15.75" customHeight="1">
      <c r="R393" s="30"/>
    </row>
    <row r="394" spans="18:18" ht="15.75" customHeight="1">
      <c r="R394" s="30"/>
    </row>
    <row r="395" spans="18:18" ht="15.75" customHeight="1">
      <c r="R395" s="30"/>
    </row>
    <row r="396" spans="18:18" ht="15.75" customHeight="1">
      <c r="R396" s="30"/>
    </row>
    <row r="397" spans="18:18" ht="15.75" customHeight="1">
      <c r="R397" s="30"/>
    </row>
    <row r="398" spans="18:18" ht="15.75" customHeight="1">
      <c r="R398" s="30"/>
    </row>
    <row r="399" spans="18:18" ht="15.75" customHeight="1">
      <c r="R399" s="30"/>
    </row>
    <row r="400" spans="18:18" ht="15.75" customHeight="1">
      <c r="R400" s="30"/>
    </row>
    <row r="401" spans="18:18" ht="15.75" customHeight="1">
      <c r="R401" s="30"/>
    </row>
    <row r="402" spans="18:18" ht="15.75" customHeight="1">
      <c r="R402" s="30"/>
    </row>
    <row r="403" spans="18:18" ht="15.75" customHeight="1">
      <c r="R403" s="30"/>
    </row>
    <row r="404" spans="18:18" ht="15.75" customHeight="1">
      <c r="R404" s="30"/>
    </row>
    <row r="405" spans="18:18" ht="15.75" customHeight="1">
      <c r="R405" s="30"/>
    </row>
    <row r="406" spans="18:18" ht="15.75" customHeight="1">
      <c r="R406" s="30"/>
    </row>
    <row r="407" spans="18:18" ht="15.75" customHeight="1">
      <c r="R407" s="30"/>
    </row>
    <row r="408" spans="18:18" ht="15.75" customHeight="1">
      <c r="R408" s="30"/>
    </row>
    <row r="409" spans="18:18" ht="15.75" customHeight="1">
      <c r="R409" s="30"/>
    </row>
    <row r="410" spans="18:18" ht="15.75" customHeight="1">
      <c r="R410" s="30"/>
    </row>
    <row r="411" spans="18:18" ht="15.75" customHeight="1">
      <c r="R411" s="30"/>
    </row>
    <row r="412" spans="18:18" ht="15.75" customHeight="1">
      <c r="R412" s="30"/>
    </row>
    <row r="413" spans="18:18" ht="15.75" customHeight="1">
      <c r="R413" s="30"/>
    </row>
    <row r="414" spans="18:18" ht="15.75" customHeight="1">
      <c r="R414" s="30"/>
    </row>
    <row r="415" spans="18:18" ht="15.75" customHeight="1">
      <c r="R415" s="30"/>
    </row>
    <row r="416" spans="18:18" ht="15.75" customHeight="1">
      <c r="R416" s="30"/>
    </row>
    <row r="417" spans="18:18" ht="15.75" customHeight="1">
      <c r="R417" s="30"/>
    </row>
    <row r="418" spans="18:18" ht="15.75" customHeight="1">
      <c r="R418" s="30"/>
    </row>
    <row r="419" spans="18:18" ht="15.75" customHeight="1">
      <c r="R419" s="30"/>
    </row>
    <row r="420" spans="18:18" ht="15.75" customHeight="1">
      <c r="R420" s="30"/>
    </row>
    <row r="421" spans="18:18" ht="15.75" customHeight="1">
      <c r="R421" s="30"/>
    </row>
    <row r="422" spans="18:18" ht="15.75" customHeight="1">
      <c r="R422" s="30"/>
    </row>
    <row r="423" spans="18:18" ht="15.75" customHeight="1">
      <c r="R423" s="30"/>
    </row>
    <row r="424" spans="18:18" ht="15.75" customHeight="1">
      <c r="R424" s="30"/>
    </row>
    <row r="425" spans="18:18" ht="15.75" customHeight="1">
      <c r="R425" s="30"/>
    </row>
    <row r="426" spans="18:18" ht="15.75" customHeight="1">
      <c r="R426" s="30"/>
    </row>
    <row r="427" spans="18:18" ht="15.75" customHeight="1">
      <c r="R427" s="30"/>
    </row>
    <row r="428" spans="18:18" ht="15.75" customHeight="1">
      <c r="R428" s="30"/>
    </row>
    <row r="429" spans="18:18" ht="15.75" customHeight="1">
      <c r="R429" s="30"/>
    </row>
    <row r="430" spans="18:18" ht="15.75" customHeight="1">
      <c r="R430" s="30"/>
    </row>
    <row r="431" spans="18:18" ht="15.75" customHeight="1">
      <c r="R431" s="30"/>
    </row>
    <row r="432" spans="18:18" ht="15.75" customHeight="1">
      <c r="R432" s="30"/>
    </row>
    <row r="433" spans="18:18" ht="15.75" customHeight="1">
      <c r="R433" s="30"/>
    </row>
    <row r="434" spans="18:18" ht="15.75" customHeight="1">
      <c r="R434" s="30"/>
    </row>
    <row r="435" spans="18:18" ht="15.75" customHeight="1">
      <c r="R435" s="30"/>
    </row>
    <row r="436" spans="18:18" ht="15.75" customHeight="1">
      <c r="R436" s="30"/>
    </row>
    <row r="437" spans="18:18" ht="15.75" customHeight="1">
      <c r="R437" s="30"/>
    </row>
    <row r="438" spans="18:18" ht="15.75" customHeight="1">
      <c r="R438" s="30"/>
    </row>
    <row r="439" spans="18:18" ht="15.75" customHeight="1">
      <c r="R439" s="30"/>
    </row>
    <row r="440" spans="18:18" ht="15.75" customHeight="1">
      <c r="R440" s="30"/>
    </row>
    <row r="441" spans="18:18" ht="15.75" customHeight="1">
      <c r="R441" s="30"/>
    </row>
    <row r="442" spans="18:18" ht="15.75" customHeight="1">
      <c r="R442" s="30"/>
    </row>
    <row r="443" spans="18:18" ht="15.75" customHeight="1">
      <c r="R443" s="30"/>
    </row>
    <row r="444" spans="18:18" ht="15.75" customHeight="1">
      <c r="R444" s="30"/>
    </row>
    <row r="445" spans="18:18" ht="15.75" customHeight="1">
      <c r="R445" s="30"/>
    </row>
    <row r="446" spans="18:18" ht="15.75" customHeight="1">
      <c r="R446" s="30"/>
    </row>
    <row r="447" spans="18:18" ht="15.75" customHeight="1">
      <c r="R447" s="30"/>
    </row>
    <row r="448" spans="18:18" ht="15.75" customHeight="1">
      <c r="R448" s="30"/>
    </row>
    <row r="449" spans="18:18" ht="15.75" customHeight="1">
      <c r="R449" s="30"/>
    </row>
    <row r="450" spans="18:18" ht="15.75" customHeight="1">
      <c r="R450" s="30"/>
    </row>
    <row r="451" spans="18:18" ht="15.75" customHeight="1">
      <c r="R451" s="30"/>
    </row>
    <row r="452" spans="18:18" ht="15.75" customHeight="1">
      <c r="R452" s="30"/>
    </row>
    <row r="453" spans="18:18" ht="15.75" customHeight="1">
      <c r="R453" s="30"/>
    </row>
    <row r="454" spans="18:18" ht="15.75" customHeight="1">
      <c r="R454" s="30"/>
    </row>
    <row r="455" spans="18:18" ht="15.75" customHeight="1">
      <c r="R455" s="30"/>
    </row>
    <row r="456" spans="18:18" ht="15.75" customHeight="1">
      <c r="R456" s="30"/>
    </row>
    <row r="457" spans="18:18" ht="15.75" customHeight="1">
      <c r="R457" s="30"/>
    </row>
    <row r="458" spans="18:18" ht="15.75" customHeight="1">
      <c r="R458" s="30"/>
    </row>
    <row r="459" spans="18:18" ht="15.75" customHeight="1">
      <c r="R459" s="30"/>
    </row>
    <row r="460" spans="18:18" ht="15.75" customHeight="1">
      <c r="R460" s="30"/>
    </row>
    <row r="461" spans="18:18" ht="15.75" customHeight="1">
      <c r="R461" s="30"/>
    </row>
    <row r="462" spans="18:18" ht="15.75" customHeight="1">
      <c r="R462" s="30"/>
    </row>
    <row r="463" spans="18:18" ht="15.75" customHeight="1">
      <c r="R463" s="30"/>
    </row>
    <row r="464" spans="18:18" ht="15.75" customHeight="1">
      <c r="R464" s="30"/>
    </row>
    <row r="465" spans="18:18" ht="15.75" customHeight="1">
      <c r="R465" s="30"/>
    </row>
    <row r="466" spans="18:18" ht="15.75" customHeight="1">
      <c r="R466" s="30"/>
    </row>
    <row r="467" spans="18:18" ht="15.75" customHeight="1">
      <c r="R467" s="30"/>
    </row>
    <row r="468" spans="18:18" ht="15.75" customHeight="1">
      <c r="R468" s="30"/>
    </row>
    <row r="469" spans="18:18" ht="15.75" customHeight="1">
      <c r="R469" s="30"/>
    </row>
    <row r="470" spans="18:18" ht="15.75" customHeight="1">
      <c r="R470" s="30"/>
    </row>
    <row r="471" spans="18:18" ht="15.75" customHeight="1">
      <c r="R471" s="30"/>
    </row>
    <row r="472" spans="18:18" ht="15.75" customHeight="1">
      <c r="R472" s="30"/>
    </row>
    <row r="473" spans="18:18" ht="15.75" customHeight="1">
      <c r="R473" s="30"/>
    </row>
    <row r="474" spans="18:18" ht="15.75" customHeight="1">
      <c r="R474" s="30"/>
    </row>
    <row r="475" spans="18:18" ht="15.75" customHeight="1">
      <c r="R475" s="30"/>
    </row>
    <row r="476" spans="18:18" ht="15.75" customHeight="1">
      <c r="R476" s="30"/>
    </row>
    <row r="477" spans="18:18" ht="15.75" customHeight="1">
      <c r="R477" s="30"/>
    </row>
    <row r="478" spans="18:18" ht="15.75" customHeight="1">
      <c r="R478" s="30"/>
    </row>
    <row r="479" spans="18:18" ht="15.75" customHeight="1">
      <c r="R479" s="30"/>
    </row>
    <row r="480" spans="18:18" ht="15.75" customHeight="1">
      <c r="R480" s="30"/>
    </row>
    <row r="481" spans="18:18" ht="15.75" customHeight="1">
      <c r="R481" s="30"/>
    </row>
    <row r="482" spans="18:18" ht="15.75" customHeight="1">
      <c r="R482" s="30"/>
    </row>
    <row r="483" spans="18:18" ht="15.75" customHeight="1">
      <c r="R483" s="30"/>
    </row>
    <row r="484" spans="18:18" ht="15.75" customHeight="1">
      <c r="R484" s="30"/>
    </row>
    <row r="485" spans="18:18" ht="15.75" customHeight="1">
      <c r="R485" s="30"/>
    </row>
    <row r="486" spans="18:18" ht="15.75" customHeight="1">
      <c r="R486" s="30"/>
    </row>
    <row r="487" spans="18:18" ht="15.75" customHeight="1">
      <c r="R487" s="30"/>
    </row>
    <row r="488" spans="18:18" ht="15.75" customHeight="1">
      <c r="R488" s="30"/>
    </row>
    <row r="489" spans="18:18" ht="15.75" customHeight="1">
      <c r="R489" s="30"/>
    </row>
    <row r="490" spans="18:18" ht="15.75" customHeight="1">
      <c r="R490" s="30"/>
    </row>
    <row r="491" spans="18:18" ht="15.75" customHeight="1">
      <c r="R491" s="30"/>
    </row>
    <row r="492" spans="18:18" ht="15.75" customHeight="1">
      <c r="R492" s="30"/>
    </row>
    <row r="493" spans="18:18" ht="15.75" customHeight="1">
      <c r="R493" s="30"/>
    </row>
    <row r="494" spans="18:18" ht="15.75" customHeight="1">
      <c r="R494" s="30"/>
    </row>
    <row r="495" spans="18:18" ht="15.75" customHeight="1">
      <c r="R495" s="30"/>
    </row>
    <row r="496" spans="18:18" ht="15.75" customHeight="1">
      <c r="R496" s="30"/>
    </row>
    <row r="497" spans="18:18" ht="15.75" customHeight="1">
      <c r="R497" s="30"/>
    </row>
    <row r="498" spans="18:18" ht="15.75" customHeight="1">
      <c r="R498" s="30"/>
    </row>
    <row r="499" spans="18:18" ht="15.75" customHeight="1">
      <c r="R499" s="30"/>
    </row>
    <row r="500" spans="18:18" ht="15.75" customHeight="1">
      <c r="R500" s="30"/>
    </row>
    <row r="501" spans="18:18" ht="15.75" customHeight="1">
      <c r="R501" s="30"/>
    </row>
    <row r="502" spans="18:18" ht="15.75" customHeight="1">
      <c r="R502" s="30"/>
    </row>
    <row r="503" spans="18:18" ht="15.75" customHeight="1">
      <c r="R503" s="30"/>
    </row>
    <row r="504" spans="18:18" ht="15.75" customHeight="1">
      <c r="R504" s="30"/>
    </row>
    <row r="505" spans="18:18" ht="15.75" customHeight="1">
      <c r="R505" s="30"/>
    </row>
    <row r="506" spans="18:18" ht="15.75" customHeight="1">
      <c r="R506" s="30"/>
    </row>
    <row r="507" spans="18:18" ht="15.75" customHeight="1">
      <c r="R507" s="30"/>
    </row>
    <row r="508" spans="18:18" ht="15.75" customHeight="1">
      <c r="R508" s="30"/>
    </row>
    <row r="509" spans="18:18" ht="15.75" customHeight="1">
      <c r="R509" s="30"/>
    </row>
    <row r="510" spans="18:18" ht="15.75" customHeight="1">
      <c r="R510" s="30"/>
    </row>
    <row r="511" spans="18:18" ht="15.75" customHeight="1">
      <c r="R511" s="30"/>
    </row>
    <row r="512" spans="18:18" ht="15.75" customHeight="1">
      <c r="R512" s="30"/>
    </row>
    <row r="513" spans="18:18" ht="15.75" customHeight="1">
      <c r="R513" s="30"/>
    </row>
    <row r="514" spans="18:18" ht="15.75" customHeight="1">
      <c r="R514" s="30"/>
    </row>
    <row r="515" spans="18:18" ht="15.75" customHeight="1">
      <c r="R515" s="30"/>
    </row>
    <row r="516" spans="18:18" ht="15.75" customHeight="1">
      <c r="R516" s="30"/>
    </row>
    <row r="517" spans="18:18" ht="15.75" customHeight="1">
      <c r="R517" s="30"/>
    </row>
    <row r="518" spans="18:18" ht="15.75" customHeight="1">
      <c r="R518" s="30"/>
    </row>
    <row r="519" spans="18:18" ht="15.75" customHeight="1">
      <c r="R519" s="30"/>
    </row>
    <row r="520" spans="18:18" ht="15.75" customHeight="1">
      <c r="R520" s="30"/>
    </row>
    <row r="521" spans="18:18" ht="15.75" customHeight="1">
      <c r="R521" s="30"/>
    </row>
    <row r="522" spans="18:18" ht="15.75" customHeight="1">
      <c r="R522" s="30"/>
    </row>
    <row r="523" spans="18:18" ht="15.75" customHeight="1">
      <c r="R523" s="30"/>
    </row>
    <row r="524" spans="18:18" ht="15.75" customHeight="1">
      <c r="R524" s="30"/>
    </row>
    <row r="525" spans="18:18" ht="15.75" customHeight="1">
      <c r="R525" s="30"/>
    </row>
    <row r="526" spans="18:18" ht="15.75" customHeight="1">
      <c r="R526" s="30"/>
    </row>
    <row r="527" spans="18:18" ht="15.75" customHeight="1">
      <c r="R527" s="30"/>
    </row>
    <row r="528" spans="18:18" ht="15.75" customHeight="1">
      <c r="R528" s="30"/>
    </row>
    <row r="529" spans="18:18" ht="15.75" customHeight="1">
      <c r="R529" s="30"/>
    </row>
    <row r="530" spans="18:18" ht="15.75" customHeight="1">
      <c r="R530" s="30"/>
    </row>
    <row r="531" spans="18:18" ht="15.75" customHeight="1">
      <c r="R531" s="30"/>
    </row>
    <row r="532" spans="18:18" ht="15.75" customHeight="1">
      <c r="R532" s="30"/>
    </row>
    <row r="533" spans="18:18" ht="15.75" customHeight="1">
      <c r="R533" s="30"/>
    </row>
    <row r="534" spans="18:18" ht="15.75" customHeight="1">
      <c r="R534" s="30"/>
    </row>
    <row r="535" spans="18:18" ht="15.75" customHeight="1">
      <c r="R535" s="30"/>
    </row>
    <row r="536" spans="18:18" ht="15.75" customHeight="1">
      <c r="R536" s="30"/>
    </row>
    <row r="537" spans="18:18" ht="15.75" customHeight="1">
      <c r="R537" s="30"/>
    </row>
    <row r="538" spans="18:18" ht="15.75" customHeight="1">
      <c r="R538" s="30"/>
    </row>
    <row r="539" spans="18:18" ht="15.75" customHeight="1">
      <c r="R539" s="30"/>
    </row>
    <row r="540" spans="18:18" ht="15.75" customHeight="1">
      <c r="R540" s="30"/>
    </row>
    <row r="541" spans="18:18" ht="15.75" customHeight="1">
      <c r="R541" s="30"/>
    </row>
    <row r="542" spans="18:18" ht="15.75" customHeight="1">
      <c r="R542" s="30"/>
    </row>
    <row r="543" spans="18:18" ht="15.75" customHeight="1">
      <c r="R543" s="30"/>
    </row>
    <row r="544" spans="18:18" ht="15.75" customHeight="1">
      <c r="R544" s="30"/>
    </row>
    <row r="545" spans="18:18" ht="15.75" customHeight="1">
      <c r="R545" s="30"/>
    </row>
    <row r="546" spans="18:18" ht="15.75" customHeight="1">
      <c r="R546" s="30"/>
    </row>
    <row r="547" spans="18:18" ht="15.75" customHeight="1">
      <c r="R547" s="30"/>
    </row>
    <row r="548" spans="18:18" ht="15.75" customHeight="1">
      <c r="R548" s="30"/>
    </row>
    <row r="549" spans="18:18" ht="15.75" customHeight="1">
      <c r="R549" s="30"/>
    </row>
    <row r="550" spans="18:18" ht="15.75" customHeight="1">
      <c r="R550" s="30"/>
    </row>
    <row r="551" spans="18:18" ht="15.75" customHeight="1">
      <c r="R551" s="30"/>
    </row>
    <row r="552" spans="18:18" ht="15.75" customHeight="1">
      <c r="R552" s="30"/>
    </row>
    <row r="553" spans="18:18" ht="15.75" customHeight="1">
      <c r="R553" s="30"/>
    </row>
    <row r="554" spans="18:18" ht="15.75" customHeight="1">
      <c r="R554" s="30"/>
    </row>
    <row r="555" spans="18:18" ht="15.75" customHeight="1">
      <c r="R555" s="30"/>
    </row>
    <row r="556" spans="18:18" ht="15.75" customHeight="1">
      <c r="R556" s="30"/>
    </row>
    <row r="557" spans="18:18" ht="15.75" customHeight="1">
      <c r="R557" s="30"/>
    </row>
    <row r="558" spans="18:18" ht="15.75" customHeight="1">
      <c r="R558" s="30"/>
    </row>
    <row r="559" spans="18:18" ht="15.75" customHeight="1">
      <c r="R559" s="30"/>
    </row>
    <row r="560" spans="18:18" ht="15.75" customHeight="1">
      <c r="R560" s="30"/>
    </row>
    <row r="561" spans="18:18" ht="15.75" customHeight="1">
      <c r="R561" s="30"/>
    </row>
    <row r="562" spans="18:18" ht="15.75" customHeight="1">
      <c r="R562" s="30"/>
    </row>
    <row r="563" spans="18:18" ht="15.75" customHeight="1">
      <c r="R563" s="30"/>
    </row>
    <row r="564" spans="18:18" ht="15.75" customHeight="1">
      <c r="R564" s="30"/>
    </row>
    <row r="565" spans="18:18" ht="15.75" customHeight="1">
      <c r="R565" s="30"/>
    </row>
    <row r="566" spans="18:18" ht="15.75" customHeight="1">
      <c r="R566" s="30"/>
    </row>
    <row r="567" spans="18:18" ht="15.75" customHeight="1">
      <c r="R567" s="30"/>
    </row>
    <row r="568" spans="18:18" ht="15.75" customHeight="1">
      <c r="R568" s="30"/>
    </row>
    <row r="569" spans="18:18" ht="15.75" customHeight="1">
      <c r="R569" s="30"/>
    </row>
    <row r="570" spans="18:18" ht="15.75" customHeight="1">
      <c r="R570" s="30"/>
    </row>
    <row r="571" spans="18:18" ht="15.75" customHeight="1">
      <c r="R571" s="30"/>
    </row>
    <row r="572" spans="18:18" ht="15.75" customHeight="1">
      <c r="R572" s="30"/>
    </row>
    <row r="573" spans="18:18" ht="15.75" customHeight="1">
      <c r="R573" s="30"/>
    </row>
    <row r="574" spans="18:18" ht="15.75" customHeight="1">
      <c r="R574" s="30"/>
    </row>
    <row r="575" spans="18:18" ht="15.75" customHeight="1">
      <c r="R575" s="30"/>
    </row>
    <row r="576" spans="18:18" ht="15.75" customHeight="1">
      <c r="R576" s="30"/>
    </row>
    <row r="577" spans="18:18" ht="15.75" customHeight="1">
      <c r="R577" s="30"/>
    </row>
    <row r="578" spans="18:18" ht="15.75" customHeight="1">
      <c r="R578" s="30"/>
    </row>
    <row r="579" spans="18:18" ht="15.75" customHeight="1">
      <c r="R579" s="30"/>
    </row>
    <row r="580" spans="18:18" ht="15.75" customHeight="1">
      <c r="R580" s="30"/>
    </row>
    <row r="581" spans="18:18" ht="15.75" customHeight="1">
      <c r="R581" s="30"/>
    </row>
    <row r="582" spans="18:18" ht="15.75" customHeight="1">
      <c r="R582" s="30"/>
    </row>
    <row r="583" spans="18:18" ht="15.75" customHeight="1">
      <c r="R583" s="30"/>
    </row>
    <row r="584" spans="18:18" ht="15.75" customHeight="1">
      <c r="R584" s="30"/>
    </row>
    <row r="585" spans="18:18" ht="15.75" customHeight="1">
      <c r="R585" s="30"/>
    </row>
    <row r="586" spans="18:18" ht="15.75" customHeight="1">
      <c r="R586" s="30"/>
    </row>
    <row r="587" spans="18:18" ht="15.75" customHeight="1">
      <c r="R587" s="30"/>
    </row>
    <row r="588" spans="18:18" ht="15.75" customHeight="1">
      <c r="R588" s="30"/>
    </row>
    <row r="589" spans="18:18" ht="15.75" customHeight="1">
      <c r="R589" s="30"/>
    </row>
    <row r="590" spans="18:18" ht="15.75" customHeight="1">
      <c r="R590" s="30"/>
    </row>
    <row r="591" spans="18:18" ht="15.75" customHeight="1">
      <c r="R591" s="30"/>
    </row>
    <row r="592" spans="18:18" ht="15.75" customHeight="1">
      <c r="R592" s="30"/>
    </row>
    <row r="593" spans="18:18" ht="15.75" customHeight="1">
      <c r="R593" s="30"/>
    </row>
    <row r="594" spans="18:18" ht="15.75" customHeight="1">
      <c r="R594" s="30"/>
    </row>
    <row r="595" spans="18:18" ht="15.75" customHeight="1">
      <c r="R595" s="30"/>
    </row>
    <row r="596" spans="18:18" ht="15.75" customHeight="1">
      <c r="R596" s="30"/>
    </row>
    <row r="597" spans="18:18" ht="15.75" customHeight="1">
      <c r="R597" s="30"/>
    </row>
    <row r="598" spans="18:18" ht="15.75" customHeight="1">
      <c r="R598" s="30"/>
    </row>
    <row r="599" spans="18:18" ht="15.75" customHeight="1">
      <c r="R599" s="30"/>
    </row>
    <row r="600" spans="18:18" ht="15.75" customHeight="1">
      <c r="R600" s="30"/>
    </row>
    <row r="601" spans="18:18" ht="15.75" customHeight="1">
      <c r="R601" s="30"/>
    </row>
    <row r="602" spans="18:18" ht="15.75" customHeight="1">
      <c r="R602" s="30"/>
    </row>
    <row r="603" spans="18:18" ht="15.75" customHeight="1">
      <c r="R603" s="30"/>
    </row>
    <row r="604" spans="18:18" ht="15.75" customHeight="1">
      <c r="R604" s="30"/>
    </row>
    <row r="605" spans="18:18" ht="15.75" customHeight="1">
      <c r="R605" s="30"/>
    </row>
    <row r="606" spans="18:18" ht="15.75" customHeight="1">
      <c r="R606" s="30"/>
    </row>
    <row r="607" spans="18:18" ht="15.75" customHeight="1">
      <c r="R607" s="30"/>
    </row>
    <row r="608" spans="18:18" ht="15.75" customHeight="1">
      <c r="R608" s="30"/>
    </row>
    <row r="609" spans="18:18" ht="15.75" customHeight="1">
      <c r="R609" s="30"/>
    </row>
    <row r="610" spans="18:18" ht="15.75" customHeight="1">
      <c r="R610" s="30"/>
    </row>
    <row r="611" spans="18:18" ht="15.75" customHeight="1">
      <c r="R611" s="30"/>
    </row>
    <row r="612" spans="18:18" ht="15.75" customHeight="1">
      <c r="R612" s="30"/>
    </row>
    <row r="613" spans="18:18" ht="15.75" customHeight="1">
      <c r="R613" s="30"/>
    </row>
    <row r="614" spans="18:18" ht="15.75" customHeight="1">
      <c r="R614" s="30"/>
    </row>
    <row r="615" spans="18:18" ht="15.75" customHeight="1">
      <c r="R615" s="30"/>
    </row>
    <row r="616" spans="18:18" ht="15.75" customHeight="1">
      <c r="R616" s="30"/>
    </row>
    <row r="617" spans="18:18" ht="15.75" customHeight="1">
      <c r="R617" s="30"/>
    </row>
    <row r="618" spans="18:18" ht="15.75" customHeight="1">
      <c r="R618" s="30"/>
    </row>
    <row r="619" spans="18:18" ht="15.75" customHeight="1">
      <c r="R619" s="30"/>
    </row>
    <row r="620" spans="18:18" ht="15.75" customHeight="1">
      <c r="R620" s="30"/>
    </row>
    <row r="621" spans="18:18" ht="15.75" customHeight="1">
      <c r="R621" s="30"/>
    </row>
    <row r="622" spans="18:18" ht="15.75" customHeight="1">
      <c r="R622" s="30"/>
    </row>
    <row r="623" spans="18:18" ht="15.75" customHeight="1">
      <c r="R623" s="30"/>
    </row>
    <row r="624" spans="18:18" ht="15.75" customHeight="1">
      <c r="R624" s="30"/>
    </row>
    <row r="625" spans="18:18" ht="15.75" customHeight="1">
      <c r="R625" s="30"/>
    </row>
    <row r="626" spans="18:18" ht="15.75" customHeight="1">
      <c r="R626" s="30"/>
    </row>
    <row r="627" spans="18:18" ht="15.75" customHeight="1">
      <c r="R627" s="30"/>
    </row>
    <row r="628" spans="18:18" ht="15.75" customHeight="1">
      <c r="R628" s="30"/>
    </row>
    <row r="629" spans="18:18" ht="15.75" customHeight="1">
      <c r="R629" s="30"/>
    </row>
    <row r="630" spans="18:18" ht="15.75" customHeight="1">
      <c r="R630" s="30"/>
    </row>
    <row r="631" spans="18:18" ht="15.75" customHeight="1">
      <c r="R631" s="30"/>
    </row>
    <row r="632" spans="18:18" ht="15.75" customHeight="1">
      <c r="R632" s="30"/>
    </row>
    <row r="633" spans="18:18" ht="15.75" customHeight="1">
      <c r="R633" s="30"/>
    </row>
    <row r="634" spans="18:18" ht="15.75" customHeight="1">
      <c r="R634" s="30"/>
    </row>
    <row r="635" spans="18:18" ht="15.75" customHeight="1">
      <c r="R635" s="30"/>
    </row>
    <row r="636" spans="18:18" ht="15.75" customHeight="1">
      <c r="R636" s="30"/>
    </row>
    <row r="637" spans="18:18" ht="15.75" customHeight="1">
      <c r="R637" s="30"/>
    </row>
    <row r="638" spans="18:18" ht="15.75" customHeight="1">
      <c r="R638" s="30"/>
    </row>
    <row r="639" spans="18:18" ht="15.75" customHeight="1">
      <c r="R639" s="30"/>
    </row>
    <row r="640" spans="18:18" ht="15.75" customHeight="1">
      <c r="R640" s="30"/>
    </row>
    <row r="641" spans="18:18" ht="15.75" customHeight="1">
      <c r="R641" s="30"/>
    </row>
    <row r="642" spans="18:18" ht="15.75" customHeight="1">
      <c r="R642" s="30"/>
    </row>
    <row r="643" spans="18:18" ht="15.75" customHeight="1">
      <c r="R643" s="30"/>
    </row>
    <row r="644" spans="18:18" ht="15.75" customHeight="1">
      <c r="R644" s="30"/>
    </row>
    <row r="645" spans="18:18" ht="15.75" customHeight="1">
      <c r="R645" s="30"/>
    </row>
    <row r="646" spans="18:18" ht="15.75" customHeight="1">
      <c r="R646" s="30"/>
    </row>
    <row r="647" spans="18:18" ht="15.75" customHeight="1">
      <c r="R647" s="30"/>
    </row>
    <row r="648" spans="18:18" ht="15.75" customHeight="1">
      <c r="R648" s="30"/>
    </row>
    <row r="649" spans="18:18" ht="15.75" customHeight="1">
      <c r="R649" s="30"/>
    </row>
    <row r="650" spans="18:18" ht="15.75" customHeight="1">
      <c r="R650" s="30"/>
    </row>
    <row r="651" spans="18:18" ht="15.75" customHeight="1">
      <c r="R651" s="30"/>
    </row>
    <row r="652" spans="18:18" ht="15.75" customHeight="1">
      <c r="R652" s="30"/>
    </row>
    <row r="653" spans="18:18" ht="15.75" customHeight="1">
      <c r="R653" s="30"/>
    </row>
    <row r="654" spans="18:18" ht="15.75" customHeight="1">
      <c r="R654" s="30"/>
    </row>
    <row r="655" spans="18:18" ht="15.75" customHeight="1">
      <c r="R655" s="30"/>
    </row>
    <row r="656" spans="18:18" ht="15.75" customHeight="1">
      <c r="R656" s="30"/>
    </row>
    <row r="657" spans="18:18" ht="15.75" customHeight="1">
      <c r="R657" s="30"/>
    </row>
    <row r="658" spans="18:18" ht="15.75" customHeight="1">
      <c r="R658" s="30"/>
    </row>
    <row r="659" spans="18:18" ht="15.75" customHeight="1">
      <c r="R659" s="30"/>
    </row>
    <row r="660" spans="18:18" ht="15.75" customHeight="1">
      <c r="R660" s="30"/>
    </row>
    <row r="661" spans="18:18" ht="15.75" customHeight="1">
      <c r="R661" s="30"/>
    </row>
    <row r="662" spans="18:18" ht="15.75" customHeight="1">
      <c r="R662" s="30"/>
    </row>
    <row r="663" spans="18:18" ht="15.75" customHeight="1">
      <c r="R663" s="30"/>
    </row>
    <row r="664" spans="18:18" ht="15.75" customHeight="1">
      <c r="R664" s="30"/>
    </row>
    <row r="665" spans="18:18" ht="15.75" customHeight="1">
      <c r="R665" s="30"/>
    </row>
    <row r="666" spans="18:18" ht="15.75" customHeight="1">
      <c r="R666" s="30"/>
    </row>
    <row r="667" spans="18:18" ht="15.75" customHeight="1">
      <c r="R667" s="30"/>
    </row>
    <row r="668" spans="18:18" ht="15.75" customHeight="1">
      <c r="R668" s="30"/>
    </row>
    <row r="669" spans="18:18" ht="15.75" customHeight="1">
      <c r="R669" s="30"/>
    </row>
    <row r="670" spans="18:18" ht="15.75" customHeight="1">
      <c r="R670" s="30"/>
    </row>
    <row r="671" spans="18:18" ht="15.75" customHeight="1">
      <c r="R671" s="30"/>
    </row>
    <row r="672" spans="18:18" ht="15.75" customHeight="1">
      <c r="R672" s="30"/>
    </row>
    <row r="673" spans="18:18" ht="15.75" customHeight="1">
      <c r="R673" s="30"/>
    </row>
    <row r="674" spans="18:18" ht="15.75" customHeight="1">
      <c r="R674" s="30"/>
    </row>
    <row r="675" spans="18:18" ht="15.75" customHeight="1">
      <c r="R675" s="30"/>
    </row>
    <row r="676" spans="18:18" ht="15.75" customHeight="1">
      <c r="R676" s="30"/>
    </row>
    <row r="677" spans="18:18" ht="15.75" customHeight="1">
      <c r="R677" s="30"/>
    </row>
    <row r="678" spans="18:18" ht="15.75" customHeight="1">
      <c r="R678" s="30"/>
    </row>
    <row r="679" spans="18:18" ht="15.75" customHeight="1">
      <c r="R679" s="30"/>
    </row>
    <row r="680" spans="18:18" ht="15.75" customHeight="1">
      <c r="R680" s="30"/>
    </row>
    <row r="681" spans="18:18" ht="15.75" customHeight="1">
      <c r="R681" s="30"/>
    </row>
    <row r="682" spans="18:18" ht="15.75" customHeight="1">
      <c r="R682" s="30"/>
    </row>
    <row r="683" spans="18:18" ht="15.75" customHeight="1">
      <c r="R683" s="30"/>
    </row>
    <row r="684" spans="18:18" ht="15.75" customHeight="1">
      <c r="R684" s="30"/>
    </row>
    <row r="685" spans="18:18" ht="15.75" customHeight="1">
      <c r="R685" s="30"/>
    </row>
    <row r="686" spans="18:18" ht="15.75" customHeight="1">
      <c r="R686" s="30"/>
    </row>
    <row r="687" spans="18:18" ht="15.75" customHeight="1">
      <c r="R687" s="30"/>
    </row>
    <row r="688" spans="18:18" ht="15.75" customHeight="1">
      <c r="R688" s="30"/>
    </row>
    <row r="689" spans="18:18" ht="15.75" customHeight="1">
      <c r="R689" s="30"/>
    </row>
    <row r="690" spans="18:18" ht="15.75" customHeight="1">
      <c r="R690" s="30"/>
    </row>
    <row r="691" spans="18:18" ht="15.75" customHeight="1">
      <c r="R691" s="30"/>
    </row>
    <row r="692" spans="18:18" ht="15.75" customHeight="1">
      <c r="R692" s="30"/>
    </row>
    <row r="693" spans="18:18" ht="15.75" customHeight="1">
      <c r="R693" s="30"/>
    </row>
    <row r="694" spans="18:18" ht="15.75" customHeight="1">
      <c r="R694" s="30"/>
    </row>
    <row r="695" spans="18:18" ht="15.75" customHeight="1">
      <c r="R695" s="30"/>
    </row>
    <row r="696" spans="18:18" ht="15.75" customHeight="1">
      <c r="R696" s="30"/>
    </row>
    <row r="697" spans="18:18" ht="15.75" customHeight="1">
      <c r="R697" s="30"/>
    </row>
    <row r="698" spans="18:18" ht="15.75" customHeight="1">
      <c r="R698" s="30"/>
    </row>
    <row r="699" spans="18:18" ht="15.75" customHeight="1">
      <c r="R699" s="30"/>
    </row>
    <row r="700" spans="18:18" ht="15.75" customHeight="1">
      <c r="R700" s="30"/>
    </row>
    <row r="701" spans="18:18" ht="15.75" customHeight="1">
      <c r="R701" s="30"/>
    </row>
    <row r="702" spans="18:18" ht="15.75" customHeight="1">
      <c r="R702" s="30"/>
    </row>
    <row r="703" spans="18:18" ht="15.75" customHeight="1">
      <c r="R703" s="30"/>
    </row>
    <row r="704" spans="18:18" ht="15.75" customHeight="1">
      <c r="R704" s="30"/>
    </row>
    <row r="705" spans="18:18" ht="15.75" customHeight="1">
      <c r="R705" s="30"/>
    </row>
    <row r="706" spans="18:18" ht="15.75" customHeight="1">
      <c r="R706" s="30"/>
    </row>
    <row r="707" spans="18:18" ht="15.75" customHeight="1">
      <c r="R707" s="30"/>
    </row>
    <row r="708" spans="18:18" ht="15.75" customHeight="1">
      <c r="R708" s="30"/>
    </row>
    <row r="709" spans="18:18" ht="15.75" customHeight="1">
      <c r="R709" s="30"/>
    </row>
    <row r="710" spans="18:18" ht="15.75" customHeight="1">
      <c r="R710" s="30"/>
    </row>
    <row r="711" spans="18:18" ht="15.75" customHeight="1">
      <c r="R711" s="30"/>
    </row>
    <row r="712" spans="18:18" ht="15.75" customHeight="1">
      <c r="R712" s="30"/>
    </row>
    <row r="713" spans="18:18" ht="15.75" customHeight="1">
      <c r="R713" s="30"/>
    </row>
    <row r="714" spans="18:18" ht="15.75" customHeight="1">
      <c r="R714" s="30"/>
    </row>
    <row r="715" spans="18:18" ht="15.75" customHeight="1">
      <c r="R715" s="30"/>
    </row>
    <row r="716" spans="18:18" ht="15.75" customHeight="1">
      <c r="R716" s="30"/>
    </row>
    <row r="717" spans="18:18" ht="15.75" customHeight="1">
      <c r="R717" s="30"/>
    </row>
    <row r="718" spans="18:18" ht="15.75" customHeight="1">
      <c r="R718" s="30"/>
    </row>
    <row r="719" spans="18:18" ht="15.75" customHeight="1">
      <c r="R719" s="30"/>
    </row>
    <row r="720" spans="18:18" ht="15.75" customHeight="1">
      <c r="R720" s="30"/>
    </row>
    <row r="721" spans="18:18" ht="15.75" customHeight="1">
      <c r="R721" s="30"/>
    </row>
    <row r="722" spans="18:18" ht="15.75" customHeight="1">
      <c r="R722" s="30"/>
    </row>
    <row r="723" spans="18:18" ht="15.75" customHeight="1">
      <c r="R723" s="30"/>
    </row>
    <row r="724" spans="18:18" ht="15.75" customHeight="1">
      <c r="R724" s="30"/>
    </row>
    <row r="725" spans="18:18" ht="15.75" customHeight="1">
      <c r="R725" s="30"/>
    </row>
    <row r="726" spans="18:18" ht="15.75" customHeight="1">
      <c r="R726" s="30"/>
    </row>
    <row r="727" spans="18:18" ht="15.75" customHeight="1">
      <c r="R727" s="30"/>
    </row>
    <row r="728" spans="18:18" ht="15.75" customHeight="1">
      <c r="R728" s="30"/>
    </row>
    <row r="729" spans="18:18" ht="15.75" customHeight="1">
      <c r="R729" s="30"/>
    </row>
    <row r="730" spans="18:18" ht="15.75" customHeight="1">
      <c r="R730" s="30"/>
    </row>
    <row r="731" spans="18:18" ht="15.75" customHeight="1">
      <c r="R731" s="30"/>
    </row>
    <row r="732" spans="18:18" ht="15.75" customHeight="1">
      <c r="R732" s="30"/>
    </row>
    <row r="733" spans="18:18" ht="15.75" customHeight="1">
      <c r="R733" s="30"/>
    </row>
    <row r="734" spans="18:18" ht="15.75" customHeight="1">
      <c r="R734" s="30"/>
    </row>
    <row r="735" spans="18:18" ht="15.75" customHeight="1">
      <c r="R735" s="30"/>
    </row>
    <row r="736" spans="18:18" ht="15.75" customHeight="1">
      <c r="R736" s="30"/>
    </row>
    <row r="737" spans="18:18" ht="15.75" customHeight="1">
      <c r="R737" s="30"/>
    </row>
    <row r="738" spans="18:18" ht="15.75" customHeight="1">
      <c r="R738" s="30"/>
    </row>
    <row r="739" spans="18:18" ht="15.75" customHeight="1">
      <c r="R739" s="30"/>
    </row>
    <row r="740" spans="18:18" ht="15.75" customHeight="1">
      <c r="R740" s="30"/>
    </row>
    <row r="741" spans="18:18" ht="15.75" customHeight="1">
      <c r="R741" s="30"/>
    </row>
    <row r="742" spans="18:18" ht="15.75" customHeight="1">
      <c r="R742" s="30"/>
    </row>
    <row r="743" spans="18:18" ht="15.75" customHeight="1">
      <c r="R743" s="30"/>
    </row>
    <row r="744" spans="18:18" ht="15.75" customHeight="1">
      <c r="R744" s="30"/>
    </row>
    <row r="745" spans="18:18" ht="15.75" customHeight="1">
      <c r="R745" s="30"/>
    </row>
    <row r="746" spans="18:18" ht="15.75" customHeight="1">
      <c r="R746" s="30"/>
    </row>
    <row r="747" spans="18:18" ht="15.75" customHeight="1">
      <c r="R747" s="30"/>
    </row>
    <row r="748" spans="18:18" ht="15.75" customHeight="1">
      <c r="R748" s="30"/>
    </row>
    <row r="749" spans="18:18" ht="15.75" customHeight="1">
      <c r="R749" s="30"/>
    </row>
    <row r="750" spans="18:18" ht="15.75" customHeight="1">
      <c r="R750" s="30"/>
    </row>
    <row r="751" spans="18:18" ht="15.75" customHeight="1">
      <c r="R751" s="30"/>
    </row>
    <row r="752" spans="18:18" ht="15.75" customHeight="1">
      <c r="R752" s="30"/>
    </row>
    <row r="753" spans="18:18" ht="15.75" customHeight="1">
      <c r="R753" s="30"/>
    </row>
    <row r="754" spans="18:18" ht="15.75" customHeight="1">
      <c r="R754" s="30"/>
    </row>
    <row r="755" spans="18:18" ht="15.75" customHeight="1">
      <c r="R755" s="30"/>
    </row>
    <row r="756" spans="18:18" ht="15.75" customHeight="1">
      <c r="R756" s="30"/>
    </row>
    <row r="757" spans="18:18" ht="15.75" customHeight="1">
      <c r="R757" s="30"/>
    </row>
    <row r="758" spans="18:18" ht="15.75" customHeight="1">
      <c r="R758" s="30"/>
    </row>
    <row r="759" spans="18:18" ht="15.75" customHeight="1">
      <c r="R759" s="30"/>
    </row>
    <row r="760" spans="18:18" ht="15.75" customHeight="1">
      <c r="R760" s="30"/>
    </row>
    <row r="761" spans="18:18" ht="15.75" customHeight="1">
      <c r="R761" s="30"/>
    </row>
    <row r="762" spans="18:18" ht="15.75" customHeight="1">
      <c r="R762" s="30"/>
    </row>
    <row r="763" spans="18:18" ht="15.75" customHeight="1">
      <c r="R763" s="30"/>
    </row>
    <row r="764" spans="18:18" ht="15.75" customHeight="1">
      <c r="R764" s="30"/>
    </row>
    <row r="765" spans="18:18" ht="15.75" customHeight="1">
      <c r="R765" s="30"/>
    </row>
    <row r="766" spans="18:18" ht="15.75" customHeight="1">
      <c r="R766" s="30"/>
    </row>
    <row r="767" spans="18:18" ht="15.75" customHeight="1">
      <c r="R767" s="30"/>
    </row>
    <row r="768" spans="18:18" ht="15.75" customHeight="1">
      <c r="R768" s="30"/>
    </row>
    <row r="769" spans="18:18" ht="15.75" customHeight="1">
      <c r="R769" s="30"/>
    </row>
    <row r="770" spans="18:18" ht="15.75" customHeight="1">
      <c r="R770" s="30"/>
    </row>
    <row r="771" spans="18:18" ht="15.75" customHeight="1">
      <c r="R771" s="30"/>
    </row>
    <row r="772" spans="18:18" ht="15.75" customHeight="1">
      <c r="R772" s="30"/>
    </row>
    <row r="773" spans="18:18" ht="15.75" customHeight="1">
      <c r="R773" s="30"/>
    </row>
    <row r="774" spans="18:18" ht="15.75" customHeight="1">
      <c r="R774" s="30"/>
    </row>
    <row r="775" spans="18:18" ht="15.75" customHeight="1">
      <c r="R775" s="30"/>
    </row>
    <row r="776" spans="18:18" ht="15.75" customHeight="1">
      <c r="R776" s="30"/>
    </row>
    <row r="777" spans="18:18" ht="15.75" customHeight="1">
      <c r="R777" s="30"/>
    </row>
    <row r="778" spans="18:18" ht="15.75" customHeight="1">
      <c r="R778" s="30"/>
    </row>
    <row r="779" spans="18:18" ht="15.75" customHeight="1">
      <c r="R779" s="30"/>
    </row>
    <row r="780" spans="18:18" ht="15.75" customHeight="1">
      <c r="R780" s="30"/>
    </row>
    <row r="781" spans="18:18" ht="15.75" customHeight="1">
      <c r="R781" s="30"/>
    </row>
    <row r="782" spans="18:18" ht="15.75" customHeight="1">
      <c r="R782" s="30"/>
    </row>
    <row r="783" spans="18:18" ht="15.75" customHeight="1">
      <c r="R783" s="30"/>
    </row>
    <row r="784" spans="18:18" ht="15.75" customHeight="1">
      <c r="R784" s="30"/>
    </row>
    <row r="785" spans="18:18" ht="15.75" customHeight="1">
      <c r="R785" s="30"/>
    </row>
    <row r="786" spans="18:18" ht="15.75" customHeight="1">
      <c r="R786" s="30"/>
    </row>
    <row r="787" spans="18:18" ht="15.75" customHeight="1">
      <c r="R787" s="30"/>
    </row>
    <row r="788" spans="18:18" ht="15.75" customHeight="1">
      <c r="R788" s="30"/>
    </row>
    <row r="789" spans="18:18" ht="15.75" customHeight="1">
      <c r="R789" s="30"/>
    </row>
    <row r="790" spans="18:18" ht="15.75" customHeight="1">
      <c r="R790" s="30"/>
    </row>
    <row r="791" spans="18:18" ht="15.75" customHeight="1">
      <c r="R791" s="30"/>
    </row>
    <row r="792" spans="18:18" ht="15.75" customHeight="1">
      <c r="R792" s="30"/>
    </row>
    <row r="793" spans="18:18" ht="15.75" customHeight="1">
      <c r="R793" s="30"/>
    </row>
    <row r="794" spans="18:18" ht="15.75" customHeight="1">
      <c r="R794" s="30"/>
    </row>
    <row r="795" spans="18:18" ht="15.75" customHeight="1">
      <c r="R795" s="30"/>
    </row>
    <row r="796" spans="18:18" ht="15.75" customHeight="1">
      <c r="R796" s="30"/>
    </row>
    <row r="797" spans="18:18" ht="15.75" customHeight="1">
      <c r="R797" s="30"/>
    </row>
    <row r="798" spans="18:18" ht="15.75" customHeight="1">
      <c r="R798" s="30"/>
    </row>
    <row r="799" spans="18:18" ht="15.75" customHeight="1">
      <c r="R799" s="30"/>
    </row>
    <row r="800" spans="18:18" ht="15.75" customHeight="1">
      <c r="R800" s="30"/>
    </row>
    <row r="801" spans="18:18" ht="15.75" customHeight="1">
      <c r="R801" s="30"/>
    </row>
    <row r="802" spans="18:18" ht="15.75" customHeight="1">
      <c r="R802" s="30"/>
    </row>
    <row r="803" spans="18:18" ht="15.75" customHeight="1">
      <c r="R803" s="30"/>
    </row>
    <row r="804" spans="18:18" ht="15.75" customHeight="1">
      <c r="R804" s="30"/>
    </row>
    <row r="805" spans="18:18" ht="15.75" customHeight="1">
      <c r="R805" s="30"/>
    </row>
    <row r="806" spans="18:18" ht="15.75" customHeight="1">
      <c r="R806" s="30"/>
    </row>
    <row r="807" spans="18:18" ht="15.75" customHeight="1">
      <c r="R807" s="30"/>
    </row>
    <row r="808" spans="18:18" ht="15.75" customHeight="1">
      <c r="R808" s="30"/>
    </row>
    <row r="809" spans="18:18" ht="15.75" customHeight="1">
      <c r="R809" s="30"/>
    </row>
    <row r="810" spans="18:18" ht="15.75" customHeight="1">
      <c r="R810" s="30"/>
    </row>
    <row r="811" spans="18:18" ht="15.75" customHeight="1">
      <c r="R811" s="30"/>
    </row>
    <row r="812" spans="18:18" ht="15.75" customHeight="1">
      <c r="R812" s="30"/>
    </row>
    <row r="813" spans="18:18" ht="15.75" customHeight="1">
      <c r="R813" s="30"/>
    </row>
    <row r="814" spans="18:18" ht="15.75" customHeight="1">
      <c r="R814" s="30"/>
    </row>
    <row r="815" spans="18:18" ht="15.75" customHeight="1">
      <c r="R815" s="30"/>
    </row>
    <row r="816" spans="18:18" ht="15.75" customHeight="1">
      <c r="R816" s="30"/>
    </row>
    <row r="817" spans="18:18" ht="15.75" customHeight="1">
      <c r="R817" s="30"/>
    </row>
    <row r="818" spans="18:18" ht="15.75" customHeight="1">
      <c r="R818" s="30"/>
    </row>
    <row r="819" spans="18:18" ht="15.75" customHeight="1">
      <c r="R819" s="30"/>
    </row>
    <row r="820" spans="18:18" ht="15.75" customHeight="1">
      <c r="R820" s="30"/>
    </row>
    <row r="821" spans="18:18" ht="15.75" customHeight="1">
      <c r="R821" s="30"/>
    </row>
    <row r="822" spans="18:18" ht="15.75" customHeight="1">
      <c r="R822" s="30"/>
    </row>
    <row r="823" spans="18:18" ht="15.75" customHeight="1">
      <c r="R823" s="30"/>
    </row>
    <row r="824" spans="18:18" ht="15.75" customHeight="1">
      <c r="R824" s="30"/>
    </row>
    <row r="825" spans="18:18" ht="15.75" customHeight="1">
      <c r="R825" s="30"/>
    </row>
    <row r="826" spans="18:18" ht="15.75" customHeight="1">
      <c r="R826" s="30"/>
    </row>
    <row r="827" spans="18:18" ht="15.75" customHeight="1">
      <c r="R827" s="30"/>
    </row>
    <row r="828" spans="18:18" ht="15.75" customHeight="1">
      <c r="R828" s="30"/>
    </row>
    <row r="829" spans="18:18" ht="15.75" customHeight="1">
      <c r="R829" s="30"/>
    </row>
    <row r="830" spans="18:18" ht="15.75" customHeight="1">
      <c r="R830" s="30"/>
    </row>
    <row r="831" spans="18:18" ht="15.75" customHeight="1">
      <c r="R831" s="30"/>
    </row>
    <row r="832" spans="18:18" ht="15.75" customHeight="1">
      <c r="R832" s="30"/>
    </row>
    <row r="833" spans="18:18" ht="15.75" customHeight="1">
      <c r="R833" s="30"/>
    </row>
    <row r="834" spans="18:18" ht="15.75" customHeight="1">
      <c r="R834" s="30"/>
    </row>
    <row r="835" spans="18:18" ht="15.75" customHeight="1">
      <c r="R835" s="30"/>
    </row>
    <row r="836" spans="18:18" ht="15.75" customHeight="1">
      <c r="R836" s="30"/>
    </row>
    <row r="837" spans="18:18" ht="15.75" customHeight="1">
      <c r="R837" s="30"/>
    </row>
    <row r="838" spans="18:18" ht="15.75" customHeight="1">
      <c r="R838" s="30"/>
    </row>
    <row r="839" spans="18:18" ht="15.75" customHeight="1">
      <c r="R839" s="30"/>
    </row>
    <row r="840" spans="18:18" ht="15.75" customHeight="1">
      <c r="R840" s="30"/>
    </row>
    <row r="841" spans="18:18" ht="15.75" customHeight="1">
      <c r="R841" s="30"/>
    </row>
    <row r="842" spans="18:18" ht="15.75" customHeight="1">
      <c r="R842" s="30"/>
    </row>
    <row r="843" spans="18:18" ht="15.75" customHeight="1">
      <c r="R843" s="30"/>
    </row>
    <row r="844" spans="18:18" ht="15.75" customHeight="1">
      <c r="R844" s="30"/>
    </row>
    <row r="845" spans="18:18" ht="15.75" customHeight="1">
      <c r="R845" s="30"/>
    </row>
    <row r="846" spans="18:18" ht="15.75" customHeight="1">
      <c r="R846" s="30"/>
    </row>
    <row r="847" spans="18:18" ht="15.75" customHeight="1">
      <c r="R847" s="30"/>
    </row>
    <row r="848" spans="18:18" ht="15.75" customHeight="1">
      <c r="R848" s="30"/>
    </row>
    <row r="849" spans="18:18" ht="15.75" customHeight="1">
      <c r="R849" s="30"/>
    </row>
    <row r="850" spans="18:18" ht="15.75" customHeight="1">
      <c r="R850" s="30"/>
    </row>
    <row r="851" spans="18:18" ht="15.75" customHeight="1">
      <c r="R851" s="30"/>
    </row>
    <row r="852" spans="18:18" ht="15.75" customHeight="1">
      <c r="R852" s="30"/>
    </row>
    <row r="853" spans="18:18" ht="15.75" customHeight="1">
      <c r="R853" s="30"/>
    </row>
    <row r="854" spans="18:18" ht="15.75" customHeight="1">
      <c r="R854" s="30"/>
    </row>
    <row r="855" spans="18:18" ht="15.75" customHeight="1">
      <c r="R855" s="30"/>
    </row>
    <row r="856" spans="18:18" ht="15.75" customHeight="1">
      <c r="R856" s="30"/>
    </row>
    <row r="857" spans="18:18" ht="15.75" customHeight="1">
      <c r="R857" s="30"/>
    </row>
    <row r="858" spans="18:18" ht="15.75" customHeight="1">
      <c r="R858" s="30"/>
    </row>
    <row r="859" spans="18:18" ht="15.75" customHeight="1">
      <c r="R859" s="30"/>
    </row>
    <row r="860" spans="18:18" ht="15.75" customHeight="1">
      <c r="R860" s="30"/>
    </row>
    <row r="861" spans="18:18" ht="15.75" customHeight="1">
      <c r="R861" s="30"/>
    </row>
    <row r="862" spans="18:18" ht="15.75" customHeight="1">
      <c r="R862" s="30"/>
    </row>
    <row r="863" spans="18:18" ht="15.75" customHeight="1">
      <c r="R863" s="30"/>
    </row>
    <row r="864" spans="18:18" ht="15.75" customHeight="1">
      <c r="R864" s="30"/>
    </row>
    <row r="865" spans="18:18" ht="15.75" customHeight="1">
      <c r="R865" s="30"/>
    </row>
    <row r="866" spans="18:18" ht="15.75" customHeight="1">
      <c r="R866" s="30"/>
    </row>
    <row r="867" spans="18:18" ht="15.75" customHeight="1">
      <c r="R867" s="30"/>
    </row>
    <row r="868" spans="18:18" ht="15.75" customHeight="1">
      <c r="R868" s="30"/>
    </row>
    <row r="869" spans="18:18" ht="15.75" customHeight="1">
      <c r="R869" s="30"/>
    </row>
    <row r="870" spans="18:18" ht="15.75" customHeight="1">
      <c r="R870" s="30"/>
    </row>
    <row r="871" spans="18:18" ht="15.75" customHeight="1">
      <c r="R871" s="30"/>
    </row>
    <row r="872" spans="18:18" ht="15.75" customHeight="1">
      <c r="R872" s="30"/>
    </row>
    <row r="873" spans="18:18" ht="15.75" customHeight="1">
      <c r="R873" s="30"/>
    </row>
    <row r="874" spans="18:18" ht="15.75" customHeight="1">
      <c r="R874" s="30"/>
    </row>
    <row r="875" spans="18:18" ht="15.75" customHeight="1">
      <c r="R875" s="30"/>
    </row>
    <row r="876" spans="18:18" ht="15.75" customHeight="1">
      <c r="R876" s="30"/>
    </row>
    <row r="877" spans="18:18" ht="15.75" customHeight="1">
      <c r="R877" s="30"/>
    </row>
    <row r="878" spans="18:18" ht="15.75" customHeight="1">
      <c r="R878" s="30"/>
    </row>
    <row r="879" spans="18:18" ht="15.75" customHeight="1">
      <c r="R879" s="30"/>
    </row>
    <row r="880" spans="18:18" ht="15.75" customHeight="1">
      <c r="R880" s="30"/>
    </row>
    <row r="881" spans="18:18" ht="15.75" customHeight="1">
      <c r="R881" s="30"/>
    </row>
    <row r="882" spans="18:18" ht="15.75" customHeight="1">
      <c r="R882" s="30"/>
    </row>
    <row r="883" spans="18:18" ht="15.75" customHeight="1">
      <c r="R883" s="30"/>
    </row>
    <row r="884" spans="18:18" ht="15.75" customHeight="1">
      <c r="R884" s="30"/>
    </row>
    <row r="885" spans="18:18" ht="15.75" customHeight="1">
      <c r="R885" s="30"/>
    </row>
    <row r="886" spans="18:18" ht="15.75" customHeight="1">
      <c r="R886" s="30"/>
    </row>
    <row r="887" spans="18:18" ht="15.75" customHeight="1">
      <c r="R887" s="30"/>
    </row>
    <row r="888" spans="18:18" ht="15.75" customHeight="1">
      <c r="R888" s="30"/>
    </row>
    <row r="889" spans="18:18" ht="15.75" customHeight="1">
      <c r="R889" s="30"/>
    </row>
    <row r="890" spans="18:18" ht="15.75" customHeight="1">
      <c r="R890" s="30"/>
    </row>
    <row r="891" spans="18:18" ht="15.75" customHeight="1">
      <c r="R891" s="30"/>
    </row>
    <row r="892" spans="18:18" ht="15.75" customHeight="1">
      <c r="R892" s="30"/>
    </row>
    <row r="893" spans="18:18" ht="15.75" customHeight="1">
      <c r="R893" s="30"/>
    </row>
    <row r="894" spans="18:18" ht="15.75" customHeight="1">
      <c r="R894" s="30"/>
    </row>
    <row r="895" spans="18:18" ht="15.75" customHeight="1">
      <c r="R895" s="30"/>
    </row>
    <row r="896" spans="18:18" ht="15.75" customHeight="1">
      <c r="R896" s="30"/>
    </row>
    <row r="897" spans="18:18" ht="15.75" customHeight="1">
      <c r="R897" s="30"/>
    </row>
    <row r="898" spans="18:18" ht="15.75" customHeight="1">
      <c r="R898" s="30"/>
    </row>
    <row r="899" spans="18:18" ht="15.75" customHeight="1">
      <c r="R899" s="30"/>
    </row>
    <row r="900" spans="18:18" ht="15.75" customHeight="1">
      <c r="R900" s="30"/>
    </row>
    <row r="901" spans="18:18" ht="15.75" customHeight="1">
      <c r="R901" s="30"/>
    </row>
    <row r="902" spans="18:18" ht="15.75" customHeight="1">
      <c r="R902" s="30"/>
    </row>
    <row r="903" spans="18:18" ht="15.75" customHeight="1">
      <c r="R903" s="30"/>
    </row>
    <row r="904" spans="18:18" ht="15.75" customHeight="1">
      <c r="R904" s="30"/>
    </row>
    <row r="905" spans="18:18" ht="15.75" customHeight="1">
      <c r="R905" s="30"/>
    </row>
    <row r="906" spans="18:18" ht="15.75" customHeight="1">
      <c r="R906" s="30"/>
    </row>
    <row r="907" spans="18:18" ht="15.75" customHeight="1">
      <c r="R907" s="30"/>
    </row>
    <row r="908" spans="18:18" ht="15.75" customHeight="1">
      <c r="R908" s="30"/>
    </row>
    <row r="909" spans="18:18" ht="15.75" customHeight="1">
      <c r="R909" s="30"/>
    </row>
    <row r="910" spans="18:18" ht="15.75" customHeight="1">
      <c r="R910" s="30"/>
    </row>
    <row r="911" spans="18:18" ht="15.75" customHeight="1">
      <c r="R911" s="30"/>
    </row>
    <row r="912" spans="18:18" ht="15.75" customHeight="1">
      <c r="R912" s="30"/>
    </row>
    <row r="913" spans="18:18" ht="15.75" customHeight="1">
      <c r="R913" s="30"/>
    </row>
    <row r="914" spans="18:18" ht="15.75" customHeight="1">
      <c r="R914" s="30"/>
    </row>
    <row r="915" spans="18:18" ht="15.75" customHeight="1">
      <c r="R915" s="30"/>
    </row>
    <row r="916" spans="18:18" ht="15.75" customHeight="1">
      <c r="R916" s="30"/>
    </row>
    <row r="917" spans="18:18" ht="15.75" customHeight="1">
      <c r="R917" s="30"/>
    </row>
    <row r="918" spans="18:18" ht="15.75" customHeight="1">
      <c r="R918" s="30"/>
    </row>
    <row r="919" spans="18:18" ht="15.75" customHeight="1">
      <c r="R919" s="30"/>
    </row>
    <row r="920" spans="18:18" ht="15.75" customHeight="1">
      <c r="R920" s="30"/>
    </row>
    <row r="921" spans="18:18" ht="15.75" customHeight="1">
      <c r="R921" s="30"/>
    </row>
    <row r="922" spans="18:18" ht="15.75" customHeight="1">
      <c r="R922" s="30"/>
    </row>
    <row r="923" spans="18:18" ht="15.75" customHeight="1">
      <c r="R923" s="30"/>
    </row>
    <row r="924" spans="18:18" ht="15.75" customHeight="1">
      <c r="R924" s="30"/>
    </row>
    <row r="925" spans="18:18" ht="15.75" customHeight="1">
      <c r="R925" s="30"/>
    </row>
    <row r="926" spans="18:18" ht="15.75" customHeight="1">
      <c r="R926" s="30"/>
    </row>
    <row r="927" spans="18:18" ht="15.75" customHeight="1">
      <c r="R927" s="30"/>
    </row>
    <row r="928" spans="18:18" ht="15.75" customHeight="1">
      <c r="R928" s="30"/>
    </row>
    <row r="929" spans="18:18" ht="15.75" customHeight="1">
      <c r="R929" s="30"/>
    </row>
    <row r="930" spans="18:18" ht="15.75" customHeight="1">
      <c r="R930" s="30"/>
    </row>
    <row r="931" spans="18:18" ht="15.75" customHeight="1">
      <c r="R931" s="30"/>
    </row>
    <row r="932" spans="18:18" ht="15.75" customHeight="1">
      <c r="R932" s="30"/>
    </row>
    <row r="933" spans="18:18" ht="15.75" customHeight="1">
      <c r="R933" s="30"/>
    </row>
    <row r="934" spans="18:18" ht="15.75" customHeight="1">
      <c r="R934" s="30"/>
    </row>
    <row r="935" spans="18:18" ht="15.75" customHeight="1">
      <c r="R935" s="30"/>
    </row>
    <row r="936" spans="18:18" ht="15.75" customHeight="1">
      <c r="R936" s="30"/>
    </row>
    <row r="937" spans="18:18" ht="15.75" customHeight="1">
      <c r="R937" s="30"/>
    </row>
    <row r="938" spans="18:18" ht="15.75" customHeight="1">
      <c r="R938" s="30"/>
    </row>
    <row r="939" spans="18:18" ht="15.75" customHeight="1">
      <c r="R939" s="30"/>
    </row>
    <row r="940" spans="18:18" ht="15.75" customHeight="1">
      <c r="R940" s="30"/>
    </row>
    <row r="941" spans="18:18" ht="15.75" customHeight="1">
      <c r="R941" s="30"/>
    </row>
    <row r="942" spans="18:18" ht="15.75" customHeight="1">
      <c r="R942" s="30"/>
    </row>
    <row r="943" spans="18:18" ht="15.75" customHeight="1">
      <c r="R943" s="30"/>
    </row>
    <row r="944" spans="18:18" ht="15.75" customHeight="1">
      <c r="R944" s="30"/>
    </row>
    <row r="945" spans="18:18" ht="15.75" customHeight="1">
      <c r="R945" s="30"/>
    </row>
    <row r="946" spans="18:18" ht="15.75" customHeight="1">
      <c r="R946" s="30"/>
    </row>
    <row r="947" spans="18:18" ht="15.75" customHeight="1">
      <c r="R947" s="30"/>
    </row>
    <row r="948" spans="18:18" ht="15.75" customHeight="1">
      <c r="R948" s="30"/>
    </row>
    <row r="949" spans="18:18" ht="15.75" customHeight="1">
      <c r="R949" s="30"/>
    </row>
    <row r="950" spans="18:18" ht="15.75" customHeight="1">
      <c r="R950" s="30"/>
    </row>
    <row r="951" spans="18:18" ht="15.75" customHeight="1">
      <c r="R951" s="30"/>
    </row>
    <row r="952" spans="18:18" ht="15.75" customHeight="1">
      <c r="R952" s="30"/>
    </row>
    <row r="953" spans="18:18" ht="15.75" customHeight="1">
      <c r="R953" s="30"/>
    </row>
    <row r="954" spans="18:18" ht="15.75" customHeight="1">
      <c r="R954" s="30"/>
    </row>
    <row r="955" spans="18:18" ht="15.75" customHeight="1">
      <c r="R955" s="30"/>
    </row>
    <row r="956" spans="18:18" ht="15.75" customHeight="1">
      <c r="R956" s="30"/>
    </row>
    <row r="957" spans="18:18" ht="15.75" customHeight="1">
      <c r="R957" s="30"/>
    </row>
    <row r="958" spans="18:18" ht="15.75" customHeight="1">
      <c r="R958" s="30"/>
    </row>
    <row r="959" spans="18:18" ht="15.75" customHeight="1">
      <c r="R959" s="30"/>
    </row>
    <row r="960" spans="18:18" ht="15.75" customHeight="1">
      <c r="R960" s="30"/>
    </row>
    <row r="961" spans="18:18" ht="15.75" customHeight="1">
      <c r="R961" s="30"/>
    </row>
    <row r="962" spans="18:18" ht="15.75" customHeight="1">
      <c r="R962" s="30"/>
    </row>
    <row r="963" spans="18:18" ht="15.75" customHeight="1">
      <c r="R963" s="30"/>
    </row>
    <row r="964" spans="18:18" ht="15.75" customHeight="1">
      <c r="R964" s="30"/>
    </row>
    <row r="965" spans="18:18" ht="15.75" customHeight="1">
      <c r="R965" s="30"/>
    </row>
    <row r="966" spans="18:18" ht="15.75" customHeight="1">
      <c r="R966" s="30"/>
    </row>
    <row r="967" spans="18:18" ht="15.75" customHeight="1">
      <c r="R967" s="30"/>
    </row>
    <row r="968" spans="18:18" ht="15.75" customHeight="1">
      <c r="R968" s="30"/>
    </row>
    <row r="969" spans="18:18" ht="15.75" customHeight="1">
      <c r="R969" s="30"/>
    </row>
    <row r="970" spans="18:18" ht="15.75" customHeight="1">
      <c r="R970" s="30"/>
    </row>
    <row r="971" spans="18:18" ht="15.75" customHeight="1">
      <c r="R971" s="30"/>
    </row>
    <row r="972" spans="18:18" ht="15.75" customHeight="1">
      <c r="R972" s="30"/>
    </row>
    <row r="973" spans="18:18" ht="15.75" customHeight="1">
      <c r="R973" s="30"/>
    </row>
    <row r="974" spans="18:18" ht="15.75" customHeight="1">
      <c r="R974" s="30"/>
    </row>
    <row r="975" spans="18:18" ht="15.75" customHeight="1">
      <c r="R975" s="30"/>
    </row>
    <row r="976" spans="18:18" ht="15.75" customHeight="1">
      <c r="R976" s="30"/>
    </row>
    <row r="977" spans="18:18" ht="15.75" customHeight="1">
      <c r="R977" s="30"/>
    </row>
    <row r="978" spans="18:18" ht="15.75" customHeight="1">
      <c r="R978" s="30"/>
    </row>
    <row r="979" spans="18:18" ht="15.75" customHeight="1">
      <c r="R979" s="30"/>
    </row>
    <row r="980" spans="18:18" ht="15.75" customHeight="1">
      <c r="R980" s="30"/>
    </row>
    <row r="981" spans="18:18" ht="15.75" customHeight="1">
      <c r="R981" s="30"/>
    </row>
    <row r="982" spans="18:18" ht="15.75" customHeight="1">
      <c r="R982" s="30"/>
    </row>
    <row r="983" spans="18:18" ht="15.75" customHeight="1">
      <c r="R983" s="30"/>
    </row>
    <row r="984" spans="18:18" ht="15.75" customHeight="1">
      <c r="R984" s="30"/>
    </row>
    <row r="985" spans="18:18" ht="15.75" customHeight="1">
      <c r="R985" s="30"/>
    </row>
    <row r="986" spans="18:18" ht="15.75" customHeight="1">
      <c r="R986" s="30"/>
    </row>
    <row r="987" spans="18:18" ht="15.75" customHeight="1">
      <c r="R987" s="30"/>
    </row>
    <row r="988" spans="18:18" ht="15.75" customHeight="1">
      <c r="R988" s="30"/>
    </row>
    <row r="989" spans="18:18" ht="15.75" customHeight="1">
      <c r="R989" s="30"/>
    </row>
    <row r="990" spans="18:18" ht="15.75" customHeight="1">
      <c r="R990" s="30"/>
    </row>
    <row r="991" spans="18:18" ht="15.75" customHeight="1">
      <c r="R991" s="30"/>
    </row>
    <row r="992" spans="18:18" ht="15.75" customHeight="1">
      <c r="R992" s="30"/>
    </row>
    <row r="993" spans="18:18" ht="15.75" customHeight="1">
      <c r="R993" s="30"/>
    </row>
    <row r="994" spans="18:18" ht="15.75" customHeight="1">
      <c r="R994" s="30"/>
    </row>
    <row r="995" spans="18:18" ht="15.75" customHeight="1">
      <c r="R995" s="30"/>
    </row>
    <row r="996" spans="18:18" ht="15.75" customHeight="1">
      <c r="R996" s="30"/>
    </row>
    <row r="997" spans="18:18" ht="15.75" customHeight="1">
      <c r="R997" s="30"/>
    </row>
    <row r="998" spans="18:18" ht="15.75" customHeight="1">
      <c r="R998" s="30"/>
    </row>
    <row r="999" spans="18:18" ht="15.75" customHeight="1">
      <c r="R999" s="30"/>
    </row>
    <row r="1000" spans="18:18" ht="15.75" customHeight="1">
      <c r="R1000" s="3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2.6640625" defaultRowHeight="15" customHeight="1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8.6640625" customWidth="1"/>
    <col min="6" max="6" width="9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16.83203125" customWidth="1"/>
    <col min="16" max="16" width="10" customWidth="1"/>
    <col min="17" max="18" width="7.33203125" customWidth="1"/>
    <col min="19" max="19" width="7.1640625" customWidth="1"/>
    <col min="20" max="20" width="11.1640625" customWidth="1"/>
    <col min="21" max="21" width="18.6640625" customWidth="1"/>
    <col min="22" max="22" width="76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6640625" customWidth="1"/>
    <col min="32" max="32" width="10.1640625" customWidth="1"/>
    <col min="33" max="33" width="8.83203125" customWidth="1"/>
  </cols>
  <sheetData>
    <row r="1" spans="1:33" ht="18.75" customHeight="1">
      <c r="A1" s="46" t="str">
        <f ca="1">IFERROR(__xludf.DUMMYFUNCTION("IFERROR(VLOOKUP(B2,IMPORTRANGE(""https://docs.google.com/spreadsheets/d/1x0DhHglkXKoEBOD2MBsuK_EyIr1ouxD2ftIpqOYFa-k/edit?usp=sharing"",""Ubiquitty-SKU-Specific Info!B1:BJ5000""),3,FALSE),"""")"),"75 Foot Lighted Outdoor Extension Cord - 12/3 SJTW Heavy Duty Yellow Extension Cable with 3 Prong Grounded Plug for Safety - Great for Garden and Major Appliances")</f>
        <v>75 Foot Lighted Outdoor Extension Cord - 12/3 SJTW Heavy Duty Yellow Extension Cable with 3 Prong Grounded Plug for Safety - Great for Garden and Major Appliances</v>
      </c>
      <c r="B1" s="47"/>
      <c r="C1" s="48" t="s">
        <v>0</v>
      </c>
      <c r="D1" s="50" t="s">
        <v>1</v>
      </c>
      <c r="E1" s="50" t="s">
        <v>2</v>
      </c>
      <c r="F1" s="52" t="s">
        <v>3</v>
      </c>
      <c r="G1" s="52" t="s">
        <v>4</v>
      </c>
      <c r="H1" s="53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58" t="s">
        <v>10</v>
      </c>
      <c r="N1" s="59" t="s">
        <v>11</v>
      </c>
      <c r="O1" s="50" t="s">
        <v>12</v>
      </c>
      <c r="P1" s="50" t="s">
        <v>13</v>
      </c>
      <c r="Q1" s="57" t="s">
        <v>14</v>
      </c>
      <c r="R1" s="57" t="s">
        <v>15</v>
      </c>
      <c r="S1" s="60" t="s">
        <v>16</v>
      </c>
      <c r="T1" s="62" t="s">
        <v>2006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Info!B1:BJ5000""),2,FALSE),"""")"),"B081HDCNH4")</f>
        <v>B081HDCNH4</v>
      </c>
      <c r="B2" s="3" t="s">
        <v>1737</v>
      </c>
      <c r="C2" s="49"/>
      <c r="D2" s="49"/>
      <c r="E2" s="51"/>
      <c r="F2" s="49"/>
      <c r="G2" s="49"/>
      <c r="H2" s="54"/>
      <c r="I2" s="49"/>
      <c r="J2" s="49"/>
      <c r="K2" s="54"/>
      <c r="L2" s="54"/>
      <c r="M2" s="54"/>
      <c r="N2" s="49"/>
      <c r="O2" s="49"/>
      <c r="P2" s="51"/>
      <c r="Q2" s="49"/>
      <c r="R2" s="49"/>
      <c r="S2" s="61"/>
      <c r="T2" s="47"/>
      <c r="U2" s="63"/>
      <c r="V2" s="63"/>
      <c r="W2" s="47"/>
      <c r="X2" s="47"/>
      <c r="Y2" s="47"/>
      <c r="Z2" s="47"/>
      <c r="AA2" s="63"/>
      <c r="AB2" s="63"/>
      <c r="AC2" s="63"/>
      <c r="AD2" s="63"/>
      <c r="AE2" s="47"/>
      <c r="AF2" s="47"/>
      <c r="AG2" s="47"/>
    </row>
    <row r="3" spans="1:33" ht="140.25" customHeight="1">
      <c r="A3" s="55" t="s">
        <v>31</v>
      </c>
      <c r="B3" s="56"/>
      <c r="C3" s="4">
        <f>((AE32+AF32)/0.85)*-1</f>
        <v>45.205375882352939</v>
      </c>
      <c r="D3" s="5">
        <f>SUM(D4:D99765)</f>
        <v>736</v>
      </c>
      <c r="E3" s="5"/>
      <c r="F3" s="6">
        <f t="shared" ref="F3:G3" si="0">SUM(F4:F99765)</f>
        <v>43186.74</v>
      </c>
      <c r="G3" s="6">
        <f t="shared" si="0"/>
        <v>-0.2</v>
      </c>
      <c r="H3" s="7">
        <f t="shared" ref="H3:H32" si="1">G3/F3*-1</f>
        <v>4.63105110503826E-6</v>
      </c>
      <c r="I3" s="8">
        <f t="shared" ref="I3:I32" si="2">J3/F3</f>
        <v>0.28800980482213973</v>
      </c>
      <c r="J3" s="6">
        <f>SUM(J4:J99765)</f>
        <v>12438.204558304495</v>
      </c>
      <c r="K3" s="6">
        <f t="shared" ref="K3:K32" si="3">J3/D3</f>
        <v>16.899734454218063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Sheet!a1:g5000""),2,FALSE),"""")"),"5.5 - March
5.5 - April
5.5 - May
5.5 - June
5.5 - July
5.5 - Aug
5.5 - Sept
3.5 - Oct
3.5 - Nov
5.5 - Dec
5.5 - Jan
5.5 - Feb")</f>
        <v>5.5 - March
5.5 - April
5.5 - May
5.5 - June
5.5 - July
5.5 - Aug
5.5 - Sept
3.5 - Oct
3.5 - Nov
5.5 - Dec
5.5 - Jan
5.5 -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QTY-0")</f>
        <v>US QTY-0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0</v>
      </c>
      <c r="X3" s="7">
        <f>W3/D3</f>
        <v>0</v>
      </c>
      <c r="Y3" s="6"/>
      <c r="Z3" s="5"/>
      <c r="AA3" s="5"/>
      <c r="AB3" s="5"/>
      <c r="AC3" s="5"/>
      <c r="AD3" s="6">
        <f>SUM(AD4:AD99765)</f>
        <v>-291.04447140063729</v>
      </c>
      <c r="AE3" s="6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Info!B2:BZ3000""),37,FALSE)),"""")*-1"),-30.3445695)</f>
        <v>-30.344569499999999</v>
      </c>
      <c r="AG3" s="6">
        <f>SUM(AG4:AG99765)</f>
        <v>0</v>
      </c>
    </row>
    <row r="4" spans="1:33" ht="15.75" customHeight="1">
      <c r="A4" s="14" t="s">
        <v>181</v>
      </c>
      <c r="B4" s="14" t="s">
        <v>1738</v>
      </c>
      <c r="C4" s="15">
        <f t="shared" ref="C4:C32" si="4">IFERROR(F4/D4," - ")</f>
        <v>62.388095238095254</v>
      </c>
      <c r="D4" s="16">
        <v>42</v>
      </c>
      <c r="E4" s="16">
        <v>0</v>
      </c>
      <c r="F4" s="17">
        <v>2620.3000000000006</v>
      </c>
      <c r="G4" s="17">
        <v>0</v>
      </c>
      <c r="H4" s="18">
        <f t="shared" si="1"/>
        <v>0</v>
      </c>
      <c r="I4" s="18">
        <f t="shared" si="2"/>
        <v>0.35487739797483564</v>
      </c>
      <c r="J4" s="17">
        <f t="shared" ref="J4:J32" si="5">F4*0.85+G4+AF4*D4+D4*AE4+AG4+AD4</f>
        <v>929.88524591346209</v>
      </c>
      <c r="K4" s="17">
        <f t="shared" si="3"/>
        <v>22.14012490270148</v>
      </c>
      <c r="L4" s="16">
        <v>142</v>
      </c>
      <c r="M4" s="19">
        <f t="shared" ref="M4:M32" si="6">IFERROR(D4/L4,"-")</f>
        <v>0.29577464788732394</v>
      </c>
      <c r="N4" s="16">
        <v>99</v>
      </c>
      <c r="O4" s="20">
        <f t="shared" ref="O4:P4" si="7">D4/7</f>
        <v>6</v>
      </c>
      <c r="P4" s="20">
        <f t="shared" si="7"/>
        <v>0</v>
      </c>
      <c r="Q4" s="16">
        <f t="shared" ref="Q4:Q32" si="8">ROUNDDOWN(N4/(O4+P4),0)</f>
        <v>16</v>
      </c>
      <c r="R4" s="16"/>
      <c r="S4" s="21">
        <v>4.4258555133079804</v>
      </c>
      <c r="T4" s="14">
        <v>446</v>
      </c>
      <c r="U4" s="22">
        <v>141</v>
      </c>
      <c r="V4" s="23" t="s">
        <v>1739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26" t="s">
        <v>35</v>
      </c>
      <c r="AB4" s="27">
        <f t="shared" ref="AB4:AB32" si="11">IF(OR(AA4="UsLargeStandardSize",AA4="UsSmallStandardSize"),-0.69,-0.48)</f>
        <v>-0.69</v>
      </c>
      <c r="AC4" s="28">
        <v>0.28809895833333332</v>
      </c>
      <c r="AD4" s="25">
        <f t="shared" ref="AD4:AD32" si="12">IFERROR(AB4*AC4*D4*2,0)</f>
        <v>-16.698215625</v>
      </c>
      <c r="AE4" s="25">
        <v>-8.4600000000000009</v>
      </c>
      <c r="AF4" s="25">
        <v>-22.032179487179487</v>
      </c>
      <c r="AG4" s="25">
        <v>0</v>
      </c>
    </row>
    <row r="5" spans="1:33" ht="15.75" customHeight="1">
      <c r="A5" s="14" t="s">
        <v>183</v>
      </c>
      <c r="B5" s="14" t="s">
        <v>1740</v>
      </c>
      <c r="C5" s="15">
        <f t="shared" si="4"/>
        <v>65.20750000000001</v>
      </c>
      <c r="D5" s="16">
        <v>40</v>
      </c>
      <c r="E5" s="16">
        <v>0</v>
      </c>
      <c r="F5" s="29">
        <v>2608.3000000000002</v>
      </c>
      <c r="G5" s="29">
        <v>0</v>
      </c>
      <c r="H5" s="18">
        <f t="shared" si="1"/>
        <v>0</v>
      </c>
      <c r="I5" s="18">
        <f t="shared" si="2"/>
        <v>0.37627816216009796</v>
      </c>
      <c r="J5" s="17">
        <f t="shared" si="5"/>
        <v>981.44633036218352</v>
      </c>
      <c r="K5" s="17">
        <f t="shared" si="3"/>
        <v>24.536158259054588</v>
      </c>
      <c r="L5" s="16">
        <v>190</v>
      </c>
      <c r="M5" s="19">
        <f t="shared" si="6"/>
        <v>0.21052631578947367</v>
      </c>
      <c r="N5" s="16">
        <v>53</v>
      </c>
      <c r="O5" s="20">
        <f t="shared" ref="O5:P5" si="13">D5/7</f>
        <v>5.7142857142857144</v>
      </c>
      <c r="P5" s="20">
        <f t="shared" si="13"/>
        <v>0</v>
      </c>
      <c r="Q5" s="16">
        <f t="shared" si="8"/>
        <v>9</v>
      </c>
      <c r="R5" s="16"/>
      <c r="S5" s="21">
        <v>3.8879551820728202</v>
      </c>
      <c r="T5" s="14">
        <v>446</v>
      </c>
      <c r="U5" s="22">
        <v>141</v>
      </c>
      <c r="V5" s="23" t="s">
        <v>1741</v>
      </c>
      <c r="W5" s="14">
        <v>0</v>
      </c>
      <c r="X5" s="24">
        <f t="shared" si="9"/>
        <v>0</v>
      </c>
      <c r="Y5" s="25">
        <f t="shared" si="10"/>
        <v>0</v>
      </c>
      <c r="Z5" s="14">
        <v>0</v>
      </c>
      <c r="AA5" s="14" t="s">
        <v>35</v>
      </c>
      <c r="AB5" s="27">
        <f t="shared" si="11"/>
        <v>-0.69</v>
      </c>
      <c r="AC5" s="28">
        <v>0.28843279258400928</v>
      </c>
      <c r="AD5" s="25">
        <f t="shared" si="12"/>
        <v>-15.921490150637311</v>
      </c>
      <c r="AE5" s="25">
        <v>-8.4600000000000009</v>
      </c>
      <c r="AF5" s="25">
        <v>-22.032179487179487</v>
      </c>
      <c r="AG5" s="25">
        <v>0</v>
      </c>
    </row>
    <row r="6" spans="1:33" ht="15.75" customHeight="1">
      <c r="A6" s="14" t="s">
        <v>185</v>
      </c>
      <c r="B6" s="14" t="s">
        <v>68</v>
      </c>
      <c r="C6" s="15">
        <f t="shared" si="4"/>
        <v>70.495428571428576</v>
      </c>
      <c r="D6" s="16">
        <v>35</v>
      </c>
      <c r="E6" s="16">
        <v>0</v>
      </c>
      <c r="F6" s="29">
        <v>2467.34</v>
      </c>
      <c r="G6" s="29">
        <v>0</v>
      </c>
      <c r="H6" s="18">
        <f t="shared" si="1"/>
        <v>0</v>
      </c>
      <c r="I6" s="18">
        <f t="shared" si="2"/>
        <v>0.41181901896828893</v>
      </c>
      <c r="J6" s="17">
        <f t="shared" si="5"/>
        <v>1016.0975382612181</v>
      </c>
      <c r="K6" s="17">
        <f t="shared" si="3"/>
        <v>29.031358236034805</v>
      </c>
      <c r="L6" s="16">
        <v>147</v>
      </c>
      <c r="M6" s="19">
        <f t="shared" si="6"/>
        <v>0.23809523809523808</v>
      </c>
      <c r="N6" s="16">
        <v>15</v>
      </c>
      <c r="O6" s="20">
        <f t="shared" ref="O6:P6" si="14">D6/7</f>
        <v>5</v>
      </c>
      <c r="P6" s="20">
        <f t="shared" si="14"/>
        <v>0</v>
      </c>
      <c r="Q6" s="16">
        <f t="shared" si="8"/>
        <v>3</v>
      </c>
      <c r="R6" s="16"/>
      <c r="S6" s="21">
        <v>3.4</v>
      </c>
      <c r="T6" s="14">
        <v>415</v>
      </c>
      <c r="U6" s="22">
        <v>105</v>
      </c>
      <c r="V6" s="23" t="s">
        <v>1742</v>
      </c>
      <c r="W6" s="14">
        <v>0</v>
      </c>
      <c r="X6" s="24">
        <f t="shared" si="9"/>
        <v>0</v>
      </c>
      <c r="Y6" s="25">
        <f t="shared" si="10"/>
        <v>0</v>
      </c>
      <c r="Z6" s="14">
        <v>0</v>
      </c>
      <c r="AA6" s="14" t="s">
        <v>35</v>
      </c>
      <c r="AB6" s="27">
        <f t="shared" si="11"/>
        <v>-0.69</v>
      </c>
      <c r="AC6" s="28">
        <v>0.28809895833333332</v>
      </c>
      <c r="AD6" s="25">
        <f t="shared" si="12"/>
        <v>-13.915179687499998</v>
      </c>
      <c r="AE6" s="25">
        <v>-8.4600000000000009</v>
      </c>
      <c r="AF6" s="25">
        <v>-22.032179487179487</v>
      </c>
      <c r="AG6" s="25">
        <v>0</v>
      </c>
    </row>
    <row r="7" spans="1:33" ht="15.75" customHeight="1">
      <c r="A7" s="14" t="s">
        <v>187</v>
      </c>
      <c r="B7" s="14" t="s">
        <v>1743</v>
      </c>
      <c r="C7" s="15">
        <f t="shared" si="4"/>
        <v>71.593846153846158</v>
      </c>
      <c r="D7" s="16">
        <v>13</v>
      </c>
      <c r="E7" s="16">
        <v>1</v>
      </c>
      <c r="F7" s="29">
        <v>930.72</v>
      </c>
      <c r="G7" s="29">
        <v>0</v>
      </c>
      <c r="H7" s="18">
        <f t="shared" si="1"/>
        <v>0</v>
      </c>
      <c r="I7" s="18">
        <f t="shared" si="2"/>
        <v>0.41854174333222299</v>
      </c>
      <c r="J7" s="17">
        <f t="shared" si="5"/>
        <v>389.5451713541666</v>
      </c>
      <c r="K7" s="17">
        <f t="shared" si="3"/>
        <v>29.965013181089738</v>
      </c>
      <c r="L7" s="16">
        <v>151</v>
      </c>
      <c r="M7" s="19">
        <f t="shared" si="6"/>
        <v>8.6092715231788075E-2</v>
      </c>
      <c r="N7" s="16">
        <v>151</v>
      </c>
      <c r="O7" s="20">
        <f t="shared" ref="O7:P7" si="15">D7/7</f>
        <v>1.8571428571428572</v>
      </c>
      <c r="P7" s="20">
        <f t="shared" si="15"/>
        <v>0.14285714285714285</v>
      </c>
      <c r="Q7" s="16">
        <f t="shared" si="8"/>
        <v>75</v>
      </c>
      <c r="R7" s="16"/>
      <c r="S7" s="21">
        <v>3.8898071625344302</v>
      </c>
      <c r="T7" s="14">
        <v>307</v>
      </c>
      <c r="U7" s="22">
        <v>105</v>
      </c>
      <c r="V7" s="23" t="s">
        <v>1744</v>
      </c>
      <c r="W7" s="14">
        <v>0</v>
      </c>
      <c r="X7" s="24">
        <f t="shared" si="9"/>
        <v>0</v>
      </c>
      <c r="Y7" s="25">
        <f t="shared" si="10"/>
        <v>0</v>
      </c>
      <c r="Z7" s="14">
        <v>0</v>
      </c>
      <c r="AA7" s="14" t="s">
        <v>35</v>
      </c>
      <c r="AB7" s="27">
        <f t="shared" si="11"/>
        <v>-0.69</v>
      </c>
      <c r="AC7" s="28">
        <v>0.28809895833333332</v>
      </c>
      <c r="AD7" s="25">
        <f t="shared" si="12"/>
        <v>-5.1684953124999993</v>
      </c>
      <c r="AE7" s="25">
        <v>-8.4600000000000009</v>
      </c>
      <c r="AF7" s="25">
        <v>-22.032179487179487</v>
      </c>
      <c r="AG7" s="25">
        <v>0</v>
      </c>
    </row>
    <row r="8" spans="1:33" ht="15.75" customHeight="1">
      <c r="A8" s="14" t="s">
        <v>189</v>
      </c>
      <c r="B8" s="14" t="s">
        <v>68</v>
      </c>
      <c r="C8" s="15">
        <f t="shared" si="4"/>
        <v>65.46275</v>
      </c>
      <c r="D8" s="16">
        <v>40</v>
      </c>
      <c r="E8" s="16">
        <v>0</v>
      </c>
      <c r="F8" s="29">
        <v>2618.5099999999998</v>
      </c>
      <c r="G8" s="29">
        <v>-0.1</v>
      </c>
      <c r="H8" s="18">
        <f t="shared" si="1"/>
        <v>3.8189657476962098E-5</v>
      </c>
      <c r="I8" s="18">
        <f t="shared" si="2"/>
        <v>0.37812742265639615</v>
      </c>
      <c r="J8" s="17">
        <f t="shared" si="5"/>
        <v>990.13043749999974</v>
      </c>
      <c r="K8" s="17">
        <f t="shared" si="3"/>
        <v>24.753260937499995</v>
      </c>
      <c r="L8" s="16">
        <v>127</v>
      </c>
      <c r="M8" s="19">
        <f t="shared" si="6"/>
        <v>0.31496062992125984</v>
      </c>
      <c r="N8" s="16">
        <v>102</v>
      </c>
      <c r="O8" s="20">
        <f t="shared" ref="O8:P8" si="16">D8/7</f>
        <v>5.7142857142857144</v>
      </c>
      <c r="P8" s="20">
        <f t="shared" si="16"/>
        <v>0</v>
      </c>
      <c r="Q8" s="16">
        <f t="shared" si="8"/>
        <v>17</v>
      </c>
      <c r="R8" s="16"/>
      <c r="S8" s="21">
        <v>3.96765498652291</v>
      </c>
      <c r="T8" s="14">
        <v>202</v>
      </c>
      <c r="U8" s="22">
        <v>2</v>
      </c>
      <c r="V8" s="23" t="s">
        <v>1745</v>
      </c>
      <c r="W8" s="14">
        <v>0</v>
      </c>
      <c r="X8" s="24">
        <f t="shared" si="9"/>
        <v>0</v>
      </c>
      <c r="Y8" s="25">
        <f t="shared" si="10"/>
        <v>0</v>
      </c>
      <c r="Z8" s="14">
        <v>0</v>
      </c>
      <c r="AA8" s="14" t="s">
        <v>35</v>
      </c>
      <c r="AB8" s="27">
        <f t="shared" si="11"/>
        <v>-0.69</v>
      </c>
      <c r="AC8" s="28">
        <v>0.28809895833333332</v>
      </c>
      <c r="AD8" s="25">
        <f t="shared" si="12"/>
        <v>-15.903062499999997</v>
      </c>
      <c r="AE8" s="25">
        <v>-8.4600000000000009</v>
      </c>
      <c r="AF8" s="25">
        <v>-22.03</v>
      </c>
      <c r="AG8" s="25">
        <v>0</v>
      </c>
    </row>
    <row r="9" spans="1:33" ht="15.75" customHeight="1">
      <c r="A9" s="14" t="s">
        <v>191</v>
      </c>
      <c r="B9" s="14" t="s">
        <v>1746</v>
      </c>
      <c r="C9" s="15">
        <f t="shared" si="4"/>
        <v>62.371206896551762</v>
      </c>
      <c r="D9" s="16">
        <v>58</v>
      </c>
      <c r="E9" s="16">
        <v>1</v>
      </c>
      <c r="F9" s="29">
        <v>3617.530000000002</v>
      </c>
      <c r="G9" s="29">
        <v>0</v>
      </c>
      <c r="H9" s="18">
        <f t="shared" si="1"/>
        <v>0</v>
      </c>
      <c r="I9" s="18">
        <f t="shared" si="2"/>
        <v>0.34751818772239951</v>
      </c>
      <c r="J9" s="17">
        <f t="shared" si="5"/>
        <v>1257.1574696314126</v>
      </c>
      <c r="K9" s="17">
        <f t="shared" si="3"/>
        <v>21.675128786748495</v>
      </c>
      <c r="L9" s="16">
        <v>239</v>
      </c>
      <c r="M9" s="19">
        <f t="shared" si="6"/>
        <v>0.24267782426778242</v>
      </c>
      <c r="N9" s="16">
        <v>48</v>
      </c>
      <c r="O9" s="20">
        <f t="shared" ref="O9:P9" si="17">D9/7</f>
        <v>8.2857142857142865</v>
      </c>
      <c r="P9" s="20">
        <f t="shared" si="17"/>
        <v>0.14285714285714285</v>
      </c>
      <c r="Q9" s="16">
        <f t="shared" si="8"/>
        <v>5</v>
      </c>
      <c r="R9" s="16"/>
      <c r="S9" s="21">
        <v>6.9058295964125502</v>
      </c>
      <c r="T9" s="14">
        <v>202</v>
      </c>
      <c r="U9" s="22">
        <v>2</v>
      </c>
      <c r="V9" s="23" t="s">
        <v>1747</v>
      </c>
      <c r="W9" s="14">
        <v>0</v>
      </c>
      <c r="X9" s="24">
        <f t="shared" si="9"/>
        <v>0</v>
      </c>
      <c r="Y9" s="25">
        <f t="shared" si="10"/>
        <v>0</v>
      </c>
      <c r="Z9" s="14">
        <v>0</v>
      </c>
      <c r="AA9" s="14" t="s">
        <v>35</v>
      </c>
      <c r="AB9" s="27">
        <f t="shared" si="11"/>
        <v>-0.69</v>
      </c>
      <c r="AC9" s="28">
        <v>0.28809895833333332</v>
      </c>
      <c r="AD9" s="25">
        <f t="shared" si="12"/>
        <v>-23.059440624999997</v>
      </c>
      <c r="AE9" s="25">
        <v>-8.4600000000000009</v>
      </c>
      <c r="AF9" s="25">
        <v>-22.482820512820499</v>
      </c>
      <c r="AG9" s="25">
        <v>0</v>
      </c>
    </row>
    <row r="10" spans="1:33" ht="15.75" customHeight="1">
      <c r="A10" s="14" t="s">
        <v>192</v>
      </c>
      <c r="B10" s="14" t="s">
        <v>68</v>
      </c>
      <c r="C10" s="15">
        <f t="shared" si="4"/>
        <v>66.2478571428571</v>
      </c>
      <c r="D10" s="16">
        <v>42</v>
      </c>
      <c r="E10" s="16">
        <v>0</v>
      </c>
      <c r="F10" s="29">
        <v>2782.4099999999985</v>
      </c>
      <c r="G10" s="29">
        <v>0</v>
      </c>
      <c r="H10" s="18">
        <f t="shared" si="1"/>
        <v>0</v>
      </c>
      <c r="I10" s="18">
        <f t="shared" si="2"/>
        <v>0.37692210092565009</v>
      </c>
      <c r="J10" s="17">
        <f t="shared" si="5"/>
        <v>1048.7518228365375</v>
      </c>
      <c r="K10" s="17">
        <f t="shared" si="3"/>
        <v>24.970281496108036</v>
      </c>
      <c r="L10" s="16">
        <v>215</v>
      </c>
      <c r="M10" s="19">
        <f t="shared" si="6"/>
        <v>0.19534883720930232</v>
      </c>
      <c r="N10" s="16">
        <v>111</v>
      </c>
      <c r="O10" s="20">
        <f t="shared" ref="O10:P10" si="18">D10/7</f>
        <v>6</v>
      </c>
      <c r="P10" s="20">
        <f t="shared" si="18"/>
        <v>0</v>
      </c>
      <c r="Q10" s="16">
        <f t="shared" si="8"/>
        <v>18</v>
      </c>
      <c r="R10" s="16"/>
      <c r="S10" s="21">
        <v>4.1036269430051799</v>
      </c>
      <c r="T10" s="14">
        <v>502</v>
      </c>
      <c r="U10" s="22">
        <v>108</v>
      </c>
      <c r="V10" s="23" t="s">
        <v>1748</v>
      </c>
      <c r="W10" s="14">
        <v>0</v>
      </c>
      <c r="X10" s="24">
        <f t="shared" si="9"/>
        <v>0</v>
      </c>
      <c r="Y10" s="25">
        <f t="shared" si="10"/>
        <v>0</v>
      </c>
      <c r="Z10" s="14">
        <v>0</v>
      </c>
      <c r="AA10" s="14" t="s">
        <v>35</v>
      </c>
      <c r="AB10" s="27">
        <f t="shared" si="11"/>
        <v>-0.69</v>
      </c>
      <c r="AC10" s="28">
        <v>0.28809895833333332</v>
      </c>
      <c r="AD10" s="25">
        <f t="shared" si="12"/>
        <v>-16.698215625</v>
      </c>
      <c r="AE10" s="25">
        <v>-8.4600000000000009</v>
      </c>
      <c r="AF10" s="25">
        <v>-22.482820512820499</v>
      </c>
      <c r="AG10" s="25">
        <v>0</v>
      </c>
    </row>
    <row r="11" spans="1:33" ht="15.75" customHeight="1">
      <c r="A11" s="14" t="s">
        <v>193</v>
      </c>
      <c r="B11" s="14" t="s">
        <v>68</v>
      </c>
      <c r="C11" s="15">
        <f t="shared" si="4"/>
        <v>69.710294117647024</v>
      </c>
      <c r="D11" s="16">
        <v>34</v>
      </c>
      <c r="E11" s="16">
        <v>0</v>
      </c>
      <c r="F11" s="29">
        <v>2370.1499999999987</v>
      </c>
      <c r="G11" s="29">
        <v>0</v>
      </c>
      <c r="H11" s="18">
        <f t="shared" si="1"/>
        <v>0</v>
      </c>
      <c r="I11" s="18">
        <f t="shared" si="2"/>
        <v>0.40041938250283832</v>
      </c>
      <c r="J11" s="17">
        <f t="shared" si="5"/>
        <v>949.05399943910174</v>
      </c>
      <c r="K11" s="17">
        <f t="shared" si="3"/>
        <v>27.913352924679462</v>
      </c>
      <c r="L11" s="16">
        <v>128</v>
      </c>
      <c r="M11" s="19">
        <f t="shared" si="6"/>
        <v>0.265625</v>
      </c>
      <c r="N11" s="16">
        <v>71</v>
      </c>
      <c r="O11" s="20">
        <f t="shared" ref="O11:P11" si="19">D11/7</f>
        <v>4.8571428571428568</v>
      </c>
      <c r="P11" s="20">
        <f t="shared" si="19"/>
        <v>0</v>
      </c>
      <c r="Q11" s="16">
        <f t="shared" si="8"/>
        <v>14</v>
      </c>
      <c r="R11" s="16"/>
      <c r="S11" s="21">
        <v>5.6</v>
      </c>
      <c r="T11" s="14">
        <v>602</v>
      </c>
      <c r="U11" s="22">
        <v>108</v>
      </c>
      <c r="V11" s="23" t="s">
        <v>1749</v>
      </c>
      <c r="W11" s="14">
        <v>0</v>
      </c>
      <c r="X11" s="24">
        <f t="shared" si="9"/>
        <v>0</v>
      </c>
      <c r="Y11" s="25">
        <f t="shared" si="10"/>
        <v>0</v>
      </c>
      <c r="Z11" s="14">
        <v>0</v>
      </c>
      <c r="AA11" s="14" t="s">
        <v>35</v>
      </c>
      <c r="AB11" s="27">
        <f t="shared" si="11"/>
        <v>-0.69</v>
      </c>
      <c r="AC11" s="28">
        <v>0.28809895833333332</v>
      </c>
      <c r="AD11" s="25">
        <f t="shared" si="12"/>
        <v>-13.517603124999999</v>
      </c>
      <c r="AE11" s="25">
        <v>-8.4600000000000009</v>
      </c>
      <c r="AF11" s="25">
        <v>-22.482820512820499</v>
      </c>
      <c r="AG11" s="25">
        <v>0</v>
      </c>
    </row>
    <row r="12" spans="1:33" ht="15.75" customHeight="1">
      <c r="A12" s="14" t="s">
        <v>195</v>
      </c>
      <c r="B12" s="14" t="s">
        <v>1750</v>
      </c>
      <c r="C12" s="15">
        <f t="shared" si="4"/>
        <v>69.11999999999999</v>
      </c>
      <c r="D12" s="16">
        <v>19</v>
      </c>
      <c r="E12" s="16">
        <v>1</v>
      </c>
      <c r="F12" s="29">
        <v>1313.2799999999997</v>
      </c>
      <c r="G12" s="29">
        <v>0</v>
      </c>
      <c r="H12" s="18">
        <f t="shared" si="1"/>
        <v>0</v>
      </c>
      <c r="I12" s="18">
        <f t="shared" si="2"/>
        <v>0.39657990342418253</v>
      </c>
      <c r="J12" s="17">
        <f t="shared" si="5"/>
        <v>520.82045556891035</v>
      </c>
      <c r="K12" s="17">
        <f t="shared" si="3"/>
        <v>27.411602924679492</v>
      </c>
      <c r="L12" s="16">
        <v>92</v>
      </c>
      <c r="M12" s="19">
        <f t="shared" si="6"/>
        <v>0.20652173913043478</v>
      </c>
      <c r="N12" s="16">
        <v>99</v>
      </c>
      <c r="O12" s="20">
        <f t="shared" ref="O12:P12" si="20">D12/7</f>
        <v>2.7142857142857144</v>
      </c>
      <c r="P12" s="20">
        <f t="shared" si="20"/>
        <v>0.14285714285714285</v>
      </c>
      <c r="Q12" s="16">
        <f t="shared" si="8"/>
        <v>34</v>
      </c>
      <c r="R12" s="16"/>
      <c r="S12" s="21">
        <v>4.3419689119170899</v>
      </c>
      <c r="T12" s="14">
        <v>602</v>
      </c>
      <c r="U12" s="22">
        <v>108</v>
      </c>
      <c r="V12" s="23" t="s">
        <v>1751</v>
      </c>
      <c r="W12" s="14">
        <v>0</v>
      </c>
      <c r="X12" s="24">
        <f t="shared" si="9"/>
        <v>0</v>
      </c>
      <c r="Y12" s="25">
        <f t="shared" si="10"/>
        <v>0</v>
      </c>
      <c r="Z12" s="14">
        <v>0</v>
      </c>
      <c r="AA12" s="14" t="s">
        <v>35</v>
      </c>
      <c r="AB12" s="27">
        <f t="shared" si="11"/>
        <v>-0.69</v>
      </c>
      <c r="AC12" s="28">
        <v>0.28809895833333332</v>
      </c>
      <c r="AD12" s="25">
        <f t="shared" si="12"/>
        <v>-7.5539546874999992</v>
      </c>
      <c r="AE12" s="25">
        <v>-8.4600000000000009</v>
      </c>
      <c r="AF12" s="25">
        <v>-22.482820512820499</v>
      </c>
      <c r="AG12" s="25">
        <v>0</v>
      </c>
    </row>
    <row r="13" spans="1:33" ht="15.75" customHeight="1">
      <c r="A13" s="14" t="s">
        <v>197</v>
      </c>
      <c r="B13" s="14" t="s">
        <v>1752</v>
      </c>
      <c r="C13" s="15">
        <f t="shared" si="4"/>
        <v>66.542692307692334</v>
      </c>
      <c r="D13" s="16">
        <v>26</v>
      </c>
      <c r="E13" s="16">
        <v>0</v>
      </c>
      <c r="F13" s="17">
        <v>1730.1100000000008</v>
      </c>
      <c r="G13" s="29">
        <v>0</v>
      </c>
      <c r="H13" s="18">
        <f t="shared" si="1"/>
        <v>0</v>
      </c>
      <c r="I13" s="18">
        <f t="shared" si="2"/>
        <v>0.37545387829386584</v>
      </c>
      <c r="J13" s="17">
        <f t="shared" si="5"/>
        <v>649.57650937500057</v>
      </c>
      <c r="K13" s="17">
        <f t="shared" si="3"/>
        <v>24.983711899038482</v>
      </c>
      <c r="L13" s="16">
        <v>69</v>
      </c>
      <c r="M13" s="19">
        <f t="shared" si="6"/>
        <v>0.37681159420289856</v>
      </c>
      <c r="N13" s="16">
        <v>79</v>
      </c>
      <c r="O13" s="20">
        <f t="shared" ref="O13:P13" si="21">D13/7</f>
        <v>3.7142857142857144</v>
      </c>
      <c r="P13" s="20">
        <f t="shared" si="21"/>
        <v>0</v>
      </c>
      <c r="Q13" s="16">
        <f t="shared" si="8"/>
        <v>21</v>
      </c>
      <c r="R13" s="16"/>
      <c r="S13" s="21">
        <v>4.8141592920353897</v>
      </c>
      <c r="T13" s="14">
        <v>494</v>
      </c>
      <c r="U13" s="22">
        <v>92</v>
      </c>
      <c r="V13" s="23" t="s">
        <v>1753</v>
      </c>
      <c r="W13" s="14">
        <v>0</v>
      </c>
      <c r="X13" s="24">
        <f t="shared" si="9"/>
        <v>0</v>
      </c>
      <c r="Y13" s="25">
        <f t="shared" si="10"/>
        <v>0</v>
      </c>
      <c r="Z13" s="14">
        <v>0</v>
      </c>
      <c r="AA13" s="14" t="s">
        <v>35</v>
      </c>
      <c r="AB13" s="27">
        <f t="shared" si="11"/>
        <v>-0.69</v>
      </c>
      <c r="AC13" s="28">
        <v>0.28809895833333332</v>
      </c>
      <c r="AD13" s="25">
        <f t="shared" si="12"/>
        <v>-10.336990624999999</v>
      </c>
      <c r="AE13" s="25">
        <v>-8.4600000000000009</v>
      </c>
      <c r="AF13" s="25">
        <v>-22.72</v>
      </c>
      <c r="AG13" s="25">
        <v>0</v>
      </c>
    </row>
    <row r="14" spans="1:33" ht="15.75" customHeight="1">
      <c r="A14" s="14" t="s">
        <v>32</v>
      </c>
      <c r="B14" s="14" t="s">
        <v>45</v>
      </c>
      <c r="C14" s="15">
        <f t="shared" si="4"/>
        <v>52.867916666666638</v>
      </c>
      <c r="D14" s="16">
        <v>72</v>
      </c>
      <c r="E14" s="16">
        <v>0</v>
      </c>
      <c r="F14" s="17">
        <v>3806.489999999998</v>
      </c>
      <c r="G14" s="29">
        <v>-0.02</v>
      </c>
      <c r="H14" s="18">
        <f t="shared" si="1"/>
        <v>5.2541843010227303E-6</v>
      </c>
      <c r="I14" s="18">
        <f t="shared" si="2"/>
        <v>0.25270288047518813</v>
      </c>
      <c r="J14" s="17">
        <f t="shared" si="5"/>
        <v>961.91098749999833</v>
      </c>
      <c r="K14" s="17">
        <f t="shared" si="3"/>
        <v>13.359874826388866</v>
      </c>
      <c r="L14" s="16">
        <v>167</v>
      </c>
      <c r="M14" s="19">
        <f t="shared" si="6"/>
        <v>0.43113772455089822</v>
      </c>
      <c r="N14" s="16">
        <v>8</v>
      </c>
      <c r="O14" s="20">
        <f t="shared" ref="O14:P14" si="22">D14/7</f>
        <v>10.285714285714286</v>
      </c>
      <c r="P14" s="20">
        <f t="shared" si="22"/>
        <v>0</v>
      </c>
      <c r="Q14" s="16">
        <f t="shared" si="8"/>
        <v>0</v>
      </c>
      <c r="R14" s="16"/>
      <c r="S14" s="21">
        <v>6.48</v>
      </c>
      <c r="T14" s="14">
        <v>194</v>
      </c>
      <c r="U14" s="22">
        <v>92</v>
      </c>
      <c r="V14" s="23" t="s">
        <v>1753</v>
      </c>
      <c r="W14" s="14">
        <v>0</v>
      </c>
      <c r="X14" s="24">
        <f t="shared" si="9"/>
        <v>0</v>
      </c>
      <c r="Y14" s="25">
        <f t="shared" si="10"/>
        <v>0</v>
      </c>
      <c r="Z14" s="14">
        <v>0</v>
      </c>
      <c r="AA14" s="14" t="s">
        <v>35</v>
      </c>
      <c r="AB14" s="27">
        <f t="shared" si="11"/>
        <v>-0.69</v>
      </c>
      <c r="AC14" s="28">
        <v>0.28809895833333332</v>
      </c>
      <c r="AD14" s="25">
        <f t="shared" si="12"/>
        <v>-28.625512499999996</v>
      </c>
      <c r="AE14" s="25">
        <v>-8.4600000000000009</v>
      </c>
      <c r="AF14" s="25">
        <v>-22.72</v>
      </c>
      <c r="AG14" s="25">
        <v>0</v>
      </c>
    </row>
    <row r="15" spans="1:33" ht="15.75" customHeight="1">
      <c r="A15" s="14" t="s">
        <v>36</v>
      </c>
      <c r="B15" s="14" t="s">
        <v>45</v>
      </c>
      <c r="C15" s="15">
        <f t="shared" si="4"/>
        <v>53.465909090909093</v>
      </c>
      <c r="D15" s="16">
        <v>22</v>
      </c>
      <c r="E15" s="16">
        <v>2</v>
      </c>
      <c r="F15" s="17">
        <v>1176.25</v>
      </c>
      <c r="G15" s="29">
        <v>0</v>
      </c>
      <c r="H15" s="18">
        <f t="shared" si="1"/>
        <v>0</v>
      </c>
      <c r="I15" s="18">
        <f t="shared" si="2"/>
        <v>0.23526105472901168</v>
      </c>
      <c r="J15" s="17">
        <f t="shared" si="5"/>
        <v>276.725815625</v>
      </c>
      <c r="K15" s="17">
        <f t="shared" si="3"/>
        <v>12.578446164772727</v>
      </c>
      <c r="L15" s="16">
        <v>57</v>
      </c>
      <c r="M15" s="19">
        <f t="shared" si="6"/>
        <v>0.38596491228070173</v>
      </c>
      <c r="N15" s="16">
        <v>96</v>
      </c>
      <c r="O15" s="20">
        <f t="shared" ref="O15:P15" si="23">D15/7</f>
        <v>3.1428571428571428</v>
      </c>
      <c r="P15" s="20">
        <f t="shared" si="23"/>
        <v>0.2857142857142857</v>
      </c>
      <c r="Q15" s="16">
        <f t="shared" si="8"/>
        <v>28</v>
      </c>
      <c r="R15" s="16"/>
      <c r="S15" s="21">
        <v>5.1626666666666603</v>
      </c>
      <c r="T15" s="14">
        <v>194</v>
      </c>
      <c r="U15" s="22">
        <v>92</v>
      </c>
      <c r="V15" s="23" t="s">
        <v>1753</v>
      </c>
      <c r="W15" s="14">
        <v>0</v>
      </c>
      <c r="X15" s="24">
        <f t="shared" si="9"/>
        <v>0</v>
      </c>
      <c r="Y15" s="25">
        <f t="shared" si="10"/>
        <v>0</v>
      </c>
      <c r="Z15" s="14">
        <v>0</v>
      </c>
      <c r="AA15" s="14" t="s">
        <v>35</v>
      </c>
      <c r="AB15" s="27">
        <f t="shared" si="11"/>
        <v>-0.69</v>
      </c>
      <c r="AC15" s="28">
        <v>0.28809895833333332</v>
      </c>
      <c r="AD15" s="25">
        <f t="shared" si="12"/>
        <v>-8.7466843749999992</v>
      </c>
      <c r="AE15" s="25">
        <v>-8.4600000000000009</v>
      </c>
      <c r="AF15" s="25">
        <v>-24.01</v>
      </c>
      <c r="AG15" s="25">
        <v>0</v>
      </c>
    </row>
    <row r="16" spans="1:33" ht="15.75" customHeight="1">
      <c r="A16" s="14" t="s">
        <v>38</v>
      </c>
      <c r="B16" s="14" t="s">
        <v>45</v>
      </c>
      <c r="C16" s="15">
        <f t="shared" si="4"/>
        <v>55.324313725490207</v>
      </c>
      <c r="D16" s="16">
        <v>51</v>
      </c>
      <c r="E16" s="16">
        <v>0</v>
      </c>
      <c r="F16" s="17">
        <v>2821.5400000000004</v>
      </c>
      <c r="G16" s="29">
        <v>0</v>
      </c>
      <c r="H16" s="18">
        <f t="shared" si="1"/>
        <v>0</v>
      </c>
      <c r="I16" s="18">
        <f t="shared" si="2"/>
        <v>0.25591081300017016</v>
      </c>
      <c r="J16" s="17">
        <f t="shared" si="5"/>
        <v>722.06259531250021</v>
      </c>
      <c r="K16" s="17">
        <f t="shared" si="3"/>
        <v>14.158090104166671</v>
      </c>
      <c r="L16" s="16">
        <v>166</v>
      </c>
      <c r="M16" s="19">
        <f t="shared" si="6"/>
        <v>0.30722891566265059</v>
      </c>
      <c r="N16" s="16">
        <v>43</v>
      </c>
      <c r="O16" s="20">
        <f t="shared" ref="O16:P16" si="24">D16/7</f>
        <v>7.2857142857142856</v>
      </c>
      <c r="P16" s="20">
        <f t="shared" si="24"/>
        <v>0</v>
      </c>
      <c r="Q16" s="16">
        <f t="shared" si="8"/>
        <v>5</v>
      </c>
      <c r="R16" s="16"/>
      <c r="S16" s="21">
        <v>4.5933014354066897</v>
      </c>
      <c r="T16" s="14">
        <v>194</v>
      </c>
      <c r="U16" s="22">
        <v>92</v>
      </c>
      <c r="V16" s="23" t="s">
        <v>1754</v>
      </c>
      <c r="W16" s="14">
        <v>0</v>
      </c>
      <c r="X16" s="24">
        <f t="shared" si="9"/>
        <v>0</v>
      </c>
      <c r="Y16" s="25">
        <f t="shared" si="10"/>
        <v>0</v>
      </c>
      <c r="Z16" s="14">
        <v>0</v>
      </c>
      <c r="AA16" s="14" t="s">
        <v>35</v>
      </c>
      <c r="AB16" s="27">
        <f t="shared" si="11"/>
        <v>-0.69</v>
      </c>
      <c r="AC16" s="28">
        <v>0.28809895833333332</v>
      </c>
      <c r="AD16" s="25">
        <f t="shared" si="12"/>
        <v>-20.276404687499998</v>
      </c>
      <c r="AE16" s="25">
        <v>-8.4600000000000009</v>
      </c>
      <c r="AF16" s="25">
        <v>-24.01</v>
      </c>
      <c r="AG16" s="25">
        <v>0</v>
      </c>
    </row>
    <row r="17" spans="1:33" ht="15.75" customHeight="1">
      <c r="A17" s="14" t="s">
        <v>40</v>
      </c>
      <c r="B17" s="14" t="s">
        <v>45</v>
      </c>
      <c r="C17" s="15">
        <f t="shared" si="4"/>
        <v>50.356764705882362</v>
      </c>
      <c r="D17" s="16">
        <v>34</v>
      </c>
      <c r="E17" s="16">
        <v>0</v>
      </c>
      <c r="F17" s="17">
        <v>1712.1300000000003</v>
      </c>
      <c r="G17" s="29">
        <v>-0.08</v>
      </c>
      <c r="H17" s="18">
        <f t="shared" si="1"/>
        <v>4.6725423887204821E-5</v>
      </c>
      <c r="I17" s="18">
        <f t="shared" si="2"/>
        <v>0.19725890958922523</v>
      </c>
      <c r="J17" s="17">
        <f t="shared" si="5"/>
        <v>337.73289687500028</v>
      </c>
      <c r="K17" s="17">
        <f t="shared" si="3"/>
        <v>9.9333204963235371</v>
      </c>
      <c r="L17" s="16">
        <v>154</v>
      </c>
      <c r="M17" s="19">
        <f t="shared" si="6"/>
        <v>0.22077922077922077</v>
      </c>
      <c r="N17" s="16">
        <v>7</v>
      </c>
      <c r="O17" s="20">
        <f t="shared" ref="O17:P17" si="25">D17/7</f>
        <v>4.8571428571428568</v>
      </c>
      <c r="P17" s="20">
        <f t="shared" si="25"/>
        <v>0</v>
      </c>
      <c r="Q17" s="16">
        <f t="shared" si="8"/>
        <v>1</v>
      </c>
      <c r="R17" s="16"/>
      <c r="S17" s="21">
        <v>5.8268656716417899</v>
      </c>
      <c r="T17" s="14">
        <v>192</v>
      </c>
      <c r="U17" s="22">
        <v>92</v>
      </c>
      <c r="V17" s="23" t="s">
        <v>1755</v>
      </c>
      <c r="W17" s="14">
        <v>0</v>
      </c>
      <c r="X17" s="24">
        <f t="shared" si="9"/>
        <v>0</v>
      </c>
      <c r="Y17" s="25">
        <f t="shared" si="10"/>
        <v>0</v>
      </c>
      <c r="Z17" s="14">
        <v>0</v>
      </c>
      <c r="AA17" s="14" t="s">
        <v>35</v>
      </c>
      <c r="AB17" s="27">
        <f t="shared" si="11"/>
        <v>-0.69</v>
      </c>
      <c r="AC17" s="28">
        <v>0.28809895833333332</v>
      </c>
      <c r="AD17" s="25">
        <f t="shared" si="12"/>
        <v>-13.517603124999999</v>
      </c>
      <c r="AE17" s="25">
        <v>-8.4600000000000009</v>
      </c>
      <c r="AF17" s="25">
        <v>-24.01</v>
      </c>
      <c r="AG17" s="25">
        <v>0</v>
      </c>
    </row>
    <row r="18" spans="1:33" ht="15.75" customHeight="1">
      <c r="A18" s="14" t="s">
        <v>42</v>
      </c>
      <c r="B18" s="14" t="s">
        <v>45</v>
      </c>
      <c r="C18" s="15">
        <f t="shared" si="4"/>
        <v>48.67</v>
      </c>
      <c r="D18" s="16">
        <v>4</v>
      </c>
      <c r="E18" s="16">
        <v>0</v>
      </c>
      <c r="F18" s="17">
        <v>194.68</v>
      </c>
      <c r="G18" s="29">
        <v>0</v>
      </c>
      <c r="H18" s="18">
        <f t="shared" si="1"/>
        <v>0</v>
      </c>
      <c r="I18" s="18">
        <f t="shared" si="2"/>
        <v>0.35667762482021781</v>
      </c>
      <c r="J18" s="17">
        <f t="shared" si="5"/>
        <v>69.438000000000002</v>
      </c>
      <c r="K18" s="17">
        <f t="shared" si="3"/>
        <v>17.359500000000001</v>
      </c>
      <c r="L18" s="16">
        <v>41</v>
      </c>
      <c r="M18" s="19">
        <f t="shared" si="6"/>
        <v>9.7560975609756101E-2</v>
      </c>
      <c r="N18" s="16">
        <v>3</v>
      </c>
      <c r="O18" s="20">
        <f t="shared" ref="O18:P18" si="26">D18/7</f>
        <v>0.5714285714285714</v>
      </c>
      <c r="P18" s="20">
        <f t="shared" si="26"/>
        <v>0</v>
      </c>
      <c r="Q18" s="16">
        <f t="shared" si="8"/>
        <v>5</v>
      </c>
      <c r="R18" s="16"/>
      <c r="S18" s="21">
        <v>11.320754716981099</v>
      </c>
      <c r="T18" s="14">
        <v>400</v>
      </c>
      <c r="U18" s="22">
        <v>0</v>
      </c>
      <c r="V18" s="23" t="s">
        <v>275</v>
      </c>
      <c r="W18" s="14">
        <v>0</v>
      </c>
      <c r="X18" s="24">
        <f t="shared" si="9"/>
        <v>0</v>
      </c>
      <c r="Y18" s="25">
        <f t="shared" si="10"/>
        <v>0</v>
      </c>
      <c r="Z18" s="14">
        <v>0</v>
      </c>
      <c r="AA18" s="14" t="e">
        <v>#N/A</v>
      </c>
      <c r="AB18" s="27" t="e">
        <f t="shared" si="11"/>
        <v>#N/A</v>
      </c>
      <c r="AC18" s="28" t="e">
        <v>#N/A</v>
      </c>
      <c r="AD18" s="25">
        <f t="shared" si="12"/>
        <v>0</v>
      </c>
      <c r="AE18" s="25">
        <v>0</v>
      </c>
      <c r="AF18" s="25">
        <v>-24.01</v>
      </c>
      <c r="AG18" s="25">
        <v>0</v>
      </c>
    </row>
    <row r="19" spans="1:33" ht="15.75" customHeight="1">
      <c r="A19" s="14" t="s">
        <v>44</v>
      </c>
      <c r="B19" s="14" t="s">
        <v>1756</v>
      </c>
      <c r="C19" s="15">
        <f t="shared" si="4"/>
        <v>46.817027027027031</v>
      </c>
      <c r="D19" s="16">
        <v>37</v>
      </c>
      <c r="E19" s="16">
        <v>0</v>
      </c>
      <c r="F19" s="17">
        <v>1732.23</v>
      </c>
      <c r="G19" s="29">
        <v>0</v>
      </c>
      <c r="H19" s="18">
        <f t="shared" si="1"/>
        <v>0</v>
      </c>
      <c r="I19" s="18">
        <f t="shared" si="2"/>
        <v>0.12429017346859249</v>
      </c>
      <c r="J19" s="17">
        <f t="shared" si="5"/>
        <v>215.29916718749996</v>
      </c>
      <c r="K19" s="17">
        <f t="shared" si="3"/>
        <v>5.8188964104729717</v>
      </c>
      <c r="L19" s="16">
        <v>118</v>
      </c>
      <c r="M19" s="19">
        <f t="shared" si="6"/>
        <v>0.3135593220338983</v>
      </c>
      <c r="N19" s="16">
        <v>66</v>
      </c>
      <c r="O19" s="20">
        <f t="shared" ref="O19:P19" si="27">D19/7</f>
        <v>5.2857142857142856</v>
      </c>
      <c r="P19" s="20">
        <f t="shared" si="27"/>
        <v>0</v>
      </c>
      <c r="Q19" s="16">
        <f t="shared" si="8"/>
        <v>12</v>
      </c>
      <c r="R19" s="16"/>
      <c r="S19" s="21">
        <v>6.6823529411764699</v>
      </c>
      <c r="T19" s="14">
        <v>400</v>
      </c>
      <c r="U19" s="22">
        <v>300</v>
      </c>
      <c r="V19" s="23" t="s">
        <v>1757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14" t="s">
        <v>35</v>
      </c>
      <c r="AB19" s="27">
        <f t="shared" si="11"/>
        <v>-0.69</v>
      </c>
      <c r="AC19" s="28">
        <v>0.28809895833333332</v>
      </c>
      <c r="AD19" s="25">
        <f t="shared" si="12"/>
        <v>-14.710332812499999</v>
      </c>
      <c r="AE19" s="25">
        <v>-8.4600000000000009</v>
      </c>
      <c r="AF19" s="25">
        <v>-25.118000000000002</v>
      </c>
      <c r="AG19" s="25">
        <v>0</v>
      </c>
    </row>
    <row r="20" spans="1:33" ht="15.75" customHeight="1">
      <c r="A20" s="14" t="s">
        <v>46</v>
      </c>
      <c r="B20" s="14" t="s">
        <v>45</v>
      </c>
      <c r="C20" s="15">
        <f t="shared" si="4"/>
        <v>49.863658536585362</v>
      </c>
      <c r="D20" s="16">
        <v>41</v>
      </c>
      <c r="E20" s="16">
        <v>0</v>
      </c>
      <c r="F20" s="17">
        <v>2044.4099999999999</v>
      </c>
      <c r="G20" s="29">
        <v>0</v>
      </c>
      <c r="H20" s="18">
        <f t="shared" si="1"/>
        <v>0</v>
      </c>
      <c r="I20" s="18">
        <f t="shared" si="2"/>
        <v>0.16863049042877884</v>
      </c>
      <c r="J20" s="17">
        <f t="shared" si="5"/>
        <v>344.7498609374997</v>
      </c>
      <c r="K20" s="17">
        <f t="shared" si="3"/>
        <v>8.4085331935975542</v>
      </c>
      <c r="L20" s="16">
        <v>166</v>
      </c>
      <c r="M20" s="19">
        <f t="shared" si="6"/>
        <v>0.24698795180722891</v>
      </c>
      <c r="N20" s="16">
        <v>21</v>
      </c>
      <c r="O20" s="20">
        <f t="shared" ref="O20:P20" si="28">D20/7</f>
        <v>5.8571428571428568</v>
      </c>
      <c r="P20" s="20">
        <f t="shared" si="28"/>
        <v>0</v>
      </c>
      <c r="Q20" s="16">
        <f t="shared" si="8"/>
        <v>3</v>
      </c>
      <c r="R20" s="16"/>
      <c r="S20" s="21">
        <v>6.7692307692307603</v>
      </c>
      <c r="T20" s="14">
        <v>400</v>
      </c>
      <c r="U20" s="22">
        <v>100</v>
      </c>
      <c r="V20" s="23" t="s">
        <v>1758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14" t="s">
        <v>35</v>
      </c>
      <c r="AB20" s="27">
        <f t="shared" si="11"/>
        <v>-0.69</v>
      </c>
      <c r="AC20" s="28">
        <v>0.28809895833333332</v>
      </c>
      <c r="AD20" s="25">
        <f t="shared" si="12"/>
        <v>-16.300639062499997</v>
      </c>
      <c r="AE20" s="25">
        <v>-8.4600000000000009</v>
      </c>
      <c r="AF20" s="25">
        <v>-25.118000000000002</v>
      </c>
      <c r="AG20" s="25">
        <v>0</v>
      </c>
    </row>
    <row r="21" spans="1:33" ht="15.75" customHeight="1">
      <c r="A21" s="14" t="s">
        <v>47</v>
      </c>
      <c r="B21" s="14" t="s">
        <v>45</v>
      </c>
      <c r="C21" s="15">
        <f t="shared" si="4"/>
        <v>49.973529411764709</v>
      </c>
      <c r="D21" s="16">
        <v>17</v>
      </c>
      <c r="E21" s="16">
        <v>0</v>
      </c>
      <c r="F21" s="17">
        <v>849.55000000000007</v>
      </c>
      <c r="G21" s="29">
        <v>0</v>
      </c>
      <c r="H21" s="18">
        <f t="shared" si="1"/>
        <v>0</v>
      </c>
      <c r="I21" s="18">
        <f t="shared" si="2"/>
        <v>0.17012853679889353</v>
      </c>
      <c r="J21" s="17">
        <f t="shared" si="5"/>
        <v>144.53269843750002</v>
      </c>
      <c r="K21" s="17">
        <f t="shared" si="3"/>
        <v>8.5019234375000003</v>
      </c>
      <c r="L21" s="16">
        <v>88</v>
      </c>
      <c r="M21" s="19">
        <f t="shared" si="6"/>
        <v>0.19318181818181818</v>
      </c>
      <c r="N21" s="16">
        <v>9</v>
      </c>
      <c r="O21" s="20">
        <f t="shared" ref="O21:P21" si="29">D21/7</f>
        <v>2.4285714285714284</v>
      </c>
      <c r="P21" s="20">
        <f t="shared" si="29"/>
        <v>0</v>
      </c>
      <c r="Q21" s="16">
        <f t="shared" si="8"/>
        <v>3</v>
      </c>
      <c r="R21" s="16"/>
      <c r="S21" s="21">
        <v>6.7799227799227797</v>
      </c>
      <c r="T21" s="14">
        <v>400</v>
      </c>
      <c r="U21" s="22">
        <v>100</v>
      </c>
      <c r="V21" s="23" t="s">
        <v>1759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14" t="s">
        <v>35</v>
      </c>
      <c r="AB21" s="27">
        <f t="shared" si="11"/>
        <v>-0.69</v>
      </c>
      <c r="AC21" s="28">
        <v>0.28809895833333332</v>
      </c>
      <c r="AD21" s="25">
        <f t="shared" si="12"/>
        <v>-6.7588015624999995</v>
      </c>
      <c r="AE21" s="25">
        <v>-8.4600000000000009</v>
      </c>
      <c r="AF21" s="25">
        <v>-25.118000000000002</v>
      </c>
      <c r="AG21" s="25">
        <v>0</v>
      </c>
    </row>
    <row r="22" spans="1:33" ht="15.75" customHeight="1">
      <c r="A22" s="14" t="s">
        <v>48</v>
      </c>
      <c r="B22" s="14" t="s">
        <v>45</v>
      </c>
      <c r="C22" s="15">
        <f t="shared" si="4"/>
        <v>49.95</v>
      </c>
      <c r="D22" s="16">
        <v>1</v>
      </c>
      <c r="E22" s="16">
        <v>0</v>
      </c>
      <c r="F22" s="29">
        <v>49.95</v>
      </c>
      <c r="G22" s="29">
        <v>0</v>
      </c>
      <c r="H22" s="18">
        <f t="shared" si="1"/>
        <v>0</v>
      </c>
      <c r="I22" s="18">
        <f t="shared" si="2"/>
        <v>0.16980827702702703</v>
      </c>
      <c r="J22" s="17">
        <f t="shared" si="5"/>
        <v>8.4819234375000008</v>
      </c>
      <c r="K22" s="17">
        <f t="shared" si="3"/>
        <v>8.4819234375000008</v>
      </c>
      <c r="L22" s="16">
        <v>5</v>
      </c>
      <c r="M22" s="19">
        <f t="shared" si="6"/>
        <v>0.2</v>
      </c>
      <c r="N22" s="16">
        <v>1</v>
      </c>
      <c r="O22" s="20">
        <f t="shared" ref="O22:P22" si="30">D22/7</f>
        <v>0.14285714285714285</v>
      </c>
      <c r="P22" s="20">
        <f t="shared" si="30"/>
        <v>0</v>
      </c>
      <c r="Q22" s="16">
        <f t="shared" si="8"/>
        <v>7</v>
      </c>
      <c r="R22" s="16"/>
      <c r="S22" s="21" t="e">
        <v>#N/A</v>
      </c>
      <c r="T22" s="14">
        <v>400</v>
      </c>
      <c r="U22" s="22">
        <v>100</v>
      </c>
      <c r="V22" s="23" t="s">
        <v>1759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35</v>
      </c>
      <c r="AB22" s="27">
        <f t="shared" si="11"/>
        <v>-0.69</v>
      </c>
      <c r="AC22" s="28">
        <v>0.28809895833333332</v>
      </c>
      <c r="AD22" s="25">
        <f t="shared" si="12"/>
        <v>-0.39757656249999995</v>
      </c>
      <c r="AE22" s="25">
        <v>-8.4600000000000009</v>
      </c>
      <c r="AF22" s="25">
        <v>-25.118000000000002</v>
      </c>
      <c r="AG22" s="25">
        <v>0</v>
      </c>
    </row>
    <row r="23" spans="1:33" ht="15.75" customHeight="1">
      <c r="A23" s="14" t="s">
        <v>49</v>
      </c>
      <c r="B23" s="14" t="s">
        <v>45</v>
      </c>
      <c r="C23" s="15">
        <f t="shared" si="4"/>
        <v>49.95</v>
      </c>
      <c r="D23" s="16">
        <v>1</v>
      </c>
      <c r="E23" s="16">
        <v>0</v>
      </c>
      <c r="F23" s="17">
        <v>49.95</v>
      </c>
      <c r="G23" s="29">
        <v>0</v>
      </c>
      <c r="H23" s="18">
        <f t="shared" si="1"/>
        <v>0</v>
      </c>
      <c r="I23" s="18">
        <f t="shared" si="2"/>
        <v>0.16980827702702703</v>
      </c>
      <c r="J23" s="17">
        <f t="shared" si="5"/>
        <v>8.4819234375000008</v>
      </c>
      <c r="K23" s="17">
        <f t="shared" si="3"/>
        <v>8.4819234375000008</v>
      </c>
      <c r="L23" s="16">
        <v>0</v>
      </c>
      <c r="M23" s="19" t="str">
        <f t="shared" si="6"/>
        <v>-</v>
      </c>
      <c r="N23" s="16">
        <v>1</v>
      </c>
      <c r="O23" s="20">
        <f t="shared" ref="O23:P23" si="31">D23/7</f>
        <v>0.14285714285714285</v>
      </c>
      <c r="P23" s="20">
        <f t="shared" si="31"/>
        <v>0</v>
      </c>
      <c r="Q23" s="16">
        <f t="shared" si="8"/>
        <v>7</v>
      </c>
      <c r="R23" s="16"/>
      <c r="S23" s="21" t="e">
        <v>#N/A</v>
      </c>
      <c r="T23" s="14">
        <v>802</v>
      </c>
      <c r="U23" s="22">
        <v>100</v>
      </c>
      <c r="V23" s="23" t="s">
        <v>1760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35</v>
      </c>
      <c r="AB23" s="27">
        <f t="shared" si="11"/>
        <v>-0.69</v>
      </c>
      <c r="AC23" s="28">
        <v>0.28809895833333332</v>
      </c>
      <c r="AD23" s="25">
        <f t="shared" si="12"/>
        <v>-0.39757656249999995</v>
      </c>
      <c r="AE23" s="25">
        <v>-8.4600000000000009</v>
      </c>
      <c r="AF23" s="25">
        <v>-25.118000000000002</v>
      </c>
      <c r="AG23" s="25">
        <v>0</v>
      </c>
    </row>
    <row r="24" spans="1:33" ht="15.75" customHeight="1">
      <c r="A24" s="14" t="s">
        <v>50</v>
      </c>
      <c r="B24" s="14" t="s">
        <v>45</v>
      </c>
      <c r="C24" s="15">
        <f t="shared" si="4"/>
        <v>49.95</v>
      </c>
      <c r="D24" s="16">
        <v>1</v>
      </c>
      <c r="E24" s="16">
        <v>0</v>
      </c>
      <c r="F24" s="17">
        <v>49.95</v>
      </c>
      <c r="G24" s="17">
        <v>0</v>
      </c>
      <c r="H24" s="18">
        <f t="shared" si="1"/>
        <v>0</v>
      </c>
      <c r="I24" s="18">
        <f t="shared" si="2"/>
        <v>0.16980827702702703</v>
      </c>
      <c r="J24" s="17">
        <f t="shared" si="5"/>
        <v>8.4819234375000008</v>
      </c>
      <c r="K24" s="17">
        <f t="shared" si="3"/>
        <v>8.4819234375000008</v>
      </c>
      <c r="L24" s="16">
        <v>9</v>
      </c>
      <c r="M24" s="19">
        <f t="shared" si="6"/>
        <v>0.1111111111111111</v>
      </c>
      <c r="N24" s="16">
        <v>3</v>
      </c>
      <c r="O24" s="20">
        <f t="shared" ref="O24:P24" si="32">D24/7</f>
        <v>0.14285714285714285</v>
      </c>
      <c r="P24" s="20">
        <f t="shared" si="32"/>
        <v>0</v>
      </c>
      <c r="Q24" s="16">
        <f t="shared" si="8"/>
        <v>21</v>
      </c>
      <c r="R24" s="16"/>
      <c r="S24" s="21">
        <v>4.7638888888888804</v>
      </c>
      <c r="T24" s="14">
        <v>802</v>
      </c>
      <c r="U24" s="22">
        <v>100</v>
      </c>
      <c r="V24" s="23" t="s">
        <v>1761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14" t="s">
        <v>35</v>
      </c>
      <c r="AB24" s="27">
        <f t="shared" si="11"/>
        <v>-0.69</v>
      </c>
      <c r="AC24" s="28">
        <v>0.28809895833333332</v>
      </c>
      <c r="AD24" s="25">
        <f t="shared" si="12"/>
        <v>-0.39757656249999995</v>
      </c>
      <c r="AE24" s="25">
        <v>-8.4600000000000009</v>
      </c>
      <c r="AF24" s="25">
        <v>-25.118000000000002</v>
      </c>
      <c r="AG24" s="25">
        <v>0</v>
      </c>
    </row>
    <row r="25" spans="1:33" ht="15.75" customHeight="1">
      <c r="A25" s="14" t="s">
        <v>51</v>
      </c>
      <c r="B25" s="14"/>
      <c r="C25" s="15" t="str">
        <f t="shared" si="4"/>
        <v xml:space="preserve"> - </v>
      </c>
      <c r="D25" s="16">
        <v>0</v>
      </c>
      <c r="E25" s="16">
        <v>0</v>
      </c>
      <c r="F25" s="17">
        <v>0</v>
      </c>
      <c r="G25" s="17">
        <v>0</v>
      </c>
      <c r="H25" s="18" t="e">
        <f t="shared" si="1"/>
        <v>#DIV/0!</v>
      </c>
      <c r="I25" s="18" t="e">
        <f t="shared" si="2"/>
        <v>#DIV/0!</v>
      </c>
      <c r="J25" s="17">
        <f t="shared" si="5"/>
        <v>0</v>
      </c>
      <c r="K25" s="17" t="e">
        <f t="shared" si="3"/>
        <v>#DIV/0!</v>
      </c>
      <c r="L25" s="16">
        <v>0</v>
      </c>
      <c r="M25" s="19" t="str">
        <f t="shared" si="6"/>
        <v>-</v>
      </c>
      <c r="N25" s="16">
        <v>2</v>
      </c>
      <c r="O25" s="20">
        <f t="shared" ref="O25:P25" si="33">D25/7</f>
        <v>0</v>
      </c>
      <c r="P25" s="20">
        <f t="shared" si="33"/>
        <v>0</v>
      </c>
      <c r="Q25" s="16" t="e">
        <f t="shared" si="8"/>
        <v>#DIV/0!</v>
      </c>
      <c r="R25" s="16"/>
      <c r="S25" s="21">
        <v>6.5882352941176467</v>
      </c>
      <c r="T25" s="14">
        <v>902</v>
      </c>
      <c r="U25" s="22">
        <v>100</v>
      </c>
      <c r="V25" s="23" t="s">
        <v>1762</v>
      </c>
      <c r="W25" s="30">
        <v>0</v>
      </c>
      <c r="X25" s="24">
        <f t="shared" si="9"/>
        <v>0</v>
      </c>
      <c r="Y25" s="25">
        <f t="shared" si="10"/>
        <v>0</v>
      </c>
      <c r="Z25" s="30">
        <v>0</v>
      </c>
      <c r="AA25" s="14" t="s">
        <v>35</v>
      </c>
      <c r="AB25" s="27">
        <f t="shared" si="11"/>
        <v>-0.69</v>
      </c>
      <c r="AC25" s="28">
        <v>0.28809895833333332</v>
      </c>
      <c r="AD25" s="25">
        <f t="shared" si="12"/>
        <v>0</v>
      </c>
      <c r="AE25" s="25">
        <v>-8.4600000000000009</v>
      </c>
      <c r="AF25" s="25">
        <v>-25.12</v>
      </c>
      <c r="AG25" s="25">
        <v>0</v>
      </c>
    </row>
    <row r="26" spans="1:33" ht="15.75" customHeight="1">
      <c r="A26" s="14" t="s">
        <v>52</v>
      </c>
      <c r="B26" s="14" t="s">
        <v>45</v>
      </c>
      <c r="C26" s="15">
        <f t="shared" si="4"/>
        <v>49.95</v>
      </c>
      <c r="D26" s="16">
        <v>2</v>
      </c>
      <c r="E26" s="16">
        <v>0</v>
      </c>
      <c r="F26" s="17">
        <v>99.9</v>
      </c>
      <c r="G26" s="17">
        <v>0</v>
      </c>
      <c r="H26" s="18">
        <f t="shared" si="1"/>
        <v>0</v>
      </c>
      <c r="I26" s="18">
        <f t="shared" si="2"/>
        <v>0.16980827702702711</v>
      </c>
      <c r="J26" s="17">
        <f t="shared" si="5"/>
        <v>16.963846875000009</v>
      </c>
      <c r="K26" s="17">
        <f t="shared" si="3"/>
        <v>8.4819234375000043</v>
      </c>
      <c r="L26" s="16">
        <v>4</v>
      </c>
      <c r="M26" s="19">
        <f t="shared" si="6"/>
        <v>0.5</v>
      </c>
      <c r="N26" s="16">
        <v>0</v>
      </c>
      <c r="O26" s="20">
        <f t="shared" ref="O26:P26" si="34">D26/7</f>
        <v>0.2857142857142857</v>
      </c>
      <c r="P26" s="20">
        <f t="shared" si="34"/>
        <v>0</v>
      </c>
      <c r="Q26" s="16">
        <f t="shared" si="8"/>
        <v>0</v>
      </c>
      <c r="R26" s="16"/>
      <c r="S26" s="21">
        <v>8.6518518518518519</v>
      </c>
      <c r="T26" s="14">
        <v>902</v>
      </c>
      <c r="U26" s="22">
        <v>100</v>
      </c>
      <c r="V26" s="23" t="s">
        <v>1763</v>
      </c>
      <c r="W26" s="30">
        <v>0</v>
      </c>
      <c r="X26" s="24">
        <f t="shared" si="9"/>
        <v>0</v>
      </c>
      <c r="Y26" s="25">
        <f t="shared" si="10"/>
        <v>0</v>
      </c>
      <c r="Z26" s="30">
        <v>0</v>
      </c>
      <c r="AA26" s="14" t="s">
        <v>35</v>
      </c>
      <c r="AB26" s="27">
        <f t="shared" si="11"/>
        <v>-0.69</v>
      </c>
      <c r="AC26" s="28">
        <v>0.28809895833333332</v>
      </c>
      <c r="AD26" s="25">
        <f t="shared" si="12"/>
        <v>-0.79515312499999991</v>
      </c>
      <c r="AE26" s="25">
        <v>-8.4600000000000009</v>
      </c>
      <c r="AF26" s="25">
        <v>-25.117999999999999</v>
      </c>
      <c r="AG26" s="25">
        <v>0</v>
      </c>
    </row>
    <row r="27" spans="1:33" ht="15.75" customHeight="1">
      <c r="A27" s="14" t="s">
        <v>53</v>
      </c>
      <c r="B27" s="14" t="s">
        <v>1764</v>
      </c>
      <c r="C27" s="15">
        <f t="shared" si="4"/>
        <v>49.95</v>
      </c>
      <c r="D27" s="16">
        <v>13</v>
      </c>
      <c r="E27" s="16">
        <v>0</v>
      </c>
      <c r="F27" s="17">
        <v>649.35</v>
      </c>
      <c r="G27" s="17">
        <v>0</v>
      </c>
      <c r="H27" s="18">
        <f t="shared" si="1"/>
        <v>0</v>
      </c>
      <c r="I27" s="18">
        <f t="shared" si="2"/>
        <v>4.6244713463463448E-2</v>
      </c>
      <c r="J27" s="17">
        <f t="shared" si="5"/>
        <v>30.029004687499992</v>
      </c>
      <c r="K27" s="17">
        <f t="shared" si="3"/>
        <v>2.3099234374999993</v>
      </c>
      <c r="L27" s="16">
        <v>32</v>
      </c>
      <c r="M27" s="19">
        <f t="shared" si="6"/>
        <v>0.40625</v>
      </c>
      <c r="N27" s="16">
        <v>92</v>
      </c>
      <c r="O27" s="20">
        <f t="shared" ref="O27:P27" si="35">D27/7</f>
        <v>1.8571428571428572</v>
      </c>
      <c r="P27" s="20">
        <f t="shared" si="35"/>
        <v>0</v>
      </c>
      <c r="Q27" s="16">
        <f t="shared" si="8"/>
        <v>49</v>
      </c>
      <c r="R27" s="16"/>
      <c r="S27" s="21">
        <v>6.028169014084507</v>
      </c>
      <c r="T27" s="14">
        <v>802</v>
      </c>
      <c r="U27" s="22">
        <v>300</v>
      </c>
      <c r="V27" s="23" t="s">
        <v>1765</v>
      </c>
      <c r="W27" s="30">
        <v>0</v>
      </c>
      <c r="X27" s="24">
        <f t="shared" si="9"/>
        <v>0</v>
      </c>
      <c r="Y27" s="25">
        <f t="shared" si="10"/>
        <v>0</v>
      </c>
      <c r="Z27" s="30">
        <v>0</v>
      </c>
      <c r="AA27" s="14" t="s">
        <v>35</v>
      </c>
      <c r="AB27" s="27">
        <f t="shared" si="11"/>
        <v>-0.69</v>
      </c>
      <c r="AC27" s="28">
        <v>0.28809895833333332</v>
      </c>
      <c r="AD27" s="25">
        <f t="shared" si="12"/>
        <v>-5.1684953124999993</v>
      </c>
      <c r="AE27" s="25">
        <v>-8.4600000000000009</v>
      </c>
      <c r="AF27" s="25">
        <v>-31.29</v>
      </c>
      <c r="AG27" s="25">
        <v>0</v>
      </c>
    </row>
    <row r="28" spans="1:33" ht="15.75" customHeight="1">
      <c r="A28" s="14" t="s">
        <v>54</v>
      </c>
      <c r="B28" s="14" t="s">
        <v>1766</v>
      </c>
      <c r="C28" s="15">
        <f t="shared" si="4"/>
        <v>49.700526315789467</v>
      </c>
      <c r="D28" s="16">
        <v>38</v>
      </c>
      <c r="E28" s="16">
        <v>0</v>
      </c>
      <c r="F28" s="17">
        <v>1888.62</v>
      </c>
      <c r="G28" s="17">
        <v>0</v>
      </c>
      <c r="H28" s="18">
        <f t="shared" si="1"/>
        <v>0</v>
      </c>
      <c r="I28" s="18">
        <f t="shared" si="2"/>
        <v>4.9856027483029822E-2</v>
      </c>
      <c r="J28" s="17">
        <f t="shared" si="5"/>
        <v>94.159090624999777</v>
      </c>
      <c r="K28" s="17">
        <f t="shared" si="3"/>
        <v>2.4778708059210466</v>
      </c>
      <c r="L28" s="16">
        <v>127</v>
      </c>
      <c r="M28" s="19">
        <f t="shared" si="6"/>
        <v>0.29921259842519687</v>
      </c>
      <c r="N28" s="16">
        <v>56</v>
      </c>
      <c r="O28" s="20">
        <f t="shared" ref="O28:P28" si="36">D28/7</f>
        <v>5.4285714285714288</v>
      </c>
      <c r="P28" s="20">
        <f t="shared" si="36"/>
        <v>0</v>
      </c>
      <c r="Q28" s="16">
        <f t="shared" si="8"/>
        <v>10</v>
      </c>
      <c r="R28" s="16"/>
      <c r="S28" s="21">
        <v>3.5457875457875461</v>
      </c>
      <c r="T28" s="14">
        <v>1003</v>
      </c>
      <c r="U28" s="22">
        <v>44392</v>
      </c>
      <c r="V28" s="23" t="s">
        <v>1767</v>
      </c>
      <c r="W28" s="30">
        <v>0</v>
      </c>
      <c r="X28" s="24">
        <f t="shared" si="9"/>
        <v>0</v>
      </c>
      <c r="Y28" s="25">
        <f t="shared" si="10"/>
        <v>0</v>
      </c>
      <c r="Z28" s="30">
        <v>0</v>
      </c>
      <c r="AA28" s="14" t="s">
        <v>35</v>
      </c>
      <c r="AB28" s="27">
        <f t="shared" si="11"/>
        <v>-0.69</v>
      </c>
      <c r="AC28" s="28">
        <v>0.28809895833333332</v>
      </c>
      <c r="AD28" s="25">
        <f t="shared" si="12"/>
        <v>-15.107909374999998</v>
      </c>
      <c r="AE28" s="25">
        <v>-8.08</v>
      </c>
      <c r="AF28" s="25">
        <v>-31.29</v>
      </c>
      <c r="AG28" s="25">
        <v>0</v>
      </c>
    </row>
    <row r="29" spans="1:33" ht="15.75" customHeight="1">
      <c r="A29" s="14" t="s">
        <v>55</v>
      </c>
      <c r="B29" s="14" t="s">
        <v>45</v>
      </c>
      <c r="C29" s="15">
        <f t="shared" si="4"/>
        <v>54.129333333333335</v>
      </c>
      <c r="D29" s="16">
        <v>30</v>
      </c>
      <c r="E29" s="16">
        <v>0</v>
      </c>
      <c r="F29" s="17">
        <v>1623.88</v>
      </c>
      <c r="G29" s="17">
        <v>0</v>
      </c>
      <c r="H29" s="18">
        <f t="shared" si="1"/>
        <v>0</v>
      </c>
      <c r="I29" s="18">
        <f t="shared" si="2"/>
        <v>0.11532299377109149</v>
      </c>
      <c r="J29" s="17">
        <f t="shared" si="5"/>
        <v>187.27070312500007</v>
      </c>
      <c r="K29" s="17">
        <f t="shared" si="3"/>
        <v>6.2423567708333358</v>
      </c>
      <c r="L29" s="16">
        <v>180</v>
      </c>
      <c r="M29" s="19">
        <f t="shared" si="6"/>
        <v>0.16666666666666666</v>
      </c>
      <c r="N29" s="16">
        <v>12</v>
      </c>
      <c r="O29" s="20">
        <f t="shared" ref="O29:P29" si="37">D29/7</f>
        <v>4.2857142857142856</v>
      </c>
      <c r="P29" s="20">
        <f t="shared" si="37"/>
        <v>0</v>
      </c>
      <c r="Q29" s="16">
        <f t="shared" si="8"/>
        <v>2</v>
      </c>
      <c r="R29" s="16"/>
      <c r="S29" s="21">
        <v>6.4923076923076923</v>
      </c>
      <c r="T29" s="14">
        <v>1084</v>
      </c>
      <c r="U29" s="22">
        <v>44392</v>
      </c>
      <c r="V29" s="23" t="s">
        <v>1768</v>
      </c>
      <c r="W29" s="30">
        <v>0</v>
      </c>
      <c r="X29" s="24">
        <f t="shared" si="9"/>
        <v>0</v>
      </c>
      <c r="Y29" s="25">
        <f t="shared" si="10"/>
        <v>0</v>
      </c>
      <c r="Z29" s="30">
        <v>0</v>
      </c>
      <c r="AA29" s="14" t="s">
        <v>35</v>
      </c>
      <c r="AB29" s="27">
        <f t="shared" si="11"/>
        <v>-0.69</v>
      </c>
      <c r="AC29" s="28">
        <v>0.28809895833333332</v>
      </c>
      <c r="AD29" s="25">
        <f t="shared" si="12"/>
        <v>-11.927296874999998</v>
      </c>
      <c r="AE29" s="25">
        <v>-8.08</v>
      </c>
      <c r="AF29" s="25">
        <v>-31.29</v>
      </c>
      <c r="AG29" s="25">
        <v>0</v>
      </c>
    </row>
    <row r="30" spans="1:33" ht="15.75" customHeight="1">
      <c r="A30" s="14" t="s">
        <v>57</v>
      </c>
      <c r="B30" s="14" t="s">
        <v>45</v>
      </c>
      <c r="C30" s="15">
        <f t="shared" si="4"/>
        <v>59.96636363636366</v>
      </c>
      <c r="D30" s="16">
        <v>22</v>
      </c>
      <c r="E30" s="16">
        <v>0</v>
      </c>
      <c r="F30" s="17">
        <v>1319.2600000000004</v>
      </c>
      <c r="G30" s="17">
        <v>0</v>
      </c>
      <c r="H30" s="18">
        <f t="shared" si="1"/>
        <v>0</v>
      </c>
      <c r="I30" s="18">
        <f t="shared" si="2"/>
        <v>0.20260129665494317</v>
      </c>
      <c r="J30" s="17">
        <f t="shared" si="5"/>
        <v>267.2837866250004</v>
      </c>
      <c r="K30" s="17">
        <f t="shared" si="3"/>
        <v>12.149263028409109</v>
      </c>
      <c r="L30" s="16">
        <v>103</v>
      </c>
      <c r="M30" s="19">
        <f t="shared" si="6"/>
        <v>0.21359223300970873</v>
      </c>
      <c r="N30" s="16">
        <v>1</v>
      </c>
      <c r="O30" s="20">
        <f t="shared" ref="O30:P30" si="38">D30/7</f>
        <v>3.1428571428571428</v>
      </c>
      <c r="P30" s="20">
        <f t="shared" si="38"/>
        <v>0</v>
      </c>
      <c r="Q30" s="16">
        <f t="shared" si="8"/>
        <v>0</v>
      </c>
      <c r="R30" s="16"/>
      <c r="S30" s="21">
        <v>11.83333333333333</v>
      </c>
      <c r="T30" s="14">
        <v>802</v>
      </c>
      <c r="U30" s="22">
        <v>300</v>
      </c>
      <c r="V30" s="23" t="s">
        <v>1768</v>
      </c>
      <c r="W30" s="30">
        <v>0</v>
      </c>
      <c r="X30" s="24">
        <f t="shared" si="9"/>
        <v>0</v>
      </c>
      <c r="Y30" s="25">
        <f t="shared" si="10"/>
        <v>0</v>
      </c>
      <c r="Z30" s="30">
        <v>0</v>
      </c>
      <c r="AA30" s="14" t="s">
        <v>35</v>
      </c>
      <c r="AB30" s="27">
        <f t="shared" si="11"/>
        <v>-0.69</v>
      </c>
      <c r="AC30" s="28">
        <v>0.28809895833333332</v>
      </c>
      <c r="AD30" s="25">
        <f t="shared" si="12"/>
        <v>-8.7466843749999992</v>
      </c>
      <c r="AE30" s="25">
        <v>-8.08</v>
      </c>
      <c r="AF30" s="25">
        <v>-30.344569499999999</v>
      </c>
      <c r="AG30" s="25">
        <v>0</v>
      </c>
    </row>
    <row r="31" spans="1:33" ht="15.75" customHeight="1">
      <c r="A31" s="14" t="s">
        <v>58</v>
      </c>
      <c r="B31" s="14" t="s">
        <v>45</v>
      </c>
      <c r="C31" s="15">
        <f t="shared" si="4"/>
        <v>59.95</v>
      </c>
      <c r="D31" s="16">
        <v>1</v>
      </c>
      <c r="E31" s="16">
        <v>0</v>
      </c>
      <c r="F31" s="17">
        <v>59.95</v>
      </c>
      <c r="G31" s="17">
        <v>0</v>
      </c>
      <c r="H31" s="18">
        <f t="shared" si="1"/>
        <v>0</v>
      </c>
      <c r="I31" s="18">
        <f t="shared" si="2"/>
        <v>0.20242458611342787</v>
      </c>
      <c r="J31" s="17">
        <f t="shared" si="5"/>
        <v>12.135353937500001</v>
      </c>
      <c r="K31" s="17">
        <f t="shared" si="3"/>
        <v>12.135353937500001</v>
      </c>
      <c r="L31" s="16">
        <v>3</v>
      </c>
      <c r="M31" s="19">
        <f t="shared" si="6"/>
        <v>0.33333333333333331</v>
      </c>
      <c r="N31" s="16">
        <v>2</v>
      </c>
      <c r="O31" s="20">
        <f t="shared" ref="O31:P31" si="39">D31/7</f>
        <v>0.14285714285714285</v>
      </c>
      <c r="P31" s="20">
        <f t="shared" si="39"/>
        <v>0</v>
      </c>
      <c r="Q31" s="16">
        <f t="shared" si="8"/>
        <v>14</v>
      </c>
      <c r="R31" s="16"/>
      <c r="S31" s="21">
        <v>18.952380952380899</v>
      </c>
      <c r="T31" s="14">
        <v>322</v>
      </c>
      <c r="U31" s="22">
        <v>381</v>
      </c>
      <c r="V31" s="23" t="s">
        <v>1769</v>
      </c>
      <c r="W31" s="30">
        <v>0</v>
      </c>
      <c r="X31" s="24">
        <f t="shared" si="9"/>
        <v>0</v>
      </c>
      <c r="Y31" s="25">
        <f t="shared" si="10"/>
        <v>0</v>
      </c>
      <c r="Z31" s="30">
        <v>0</v>
      </c>
      <c r="AA31" s="14" t="s">
        <v>35</v>
      </c>
      <c r="AB31" s="27">
        <f t="shared" si="11"/>
        <v>-0.69</v>
      </c>
      <c r="AC31" s="28">
        <v>0.28809895833333332</v>
      </c>
      <c r="AD31" s="25">
        <f t="shared" si="12"/>
        <v>-0.39757656249999995</v>
      </c>
      <c r="AE31" s="25">
        <v>-8.08</v>
      </c>
      <c r="AF31" s="25">
        <v>-30.344569500000002</v>
      </c>
      <c r="AG31" s="25">
        <v>0</v>
      </c>
    </row>
    <row r="32" spans="1:33" ht="15.75" customHeight="1">
      <c r="A32" s="14" t="s">
        <v>60</v>
      </c>
      <c r="B32" s="14"/>
      <c r="C32" s="15" t="str">
        <f t="shared" si="4"/>
        <v xml:space="preserve"> - </v>
      </c>
      <c r="D32" s="16">
        <v>0</v>
      </c>
      <c r="E32" s="16">
        <v>0</v>
      </c>
      <c r="F32" s="17">
        <v>0</v>
      </c>
      <c r="G32" s="17">
        <v>0</v>
      </c>
      <c r="H32" s="18" t="e">
        <f t="shared" si="1"/>
        <v>#DIV/0!</v>
      </c>
      <c r="I32" s="18" t="e">
        <f t="shared" si="2"/>
        <v>#DIV/0!</v>
      </c>
      <c r="J32" s="17">
        <f t="shared" si="5"/>
        <v>0</v>
      </c>
      <c r="K32" s="17" t="e">
        <f t="shared" si="3"/>
        <v>#DIV/0!</v>
      </c>
      <c r="L32" s="16">
        <v>0</v>
      </c>
      <c r="M32" s="19" t="str">
        <f t="shared" si="6"/>
        <v>-</v>
      </c>
      <c r="N32" s="16">
        <v>0</v>
      </c>
      <c r="O32" s="20">
        <f t="shared" ref="O32:P32" si="40">D32/7</f>
        <v>0</v>
      </c>
      <c r="P32" s="20">
        <f t="shared" si="40"/>
        <v>0</v>
      </c>
      <c r="Q32" s="16" t="e">
        <f t="shared" si="8"/>
        <v>#DIV/0!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4.1379310344827589</v>
      </c>
      <c r="T32" s="14">
        <f ca="1">IFERROR(__xludf.DUMMYFUNCTION("IFERROR(VLOOKUP($B$2,IMPORTRANGE(""https://docs.google.com/spreadsheets/d/1KiWZV1ko8G7lnRucBRBd29jj3Be6ltMfljMDqzOkQmI/edit#gid=1381463014"",""Lookup!A:D""),4,FALSE),"""")"),322)</f>
        <v>322</v>
      </c>
      <c r="U32" s="22">
        <f ca="1">IFERROR(__xludf.DUMMYFUNCTION("IFERROR(VLOOKUP($B$2,IMPORTRANGE(""https://docs.google.com/spreadsheets/d/1KiWZV1ko8G7lnRucBRBd29jj3Be6ltMfljMDqzOkQmI/edit#gid=1381463014"",""Lookup!A:D""),3,FALSE),"""")"),381)</f>
        <v>381</v>
      </c>
      <c r="V32" s="23" t="str">
        <f ca="1">IFERROR(__xludf.DUMMYFUNCTION("IFERROR(VLOOKUP($B$2,IMPORTRANGE(""https://docs.google.com/spreadsheets/d/1KiWZV1ko8G7lnRucBRBd29jj3Be6ltMfljMDqzOkQmI/edit#gid=1381463014"",""Lookup!A:D""),2,FALSE),"""")"),"| 408  - 300 units 07/19| 418  - 81 units 09/03")</f>
        <v>| 408  - 300 units 07/19| 418  - 81 units 09/03</v>
      </c>
      <c r="W32" s="30">
        <v>0</v>
      </c>
      <c r="X32" s="24">
        <f t="shared" si="9"/>
        <v>0</v>
      </c>
      <c r="Y32" s="25">
        <f t="shared" si="10"/>
        <v>0</v>
      </c>
      <c r="Z32" s="30">
        <v>0</v>
      </c>
      <c r="AA32" s="14" t="s">
        <v>35</v>
      </c>
      <c r="AB32" s="27">
        <f t="shared" si="11"/>
        <v>-0.69</v>
      </c>
      <c r="AC32" s="28">
        <v>0.28809895833333332</v>
      </c>
      <c r="AD32" s="25">
        <f t="shared" si="12"/>
        <v>0</v>
      </c>
      <c r="AE32" s="25">
        <v>-8.08</v>
      </c>
      <c r="AF32" s="25">
        <v>-30.344569499999999</v>
      </c>
      <c r="AG32" s="25">
        <v>0</v>
      </c>
    </row>
    <row r="33" spans="1:33" ht="15.75" customHeight="1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16"/>
      <c r="S33" s="21"/>
      <c r="T33" s="31"/>
      <c r="U33" s="36"/>
      <c r="V33" s="1"/>
      <c r="W33" s="31"/>
      <c r="X33" s="31"/>
      <c r="Y33" s="31"/>
      <c r="Z33" s="31"/>
      <c r="AA33" s="2"/>
      <c r="AB33" s="31"/>
      <c r="AC33" s="31"/>
      <c r="AD33" s="31"/>
      <c r="AE33" s="37"/>
      <c r="AF33" s="37"/>
      <c r="AG33" s="37"/>
    </row>
    <row r="34" spans="1:33" ht="15.75" customHeight="1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6"/>
      <c r="V34" s="1"/>
      <c r="W34" s="31"/>
      <c r="X34" s="31"/>
      <c r="Y34" s="31"/>
      <c r="Z34" s="31"/>
      <c r="AA34" s="2"/>
      <c r="AB34" s="31"/>
      <c r="AC34" s="31"/>
      <c r="AD34" s="31"/>
      <c r="AE34" s="37"/>
      <c r="AF34" s="37"/>
      <c r="AG34" s="37"/>
    </row>
    <row r="35" spans="1:33" ht="15.75" customHeight="1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6"/>
      <c r="V35" s="1"/>
      <c r="W35" s="31"/>
      <c r="X35" s="31"/>
      <c r="Y35" s="31"/>
      <c r="Z35" s="31"/>
      <c r="AA35" s="2"/>
      <c r="AB35" s="31"/>
      <c r="AC35" s="31"/>
      <c r="AD35" s="31"/>
      <c r="AE35" s="37"/>
      <c r="AF35" s="37"/>
      <c r="AG35" s="37"/>
    </row>
    <row r="36" spans="1:33" ht="15.75" customHeight="1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6"/>
      <c r="V36" s="1"/>
      <c r="W36" s="31"/>
      <c r="X36" s="31"/>
      <c r="Y36" s="31"/>
      <c r="Z36" s="31"/>
      <c r="AA36" s="2"/>
      <c r="AB36" s="31"/>
      <c r="AC36" s="31"/>
      <c r="AD36" s="31"/>
      <c r="AE36" s="37"/>
      <c r="AF36" s="37"/>
      <c r="AG36" s="37"/>
    </row>
    <row r="37" spans="1:33" ht="15.75" customHeight="1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6"/>
      <c r="V37" s="1"/>
      <c r="W37" s="31"/>
      <c r="X37" s="31"/>
      <c r="Y37" s="31"/>
      <c r="Z37" s="31"/>
      <c r="AA37" s="2"/>
      <c r="AB37" s="31"/>
      <c r="AC37" s="31"/>
      <c r="AD37" s="31"/>
      <c r="AE37" s="37"/>
      <c r="AF37" s="37"/>
      <c r="AG37" s="37"/>
    </row>
    <row r="38" spans="1:33" ht="15.75" customHeight="1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6"/>
      <c r="V38" s="1"/>
      <c r="W38" s="31"/>
      <c r="X38" s="31"/>
      <c r="Y38" s="31"/>
      <c r="Z38" s="31"/>
      <c r="AA38" s="2"/>
      <c r="AB38" s="31"/>
      <c r="AC38" s="31"/>
      <c r="AD38" s="31"/>
      <c r="AE38" s="37"/>
      <c r="AF38" s="37"/>
      <c r="AG38" s="37"/>
    </row>
    <row r="39" spans="1:33" ht="15.75" customHeight="1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6"/>
      <c r="V39" s="1"/>
      <c r="W39" s="31"/>
      <c r="X39" s="31"/>
      <c r="Y39" s="31"/>
      <c r="Z39" s="31"/>
      <c r="AA39" s="2"/>
      <c r="AB39" s="31"/>
      <c r="AC39" s="31"/>
      <c r="AD39" s="31"/>
      <c r="AE39" s="37"/>
      <c r="AF39" s="37"/>
      <c r="AG39" s="37"/>
    </row>
    <row r="40" spans="1:33" ht="15.75" customHeight="1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6"/>
      <c r="V40" s="1"/>
      <c r="W40" s="31"/>
      <c r="X40" s="31"/>
      <c r="Y40" s="31"/>
      <c r="Z40" s="31"/>
      <c r="AA40" s="2"/>
      <c r="AB40" s="31"/>
      <c r="AC40" s="31"/>
      <c r="AD40" s="31"/>
      <c r="AE40" s="37"/>
      <c r="AF40" s="37"/>
      <c r="AG40" s="37"/>
    </row>
    <row r="41" spans="1:33" ht="15.75" customHeight="1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6"/>
      <c r="V41" s="1"/>
      <c r="W41" s="31"/>
      <c r="X41" s="31"/>
      <c r="Y41" s="31"/>
      <c r="Z41" s="31"/>
      <c r="AA41" s="2"/>
      <c r="AB41" s="31"/>
      <c r="AC41" s="31"/>
      <c r="AD41" s="31"/>
      <c r="AE41" s="37"/>
      <c r="AF41" s="37"/>
      <c r="AG41" s="37"/>
    </row>
    <row r="42" spans="1:33" ht="15.75" customHeight="1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6"/>
      <c r="V42" s="1"/>
      <c r="W42" s="31"/>
      <c r="X42" s="31"/>
      <c r="Y42" s="31"/>
      <c r="Z42" s="31"/>
      <c r="AA42" s="2"/>
      <c r="AB42" s="31"/>
      <c r="AC42" s="31"/>
      <c r="AD42" s="31"/>
      <c r="AE42" s="37"/>
      <c r="AF42" s="37"/>
      <c r="AG42" s="37"/>
    </row>
    <row r="43" spans="1:33" ht="15.75" customHeight="1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6"/>
      <c r="V43" s="1"/>
      <c r="W43" s="31"/>
      <c r="X43" s="31"/>
      <c r="Y43" s="31"/>
      <c r="Z43" s="31"/>
      <c r="AA43" s="2"/>
      <c r="AB43" s="31"/>
      <c r="AC43" s="31"/>
      <c r="AD43" s="31"/>
      <c r="AE43" s="37"/>
      <c r="AF43" s="37"/>
      <c r="AG43" s="37"/>
    </row>
    <row r="44" spans="1:33" ht="15.75" customHeight="1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6"/>
      <c r="V44" s="1"/>
      <c r="W44" s="31"/>
      <c r="X44" s="31"/>
      <c r="Y44" s="31"/>
      <c r="Z44" s="31"/>
      <c r="AA44" s="2"/>
      <c r="AB44" s="31"/>
      <c r="AC44" s="31"/>
      <c r="AD44" s="31"/>
      <c r="AE44" s="37"/>
      <c r="AF44" s="37"/>
      <c r="AG44" s="37"/>
    </row>
    <row r="45" spans="1:33" ht="15.75" customHeight="1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6"/>
      <c r="V45" s="1"/>
      <c r="W45" s="31"/>
      <c r="X45" s="31"/>
      <c r="Y45" s="31"/>
      <c r="Z45" s="31"/>
      <c r="AA45" s="2"/>
      <c r="AB45" s="31"/>
      <c r="AC45" s="31"/>
      <c r="AD45" s="31"/>
      <c r="AE45" s="37"/>
      <c r="AF45" s="37"/>
      <c r="AG45" s="37"/>
    </row>
    <row r="46" spans="1:33" ht="15.75" customHeight="1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6"/>
      <c r="V46" s="1"/>
      <c r="W46" s="31"/>
      <c r="X46" s="31"/>
      <c r="Y46" s="31"/>
      <c r="Z46" s="31"/>
      <c r="AA46" s="2"/>
      <c r="AB46" s="31"/>
      <c r="AC46" s="31"/>
      <c r="AD46" s="31"/>
      <c r="AE46" s="37"/>
      <c r="AF46" s="37"/>
      <c r="AG46" s="37"/>
    </row>
    <row r="47" spans="1:33" ht="15.75" customHeight="1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6"/>
      <c r="V47" s="1"/>
      <c r="W47" s="31"/>
      <c r="X47" s="31"/>
      <c r="Y47" s="31"/>
      <c r="Z47" s="31"/>
      <c r="AA47" s="2"/>
      <c r="AB47" s="31"/>
      <c r="AC47" s="31"/>
      <c r="AD47" s="31"/>
      <c r="AE47" s="37"/>
      <c r="AF47" s="37"/>
      <c r="AG47" s="37"/>
    </row>
    <row r="48" spans="1:33" ht="15.75" customHeight="1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6"/>
      <c r="V48" s="1"/>
      <c r="W48" s="31"/>
      <c r="X48" s="31"/>
      <c r="Y48" s="31"/>
      <c r="Z48" s="31"/>
      <c r="AA48" s="2"/>
      <c r="AB48" s="31"/>
      <c r="AC48" s="31"/>
      <c r="AD48" s="31"/>
      <c r="AE48" s="37"/>
      <c r="AF48" s="37"/>
      <c r="AG48" s="37"/>
    </row>
    <row r="49" spans="1:33" ht="15.75" customHeight="1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6"/>
      <c r="V49" s="1"/>
      <c r="W49" s="31"/>
      <c r="X49" s="31"/>
      <c r="Y49" s="31"/>
      <c r="Z49" s="31"/>
      <c r="AA49" s="2"/>
      <c r="AB49" s="31"/>
      <c r="AC49" s="31"/>
      <c r="AD49" s="31"/>
      <c r="AE49" s="37"/>
      <c r="AF49" s="37"/>
      <c r="AG49" s="37"/>
    </row>
    <row r="50" spans="1:33" ht="15.75" customHeight="1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6"/>
      <c r="V50" s="1"/>
      <c r="W50" s="31"/>
      <c r="X50" s="31"/>
      <c r="Y50" s="31"/>
      <c r="Z50" s="31"/>
      <c r="AA50" s="2"/>
      <c r="AB50" s="31"/>
      <c r="AC50" s="31"/>
      <c r="AD50" s="31"/>
      <c r="AE50" s="37"/>
      <c r="AF50" s="37"/>
      <c r="AG50" s="37"/>
    </row>
    <row r="51" spans="1:33" ht="15.75" customHeight="1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6"/>
      <c r="V51" s="1"/>
      <c r="W51" s="31"/>
      <c r="X51" s="31"/>
      <c r="Y51" s="31"/>
      <c r="Z51" s="31"/>
      <c r="AA51" s="2"/>
      <c r="AB51" s="31"/>
      <c r="AC51" s="31"/>
      <c r="AD51" s="31"/>
      <c r="AE51" s="37"/>
      <c r="AF51" s="37"/>
      <c r="AG51" s="37"/>
    </row>
    <row r="52" spans="1:33" ht="15.75" customHeight="1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6"/>
      <c r="V52" s="1"/>
      <c r="W52" s="31"/>
      <c r="X52" s="31"/>
      <c r="Y52" s="31"/>
      <c r="Z52" s="31"/>
      <c r="AA52" s="2"/>
      <c r="AB52" s="31"/>
      <c r="AC52" s="31"/>
      <c r="AD52" s="31"/>
      <c r="AE52" s="37"/>
      <c r="AF52" s="37"/>
      <c r="AG52" s="37"/>
    </row>
    <row r="53" spans="1:33" ht="15.75" customHeight="1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6"/>
      <c r="V53" s="1"/>
      <c r="W53" s="31"/>
      <c r="X53" s="31"/>
      <c r="Y53" s="31"/>
      <c r="Z53" s="31"/>
      <c r="AA53" s="2"/>
      <c r="AB53" s="31"/>
      <c r="AC53" s="31"/>
      <c r="AD53" s="31"/>
      <c r="AE53" s="37"/>
      <c r="AF53" s="37"/>
      <c r="AG53" s="37"/>
    </row>
    <row r="54" spans="1:33" ht="15.75" customHeight="1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6"/>
      <c r="V54" s="1"/>
      <c r="W54" s="31"/>
      <c r="X54" s="31"/>
      <c r="Y54" s="31"/>
      <c r="Z54" s="31"/>
      <c r="AA54" s="2"/>
      <c r="AB54" s="31"/>
      <c r="AC54" s="31"/>
      <c r="AD54" s="31"/>
      <c r="AE54" s="37"/>
      <c r="AF54" s="37"/>
      <c r="AG54" s="37"/>
    </row>
    <row r="55" spans="1:33" ht="15.75" customHeight="1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6"/>
      <c r="V55" s="1"/>
      <c r="W55" s="31"/>
      <c r="X55" s="31"/>
      <c r="Y55" s="31"/>
      <c r="Z55" s="31"/>
      <c r="AA55" s="2"/>
      <c r="AB55" s="31"/>
      <c r="AC55" s="31"/>
      <c r="AD55" s="31"/>
      <c r="AE55" s="37"/>
      <c r="AF55" s="37"/>
      <c r="AG55" s="37"/>
    </row>
    <row r="56" spans="1:33" ht="15.75" customHeight="1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6"/>
      <c r="V56" s="1"/>
      <c r="W56" s="31"/>
      <c r="X56" s="31"/>
      <c r="Y56" s="31"/>
      <c r="Z56" s="31"/>
      <c r="AA56" s="2"/>
      <c r="AB56" s="31"/>
      <c r="AC56" s="31"/>
      <c r="AD56" s="31"/>
      <c r="AE56" s="37"/>
      <c r="AF56" s="37"/>
      <c r="AG56" s="37"/>
    </row>
    <row r="57" spans="1:33" ht="15.75" customHeight="1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6"/>
      <c r="V57" s="1"/>
      <c r="W57" s="31"/>
      <c r="X57" s="31"/>
      <c r="Y57" s="31"/>
      <c r="Z57" s="31"/>
      <c r="AA57" s="2"/>
      <c r="AB57" s="31"/>
      <c r="AC57" s="31"/>
      <c r="AD57" s="31"/>
      <c r="AE57" s="37"/>
      <c r="AF57" s="37"/>
      <c r="AG57" s="37"/>
    </row>
    <row r="58" spans="1:33" ht="15.75" customHeight="1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6"/>
      <c r="V58" s="1"/>
      <c r="W58" s="31"/>
      <c r="X58" s="31"/>
      <c r="Y58" s="31"/>
      <c r="Z58" s="31"/>
      <c r="AA58" s="2"/>
      <c r="AB58" s="31"/>
      <c r="AC58" s="31"/>
      <c r="AD58" s="31"/>
      <c r="AE58" s="37"/>
      <c r="AF58" s="37"/>
      <c r="AG58" s="37"/>
    </row>
    <row r="59" spans="1:33" ht="15.75" customHeight="1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6"/>
      <c r="V59" s="1"/>
      <c r="W59" s="31"/>
      <c r="X59" s="31"/>
      <c r="Y59" s="31"/>
      <c r="Z59" s="31"/>
      <c r="AA59" s="2"/>
      <c r="AB59" s="31"/>
      <c r="AC59" s="31"/>
      <c r="AD59" s="31"/>
      <c r="AE59" s="37"/>
      <c r="AF59" s="37"/>
      <c r="AG59" s="37"/>
    </row>
    <row r="60" spans="1:33" ht="15.75" customHeight="1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6"/>
      <c r="V60" s="1"/>
      <c r="W60" s="31"/>
      <c r="X60" s="31"/>
      <c r="Y60" s="31"/>
      <c r="Z60" s="31"/>
      <c r="AA60" s="2"/>
      <c r="AB60" s="31"/>
      <c r="AC60" s="31"/>
      <c r="AD60" s="31"/>
      <c r="AE60" s="37"/>
      <c r="AF60" s="37"/>
      <c r="AG60" s="37"/>
    </row>
    <row r="61" spans="1:33" ht="15.75" customHeight="1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6"/>
      <c r="V61" s="1"/>
      <c r="W61" s="31"/>
      <c r="X61" s="31"/>
      <c r="Y61" s="31"/>
      <c r="Z61" s="31"/>
      <c r="AA61" s="2"/>
      <c r="AB61" s="31"/>
      <c r="AC61" s="31"/>
      <c r="AD61" s="31"/>
      <c r="AE61" s="37"/>
      <c r="AF61" s="37"/>
      <c r="AG61" s="37"/>
    </row>
    <row r="62" spans="1:33" ht="15.75" customHeight="1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6"/>
      <c r="V62" s="1"/>
      <c r="W62" s="31"/>
      <c r="X62" s="31"/>
      <c r="Y62" s="31"/>
      <c r="Z62" s="31"/>
      <c r="AA62" s="2"/>
      <c r="AB62" s="31"/>
      <c r="AC62" s="31"/>
      <c r="AD62" s="31"/>
      <c r="AE62" s="37"/>
      <c r="AF62" s="37"/>
      <c r="AG62" s="37"/>
    </row>
    <row r="63" spans="1:33" ht="15.75" customHeight="1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6"/>
      <c r="V63" s="1"/>
      <c r="W63" s="31"/>
      <c r="X63" s="31"/>
      <c r="Y63" s="31"/>
      <c r="Z63" s="31"/>
      <c r="AA63" s="2"/>
      <c r="AB63" s="31"/>
      <c r="AC63" s="31"/>
      <c r="AD63" s="31"/>
      <c r="AE63" s="37"/>
      <c r="AF63" s="37"/>
      <c r="AG63" s="37"/>
    </row>
    <row r="64" spans="1:33" ht="15.75" customHeight="1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6"/>
      <c r="V64" s="1"/>
      <c r="W64" s="31"/>
      <c r="X64" s="31"/>
      <c r="Y64" s="31"/>
      <c r="Z64" s="31"/>
      <c r="AA64" s="2"/>
      <c r="AB64" s="31"/>
      <c r="AC64" s="31"/>
      <c r="AD64" s="31"/>
      <c r="AE64" s="37"/>
      <c r="AF64" s="37"/>
      <c r="AG64" s="37"/>
    </row>
    <row r="65" spans="1:33" ht="15.75" customHeight="1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6"/>
      <c r="V65" s="1"/>
      <c r="W65" s="31"/>
      <c r="X65" s="31"/>
      <c r="Y65" s="31"/>
      <c r="Z65" s="31"/>
      <c r="AA65" s="2"/>
      <c r="AB65" s="31"/>
      <c r="AC65" s="31"/>
      <c r="AD65" s="31"/>
      <c r="AE65" s="37"/>
      <c r="AF65" s="37"/>
      <c r="AG65" s="37"/>
    </row>
    <row r="66" spans="1:33" ht="15.75" customHeight="1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6"/>
      <c r="V66" s="1"/>
      <c r="W66" s="31"/>
      <c r="X66" s="31"/>
      <c r="Y66" s="31"/>
      <c r="Z66" s="31"/>
      <c r="AA66" s="2"/>
      <c r="AB66" s="31"/>
      <c r="AC66" s="31"/>
      <c r="AD66" s="31"/>
      <c r="AE66" s="37"/>
      <c r="AF66" s="37"/>
      <c r="AG66" s="37"/>
    </row>
    <row r="67" spans="1:33" ht="15.75" customHeight="1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6"/>
      <c r="V67" s="1"/>
      <c r="W67" s="31"/>
      <c r="X67" s="31"/>
      <c r="Y67" s="31"/>
      <c r="Z67" s="31"/>
      <c r="AA67" s="2"/>
      <c r="AB67" s="31"/>
      <c r="AC67" s="31"/>
      <c r="AD67" s="31"/>
      <c r="AE67" s="37"/>
      <c r="AF67" s="37"/>
      <c r="AG67" s="37"/>
    </row>
    <row r="68" spans="1:33" ht="15.75" customHeight="1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6"/>
      <c r="V68" s="1"/>
      <c r="W68" s="31"/>
      <c r="X68" s="31"/>
      <c r="Y68" s="31"/>
      <c r="Z68" s="31"/>
      <c r="AA68" s="2"/>
      <c r="AB68" s="31"/>
      <c r="AC68" s="31"/>
      <c r="AD68" s="31"/>
      <c r="AE68" s="37"/>
      <c r="AF68" s="37"/>
      <c r="AG68" s="37"/>
    </row>
    <row r="69" spans="1:33" ht="15.75" customHeight="1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6"/>
      <c r="V69" s="1"/>
      <c r="W69" s="31"/>
      <c r="X69" s="31"/>
      <c r="Y69" s="31"/>
      <c r="Z69" s="31"/>
      <c r="AA69" s="2"/>
      <c r="AB69" s="31"/>
      <c r="AC69" s="31"/>
      <c r="AD69" s="31"/>
      <c r="AE69" s="37"/>
      <c r="AF69" s="37"/>
      <c r="AG69" s="37"/>
    </row>
    <row r="70" spans="1:33" ht="15.75" customHeight="1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6"/>
      <c r="V70" s="1"/>
      <c r="W70" s="31"/>
      <c r="X70" s="31"/>
      <c r="Y70" s="31"/>
      <c r="Z70" s="31"/>
      <c r="AA70" s="2"/>
      <c r="AB70" s="31"/>
      <c r="AC70" s="31"/>
      <c r="AD70" s="31"/>
      <c r="AE70" s="37"/>
      <c r="AF70" s="37"/>
      <c r="AG70" s="37"/>
    </row>
    <row r="71" spans="1:33" ht="15.75" customHeight="1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6"/>
      <c r="V71" s="1"/>
      <c r="W71" s="31"/>
      <c r="X71" s="31"/>
      <c r="Y71" s="31"/>
      <c r="Z71" s="31"/>
      <c r="AA71" s="2"/>
      <c r="AB71" s="31"/>
      <c r="AC71" s="31"/>
      <c r="AD71" s="31"/>
      <c r="AE71" s="37"/>
      <c r="AF71" s="37"/>
      <c r="AG71" s="37"/>
    </row>
    <row r="72" spans="1:33" ht="15.75" customHeight="1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6"/>
      <c r="V72" s="1"/>
      <c r="W72" s="31"/>
      <c r="X72" s="31"/>
      <c r="Y72" s="31"/>
      <c r="Z72" s="31"/>
      <c r="AA72" s="2"/>
      <c r="AB72" s="31"/>
      <c r="AC72" s="31"/>
      <c r="AD72" s="31"/>
      <c r="AE72" s="37"/>
      <c r="AF72" s="37"/>
      <c r="AG72" s="37"/>
    </row>
    <row r="73" spans="1:33" ht="15.75" customHeight="1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6"/>
      <c r="V73" s="1"/>
      <c r="W73" s="31"/>
      <c r="X73" s="31"/>
      <c r="Y73" s="31"/>
      <c r="Z73" s="31"/>
      <c r="AA73" s="2"/>
      <c r="AB73" s="31"/>
      <c r="AC73" s="31"/>
      <c r="AD73" s="31"/>
      <c r="AE73" s="37"/>
      <c r="AF73" s="37"/>
      <c r="AG73" s="37"/>
    </row>
    <row r="74" spans="1:33" ht="15.75" customHeight="1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6"/>
      <c r="V74" s="1"/>
      <c r="W74" s="31"/>
      <c r="X74" s="31"/>
      <c r="Y74" s="31"/>
      <c r="Z74" s="31"/>
      <c r="AA74" s="2"/>
      <c r="AB74" s="31"/>
      <c r="AC74" s="31"/>
      <c r="AD74" s="31"/>
      <c r="AE74" s="37"/>
      <c r="AF74" s="37"/>
      <c r="AG74" s="37"/>
    </row>
    <row r="75" spans="1:33" ht="15.75" customHeight="1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6"/>
      <c r="V75" s="1"/>
      <c r="W75" s="31"/>
      <c r="X75" s="31"/>
      <c r="Y75" s="31"/>
      <c r="Z75" s="31"/>
      <c r="AA75" s="2"/>
      <c r="AB75" s="31"/>
      <c r="AC75" s="31"/>
      <c r="AD75" s="31"/>
      <c r="AE75" s="37"/>
      <c r="AF75" s="37"/>
      <c r="AG75" s="37"/>
    </row>
    <row r="76" spans="1:33" ht="15.75" customHeight="1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6"/>
      <c r="V76" s="1"/>
      <c r="W76" s="31"/>
      <c r="X76" s="31"/>
      <c r="Y76" s="31"/>
      <c r="Z76" s="31"/>
      <c r="AA76" s="2"/>
      <c r="AB76" s="31"/>
      <c r="AC76" s="31"/>
      <c r="AD76" s="31"/>
      <c r="AE76" s="37"/>
      <c r="AF76" s="37"/>
      <c r="AG76" s="37"/>
    </row>
    <row r="77" spans="1:33" ht="15.75" customHeight="1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6"/>
      <c r="V77" s="1"/>
      <c r="W77" s="31"/>
      <c r="X77" s="31"/>
      <c r="Y77" s="31"/>
      <c r="Z77" s="31"/>
      <c r="AA77" s="2"/>
      <c r="AB77" s="31"/>
      <c r="AC77" s="31"/>
      <c r="AD77" s="31"/>
      <c r="AE77" s="37"/>
      <c r="AF77" s="37"/>
      <c r="AG77" s="37"/>
    </row>
    <row r="78" spans="1:33" ht="15.75" customHeight="1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6"/>
      <c r="V78" s="1"/>
      <c r="W78" s="31"/>
      <c r="X78" s="31"/>
      <c r="Y78" s="31"/>
      <c r="Z78" s="31"/>
      <c r="AA78" s="2"/>
      <c r="AB78" s="31"/>
      <c r="AC78" s="31"/>
      <c r="AD78" s="31"/>
      <c r="AE78" s="37"/>
      <c r="AF78" s="37"/>
      <c r="AG78" s="37"/>
    </row>
    <row r="79" spans="1:33" ht="15.75" customHeight="1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6"/>
      <c r="V79" s="1"/>
      <c r="W79" s="31"/>
      <c r="X79" s="31"/>
      <c r="Y79" s="31"/>
      <c r="Z79" s="31"/>
      <c r="AA79" s="2"/>
      <c r="AB79" s="31"/>
      <c r="AC79" s="31"/>
      <c r="AD79" s="31"/>
      <c r="AE79" s="37"/>
      <c r="AF79" s="37"/>
      <c r="AG79" s="37"/>
    </row>
    <row r="80" spans="1:33" ht="15.75" customHeight="1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6"/>
      <c r="V80" s="1"/>
      <c r="W80" s="31"/>
      <c r="X80" s="31"/>
      <c r="Y80" s="31"/>
      <c r="Z80" s="31"/>
      <c r="AA80" s="2"/>
      <c r="AB80" s="31"/>
      <c r="AC80" s="31"/>
      <c r="AD80" s="31"/>
      <c r="AE80" s="37"/>
      <c r="AF80" s="37"/>
      <c r="AG80" s="37"/>
    </row>
    <row r="81" spans="1:33" ht="15.75" customHeight="1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6"/>
      <c r="V81" s="1"/>
      <c r="W81" s="31"/>
      <c r="X81" s="31"/>
      <c r="Y81" s="31"/>
      <c r="Z81" s="31"/>
      <c r="AA81" s="2"/>
      <c r="AB81" s="31"/>
      <c r="AC81" s="31"/>
      <c r="AD81" s="31"/>
      <c r="AE81" s="37"/>
      <c r="AF81" s="37"/>
      <c r="AG81" s="37"/>
    </row>
    <row r="82" spans="1:33" ht="15.75" customHeight="1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6"/>
      <c r="V82" s="1"/>
      <c r="W82" s="31"/>
      <c r="X82" s="31"/>
      <c r="Y82" s="31"/>
      <c r="Z82" s="31"/>
      <c r="AA82" s="2"/>
      <c r="AB82" s="31"/>
      <c r="AC82" s="31"/>
      <c r="AD82" s="31"/>
      <c r="AE82" s="37"/>
      <c r="AF82" s="37"/>
      <c r="AG82" s="37"/>
    </row>
    <row r="83" spans="1:33" ht="15.75" customHeight="1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6"/>
      <c r="V83" s="1"/>
      <c r="W83" s="31"/>
      <c r="X83" s="31"/>
      <c r="Y83" s="31"/>
      <c r="Z83" s="31"/>
      <c r="AA83" s="2"/>
      <c r="AB83" s="31"/>
      <c r="AC83" s="31"/>
      <c r="AD83" s="31"/>
      <c r="AE83" s="37"/>
      <c r="AF83" s="37"/>
      <c r="AG83" s="37"/>
    </row>
    <row r="84" spans="1:33" ht="15.75" customHeight="1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6"/>
      <c r="V84" s="1"/>
      <c r="W84" s="31"/>
      <c r="X84" s="31"/>
      <c r="Y84" s="31"/>
      <c r="Z84" s="31"/>
      <c r="AA84" s="2"/>
      <c r="AB84" s="31"/>
      <c r="AC84" s="31"/>
      <c r="AD84" s="31"/>
      <c r="AE84" s="37"/>
      <c r="AF84" s="37"/>
      <c r="AG84" s="37"/>
    </row>
    <row r="85" spans="1:33" ht="15.75" customHeight="1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6"/>
      <c r="V85" s="1"/>
      <c r="W85" s="31"/>
      <c r="X85" s="31"/>
      <c r="Y85" s="31"/>
      <c r="Z85" s="31"/>
      <c r="AA85" s="2"/>
      <c r="AB85" s="31"/>
      <c r="AC85" s="31"/>
      <c r="AD85" s="31"/>
      <c r="AE85" s="37"/>
      <c r="AF85" s="37"/>
      <c r="AG85" s="37"/>
    </row>
    <row r="86" spans="1:33" ht="15.75" customHeight="1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6"/>
      <c r="V86" s="1"/>
      <c r="W86" s="31"/>
      <c r="X86" s="31"/>
      <c r="Y86" s="31"/>
      <c r="Z86" s="31"/>
      <c r="AA86" s="2"/>
      <c r="AB86" s="31"/>
      <c r="AC86" s="31"/>
      <c r="AD86" s="31"/>
      <c r="AE86" s="37"/>
      <c r="AF86" s="37"/>
      <c r="AG86" s="37"/>
    </row>
    <row r="87" spans="1:33" ht="15.75" customHeight="1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6"/>
      <c r="V87" s="1"/>
      <c r="W87" s="31"/>
      <c r="X87" s="31"/>
      <c r="Y87" s="31"/>
      <c r="Z87" s="31"/>
      <c r="AA87" s="2"/>
      <c r="AB87" s="31"/>
      <c r="AC87" s="31"/>
      <c r="AD87" s="31"/>
      <c r="AE87" s="37"/>
      <c r="AF87" s="37"/>
      <c r="AG87" s="37"/>
    </row>
    <row r="88" spans="1:33" ht="15.75" customHeight="1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6"/>
      <c r="V88" s="1"/>
      <c r="W88" s="31"/>
      <c r="X88" s="31"/>
      <c r="Y88" s="31"/>
      <c r="Z88" s="31"/>
      <c r="AA88" s="2"/>
      <c r="AB88" s="31"/>
      <c r="AC88" s="31"/>
      <c r="AD88" s="31"/>
      <c r="AE88" s="37"/>
      <c r="AF88" s="37"/>
      <c r="AG88" s="37"/>
    </row>
    <row r="89" spans="1:33" ht="15.75" customHeight="1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6"/>
      <c r="V89" s="1"/>
      <c r="W89" s="31"/>
      <c r="X89" s="31"/>
      <c r="Y89" s="31"/>
      <c r="Z89" s="31"/>
      <c r="AA89" s="2"/>
      <c r="AB89" s="31"/>
      <c r="AC89" s="31"/>
      <c r="AD89" s="31"/>
      <c r="AE89" s="37"/>
      <c r="AF89" s="37"/>
      <c r="AG89" s="37"/>
    </row>
    <row r="90" spans="1:33" ht="15.75" customHeight="1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6"/>
      <c r="V90" s="1"/>
      <c r="W90" s="31"/>
      <c r="X90" s="31"/>
      <c r="Y90" s="31"/>
      <c r="Z90" s="31"/>
      <c r="AA90" s="2"/>
      <c r="AB90" s="31"/>
      <c r="AC90" s="31"/>
      <c r="AD90" s="31"/>
      <c r="AE90" s="37"/>
      <c r="AF90" s="37"/>
      <c r="AG90" s="37"/>
    </row>
    <row r="91" spans="1:33" ht="15.75" customHeight="1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6"/>
      <c r="V91" s="1"/>
      <c r="W91" s="31"/>
      <c r="X91" s="31"/>
      <c r="Y91" s="31"/>
      <c r="Z91" s="31"/>
      <c r="AA91" s="2"/>
      <c r="AB91" s="31"/>
      <c r="AC91" s="31"/>
      <c r="AD91" s="31"/>
      <c r="AE91" s="37"/>
      <c r="AF91" s="37"/>
      <c r="AG91" s="37"/>
    </row>
    <row r="92" spans="1:33" ht="15.75" customHeight="1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6"/>
      <c r="V92" s="1"/>
      <c r="W92" s="31"/>
      <c r="X92" s="31"/>
      <c r="Y92" s="31"/>
      <c r="Z92" s="31"/>
      <c r="AA92" s="2"/>
      <c r="AB92" s="31"/>
      <c r="AC92" s="31"/>
      <c r="AD92" s="31"/>
      <c r="AE92" s="37"/>
      <c r="AF92" s="37"/>
      <c r="AG92" s="37"/>
    </row>
    <row r="93" spans="1:33" ht="15.75" customHeight="1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6"/>
      <c r="V93" s="1"/>
      <c r="W93" s="31"/>
      <c r="X93" s="31"/>
      <c r="Y93" s="31"/>
      <c r="Z93" s="31"/>
      <c r="AA93" s="2"/>
      <c r="AB93" s="31"/>
      <c r="AC93" s="31"/>
      <c r="AD93" s="31"/>
      <c r="AE93" s="37"/>
      <c r="AF93" s="37"/>
      <c r="AG93" s="37"/>
    </row>
    <row r="94" spans="1:33" ht="15.75" customHeight="1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6"/>
      <c r="V94" s="1"/>
      <c r="W94" s="31"/>
      <c r="X94" s="31"/>
      <c r="Y94" s="31"/>
      <c r="Z94" s="31"/>
      <c r="AA94" s="2"/>
      <c r="AB94" s="31"/>
      <c r="AC94" s="31"/>
      <c r="AD94" s="31"/>
      <c r="AE94" s="37"/>
      <c r="AF94" s="37"/>
      <c r="AG94" s="37"/>
    </row>
    <row r="95" spans="1:33" ht="15.75" customHeight="1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6"/>
      <c r="V95" s="1"/>
      <c r="W95" s="31"/>
      <c r="X95" s="31"/>
      <c r="Y95" s="31"/>
      <c r="Z95" s="31"/>
      <c r="AA95" s="2"/>
      <c r="AB95" s="31"/>
      <c r="AC95" s="31"/>
      <c r="AD95" s="31"/>
      <c r="AE95" s="37"/>
      <c r="AF95" s="37"/>
      <c r="AG95" s="37"/>
    </row>
    <row r="96" spans="1:33" ht="15.75" customHeight="1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6"/>
      <c r="V96" s="1"/>
      <c r="W96" s="31"/>
      <c r="X96" s="31"/>
      <c r="Y96" s="31"/>
      <c r="Z96" s="31"/>
      <c r="AA96" s="2"/>
      <c r="AB96" s="31"/>
      <c r="AC96" s="31"/>
      <c r="AD96" s="31"/>
      <c r="AE96" s="37"/>
      <c r="AF96" s="37"/>
      <c r="AG96" s="37"/>
    </row>
    <row r="97" spans="1:33" ht="15.75" customHeight="1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8"/>
      <c r="R97" s="38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8"/>
      <c r="R98" s="38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8"/>
      <c r="R99" s="38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8"/>
      <c r="R100" s="38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8"/>
      <c r="R101" s="38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8"/>
      <c r="R102" s="38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8"/>
      <c r="R103" s="38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8"/>
      <c r="R104" s="38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8"/>
      <c r="R105" s="38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8"/>
      <c r="R106" s="38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8"/>
      <c r="R107" s="38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8"/>
      <c r="R108" s="38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8"/>
      <c r="R109" s="38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8"/>
      <c r="R110" s="38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8"/>
      <c r="R111" s="38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8"/>
      <c r="R112" s="38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8"/>
      <c r="R113" s="38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8"/>
      <c r="R114" s="38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>
      <c r="A115" s="31"/>
      <c r="B115" s="31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>
      <c r="A116" s="31"/>
      <c r="B116" s="31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>
      <c r="A117" s="31"/>
      <c r="B117" s="31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>
      <c r="A118" s="31"/>
      <c r="B118" s="31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>
      <c r="A119" s="31"/>
      <c r="B119" s="31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>
      <c r="A120" s="31"/>
      <c r="B120" s="31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>
      <c r="A121" s="31"/>
      <c r="B121" s="31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>
      <c r="A122" s="31"/>
      <c r="B122" s="31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>
      <c r="A123" s="31"/>
      <c r="B123" s="31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>
      <c r="A124" s="31"/>
      <c r="B124" s="31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>
      <c r="A125" s="31"/>
      <c r="B125" s="31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>
      <c r="A126" s="31"/>
      <c r="B126" s="31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>
      <c r="A127" s="31"/>
      <c r="B127" s="31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>
      <c r="A128" s="31"/>
      <c r="B128" s="31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>
      <c r="A129" s="31"/>
      <c r="B129" s="31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>
      <c r="A130" s="31"/>
      <c r="B130" s="31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>
      <c r="A131" s="31"/>
      <c r="B131" s="31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>
      <c r="A132" s="31"/>
      <c r="B132" s="31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>
      <c r="A133" s="31"/>
      <c r="B133" s="31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>
      <c r="A134" s="31"/>
      <c r="B134" s="31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>
      <c r="A135" s="31"/>
      <c r="B135" s="31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>
      <c r="A136" s="31"/>
      <c r="B136" s="31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>
      <c r="A137" s="31"/>
      <c r="B137" s="31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>
      <c r="A138" s="31"/>
      <c r="B138" s="31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>
      <c r="A139" s="31"/>
      <c r="B139" s="31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>
      <c r="A140" s="31"/>
      <c r="B140" s="31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>
      <c r="A141" s="31"/>
      <c r="B141" s="31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2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>
      <c r="A142" s="31"/>
      <c r="B142" s="31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2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>
      <c r="A143" s="31"/>
      <c r="B143" s="31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2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>
      <c r="A144" s="31"/>
      <c r="B144" s="31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2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>
      <c r="A145" s="31"/>
      <c r="B145" s="31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2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>
      <c r="A146" s="31"/>
      <c r="B146" s="31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2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>
      <c r="A147" s="31"/>
      <c r="B147" s="31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2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>
      <c r="A148" s="31"/>
      <c r="B148" s="31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2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</row>
    <row r="149" spans="1:33" ht="15.75" customHeight="1">
      <c r="A149" s="14"/>
      <c r="B149" s="14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>
      <c r="A150" s="14"/>
      <c r="B150" s="14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>
      <c r="A151" s="14"/>
      <c r="B151" s="14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>
      <c r="A152" s="14"/>
      <c r="B152" s="14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>
      <c r="A153" s="14"/>
      <c r="B153" s="14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>
      <c r="A154" s="14"/>
      <c r="B154" s="14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>
      <c r="A155" s="14"/>
      <c r="B155" s="14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>
      <c r="A156" s="14"/>
      <c r="B156" s="14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>
      <c r="A157" s="14"/>
      <c r="B157" s="14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>
      <c r="A158" s="14"/>
      <c r="B158" s="14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>
      <c r="A159" s="14"/>
      <c r="B159" s="14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>
      <c r="A160" s="14"/>
      <c r="B160" s="14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>
      <c r="A161" s="14"/>
      <c r="B161" s="14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>
      <c r="A162" s="14"/>
      <c r="B162" s="14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>
      <c r="A163" s="14"/>
      <c r="B163" s="14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>
      <c r="A164" s="14"/>
      <c r="B164" s="14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>
      <c r="A165" s="14"/>
      <c r="B165" s="14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>
      <c r="A166" s="14"/>
      <c r="B166" s="14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>
      <c r="A167" s="14"/>
      <c r="B167" s="14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>
      <c r="A168" s="14"/>
      <c r="B168" s="14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>
      <c r="A169" s="14"/>
      <c r="B169" s="14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>
      <c r="A170" s="14"/>
      <c r="B170" s="14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>
      <c r="A171" s="14"/>
      <c r="B171" s="14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>
      <c r="A172" s="14"/>
      <c r="B172" s="14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>
      <c r="A173" s="14"/>
      <c r="B173" s="14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>
      <c r="A174" s="14"/>
      <c r="B174" s="14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>
      <c r="A175" s="14"/>
      <c r="B175" s="14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>
      <c r="A176" s="14"/>
      <c r="B176" s="14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>
      <c r="A177" s="14"/>
      <c r="B177" s="14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>
      <c r="A178" s="14"/>
      <c r="B178" s="14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>
      <c r="A179" s="14"/>
      <c r="B179" s="14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>
      <c r="A180" s="14"/>
      <c r="B180" s="14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>
      <c r="A181" s="14"/>
      <c r="B181" s="14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>
      <c r="A182" s="14"/>
      <c r="B182" s="14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>
      <c r="A183" s="14"/>
      <c r="B183" s="14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>
      <c r="A184" s="14"/>
      <c r="B184" s="14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>
      <c r="A185" s="14"/>
      <c r="B185" s="14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>
      <c r="A186" s="14"/>
      <c r="B186" s="14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>
      <c r="A187" s="14"/>
      <c r="B187" s="14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>
      <c r="A188" s="14"/>
      <c r="B188" s="14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>
      <c r="A189" s="14"/>
      <c r="B189" s="14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>
      <c r="A190" s="14"/>
      <c r="B190" s="14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>
      <c r="A191" s="14"/>
      <c r="B191" s="14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>
      <c r="A192" s="14"/>
      <c r="B192" s="14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>
      <c r="A193" s="14"/>
      <c r="B193" s="14"/>
      <c r="C193" s="39"/>
      <c r="D193" s="39"/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>
      <c r="A194" s="14"/>
      <c r="B194" s="14"/>
      <c r="C194" s="39"/>
      <c r="D194" s="39"/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>
      <c r="A195" s="14"/>
      <c r="B195" s="14"/>
      <c r="C195" s="39"/>
      <c r="D195" s="39"/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>
      <c r="A196" s="14"/>
      <c r="B196" s="14"/>
      <c r="C196" s="39"/>
      <c r="D196" s="39"/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>
      <c r="A197" s="14"/>
      <c r="B197" s="14"/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>
      <c r="A198" s="14"/>
      <c r="B198" s="14"/>
      <c r="C198" s="39"/>
      <c r="D198" s="39"/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>
      <c r="A199" s="14"/>
      <c r="B199" s="14"/>
      <c r="C199" s="39"/>
      <c r="D199" s="39"/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>
      <c r="A200" s="14"/>
      <c r="B200" s="14"/>
      <c r="C200" s="39"/>
      <c r="D200" s="39"/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>
      <c r="A201" s="14"/>
      <c r="B201" s="14"/>
      <c r="C201" s="39"/>
      <c r="D201" s="39"/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>
      <c r="A202" s="14"/>
      <c r="B202" s="14"/>
      <c r="C202" s="39"/>
      <c r="D202" s="39"/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>
      <c r="A203" s="14"/>
      <c r="B203" s="14"/>
      <c r="C203" s="39"/>
      <c r="D203" s="39"/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>
      <c r="A204" s="14"/>
      <c r="B204" s="14"/>
      <c r="C204" s="39"/>
      <c r="D204" s="39"/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>
      <c r="A205" s="14"/>
      <c r="B205" s="14"/>
      <c r="C205" s="39"/>
      <c r="D205" s="39"/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>
      <c r="A206" s="14"/>
      <c r="B206" s="14"/>
      <c r="C206" s="39"/>
      <c r="D206" s="39"/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>
      <c r="A207" s="14"/>
      <c r="B207" s="14"/>
      <c r="C207" s="39"/>
      <c r="D207" s="39"/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>
      <c r="A208" s="14"/>
      <c r="B208" s="14"/>
      <c r="C208" s="39"/>
      <c r="D208" s="39"/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>
      <c r="A209" s="14"/>
      <c r="B209" s="14"/>
      <c r="C209" s="39"/>
      <c r="D209" s="39"/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>
      <c r="A210" s="14"/>
      <c r="B210" s="14"/>
      <c r="C210" s="39"/>
      <c r="D210" s="39"/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>
      <c r="A211" s="14"/>
      <c r="B211" s="14"/>
      <c r="C211" s="39"/>
      <c r="D211" s="39"/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>
      <c r="A212" s="14"/>
      <c r="B212" s="14"/>
      <c r="C212" s="39"/>
      <c r="D212" s="39"/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>
      <c r="A213" s="14"/>
      <c r="B213" s="14"/>
      <c r="C213" s="39"/>
      <c r="D213" s="39"/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>
      <c r="A214" s="14"/>
      <c r="B214" s="14"/>
      <c r="C214" s="39"/>
      <c r="D214" s="39"/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>
      <c r="A215" s="14"/>
      <c r="B215" s="14"/>
      <c r="C215" s="39"/>
      <c r="D215" s="39"/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>
      <c r="A216" s="14"/>
      <c r="B216" s="14"/>
      <c r="C216" s="39"/>
      <c r="D216" s="39"/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>
      <c r="A217" s="14"/>
      <c r="B217" s="14"/>
      <c r="C217" s="39"/>
      <c r="D217" s="39"/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>
      <c r="A218" s="14"/>
      <c r="B218" s="14"/>
      <c r="C218" s="39"/>
      <c r="D218" s="39"/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>
      <c r="A219" s="14"/>
      <c r="B219" s="14"/>
      <c r="C219" s="39"/>
      <c r="D219" s="39"/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>
      <c r="A220" s="14"/>
      <c r="B220" s="14"/>
      <c r="C220" s="39"/>
      <c r="D220" s="39"/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>
      <c r="R221" s="30"/>
      <c r="S221" s="40"/>
    </row>
    <row r="222" spans="1:33" ht="15.75" customHeight="1">
      <c r="R222" s="30"/>
      <c r="S222" s="40"/>
    </row>
    <row r="223" spans="1:33" ht="15.75" customHeight="1">
      <c r="R223" s="30"/>
      <c r="S223" s="40"/>
    </row>
    <row r="224" spans="1:33" ht="15.75" customHeight="1">
      <c r="R224" s="30"/>
      <c r="S224" s="40"/>
    </row>
    <row r="225" spans="18:18" ht="15.75" customHeight="1">
      <c r="R225" s="30"/>
    </row>
    <row r="226" spans="18:18" ht="15.75" customHeight="1">
      <c r="R226" s="30"/>
    </row>
    <row r="227" spans="18:18" ht="15.75" customHeight="1">
      <c r="R227" s="30"/>
    </row>
    <row r="228" spans="18:18" ht="15.75" customHeight="1">
      <c r="R228" s="30"/>
    </row>
    <row r="229" spans="18:18" ht="15.75" customHeight="1">
      <c r="R229" s="30"/>
    </row>
    <row r="230" spans="18:18" ht="15.75" customHeight="1">
      <c r="R230" s="30"/>
    </row>
    <row r="231" spans="18:18" ht="15.75" customHeight="1">
      <c r="R231" s="30"/>
    </row>
    <row r="232" spans="18:18" ht="15.75" customHeight="1">
      <c r="R232" s="30"/>
    </row>
    <row r="233" spans="18:18" ht="15.75" customHeight="1">
      <c r="R233" s="30"/>
    </row>
    <row r="234" spans="18:18" ht="15.75" customHeight="1">
      <c r="R234" s="30"/>
    </row>
    <row r="235" spans="18:18" ht="15.75" customHeight="1">
      <c r="R235" s="30"/>
    </row>
    <row r="236" spans="18:18" ht="15.75" customHeight="1">
      <c r="R236" s="30"/>
    </row>
    <row r="237" spans="18:18" ht="15.75" customHeight="1">
      <c r="R237" s="30"/>
    </row>
    <row r="238" spans="18:18" ht="15.75" customHeight="1">
      <c r="R238" s="30"/>
    </row>
    <row r="239" spans="18:18" ht="15.75" customHeight="1">
      <c r="R239" s="30"/>
    </row>
    <row r="240" spans="18:18" ht="15.75" customHeight="1">
      <c r="R240" s="30"/>
    </row>
    <row r="241" spans="18:18" ht="15.75" customHeight="1">
      <c r="R241" s="30"/>
    </row>
    <row r="242" spans="18:18" ht="15.75" customHeight="1">
      <c r="R242" s="30"/>
    </row>
    <row r="243" spans="18:18" ht="15.75" customHeight="1">
      <c r="R243" s="30"/>
    </row>
    <row r="244" spans="18:18" ht="15.75" customHeight="1">
      <c r="R244" s="30"/>
    </row>
    <row r="245" spans="18:18" ht="15.75" customHeight="1">
      <c r="R245" s="30"/>
    </row>
    <row r="246" spans="18:18" ht="15.75" customHeight="1">
      <c r="R246" s="30"/>
    </row>
    <row r="247" spans="18:18" ht="15.75" customHeight="1">
      <c r="R247" s="30"/>
    </row>
    <row r="248" spans="18:18" ht="15.75" customHeight="1">
      <c r="R248" s="30"/>
    </row>
    <row r="249" spans="18:18" ht="15.75" customHeight="1">
      <c r="R249" s="30"/>
    </row>
    <row r="250" spans="18:18" ht="15.75" customHeight="1">
      <c r="R250" s="30"/>
    </row>
    <row r="251" spans="18:18" ht="15.75" customHeight="1">
      <c r="R251" s="30"/>
    </row>
    <row r="252" spans="18:18" ht="15.75" customHeight="1">
      <c r="R252" s="30"/>
    </row>
    <row r="253" spans="18:18" ht="15.75" customHeight="1">
      <c r="R253" s="30"/>
    </row>
    <row r="254" spans="18:18" ht="15.75" customHeight="1">
      <c r="R254" s="30"/>
    </row>
    <row r="255" spans="18:18" ht="15.75" customHeight="1">
      <c r="R255" s="30"/>
    </row>
    <row r="256" spans="18:18" ht="15.75" customHeight="1">
      <c r="R256" s="30"/>
    </row>
    <row r="257" spans="18:18" ht="15.75" customHeight="1">
      <c r="R257" s="30"/>
    </row>
    <row r="258" spans="18:18" ht="15.75" customHeight="1">
      <c r="R258" s="30"/>
    </row>
    <row r="259" spans="18:18" ht="15.75" customHeight="1">
      <c r="R259" s="30"/>
    </row>
    <row r="260" spans="18:18" ht="15.75" customHeight="1">
      <c r="R260" s="30"/>
    </row>
    <row r="261" spans="18:18" ht="15.75" customHeight="1">
      <c r="R261" s="30"/>
    </row>
    <row r="262" spans="18:18" ht="15.75" customHeight="1">
      <c r="R262" s="30"/>
    </row>
    <row r="263" spans="18:18" ht="15.75" customHeight="1">
      <c r="R263" s="30"/>
    </row>
    <row r="264" spans="18:18" ht="15.75" customHeight="1">
      <c r="R264" s="30"/>
    </row>
    <row r="265" spans="18:18" ht="15.75" customHeight="1">
      <c r="R265" s="30"/>
    </row>
    <row r="266" spans="18:18" ht="15.75" customHeight="1">
      <c r="R266" s="30"/>
    </row>
    <row r="267" spans="18:18" ht="15.75" customHeight="1">
      <c r="R267" s="30"/>
    </row>
    <row r="268" spans="18:18" ht="15.75" customHeight="1">
      <c r="R268" s="30"/>
    </row>
    <row r="269" spans="18:18" ht="15.75" customHeight="1">
      <c r="R269" s="30"/>
    </row>
    <row r="270" spans="18:18" ht="15.75" customHeight="1">
      <c r="R270" s="30"/>
    </row>
    <row r="271" spans="18:18" ht="15.75" customHeight="1">
      <c r="R271" s="30"/>
    </row>
    <row r="272" spans="18:18" ht="15.75" customHeight="1">
      <c r="R272" s="30"/>
    </row>
    <row r="273" spans="18:18" ht="15.75" customHeight="1">
      <c r="R273" s="30"/>
    </row>
    <row r="274" spans="18:18" ht="15.75" customHeight="1">
      <c r="R274" s="30"/>
    </row>
    <row r="275" spans="18:18" ht="15.75" customHeight="1">
      <c r="R275" s="30"/>
    </row>
    <row r="276" spans="18:18" ht="15.75" customHeight="1">
      <c r="R276" s="30"/>
    </row>
    <row r="277" spans="18:18" ht="15.75" customHeight="1">
      <c r="R277" s="30"/>
    </row>
    <row r="278" spans="18:18" ht="15.75" customHeight="1">
      <c r="R278" s="30"/>
    </row>
    <row r="279" spans="18:18" ht="15.75" customHeight="1">
      <c r="R279" s="30"/>
    </row>
    <row r="280" spans="18:18" ht="15.75" customHeight="1">
      <c r="R280" s="30"/>
    </row>
    <row r="281" spans="18:18" ht="15.75" customHeight="1">
      <c r="R281" s="30"/>
    </row>
    <row r="282" spans="18:18" ht="15.75" customHeight="1">
      <c r="R282" s="30"/>
    </row>
    <row r="283" spans="18:18" ht="15.75" customHeight="1">
      <c r="R283" s="30"/>
    </row>
    <row r="284" spans="18:18" ht="15.75" customHeight="1">
      <c r="R284" s="30"/>
    </row>
    <row r="285" spans="18:18" ht="15.75" customHeight="1">
      <c r="R285" s="30"/>
    </row>
    <row r="286" spans="18:18" ht="15.75" customHeight="1">
      <c r="R286" s="30"/>
    </row>
    <row r="287" spans="18:18" ht="15.75" customHeight="1">
      <c r="R287" s="30"/>
    </row>
    <row r="288" spans="18:18" ht="15.75" customHeight="1">
      <c r="R288" s="30"/>
    </row>
    <row r="289" spans="18:18" ht="15.75" customHeight="1">
      <c r="R289" s="30"/>
    </row>
    <row r="290" spans="18:18" ht="15.75" customHeight="1">
      <c r="R290" s="30"/>
    </row>
    <row r="291" spans="18:18" ht="15.75" customHeight="1">
      <c r="R291" s="30"/>
    </row>
    <row r="292" spans="18:18" ht="15.75" customHeight="1">
      <c r="R292" s="30"/>
    </row>
    <row r="293" spans="18:18" ht="15.75" customHeight="1">
      <c r="R293" s="30"/>
    </row>
    <row r="294" spans="18:18" ht="15.75" customHeight="1">
      <c r="R294" s="30"/>
    </row>
    <row r="295" spans="18:18" ht="15.75" customHeight="1">
      <c r="R295" s="30"/>
    </row>
    <row r="296" spans="18:18" ht="15.75" customHeight="1">
      <c r="R296" s="30"/>
    </row>
    <row r="297" spans="18:18" ht="15.75" customHeight="1">
      <c r="R297" s="30"/>
    </row>
    <row r="298" spans="18:18" ht="15.75" customHeight="1">
      <c r="R298" s="30"/>
    </row>
    <row r="299" spans="18:18" ht="15.75" customHeight="1">
      <c r="R299" s="30"/>
    </row>
    <row r="300" spans="18:18" ht="15.75" customHeight="1">
      <c r="R300" s="30"/>
    </row>
    <row r="301" spans="18:18" ht="15.75" customHeight="1">
      <c r="R301" s="30"/>
    </row>
    <row r="302" spans="18:18" ht="15.75" customHeight="1">
      <c r="R302" s="30"/>
    </row>
    <row r="303" spans="18:18" ht="15.75" customHeight="1">
      <c r="R303" s="30"/>
    </row>
    <row r="304" spans="18:18" ht="15.75" customHeight="1">
      <c r="R304" s="30"/>
    </row>
    <row r="305" spans="18:18" ht="15.75" customHeight="1">
      <c r="R305" s="30"/>
    </row>
    <row r="306" spans="18:18" ht="15.75" customHeight="1">
      <c r="R306" s="30"/>
    </row>
    <row r="307" spans="18:18" ht="15.75" customHeight="1">
      <c r="R307" s="30"/>
    </row>
    <row r="308" spans="18:18" ht="15.75" customHeight="1">
      <c r="R308" s="30"/>
    </row>
    <row r="309" spans="18:18" ht="15.75" customHeight="1">
      <c r="R309" s="30"/>
    </row>
    <row r="310" spans="18:18" ht="15.75" customHeight="1">
      <c r="R310" s="30"/>
    </row>
    <row r="311" spans="18:18" ht="15.75" customHeight="1">
      <c r="R311" s="30"/>
    </row>
    <row r="312" spans="18:18" ht="15.75" customHeight="1">
      <c r="R312" s="30"/>
    </row>
    <row r="313" spans="18:18" ht="15.75" customHeight="1">
      <c r="R313" s="30"/>
    </row>
    <row r="314" spans="18:18" ht="15.75" customHeight="1">
      <c r="R314" s="30"/>
    </row>
    <row r="315" spans="18:18" ht="15.75" customHeight="1">
      <c r="R315" s="30"/>
    </row>
    <row r="316" spans="18:18" ht="15.75" customHeight="1">
      <c r="R316" s="30"/>
    </row>
    <row r="317" spans="18:18" ht="15.75" customHeight="1">
      <c r="R317" s="30"/>
    </row>
    <row r="318" spans="18:18" ht="15.75" customHeight="1">
      <c r="R318" s="30"/>
    </row>
    <row r="319" spans="18:18" ht="15.75" customHeight="1">
      <c r="R319" s="30"/>
    </row>
    <row r="320" spans="18:18" ht="15.75" customHeight="1">
      <c r="R320" s="30"/>
    </row>
    <row r="321" spans="18:18" ht="15.75" customHeight="1">
      <c r="R321" s="30"/>
    </row>
    <row r="322" spans="18:18" ht="15.75" customHeight="1">
      <c r="R322" s="30"/>
    </row>
    <row r="323" spans="18:18" ht="15.75" customHeight="1">
      <c r="R323" s="30"/>
    </row>
    <row r="324" spans="18:18" ht="15.75" customHeight="1">
      <c r="R324" s="30"/>
    </row>
    <row r="325" spans="18:18" ht="15.75" customHeight="1">
      <c r="R325" s="30"/>
    </row>
    <row r="326" spans="18:18" ht="15.75" customHeight="1">
      <c r="R326" s="30"/>
    </row>
    <row r="327" spans="18:18" ht="15.75" customHeight="1">
      <c r="R327" s="30"/>
    </row>
    <row r="328" spans="18:18" ht="15.75" customHeight="1">
      <c r="R328" s="30"/>
    </row>
    <row r="329" spans="18:18" ht="15.75" customHeight="1">
      <c r="R329" s="30"/>
    </row>
    <row r="330" spans="18:18" ht="15.75" customHeight="1">
      <c r="R330" s="30"/>
    </row>
    <row r="331" spans="18:18" ht="15.75" customHeight="1">
      <c r="R331" s="30"/>
    </row>
    <row r="332" spans="18:18" ht="15.75" customHeight="1">
      <c r="R332" s="30"/>
    </row>
    <row r="333" spans="18:18" ht="15.75" customHeight="1">
      <c r="R333" s="30"/>
    </row>
    <row r="334" spans="18:18" ht="15.75" customHeight="1">
      <c r="R334" s="30"/>
    </row>
    <row r="335" spans="18:18" ht="15.75" customHeight="1">
      <c r="R335" s="30"/>
    </row>
    <row r="336" spans="18:18" ht="15.75" customHeight="1">
      <c r="R336" s="30"/>
    </row>
    <row r="337" spans="18:18" ht="15.75" customHeight="1">
      <c r="R337" s="30"/>
    </row>
    <row r="338" spans="18:18" ht="15.75" customHeight="1">
      <c r="R338" s="30"/>
    </row>
    <row r="339" spans="18:18" ht="15.75" customHeight="1">
      <c r="R339" s="30"/>
    </row>
    <row r="340" spans="18:18" ht="15.75" customHeight="1">
      <c r="R340" s="30"/>
    </row>
    <row r="341" spans="18:18" ht="15.75" customHeight="1">
      <c r="R341" s="30"/>
    </row>
    <row r="342" spans="18:18" ht="15.75" customHeight="1">
      <c r="R342" s="30"/>
    </row>
    <row r="343" spans="18:18" ht="15.75" customHeight="1">
      <c r="R343" s="30"/>
    </row>
    <row r="344" spans="18:18" ht="15.75" customHeight="1">
      <c r="R344" s="30"/>
    </row>
    <row r="345" spans="18:18" ht="15.75" customHeight="1">
      <c r="R345" s="30"/>
    </row>
    <row r="346" spans="18:18" ht="15.75" customHeight="1">
      <c r="R346" s="30"/>
    </row>
    <row r="347" spans="18:18" ht="15.75" customHeight="1">
      <c r="R347" s="30"/>
    </row>
    <row r="348" spans="18:18" ht="15.75" customHeight="1">
      <c r="R348" s="30"/>
    </row>
    <row r="349" spans="18:18" ht="15.75" customHeight="1">
      <c r="R349" s="30"/>
    </row>
    <row r="350" spans="18:18" ht="15.75" customHeight="1">
      <c r="R350" s="30"/>
    </row>
    <row r="351" spans="18:18" ht="15.75" customHeight="1">
      <c r="R351" s="30"/>
    </row>
    <row r="352" spans="18:18" ht="15.75" customHeight="1">
      <c r="R352" s="30"/>
    </row>
    <row r="353" spans="18:18" ht="15.75" customHeight="1">
      <c r="R353" s="30"/>
    </row>
    <row r="354" spans="18:18" ht="15.75" customHeight="1">
      <c r="R354" s="30"/>
    </row>
    <row r="355" spans="18:18" ht="15.75" customHeight="1">
      <c r="R355" s="30"/>
    </row>
    <row r="356" spans="18:18" ht="15.75" customHeight="1">
      <c r="R356" s="30"/>
    </row>
    <row r="357" spans="18:18" ht="15.75" customHeight="1">
      <c r="R357" s="30"/>
    </row>
    <row r="358" spans="18:18" ht="15.75" customHeight="1">
      <c r="R358" s="30"/>
    </row>
    <row r="359" spans="18:18" ht="15.75" customHeight="1">
      <c r="R359" s="30"/>
    </row>
    <row r="360" spans="18:18" ht="15.75" customHeight="1">
      <c r="R360" s="30"/>
    </row>
    <row r="361" spans="18:18" ht="15.75" customHeight="1">
      <c r="R361" s="30"/>
    </row>
    <row r="362" spans="18:18" ht="15.75" customHeight="1">
      <c r="R362" s="30"/>
    </row>
    <row r="363" spans="18:18" ht="15.75" customHeight="1">
      <c r="R363" s="30"/>
    </row>
    <row r="364" spans="18:18" ht="15.75" customHeight="1">
      <c r="R364" s="30"/>
    </row>
    <row r="365" spans="18:18" ht="15.75" customHeight="1">
      <c r="R365" s="30"/>
    </row>
    <row r="366" spans="18:18" ht="15.75" customHeight="1">
      <c r="R366" s="30"/>
    </row>
    <row r="367" spans="18:18" ht="15.75" customHeight="1">
      <c r="R367" s="30"/>
    </row>
    <row r="368" spans="18:18" ht="15.75" customHeight="1">
      <c r="R368" s="30"/>
    </row>
    <row r="369" spans="18:18" ht="15.75" customHeight="1">
      <c r="R369" s="30"/>
    </row>
    <row r="370" spans="18:18" ht="15.75" customHeight="1">
      <c r="R370" s="30"/>
    </row>
    <row r="371" spans="18:18" ht="15.75" customHeight="1">
      <c r="R371" s="30"/>
    </row>
    <row r="372" spans="18:18" ht="15.75" customHeight="1">
      <c r="R372" s="30"/>
    </row>
    <row r="373" spans="18:18" ht="15.75" customHeight="1">
      <c r="R373" s="30"/>
    </row>
    <row r="374" spans="18:18" ht="15.75" customHeight="1">
      <c r="R374" s="30"/>
    </row>
    <row r="375" spans="18:18" ht="15.75" customHeight="1">
      <c r="R375" s="30"/>
    </row>
    <row r="376" spans="18:18" ht="15.75" customHeight="1">
      <c r="R376" s="30"/>
    </row>
    <row r="377" spans="18:18" ht="15.75" customHeight="1">
      <c r="R377" s="30"/>
    </row>
    <row r="378" spans="18:18" ht="15.75" customHeight="1">
      <c r="R378" s="30"/>
    </row>
    <row r="379" spans="18:18" ht="15.75" customHeight="1">
      <c r="R379" s="30"/>
    </row>
    <row r="380" spans="18:18" ht="15.75" customHeight="1">
      <c r="R380" s="30"/>
    </row>
    <row r="381" spans="18:18" ht="15.75" customHeight="1">
      <c r="R381" s="30"/>
    </row>
    <row r="382" spans="18:18" ht="15.75" customHeight="1">
      <c r="R382" s="30"/>
    </row>
    <row r="383" spans="18:18" ht="15.75" customHeight="1">
      <c r="R383" s="30"/>
    </row>
    <row r="384" spans="18:18" ht="15.75" customHeight="1">
      <c r="R384" s="30"/>
    </row>
    <row r="385" spans="18:18" ht="15.75" customHeight="1">
      <c r="R385" s="30"/>
    </row>
    <row r="386" spans="18:18" ht="15.75" customHeight="1">
      <c r="R386" s="30"/>
    </row>
    <row r="387" spans="18:18" ht="15.75" customHeight="1">
      <c r="R387" s="30"/>
    </row>
    <row r="388" spans="18:18" ht="15.75" customHeight="1">
      <c r="R388" s="30"/>
    </row>
    <row r="389" spans="18:18" ht="15.75" customHeight="1">
      <c r="R389" s="30"/>
    </row>
    <row r="390" spans="18:18" ht="15.75" customHeight="1">
      <c r="R390" s="30"/>
    </row>
    <row r="391" spans="18:18" ht="15.75" customHeight="1">
      <c r="R391" s="30"/>
    </row>
    <row r="392" spans="18:18" ht="15.75" customHeight="1">
      <c r="R392" s="30"/>
    </row>
    <row r="393" spans="18:18" ht="15.75" customHeight="1">
      <c r="R393" s="30"/>
    </row>
    <row r="394" spans="18:18" ht="15.75" customHeight="1">
      <c r="R394" s="30"/>
    </row>
    <row r="395" spans="18:18" ht="15.75" customHeight="1">
      <c r="R395" s="30"/>
    </row>
    <row r="396" spans="18:18" ht="15.75" customHeight="1">
      <c r="R396" s="30"/>
    </row>
    <row r="397" spans="18:18" ht="15.75" customHeight="1">
      <c r="R397" s="30"/>
    </row>
    <row r="398" spans="18:18" ht="15.75" customHeight="1">
      <c r="R398" s="30"/>
    </row>
    <row r="399" spans="18:18" ht="15.75" customHeight="1">
      <c r="R399" s="30"/>
    </row>
    <row r="400" spans="18:18" ht="15.75" customHeight="1">
      <c r="R400" s="30"/>
    </row>
    <row r="401" spans="18:18" ht="15.75" customHeight="1">
      <c r="R401" s="30"/>
    </row>
    <row r="402" spans="18:18" ht="15.75" customHeight="1">
      <c r="R402" s="30"/>
    </row>
    <row r="403" spans="18:18" ht="15.75" customHeight="1">
      <c r="R403" s="30"/>
    </row>
    <row r="404" spans="18:18" ht="15.75" customHeight="1">
      <c r="R404" s="30"/>
    </row>
    <row r="405" spans="18:18" ht="15.75" customHeight="1">
      <c r="R405" s="30"/>
    </row>
    <row r="406" spans="18:18" ht="15.75" customHeight="1">
      <c r="R406" s="30"/>
    </row>
    <row r="407" spans="18:18" ht="15.75" customHeight="1">
      <c r="R407" s="30"/>
    </row>
    <row r="408" spans="18:18" ht="15.75" customHeight="1">
      <c r="R408" s="30"/>
    </row>
    <row r="409" spans="18:18" ht="15.75" customHeight="1">
      <c r="R409" s="30"/>
    </row>
    <row r="410" spans="18:18" ht="15.75" customHeight="1">
      <c r="R410" s="30"/>
    </row>
    <row r="411" spans="18:18" ht="15.75" customHeight="1">
      <c r="R411" s="30"/>
    </row>
    <row r="412" spans="18:18" ht="15.75" customHeight="1">
      <c r="R412" s="30"/>
    </row>
    <row r="413" spans="18:18" ht="15.75" customHeight="1">
      <c r="R413" s="30"/>
    </row>
    <row r="414" spans="18:18" ht="15.75" customHeight="1">
      <c r="R414" s="30"/>
    </row>
    <row r="415" spans="18:18" ht="15.75" customHeight="1">
      <c r="R415" s="30"/>
    </row>
    <row r="416" spans="18:18" ht="15.75" customHeight="1">
      <c r="R416" s="30"/>
    </row>
    <row r="417" spans="18:18" ht="15.75" customHeight="1">
      <c r="R417" s="30"/>
    </row>
    <row r="418" spans="18:18" ht="15.75" customHeight="1">
      <c r="R418" s="30"/>
    </row>
    <row r="419" spans="18:18" ht="15.75" customHeight="1">
      <c r="R419" s="30"/>
    </row>
    <row r="420" spans="18:18" ht="15.75" customHeight="1">
      <c r="R420" s="30"/>
    </row>
    <row r="421" spans="18:18" ht="15.75" customHeight="1">
      <c r="R421" s="30"/>
    </row>
    <row r="422" spans="18:18" ht="15.75" customHeight="1">
      <c r="R422" s="30"/>
    </row>
    <row r="423" spans="18:18" ht="15.75" customHeight="1">
      <c r="R423" s="30"/>
    </row>
    <row r="424" spans="18:18" ht="15.75" customHeight="1">
      <c r="R424" s="30"/>
    </row>
    <row r="425" spans="18:18" ht="15.75" customHeight="1">
      <c r="R425" s="30"/>
    </row>
    <row r="426" spans="18:18" ht="15.75" customHeight="1">
      <c r="R426" s="30"/>
    </row>
    <row r="427" spans="18:18" ht="15.75" customHeight="1">
      <c r="R427" s="30"/>
    </row>
    <row r="428" spans="18:18" ht="15.75" customHeight="1">
      <c r="R428" s="30"/>
    </row>
    <row r="429" spans="18:18" ht="15.75" customHeight="1">
      <c r="R429" s="30"/>
    </row>
    <row r="430" spans="18:18" ht="15.75" customHeight="1">
      <c r="R430" s="30"/>
    </row>
    <row r="431" spans="18:18" ht="15.75" customHeight="1">
      <c r="R431" s="30"/>
    </row>
    <row r="432" spans="18:18" ht="15.75" customHeight="1">
      <c r="R432" s="30"/>
    </row>
    <row r="433" spans="18:18" ht="15.75" customHeight="1">
      <c r="R433" s="30"/>
    </row>
    <row r="434" spans="18:18" ht="15.75" customHeight="1">
      <c r="R434" s="30"/>
    </row>
    <row r="435" spans="18:18" ht="15.75" customHeight="1">
      <c r="R435" s="30"/>
    </row>
    <row r="436" spans="18:18" ht="15.75" customHeight="1">
      <c r="R436" s="30"/>
    </row>
    <row r="437" spans="18:18" ht="15.75" customHeight="1">
      <c r="R437" s="30"/>
    </row>
    <row r="438" spans="18:18" ht="15.75" customHeight="1">
      <c r="R438" s="30"/>
    </row>
    <row r="439" spans="18:18" ht="15.75" customHeight="1">
      <c r="R439" s="30"/>
    </row>
    <row r="440" spans="18:18" ht="15.75" customHeight="1">
      <c r="R440" s="30"/>
    </row>
    <row r="441" spans="18:18" ht="15.75" customHeight="1">
      <c r="R441" s="30"/>
    </row>
    <row r="442" spans="18:18" ht="15.75" customHeight="1">
      <c r="R442" s="30"/>
    </row>
    <row r="443" spans="18:18" ht="15.75" customHeight="1">
      <c r="R443" s="30"/>
    </row>
    <row r="444" spans="18:18" ht="15.75" customHeight="1">
      <c r="R444" s="30"/>
    </row>
    <row r="445" spans="18:18" ht="15.75" customHeight="1">
      <c r="R445" s="30"/>
    </row>
    <row r="446" spans="18:18" ht="15.75" customHeight="1">
      <c r="R446" s="30"/>
    </row>
    <row r="447" spans="18:18" ht="15.75" customHeight="1">
      <c r="R447" s="30"/>
    </row>
    <row r="448" spans="18:18" ht="15.75" customHeight="1">
      <c r="R448" s="30"/>
    </row>
    <row r="449" spans="18:18" ht="15.75" customHeight="1">
      <c r="R449" s="30"/>
    </row>
    <row r="450" spans="18:18" ht="15.75" customHeight="1">
      <c r="R450" s="30"/>
    </row>
    <row r="451" spans="18:18" ht="15.75" customHeight="1">
      <c r="R451" s="30"/>
    </row>
    <row r="452" spans="18:18" ht="15.75" customHeight="1">
      <c r="R452" s="30"/>
    </row>
    <row r="453" spans="18:18" ht="15.75" customHeight="1">
      <c r="R453" s="30"/>
    </row>
    <row r="454" spans="18:18" ht="15.75" customHeight="1">
      <c r="R454" s="30"/>
    </row>
    <row r="455" spans="18:18" ht="15.75" customHeight="1">
      <c r="R455" s="30"/>
    </row>
    <row r="456" spans="18:18" ht="15.75" customHeight="1">
      <c r="R456" s="30"/>
    </row>
    <row r="457" spans="18:18" ht="15.75" customHeight="1">
      <c r="R457" s="30"/>
    </row>
    <row r="458" spans="18:18" ht="15.75" customHeight="1">
      <c r="R458" s="30"/>
    </row>
    <row r="459" spans="18:18" ht="15.75" customHeight="1">
      <c r="R459" s="30"/>
    </row>
    <row r="460" spans="18:18" ht="15.75" customHeight="1">
      <c r="R460" s="30"/>
    </row>
    <row r="461" spans="18:18" ht="15.75" customHeight="1">
      <c r="R461" s="30"/>
    </row>
    <row r="462" spans="18:18" ht="15.75" customHeight="1">
      <c r="R462" s="30"/>
    </row>
    <row r="463" spans="18:18" ht="15.75" customHeight="1">
      <c r="R463" s="30"/>
    </row>
    <row r="464" spans="18:18" ht="15.75" customHeight="1">
      <c r="R464" s="30"/>
    </row>
    <row r="465" spans="18:18" ht="15.75" customHeight="1">
      <c r="R465" s="30"/>
    </row>
    <row r="466" spans="18:18" ht="15.75" customHeight="1">
      <c r="R466" s="30"/>
    </row>
    <row r="467" spans="18:18" ht="15.75" customHeight="1">
      <c r="R467" s="30"/>
    </row>
    <row r="468" spans="18:18" ht="15.75" customHeight="1">
      <c r="R468" s="30"/>
    </row>
    <row r="469" spans="18:18" ht="15.75" customHeight="1">
      <c r="R469" s="30"/>
    </row>
    <row r="470" spans="18:18" ht="15.75" customHeight="1">
      <c r="R470" s="30"/>
    </row>
    <row r="471" spans="18:18" ht="15.75" customHeight="1">
      <c r="R471" s="30"/>
    </row>
    <row r="472" spans="18:18" ht="15.75" customHeight="1">
      <c r="R472" s="30"/>
    </row>
    <row r="473" spans="18:18" ht="15.75" customHeight="1">
      <c r="R473" s="30"/>
    </row>
    <row r="474" spans="18:18" ht="15.75" customHeight="1">
      <c r="R474" s="30"/>
    </row>
    <row r="475" spans="18:18" ht="15.75" customHeight="1">
      <c r="R475" s="30"/>
    </row>
    <row r="476" spans="18:18" ht="15.75" customHeight="1">
      <c r="R476" s="30"/>
    </row>
    <row r="477" spans="18:18" ht="15.75" customHeight="1">
      <c r="R477" s="30"/>
    </row>
    <row r="478" spans="18:18" ht="15.75" customHeight="1">
      <c r="R478" s="30"/>
    </row>
    <row r="479" spans="18:18" ht="15.75" customHeight="1">
      <c r="R479" s="30"/>
    </row>
    <row r="480" spans="18:18" ht="15.75" customHeight="1">
      <c r="R480" s="30"/>
    </row>
    <row r="481" spans="18:18" ht="15.75" customHeight="1">
      <c r="R481" s="30"/>
    </row>
    <row r="482" spans="18:18" ht="15.75" customHeight="1">
      <c r="R482" s="30"/>
    </row>
    <row r="483" spans="18:18" ht="15.75" customHeight="1">
      <c r="R483" s="30"/>
    </row>
    <row r="484" spans="18:18" ht="15.75" customHeight="1">
      <c r="R484" s="30"/>
    </row>
    <row r="485" spans="18:18" ht="15.75" customHeight="1">
      <c r="R485" s="30"/>
    </row>
    <row r="486" spans="18:18" ht="15.75" customHeight="1">
      <c r="R486" s="30"/>
    </row>
    <row r="487" spans="18:18" ht="15.75" customHeight="1">
      <c r="R487" s="30"/>
    </row>
    <row r="488" spans="18:18" ht="15.75" customHeight="1">
      <c r="R488" s="30"/>
    </row>
    <row r="489" spans="18:18" ht="15.75" customHeight="1">
      <c r="R489" s="30"/>
    </row>
    <row r="490" spans="18:18" ht="15.75" customHeight="1">
      <c r="R490" s="30"/>
    </row>
    <row r="491" spans="18:18" ht="15.75" customHeight="1">
      <c r="R491" s="30"/>
    </row>
    <row r="492" spans="18:18" ht="15.75" customHeight="1">
      <c r="R492" s="30"/>
    </row>
    <row r="493" spans="18:18" ht="15.75" customHeight="1">
      <c r="R493" s="30"/>
    </row>
    <row r="494" spans="18:18" ht="15.75" customHeight="1">
      <c r="R494" s="30"/>
    </row>
    <row r="495" spans="18:18" ht="15.75" customHeight="1">
      <c r="R495" s="30"/>
    </row>
    <row r="496" spans="18:18" ht="15.75" customHeight="1">
      <c r="R496" s="30"/>
    </row>
    <row r="497" spans="18:18" ht="15.75" customHeight="1">
      <c r="R497" s="30"/>
    </row>
    <row r="498" spans="18:18" ht="15.75" customHeight="1">
      <c r="R498" s="30"/>
    </row>
    <row r="499" spans="18:18" ht="15.75" customHeight="1">
      <c r="R499" s="30"/>
    </row>
    <row r="500" spans="18:18" ht="15.75" customHeight="1">
      <c r="R500" s="30"/>
    </row>
    <row r="501" spans="18:18" ht="15.75" customHeight="1">
      <c r="R501" s="30"/>
    </row>
    <row r="502" spans="18:18" ht="15.75" customHeight="1">
      <c r="R502" s="30"/>
    </row>
    <row r="503" spans="18:18" ht="15.75" customHeight="1">
      <c r="R503" s="30"/>
    </row>
    <row r="504" spans="18:18" ht="15.75" customHeight="1">
      <c r="R504" s="30"/>
    </row>
    <row r="505" spans="18:18" ht="15.75" customHeight="1">
      <c r="R505" s="30"/>
    </row>
    <row r="506" spans="18:18" ht="15.75" customHeight="1">
      <c r="R506" s="30"/>
    </row>
    <row r="507" spans="18:18" ht="15.75" customHeight="1">
      <c r="R507" s="30"/>
    </row>
    <row r="508" spans="18:18" ht="15.75" customHeight="1">
      <c r="R508" s="30"/>
    </row>
    <row r="509" spans="18:18" ht="15.75" customHeight="1">
      <c r="R509" s="30"/>
    </row>
    <row r="510" spans="18:18" ht="15.75" customHeight="1">
      <c r="R510" s="30"/>
    </row>
    <row r="511" spans="18:18" ht="15.75" customHeight="1">
      <c r="R511" s="30"/>
    </row>
    <row r="512" spans="18:18" ht="15.75" customHeight="1">
      <c r="R512" s="30"/>
    </row>
    <row r="513" spans="18:18" ht="15.75" customHeight="1">
      <c r="R513" s="30"/>
    </row>
    <row r="514" spans="18:18" ht="15.75" customHeight="1">
      <c r="R514" s="30"/>
    </row>
    <row r="515" spans="18:18" ht="15.75" customHeight="1">
      <c r="R515" s="30"/>
    </row>
    <row r="516" spans="18:18" ht="15.75" customHeight="1">
      <c r="R516" s="30"/>
    </row>
    <row r="517" spans="18:18" ht="15.75" customHeight="1">
      <c r="R517" s="30"/>
    </row>
    <row r="518" spans="18:18" ht="15.75" customHeight="1">
      <c r="R518" s="30"/>
    </row>
    <row r="519" spans="18:18" ht="15.75" customHeight="1">
      <c r="R519" s="30"/>
    </row>
    <row r="520" spans="18:18" ht="15.75" customHeight="1">
      <c r="R520" s="30"/>
    </row>
    <row r="521" spans="18:18" ht="15.75" customHeight="1">
      <c r="R521" s="30"/>
    </row>
    <row r="522" spans="18:18" ht="15.75" customHeight="1">
      <c r="R522" s="30"/>
    </row>
    <row r="523" spans="18:18" ht="15.75" customHeight="1">
      <c r="R523" s="30"/>
    </row>
    <row r="524" spans="18:18" ht="15.75" customHeight="1">
      <c r="R524" s="30"/>
    </row>
    <row r="525" spans="18:18" ht="15.75" customHeight="1">
      <c r="R525" s="30"/>
    </row>
    <row r="526" spans="18:18" ht="15.75" customHeight="1">
      <c r="R526" s="30"/>
    </row>
    <row r="527" spans="18:18" ht="15.75" customHeight="1">
      <c r="R527" s="30"/>
    </row>
    <row r="528" spans="18:18" ht="15.75" customHeight="1">
      <c r="R528" s="30"/>
    </row>
    <row r="529" spans="18:18" ht="15.75" customHeight="1">
      <c r="R529" s="30"/>
    </row>
    <row r="530" spans="18:18" ht="15.75" customHeight="1">
      <c r="R530" s="30"/>
    </row>
    <row r="531" spans="18:18" ht="15.75" customHeight="1">
      <c r="R531" s="30"/>
    </row>
    <row r="532" spans="18:18" ht="15.75" customHeight="1">
      <c r="R532" s="30"/>
    </row>
    <row r="533" spans="18:18" ht="15.75" customHeight="1">
      <c r="R533" s="30"/>
    </row>
    <row r="534" spans="18:18" ht="15.75" customHeight="1">
      <c r="R534" s="30"/>
    </row>
    <row r="535" spans="18:18" ht="15.75" customHeight="1">
      <c r="R535" s="30"/>
    </row>
    <row r="536" spans="18:18" ht="15.75" customHeight="1">
      <c r="R536" s="30"/>
    </row>
    <row r="537" spans="18:18" ht="15.75" customHeight="1">
      <c r="R537" s="30"/>
    </row>
    <row r="538" spans="18:18" ht="15.75" customHeight="1">
      <c r="R538" s="30"/>
    </row>
    <row r="539" spans="18:18" ht="15.75" customHeight="1">
      <c r="R539" s="30"/>
    </row>
    <row r="540" spans="18:18" ht="15.75" customHeight="1">
      <c r="R540" s="30"/>
    </row>
    <row r="541" spans="18:18" ht="15.75" customHeight="1">
      <c r="R541" s="30"/>
    </row>
    <row r="542" spans="18:18" ht="15.75" customHeight="1">
      <c r="R542" s="30"/>
    </row>
    <row r="543" spans="18:18" ht="15.75" customHeight="1">
      <c r="R543" s="30"/>
    </row>
    <row r="544" spans="18:18" ht="15.75" customHeight="1">
      <c r="R544" s="30"/>
    </row>
    <row r="545" spans="18:18" ht="15.75" customHeight="1">
      <c r="R545" s="30"/>
    </row>
    <row r="546" spans="18:18" ht="15.75" customHeight="1">
      <c r="R546" s="30"/>
    </row>
    <row r="547" spans="18:18" ht="15.75" customHeight="1">
      <c r="R547" s="30"/>
    </row>
    <row r="548" spans="18:18" ht="15.75" customHeight="1">
      <c r="R548" s="30"/>
    </row>
    <row r="549" spans="18:18" ht="15.75" customHeight="1">
      <c r="R549" s="30"/>
    </row>
    <row r="550" spans="18:18" ht="15.75" customHeight="1">
      <c r="R550" s="30"/>
    </row>
    <row r="551" spans="18:18" ht="15.75" customHeight="1">
      <c r="R551" s="30"/>
    </row>
    <row r="552" spans="18:18" ht="15.75" customHeight="1">
      <c r="R552" s="30"/>
    </row>
    <row r="553" spans="18:18" ht="15.75" customHeight="1">
      <c r="R553" s="30"/>
    </row>
    <row r="554" spans="18:18" ht="15.75" customHeight="1">
      <c r="R554" s="30"/>
    </row>
    <row r="555" spans="18:18" ht="15.75" customHeight="1">
      <c r="R555" s="30"/>
    </row>
    <row r="556" spans="18:18" ht="15.75" customHeight="1">
      <c r="R556" s="30"/>
    </row>
    <row r="557" spans="18:18" ht="15.75" customHeight="1">
      <c r="R557" s="30"/>
    </row>
    <row r="558" spans="18:18" ht="15.75" customHeight="1">
      <c r="R558" s="30"/>
    </row>
    <row r="559" spans="18:18" ht="15.75" customHeight="1">
      <c r="R559" s="30"/>
    </row>
    <row r="560" spans="18:18" ht="15.75" customHeight="1">
      <c r="R560" s="30"/>
    </row>
    <row r="561" spans="18:18" ht="15.75" customHeight="1">
      <c r="R561" s="30"/>
    </row>
    <row r="562" spans="18:18" ht="15.75" customHeight="1">
      <c r="R562" s="30"/>
    </row>
    <row r="563" spans="18:18" ht="15.75" customHeight="1">
      <c r="R563" s="30"/>
    </row>
    <row r="564" spans="18:18" ht="15.75" customHeight="1">
      <c r="R564" s="30"/>
    </row>
    <row r="565" spans="18:18" ht="15.75" customHeight="1">
      <c r="R565" s="30"/>
    </row>
    <row r="566" spans="18:18" ht="15.75" customHeight="1">
      <c r="R566" s="30"/>
    </row>
    <row r="567" spans="18:18" ht="15.75" customHeight="1">
      <c r="R567" s="30"/>
    </row>
    <row r="568" spans="18:18" ht="15.75" customHeight="1">
      <c r="R568" s="30"/>
    </row>
    <row r="569" spans="18:18" ht="15.75" customHeight="1">
      <c r="R569" s="30"/>
    </row>
    <row r="570" spans="18:18" ht="15.75" customHeight="1">
      <c r="R570" s="30"/>
    </row>
    <row r="571" spans="18:18" ht="15.75" customHeight="1">
      <c r="R571" s="30"/>
    </row>
    <row r="572" spans="18:18" ht="15.75" customHeight="1">
      <c r="R572" s="30"/>
    </row>
    <row r="573" spans="18:18" ht="15.75" customHeight="1">
      <c r="R573" s="30"/>
    </row>
    <row r="574" spans="18:18" ht="15.75" customHeight="1">
      <c r="R574" s="30"/>
    </row>
    <row r="575" spans="18:18" ht="15.75" customHeight="1">
      <c r="R575" s="30"/>
    </row>
    <row r="576" spans="18:18" ht="15.75" customHeight="1">
      <c r="R576" s="30"/>
    </row>
    <row r="577" spans="18:18" ht="15.75" customHeight="1">
      <c r="R577" s="30"/>
    </row>
    <row r="578" spans="18:18" ht="15.75" customHeight="1">
      <c r="R578" s="30"/>
    </row>
    <row r="579" spans="18:18" ht="15.75" customHeight="1">
      <c r="R579" s="30"/>
    </row>
    <row r="580" spans="18:18" ht="15.75" customHeight="1">
      <c r="R580" s="30"/>
    </row>
    <row r="581" spans="18:18" ht="15.75" customHeight="1">
      <c r="R581" s="30"/>
    </row>
    <row r="582" spans="18:18" ht="15.75" customHeight="1">
      <c r="R582" s="30"/>
    </row>
    <row r="583" spans="18:18" ht="15.75" customHeight="1">
      <c r="R583" s="30"/>
    </row>
    <row r="584" spans="18:18" ht="15.75" customHeight="1">
      <c r="R584" s="30"/>
    </row>
    <row r="585" spans="18:18" ht="15.75" customHeight="1">
      <c r="R585" s="30"/>
    </row>
    <row r="586" spans="18:18" ht="15.75" customHeight="1">
      <c r="R586" s="30"/>
    </row>
    <row r="587" spans="18:18" ht="15.75" customHeight="1">
      <c r="R587" s="30"/>
    </row>
    <row r="588" spans="18:18" ht="15.75" customHeight="1">
      <c r="R588" s="30"/>
    </row>
    <row r="589" spans="18:18" ht="15.75" customHeight="1">
      <c r="R589" s="30"/>
    </row>
    <row r="590" spans="18:18" ht="15.75" customHeight="1">
      <c r="R590" s="30"/>
    </row>
    <row r="591" spans="18:18" ht="15.75" customHeight="1">
      <c r="R591" s="30"/>
    </row>
    <row r="592" spans="18:18" ht="15.75" customHeight="1">
      <c r="R592" s="30"/>
    </row>
    <row r="593" spans="18:18" ht="15.75" customHeight="1">
      <c r="R593" s="30"/>
    </row>
    <row r="594" spans="18:18" ht="15.75" customHeight="1">
      <c r="R594" s="30"/>
    </row>
    <row r="595" spans="18:18" ht="15.75" customHeight="1">
      <c r="R595" s="30"/>
    </row>
    <row r="596" spans="18:18" ht="15.75" customHeight="1">
      <c r="R596" s="30"/>
    </row>
    <row r="597" spans="18:18" ht="15.75" customHeight="1">
      <c r="R597" s="30"/>
    </row>
    <row r="598" spans="18:18" ht="15.75" customHeight="1">
      <c r="R598" s="30"/>
    </row>
    <row r="599" spans="18:18" ht="15.75" customHeight="1">
      <c r="R599" s="30"/>
    </row>
    <row r="600" spans="18:18" ht="15.75" customHeight="1">
      <c r="R600" s="30"/>
    </row>
    <row r="601" spans="18:18" ht="15.75" customHeight="1">
      <c r="R601" s="30"/>
    </row>
    <row r="602" spans="18:18" ht="15.75" customHeight="1">
      <c r="R602" s="30"/>
    </row>
    <row r="603" spans="18:18" ht="15.75" customHeight="1">
      <c r="R603" s="30"/>
    </row>
    <row r="604" spans="18:18" ht="15.75" customHeight="1">
      <c r="R604" s="30"/>
    </row>
    <row r="605" spans="18:18" ht="15.75" customHeight="1">
      <c r="R605" s="30"/>
    </row>
    <row r="606" spans="18:18" ht="15.75" customHeight="1">
      <c r="R606" s="30"/>
    </row>
    <row r="607" spans="18:18" ht="15.75" customHeight="1">
      <c r="R607" s="30"/>
    </row>
    <row r="608" spans="18:18" ht="15.75" customHeight="1">
      <c r="R608" s="30"/>
    </row>
    <row r="609" spans="18:18" ht="15.75" customHeight="1">
      <c r="R609" s="30"/>
    </row>
    <row r="610" spans="18:18" ht="15.75" customHeight="1">
      <c r="R610" s="30"/>
    </row>
    <row r="611" spans="18:18" ht="15.75" customHeight="1">
      <c r="R611" s="30"/>
    </row>
    <row r="612" spans="18:18" ht="15.75" customHeight="1">
      <c r="R612" s="30"/>
    </row>
    <row r="613" spans="18:18" ht="15.75" customHeight="1">
      <c r="R613" s="30"/>
    </row>
    <row r="614" spans="18:18" ht="15.75" customHeight="1">
      <c r="R614" s="30"/>
    </row>
    <row r="615" spans="18:18" ht="15.75" customHeight="1">
      <c r="R615" s="30"/>
    </row>
    <row r="616" spans="18:18" ht="15.75" customHeight="1">
      <c r="R616" s="30"/>
    </row>
    <row r="617" spans="18:18" ht="15.75" customHeight="1">
      <c r="R617" s="30"/>
    </row>
    <row r="618" spans="18:18" ht="15.75" customHeight="1">
      <c r="R618" s="30"/>
    </row>
    <row r="619" spans="18:18" ht="15.75" customHeight="1">
      <c r="R619" s="30"/>
    </row>
    <row r="620" spans="18:18" ht="15.75" customHeight="1">
      <c r="R620" s="30"/>
    </row>
    <row r="621" spans="18:18" ht="15.75" customHeight="1">
      <c r="R621" s="30"/>
    </row>
    <row r="622" spans="18:18" ht="15.75" customHeight="1">
      <c r="R622" s="30"/>
    </row>
    <row r="623" spans="18:18" ht="15.75" customHeight="1">
      <c r="R623" s="30"/>
    </row>
    <row r="624" spans="18:18" ht="15.75" customHeight="1">
      <c r="R624" s="30"/>
    </row>
    <row r="625" spans="18:18" ht="15.75" customHeight="1">
      <c r="R625" s="30"/>
    </row>
    <row r="626" spans="18:18" ht="15.75" customHeight="1">
      <c r="R626" s="30"/>
    </row>
    <row r="627" spans="18:18" ht="15.75" customHeight="1">
      <c r="R627" s="30"/>
    </row>
    <row r="628" spans="18:18" ht="15.75" customHeight="1">
      <c r="R628" s="30"/>
    </row>
    <row r="629" spans="18:18" ht="15.75" customHeight="1">
      <c r="R629" s="30"/>
    </row>
    <row r="630" spans="18:18" ht="15.75" customHeight="1">
      <c r="R630" s="30"/>
    </row>
    <row r="631" spans="18:18" ht="15.75" customHeight="1">
      <c r="R631" s="30"/>
    </row>
    <row r="632" spans="18:18" ht="15.75" customHeight="1">
      <c r="R632" s="30"/>
    </row>
    <row r="633" spans="18:18" ht="15.75" customHeight="1">
      <c r="R633" s="30"/>
    </row>
    <row r="634" spans="18:18" ht="15.75" customHeight="1">
      <c r="R634" s="30"/>
    </row>
    <row r="635" spans="18:18" ht="15.75" customHeight="1">
      <c r="R635" s="30"/>
    </row>
    <row r="636" spans="18:18" ht="15.75" customHeight="1">
      <c r="R636" s="30"/>
    </row>
    <row r="637" spans="18:18" ht="15.75" customHeight="1">
      <c r="R637" s="30"/>
    </row>
    <row r="638" spans="18:18" ht="15.75" customHeight="1">
      <c r="R638" s="30"/>
    </row>
    <row r="639" spans="18:18" ht="15.75" customHeight="1">
      <c r="R639" s="30"/>
    </row>
    <row r="640" spans="18:18" ht="15.75" customHeight="1">
      <c r="R640" s="30"/>
    </row>
    <row r="641" spans="18:18" ht="15.75" customHeight="1">
      <c r="R641" s="30"/>
    </row>
    <row r="642" spans="18:18" ht="15.75" customHeight="1">
      <c r="R642" s="30"/>
    </row>
    <row r="643" spans="18:18" ht="15.75" customHeight="1">
      <c r="R643" s="30"/>
    </row>
    <row r="644" spans="18:18" ht="15.75" customHeight="1">
      <c r="R644" s="30"/>
    </row>
    <row r="645" spans="18:18" ht="15.75" customHeight="1">
      <c r="R645" s="30"/>
    </row>
    <row r="646" spans="18:18" ht="15.75" customHeight="1">
      <c r="R646" s="30"/>
    </row>
    <row r="647" spans="18:18" ht="15.75" customHeight="1">
      <c r="R647" s="30"/>
    </row>
    <row r="648" spans="18:18" ht="15.75" customHeight="1">
      <c r="R648" s="30"/>
    </row>
    <row r="649" spans="18:18" ht="15.75" customHeight="1">
      <c r="R649" s="30"/>
    </row>
    <row r="650" spans="18:18" ht="15.75" customHeight="1">
      <c r="R650" s="30"/>
    </row>
    <row r="651" spans="18:18" ht="15.75" customHeight="1">
      <c r="R651" s="30"/>
    </row>
    <row r="652" spans="18:18" ht="15.75" customHeight="1">
      <c r="R652" s="30"/>
    </row>
    <row r="653" spans="18:18" ht="15.75" customHeight="1">
      <c r="R653" s="30"/>
    </row>
    <row r="654" spans="18:18" ht="15.75" customHeight="1">
      <c r="R654" s="30"/>
    </row>
    <row r="655" spans="18:18" ht="15.75" customHeight="1">
      <c r="R655" s="30"/>
    </row>
    <row r="656" spans="18:18" ht="15.75" customHeight="1">
      <c r="R656" s="30"/>
    </row>
    <row r="657" spans="18:18" ht="15.75" customHeight="1">
      <c r="R657" s="30"/>
    </row>
    <row r="658" spans="18:18" ht="15.75" customHeight="1">
      <c r="R658" s="30"/>
    </row>
    <row r="659" spans="18:18" ht="15.75" customHeight="1">
      <c r="R659" s="30"/>
    </row>
    <row r="660" spans="18:18" ht="15.75" customHeight="1">
      <c r="R660" s="30"/>
    </row>
    <row r="661" spans="18:18" ht="15.75" customHeight="1">
      <c r="R661" s="30"/>
    </row>
    <row r="662" spans="18:18" ht="15.75" customHeight="1">
      <c r="R662" s="30"/>
    </row>
    <row r="663" spans="18:18" ht="15.75" customHeight="1">
      <c r="R663" s="30"/>
    </row>
    <row r="664" spans="18:18" ht="15.75" customHeight="1">
      <c r="R664" s="30"/>
    </row>
    <row r="665" spans="18:18" ht="15.75" customHeight="1">
      <c r="R665" s="30"/>
    </row>
    <row r="666" spans="18:18" ht="15.75" customHeight="1">
      <c r="R666" s="30"/>
    </row>
    <row r="667" spans="18:18" ht="15.75" customHeight="1">
      <c r="R667" s="30"/>
    </row>
    <row r="668" spans="18:18" ht="15.75" customHeight="1">
      <c r="R668" s="30"/>
    </row>
    <row r="669" spans="18:18" ht="15.75" customHeight="1">
      <c r="R669" s="30"/>
    </row>
    <row r="670" spans="18:18" ht="15.75" customHeight="1">
      <c r="R670" s="30"/>
    </row>
    <row r="671" spans="18:18" ht="15.75" customHeight="1">
      <c r="R671" s="30"/>
    </row>
    <row r="672" spans="18:18" ht="15.75" customHeight="1">
      <c r="R672" s="30"/>
    </row>
    <row r="673" spans="18:18" ht="15.75" customHeight="1">
      <c r="R673" s="30"/>
    </row>
    <row r="674" spans="18:18" ht="15.75" customHeight="1">
      <c r="R674" s="30"/>
    </row>
    <row r="675" spans="18:18" ht="15.75" customHeight="1">
      <c r="R675" s="30"/>
    </row>
    <row r="676" spans="18:18" ht="15.75" customHeight="1">
      <c r="R676" s="30"/>
    </row>
    <row r="677" spans="18:18" ht="15.75" customHeight="1">
      <c r="R677" s="30"/>
    </row>
    <row r="678" spans="18:18" ht="15.75" customHeight="1">
      <c r="R678" s="30"/>
    </row>
    <row r="679" spans="18:18" ht="15.75" customHeight="1">
      <c r="R679" s="30"/>
    </row>
    <row r="680" spans="18:18" ht="15.75" customHeight="1">
      <c r="R680" s="30"/>
    </row>
    <row r="681" spans="18:18" ht="15.75" customHeight="1">
      <c r="R681" s="30"/>
    </row>
    <row r="682" spans="18:18" ht="15.75" customHeight="1">
      <c r="R682" s="30"/>
    </row>
    <row r="683" spans="18:18" ht="15.75" customHeight="1">
      <c r="R683" s="30"/>
    </row>
    <row r="684" spans="18:18" ht="15.75" customHeight="1">
      <c r="R684" s="30"/>
    </row>
    <row r="685" spans="18:18" ht="15.75" customHeight="1">
      <c r="R685" s="30"/>
    </row>
    <row r="686" spans="18:18" ht="15.75" customHeight="1">
      <c r="R686" s="30"/>
    </row>
    <row r="687" spans="18:18" ht="15.75" customHeight="1">
      <c r="R687" s="30"/>
    </row>
    <row r="688" spans="18:18" ht="15.75" customHeight="1">
      <c r="R688" s="30"/>
    </row>
    <row r="689" spans="18:18" ht="15.75" customHeight="1">
      <c r="R689" s="30"/>
    </row>
    <row r="690" spans="18:18" ht="15.75" customHeight="1">
      <c r="R690" s="30"/>
    </row>
    <row r="691" spans="18:18" ht="15.75" customHeight="1">
      <c r="R691" s="30"/>
    </row>
    <row r="692" spans="18:18" ht="15.75" customHeight="1">
      <c r="R692" s="30"/>
    </row>
    <row r="693" spans="18:18" ht="15.75" customHeight="1">
      <c r="R693" s="30"/>
    </row>
    <row r="694" spans="18:18" ht="15.75" customHeight="1">
      <c r="R694" s="30"/>
    </row>
    <row r="695" spans="18:18" ht="15.75" customHeight="1">
      <c r="R695" s="30"/>
    </row>
    <row r="696" spans="18:18" ht="15.75" customHeight="1">
      <c r="R696" s="30"/>
    </row>
    <row r="697" spans="18:18" ht="15.75" customHeight="1">
      <c r="R697" s="30"/>
    </row>
    <row r="698" spans="18:18" ht="15.75" customHeight="1">
      <c r="R698" s="30"/>
    </row>
    <row r="699" spans="18:18" ht="15.75" customHeight="1">
      <c r="R699" s="30"/>
    </row>
    <row r="700" spans="18:18" ht="15.75" customHeight="1">
      <c r="R700" s="30"/>
    </row>
    <row r="701" spans="18:18" ht="15.75" customHeight="1">
      <c r="R701" s="30"/>
    </row>
    <row r="702" spans="18:18" ht="15.75" customHeight="1">
      <c r="R702" s="30"/>
    </row>
    <row r="703" spans="18:18" ht="15.75" customHeight="1">
      <c r="R703" s="30"/>
    </row>
    <row r="704" spans="18:18" ht="15.75" customHeight="1">
      <c r="R704" s="30"/>
    </row>
    <row r="705" spans="18:18" ht="15.75" customHeight="1">
      <c r="R705" s="30"/>
    </row>
    <row r="706" spans="18:18" ht="15.75" customHeight="1">
      <c r="R706" s="30"/>
    </row>
    <row r="707" spans="18:18" ht="15.75" customHeight="1">
      <c r="R707" s="30"/>
    </row>
    <row r="708" spans="18:18" ht="15.75" customHeight="1">
      <c r="R708" s="30"/>
    </row>
    <row r="709" spans="18:18" ht="15.75" customHeight="1">
      <c r="R709" s="30"/>
    </row>
    <row r="710" spans="18:18" ht="15.75" customHeight="1">
      <c r="R710" s="30"/>
    </row>
    <row r="711" spans="18:18" ht="15.75" customHeight="1">
      <c r="R711" s="30"/>
    </row>
    <row r="712" spans="18:18" ht="15.75" customHeight="1">
      <c r="R712" s="30"/>
    </row>
    <row r="713" spans="18:18" ht="15.75" customHeight="1">
      <c r="R713" s="30"/>
    </row>
    <row r="714" spans="18:18" ht="15.75" customHeight="1">
      <c r="R714" s="30"/>
    </row>
    <row r="715" spans="18:18" ht="15.75" customHeight="1">
      <c r="R715" s="30"/>
    </row>
    <row r="716" spans="18:18" ht="15.75" customHeight="1">
      <c r="R716" s="30"/>
    </row>
    <row r="717" spans="18:18" ht="15.75" customHeight="1">
      <c r="R717" s="30"/>
    </row>
    <row r="718" spans="18:18" ht="15.75" customHeight="1">
      <c r="R718" s="30"/>
    </row>
    <row r="719" spans="18:18" ht="15.75" customHeight="1">
      <c r="R719" s="30"/>
    </row>
    <row r="720" spans="18:18" ht="15.75" customHeight="1">
      <c r="R720" s="30"/>
    </row>
    <row r="721" spans="18:18" ht="15.75" customHeight="1">
      <c r="R721" s="30"/>
    </row>
    <row r="722" spans="18:18" ht="15.75" customHeight="1">
      <c r="R722" s="30"/>
    </row>
    <row r="723" spans="18:18" ht="15.75" customHeight="1">
      <c r="R723" s="30"/>
    </row>
    <row r="724" spans="18:18" ht="15.75" customHeight="1">
      <c r="R724" s="30"/>
    </row>
    <row r="725" spans="18:18" ht="15.75" customHeight="1">
      <c r="R725" s="30"/>
    </row>
    <row r="726" spans="18:18" ht="15.75" customHeight="1">
      <c r="R726" s="30"/>
    </row>
    <row r="727" spans="18:18" ht="15.75" customHeight="1">
      <c r="R727" s="30"/>
    </row>
    <row r="728" spans="18:18" ht="15.75" customHeight="1">
      <c r="R728" s="30"/>
    </row>
    <row r="729" spans="18:18" ht="15.75" customHeight="1">
      <c r="R729" s="30"/>
    </row>
    <row r="730" spans="18:18" ht="15.75" customHeight="1">
      <c r="R730" s="30"/>
    </row>
    <row r="731" spans="18:18" ht="15.75" customHeight="1">
      <c r="R731" s="30"/>
    </row>
    <row r="732" spans="18:18" ht="15.75" customHeight="1">
      <c r="R732" s="30"/>
    </row>
    <row r="733" spans="18:18" ht="15.75" customHeight="1">
      <c r="R733" s="30"/>
    </row>
    <row r="734" spans="18:18" ht="15.75" customHeight="1">
      <c r="R734" s="30"/>
    </row>
    <row r="735" spans="18:18" ht="15.75" customHeight="1">
      <c r="R735" s="30"/>
    </row>
    <row r="736" spans="18:18" ht="15.75" customHeight="1">
      <c r="R736" s="30"/>
    </row>
    <row r="737" spans="18:18" ht="15.75" customHeight="1">
      <c r="R737" s="30"/>
    </row>
    <row r="738" spans="18:18" ht="15.75" customHeight="1">
      <c r="R738" s="30"/>
    </row>
    <row r="739" spans="18:18" ht="15.75" customHeight="1">
      <c r="R739" s="30"/>
    </row>
    <row r="740" spans="18:18" ht="15.75" customHeight="1">
      <c r="R740" s="30"/>
    </row>
    <row r="741" spans="18:18" ht="15.75" customHeight="1">
      <c r="R741" s="30"/>
    </row>
    <row r="742" spans="18:18" ht="15.75" customHeight="1">
      <c r="R742" s="30"/>
    </row>
    <row r="743" spans="18:18" ht="15.75" customHeight="1">
      <c r="R743" s="30"/>
    </row>
    <row r="744" spans="18:18" ht="15.75" customHeight="1">
      <c r="R744" s="30"/>
    </row>
    <row r="745" spans="18:18" ht="15.75" customHeight="1">
      <c r="R745" s="30"/>
    </row>
    <row r="746" spans="18:18" ht="15.75" customHeight="1">
      <c r="R746" s="30"/>
    </row>
    <row r="747" spans="18:18" ht="15.75" customHeight="1">
      <c r="R747" s="30"/>
    </row>
    <row r="748" spans="18:18" ht="15.75" customHeight="1">
      <c r="R748" s="30"/>
    </row>
    <row r="749" spans="18:18" ht="15.75" customHeight="1">
      <c r="R749" s="30"/>
    </row>
    <row r="750" spans="18:18" ht="15.75" customHeight="1">
      <c r="R750" s="30"/>
    </row>
    <row r="751" spans="18:18" ht="15.75" customHeight="1">
      <c r="R751" s="30"/>
    </row>
    <row r="752" spans="18:18" ht="15.75" customHeight="1">
      <c r="R752" s="30"/>
    </row>
    <row r="753" spans="18:18" ht="15.75" customHeight="1">
      <c r="R753" s="30"/>
    </row>
    <row r="754" spans="18:18" ht="15.75" customHeight="1">
      <c r="R754" s="30"/>
    </row>
    <row r="755" spans="18:18" ht="15.75" customHeight="1">
      <c r="R755" s="30"/>
    </row>
    <row r="756" spans="18:18" ht="15.75" customHeight="1">
      <c r="R756" s="30"/>
    </row>
    <row r="757" spans="18:18" ht="15.75" customHeight="1">
      <c r="R757" s="30"/>
    </row>
    <row r="758" spans="18:18" ht="15.75" customHeight="1">
      <c r="R758" s="30"/>
    </row>
    <row r="759" spans="18:18" ht="15.75" customHeight="1">
      <c r="R759" s="30"/>
    </row>
    <row r="760" spans="18:18" ht="15.75" customHeight="1">
      <c r="R760" s="30"/>
    </row>
    <row r="761" spans="18:18" ht="15.75" customHeight="1">
      <c r="R761" s="30"/>
    </row>
    <row r="762" spans="18:18" ht="15.75" customHeight="1">
      <c r="R762" s="30"/>
    </row>
    <row r="763" spans="18:18" ht="15.75" customHeight="1">
      <c r="R763" s="30"/>
    </row>
    <row r="764" spans="18:18" ht="15.75" customHeight="1">
      <c r="R764" s="30"/>
    </row>
    <row r="765" spans="18:18" ht="15.75" customHeight="1">
      <c r="R765" s="30"/>
    </row>
    <row r="766" spans="18:18" ht="15.75" customHeight="1">
      <c r="R766" s="30"/>
    </row>
    <row r="767" spans="18:18" ht="15.75" customHeight="1">
      <c r="R767" s="30"/>
    </row>
    <row r="768" spans="18:18" ht="15.75" customHeight="1">
      <c r="R768" s="30"/>
    </row>
    <row r="769" spans="18:18" ht="15.75" customHeight="1">
      <c r="R769" s="30"/>
    </row>
    <row r="770" spans="18:18" ht="15.75" customHeight="1">
      <c r="R770" s="30"/>
    </row>
    <row r="771" spans="18:18" ht="15.75" customHeight="1">
      <c r="R771" s="30"/>
    </row>
    <row r="772" spans="18:18" ht="15.75" customHeight="1">
      <c r="R772" s="30"/>
    </row>
    <row r="773" spans="18:18" ht="15.75" customHeight="1">
      <c r="R773" s="30"/>
    </row>
    <row r="774" spans="18:18" ht="15.75" customHeight="1">
      <c r="R774" s="30"/>
    </row>
    <row r="775" spans="18:18" ht="15.75" customHeight="1">
      <c r="R775" s="30"/>
    </row>
    <row r="776" spans="18:18" ht="15.75" customHeight="1">
      <c r="R776" s="30"/>
    </row>
    <row r="777" spans="18:18" ht="15.75" customHeight="1">
      <c r="R777" s="30"/>
    </row>
    <row r="778" spans="18:18" ht="15.75" customHeight="1">
      <c r="R778" s="30"/>
    </row>
    <row r="779" spans="18:18" ht="15.75" customHeight="1">
      <c r="R779" s="30"/>
    </row>
    <row r="780" spans="18:18" ht="15.75" customHeight="1">
      <c r="R780" s="30"/>
    </row>
    <row r="781" spans="18:18" ht="15.75" customHeight="1">
      <c r="R781" s="30"/>
    </row>
    <row r="782" spans="18:18" ht="15.75" customHeight="1">
      <c r="R782" s="30"/>
    </row>
    <row r="783" spans="18:18" ht="15.75" customHeight="1">
      <c r="R783" s="30"/>
    </row>
    <row r="784" spans="18:18" ht="15.75" customHeight="1">
      <c r="R784" s="30"/>
    </row>
    <row r="785" spans="18:18" ht="15.75" customHeight="1">
      <c r="R785" s="30"/>
    </row>
    <row r="786" spans="18:18" ht="15.75" customHeight="1">
      <c r="R786" s="30"/>
    </row>
    <row r="787" spans="18:18" ht="15.75" customHeight="1">
      <c r="R787" s="30"/>
    </row>
    <row r="788" spans="18:18" ht="15.75" customHeight="1">
      <c r="R788" s="30"/>
    </row>
    <row r="789" spans="18:18" ht="15.75" customHeight="1">
      <c r="R789" s="30"/>
    </row>
    <row r="790" spans="18:18" ht="15.75" customHeight="1">
      <c r="R790" s="30"/>
    </row>
    <row r="791" spans="18:18" ht="15.75" customHeight="1">
      <c r="R791" s="30"/>
    </row>
    <row r="792" spans="18:18" ht="15.75" customHeight="1">
      <c r="R792" s="30"/>
    </row>
    <row r="793" spans="18:18" ht="15.75" customHeight="1">
      <c r="R793" s="30"/>
    </row>
    <row r="794" spans="18:18" ht="15.75" customHeight="1">
      <c r="R794" s="30"/>
    </row>
    <row r="795" spans="18:18" ht="15.75" customHeight="1">
      <c r="R795" s="30"/>
    </row>
    <row r="796" spans="18:18" ht="15.75" customHeight="1">
      <c r="R796" s="30"/>
    </row>
    <row r="797" spans="18:18" ht="15.75" customHeight="1">
      <c r="R797" s="30"/>
    </row>
    <row r="798" spans="18:18" ht="15.75" customHeight="1">
      <c r="R798" s="30"/>
    </row>
    <row r="799" spans="18:18" ht="15.75" customHeight="1">
      <c r="R799" s="30"/>
    </row>
    <row r="800" spans="18:18" ht="15.75" customHeight="1">
      <c r="R800" s="30"/>
    </row>
    <row r="801" spans="18:18" ht="15.75" customHeight="1">
      <c r="R801" s="30"/>
    </row>
    <row r="802" spans="18:18" ht="15.75" customHeight="1">
      <c r="R802" s="30"/>
    </row>
    <row r="803" spans="18:18" ht="15.75" customHeight="1">
      <c r="R803" s="30"/>
    </row>
    <row r="804" spans="18:18" ht="15.75" customHeight="1">
      <c r="R804" s="30"/>
    </row>
    <row r="805" spans="18:18" ht="15.75" customHeight="1">
      <c r="R805" s="30"/>
    </row>
    <row r="806" spans="18:18" ht="15.75" customHeight="1">
      <c r="R806" s="30"/>
    </row>
    <row r="807" spans="18:18" ht="15.75" customHeight="1">
      <c r="R807" s="30"/>
    </row>
    <row r="808" spans="18:18" ht="15.75" customHeight="1">
      <c r="R808" s="30"/>
    </row>
    <row r="809" spans="18:18" ht="15.75" customHeight="1">
      <c r="R809" s="30"/>
    </row>
    <row r="810" spans="18:18" ht="15.75" customHeight="1">
      <c r="R810" s="30"/>
    </row>
    <row r="811" spans="18:18" ht="15.75" customHeight="1">
      <c r="R811" s="30"/>
    </row>
    <row r="812" spans="18:18" ht="15.75" customHeight="1">
      <c r="R812" s="30"/>
    </row>
    <row r="813" spans="18:18" ht="15.75" customHeight="1">
      <c r="R813" s="30"/>
    </row>
    <row r="814" spans="18:18" ht="15.75" customHeight="1">
      <c r="R814" s="30"/>
    </row>
    <row r="815" spans="18:18" ht="15.75" customHeight="1">
      <c r="R815" s="30"/>
    </row>
    <row r="816" spans="18:18" ht="15.75" customHeight="1">
      <c r="R816" s="30"/>
    </row>
    <row r="817" spans="18:18" ht="15.75" customHeight="1">
      <c r="R817" s="30"/>
    </row>
    <row r="818" spans="18:18" ht="15.75" customHeight="1">
      <c r="R818" s="30"/>
    </row>
    <row r="819" spans="18:18" ht="15.75" customHeight="1">
      <c r="R819" s="30"/>
    </row>
    <row r="820" spans="18:18" ht="15.75" customHeight="1">
      <c r="R820" s="30"/>
    </row>
    <row r="821" spans="18:18" ht="15.75" customHeight="1">
      <c r="R821" s="30"/>
    </row>
    <row r="822" spans="18:18" ht="15.75" customHeight="1">
      <c r="R822" s="30"/>
    </row>
    <row r="823" spans="18:18" ht="15.75" customHeight="1">
      <c r="R823" s="30"/>
    </row>
    <row r="824" spans="18:18" ht="15.75" customHeight="1">
      <c r="R824" s="30"/>
    </row>
    <row r="825" spans="18:18" ht="15.75" customHeight="1">
      <c r="R825" s="30"/>
    </row>
    <row r="826" spans="18:18" ht="15.75" customHeight="1">
      <c r="R826" s="30"/>
    </row>
    <row r="827" spans="18:18" ht="15.75" customHeight="1">
      <c r="R827" s="30"/>
    </row>
    <row r="828" spans="18:18" ht="15.75" customHeight="1">
      <c r="R828" s="30"/>
    </row>
    <row r="829" spans="18:18" ht="15.75" customHeight="1">
      <c r="R829" s="30"/>
    </row>
    <row r="830" spans="18:18" ht="15.75" customHeight="1">
      <c r="R830" s="30"/>
    </row>
    <row r="831" spans="18:18" ht="15.75" customHeight="1">
      <c r="R831" s="30"/>
    </row>
    <row r="832" spans="18:18" ht="15.75" customHeight="1">
      <c r="R832" s="30"/>
    </row>
    <row r="833" spans="18:18" ht="15.75" customHeight="1">
      <c r="R833" s="30"/>
    </row>
    <row r="834" spans="18:18" ht="15.75" customHeight="1">
      <c r="R834" s="30"/>
    </row>
    <row r="835" spans="18:18" ht="15.75" customHeight="1">
      <c r="R835" s="30"/>
    </row>
    <row r="836" spans="18:18" ht="15.75" customHeight="1">
      <c r="R836" s="30"/>
    </row>
    <row r="837" spans="18:18" ht="15.75" customHeight="1">
      <c r="R837" s="30"/>
    </row>
    <row r="838" spans="18:18" ht="15.75" customHeight="1">
      <c r="R838" s="30"/>
    </row>
    <row r="839" spans="18:18" ht="15.75" customHeight="1">
      <c r="R839" s="30"/>
    </row>
    <row r="840" spans="18:18" ht="15.75" customHeight="1">
      <c r="R840" s="30"/>
    </row>
    <row r="841" spans="18:18" ht="15.75" customHeight="1">
      <c r="R841" s="30"/>
    </row>
    <row r="842" spans="18:18" ht="15.75" customHeight="1">
      <c r="R842" s="30"/>
    </row>
    <row r="843" spans="18:18" ht="15.75" customHeight="1">
      <c r="R843" s="30"/>
    </row>
    <row r="844" spans="18:18" ht="15.75" customHeight="1">
      <c r="R844" s="30"/>
    </row>
    <row r="845" spans="18:18" ht="15.75" customHeight="1">
      <c r="R845" s="30"/>
    </row>
    <row r="846" spans="18:18" ht="15.75" customHeight="1">
      <c r="R846" s="30"/>
    </row>
    <row r="847" spans="18:18" ht="15.75" customHeight="1">
      <c r="R847" s="30"/>
    </row>
    <row r="848" spans="18:18" ht="15.75" customHeight="1">
      <c r="R848" s="30"/>
    </row>
    <row r="849" spans="18:18" ht="15.75" customHeight="1">
      <c r="R849" s="30"/>
    </row>
    <row r="850" spans="18:18" ht="15.75" customHeight="1">
      <c r="R850" s="30"/>
    </row>
    <row r="851" spans="18:18" ht="15.75" customHeight="1">
      <c r="R851" s="30"/>
    </row>
    <row r="852" spans="18:18" ht="15.75" customHeight="1">
      <c r="R852" s="30"/>
    </row>
    <row r="853" spans="18:18" ht="15.75" customHeight="1">
      <c r="R853" s="30"/>
    </row>
    <row r="854" spans="18:18" ht="15.75" customHeight="1">
      <c r="R854" s="30"/>
    </row>
    <row r="855" spans="18:18" ht="15.75" customHeight="1">
      <c r="R855" s="30"/>
    </row>
    <row r="856" spans="18:18" ht="15.75" customHeight="1">
      <c r="R856" s="30"/>
    </row>
    <row r="857" spans="18:18" ht="15.75" customHeight="1">
      <c r="R857" s="30"/>
    </row>
    <row r="858" spans="18:18" ht="15.75" customHeight="1">
      <c r="R858" s="30"/>
    </row>
    <row r="859" spans="18:18" ht="15.75" customHeight="1">
      <c r="R859" s="30"/>
    </row>
    <row r="860" spans="18:18" ht="15.75" customHeight="1">
      <c r="R860" s="30"/>
    </row>
    <row r="861" spans="18:18" ht="15.75" customHeight="1">
      <c r="R861" s="30"/>
    </row>
    <row r="862" spans="18:18" ht="15.75" customHeight="1">
      <c r="R862" s="30"/>
    </row>
    <row r="863" spans="18:18" ht="15.75" customHeight="1">
      <c r="R863" s="30"/>
    </row>
    <row r="864" spans="18:18" ht="15.75" customHeight="1">
      <c r="R864" s="30"/>
    </row>
    <row r="865" spans="18:18" ht="15.75" customHeight="1">
      <c r="R865" s="30"/>
    </row>
    <row r="866" spans="18:18" ht="15.75" customHeight="1">
      <c r="R866" s="30"/>
    </row>
    <row r="867" spans="18:18" ht="15.75" customHeight="1">
      <c r="R867" s="30"/>
    </row>
    <row r="868" spans="18:18" ht="15.75" customHeight="1">
      <c r="R868" s="30"/>
    </row>
    <row r="869" spans="18:18" ht="15.75" customHeight="1">
      <c r="R869" s="30"/>
    </row>
    <row r="870" spans="18:18" ht="15.75" customHeight="1">
      <c r="R870" s="30"/>
    </row>
    <row r="871" spans="18:18" ht="15.75" customHeight="1">
      <c r="R871" s="30"/>
    </row>
    <row r="872" spans="18:18" ht="15.75" customHeight="1">
      <c r="R872" s="30"/>
    </row>
    <row r="873" spans="18:18" ht="15.75" customHeight="1">
      <c r="R873" s="30"/>
    </row>
    <row r="874" spans="18:18" ht="15.75" customHeight="1">
      <c r="R874" s="30"/>
    </row>
    <row r="875" spans="18:18" ht="15.75" customHeight="1">
      <c r="R875" s="30"/>
    </row>
    <row r="876" spans="18:18" ht="15.75" customHeight="1">
      <c r="R876" s="30"/>
    </row>
    <row r="877" spans="18:18" ht="15.75" customHeight="1">
      <c r="R877" s="30"/>
    </row>
    <row r="878" spans="18:18" ht="15.75" customHeight="1">
      <c r="R878" s="30"/>
    </row>
    <row r="879" spans="18:18" ht="15.75" customHeight="1">
      <c r="R879" s="30"/>
    </row>
    <row r="880" spans="18:18" ht="15.75" customHeight="1">
      <c r="R880" s="30"/>
    </row>
    <row r="881" spans="18:18" ht="15.75" customHeight="1">
      <c r="R881" s="30"/>
    </row>
    <row r="882" spans="18:18" ht="15.75" customHeight="1">
      <c r="R882" s="30"/>
    </row>
    <row r="883" spans="18:18" ht="15.75" customHeight="1">
      <c r="R883" s="30"/>
    </row>
    <row r="884" spans="18:18" ht="15.75" customHeight="1">
      <c r="R884" s="30"/>
    </row>
    <row r="885" spans="18:18" ht="15.75" customHeight="1">
      <c r="R885" s="30"/>
    </row>
    <row r="886" spans="18:18" ht="15.75" customHeight="1">
      <c r="R886" s="30"/>
    </row>
    <row r="887" spans="18:18" ht="15.75" customHeight="1">
      <c r="R887" s="30"/>
    </row>
    <row r="888" spans="18:18" ht="15.75" customHeight="1">
      <c r="R888" s="30"/>
    </row>
    <row r="889" spans="18:18" ht="15.75" customHeight="1">
      <c r="R889" s="30"/>
    </row>
    <row r="890" spans="18:18" ht="15.75" customHeight="1">
      <c r="R890" s="30"/>
    </row>
    <row r="891" spans="18:18" ht="15.75" customHeight="1">
      <c r="R891" s="30"/>
    </row>
    <row r="892" spans="18:18" ht="15.75" customHeight="1">
      <c r="R892" s="30"/>
    </row>
    <row r="893" spans="18:18" ht="15.75" customHeight="1">
      <c r="R893" s="30"/>
    </row>
    <row r="894" spans="18:18" ht="15.75" customHeight="1">
      <c r="R894" s="30"/>
    </row>
    <row r="895" spans="18:18" ht="15.75" customHeight="1">
      <c r="R895" s="30"/>
    </row>
    <row r="896" spans="18:18" ht="15.75" customHeight="1">
      <c r="R896" s="30"/>
    </row>
    <row r="897" spans="18:18" ht="15.75" customHeight="1">
      <c r="R897" s="30"/>
    </row>
    <row r="898" spans="18:18" ht="15.75" customHeight="1">
      <c r="R898" s="30"/>
    </row>
    <row r="899" spans="18:18" ht="15.75" customHeight="1">
      <c r="R899" s="30"/>
    </row>
    <row r="900" spans="18:18" ht="15.75" customHeight="1">
      <c r="R900" s="30"/>
    </row>
    <row r="901" spans="18:18" ht="15.75" customHeight="1">
      <c r="R901" s="30"/>
    </row>
    <row r="902" spans="18:18" ht="15.75" customHeight="1">
      <c r="R902" s="30"/>
    </row>
    <row r="903" spans="18:18" ht="15.75" customHeight="1">
      <c r="R903" s="30"/>
    </row>
    <row r="904" spans="18:18" ht="15.75" customHeight="1">
      <c r="R904" s="30"/>
    </row>
    <row r="905" spans="18:18" ht="15.75" customHeight="1">
      <c r="R905" s="30"/>
    </row>
    <row r="906" spans="18:18" ht="15.75" customHeight="1">
      <c r="R906" s="30"/>
    </row>
    <row r="907" spans="18:18" ht="15.75" customHeight="1">
      <c r="R907" s="30"/>
    </row>
    <row r="908" spans="18:18" ht="15.75" customHeight="1">
      <c r="R908" s="30"/>
    </row>
    <row r="909" spans="18:18" ht="15.75" customHeight="1">
      <c r="R909" s="30"/>
    </row>
    <row r="910" spans="18:18" ht="15.75" customHeight="1">
      <c r="R910" s="30"/>
    </row>
    <row r="911" spans="18:18" ht="15.75" customHeight="1">
      <c r="R911" s="30"/>
    </row>
    <row r="912" spans="18:18" ht="15.75" customHeight="1">
      <c r="R912" s="30"/>
    </row>
    <row r="913" spans="18:18" ht="15.75" customHeight="1">
      <c r="R913" s="30"/>
    </row>
    <row r="914" spans="18:18" ht="15.75" customHeight="1">
      <c r="R914" s="30"/>
    </row>
    <row r="915" spans="18:18" ht="15.75" customHeight="1">
      <c r="R915" s="30"/>
    </row>
    <row r="916" spans="18:18" ht="15.75" customHeight="1">
      <c r="R916" s="30"/>
    </row>
    <row r="917" spans="18:18" ht="15.75" customHeight="1">
      <c r="R917" s="30"/>
    </row>
    <row r="918" spans="18:18" ht="15.75" customHeight="1">
      <c r="R918" s="30"/>
    </row>
    <row r="919" spans="18:18" ht="15.75" customHeight="1">
      <c r="R919" s="30"/>
    </row>
    <row r="920" spans="18:18" ht="15.75" customHeight="1">
      <c r="R920" s="30"/>
    </row>
    <row r="921" spans="18:18" ht="15.75" customHeight="1">
      <c r="R921" s="30"/>
    </row>
    <row r="922" spans="18:18" ht="15.75" customHeight="1">
      <c r="R922" s="30"/>
    </row>
    <row r="923" spans="18:18" ht="15.75" customHeight="1">
      <c r="R923" s="30"/>
    </row>
    <row r="924" spans="18:18" ht="15.75" customHeight="1">
      <c r="R924" s="30"/>
    </row>
    <row r="925" spans="18:18" ht="15.75" customHeight="1">
      <c r="R925" s="30"/>
    </row>
    <row r="926" spans="18:18" ht="15.75" customHeight="1">
      <c r="R926" s="30"/>
    </row>
    <row r="927" spans="18:18" ht="15.75" customHeight="1">
      <c r="R927" s="30"/>
    </row>
    <row r="928" spans="18:18" ht="15.75" customHeight="1">
      <c r="R928" s="30"/>
    </row>
    <row r="929" spans="18:18" ht="15.75" customHeight="1">
      <c r="R929" s="30"/>
    </row>
    <row r="930" spans="18:18" ht="15.75" customHeight="1">
      <c r="R930" s="30"/>
    </row>
    <row r="931" spans="18:18" ht="15.75" customHeight="1">
      <c r="R931" s="30"/>
    </row>
    <row r="932" spans="18:18" ht="15.75" customHeight="1">
      <c r="R932" s="30"/>
    </row>
    <row r="933" spans="18:18" ht="15.75" customHeight="1">
      <c r="R933" s="30"/>
    </row>
    <row r="934" spans="18:18" ht="15.75" customHeight="1">
      <c r="R934" s="30"/>
    </row>
    <row r="935" spans="18:18" ht="15.75" customHeight="1">
      <c r="R935" s="30"/>
    </row>
    <row r="936" spans="18:18" ht="15.75" customHeight="1">
      <c r="R936" s="30"/>
    </row>
    <row r="937" spans="18:18" ht="15.75" customHeight="1">
      <c r="R937" s="30"/>
    </row>
    <row r="938" spans="18:18" ht="15.75" customHeight="1">
      <c r="R938" s="30"/>
    </row>
    <row r="939" spans="18:18" ht="15.75" customHeight="1">
      <c r="R939" s="30"/>
    </row>
    <row r="940" spans="18:18" ht="15.75" customHeight="1">
      <c r="R940" s="30"/>
    </row>
    <row r="941" spans="18:18" ht="15.75" customHeight="1">
      <c r="R941" s="30"/>
    </row>
    <row r="942" spans="18:18" ht="15.75" customHeight="1">
      <c r="R942" s="30"/>
    </row>
    <row r="943" spans="18:18" ht="15.75" customHeight="1">
      <c r="R943" s="30"/>
    </row>
    <row r="944" spans="18:18" ht="15.75" customHeight="1">
      <c r="R944" s="30"/>
    </row>
    <row r="945" spans="18:18" ht="15.75" customHeight="1">
      <c r="R945" s="30"/>
    </row>
    <row r="946" spans="18:18" ht="15.75" customHeight="1">
      <c r="R946" s="30"/>
    </row>
    <row r="947" spans="18:18" ht="15.75" customHeight="1">
      <c r="R947" s="30"/>
    </row>
    <row r="948" spans="18:18" ht="15.75" customHeight="1">
      <c r="R948" s="30"/>
    </row>
    <row r="949" spans="18:18" ht="15.75" customHeight="1">
      <c r="R949" s="30"/>
    </row>
    <row r="950" spans="18:18" ht="15.75" customHeight="1">
      <c r="R950" s="30"/>
    </row>
    <row r="951" spans="18:18" ht="15.75" customHeight="1">
      <c r="R951" s="30"/>
    </row>
    <row r="952" spans="18:18" ht="15.75" customHeight="1">
      <c r="R952" s="30"/>
    </row>
    <row r="953" spans="18:18" ht="15.75" customHeight="1">
      <c r="R953" s="30"/>
    </row>
    <row r="954" spans="18:18" ht="15.75" customHeight="1">
      <c r="R954" s="30"/>
    </row>
    <row r="955" spans="18:18" ht="15.75" customHeight="1">
      <c r="R955" s="30"/>
    </row>
    <row r="956" spans="18:18" ht="15.75" customHeight="1">
      <c r="R956" s="30"/>
    </row>
    <row r="957" spans="18:18" ht="15.75" customHeight="1">
      <c r="R957" s="30"/>
    </row>
    <row r="958" spans="18:18" ht="15.75" customHeight="1">
      <c r="R958" s="30"/>
    </row>
    <row r="959" spans="18:18" ht="15.75" customHeight="1">
      <c r="R959" s="30"/>
    </row>
    <row r="960" spans="18:18" ht="15.75" customHeight="1">
      <c r="R960" s="30"/>
    </row>
    <row r="961" spans="18:18" ht="15.75" customHeight="1">
      <c r="R961" s="30"/>
    </row>
    <row r="962" spans="18:18" ht="15.75" customHeight="1">
      <c r="R962" s="30"/>
    </row>
    <row r="963" spans="18:18" ht="15.75" customHeight="1">
      <c r="R963" s="30"/>
    </row>
    <row r="964" spans="18:18" ht="15.75" customHeight="1">
      <c r="R964" s="30"/>
    </row>
    <row r="965" spans="18:18" ht="15.75" customHeight="1">
      <c r="R965" s="30"/>
    </row>
    <row r="966" spans="18:18" ht="15.75" customHeight="1">
      <c r="R966" s="30"/>
    </row>
    <row r="967" spans="18:18" ht="15.75" customHeight="1">
      <c r="R967" s="30"/>
    </row>
    <row r="968" spans="18:18" ht="15.75" customHeight="1">
      <c r="R968" s="30"/>
    </row>
    <row r="969" spans="18:18" ht="15.75" customHeight="1">
      <c r="R969" s="30"/>
    </row>
    <row r="970" spans="18:18" ht="15.75" customHeight="1">
      <c r="R970" s="30"/>
    </row>
    <row r="971" spans="18:18" ht="15.75" customHeight="1">
      <c r="R971" s="30"/>
    </row>
    <row r="972" spans="18:18" ht="15.75" customHeight="1">
      <c r="R972" s="30"/>
    </row>
    <row r="973" spans="18:18" ht="15.75" customHeight="1">
      <c r="R973" s="30"/>
    </row>
    <row r="974" spans="18:18" ht="15.75" customHeight="1">
      <c r="R974" s="30"/>
    </row>
    <row r="975" spans="18:18" ht="15.75" customHeight="1">
      <c r="R975" s="30"/>
    </row>
    <row r="976" spans="18:18" ht="15.75" customHeight="1">
      <c r="R976" s="30"/>
    </row>
    <row r="977" spans="18:18" ht="15.75" customHeight="1">
      <c r="R977" s="30"/>
    </row>
    <row r="978" spans="18:18" ht="15.75" customHeight="1">
      <c r="R978" s="30"/>
    </row>
    <row r="979" spans="18:18" ht="15.75" customHeight="1">
      <c r="R979" s="30"/>
    </row>
    <row r="980" spans="18:18" ht="15.75" customHeight="1">
      <c r="R980" s="30"/>
    </row>
    <row r="981" spans="18:18" ht="15.75" customHeight="1">
      <c r="R981" s="30"/>
    </row>
    <row r="982" spans="18:18" ht="15.75" customHeight="1">
      <c r="R982" s="30"/>
    </row>
    <row r="983" spans="18:18" ht="15.75" customHeight="1">
      <c r="R983" s="30"/>
    </row>
    <row r="984" spans="18:18" ht="15.75" customHeight="1">
      <c r="R984" s="30"/>
    </row>
    <row r="985" spans="18:18" ht="15.75" customHeight="1">
      <c r="R985" s="30"/>
    </row>
    <row r="986" spans="18:18" ht="15.75" customHeight="1">
      <c r="R986" s="30"/>
    </row>
    <row r="987" spans="18:18" ht="15.75" customHeight="1">
      <c r="R987" s="30"/>
    </row>
    <row r="988" spans="18:18" ht="15.75" customHeight="1">
      <c r="R988" s="30"/>
    </row>
    <row r="989" spans="18:18" ht="15.75" customHeight="1">
      <c r="R989" s="30"/>
    </row>
    <row r="990" spans="18:18" ht="15.75" customHeight="1">
      <c r="R990" s="30"/>
    </row>
    <row r="991" spans="18:18" ht="15.75" customHeight="1">
      <c r="R991" s="30"/>
    </row>
    <row r="992" spans="18:18" ht="15.75" customHeight="1">
      <c r="R992" s="30"/>
    </row>
    <row r="993" spans="18:18" ht="15.75" customHeight="1">
      <c r="R993" s="30"/>
    </row>
    <row r="994" spans="18:18" ht="15.75" customHeight="1">
      <c r="R994" s="30"/>
    </row>
    <row r="995" spans="18:18" ht="15.75" customHeight="1">
      <c r="R995" s="30"/>
    </row>
    <row r="996" spans="18:18" ht="15.75" customHeight="1">
      <c r="R996" s="30"/>
    </row>
    <row r="997" spans="18:18" ht="15.75" customHeight="1">
      <c r="R997" s="30"/>
    </row>
    <row r="998" spans="18:18" ht="15.75" customHeight="1">
      <c r="R998" s="30"/>
    </row>
    <row r="999" spans="18:18" ht="15.75" customHeight="1">
      <c r="R999" s="30"/>
    </row>
    <row r="1000" spans="18:18" ht="15.75" customHeight="1">
      <c r="R1000" s="3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2.6640625" defaultRowHeight="15" customHeight="1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8.6640625" customWidth="1"/>
    <col min="6" max="6" width="9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16.83203125" customWidth="1"/>
    <col min="16" max="16" width="10" customWidth="1"/>
    <col min="17" max="18" width="7.33203125" customWidth="1"/>
    <col min="19" max="19" width="7.1640625" customWidth="1"/>
    <col min="20" max="20" width="11.1640625" customWidth="1"/>
    <col min="21" max="21" width="13.5" customWidth="1"/>
    <col min="22" max="22" width="34.164062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6640625" customWidth="1"/>
    <col min="32" max="32" width="10.1640625" customWidth="1"/>
    <col min="33" max="33" width="8.83203125" customWidth="1"/>
  </cols>
  <sheetData>
    <row r="1" spans="1:33" ht="18.75" customHeight="1">
      <c r="A1" s="46" t="str">
        <f ca="1">IFERROR(__xludf.DUMMYFUNCTION("IFERROR(VLOOKUP(B2,IMPORTRANGE(""https://docs.google.com/spreadsheets/d/1x0DhHglkXKoEBOD2MBsuK_EyIr1ouxD2ftIpqOYFa-k/edit?usp=sharing"",""Ubiquitty-SKU-Specific Info!B1:BJ5000""),3,FALSE),"""")"),"Yellow Extension Cord - 12/3 Gauge, 75ft w/Power Block")</f>
        <v>Yellow Extension Cord - 12/3 Gauge, 75ft w/Power Block</v>
      </c>
      <c r="B1" s="47"/>
      <c r="C1" s="48" t="s">
        <v>0</v>
      </c>
      <c r="D1" s="50" t="s">
        <v>1</v>
      </c>
      <c r="E1" s="50" t="s">
        <v>2</v>
      </c>
      <c r="F1" s="52" t="s">
        <v>3</v>
      </c>
      <c r="G1" s="52" t="s">
        <v>4</v>
      </c>
      <c r="H1" s="53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58" t="s">
        <v>10</v>
      </c>
      <c r="N1" s="59" t="s">
        <v>11</v>
      </c>
      <c r="O1" s="50" t="s">
        <v>12</v>
      </c>
      <c r="P1" s="50" t="s">
        <v>13</v>
      </c>
      <c r="Q1" s="57" t="s">
        <v>14</v>
      </c>
      <c r="R1" s="57" t="s">
        <v>15</v>
      </c>
      <c r="S1" s="60" t="s">
        <v>16</v>
      </c>
      <c r="T1" s="62" t="s">
        <v>2006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Info!B1:BJ5000""),2,FALSE),"""")"),"B073ZNFJ1S")</f>
        <v>B073ZNFJ1S</v>
      </c>
      <c r="B2" s="3" t="s">
        <v>1770</v>
      </c>
      <c r="C2" s="49"/>
      <c r="D2" s="49"/>
      <c r="E2" s="51"/>
      <c r="F2" s="49"/>
      <c r="G2" s="49"/>
      <c r="H2" s="54"/>
      <c r="I2" s="49"/>
      <c r="J2" s="49"/>
      <c r="K2" s="54"/>
      <c r="L2" s="54"/>
      <c r="M2" s="54"/>
      <c r="N2" s="49"/>
      <c r="O2" s="49"/>
      <c r="P2" s="51"/>
      <c r="Q2" s="49"/>
      <c r="R2" s="49"/>
      <c r="S2" s="61"/>
      <c r="T2" s="47"/>
      <c r="U2" s="63"/>
      <c r="V2" s="63"/>
      <c r="W2" s="47"/>
      <c r="X2" s="47"/>
      <c r="Y2" s="47"/>
      <c r="Z2" s="47"/>
      <c r="AA2" s="63"/>
      <c r="AB2" s="63"/>
      <c r="AC2" s="63"/>
      <c r="AD2" s="63"/>
      <c r="AE2" s="47"/>
      <c r="AF2" s="47"/>
      <c r="AG2" s="47"/>
    </row>
    <row r="3" spans="1:33" ht="143.25" customHeight="1">
      <c r="A3" s="55" t="s">
        <v>31</v>
      </c>
      <c r="B3" s="56"/>
      <c r="C3" s="4">
        <f>((AE32+AF32)/0.85)*-1</f>
        <v>40.609032795294119</v>
      </c>
      <c r="D3" s="5">
        <f>SUM(D4:D99765)</f>
        <v>206</v>
      </c>
      <c r="E3" s="5"/>
      <c r="F3" s="6">
        <f t="shared" ref="F3:G3" si="0">SUM(F4:F99765)</f>
        <v>11782.720000000001</v>
      </c>
      <c r="G3" s="6">
        <f t="shared" si="0"/>
        <v>-0.17</v>
      </c>
      <c r="H3" s="7">
        <f t="shared" ref="H3:H32" si="1">G3/F3*-1</f>
        <v>1.4427907987289862E-5</v>
      </c>
      <c r="I3" s="8">
        <f t="shared" ref="I3:I32" si="2">J3/F3</f>
        <v>0.22456780056246262</v>
      </c>
      <c r="J3" s="6">
        <f>SUM(J4:J99765)</f>
        <v>2646.0195150433397</v>
      </c>
      <c r="K3" s="6">
        <f t="shared" ref="K3:K32" si="3">J3/D3</f>
        <v>12.844754927394852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Sheet!a1:g5000""),2,FALSE),"""")"),"1 - March
1 - April
1 - May
1 - June
1 - July
1 - Aug
1 - Sept
1 - Oct
1 - Nov
0.5 - Dec
0.5 - Jan
1 - Feb")</f>
        <v>1 - March
1 - April
1 - May
1 - June
1 - July
1 - Aug
1 - Sept
1 - Oct
1 - Nov
0.5 - Dec
0.5 - Jan
1 -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0</v>
      </c>
      <c r="X3" s="7">
        <f>W3/D3</f>
        <v>0</v>
      </c>
      <c r="Y3" s="6"/>
      <c r="Z3" s="5"/>
      <c r="AA3" s="5"/>
      <c r="AB3" s="5"/>
      <c r="AC3" s="5"/>
      <c r="AD3" s="6">
        <f>SUM(AD4:AD99765)</f>
        <v>-78.485151623333323</v>
      </c>
      <c r="AE3" s="6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Info!B2:BZ3000""),37,FALSE)),"""")*-1"),-26.737677876)</f>
        <v>-26.737677875999999</v>
      </c>
      <c r="AG3" s="6">
        <f>SUM(AG4:AG99765)</f>
        <v>0</v>
      </c>
    </row>
    <row r="4" spans="1:33" ht="15.75" customHeight="1">
      <c r="A4" s="14" t="s">
        <v>181</v>
      </c>
      <c r="B4" s="14" t="s">
        <v>343</v>
      </c>
      <c r="C4" s="15" t="str">
        <f t="shared" ref="C4:C32" si="4">IFERROR(F4/D4," - ")</f>
        <v xml:space="preserve"> - </v>
      </c>
      <c r="D4" s="16">
        <v>0</v>
      </c>
      <c r="E4" s="16">
        <v>0</v>
      </c>
      <c r="F4" s="17">
        <v>0</v>
      </c>
      <c r="G4" s="17">
        <v>0</v>
      </c>
      <c r="H4" s="18" t="e">
        <f t="shared" si="1"/>
        <v>#DIV/0!</v>
      </c>
      <c r="I4" s="18" t="e">
        <f t="shared" si="2"/>
        <v>#DIV/0!</v>
      </c>
      <c r="J4" s="17">
        <f t="shared" ref="J4:J32" si="5">F4*0.85+G4+AF4*D4+D4*AE4+AG4+AD4</f>
        <v>0</v>
      </c>
      <c r="K4" s="17" t="e">
        <f t="shared" si="3"/>
        <v>#DIV/0!</v>
      </c>
      <c r="L4" s="16">
        <v>0</v>
      </c>
      <c r="M4" s="19" t="str">
        <f t="shared" ref="M4:M32" si="6">IFERROR(D4/L4,"-")</f>
        <v>-</v>
      </c>
      <c r="N4" s="16">
        <v>0</v>
      </c>
      <c r="O4" s="20">
        <f t="shared" ref="O4:P4" si="7">D4/7</f>
        <v>0</v>
      </c>
      <c r="P4" s="20">
        <f t="shared" si="7"/>
        <v>0</v>
      </c>
      <c r="Q4" s="16" t="e">
        <f t="shared" ref="Q4:Q32" si="8">ROUNDDOWN(N4/(O4+P4),0)</f>
        <v>#DIV/0!</v>
      </c>
      <c r="R4" s="16"/>
      <c r="S4" s="21" t="e">
        <v>#N/A</v>
      </c>
      <c r="T4" s="14">
        <v>200</v>
      </c>
      <c r="U4" s="22">
        <v>48</v>
      </c>
      <c r="V4" s="23" t="s">
        <v>1771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26" t="e">
        <v>#N/A</v>
      </c>
      <c r="AB4" s="27" t="e">
        <f t="shared" ref="AB4:AB32" si="11">IF(OR(AA4="UsLargeStandardSize",AA4="UsSmallStandardSize"),-0.69,-0.48)</f>
        <v>#N/A</v>
      </c>
      <c r="AC4" s="28" t="e">
        <v>#N/A</v>
      </c>
      <c r="AD4" s="25">
        <f t="shared" ref="AD4:AD32" si="12">IFERROR(AB4*AC4*D4*2,0)</f>
        <v>0</v>
      </c>
      <c r="AE4" s="25">
        <v>0</v>
      </c>
      <c r="AF4" s="25">
        <v>-23.951025641025641</v>
      </c>
      <c r="AG4" s="25">
        <v>0</v>
      </c>
    </row>
    <row r="5" spans="1:33" ht="15.75" customHeight="1">
      <c r="A5" s="14" t="s">
        <v>183</v>
      </c>
      <c r="B5" s="14"/>
      <c r="C5" s="15" t="str">
        <f t="shared" si="4"/>
        <v xml:space="preserve"> - </v>
      </c>
      <c r="D5" s="16">
        <v>0</v>
      </c>
      <c r="E5" s="16">
        <v>0</v>
      </c>
      <c r="F5" s="29">
        <v>0</v>
      </c>
      <c r="G5" s="29">
        <v>0</v>
      </c>
      <c r="H5" s="18" t="e">
        <f t="shared" si="1"/>
        <v>#DIV/0!</v>
      </c>
      <c r="I5" s="18" t="e">
        <f t="shared" si="2"/>
        <v>#DIV/0!</v>
      </c>
      <c r="J5" s="17">
        <f t="shared" si="5"/>
        <v>0</v>
      </c>
      <c r="K5" s="17" t="e">
        <f t="shared" si="3"/>
        <v>#DIV/0!</v>
      </c>
      <c r="L5" s="16">
        <v>0</v>
      </c>
      <c r="M5" s="19" t="str">
        <f t="shared" si="6"/>
        <v>-</v>
      </c>
      <c r="N5" s="16">
        <v>0</v>
      </c>
      <c r="O5" s="20">
        <f t="shared" ref="O5:P5" si="13">D5/7</f>
        <v>0</v>
      </c>
      <c r="P5" s="20">
        <f t="shared" si="13"/>
        <v>0</v>
      </c>
      <c r="Q5" s="16" t="e">
        <f t="shared" si="8"/>
        <v>#DIV/0!</v>
      </c>
      <c r="R5" s="16"/>
      <c r="S5" s="21" t="e">
        <v>#N/A</v>
      </c>
      <c r="T5" s="14">
        <v>200</v>
      </c>
      <c r="U5" s="22">
        <v>48</v>
      </c>
      <c r="V5" s="23" t="s">
        <v>1772</v>
      </c>
      <c r="W5" s="14">
        <v>0</v>
      </c>
      <c r="X5" s="24">
        <f t="shared" si="9"/>
        <v>0</v>
      </c>
      <c r="Y5" s="25">
        <f t="shared" si="10"/>
        <v>0</v>
      </c>
      <c r="Z5" s="14">
        <v>0</v>
      </c>
      <c r="AA5" s="14" t="e">
        <v>#N/A</v>
      </c>
      <c r="AB5" s="27" t="e">
        <f t="shared" si="11"/>
        <v>#N/A</v>
      </c>
      <c r="AC5" s="28" t="e">
        <v>#N/A</v>
      </c>
      <c r="AD5" s="25">
        <f t="shared" si="12"/>
        <v>0</v>
      </c>
      <c r="AE5" s="25">
        <v>0</v>
      </c>
      <c r="AF5" s="25">
        <v>-23.951025641025641</v>
      </c>
      <c r="AG5" s="25">
        <v>0</v>
      </c>
    </row>
    <row r="6" spans="1:33" ht="15.75" customHeight="1">
      <c r="A6" s="14" t="s">
        <v>185</v>
      </c>
      <c r="B6" s="14"/>
      <c r="C6" s="15" t="str">
        <f t="shared" si="4"/>
        <v xml:space="preserve"> - </v>
      </c>
      <c r="D6" s="16">
        <v>0</v>
      </c>
      <c r="E6" s="16">
        <v>0</v>
      </c>
      <c r="F6" s="29">
        <v>0</v>
      </c>
      <c r="G6" s="29">
        <v>0</v>
      </c>
      <c r="H6" s="18" t="e">
        <f t="shared" si="1"/>
        <v>#DIV/0!</v>
      </c>
      <c r="I6" s="18" t="e">
        <f t="shared" si="2"/>
        <v>#DIV/0!</v>
      </c>
      <c r="J6" s="17">
        <f t="shared" si="5"/>
        <v>0</v>
      </c>
      <c r="K6" s="17" t="e">
        <f t="shared" si="3"/>
        <v>#DIV/0!</v>
      </c>
      <c r="L6" s="16">
        <v>0</v>
      </c>
      <c r="M6" s="19" t="str">
        <f t="shared" si="6"/>
        <v>-</v>
      </c>
      <c r="N6" s="16">
        <v>0</v>
      </c>
      <c r="O6" s="20">
        <f t="shared" ref="O6:P6" si="14">D6/7</f>
        <v>0</v>
      </c>
      <c r="P6" s="20">
        <f t="shared" si="14"/>
        <v>0</v>
      </c>
      <c r="Q6" s="16" t="e">
        <f t="shared" si="8"/>
        <v>#DIV/0!</v>
      </c>
      <c r="R6" s="16"/>
      <c r="S6" s="21" t="e">
        <v>#N/A</v>
      </c>
      <c r="T6" s="14">
        <v>353</v>
      </c>
      <c r="U6" s="22">
        <v>48</v>
      </c>
      <c r="V6" s="23" t="s">
        <v>1773</v>
      </c>
      <c r="W6" s="14">
        <v>0</v>
      </c>
      <c r="X6" s="24">
        <f t="shared" si="9"/>
        <v>0</v>
      </c>
      <c r="Y6" s="25">
        <f t="shared" si="10"/>
        <v>0</v>
      </c>
      <c r="Z6" s="14">
        <v>0</v>
      </c>
      <c r="AA6" s="14" t="e">
        <v>#N/A</v>
      </c>
      <c r="AB6" s="27" t="e">
        <f t="shared" si="11"/>
        <v>#N/A</v>
      </c>
      <c r="AC6" s="28" t="e">
        <v>#N/A</v>
      </c>
      <c r="AD6" s="25">
        <f t="shared" si="12"/>
        <v>0</v>
      </c>
      <c r="AE6" s="25">
        <v>0</v>
      </c>
      <c r="AF6" s="25">
        <v>-23.951025641025641</v>
      </c>
      <c r="AG6" s="25">
        <v>0</v>
      </c>
    </row>
    <row r="7" spans="1:33" ht="15.75" customHeight="1">
      <c r="A7" s="14" t="s">
        <v>187</v>
      </c>
      <c r="B7" s="14"/>
      <c r="C7" s="15" t="str">
        <f t="shared" si="4"/>
        <v xml:space="preserve"> - </v>
      </c>
      <c r="D7" s="16">
        <v>0</v>
      </c>
      <c r="E7" s="16">
        <v>0</v>
      </c>
      <c r="F7" s="29">
        <v>0</v>
      </c>
      <c r="G7" s="29">
        <v>0</v>
      </c>
      <c r="H7" s="18" t="e">
        <f t="shared" si="1"/>
        <v>#DIV/0!</v>
      </c>
      <c r="I7" s="18" t="e">
        <f t="shared" si="2"/>
        <v>#DIV/0!</v>
      </c>
      <c r="J7" s="17">
        <f t="shared" si="5"/>
        <v>0</v>
      </c>
      <c r="K7" s="17" t="e">
        <f t="shared" si="3"/>
        <v>#DIV/0!</v>
      </c>
      <c r="L7" s="16">
        <v>0</v>
      </c>
      <c r="M7" s="19" t="str">
        <f t="shared" si="6"/>
        <v>-</v>
      </c>
      <c r="N7" s="16">
        <v>0</v>
      </c>
      <c r="O7" s="20">
        <f t="shared" ref="O7:P7" si="15">D7/7</f>
        <v>0</v>
      </c>
      <c r="P7" s="20">
        <f t="shared" si="15"/>
        <v>0</v>
      </c>
      <c r="Q7" s="16" t="e">
        <f t="shared" si="8"/>
        <v>#DIV/0!</v>
      </c>
      <c r="R7" s="16"/>
      <c r="S7" s="21" t="e">
        <v>#N/A</v>
      </c>
      <c r="T7" s="14">
        <v>350</v>
      </c>
      <c r="U7" s="22">
        <v>48</v>
      </c>
      <c r="V7" s="23" t="s">
        <v>1774</v>
      </c>
      <c r="W7" s="14">
        <v>0</v>
      </c>
      <c r="X7" s="24">
        <f t="shared" si="9"/>
        <v>0</v>
      </c>
      <c r="Y7" s="25">
        <f t="shared" si="10"/>
        <v>0</v>
      </c>
      <c r="Z7" s="14">
        <v>0</v>
      </c>
      <c r="AA7" s="14" t="e">
        <v>#N/A</v>
      </c>
      <c r="AB7" s="27" t="e">
        <f t="shared" si="11"/>
        <v>#N/A</v>
      </c>
      <c r="AC7" s="28" t="e">
        <v>#N/A</v>
      </c>
      <c r="AD7" s="25">
        <f t="shared" si="12"/>
        <v>0</v>
      </c>
      <c r="AE7" s="25">
        <v>0</v>
      </c>
      <c r="AF7" s="25">
        <v>-23.951025641025641</v>
      </c>
      <c r="AG7" s="25">
        <v>0</v>
      </c>
    </row>
    <row r="8" spans="1:33" ht="15.75" customHeight="1">
      <c r="A8" s="14" t="s">
        <v>189</v>
      </c>
      <c r="B8" s="14" t="s">
        <v>1775</v>
      </c>
      <c r="C8" s="15" t="str">
        <f t="shared" si="4"/>
        <v xml:space="preserve"> - </v>
      </c>
      <c r="D8" s="16">
        <v>0</v>
      </c>
      <c r="E8" s="16">
        <v>0</v>
      </c>
      <c r="F8" s="29">
        <v>0</v>
      </c>
      <c r="G8" s="29">
        <v>0</v>
      </c>
      <c r="H8" s="18" t="e">
        <f t="shared" si="1"/>
        <v>#DIV/0!</v>
      </c>
      <c r="I8" s="18" t="e">
        <f t="shared" si="2"/>
        <v>#DIV/0!</v>
      </c>
      <c r="J8" s="17">
        <f t="shared" si="5"/>
        <v>0</v>
      </c>
      <c r="K8" s="17" t="e">
        <f t="shared" si="3"/>
        <v>#DIV/0!</v>
      </c>
      <c r="L8" s="16">
        <v>0</v>
      </c>
      <c r="M8" s="19" t="str">
        <f t="shared" si="6"/>
        <v>-</v>
      </c>
      <c r="N8" s="16">
        <v>48</v>
      </c>
      <c r="O8" s="20">
        <f t="shared" ref="O8:P8" si="16">D8/7</f>
        <v>0</v>
      </c>
      <c r="P8" s="20">
        <f t="shared" si="16"/>
        <v>0</v>
      </c>
      <c r="Q8" s="16" t="e">
        <f t="shared" si="8"/>
        <v>#DIV/0!</v>
      </c>
      <c r="R8" s="16"/>
      <c r="S8" s="21">
        <v>0</v>
      </c>
      <c r="T8" s="14">
        <v>304</v>
      </c>
      <c r="U8" s="22">
        <v>150</v>
      </c>
      <c r="V8" s="23" t="s">
        <v>1776</v>
      </c>
      <c r="W8" s="14">
        <v>0</v>
      </c>
      <c r="X8" s="24">
        <f t="shared" si="9"/>
        <v>0</v>
      </c>
      <c r="Y8" s="25">
        <f t="shared" si="10"/>
        <v>0</v>
      </c>
      <c r="Z8" s="14">
        <v>0</v>
      </c>
      <c r="AA8" s="14" t="e">
        <v>#N/A</v>
      </c>
      <c r="AB8" s="27" t="e">
        <f t="shared" si="11"/>
        <v>#N/A</v>
      </c>
      <c r="AC8" s="28" t="e">
        <v>#N/A</v>
      </c>
      <c r="AD8" s="25">
        <f t="shared" si="12"/>
        <v>0</v>
      </c>
      <c r="AE8" s="25">
        <v>0</v>
      </c>
      <c r="AF8" s="25">
        <v>-23.95</v>
      </c>
      <c r="AG8" s="25">
        <v>0</v>
      </c>
    </row>
    <row r="9" spans="1:33" ht="15.75" customHeight="1">
      <c r="A9" s="14" t="s">
        <v>191</v>
      </c>
      <c r="B9" s="14" t="s">
        <v>83</v>
      </c>
      <c r="C9" s="15">
        <f t="shared" si="4"/>
        <v>49.99</v>
      </c>
      <c r="D9" s="16">
        <v>5</v>
      </c>
      <c r="E9" s="16">
        <v>0</v>
      </c>
      <c r="F9" s="29">
        <v>249.95000000000002</v>
      </c>
      <c r="G9" s="29">
        <v>0</v>
      </c>
      <c r="H9" s="18">
        <f t="shared" si="1"/>
        <v>0</v>
      </c>
      <c r="I9" s="18">
        <f t="shared" si="2"/>
        <v>0.18486756870092083</v>
      </c>
      <c r="J9" s="17">
        <f t="shared" si="5"/>
        <v>46.207648796795162</v>
      </c>
      <c r="K9" s="17">
        <f t="shared" si="3"/>
        <v>9.2415297593590324</v>
      </c>
      <c r="L9" s="16">
        <v>27</v>
      </c>
      <c r="M9" s="19">
        <f t="shared" si="6"/>
        <v>0.18518518518518517</v>
      </c>
      <c r="N9" s="16">
        <v>46</v>
      </c>
      <c r="O9" s="20">
        <f t="shared" ref="O9:P9" si="17">D9/7</f>
        <v>0.7142857142857143</v>
      </c>
      <c r="P9" s="20">
        <f t="shared" si="17"/>
        <v>0</v>
      </c>
      <c r="Q9" s="16">
        <f t="shared" si="8"/>
        <v>64</v>
      </c>
      <c r="R9" s="16"/>
      <c r="S9" s="21">
        <v>0.17391304347826</v>
      </c>
      <c r="T9" s="14">
        <v>304</v>
      </c>
      <c r="U9" s="22">
        <v>150</v>
      </c>
      <c r="V9" s="23" t="s">
        <v>1777</v>
      </c>
      <c r="W9" s="14">
        <v>0</v>
      </c>
      <c r="X9" s="24">
        <f t="shared" si="9"/>
        <v>0</v>
      </c>
      <c r="Y9" s="25">
        <f t="shared" si="10"/>
        <v>0</v>
      </c>
      <c r="Z9" s="14">
        <v>0</v>
      </c>
      <c r="AA9" s="14" t="s">
        <v>35</v>
      </c>
      <c r="AB9" s="27">
        <f t="shared" si="11"/>
        <v>-0.69</v>
      </c>
      <c r="AC9" s="28">
        <v>0.2760839722222222</v>
      </c>
      <c r="AD9" s="25">
        <f t="shared" si="12"/>
        <v>-1.9049794083333329</v>
      </c>
      <c r="AE9" s="25">
        <v>-8.4600000000000009</v>
      </c>
      <c r="AF9" s="25">
        <v>-24.408974358974302</v>
      </c>
      <c r="AG9" s="25">
        <v>0</v>
      </c>
    </row>
    <row r="10" spans="1:33" ht="15.75" customHeight="1">
      <c r="A10" s="14" t="s">
        <v>192</v>
      </c>
      <c r="B10" s="14" t="s">
        <v>1778</v>
      </c>
      <c r="C10" s="15">
        <f t="shared" si="4"/>
        <v>49.99</v>
      </c>
      <c r="D10" s="16">
        <v>19</v>
      </c>
      <c r="E10" s="16">
        <v>0</v>
      </c>
      <c r="F10" s="29">
        <v>949.81000000000006</v>
      </c>
      <c r="G10" s="29">
        <v>0</v>
      </c>
      <c r="H10" s="18">
        <f t="shared" si="1"/>
        <v>0</v>
      </c>
      <c r="I10" s="18">
        <f t="shared" si="2"/>
        <v>0.18486756870092089</v>
      </c>
      <c r="J10" s="17">
        <f t="shared" si="5"/>
        <v>175.58906542782168</v>
      </c>
      <c r="K10" s="17">
        <f t="shared" si="3"/>
        <v>9.241529759359036</v>
      </c>
      <c r="L10" s="16">
        <v>49</v>
      </c>
      <c r="M10" s="19">
        <f t="shared" si="6"/>
        <v>0.38775510204081631</v>
      </c>
      <c r="N10" s="16">
        <v>14</v>
      </c>
      <c r="O10" s="20">
        <f t="shared" ref="O10:P10" si="18">D10/7</f>
        <v>2.7142857142857144</v>
      </c>
      <c r="P10" s="20">
        <f t="shared" si="18"/>
        <v>0</v>
      </c>
      <c r="Q10" s="16">
        <f t="shared" si="8"/>
        <v>5</v>
      </c>
      <c r="R10" s="16"/>
      <c r="S10" s="21">
        <v>4.4705882352941098</v>
      </c>
      <c r="T10" s="14">
        <v>152</v>
      </c>
      <c r="U10" s="22">
        <v>150</v>
      </c>
      <c r="V10" s="23" t="s">
        <v>1779</v>
      </c>
      <c r="W10" s="14">
        <v>0</v>
      </c>
      <c r="X10" s="24">
        <f t="shared" si="9"/>
        <v>0</v>
      </c>
      <c r="Y10" s="25">
        <f t="shared" si="10"/>
        <v>0</v>
      </c>
      <c r="Z10" s="14">
        <v>0</v>
      </c>
      <c r="AA10" s="14" t="s">
        <v>35</v>
      </c>
      <c r="AB10" s="27">
        <f t="shared" si="11"/>
        <v>-0.69</v>
      </c>
      <c r="AC10" s="28">
        <v>0.2760839722222222</v>
      </c>
      <c r="AD10" s="25">
        <f t="shared" si="12"/>
        <v>-7.2389217516666653</v>
      </c>
      <c r="AE10" s="25">
        <v>-8.4600000000000009</v>
      </c>
      <c r="AF10" s="25">
        <v>-24.408974358974302</v>
      </c>
      <c r="AG10" s="25">
        <v>0</v>
      </c>
    </row>
    <row r="11" spans="1:33" ht="15.75" customHeight="1">
      <c r="A11" s="14" t="s">
        <v>193</v>
      </c>
      <c r="B11" s="14" t="s">
        <v>1486</v>
      </c>
      <c r="C11" s="15">
        <f t="shared" si="4"/>
        <v>78.02</v>
      </c>
      <c r="D11" s="16">
        <v>1</v>
      </c>
      <c r="E11" s="16">
        <v>0</v>
      </c>
      <c r="F11" s="29">
        <v>78.02</v>
      </c>
      <c r="G11" s="29">
        <v>0</v>
      </c>
      <c r="H11" s="18">
        <f t="shared" si="1"/>
        <v>0</v>
      </c>
      <c r="I11" s="18">
        <f t="shared" si="2"/>
        <v>0.42382760522121282</v>
      </c>
      <c r="J11" s="17">
        <f t="shared" si="5"/>
        <v>33.067029759359023</v>
      </c>
      <c r="K11" s="17">
        <f t="shared" si="3"/>
        <v>33.067029759359023</v>
      </c>
      <c r="L11" s="16">
        <v>13</v>
      </c>
      <c r="M11" s="19">
        <f t="shared" si="6"/>
        <v>7.6923076923076927E-2</v>
      </c>
      <c r="N11" s="16">
        <v>15</v>
      </c>
      <c r="O11" s="20">
        <f t="shared" ref="O11:P11" si="19">D11/7</f>
        <v>0.14285714285714285</v>
      </c>
      <c r="P11" s="20">
        <f t="shared" si="19"/>
        <v>0</v>
      </c>
      <c r="Q11" s="16">
        <f t="shared" si="8"/>
        <v>105</v>
      </c>
      <c r="R11" s="16"/>
      <c r="S11" s="21">
        <v>6.6666666666666599</v>
      </c>
      <c r="T11" s="14">
        <v>152</v>
      </c>
      <c r="U11" s="22">
        <v>150</v>
      </c>
      <c r="V11" s="23" t="s">
        <v>1780</v>
      </c>
      <c r="W11" s="14">
        <v>0</v>
      </c>
      <c r="X11" s="24">
        <f t="shared" si="9"/>
        <v>0</v>
      </c>
      <c r="Y11" s="25">
        <f t="shared" si="10"/>
        <v>0</v>
      </c>
      <c r="Z11" s="14">
        <v>0</v>
      </c>
      <c r="AA11" s="14" t="s">
        <v>35</v>
      </c>
      <c r="AB11" s="27">
        <f t="shared" si="11"/>
        <v>-0.69</v>
      </c>
      <c r="AC11" s="28">
        <v>0.2760839722222222</v>
      </c>
      <c r="AD11" s="25">
        <f t="shared" si="12"/>
        <v>-0.38099588166666659</v>
      </c>
      <c r="AE11" s="25">
        <v>-8.4600000000000009</v>
      </c>
      <c r="AF11" s="25">
        <v>-24.408974358974302</v>
      </c>
      <c r="AG11" s="25">
        <v>0</v>
      </c>
    </row>
    <row r="12" spans="1:33" ht="15.75" customHeight="1">
      <c r="A12" s="14" t="s">
        <v>195</v>
      </c>
      <c r="B12" s="14" t="s">
        <v>1781</v>
      </c>
      <c r="C12" s="15">
        <f t="shared" si="4"/>
        <v>70</v>
      </c>
      <c r="D12" s="16">
        <v>1</v>
      </c>
      <c r="E12" s="16">
        <v>0</v>
      </c>
      <c r="F12" s="29">
        <v>70</v>
      </c>
      <c r="G12" s="29">
        <v>0</v>
      </c>
      <c r="H12" s="18">
        <f t="shared" si="1"/>
        <v>0</v>
      </c>
      <c r="I12" s="18">
        <f t="shared" si="2"/>
        <v>0.37500042513370041</v>
      </c>
      <c r="J12" s="17">
        <f t="shared" si="5"/>
        <v>26.250029759359027</v>
      </c>
      <c r="K12" s="17">
        <f t="shared" si="3"/>
        <v>26.250029759359027</v>
      </c>
      <c r="L12" s="16">
        <v>9</v>
      </c>
      <c r="M12" s="19">
        <f t="shared" si="6"/>
        <v>0.1111111111111111</v>
      </c>
      <c r="N12" s="16">
        <v>18</v>
      </c>
      <c r="O12" s="20">
        <f t="shared" ref="O12:P12" si="20">D12/7</f>
        <v>0.14285714285714285</v>
      </c>
      <c r="P12" s="20">
        <f t="shared" si="20"/>
        <v>0</v>
      </c>
      <c r="Q12" s="16">
        <f t="shared" si="8"/>
        <v>126</v>
      </c>
      <c r="R12" s="16"/>
      <c r="S12" s="21">
        <v>5.2631578947368398</v>
      </c>
      <c r="T12" s="14">
        <v>152</v>
      </c>
      <c r="U12" s="22">
        <v>150</v>
      </c>
      <c r="V12" s="23" t="s">
        <v>1782</v>
      </c>
      <c r="W12" s="14">
        <v>0</v>
      </c>
      <c r="X12" s="24">
        <f t="shared" si="9"/>
        <v>0</v>
      </c>
      <c r="Y12" s="25">
        <f t="shared" si="10"/>
        <v>0</v>
      </c>
      <c r="Z12" s="14">
        <v>0</v>
      </c>
      <c r="AA12" s="14" t="s">
        <v>35</v>
      </c>
      <c r="AB12" s="27">
        <f t="shared" si="11"/>
        <v>-0.69</v>
      </c>
      <c r="AC12" s="28">
        <v>0.2760839722222222</v>
      </c>
      <c r="AD12" s="25">
        <f t="shared" si="12"/>
        <v>-0.38099588166666659</v>
      </c>
      <c r="AE12" s="25">
        <v>-8.4600000000000009</v>
      </c>
      <c r="AF12" s="25">
        <v>-24.408974358974302</v>
      </c>
      <c r="AG12" s="25">
        <v>0</v>
      </c>
    </row>
    <row r="13" spans="1:33" ht="15.75" customHeight="1">
      <c r="A13" s="14" t="s">
        <v>197</v>
      </c>
      <c r="B13" s="14" t="s">
        <v>280</v>
      </c>
      <c r="C13" s="15">
        <f t="shared" si="4"/>
        <v>60.328571428571429</v>
      </c>
      <c r="D13" s="16">
        <v>7</v>
      </c>
      <c r="E13" s="16">
        <v>0</v>
      </c>
      <c r="F13" s="17">
        <v>422.3</v>
      </c>
      <c r="G13" s="29">
        <v>-0.08</v>
      </c>
      <c r="H13" s="18">
        <f t="shared" si="1"/>
        <v>1.8943878759175941E-4</v>
      </c>
      <c r="I13" s="18">
        <f t="shared" si="2"/>
        <v>0.29466736639434848</v>
      </c>
      <c r="J13" s="17">
        <f t="shared" si="5"/>
        <v>124.43802882833336</v>
      </c>
      <c r="K13" s="17">
        <f t="shared" si="3"/>
        <v>17.776861261190479</v>
      </c>
      <c r="L13" s="16">
        <v>9</v>
      </c>
      <c r="M13" s="19">
        <f t="shared" si="6"/>
        <v>0.77777777777777779</v>
      </c>
      <c r="N13" s="16">
        <v>15</v>
      </c>
      <c r="O13" s="20">
        <f t="shared" ref="O13:P13" si="21">D13/7</f>
        <v>1</v>
      </c>
      <c r="P13" s="20">
        <f t="shared" si="21"/>
        <v>0</v>
      </c>
      <c r="Q13" s="16">
        <f t="shared" si="8"/>
        <v>15</v>
      </c>
      <c r="R13" s="16"/>
      <c r="S13" s="21">
        <v>1.52941176470588</v>
      </c>
      <c r="T13" s="14">
        <v>152</v>
      </c>
      <c r="U13" s="22">
        <v>150</v>
      </c>
      <c r="V13" s="23" t="s">
        <v>1782</v>
      </c>
      <c r="W13" s="14">
        <v>0</v>
      </c>
      <c r="X13" s="24">
        <f t="shared" si="9"/>
        <v>0</v>
      </c>
      <c r="Y13" s="25">
        <f t="shared" si="10"/>
        <v>0</v>
      </c>
      <c r="Z13" s="14">
        <v>0</v>
      </c>
      <c r="AA13" s="14" t="s">
        <v>35</v>
      </c>
      <c r="AB13" s="27">
        <f t="shared" si="11"/>
        <v>-0.69</v>
      </c>
      <c r="AC13" s="28">
        <v>0.2760839722222222</v>
      </c>
      <c r="AD13" s="25">
        <f t="shared" si="12"/>
        <v>-2.666971171666666</v>
      </c>
      <c r="AE13" s="25">
        <v>-8.4600000000000009</v>
      </c>
      <c r="AF13" s="25">
        <v>-24.65</v>
      </c>
      <c r="AG13" s="25">
        <v>0</v>
      </c>
    </row>
    <row r="14" spans="1:33" ht="15.75" customHeight="1">
      <c r="A14" s="14" t="s">
        <v>32</v>
      </c>
      <c r="B14" s="14" t="s">
        <v>1783</v>
      </c>
      <c r="C14" s="15">
        <f t="shared" si="4"/>
        <v>58.305555555555557</v>
      </c>
      <c r="D14" s="16">
        <v>9</v>
      </c>
      <c r="E14" s="16">
        <v>0</v>
      </c>
      <c r="F14" s="17">
        <v>524.75</v>
      </c>
      <c r="G14" s="29">
        <v>0</v>
      </c>
      <c r="H14" s="18">
        <f t="shared" si="1"/>
        <v>0</v>
      </c>
      <c r="I14" s="18">
        <f t="shared" si="2"/>
        <v>0.27559511589328245</v>
      </c>
      <c r="J14" s="17">
        <f t="shared" si="5"/>
        <v>144.61853706499997</v>
      </c>
      <c r="K14" s="17">
        <f t="shared" si="3"/>
        <v>16.068726340555553</v>
      </c>
      <c r="L14" s="16">
        <v>21</v>
      </c>
      <c r="M14" s="19">
        <f t="shared" si="6"/>
        <v>0.42857142857142855</v>
      </c>
      <c r="N14" s="16">
        <v>8</v>
      </c>
      <c r="O14" s="20">
        <f t="shared" ref="O14:P14" si="22">D14/7</f>
        <v>1.2857142857142858</v>
      </c>
      <c r="P14" s="20">
        <f t="shared" si="22"/>
        <v>0</v>
      </c>
      <c r="Q14" s="16">
        <f t="shared" si="8"/>
        <v>6</v>
      </c>
      <c r="R14" s="16"/>
      <c r="S14" s="21">
        <v>3.0204081632653001</v>
      </c>
      <c r="T14" s="14">
        <v>152</v>
      </c>
      <c r="U14" s="22">
        <v>150</v>
      </c>
      <c r="V14" s="23" t="s">
        <v>1782</v>
      </c>
      <c r="W14" s="14">
        <v>0</v>
      </c>
      <c r="X14" s="24">
        <f t="shared" si="9"/>
        <v>0</v>
      </c>
      <c r="Y14" s="25">
        <f t="shared" si="10"/>
        <v>0</v>
      </c>
      <c r="Z14" s="14">
        <v>0</v>
      </c>
      <c r="AA14" s="14" t="s">
        <v>35</v>
      </c>
      <c r="AB14" s="27">
        <f t="shared" si="11"/>
        <v>-0.69</v>
      </c>
      <c r="AC14" s="28">
        <v>0.2760839722222222</v>
      </c>
      <c r="AD14" s="25">
        <f t="shared" si="12"/>
        <v>-3.4289629349999995</v>
      </c>
      <c r="AE14" s="25">
        <v>-8.4600000000000009</v>
      </c>
      <c r="AF14" s="25">
        <v>-24.65</v>
      </c>
      <c r="AG14" s="25">
        <v>0</v>
      </c>
    </row>
    <row r="15" spans="1:33" ht="15.75" customHeight="1">
      <c r="A15" s="14" t="s">
        <v>36</v>
      </c>
      <c r="B15" s="14" t="s">
        <v>1784</v>
      </c>
      <c r="C15" s="15">
        <f t="shared" si="4"/>
        <v>66.064999999999998</v>
      </c>
      <c r="D15" s="16">
        <v>4</v>
      </c>
      <c r="E15" s="16">
        <v>0</v>
      </c>
      <c r="F15" s="17">
        <v>264.26</v>
      </c>
      <c r="G15" s="29">
        <v>-7.0000000000000007E-2</v>
      </c>
      <c r="H15" s="18">
        <f t="shared" si="1"/>
        <v>2.6489063800802244E-4</v>
      </c>
      <c r="I15" s="18">
        <f t="shared" si="2"/>
        <v>0.31358138376346523</v>
      </c>
      <c r="J15" s="17">
        <f t="shared" si="5"/>
        <v>82.867016473333322</v>
      </c>
      <c r="K15" s="17">
        <f t="shared" si="3"/>
        <v>20.716754118333331</v>
      </c>
      <c r="L15" s="16">
        <v>25</v>
      </c>
      <c r="M15" s="19">
        <f t="shared" si="6"/>
        <v>0.16</v>
      </c>
      <c r="N15" s="16">
        <v>3</v>
      </c>
      <c r="O15" s="20">
        <f t="shared" ref="O15:P15" si="23">D15/7</f>
        <v>0.5714285714285714</v>
      </c>
      <c r="P15" s="20">
        <f t="shared" si="23"/>
        <v>0</v>
      </c>
      <c r="Q15" s="16">
        <f t="shared" si="8"/>
        <v>5</v>
      </c>
      <c r="R15" s="16"/>
      <c r="S15" s="21">
        <v>10.117647058823501</v>
      </c>
      <c r="T15" s="14">
        <v>152</v>
      </c>
      <c r="U15" s="22">
        <v>150</v>
      </c>
      <c r="V15" s="23" t="s">
        <v>1782</v>
      </c>
      <c r="W15" s="14">
        <v>0</v>
      </c>
      <c r="X15" s="24">
        <f t="shared" si="9"/>
        <v>0</v>
      </c>
      <c r="Y15" s="25">
        <f t="shared" si="10"/>
        <v>0</v>
      </c>
      <c r="Z15" s="14">
        <v>0</v>
      </c>
      <c r="AA15" s="14" t="s">
        <v>35</v>
      </c>
      <c r="AB15" s="27">
        <f t="shared" si="11"/>
        <v>-0.69</v>
      </c>
      <c r="AC15" s="28">
        <v>0.2760839722222222</v>
      </c>
      <c r="AD15" s="25">
        <f t="shared" si="12"/>
        <v>-1.5239835266666664</v>
      </c>
      <c r="AE15" s="25">
        <v>-8.4600000000000009</v>
      </c>
      <c r="AF15" s="25">
        <v>-26.58</v>
      </c>
      <c r="AG15" s="25">
        <v>0</v>
      </c>
    </row>
    <row r="16" spans="1:33" ht="15.75" customHeight="1">
      <c r="A16" s="14" t="s">
        <v>38</v>
      </c>
      <c r="B16" s="14" t="s">
        <v>45</v>
      </c>
      <c r="C16" s="15">
        <f t="shared" si="4"/>
        <v>70.97999999999999</v>
      </c>
      <c r="D16" s="16">
        <v>2</v>
      </c>
      <c r="E16" s="16">
        <v>0</v>
      </c>
      <c r="F16" s="17">
        <v>141.95999999999998</v>
      </c>
      <c r="G16" s="29">
        <v>0</v>
      </c>
      <c r="H16" s="18">
        <f t="shared" si="1"/>
        <v>0</v>
      </c>
      <c r="I16" s="18">
        <f t="shared" si="2"/>
        <v>0.35097216283929739</v>
      </c>
      <c r="J16" s="17">
        <f t="shared" si="5"/>
        <v>49.82400823666665</v>
      </c>
      <c r="K16" s="17">
        <f t="shared" si="3"/>
        <v>24.912004118333325</v>
      </c>
      <c r="L16" s="16">
        <v>20</v>
      </c>
      <c r="M16" s="19">
        <f t="shared" si="6"/>
        <v>0.1</v>
      </c>
      <c r="N16" s="16">
        <v>0</v>
      </c>
      <c r="O16" s="20">
        <f t="shared" ref="O16:P16" si="24">D16/7</f>
        <v>0.2857142857142857</v>
      </c>
      <c r="P16" s="20">
        <f t="shared" si="24"/>
        <v>0</v>
      </c>
      <c r="Q16" s="16">
        <f t="shared" si="8"/>
        <v>0</v>
      </c>
      <c r="R16" s="16"/>
      <c r="S16" s="21" t="e">
        <v>#N/A</v>
      </c>
      <c r="T16" s="14">
        <v>152</v>
      </c>
      <c r="U16" s="22">
        <v>150</v>
      </c>
      <c r="V16" s="23" t="s">
        <v>1785</v>
      </c>
      <c r="W16" s="14">
        <v>0</v>
      </c>
      <c r="X16" s="24">
        <f t="shared" si="9"/>
        <v>0</v>
      </c>
      <c r="Y16" s="25">
        <f t="shared" si="10"/>
        <v>0</v>
      </c>
      <c r="Z16" s="14">
        <v>0</v>
      </c>
      <c r="AA16" s="14" t="s">
        <v>35</v>
      </c>
      <c r="AB16" s="27">
        <f t="shared" si="11"/>
        <v>-0.69</v>
      </c>
      <c r="AC16" s="28">
        <v>0.2760839722222222</v>
      </c>
      <c r="AD16" s="25">
        <f t="shared" si="12"/>
        <v>-0.76199176333333318</v>
      </c>
      <c r="AE16" s="25">
        <v>-8.4600000000000009</v>
      </c>
      <c r="AF16" s="25">
        <v>-26.58</v>
      </c>
      <c r="AG16" s="25">
        <v>0</v>
      </c>
    </row>
    <row r="17" spans="1:33" ht="15.75" customHeight="1">
      <c r="A17" s="14" t="s">
        <v>40</v>
      </c>
      <c r="B17" s="14" t="s">
        <v>1786</v>
      </c>
      <c r="C17" s="15" t="str">
        <f t="shared" si="4"/>
        <v xml:space="preserve"> - </v>
      </c>
      <c r="D17" s="16">
        <v>0</v>
      </c>
      <c r="E17" s="16">
        <v>0</v>
      </c>
      <c r="F17" s="17">
        <v>0</v>
      </c>
      <c r="G17" s="29">
        <v>0</v>
      </c>
      <c r="H17" s="18" t="e">
        <f t="shared" si="1"/>
        <v>#DIV/0!</v>
      </c>
      <c r="I17" s="18" t="e">
        <f t="shared" si="2"/>
        <v>#DIV/0!</v>
      </c>
      <c r="J17" s="17">
        <f t="shared" si="5"/>
        <v>0</v>
      </c>
      <c r="K17" s="17" t="e">
        <f t="shared" si="3"/>
        <v>#DIV/0!</v>
      </c>
      <c r="L17" s="16">
        <v>0</v>
      </c>
      <c r="M17" s="19" t="str">
        <f t="shared" si="6"/>
        <v>-</v>
      </c>
      <c r="N17" s="16">
        <v>0</v>
      </c>
      <c r="O17" s="20">
        <f t="shared" ref="O17:P17" si="25">D17/7</f>
        <v>0</v>
      </c>
      <c r="P17" s="20">
        <f t="shared" si="25"/>
        <v>0</v>
      </c>
      <c r="Q17" s="16" t="e">
        <f t="shared" si="8"/>
        <v>#DIV/0!</v>
      </c>
      <c r="R17" s="16"/>
      <c r="S17" s="21" t="e">
        <v>#N/A</v>
      </c>
      <c r="T17" s="14">
        <v>2</v>
      </c>
      <c r="U17" s="22" t="s">
        <v>34</v>
      </c>
      <c r="V17" s="23" t="s">
        <v>34</v>
      </c>
      <c r="W17" s="14">
        <v>0</v>
      </c>
      <c r="X17" s="24">
        <f t="shared" si="9"/>
        <v>0</v>
      </c>
      <c r="Y17" s="25">
        <f t="shared" si="10"/>
        <v>0</v>
      </c>
      <c r="Z17" s="14">
        <v>0</v>
      </c>
      <c r="AA17" s="14" t="e">
        <v>#N/A</v>
      </c>
      <c r="AB17" s="27" t="e">
        <f t="shared" si="11"/>
        <v>#N/A</v>
      </c>
      <c r="AC17" s="28" t="e">
        <v>#N/A</v>
      </c>
      <c r="AD17" s="25">
        <f t="shared" si="12"/>
        <v>0</v>
      </c>
      <c r="AE17" s="25">
        <v>0</v>
      </c>
      <c r="AF17" s="25">
        <v>-26.58</v>
      </c>
      <c r="AG17" s="25">
        <v>0</v>
      </c>
    </row>
    <row r="18" spans="1:33" ht="15.75" customHeight="1">
      <c r="A18" s="14" t="s">
        <v>42</v>
      </c>
      <c r="B18" s="14" t="s">
        <v>68</v>
      </c>
      <c r="C18" s="15">
        <f t="shared" si="4"/>
        <v>55.58</v>
      </c>
      <c r="D18" s="16">
        <v>1</v>
      </c>
      <c r="E18" s="16">
        <v>0</v>
      </c>
      <c r="F18" s="17">
        <v>55.58</v>
      </c>
      <c r="G18" s="29">
        <v>0</v>
      </c>
      <c r="H18" s="18">
        <f t="shared" si="1"/>
        <v>0</v>
      </c>
      <c r="I18" s="18">
        <f t="shared" si="2"/>
        <v>0.21270248503658382</v>
      </c>
      <c r="J18" s="17">
        <f t="shared" si="5"/>
        <v>11.822004118333329</v>
      </c>
      <c r="K18" s="17">
        <f t="shared" si="3"/>
        <v>11.822004118333329</v>
      </c>
      <c r="L18" s="16">
        <v>0</v>
      </c>
      <c r="M18" s="19" t="str">
        <f t="shared" si="6"/>
        <v>-</v>
      </c>
      <c r="N18" s="16">
        <v>149</v>
      </c>
      <c r="O18" s="20">
        <f t="shared" ref="O18:P18" si="26">D18/7</f>
        <v>0.14285714285714285</v>
      </c>
      <c r="P18" s="20">
        <f t="shared" si="26"/>
        <v>0</v>
      </c>
      <c r="Q18" s="16">
        <f t="shared" si="8"/>
        <v>1043</v>
      </c>
      <c r="R18" s="16"/>
      <c r="S18" s="21">
        <v>0.95522388059701402</v>
      </c>
      <c r="T18" s="14">
        <v>2</v>
      </c>
      <c r="U18" s="22">
        <v>0</v>
      </c>
      <c r="V18" s="23" t="s">
        <v>34</v>
      </c>
      <c r="W18" s="14">
        <v>0</v>
      </c>
      <c r="X18" s="24">
        <f t="shared" si="9"/>
        <v>0</v>
      </c>
      <c r="Y18" s="25">
        <f t="shared" si="10"/>
        <v>0</v>
      </c>
      <c r="Z18" s="14">
        <v>0</v>
      </c>
      <c r="AA18" s="14" t="s">
        <v>35</v>
      </c>
      <c r="AB18" s="27">
        <f t="shared" si="11"/>
        <v>-0.69</v>
      </c>
      <c r="AC18" s="28">
        <v>0.2760839722222222</v>
      </c>
      <c r="AD18" s="25">
        <f t="shared" si="12"/>
        <v>-0.38099588166666659</v>
      </c>
      <c r="AE18" s="25">
        <v>-8.4600000000000009</v>
      </c>
      <c r="AF18" s="25">
        <v>-26.58</v>
      </c>
      <c r="AG18" s="25">
        <v>0</v>
      </c>
    </row>
    <row r="19" spans="1:33" ht="15.75" customHeight="1">
      <c r="A19" s="14" t="s">
        <v>44</v>
      </c>
      <c r="B19" s="14" t="s">
        <v>278</v>
      </c>
      <c r="C19" s="15">
        <f t="shared" si="4"/>
        <v>52.385000000000012</v>
      </c>
      <c r="D19" s="16">
        <v>22</v>
      </c>
      <c r="E19" s="16">
        <v>0</v>
      </c>
      <c r="F19" s="17">
        <v>1152.4700000000003</v>
      </c>
      <c r="G19" s="29">
        <v>0</v>
      </c>
      <c r="H19" s="18">
        <f t="shared" si="1"/>
        <v>0</v>
      </c>
      <c r="I19" s="18">
        <f t="shared" si="2"/>
        <v>0.1502577859756293</v>
      </c>
      <c r="J19" s="17">
        <f t="shared" si="5"/>
        <v>173.16759060333354</v>
      </c>
      <c r="K19" s="17">
        <f t="shared" si="3"/>
        <v>7.8712541183333427</v>
      </c>
      <c r="L19" s="16">
        <v>51</v>
      </c>
      <c r="M19" s="19">
        <f t="shared" si="6"/>
        <v>0.43137254901960786</v>
      </c>
      <c r="N19" s="16">
        <v>128</v>
      </c>
      <c r="O19" s="20">
        <f t="shared" ref="O19:P19" si="27">D19/7</f>
        <v>3.1428571428571428</v>
      </c>
      <c r="P19" s="20">
        <f t="shared" si="27"/>
        <v>0</v>
      </c>
      <c r="Q19" s="16">
        <f t="shared" si="8"/>
        <v>40</v>
      </c>
      <c r="R19" s="16"/>
      <c r="S19" s="21">
        <v>1.4074074074073999</v>
      </c>
      <c r="T19" s="14">
        <v>2</v>
      </c>
      <c r="U19" s="22" t="s">
        <v>34</v>
      </c>
      <c r="V19" s="23" t="s">
        <v>34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14" t="s">
        <v>35</v>
      </c>
      <c r="AB19" s="27">
        <f t="shared" si="11"/>
        <v>-0.69</v>
      </c>
      <c r="AC19" s="28">
        <v>0.2760839722222222</v>
      </c>
      <c r="AD19" s="25">
        <f t="shared" si="12"/>
        <v>-8.3819093966666642</v>
      </c>
      <c r="AE19" s="25">
        <v>-8.4600000000000009</v>
      </c>
      <c r="AF19" s="25">
        <v>-27.814999999999998</v>
      </c>
      <c r="AG19" s="25">
        <v>0</v>
      </c>
    </row>
    <row r="20" spans="1:33" ht="15.75" customHeight="1">
      <c r="A20" s="14" t="s">
        <v>46</v>
      </c>
      <c r="B20" s="14" t="s">
        <v>1787</v>
      </c>
      <c r="C20" s="15">
        <f t="shared" si="4"/>
        <v>60.400312499999998</v>
      </c>
      <c r="D20" s="16">
        <v>32</v>
      </c>
      <c r="E20" s="16">
        <v>0</v>
      </c>
      <c r="F20" s="17">
        <v>1932.81</v>
      </c>
      <c r="G20" s="29">
        <v>0</v>
      </c>
      <c r="H20" s="18">
        <f t="shared" si="1"/>
        <v>0</v>
      </c>
      <c r="I20" s="18">
        <f t="shared" si="2"/>
        <v>0.24311579088822322</v>
      </c>
      <c r="J20" s="17">
        <f t="shared" si="5"/>
        <v>469.89663178666672</v>
      </c>
      <c r="K20" s="17">
        <f t="shared" si="3"/>
        <v>14.684269743333335</v>
      </c>
      <c r="L20" s="16">
        <v>65</v>
      </c>
      <c r="M20" s="19">
        <f t="shared" si="6"/>
        <v>0.49230769230769234</v>
      </c>
      <c r="N20" s="16">
        <v>100</v>
      </c>
      <c r="O20" s="20">
        <f t="shared" ref="O20:P20" si="28">D20/7</f>
        <v>4.5714285714285712</v>
      </c>
      <c r="P20" s="20">
        <f t="shared" si="28"/>
        <v>0</v>
      </c>
      <c r="Q20" s="16">
        <f t="shared" si="8"/>
        <v>21</v>
      </c>
      <c r="R20" s="16"/>
      <c r="S20" s="21">
        <v>2.3703703703703698</v>
      </c>
      <c r="T20" s="14">
        <v>2</v>
      </c>
      <c r="U20" s="22" t="s">
        <v>34</v>
      </c>
      <c r="V20" s="23" t="s">
        <v>34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14" t="s">
        <v>35</v>
      </c>
      <c r="AB20" s="27">
        <f t="shared" si="11"/>
        <v>-0.69</v>
      </c>
      <c r="AC20" s="28">
        <v>0.2760839722222222</v>
      </c>
      <c r="AD20" s="25">
        <f t="shared" si="12"/>
        <v>-12.191868213333331</v>
      </c>
      <c r="AE20" s="25">
        <v>-8.4600000000000009</v>
      </c>
      <c r="AF20" s="25">
        <v>-27.814999999999998</v>
      </c>
      <c r="AG20" s="25">
        <v>0</v>
      </c>
    </row>
    <row r="21" spans="1:33" ht="15.75" customHeight="1">
      <c r="A21" s="14" t="s">
        <v>47</v>
      </c>
      <c r="B21" s="14" t="s">
        <v>490</v>
      </c>
      <c r="C21" s="15">
        <f t="shared" si="4"/>
        <v>70.146000000000001</v>
      </c>
      <c r="D21" s="16">
        <v>5</v>
      </c>
      <c r="E21" s="16">
        <v>0</v>
      </c>
      <c r="F21" s="17">
        <v>350.73</v>
      </c>
      <c r="G21" s="29">
        <v>-0.02</v>
      </c>
      <c r="H21" s="18">
        <f t="shared" si="1"/>
        <v>5.7023921535083966E-5</v>
      </c>
      <c r="I21" s="18">
        <f t="shared" si="2"/>
        <v>0.32737581784183467</v>
      </c>
      <c r="J21" s="17">
        <f t="shared" si="5"/>
        <v>114.82052059166668</v>
      </c>
      <c r="K21" s="17">
        <f t="shared" si="3"/>
        <v>22.964104118333335</v>
      </c>
      <c r="L21" s="16">
        <v>24</v>
      </c>
      <c r="M21" s="19">
        <f t="shared" si="6"/>
        <v>0.20833333333333334</v>
      </c>
      <c r="N21" s="16">
        <v>84</v>
      </c>
      <c r="O21" s="20">
        <f t="shared" ref="O21:P21" si="29">D21/7</f>
        <v>0.7142857142857143</v>
      </c>
      <c r="P21" s="20">
        <f t="shared" si="29"/>
        <v>0</v>
      </c>
      <c r="Q21" s="16">
        <f t="shared" si="8"/>
        <v>117</v>
      </c>
      <c r="R21" s="16"/>
      <c r="S21" s="21">
        <v>2.8187919463087199</v>
      </c>
      <c r="T21" s="14">
        <v>2</v>
      </c>
      <c r="U21" s="22" t="s">
        <v>34</v>
      </c>
      <c r="V21" s="23" t="s">
        <v>34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14" t="s">
        <v>35</v>
      </c>
      <c r="AB21" s="27">
        <f t="shared" si="11"/>
        <v>-0.69</v>
      </c>
      <c r="AC21" s="28">
        <v>0.2760839722222222</v>
      </c>
      <c r="AD21" s="25">
        <f t="shared" si="12"/>
        <v>-1.9049794083333329</v>
      </c>
      <c r="AE21" s="25">
        <v>-8.4600000000000009</v>
      </c>
      <c r="AF21" s="25">
        <v>-27.814999999999998</v>
      </c>
      <c r="AG21" s="25">
        <v>0</v>
      </c>
    </row>
    <row r="22" spans="1:33" ht="15.75" customHeight="1">
      <c r="A22" s="14" t="s">
        <v>48</v>
      </c>
      <c r="B22" s="14" t="s">
        <v>1002</v>
      </c>
      <c r="C22" s="15">
        <f t="shared" si="4"/>
        <v>72.226666666666674</v>
      </c>
      <c r="D22" s="16">
        <v>3</v>
      </c>
      <c r="E22" s="16">
        <v>0</v>
      </c>
      <c r="F22" s="29">
        <v>216.68</v>
      </c>
      <c r="G22" s="29">
        <v>0</v>
      </c>
      <c r="H22" s="18">
        <f t="shared" si="1"/>
        <v>0</v>
      </c>
      <c r="I22" s="18">
        <f t="shared" si="2"/>
        <v>0.34248667322780135</v>
      </c>
      <c r="J22" s="17">
        <f t="shared" si="5"/>
        <v>74.210012355000003</v>
      </c>
      <c r="K22" s="17">
        <f t="shared" si="3"/>
        <v>24.736670785000001</v>
      </c>
      <c r="L22" s="16">
        <v>30</v>
      </c>
      <c r="M22" s="19">
        <f t="shared" si="6"/>
        <v>0.1</v>
      </c>
      <c r="N22" s="16">
        <v>80</v>
      </c>
      <c r="O22" s="20">
        <f t="shared" ref="O22:P22" si="30">D22/7</f>
        <v>0.42857142857142855</v>
      </c>
      <c r="P22" s="20">
        <f t="shared" si="30"/>
        <v>0</v>
      </c>
      <c r="Q22" s="16">
        <f t="shared" si="8"/>
        <v>186</v>
      </c>
      <c r="R22" s="16"/>
      <c r="S22" s="21">
        <v>1.4197952218430001</v>
      </c>
      <c r="T22" s="14">
        <v>2</v>
      </c>
      <c r="U22" s="22" t="s">
        <v>34</v>
      </c>
      <c r="V22" s="23" t="s">
        <v>34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35</v>
      </c>
      <c r="AB22" s="27">
        <f t="shared" si="11"/>
        <v>-0.69</v>
      </c>
      <c r="AC22" s="28">
        <v>0.2760839722222222</v>
      </c>
      <c r="AD22" s="25">
        <f t="shared" si="12"/>
        <v>-1.1429876449999998</v>
      </c>
      <c r="AE22" s="25">
        <v>-8.4600000000000009</v>
      </c>
      <c r="AF22" s="25">
        <v>-27.814999999999998</v>
      </c>
      <c r="AG22" s="25">
        <v>0</v>
      </c>
    </row>
    <row r="23" spans="1:33" ht="15.75" customHeight="1">
      <c r="A23" s="14" t="s">
        <v>49</v>
      </c>
      <c r="B23" s="14" t="s">
        <v>1788</v>
      </c>
      <c r="C23" s="15">
        <f t="shared" si="4"/>
        <v>71.727777777777774</v>
      </c>
      <c r="D23" s="16">
        <v>9</v>
      </c>
      <c r="E23" s="16">
        <v>0</v>
      </c>
      <c r="F23" s="17">
        <v>645.54999999999995</v>
      </c>
      <c r="G23" s="29">
        <v>0</v>
      </c>
      <c r="H23" s="18">
        <f t="shared" si="1"/>
        <v>0</v>
      </c>
      <c r="I23" s="18">
        <f t="shared" si="2"/>
        <v>0.33895676100224614</v>
      </c>
      <c r="J23" s="17">
        <f t="shared" si="5"/>
        <v>218.81353706499999</v>
      </c>
      <c r="K23" s="17">
        <f t="shared" si="3"/>
        <v>24.312615229444443</v>
      </c>
      <c r="L23" s="16">
        <v>32</v>
      </c>
      <c r="M23" s="19">
        <f t="shared" si="6"/>
        <v>0.28125</v>
      </c>
      <c r="N23" s="16">
        <v>81</v>
      </c>
      <c r="O23" s="20">
        <f t="shared" ref="O23:P23" si="31">D23/7</f>
        <v>1.2857142857142858</v>
      </c>
      <c r="P23" s="20">
        <f t="shared" si="31"/>
        <v>0</v>
      </c>
      <c r="Q23" s="16">
        <f t="shared" si="8"/>
        <v>63</v>
      </c>
      <c r="R23" s="16"/>
      <c r="S23" s="21">
        <v>1.4328358208955201</v>
      </c>
      <c r="T23" s="14">
        <v>2</v>
      </c>
      <c r="U23" s="22" t="s">
        <v>34</v>
      </c>
      <c r="V23" s="23" t="s">
        <v>34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35</v>
      </c>
      <c r="AB23" s="27">
        <f t="shared" si="11"/>
        <v>-0.69</v>
      </c>
      <c r="AC23" s="28">
        <v>0.2760839722222222</v>
      </c>
      <c r="AD23" s="25">
        <f t="shared" si="12"/>
        <v>-3.4289629349999995</v>
      </c>
      <c r="AE23" s="25">
        <v>-8.4600000000000009</v>
      </c>
      <c r="AF23" s="25">
        <v>-27.814999999999998</v>
      </c>
      <c r="AG23" s="25">
        <v>0</v>
      </c>
    </row>
    <row r="24" spans="1:33" ht="15.75" customHeight="1">
      <c r="A24" s="14" t="s">
        <v>50</v>
      </c>
      <c r="B24" s="14" t="s">
        <v>1789</v>
      </c>
      <c r="C24" s="15">
        <f t="shared" si="4"/>
        <v>69.356666666666669</v>
      </c>
      <c r="D24" s="16">
        <v>3</v>
      </c>
      <c r="E24" s="16">
        <v>0</v>
      </c>
      <c r="F24" s="17">
        <v>208.07</v>
      </c>
      <c r="G24" s="17">
        <v>0</v>
      </c>
      <c r="H24" s="18">
        <f t="shared" si="1"/>
        <v>0</v>
      </c>
      <c r="I24" s="18">
        <f t="shared" si="2"/>
        <v>0.32148561712404483</v>
      </c>
      <c r="J24" s="17">
        <f t="shared" si="5"/>
        <v>66.891512355000003</v>
      </c>
      <c r="K24" s="17">
        <f t="shared" si="3"/>
        <v>22.297170785000002</v>
      </c>
      <c r="L24" s="16">
        <v>32</v>
      </c>
      <c r="M24" s="19">
        <f t="shared" si="6"/>
        <v>9.375E-2</v>
      </c>
      <c r="N24" s="16">
        <v>77</v>
      </c>
      <c r="O24" s="20">
        <f t="shared" ref="O24:P24" si="32">D24/7</f>
        <v>0.42857142857142855</v>
      </c>
      <c r="P24" s="20">
        <f t="shared" si="32"/>
        <v>0</v>
      </c>
      <c r="Q24" s="16">
        <f t="shared" si="8"/>
        <v>179</v>
      </c>
      <c r="R24" s="16"/>
      <c r="S24" s="21">
        <v>1.6936936936936899</v>
      </c>
      <c r="T24" s="14">
        <v>2</v>
      </c>
      <c r="U24" s="22" t="s">
        <v>34</v>
      </c>
      <c r="V24" s="23" t="s">
        <v>34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14" t="s">
        <v>35</v>
      </c>
      <c r="AB24" s="27">
        <f t="shared" si="11"/>
        <v>-0.69</v>
      </c>
      <c r="AC24" s="28">
        <v>0.2760839722222222</v>
      </c>
      <c r="AD24" s="25">
        <f t="shared" si="12"/>
        <v>-1.1429876449999998</v>
      </c>
      <c r="AE24" s="25">
        <v>-8.4600000000000009</v>
      </c>
      <c r="AF24" s="25">
        <v>-27.814999999999998</v>
      </c>
      <c r="AG24" s="25">
        <v>0</v>
      </c>
    </row>
    <row r="25" spans="1:33" ht="15.75" customHeight="1">
      <c r="A25" s="14" t="s">
        <v>51</v>
      </c>
      <c r="B25" s="14"/>
      <c r="C25" s="15">
        <f t="shared" si="4"/>
        <v>54.466774193548389</v>
      </c>
      <c r="D25" s="16">
        <v>31</v>
      </c>
      <c r="E25" s="16">
        <v>0</v>
      </c>
      <c r="F25" s="17">
        <v>1688.47</v>
      </c>
      <c r="G25" s="17">
        <v>0</v>
      </c>
      <c r="H25" s="18">
        <f t="shared" si="1"/>
        <v>0</v>
      </c>
      <c r="I25" s="18">
        <f t="shared" si="2"/>
        <v>0.17691082913426551</v>
      </c>
      <c r="J25" s="17">
        <f t="shared" si="5"/>
        <v>298.70862766833329</v>
      </c>
      <c r="K25" s="17">
        <f t="shared" si="3"/>
        <v>9.6357621828494615</v>
      </c>
      <c r="L25" s="16">
        <v>75</v>
      </c>
      <c r="M25" s="19">
        <f t="shared" si="6"/>
        <v>0.41333333333333333</v>
      </c>
      <c r="N25" s="16">
        <v>45</v>
      </c>
      <c r="O25" s="20">
        <f t="shared" ref="O25:P25" si="33">D25/7</f>
        <v>4.4285714285714288</v>
      </c>
      <c r="P25" s="20">
        <f t="shared" si="33"/>
        <v>0</v>
      </c>
      <c r="Q25" s="16">
        <f t="shared" si="8"/>
        <v>10</v>
      </c>
      <c r="R25" s="16"/>
      <c r="S25" s="21">
        <v>2.7654320987654319</v>
      </c>
      <c r="T25" s="14">
        <v>102</v>
      </c>
      <c r="U25" s="22" t="s">
        <v>34</v>
      </c>
      <c r="V25" s="23" t="s">
        <v>34</v>
      </c>
      <c r="W25" s="30">
        <v>0</v>
      </c>
      <c r="X25" s="24">
        <f t="shared" si="9"/>
        <v>0</v>
      </c>
      <c r="Y25" s="25">
        <f t="shared" si="10"/>
        <v>0</v>
      </c>
      <c r="Z25" s="30">
        <v>0</v>
      </c>
      <c r="AA25" s="14" t="s">
        <v>35</v>
      </c>
      <c r="AB25" s="27">
        <f t="shared" si="11"/>
        <v>-0.69</v>
      </c>
      <c r="AC25" s="28">
        <v>0.2760839722222222</v>
      </c>
      <c r="AD25" s="25">
        <f t="shared" si="12"/>
        <v>-11.810872331666664</v>
      </c>
      <c r="AE25" s="25">
        <v>-8.4600000000000009</v>
      </c>
      <c r="AF25" s="25">
        <v>-27.82</v>
      </c>
      <c r="AG25" s="25">
        <v>0</v>
      </c>
    </row>
    <row r="26" spans="1:33" ht="15.75" customHeight="1">
      <c r="A26" s="14" t="s">
        <v>52</v>
      </c>
      <c r="B26" s="14" t="s">
        <v>45</v>
      </c>
      <c r="C26" s="15">
        <f t="shared" si="4"/>
        <v>53.897317073170733</v>
      </c>
      <c r="D26" s="16">
        <v>41</v>
      </c>
      <c r="E26" s="16">
        <v>0</v>
      </c>
      <c r="F26" s="17">
        <v>2209.79</v>
      </c>
      <c r="G26" s="17">
        <v>0</v>
      </c>
      <c r="H26" s="18">
        <f t="shared" si="1"/>
        <v>0</v>
      </c>
      <c r="I26" s="18">
        <f t="shared" si="2"/>
        <v>0.18250859531976832</v>
      </c>
      <c r="J26" s="17">
        <f t="shared" si="5"/>
        <v>403.30566885167082</v>
      </c>
      <c r="K26" s="17">
        <f t="shared" si="3"/>
        <v>9.8367236305285566</v>
      </c>
      <c r="L26" s="16">
        <v>76</v>
      </c>
      <c r="M26" s="19">
        <f t="shared" si="6"/>
        <v>0.53947368421052633</v>
      </c>
      <c r="N26" s="16">
        <v>18</v>
      </c>
      <c r="O26" s="20">
        <f t="shared" ref="O26:P26" si="34">D26/7</f>
        <v>5.8571428571428568</v>
      </c>
      <c r="P26" s="20">
        <f t="shared" si="34"/>
        <v>0</v>
      </c>
      <c r="Q26" s="16">
        <f t="shared" si="8"/>
        <v>3</v>
      </c>
      <c r="R26" s="16"/>
      <c r="S26" s="21">
        <v>2.0729927007299271</v>
      </c>
      <c r="T26" s="14">
        <v>102</v>
      </c>
      <c r="U26" s="22" t="s">
        <v>34</v>
      </c>
      <c r="V26" s="23" t="s">
        <v>34</v>
      </c>
      <c r="W26" s="30">
        <v>0</v>
      </c>
      <c r="X26" s="24">
        <f t="shared" si="9"/>
        <v>0</v>
      </c>
      <c r="Y26" s="25">
        <f t="shared" si="10"/>
        <v>0</v>
      </c>
      <c r="Z26" s="30">
        <v>0</v>
      </c>
      <c r="AA26" s="14" t="s">
        <v>35</v>
      </c>
      <c r="AB26" s="27">
        <f t="shared" si="11"/>
        <v>-0.69</v>
      </c>
      <c r="AC26" s="28">
        <v>0.2760839722222222</v>
      </c>
      <c r="AD26" s="25">
        <f t="shared" si="12"/>
        <v>-15.62083114833333</v>
      </c>
      <c r="AE26" s="25">
        <v>-7.78</v>
      </c>
      <c r="AF26" s="25">
        <v>-27.814999999999898</v>
      </c>
      <c r="AG26" s="25">
        <v>0</v>
      </c>
    </row>
    <row r="27" spans="1:33" ht="15.75" customHeight="1">
      <c r="A27" s="14" t="s">
        <v>53</v>
      </c>
      <c r="B27" s="14" t="s">
        <v>45</v>
      </c>
      <c r="C27" s="15">
        <f t="shared" si="4"/>
        <v>58.207500000000003</v>
      </c>
      <c r="D27" s="16">
        <v>8</v>
      </c>
      <c r="E27" s="16">
        <v>0</v>
      </c>
      <c r="F27" s="17">
        <v>465.66</v>
      </c>
      <c r="G27" s="17">
        <v>0</v>
      </c>
      <c r="H27" s="18">
        <f t="shared" si="1"/>
        <v>0</v>
      </c>
      <c r="I27" s="18">
        <f t="shared" si="2"/>
        <v>0.23032047619865717</v>
      </c>
      <c r="J27" s="17">
        <f t="shared" si="5"/>
        <v>107.2510329466667</v>
      </c>
      <c r="K27" s="17">
        <f t="shared" si="3"/>
        <v>13.406379118333337</v>
      </c>
      <c r="L27" s="16">
        <v>36</v>
      </c>
      <c r="M27" s="19">
        <f t="shared" si="6"/>
        <v>0.22222222222222221</v>
      </c>
      <c r="N27" s="16">
        <v>0</v>
      </c>
      <c r="O27" s="20">
        <f t="shared" ref="O27:P27" si="35">D27/7</f>
        <v>1.1428571428571428</v>
      </c>
      <c r="P27" s="20">
        <f t="shared" si="35"/>
        <v>0</v>
      </c>
      <c r="Q27" s="16">
        <f t="shared" si="8"/>
        <v>0</v>
      </c>
      <c r="R27" s="16"/>
      <c r="S27" s="21">
        <v>2.5179282868525901</v>
      </c>
      <c r="T27" s="14">
        <v>102</v>
      </c>
      <c r="U27" s="22" t="s">
        <v>34</v>
      </c>
      <c r="V27" s="23" t="s">
        <v>34</v>
      </c>
      <c r="W27" s="30">
        <v>0</v>
      </c>
      <c r="X27" s="24">
        <f t="shared" si="9"/>
        <v>0</v>
      </c>
      <c r="Y27" s="25">
        <f t="shared" si="10"/>
        <v>0</v>
      </c>
      <c r="Z27" s="30">
        <v>0</v>
      </c>
      <c r="AA27" s="14" t="s">
        <v>35</v>
      </c>
      <c r="AB27" s="27">
        <f t="shared" si="11"/>
        <v>-0.69</v>
      </c>
      <c r="AC27" s="28">
        <v>0.2760839722222222</v>
      </c>
      <c r="AD27" s="25">
        <f t="shared" si="12"/>
        <v>-3.0479670533333327</v>
      </c>
      <c r="AE27" s="25">
        <v>-7.78</v>
      </c>
      <c r="AF27" s="25">
        <v>-27.908999999999999</v>
      </c>
      <c r="AG27" s="25">
        <v>0</v>
      </c>
    </row>
    <row r="28" spans="1:33" ht="15.75" customHeight="1">
      <c r="A28" s="14" t="s">
        <v>54</v>
      </c>
      <c r="B28" s="14" t="s">
        <v>45</v>
      </c>
      <c r="C28" s="15">
        <f t="shared" si="4"/>
        <v>52.454999999999998</v>
      </c>
      <c r="D28" s="16">
        <v>2</v>
      </c>
      <c r="E28" s="16">
        <v>0</v>
      </c>
      <c r="F28" s="17">
        <v>104.91</v>
      </c>
      <c r="G28" s="17">
        <v>0</v>
      </c>
      <c r="H28" s="18">
        <f t="shared" si="1"/>
        <v>0</v>
      </c>
      <c r="I28" s="18">
        <f t="shared" si="2"/>
        <v>0.16236305630222719</v>
      </c>
      <c r="J28" s="17">
        <f t="shared" si="5"/>
        <v>17.033508236666655</v>
      </c>
      <c r="K28" s="17">
        <f t="shared" si="3"/>
        <v>8.5167541183333277</v>
      </c>
      <c r="L28" s="16">
        <v>10</v>
      </c>
      <c r="M28" s="19">
        <f t="shared" si="6"/>
        <v>0.2</v>
      </c>
      <c r="N28" s="16">
        <v>0</v>
      </c>
      <c r="O28" s="20">
        <f t="shared" ref="O28:P28" si="36">D28/7</f>
        <v>0.2857142857142857</v>
      </c>
      <c r="P28" s="20">
        <f t="shared" si="36"/>
        <v>0</v>
      </c>
      <c r="Q28" s="16">
        <f t="shared" si="8"/>
        <v>0</v>
      </c>
      <c r="R28" s="16"/>
      <c r="S28" s="21">
        <v>2.9124423963133639</v>
      </c>
      <c r="T28" s="14">
        <v>222</v>
      </c>
      <c r="U28" s="22" t="s">
        <v>34</v>
      </c>
      <c r="V28" s="23" t="s">
        <v>34</v>
      </c>
      <c r="W28" s="30">
        <v>0</v>
      </c>
      <c r="X28" s="24">
        <f t="shared" si="9"/>
        <v>0</v>
      </c>
      <c r="Y28" s="25">
        <f t="shared" si="10"/>
        <v>0</v>
      </c>
      <c r="Z28" s="30">
        <v>0</v>
      </c>
      <c r="AA28" s="14" t="s">
        <v>35</v>
      </c>
      <c r="AB28" s="27">
        <f t="shared" si="11"/>
        <v>-0.69</v>
      </c>
      <c r="AC28" s="28">
        <v>0.2760839722222222</v>
      </c>
      <c r="AD28" s="25">
        <f t="shared" si="12"/>
        <v>-0.76199176333333318</v>
      </c>
      <c r="AE28" s="25">
        <v>-7.78</v>
      </c>
      <c r="AF28" s="25">
        <v>-27.908999999999999</v>
      </c>
      <c r="AG28" s="25">
        <v>0</v>
      </c>
    </row>
    <row r="29" spans="1:33" ht="15.75" customHeight="1">
      <c r="A29" s="14" t="s">
        <v>55</v>
      </c>
      <c r="B29" s="14" t="s">
        <v>45</v>
      </c>
      <c r="C29" s="15">
        <f t="shared" si="4"/>
        <v>50.95</v>
      </c>
      <c r="D29" s="16">
        <v>1</v>
      </c>
      <c r="E29" s="16">
        <v>0</v>
      </c>
      <c r="F29" s="17">
        <v>50.95</v>
      </c>
      <c r="G29" s="17">
        <v>0</v>
      </c>
      <c r="H29" s="18">
        <f t="shared" si="1"/>
        <v>0</v>
      </c>
      <c r="I29" s="18">
        <f t="shared" si="2"/>
        <v>0.14205111125286238</v>
      </c>
      <c r="J29" s="17">
        <f t="shared" si="5"/>
        <v>7.2375041183333391</v>
      </c>
      <c r="K29" s="17">
        <f t="shared" si="3"/>
        <v>7.2375041183333391</v>
      </c>
      <c r="L29" s="16">
        <v>3</v>
      </c>
      <c r="M29" s="19">
        <f t="shared" si="6"/>
        <v>0.33333333333333331</v>
      </c>
      <c r="N29" s="16">
        <v>1</v>
      </c>
      <c r="O29" s="20">
        <f t="shared" ref="O29:P29" si="37">D29/7</f>
        <v>0.14285714285714285</v>
      </c>
      <c r="P29" s="20">
        <f t="shared" si="37"/>
        <v>0</v>
      </c>
      <c r="Q29" s="16">
        <f t="shared" si="8"/>
        <v>7</v>
      </c>
      <c r="R29" s="16"/>
      <c r="S29" s="21">
        <v>0</v>
      </c>
      <c r="T29" s="14">
        <v>222</v>
      </c>
      <c r="U29" s="22" t="s">
        <v>34</v>
      </c>
      <c r="V29" s="23" t="s">
        <v>34</v>
      </c>
      <c r="W29" s="30">
        <v>0</v>
      </c>
      <c r="X29" s="24">
        <f t="shared" si="9"/>
        <v>0</v>
      </c>
      <c r="Y29" s="25">
        <f t="shared" si="10"/>
        <v>0</v>
      </c>
      <c r="Z29" s="30">
        <v>0</v>
      </c>
      <c r="AA29" s="14" t="s">
        <v>35</v>
      </c>
      <c r="AB29" s="27">
        <f t="shared" si="11"/>
        <v>-0.69</v>
      </c>
      <c r="AC29" s="28">
        <v>0.2760839722222222</v>
      </c>
      <c r="AD29" s="25">
        <f t="shared" si="12"/>
        <v>-0.38099588166666659</v>
      </c>
      <c r="AE29" s="25">
        <v>-7.78</v>
      </c>
      <c r="AF29" s="25">
        <v>-27.908999999999999</v>
      </c>
      <c r="AG29" s="25">
        <v>0</v>
      </c>
    </row>
    <row r="30" spans="1:33" ht="15.75" customHeight="1">
      <c r="A30" s="14" t="s">
        <v>57</v>
      </c>
      <c r="B30" s="14" t="s">
        <v>45</v>
      </c>
      <c r="C30" s="15" t="str">
        <f t="shared" si="4"/>
        <v xml:space="preserve"> - </v>
      </c>
      <c r="D30" s="16">
        <v>0</v>
      </c>
      <c r="E30" s="16">
        <v>0</v>
      </c>
      <c r="F30" s="17">
        <v>0</v>
      </c>
      <c r="G30" s="17">
        <v>0</v>
      </c>
      <c r="H30" s="18" t="e">
        <f t="shared" si="1"/>
        <v>#DIV/0!</v>
      </c>
      <c r="I30" s="18" t="e">
        <f t="shared" si="2"/>
        <v>#DIV/0!</v>
      </c>
      <c r="J30" s="17">
        <f t="shared" si="5"/>
        <v>0</v>
      </c>
      <c r="K30" s="17" t="e">
        <f t="shared" si="3"/>
        <v>#DIV/0!</v>
      </c>
      <c r="L30" s="16">
        <v>0</v>
      </c>
      <c r="M30" s="19" t="str">
        <f t="shared" si="6"/>
        <v>-</v>
      </c>
      <c r="N30" s="16">
        <v>0</v>
      </c>
      <c r="O30" s="20">
        <f t="shared" ref="O30:P30" si="38">D30/7</f>
        <v>0</v>
      </c>
      <c r="P30" s="20">
        <f t="shared" si="38"/>
        <v>0</v>
      </c>
      <c r="Q30" s="16" t="e">
        <f t="shared" si="8"/>
        <v>#DIV/0!</v>
      </c>
      <c r="R30" s="16"/>
      <c r="S30" s="21">
        <v>0</v>
      </c>
      <c r="T30" s="14">
        <v>102</v>
      </c>
      <c r="U30" s="22" t="s">
        <v>34</v>
      </c>
      <c r="V30" s="23" t="s">
        <v>34</v>
      </c>
      <c r="W30" s="30">
        <v>0</v>
      </c>
      <c r="X30" s="24">
        <f t="shared" si="9"/>
        <v>0</v>
      </c>
      <c r="Y30" s="25">
        <f t="shared" si="10"/>
        <v>0</v>
      </c>
      <c r="Z30" s="30">
        <v>0</v>
      </c>
      <c r="AA30" s="14" t="s">
        <v>35</v>
      </c>
      <c r="AB30" s="27">
        <f t="shared" si="11"/>
        <v>-0.69</v>
      </c>
      <c r="AC30" s="28">
        <v>0.2760839722222222</v>
      </c>
      <c r="AD30" s="25">
        <f t="shared" si="12"/>
        <v>0</v>
      </c>
      <c r="AE30" s="25">
        <v>-7.78</v>
      </c>
      <c r="AF30" s="25">
        <v>-26.737677875999999</v>
      </c>
      <c r="AG30" s="25">
        <v>0</v>
      </c>
    </row>
    <row r="31" spans="1:33" ht="15.75" customHeight="1">
      <c r="A31" s="14" t="s">
        <v>58</v>
      </c>
      <c r="B31" s="14" t="s">
        <v>45</v>
      </c>
      <c r="C31" s="15" t="str">
        <f t="shared" si="4"/>
        <v xml:space="preserve"> - </v>
      </c>
      <c r="D31" s="16">
        <v>0</v>
      </c>
      <c r="E31" s="16">
        <v>0</v>
      </c>
      <c r="F31" s="17">
        <v>0</v>
      </c>
      <c r="G31" s="17">
        <v>0</v>
      </c>
      <c r="H31" s="18" t="e">
        <f t="shared" si="1"/>
        <v>#DIV/0!</v>
      </c>
      <c r="I31" s="18" t="e">
        <f t="shared" si="2"/>
        <v>#DIV/0!</v>
      </c>
      <c r="J31" s="17">
        <f t="shared" si="5"/>
        <v>0</v>
      </c>
      <c r="K31" s="17" t="e">
        <f t="shared" si="3"/>
        <v>#DIV/0!</v>
      </c>
      <c r="L31" s="16">
        <v>0</v>
      </c>
      <c r="M31" s="19" t="str">
        <f t="shared" si="6"/>
        <v>-</v>
      </c>
      <c r="N31" s="16">
        <v>0</v>
      </c>
      <c r="O31" s="20">
        <f t="shared" ref="O31:P31" si="39">D31/7</f>
        <v>0</v>
      </c>
      <c r="P31" s="20">
        <f t="shared" si="39"/>
        <v>0</v>
      </c>
      <c r="Q31" s="16" t="e">
        <f t="shared" si="8"/>
        <v>#DIV/0!</v>
      </c>
      <c r="R31" s="16"/>
      <c r="S31" s="21" t="e">
        <v>#N/A</v>
      </c>
      <c r="T31" s="14">
        <v>2</v>
      </c>
      <c r="U31" s="22" t="s">
        <v>34</v>
      </c>
      <c r="V31" s="23" t="s">
        <v>1790</v>
      </c>
      <c r="W31" s="30">
        <v>0</v>
      </c>
      <c r="X31" s="24">
        <f t="shared" si="9"/>
        <v>0</v>
      </c>
      <c r="Y31" s="25">
        <f t="shared" si="10"/>
        <v>0</v>
      </c>
      <c r="Z31" s="30">
        <v>0</v>
      </c>
      <c r="AA31" s="14" t="s">
        <v>35</v>
      </c>
      <c r="AB31" s="27">
        <f t="shared" si="11"/>
        <v>-0.69</v>
      </c>
      <c r="AC31" s="28">
        <v>0.2760839722222222</v>
      </c>
      <c r="AD31" s="25">
        <f t="shared" si="12"/>
        <v>0</v>
      </c>
      <c r="AE31" s="25">
        <v>-7.78</v>
      </c>
      <c r="AF31" s="25">
        <v>-26.737677875999999</v>
      </c>
      <c r="AG31" s="25">
        <v>0</v>
      </c>
    </row>
    <row r="32" spans="1:33" ht="15.75" customHeight="1">
      <c r="A32" s="14" t="s">
        <v>60</v>
      </c>
      <c r="B32" s="14"/>
      <c r="C32" s="15" t="str">
        <f t="shared" si="4"/>
        <v xml:space="preserve"> - </v>
      </c>
      <c r="D32" s="16">
        <v>0</v>
      </c>
      <c r="E32" s="16">
        <v>0</v>
      </c>
      <c r="F32" s="17">
        <v>0</v>
      </c>
      <c r="G32" s="17">
        <v>0</v>
      </c>
      <c r="H32" s="18" t="e">
        <f t="shared" si="1"/>
        <v>#DIV/0!</v>
      </c>
      <c r="I32" s="18" t="e">
        <f t="shared" si="2"/>
        <v>#DIV/0!</v>
      </c>
      <c r="J32" s="17">
        <f t="shared" si="5"/>
        <v>0</v>
      </c>
      <c r="K32" s="17" t="e">
        <f t="shared" si="3"/>
        <v>#DIV/0!</v>
      </c>
      <c r="L32" s="16">
        <v>0</v>
      </c>
      <c r="M32" s="19" t="str">
        <f t="shared" si="6"/>
        <v>-</v>
      </c>
      <c r="N32" s="16">
        <v>0</v>
      </c>
      <c r="O32" s="20">
        <f t="shared" ref="O32:P32" si="40">D32/7</f>
        <v>0</v>
      </c>
      <c r="P32" s="20">
        <f t="shared" si="40"/>
        <v>0</v>
      </c>
      <c r="Q32" s="16" t="e">
        <f t="shared" si="8"/>
        <v>#DIV/0!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0</v>
      </c>
      <c r="T32" s="14">
        <f ca="1">IFERROR(__xludf.DUMMYFUNCTION("IFERROR(VLOOKUP($B$2,IMPORTRANGE(""https://docs.google.com/spreadsheets/d/1KiWZV1ko8G7lnRucBRBd29jj3Be6ltMfljMDqzOkQmI/edit#gid=1381463014"",""Lookup!A:D""),4,FALSE),"""")"),2)</f>
        <v>2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23" t="str">
        <f ca="1">IFERROR(__xludf.DUMMYFUNCTION("IFERROR(VLOOKUP($B$2,IMPORTRANGE(""https://docs.google.com/spreadsheets/d/1KiWZV1ko8G7lnRucBRBd29jj3Be6ltMfljMDqzOkQmI/edit#gid=1381463014"",""Lookup!A:D""),2,FALSE),"""")"),"No Transit, But 2 At Factory 50-75 days from Earliest Arrival")</f>
        <v>No Transit, But 2 At Factory 50-75 days from Earliest Arrival</v>
      </c>
      <c r="W32" s="30">
        <v>0</v>
      </c>
      <c r="X32" s="24">
        <f t="shared" si="9"/>
        <v>0</v>
      </c>
      <c r="Y32" s="25">
        <f t="shared" si="10"/>
        <v>0</v>
      </c>
      <c r="Z32" s="30">
        <v>0</v>
      </c>
      <c r="AA32" s="14" t="s">
        <v>35</v>
      </c>
      <c r="AB32" s="27">
        <f t="shared" si="11"/>
        <v>-0.69</v>
      </c>
      <c r="AC32" s="28">
        <v>0.2760839722222222</v>
      </c>
      <c r="AD32" s="25">
        <f t="shared" si="12"/>
        <v>0</v>
      </c>
      <c r="AE32" s="25">
        <v>-7.78</v>
      </c>
      <c r="AF32" s="25">
        <v>-26.737677875999999</v>
      </c>
      <c r="AG32" s="25">
        <v>0</v>
      </c>
    </row>
    <row r="33" spans="1:33" ht="15.75" customHeight="1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16"/>
      <c r="S33" s="21"/>
      <c r="T33" s="31"/>
      <c r="U33" s="36"/>
      <c r="V33" s="1"/>
      <c r="W33" s="31"/>
      <c r="X33" s="31"/>
      <c r="Y33" s="31"/>
      <c r="Z33" s="31"/>
      <c r="AA33" s="2"/>
      <c r="AB33" s="31"/>
      <c r="AC33" s="31"/>
      <c r="AD33" s="31"/>
      <c r="AE33" s="37"/>
      <c r="AF33" s="37"/>
      <c r="AG33" s="37"/>
    </row>
    <row r="34" spans="1:33" ht="15.75" customHeight="1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6"/>
      <c r="V34" s="1"/>
      <c r="W34" s="31"/>
      <c r="X34" s="31"/>
      <c r="Y34" s="31"/>
      <c r="Z34" s="31"/>
      <c r="AA34" s="2"/>
      <c r="AB34" s="31"/>
      <c r="AC34" s="31"/>
      <c r="AD34" s="31"/>
      <c r="AE34" s="37"/>
      <c r="AF34" s="37"/>
      <c r="AG34" s="37"/>
    </row>
    <row r="35" spans="1:33" ht="15.75" customHeight="1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6"/>
      <c r="V35" s="1"/>
      <c r="W35" s="31"/>
      <c r="X35" s="31"/>
      <c r="Y35" s="31"/>
      <c r="Z35" s="31"/>
      <c r="AA35" s="2"/>
      <c r="AB35" s="31"/>
      <c r="AC35" s="31"/>
      <c r="AD35" s="31"/>
      <c r="AE35" s="37"/>
      <c r="AF35" s="37"/>
      <c r="AG35" s="37"/>
    </row>
    <row r="36" spans="1:33" ht="15.75" customHeight="1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6"/>
      <c r="V36" s="1"/>
      <c r="W36" s="31"/>
      <c r="X36" s="31"/>
      <c r="Y36" s="31"/>
      <c r="Z36" s="31"/>
      <c r="AA36" s="2"/>
      <c r="AB36" s="31"/>
      <c r="AC36" s="31"/>
      <c r="AD36" s="31"/>
      <c r="AE36" s="37"/>
      <c r="AF36" s="37"/>
      <c r="AG36" s="37"/>
    </row>
    <row r="37" spans="1:33" ht="15.75" customHeight="1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6"/>
      <c r="V37" s="1"/>
      <c r="W37" s="31"/>
      <c r="X37" s="31"/>
      <c r="Y37" s="31"/>
      <c r="Z37" s="31"/>
      <c r="AA37" s="2"/>
      <c r="AB37" s="31"/>
      <c r="AC37" s="31"/>
      <c r="AD37" s="31"/>
      <c r="AE37" s="37"/>
      <c r="AF37" s="37"/>
      <c r="AG37" s="37"/>
    </row>
    <row r="38" spans="1:33" ht="15.75" customHeight="1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6"/>
      <c r="V38" s="1"/>
      <c r="W38" s="31"/>
      <c r="X38" s="31"/>
      <c r="Y38" s="31"/>
      <c r="Z38" s="31"/>
      <c r="AA38" s="2"/>
      <c r="AB38" s="31"/>
      <c r="AC38" s="31"/>
      <c r="AD38" s="31"/>
      <c r="AE38" s="37"/>
      <c r="AF38" s="37"/>
      <c r="AG38" s="37"/>
    </row>
    <row r="39" spans="1:33" ht="15.75" customHeight="1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6"/>
      <c r="V39" s="1"/>
      <c r="W39" s="31"/>
      <c r="X39" s="31"/>
      <c r="Y39" s="31"/>
      <c r="Z39" s="31"/>
      <c r="AA39" s="2"/>
      <c r="AB39" s="31"/>
      <c r="AC39" s="31"/>
      <c r="AD39" s="31"/>
      <c r="AE39" s="37"/>
      <c r="AF39" s="37"/>
      <c r="AG39" s="37"/>
    </row>
    <row r="40" spans="1:33" ht="15.75" customHeight="1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6"/>
      <c r="V40" s="1"/>
      <c r="W40" s="31"/>
      <c r="X40" s="31"/>
      <c r="Y40" s="31"/>
      <c r="Z40" s="31"/>
      <c r="AA40" s="2"/>
      <c r="AB40" s="31"/>
      <c r="AC40" s="31"/>
      <c r="AD40" s="31"/>
      <c r="AE40" s="37"/>
      <c r="AF40" s="37"/>
      <c r="AG40" s="37"/>
    </row>
    <row r="41" spans="1:33" ht="15.75" customHeight="1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6"/>
      <c r="V41" s="1"/>
      <c r="W41" s="31"/>
      <c r="X41" s="31"/>
      <c r="Y41" s="31"/>
      <c r="Z41" s="31"/>
      <c r="AA41" s="2"/>
      <c r="AB41" s="31"/>
      <c r="AC41" s="31"/>
      <c r="AD41" s="31"/>
      <c r="AE41" s="37"/>
      <c r="AF41" s="37"/>
      <c r="AG41" s="37"/>
    </row>
    <row r="42" spans="1:33" ht="15.75" customHeight="1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6"/>
      <c r="V42" s="1"/>
      <c r="W42" s="31"/>
      <c r="X42" s="31"/>
      <c r="Y42" s="31"/>
      <c r="Z42" s="31"/>
      <c r="AA42" s="2"/>
      <c r="AB42" s="31"/>
      <c r="AC42" s="31"/>
      <c r="AD42" s="31"/>
      <c r="AE42" s="37"/>
      <c r="AF42" s="37"/>
      <c r="AG42" s="37"/>
    </row>
    <row r="43" spans="1:33" ht="15.75" customHeight="1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6"/>
      <c r="V43" s="1"/>
      <c r="W43" s="31"/>
      <c r="X43" s="31"/>
      <c r="Y43" s="31"/>
      <c r="Z43" s="31"/>
      <c r="AA43" s="2"/>
      <c r="AB43" s="31"/>
      <c r="AC43" s="31"/>
      <c r="AD43" s="31"/>
      <c r="AE43" s="37"/>
      <c r="AF43" s="37"/>
      <c r="AG43" s="37"/>
    </row>
    <row r="44" spans="1:33" ht="15.75" customHeight="1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6"/>
      <c r="V44" s="1"/>
      <c r="W44" s="31"/>
      <c r="X44" s="31"/>
      <c r="Y44" s="31"/>
      <c r="Z44" s="31"/>
      <c r="AA44" s="2"/>
      <c r="AB44" s="31"/>
      <c r="AC44" s="31"/>
      <c r="AD44" s="31"/>
      <c r="AE44" s="37"/>
      <c r="AF44" s="37"/>
      <c r="AG44" s="37"/>
    </row>
    <row r="45" spans="1:33" ht="15.75" customHeight="1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6"/>
      <c r="V45" s="1"/>
      <c r="W45" s="31"/>
      <c r="X45" s="31"/>
      <c r="Y45" s="31"/>
      <c r="Z45" s="31"/>
      <c r="AA45" s="2"/>
      <c r="AB45" s="31"/>
      <c r="AC45" s="31"/>
      <c r="AD45" s="31"/>
      <c r="AE45" s="37"/>
      <c r="AF45" s="37"/>
      <c r="AG45" s="37"/>
    </row>
    <row r="46" spans="1:33" ht="15.75" customHeight="1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6"/>
      <c r="V46" s="1"/>
      <c r="W46" s="31"/>
      <c r="X46" s="31"/>
      <c r="Y46" s="31"/>
      <c r="Z46" s="31"/>
      <c r="AA46" s="2"/>
      <c r="AB46" s="31"/>
      <c r="AC46" s="31"/>
      <c r="AD46" s="31"/>
      <c r="AE46" s="37"/>
      <c r="AF46" s="37"/>
      <c r="AG46" s="37"/>
    </row>
    <row r="47" spans="1:33" ht="15.75" customHeight="1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6"/>
      <c r="V47" s="1"/>
      <c r="W47" s="31"/>
      <c r="X47" s="31"/>
      <c r="Y47" s="31"/>
      <c r="Z47" s="31"/>
      <c r="AA47" s="2"/>
      <c r="AB47" s="31"/>
      <c r="AC47" s="31"/>
      <c r="AD47" s="31"/>
      <c r="AE47" s="37"/>
      <c r="AF47" s="37"/>
      <c r="AG47" s="37"/>
    </row>
    <row r="48" spans="1:33" ht="15.75" customHeight="1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6"/>
      <c r="V48" s="1"/>
      <c r="W48" s="31"/>
      <c r="X48" s="31"/>
      <c r="Y48" s="31"/>
      <c r="Z48" s="31"/>
      <c r="AA48" s="2"/>
      <c r="AB48" s="31"/>
      <c r="AC48" s="31"/>
      <c r="AD48" s="31"/>
      <c r="AE48" s="37"/>
      <c r="AF48" s="37"/>
      <c r="AG48" s="37"/>
    </row>
    <row r="49" spans="1:33" ht="15.75" customHeight="1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6"/>
      <c r="V49" s="1"/>
      <c r="W49" s="31"/>
      <c r="X49" s="31"/>
      <c r="Y49" s="31"/>
      <c r="Z49" s="31"/>
      <c r="AA49" s="2"/>
      <c r="AB49" s="31"/>
      <c r="AC49" s="31"/>
      <c r="AD49" s="31"/>
      <c r="AE49" s="37"/>
      <c r="AF49" s="37"/>
      <c r="AG49" s="37"/>
    </row>
    <row r="50" spans="1:33" ht="15.75" customHeight="1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6"/>
      <c r="V50" s="1"/>
      <c r="W50" s="31"/>
      <c r="X50" s="31"/>
      <c r="Y50" s="31"/>
      <c r="Z50" s="31"/>
      <c r="AA50" s="2"/>
      <c r="AB50" s="31"/>
      <c r="AC50" s="31"/>
      <c r="AD50" s="31"/>
      <c r="AE50" s="37"/>
      <c r="AF50" s="37"/>
      <c r="AG50" s="37"/>
    </row>
    <row r="51" spans="1:33" ht="15.75" customHeight="1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6"/>
      <c r="V51" s="1"/>
      <c r="W51" s="31"/>
      <c r="X51" s="31"/>
      <c r="Y51" s="31"/>
      <c r="Z51" s="31"/>
      <c r="AA51" s="2"/>
      <c r="AB51" s="31"/>
      <c r="AC51" s="31"/>
      <c r="AD51" s="31"/>
      <c r="AE51" s="37"/>
      <c r="AF51" s="37"/>
      <c r="AG51" s="37"/>
    </row>
    <row r="52" spans="1:33" ht="15.75" customHeight="1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6"/>
      <c r="V52" s="1"/>
      <c r="W52" s="31"/>
      <c r="X52" s="31"/>
      <c r="Y52" s="31"/>
      <c r="Z52" s="31"/>
      <c r="AA52" s="2"/>
      <c r="AB52" s="31"/>
      <c r="AC52" s="31"/>
      <c r="AD52" s="31"/>
      <c r="AE52" s="37"/>
      <c r="AF52" s="37"/>
      <c r="AG52" s="37"/>
    </row>
    <row r="53" spans="1:33" ht="15.75" customHeight="1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6"/>
      <c r="V53" s="1"/>
      <c r="W53" s="31"/>
      <c r="X53" s="31"/>
      <c r="Y53" s="31"/>
      <c r="Z53" s="31"/>
      <c r="AA53" s="2"/>
      <c r="AB53" s="31"/>
      <c r="AC53" s="31"/>
      <c r="AD53" s="31"/>
      <c r="AE53" s="37"/>
      <c r="AF53" s="37"/>
      <c r="AG53" s="37"/>
    </row>
    <row r="54" spans="1:33" ht="15.75" customHeight="1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6"/>
      <c r="V54" s="1"/>
      <c r="W54" s="31"/>
      <c r="X54" s="31"/>
      <c r="Y54" s="31"/>
      <c r="Z54" s="31"/>
      <c r="AA54" s="2"/>
      <c r="AB54" s="31"/>
      <c r="AC54" s="31"/>
      <c r="AD54" s="31"/>
      <c r="AE54" s="37"/>
      <c r="AF54" s="37"/>
      <c r="AG54" s="37"/>
    </row>
    <row r="55" spans="1:33" ht="15.75" customHeight="1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6"/>
      <c r="V55" s="1"/>
      <c r="W55" s="31"/>
      <c r="X55" s="31"/>
      <c r="Y55" s="31"/>
      <c r="Z55" s="31"/>
      <c r="AA55" s="2"/>
      <c r="AB55" s="31"/>
      <c r="AC55" s="31"/>
      <c r="AD55" s="31"/>
      <c r="AE55" s="37"/>
      <c r="AF55" s="37"/>
      <c r="AG55" s="37"/>
    </row>
    <row r="56" spans="1:33" ht="15.75" customHeight="1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6"/>
      <c r="V56" s="1"/>
      <c r="W56" s="31"/>
      <c r="X56" s="31"/>
      <c r="Y56" s="31"/>
      <c r="Z56" s="31"/>
      <c r="AA56" s="2"/>
      <c r="AB56" s="31"/>
      <c r="AC56" s="31"/>
      <c r="AD56" s="31"/>
      <c r="AE56" s="37"/>
      <c r="AF56" s="37"/>
      <c r="AG56" s="37"/>
    </row>
    <row r="57" spans="1:33" ht="15.75" customHeight="1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6"/>
      <c r="V57" s="1"/>
      <c r="W57" s="31"/>
      <c r="X57" s="31"/>
      <c r="Y57" s="31"/>
      <c r="Z57" s="31"/>
      <c r="AA57" s="2"/>
      <c r="AB57" s="31"/>
      <c r="AC57" s="31"/>
      <c r="AD57" s="31"/>
      <c r="AE57" s="37"/>
      <c r="AF57" s="37"/>
      <c r="AG57" s="37"/>
    </row>
    <row r="58" spans="1:33" ht="15.75" customHeight="1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6"/>
      <c r="V58" s="1"/>
      <c r="W58" s="31"/>
      <c r="X58" s="31"/>
      <c r="Y58" s="31"/>
      <c r="Z58" s="31"/>
      <c r="AA58" s="2"/>
      <c r="AB58" s="31"/>
      <c r="AC58" s="31"/>
      <c r="AD58" s="31"/>
      <c r="AE58" s="37"/>
      <c r="AF58" s="37"/>
      <c r="AG58" s="37"/>
    </row>
    <row r="59" spans="1:33" ht="15.75" customHeight="1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6"/>
      <c r="V59" s="1"/>
      <c r="W59" s="31"/>
      <c r="X59" s="31"/>
      <c r="Y59" s="31"/>
      <c r="Z59" s="31"/>
      <c r="AA59" s="2"/>
      <c r="AB59" s="31"/>
      <c r="AC59" s="31"/>
      <c r="AD59" s="31"/>
      <c r="AE59" s="37"/>
      <c r="AF59" s="37"/>
      <c r="AG59" s="37"/>
    </row>
    <row r="60" spans="1:33" ht="15.75" customHeight="1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6"/>
      <c r="V60" s="1"/>
      <c r="W60" s="31"/>
      <c r="X60" s="31"/>
      <c r="Y60" s="31"/>
      <c r="Z60" s="31"/>
      <c r="AA60" s="2"/>
      <c r="AB60" s="31"/>
      <c r="AC60" s="31"/>
      <c r="AD60" s="31"/>
      <c r="AE60" s="37"/>
      <c r="AF60" s="37"/>
      <c r="AG60" s="37"/>
    </row>
    <row r="61" spans="1:33" ht="15.75" customHeight="1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6"/>
      <c r="V61" s="1"/>
      <c r="W61" s="31"/>
      <c r="X61" s="31"/>
      <c r="Y61" s="31"/>
      <c r="Z61" s="31"/>
      <c r="AA61" s="2"/>
      <c r="AB61" s="31"/>
      <c r="AC61" s="31"/>
      <c r="AD61" s="31"/>
      <c r="AE61" s="37"/>
      <c r="AF61" s="37"/>
      <c r="AG61" s="37"/>
    </row>
    <row r="62" spans="1:33" ht="15.75" customHeight="1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6"/>
      <c r="V62" s="1"/>
      <c r="W62" s="31"/>
      <c r="X62" s="31"/>
      <c r="Y62" s="31"/>
      <c r="Z62" s="31"/>
      <c r="AA62" s="2"/>
      <c r="AB62" s="31"/>
      <c r="AC62" s="31"/>
      <c r="AD62" s="31"/>
      <c r="AE62" s="37"/>
      <c r="AF62" s="37"/>
      <c r="AG62" s="37"/>
    </row>
    <row r="63" spans="1:33" ht="15.75" customHeight="1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6"/>
      <c r="V63" s="1"/>
      <c r="W63" s="31"/>
      <c r="X63" s="31"/>
      <c r="Y63" s="31"/>
      <c r="Z63" s="31"/>
      <c r="AA63" s="2"/>
      <c r="AB63" s="31"/>
      <c r="AC63" s="31"/>
      <c r="AD63" s="31"/>
      <c r="AE63" s="37"/>
      <c r="AF63" s="37"/>
      <c r="AG63" s="37"/>
    </row>
    <row r="64" spans="1:33" ht="15.75" customHeight="1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6"/>
      <c r="V64" s="1"/>
      <c r="W64" s="31"/>
      <c r="X64" s="31"/>
      <c r="Y64" s="31"/>
      <c r="Z64" s="31"/>
      <c r="AA64" s="2"/>
      <c r="AB64" s="31"/>
      <c r="AC64" s="31"/>
      <c r="AD64" s="31"/>
      <c r="AE64" s="37"/>
      <c r="AF64" s="37"/>
      <c r="AG64" s="37"/>
    </row>
    <row r="65" spans="1:33" ht="15.75" customHeight="1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6"/>
      <c r="V65" s="1"/>
      <c r="W65" s="31"/>
      <c r="X65" s="31"/>
      <c r="Y65" s="31"/>
      <c r="Z65" s="31"/>
      <c r="AA65" s="2"/>
      <c r="AB65" s="31"/>
      <c r="AC65" s="31"/>
      <c r="AD65" s="31"/>
      <c r="AE65" s="37"/>
      <c r="AF65" s="37"/>
      <c r="AG65" s="37"/>
    </row>
    <row r="66" spans="1:33" ht="15.75" customHeight="1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6"/>
      <c r="V66" s="1"/>
      <c r="W66" s="31"/>
      <c r="X66" s="31"/>
      <c r="Y66" s="31"/>
      <c r="Z66" s="31"/>
      <c r="AA66" s="2"/>
      <c r="AB66" s="31"/>
      <c r="AC66" s="31"/>
      <c r="AD66" s="31"/>
      <c r="AE66" s="37"/>
      <c r="AF66" s="37"/>
      <c r="AG66" s="37"/>
    </row>
    <row r="67" spans="1:33" ht="15.75" customHeight="1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6"/>
      <c r="V67" s="1"/>
      <c r="W67" s="31"/>
      <c r="X67" s="31"/>
      <c r="Y67" s="31"/>
      <c r="Z67" s="31"/>
      <c r="AA67" s="2"/>
      <c r="AB67" s="31"/>
      <c r="AC67" s="31"/>
      <c r="AD67" s="31"/>
      <c r="AE67" s="37"/>
      <c r="AF67" s="37"/>
      <c r="AG67" s="37"/>
    </row>
    <row r="68" spans="1:33" ht="15.75" customHeight="1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6"/>
      <c r="V68" s="1"/>
      <c r="W68" s="31"/>
      <c r="X68" s="31"/>
      <c r="Y68" s="31"/>
      <c r="Z68" s="31"/>
      <c r="AA68" s="2"/>
      <c r="AB68" s="31"/>
      <c r="AC68" s="31"/>
      <c r="AD68" s="31"/>
      <c r="AE68" s="37"/>
      <c r="AF68" s="37"/>
      <c r="AG68" s="37"/>
    </row>
    <row r="69" spans="1:33" ht="15.75" customHeight="1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6"/>
      <c r="V69" s="1"/>
      <c r="W69" s="31"/>
      <c r="X69" s="31"/>
      <c r="Y69" s="31"/>
      <c r="Z69" s="31"/>
      <c r="AA69" s="2"/>
      <c r="AB69" s="31"/>
      <c r="AC69" s="31"/>
      <c r="AD69" s="31"/>
      <c r="AE69" s="37"/>
      <c r="AF69" s="37"/>
      <c r="AG69" s="37"/>
    </row>
    <row r="70" spans="1:33" ht="15.75" customHeight="1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6"/>
      <c r="V70" s="1"/>
      <c r="W70" s="31"/>
      <c r="X70" s="31"/>
      <c r="Y70" s="31"/>
      <c r="Z70" s="31"/>
      <c r="AA70" s="2"/>
      <c r="AB70" s="31"/>
      <c r="AC70" s="31"/>
      <c r="AD70" s="31"/>
      <c r="AE70" s="37"/>
      <c r="AF70" s="37"/>
      <c r="AG70" s="37"/>
    </row>
    <row r="71" spans="1:33" ht="15.75" customHeight="1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6"/>
      <c r="V71" s="1"/>
      <c r="W71" s="31"/>
      <c r="X71" s="31"/>
      <c r="Y71" s="31"/>
      <c r="Z71" s="31"/>
      <c r="AA71" s="2"/>
      <c r="AB71" s="31"/>
      <c r="AC71" s="31"/>
      <c r="AD71" s="31"/>
      <c r="AE71" s="37"/>
      <c r="AF71" s="37"/>
      <c r="AG71" s="37"/>
    </row>
    <row r="72" spans="1:33" ht="15.75" customHeight="1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6"/>
      <c r="V72" s="1"/>
      <c r="W72" s="31"/>
      <c r="X72" s="31"/>
      <c r="Y72" s="31"/>
      <c r="Z72" s="31"/>
      <c r="AA72" s="2"/>
      <c r="AB72" s="31"/>
      <c r="AC72" s="31"/>
      <c r="AD72" s="31"/>
      <c r="AE72" s="37"/>
      <c r="AF72" s="37"/>
      <c r="AG72" s="37"/>
    </row>
    <row r="73" spans="1:33" ht="15.75" customHeight="1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6"/>
      <c r="V73" s="1"/>
      <c r="W73" s="31"/>
      <c r="X73" s="31"/>
      <c r="Y73" s="31"/>
      <c r="Z73" s="31"/>
      <c r="AA73" s="2"/>
      <c r="AB73" s="31"/>
      <c r="AC73" s="31"/>
      <c r="AD73" s="31"/>
      <c r="AE73" s="37"/>
      <c r="AF73" s="37"/>
      <c r="AG73" s="37"/>
    </row>
    <row r="74" spans="1:33" ht="15.75" customHeight="1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6"/>
      <c r="V74" s="1"/>
      <c r="W74" s="31"/>
      <c r="X74" s="31"/>
      <c r="Y74" s="31"/>
      <c r="Z74" s="31"/>
      <c r="AA74" s="2"/>
      <c r="AB74" s="31"/>
      <c r="AC74" s="31"/>
      <c r="AD74" s="31"/>
      <c r="AE74" s="37"/>
      <c r="AF74" s="37"/>
      <c r="AG74" s="37"/>
    </row>
    <row r="75" spans="1:33" ht="15.75" customHeight="1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6"/>
      <c r="V75" s="1"/>
      <c r="W75" s="31"/>
      <c r="X75" s="31"/>
      <c r="Y75" s="31"/>
      <c r="Z75" s="31"/>
      <c r="AA75" s="2"/>
      <c r="AB75" s="31"/>
      <c r="AC75" s="31"/>
      <c r="AD75" s="31"/>
      <c r="AE75" s="37"/>
      <c r="AF75" s="37"/>
      <c r="AG75" s="37"/>
    </row>
    <row r="76" spans="1:33" ht="15.75" customHeight="1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6"/>
      <c r="V76" s="1"/>
      <c r="W76" s="31"/>
      <c r="X76" s="31"/>
      <c r="Y76" s="31"/>
      <c r="Z76" s="31"/>
      <c r="AA76" s="2"/>
      <c r="AB76" s="31"/>
      <c r="AC76" s="31"/>
      <c r="AD76" s="31"/>
      <c r="AE76" s="37"/>
      <c r="AF76" s="37"/>
      <c r="AG76" s="37"/>
    </row>
    <row r="77" spans="1:33" ht="15.75" customHeight="1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6"/>
      <c r="V77" s="1"/>
      <c r="W77" s="31"/>
      <c r="X77" s="31"/>
      <c r="Y77" s="31"/>
      <c r="Z77" s="31"/>
      <c r="AA77" s="2"/>
      <c r="AB77" s="31"/>
      <c r="AC77" s="31"/>
      <c r="AD77" s="31"/>
      <c r="AE77" s="37"/>
      <c r="AF77" s="37"/>
      <c r="AG77" s="37"/>
    </row>
    <row r="78" spans="1:33" ht="15.75" customHeight="1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6"/>
      <c r="V78" s="1"/>
      <c r="W78" s="31"/>
      <c r="X78" s="31"/>
      <c r="Y78" s="31"/>
      <c r="Z78" s="31"/>
      <c r="AA78" s="2"/>
      <c r="AB78" s="31"/>
      <c r="AC78" s="31"/>
      <c r="AD78" s="31"/>
      <c r="AE78" s="37"/>
      <c r="AF78" s="37"/>
      <c r="AG78" s="37"/>
    </row>
    <row r="79" spans="1:33" ht="15.75" customHeight="1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6"/>
      <c r="V79" s="1"/>
      <c r="W79" s="31"/>
      <c r="X79" s="31"/>
      <c r="Y79" s="31"/>
      <c r="Z79" s="31"/>
      <c r="AA79" s="2"/>
      <c r="AB79" s="31"/>
      <c r="AC79" s="31"/>
      <c r="AD79" s="31"/>
      <c r="AE79" s="37"/>
      <c r="AF79" s="37"/>
      <c r="AG79" s="37"/>
    </row>
    <row r="80" spans="1:33" ht="15.75" customHeight="1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6"/>
      <c r="V80" s="1"/>
      <c r="W80" s="31"/>
      <c r="X80" s="31"/>
      <c r="Y80" s="31"/>
      <c r="Z80" s="31"/>
      <c r="AA80" s="2"/>
      <c r="AB80" s="31"/>
      <c r="AC80" s="31"/>
      <c r="AD80" s="31"/>
      <c r="AE80" s="37"/>
      <c r="AF80" s="37"/>
      <c r="AG80" s="37"/>
    </row>
    <row r="81" spans="1:33" ht="15.75" customHeight="1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6"/>
      <c r="V81" s="1"/>
      <c r="W81" s="31"/>
      <c r="X81" s="31"/>
      <c r="Y81" s="31"/>
      <c r="Z81" s="31"/>
      <c r="AA81" s="2"/>
      <c r="AB81" s="31"/>
      <c r="AC81" s="31"/>
      <c r="AD81" s="31"/>
      <c r="AE81" s="37"/>
      <c r="AF81" s="37"/>
      <c r="AG81" s="37"/>
    </row>
    <row r="82" spans="1:33" ht="15.75" customHeight="1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6"/>
      <c r="V82" s="1"/>
      <c r="W82" s="31"/>
      <c r="X82" s="31"/>
      <c r="Y82" s="31"/>
      <c r="Z82" s="31"/>
      <c r="AA82" s="2"/>
      <c r="AB82" s="31"/>
      <c r="AC82" s="31"/>
      <c r="AD82" s="31"/>
      <c r="AE82" s="37"/>
      <c r="AF82" s="37"/>
      <c r="AG82" s="37"/>
    </row>
    <row r="83" spans="1:33" ht="15.75" customHeight="1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6"/>
      <c r="V83" s="1"/>
      <c r="W83" s="31"/>
      <c r="X83" s="31"/>
      <c r="Y83" s="31"/>
      <c r="Z83" s="31"/>
      <c r="AA83" s="2"/>
      <c r="AB83" s="31"/>
      <c r="AC83" s="31"/>
      <c r="AD83" s="31"/>
      <c r="AE83" s="37"/>
      <c r="AF83" s="37"/>
      <c r="AG83" s="37"/>
    </row>
    <row r="84" spans="1:33" ht="15.75" customHeight="1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6"/>
      <c r="V84" s="1"/>
      <c r="W84" s="31"/>
      <c r="X84" s="31"/>
      <c r="Y84" s="31"/>
      <c r="Z84" s="31"/>
      <c r="AA84" s="2"/>
      <c r="AB84" s="31"/>
      <c r="AC84" s="31"/>
      <c r="AD84" s="31"/>
      <c r="AE84" s="37"/>
      <c r="AF84" s="37"/>
      <c r="AG84" s="37"/>
    </row>
    <row r="85" spans="1:33" ht="15.75" customHeight="1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6"/>
      <c r="V85" s="1"/>
      <c r="W85" s="31"/>
      <c r="X85" s="31"/>
      <c r="Y85" s="31"/>
      <c r="Z85" s="31"/>
      <c r="AA85" s="2"/>
      <c r="AB85" s="31"/>
      <c r="AC85" s="31"/>
      <c r="AD85" s="31"/>
      <c r="AE85" s="37"/>
      <c r="AF85" s="37"/>
      <c r="AG85" s="37"/>
    </row>
    <row r="86" spans="1:33" ht="15.75" customHeight="1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6"/>
      <c r="V86" s="1"/>
      <c r="W86" s="31"/>
      <c r="X86" s="31"/>
      <c r="Y86" s="31"/>
      <c r="Z86" s="31"/>
      <c r="AA86" s="2"/>
      <c r="AB86" s="31"/>
      <c r="AC86" s="31"/>
      <c r="AD86" s="31"/>
      <c r="AE86" s="37"/>
      <c r="AF86" s="37"/>
      <c r="AG86" s="37"/>
    </row>
    <row r="87" spans="1:33" ht="15.75" customHeight="1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6"/>
      <c r="V87" s="1"/>
      <c r="W87" s="31"/>
      <c r="X87" s="31"/>
      <c r="Y87" s="31"/>
      <c r="Z87" s="31"/>
      <c r="AA87" s="2"/>
      <c r="AB87" s="31"/>
      <c r="AC87" s="31"/>
      <c r="AD87" s="31"/>
      <c r="AE87" s="37"/>
      <c r="AF87" s="37"/>
      <c r="AG87" s="37"/>
    </row>
    <row r="88" spans="1:33" ht="15.75" customHeight="1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6"/>
      <c r="V88" s="1"/>
      <c r="W88" s="31"/>
      <c r="X88" s="31"/>
      <c r="Y88" s="31"/>
      <c r="Z88" s="31"/>
      <c r="AA88" s="2"/>
      <c r="AB88" s="31"/>
      <c r="AC88" s="31"/>
      <c r="AD88" s="31"/>
      <c r="AE88" s="37"/>
      <c r="AF88" s="37"/>
      <c r="AG88" s="37"/>
    </row>
    <row r="89" spans="1:33" ht="15.75" customHeight="1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6"/>
      <c r="V89" s="1"/>
      <c r="W89" s="31"/>
      <c r="X89" s="31"/>
      <c r="Y89" s="31"/>
      <c r="Z89" s="31"/>
      <c r="AA89" s="2"/>
      <c r="AB89" s="31"/>
      <c r="AC89" s="31"/>
      <c r="AD89" s="31"/>
      <c r="AE89" s="37"/>
      <c r="AF89" s="37"/>
      <c r="AG89" s="37"/>
    </row>
    <row r="90" spans="1:33" ht="15.75" customHeight="1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6"/>
      <c r="V90" s="1"/>
      <c r="W90" s="31"/>
      <c r="X90" s="31"/>
      <c r="Y90" s="31"/>
      <c r="Z90" s="31"/>
      <c r="AA90" s="2"/>
      <c r="AB90" s="31"/>
      <c r="AC90" s="31"/>
      <c r="AD90" s="31"/>
      <c r="AE90" s="37"/>
      <c r="AF90" s="37"/>
      <c r="AG90" s="37"/>
    </row>
    <row r="91" spans="1:33" ht="15.75" customHeight="1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6"/>
      <c r="V91" s="1"/>
      <c r="W91" s="31"/>
      <c r="X91" s="31"/>
      <c r="Y91" s="31"/>
      <c r="Z91" s="31"/>
      <c r="AA91" s="2"/>
      <c r="AB91" s="31"/>
      <c r="AC91" s="31"/>
      <c r="AD91" s="31"/>
      <c r="AE91" s="37"/>
      <c r="AF91" s="37"/>
      <c r="AG91" s="37"/>
    </row>
    <row r="92" spans="1:33" ht="15.75" customHeight="1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6"/>
      <c r="V92" s="1"/>
      <c r="W92" s="31"/>
      <c r="X92" s="31"/>
      <c r="Y92" s="31"/>
      <c r="Z92" s="31"/>
      <c r="AA92" s="2"/>
      <c r="AB92" s="31"/>
      <c r="AC92" s="31"/>
      <c r="AD92" s="31"/>
      <c r="AE92" s="37"/>
      <c r="AF92" s="37"/>
      <c r="AG92" s="37"/>
    </row>
    <row r="93" spans="1:33" ht="15.75" customHeight="1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6"/>
      <c r="V93" s="1"/>
      <c r="W93" s="31"/>
      <c r="X93" s="31"/>
      <c r="Y93" s="31"/>
      <c r="Z93" s="31"/>
      <c r="AA93" s="2"/>
      <c r="AB93" s="31"/>
      <c r="AC93" s="31"/>
      <c r="AD93" s="31"/>
      <c r="AE93" s="37"/>
      <c r="AF93" s="37"/>
      <c r="AG93" s="37"/>
    </row>
    <row r="94" spans="1:33" ht="15.75" customHeight="1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6"/>
      <c r="V94" s="1"/>
      <c r="W94" s="31"/>
      <c r="X94" s="31"/>
      <c r="Y94" s="31"/>
      <c r="Z94" s="31"/>
      <c r="AA94" s="2"/>
      <c r="AB94" s="31"/>
      <c r="AC94" s="31"/>
      <c r="AD94" s="31"/>
      <c r="AE94" s="37"/>
      <c r="AF94" s="37"/>
      <c r="AG94" s="37"/>
    </row>
    <row r="95" spans="1:33" ht="15.75" customHeight="1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6"/>
      <c r="V95" s="1"/>
      <c r="W95" s="31"/>
      <c r="X95" s="31"/>
      <c r="Y95" s="31"/>
      <c r="Z95" s="31"/>
      <c r="AA95" s="2"/>
      <c r="AB95" s="31"/>
      <c r="AC95" s="31"/>
      <c r="AD95" s="31"/>
      <c r="AE95" s="37"/>
      <c r="AF95" s="37"/>
      <c r="AG95" s="37"/>
    </row>
    <row r="96" spans="1:33" ht="15.75" customHeight="1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6"/>
      <c r="V96" s="1"/>
      <c r="W96" s="31"/>
      <c r="X96" s="31"/>
      <c r="Y96" s="31"/>
      <c r="Z96" s="31"/>
      <c r="AA96" s="2"/>
      <c r="AB96" s="31"/>
      <c r="AC96" s="31"/>
      <c r="AD96" s="31"/>
      <c r="AE96" s="37"/>
      <c r="AF96" s="37"/>
      <c r="AG96" s="37"/>
    </row>
    <row r="97" spans="1:33" ht="15.75" customHeight="1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8"/>
      <c r="R97" s="38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8"/>
      <c r="R98" s="38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8"/>
      <c r="R99" s="38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8"/>
      <c r="R100" s="38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8"/>
      <c r="R101" s="38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8"/>
      <c r="R102" s="38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8"/>
      <c r="R103" s="38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8"/>
      <c r="R104" s="38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8"/>
      <c r="R105" s="38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8"/>
      <c r="R106" s="38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8"/>
      <c r="R107" s="38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8"/>
      <c r="R108" s="38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8"/>
      <c r="R109" s="38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8"/>
      <c r="R110" s="38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8"/>
      <c r="R111" s="38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8"/>
      <c r="R112" s="38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8"/>
      <c r="R113" s="38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8"/>
      <c r="R114" s="38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>
      <c r="A115" s="31"/>
      <c r="B115" s="31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>
      <c r="A116" s="31"/>
      <c r="B116" s="31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>
      <c r="A117" s="31"/>
      <c r="B117" s="31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>
      <c r="A118" s="31"/>
      <c r="B118" s="31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>
      <c r="A119" s="31"/>
      <c r="B119" s="31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>
      <c r="A120" s="31"/>
      <c r="B120" s="31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>
      <c r="A121" s="31"/>
      <c r="B121" s="31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>
      <c r="A122" s="31"/>
      <c r="B122" s="31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>
      <c r="A123" s="31"/>
      <c r="B123" s="31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>
      <c r="A124" s="31"/>
      <c r="B124" s="31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>
      <c r="A125" s="31"/>
      <c r="B125" s="31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>
      <c r="A126" s="31"/>
      <c r="B126" s="31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>
      <c r="A127" s="31"/>
      <c r="B127" s="31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>
      <c r="A128" s="31"/>
      <c r="B128" s="31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>
      <c r="A129" s="31"/>
      <c r="B129" s="31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>
      <c r="A130" s="31"/>
      <c r="B130" s="31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>
      <c r="A131" s="31"/>
      <c r="B131" s="31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>
      <c r="A132" s="31"/>
      <c r="B132" s="31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>
      <c r="A133" s="31"/>
      <c r="B133" s="31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>
      <c r="A134" s="31"/>
      <c r="B134" s="31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>
      <c r="A135" s="31"/>
      <c r="B135" s="31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>
      <c r="A136" s="31"/>
      <c r="B136" s="31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>
      <c r="A137" s="31"/>
      <c r="B137" s="31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>
      <c r="A138" s="31"/>
      <c r="B138" s="31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>
      <c r="A139" s="31"/>
      <c r="B139" s="31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>
      <c r="A140" s="31"/>
      <c r="B140" s="31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>
      <c r="A141" s="31"/>
      <c r="B141" s="31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2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>
      <c r="A142" s="31"/>
      <c r="B142" s="31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2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>
      <c r="A143" s="31"/>
      <c r="B143" s="31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2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>
      <c r="A144" s="31"/>
      <c r="B144" s="31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2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>
      <c r="A145" s="31"/>
      <c r="B145" s="31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2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>
      <c r="A146" s="31"/>
      <c r="B146" s="31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2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>
      <c r="A147" s="31"/>
      <c r="B147" s="31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2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>
      <c r="A148" s="31"/>
      <c r="B148" s="31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2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</row>
    <row r="149" spans="1:33" ht="15.75" customHeight="1">
      <c r="A149" s="14"/>
      <c r="B149" s="14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>
      <c r="A150" s="14"/>
      <c r="B150" s="14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>
      <c r="A151" s="14"/>
      <c r="B151" s="14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>
      <c r="A152" s="14"/>
      <c r="B152" s="14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>
      <c r="A153" s="14"/>
      <c r="B153" s="14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>
      <c r="A154" s="14"/>
      <c r="B154" s="14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>
      <c r="A155" s="14"/>
      <c r="B155" s="14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>
      <c r="A156" s="14"/>
      <c r="B156" s="14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>
      <c r="A157" s="14"/>
      <c r="B157" s="14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>
      <c r="A158" s="14"/>
      <c r="B158" s="14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>
      <c r="A159" s="14"/>
      <c r="B159" s="14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>
      <c r="A160" s="14"/>
      <c r="B160" s="14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>
      <c r="A161" s="14"/>
      <c r="B161" s="14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>
      <c r="A162" s="14"/>
      <c r="B162" s="14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>
      <c r="A163" s="14"/>
      <c r="B163" s="14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>
      <c r="A164" s="14"/>
      <c r="B164" s="14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>
      <c r="A165" s="14"/>
      <c r="B165" s="14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>
      <c r="A166" s="14"/>
      <c r="B166" s="14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>
      <c r="A167" s="14"/>
      <c r="B167" s="14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>
      <c r="A168" s="14"/>
      <c r="B168" s="14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>
      <c r="A169" s="14"/>
      <c r="B169" s="14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>
      <c r="A170" s="14"/>
      <c r="B170" s="14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>
      <c r="A171" s="14"/>
      <c r="B171" s="14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>
      <c r="A172" s="14"/>
      <c r="B172" s="14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>
      <c r="A173" s="14"/>
      <c r="B173" s="14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>
      <c r="A174" s="14"/>
      <c r="B174" s="14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>
      <c r="A175" s="14"/>
      <c r="B175" s="14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>
      <c r="A176" s="14"/>
      <c r="B176" s="14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>
      <c r="A177" s="14"/>
      <c r="B177" s="14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>
      <c r="A178" s="14"/>
      <c r="B178" s="14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>
      <c r="A179" s="14"/>
      <c r="B179" s="14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>
      <c r="A180" s="14"/>
      <c r="B180" s="14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>
      <c r="A181" s="14"/>
      <c r="B181" s="14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>
      <c r="A182" s="14"/>
      <c r="B182" s="14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>
      <c r="A183" s="14"/>
      <c r="B183" s="14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>
      <c r="A184" s="14"/>
      <c r="B184" s="14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>
      <c r="A185" s="14"/>
      <c r="B185" s="14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>
      <c r="A186" s="14"/>
      <c r="B186" s="14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>
      <c r="A187" s="14"/>
      <c r="B187" s="14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>
      <c r="A188" s="14"/>
      <c r="B188" s="14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>
      <c r="A189" s="14"/>
      <c r="B189" s="14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>
      <c r="A190" s="14"/>
      <c r="B190" s="14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>
      <c r="A191" s="14"/>
      <c r="B191" s="14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>
      <c r="A192" s="14"/>
      <c r="B192" s="14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>
      <c r="A193" s="14"/>
      <c r="B193" s="14"/>
      <c r="C193" s="39"/>
      <c r="D193" s="39"/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>
      <c r="A194" s="14"/>
      <c r="B194" s="14"/>
      <c r="C194" s="39"/>
      <c r="D194" s="39"/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>
      <c r="A195" s="14"/>
      <c r="B195" s="14"/>
      <c r="C195" s="39"/>
      <c r="D195" s="39"/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>
      <c r="A196" s="14"/>
      <c r="B196" s="14"/>
      <c r="C196" s="39"/>
      <c r="D196" s="39"/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>
      <c r="A197" s="14"/>
      <c r="B197" s="14"/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>
      <c r="A198" s="14"/>
      <c r="B198" s="14"/>
      <c r="C198" s="39"/>
      <c r="D198" s="39"/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>
      <c r="A199" s="14"/>
      <c r="B199" s="14"/>
      <c r="C199" s="39"/>
      <c r="D199" s="39"/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>
      <c r="A200" s="14"/>
      <c r="B200" s="14"/>
      <c r="C200" s="39"/>
      <c r="D200" s="39"/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>
      <c r="A201" s="14"/>
      <c r="B201" s="14"/>
      <c r="C201" s="39"/>
      <c r="D201" s="39"/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>
      <c r="A202" s="14"/>
      <c r="B202" s="14"/>
      <c r="C202" s="39"/>
      <c r="D202" s="39"/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>
      <c r="A203" s="14"/>
      <c r="B203" s="14"/>
      <c r="C203" s="39"/>
      <c r="D203" s="39"/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>
      <c r="A204" s="14"/>
      <c r="B204" s="14"/>
      <c r="C204" s="39"/>
      <c r="D204" s="39"/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>
      <c r="A205" s="14"/>
      <c r="B205" s="14"/>
      <c r="C205" s="39"/>
      <c r="D205" s="39"/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>
      <c r="A206" s="14"/>
      <c r="B206" s="14"/>
      <c r="C206" s="39"/>
      <c r="D206" s="39"/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>
      <c r="A207" s="14"/>
      <c r="B207" s="14"/>
      <c r="C207" s="39"/>
      <c r="D207" s="39"/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>
      <c r="A208" s="14"/>
      <c r="B208" s="14"/>
      <c r="C208" s="39"/>
      <c r="D208" s="39"/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>
      <c r="A209" s="14"/>
      <c r="B209" s="14"/>
      <c r="C209" s="39"/>
      <c r="D209" s="39"/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>
      <c r="A210" s="14"/>
      <c r="B210" s="14"/>
      <c r="C210" s="39"/>
      <c r="D210" s="39"/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>
      <c r="A211" s="14"/>
      <c r="B211" s="14"/>
      <c r="C211" s="39"/>
      <c r="D211" s="39"/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>
      <c r="A212" s="14"/>
      <c r="B212" s="14"/>
      <c r="C212" s="39"/>
      <c r="D212" s="39"/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>
      <c r="A213" s="14"/>
      <c r="B213" s="14"/>
      <c r="C213" s="39"/>
      <c r="D213" s="39"/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>
      <c r="A214" s="14"/>
      <c r="B214" s="14"/>
      <c r="C214" s="39"/>
      <c r="D214" s="39"/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>
      <c r="A215" s="14"/>
      <c r="B215" s="14"/>
      <c r="C215" s="39"/>
      <c r="D215" s="39"/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>
      <c r="A216" s="14"/>
      <c r="B216" s="14"/>
      <c r="C216" s="39"/>
      <c r="D216" s="39"/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>
      <c r="A217" s="14"/>
      <c r="B217" s="14"/>
      <c r="C217" s="39"/>
      <c r="D217" s="39"/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>
      <c r="A218" s="14"/>
      <c r="B218" s="14"/>
      <c r="C218" s="39"/>
      <c r="D218" s="39"/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>
      <c r="A219" s="14"/>
      <c r="B219" s="14"/>
      <c r="C219" s="39"/>
      <c r="D219" s="39"/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>
      <c r="A220" s="14"/>
      <c r="B220" s="14"/>
      <c r="C220" s="39"/>
      <c r="D220" s="39"/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>
      <c r="R221" s="30"/>
      <c r="S221" s="40"/>
    </row>
    <row r="222" spans="1:33" ht="15.75" customHeight="1">
      <c r="R222" s="30"/>
      <c r="S222" s="40"/>
    </row>
    <row r="223" spans="1:33" ht="15.75" customHeight="1">
      <c r="R223" s="30"/>
      <c r="S223" s="40"/>
    </row>
    <row r="224" spans="1:33" ht="15.75" customHeight="1">
      <c r="R224" s="30"/>
      <c r="S224" s="40"/>
    </row>
    <row r="225" spans="18:18" ht="15.75" customHeight="1">
      <c r="R225" s="30"/>
    </row>
    <row r="226" spans="18:18" ht="15.75" customHeight="1">
      <c r="R226" s="30"/>
    </row>
    <row r="227" spans="18:18" ht="15.75" customHeight="1">
      <c r="R227" s="30"/>
    </row>
    <row r="228" spans="18:18" ht="15.75" customHeight="1">
      <c r="R228" s="30"/>
    </row>
    <row r="229" spans="18:18" ht="15.75" customHeight="1">
      <c r="R229" s="30"/>
    </row>
    <row r="230" spans="18:18" ht="15.75" customHeight="1">
      <c r="R230" s="30"/>
    </row>
    <row r="231" spans="18:18" ht="15.75" customHeight="1">
      <c r="R231" s="30"/>
    </row>
    <row r="232" spans="18:18" ht="15.75" customHeight="1">
      <c r="R232" s="30"/>
    </row>
    <row r="233" spans="18:18" ht="15.75" customHeight="1">
      <c r="R233" s="30"/>
    </row>
    <row r="234" spans="18:18" ht="15.75" customHeight="1">
      <c r="R234" s="30"/>
    </row>
    <row r="235" spans="18:18" ht="15.75" customHeight="1">
      <c r="R235" s="30"/>
    </row>
    <row r="236" spans="18:18" ht="15.75" customHeight="1">
      <c r="R236" s="30"/>
    </row>
    <row r="237" spans="18:18" ht="15.75" customHeight="1">
      <c r="R237" s="30"/>
    </row>
    <row r="238" spans="18:18" ht="15.75" customHeight="1">
      <c r="R238" s="30"/>
    </row>
    <row r="239" spans="18:18" ht="15.75" customHeight="1">
      <c r="R239" s="30"/>
    </row>
    <row r="240" spans="18:18" ht="15.75" customHeight="1">
      <c r="R240" s="30"/>
    </row>
    <row r="241" spans="18:18" ht="15.75" customHeight="1">
      <c r="R241" s="30"/>
    </row>
    <row r="242" spans="18:18" ht="15.75" customHeight="1">
      <c r="R242" s="30"/>
    </row>
    <row r="243" spans="18:18" ht="15.75" customHeight="1">
      <c r="R243" s="30"/>
    </row>
    <row r="244" spans="18:18" ht="15.75" customHeight="1">
      <c r="R244" s="30"/>
    </row>
    <row r="245" spans="18:18" ht="15.75" customHeight="1">
      <c r="R245" s="30"/>
    </row>
    <row r="246" spans="18:18" ht="15.75" customHeight="1">
      <c r="R246" s="30"/>
    </row>
    <row r="247" spans="18:18" ht="15.75" customHeight="1">
      <c r="R247" s="30"/>
    </row>
    <row r="248" spans="18:18" ht="15.75" customHeight="1">
      <c r="R248" s="30"/>
    </row>
    <row r="249" spans="18:18" ht="15.75" customHeight="1">
      <c r="R249" s="30"/>
    </row>
    <row r="250" spans="18:18" ht="15.75" customHeight="1">
      <c r="R250" s="30"/>
    </row>
    <row r="251" spans="18:18" ht="15.75" customHeight="1">
      <c r="R251" s="30"/>
    </row>
    <row r="252" spans="18:18" ht="15.75" customHeight="1">
      <c r="R252" s="30"/>
    </row>
    <row r="253" spans="18:18" ht="15.75" customHeight="1">
      <c r="R253" s="30"/>
    </row>
    <row r="254" spans="18:18" ht="15.75" customHeight="1">
      <c r="R254" s="30"/>
    </row>
    <row r="255" spans="18:18" ht="15.75" customHeight="1">
      <c r="R255" s="30"/>
    </row>
    <row r="256" spans="18:18" ht="15.75" customHeight="1">
      <c r="R256" s="30"/>
    </row>
    <row r="257" spans="18:18" ht="15.75" customHeight="1">
      <c r="R257" s="30"/>
    </row>
    <row r="258" spans="18:18" ht="15.75" customHeight="1">
      <c r="R258" s="30"/>
    </row>
    <row r="259" spans="18:18" ht="15.75" customHeight="1">
      <c r="R259" s="30"/>
    </row>
    <row r="260" spans="18:18" ht="15.75" customHeight="1">
      <c r="R260" s="30"/>
    </row>
    <row r="261" spans="18:18" ht="15.75" customHeight="1">
      <c r="R261" s="30"/>
    </row>
    <row r="262" spans="18:18" ht="15.75" customHeight="1">
      <c r="R262" s="30"/>
    </row>
    <row r="263" spans="18:18" ht="15.75" customHeight="1">
      <c r="R263" s="30"/>
    </row>
    <row r="264" spans="18:18" ht="15.75" customHeight="1">
      <c r="R264" s="30"/>
    </row>
    <row r="265" spans="18:18" ht="15.75" customHeight="1">
      <c r="R265" s="30"/>
    </row>
    <row r="266" spans="18:18" ht="15.75" customHeight="1">
      <c r="R266" s="30"/>
    </row>
    <row r="267" spans="18:18" ht="15.75" customHeight="1">
      <c r="R267" s="30"/>
    </row>
    <row r="268" spans="18:18" ht="15.75" customHeight="1">
      <c r="R268" s="30"/>
    </row>
    <row r="269" spans="18:18" ht="15.75" customHeight="1">
      <c r="R269" s="30"/>
    </row>
    <row r="270" spans="18:18" ht="15.75" customHeight="1">
      <c r="R270" s="30"/>
    </row>
    <row r="271" spans="18:18" ht="15.75" customHeight="1">
      <c r="R271" s="30"/>
    </row>
    <row r="272" spans="18:18" ht="15.75" customHeight="1">
      <c r="R272" s="30"/>
    </row>
    <row r="273" spans="18:18" ht="15.75" customHeight="1">
      <c r="R273" s="30"/>
    </row>
    <row r="274" spans="18:18" ht="15.75" customHeight="1">
      <c r="R274" s="30"/>
    </row>
    <row r="275" spans="18:18" ht="15.75" customHeight="1">
      <c r="R275" s="30"/>
    </row>
    <row r="276" spans="18:18" ht="15.75" customHeight="1">
      <c r="R276" s="30"/>
    </row>
    <row r="277" spans="18:18" ht="15.75" customHeight="1">
      <c r="R277" s="30"/>
    </row>
    <row r="278" spans="18:18" ht="15.75" customHeight="1">
      <c r="R278" s="30"/>
    </row>
    <row r="279" spans="18:18" ht="15.75" customHeight="1">
      <c r="R279" s="30"/>
    </row>
    <row r="280" spans="18:18" ht="15.75" customHeight="1">
      <c r="R280" s="30"/>
    </row>
    <row r="281" spans="18:18" ht="15.75" customHeight="1">
      <c r="R281" s="30"/>
    </row>
    <row r="282" spans="18:18" ht="15.75" customHeight="1">
      <c r="R282" s="30"/>
    </row>
    <row r="283" spans="18:18" ht="15.75" customHeight="1">
      <c r="R283" s="30"/>
    </row>
    <row r="284" spans="18:18" ht="15.75" customHeight="1">
      <c r="R284" s="30"/>
    </row>
    <row r="285" spans="18:18" ht="15.75" customHeight="1">
      <c r="R285" s="30"/>
    </row>
    <row r="286" spans="18:18" ht="15.75" customHeight="1">
      <c r="R286" s="30"/>
    </row>
    <row r="287" spans="18:18" ht="15.75" customHeight="1">
      <c r="R287" s="30"/>
    </row>
    <row r="288" spans="18:18" ht="15.75" customHeight="1">
      <c r="R288" s="30"/>
    </row>
    <row r="289" spans="18:18" ht="15.75" customHeight="1">
      <c r="R289" s="30"/>
    </row>
    <row r="290" spans="18:18" ht="15.75" customHeight="1">
      <c r="R290" s="30"/>
    </row>
    <row r="291" spans="18:18" ht="15.75" customHeight="1">
      <c r="R291" s="30"/>
    </row>
    <row r="292" spans="18:18" ht="15.75" customHeight="1">
      <c r="R292" s="30"/>
    </row>
    <row r="293" spans="18:18" ht="15.75" customHeight="1">
      <c r="R293" s="30"/>
    </row>
    <row r="294" spans="18:18" ht="15.75" customHeight="1">
      <c r="R294" s="30"/>
    </row>
    <row r="295" spans="18:18" ht="15.75" customHeight="1">
      <c r="R295" s="30"/>
    </row>
    <row r="296" spans="18:18" ht="15.75" customHeight="1">
      <c r="R296" s="30"/>
    </row>
    <row r="297" spans="18:18" ht="15.75" customHeight="1">
      <c r="R297" s="30"/>
    </row>
    <row r="298" spans="18:18" ht="15.75" customHeight="1">
      <c r="R298" s="30"/>
    </row>
    <row r="299" spans="18:18" ht="15.75" customHeight="1">
      <c r="R299" s="30"/>
    </row>
    <row r="300" spans="18:18" ht="15.75" customHeight="1">
      <c r="R300" s="30"/>
    </row>
    <row r="301" spans="18:18" ht="15.75" customHeight="1">
      <c r="R301" s="30"/>
    </row>
    <row r="302" spans="18:18" ht="15.75" customHeight="1">
      <c r="R302" s="30"/>
    </row>
    <row r="303" spans="18:18" ht="15.75" customHeight="1">
      <c r="R303" s="30"/>
    </row>
    <row r="304" spans="18:18" ht="15.75" customHeight="1">
      <c r="R304" s="30"/>
    </row>
    <row r="305" spans="18:18" ht="15.75" customHeight="1">
      <c r="R305" s="30"/>
    </row>
    <row r="306" spans="18:18" ht="15.75" customHeight="1">
      <c r="R306" s="30"/>
    </row>
    <row r="307" spans="18:18" ht="15.75" customHeight="1">
      <c r="R307" s="30"/>
    </row>
    <row r="308" spans="18:18" ht="15.75" customHeight="1">
      <c r="R308" s="30"/>
    </row>
    <row r="309" spans="18:18" ht="15.75" customHeight="1">
      <c r="R309" s="30"/>
    </row>
    <row r="310" spans="18:18" ht="15.75" customHeight="1">
      <c r="R310" s="30"/>
    </row>
    <row r="311" spans="18:18" ht="15.75" customHeight="1">
      <c r="R311" s="30"/>
    </row>
    <row r="312" spans="18:18" ht="15.75" customHeight="1">
      <c r="R312" s="30"/>
    </row>
    <row r="313" spans="18:18" ht="15.75" customHeight="1">
      <c r="R313" s="30"/>
    </row>
    <row r="314" spans="18:18" ht="15.75" customHeight="1">
      <c r="R314" s="30"/>
    </row>
    <row r="315" spans="18:18" ht="15.75" customHeight="1">
      <c r="R315" s="30"/>
    </row>
    <row r="316" spans="18:18" ht="15.75" customHeight="1">
      <c r="R316" s="30"/>
    </row>
    <row r="317" spans="18:18" ht="15.75" customHeight="1">
      <c r="R317" s="30"/>
    </row>
    <row r="318" spans="18:18" ht="15.75" customHeight="1">
      <c r="R318" s="30"/>
    </row>
    <row r="319" spans="18:18" ht="15.75" customHeight="1">
      <c r="R319" s="30"/>
    </row>
    <row r="320" spans="18:18" ht="15.75" customHeight="1">
      <c r="R320" s="30"/>
    </row>
    <row r="321" spans="18:18" ht="15.75" customHeight="1">
      <c r="R321" s="30"/>
    </row>
    <row r="322" spans="18:18" ht="15.75" customHeight="1">
      <c r="R322" s="30"/>
    </row>
    <row r="323" spans="18:18" ht="15.75" customHeight="1">
      <c r="R323" s="30"/>
    </row>
    <row r="324" spans="18:18" ht="15.75" customHeight="1">
      <c r="R324" s="30"/>
    </row>
    <row r="325" spans="18:18" ht="15.75" customHeight="1">
      <c r="R325" s="30"/>
    </row>
    <row r="326" spans="18:18" ht="15.75" customHeight="1">
      <c r="R326" s="30"/>
    </row>
    <row r="327" spans="18:18" ht="15.75" customHeight="1">
      <c r="R327" s="30"/>
    </row>
    <row r="328" spans="18:18" ht="15.75" customHeight="1">
      <c r="R328" s="30"/>
    </row>
    <row r="329" spans="18:18" ht="15.75" customHeight="1">
      <c r="R329" s="30"/>
    </row>
    <row r="330" spans="18:18" ht="15.75" customHeight="1">
      <c r="R330" s="30"/>
    </row>
    <row r="331" spans="18:18" ht="15.75" customHeight="1">
      <c r="R331" s="30"/>
    </row>
    <row r="332" spans="18:18" ht="15.75" customHeight="1">
      <c r="R332" s="30"/>
    </row>
    <row r="333" spans="18:18" ht="15.75" customHeight="1">
      <c r="R333" s="30"/>
    </row>
    <row r="334" spans="18:18" ht="15.75" customHeight="1">
      <c r="R334" s="30"/>
    </row>
    <row r="335" spans="18:18" ht="15.75" customHeight="1">
      <c r="R335" s="30"/>
    </row>
    <row r="336" spans="18:18" ht="15.75" customHeight="1">
      <c r="R336" s="30"/>
    </row>
    <row r="337" spans="18:18" ht="15.75" customHeight="1">
      <c r="R337" s="30"/>
    </row>
    <row r="338" spans="18:18" ht="15.75" customHeight="1">
      <c r="R338" s="30"/>
    </row>
    <row r="339" spans="18:18" ht="15.75" customHeight="1">
      <c r="R339" s="30"/>
    </row>
    <row r="340" spans="18:18" ht="15.75" customHeight="1">
      <c r="R340" s="30"/>
    </row>
    <row r="341" spans="18:18" ht="15.75" customHeight="1">
      <c r="R341" s="30"/>
    </row>
    <row r="342" spans="18:18" ht="15.75" customHeight="1">
      <c r="R342" s="30"/>
    </row>
    <row r="343" spans="18:18" ht="15.75" customHeight="1">
      <c r="R343" s="30"/>
    </row>
    <row r="344" spans="18:18" ht="15.75" customHeight="1">
      <c r="R344" s="30"/>
    </row>
    <row r="345" spans="18:18" ht="15.75" customHeight="1">
      <c r="R345" s="30"/>
    </row>
    <row r="346" spans="18:18" ht="15.75" customHeight="1">
      <c r="R346" s="30"/>
    </row>
    <row r="347" spans="18:18" ht="15.75" customHeight="1">
      <c r="R347" s="30"/>
    </row>
    <row r="348" spans="18:18" ht="15.75" customHeight="1">
      <c r="R348" s="30"/>
    </row>
    <row r="349" spans="18:18" ht="15.75" customHeight="1">
      <c r="R349" s="30"/>
    </row>
    <row r="350" spans="18:18" ht="15.75" customHeight="1">
      <c r="R350" s="30"/>
    </row>
    <row r="351" spans="18:18" ht="15.75" customHeight="1">
      <c r="R351" s="30"/>
    </row>
    <row r="352" spans="18:18" ht="15.75" customHeight="1">
      <c r="R352" s="30"/>
    </row>
    <row r="353" spans="18:18" ht="15.75" customHeight="1">
      <c r="R353" s="30"/>
    </row>
    <row r="354" spans="18:18" ht="15.75" customHeight="1">
      <c r="R354" s="30"/>
    </row>
    <row r="355" spans="18:18" ht="15.75" customHeight="1">
      <c r="R355" s="30"/>
    </row>
    <row r="356" spans="18:18" ht="15.75" customHeight="1">
      <c r="R356" s="30"/>
    </row>
    <row r="357" spans="18:18" ht="15.75" customHeight="1">
      <c r="R357" s="30"/>
    </row>
    <row r="358" spans="18:18" ht="15.75" customHeight="1">
      <c r="R358" s="30"/>
    </row>
    <row r="359" spans="18:18" ht="15.75" customHeight="1">
      <c r="R359" s="30"/>
    </row>
    <row r="360" spans="18:18" ht="15.75" customHeight="1">
      <c r="R360" s="30"/>
    </row>
    <row r="361" spans="18:18" ht="15.75" customHeight="1">
      <c r="R361" s="30"/>
    </row>
    <row r="362" spans="18:18" ht="15.75" customHeight="1">
      <c r="R362" s="30"/>
    </row>
    <row r="363" spans="18:18" ht="15.75" customHeight="1">
      <c r="R363" s="30"/>
    </row>
    <row r="364" spans="18:18" ht="15.75" customHeight="1">
      <c r="R364" s="30"/>
    </row>
    <row r="365" spans="18:18" ht="15.75" customHeight="1">
      <c r="R365" s="30"/>
    </row>
    <row r="366" spans="18:18" ht="15.75" customHeight="1">
      <c r="R366" s="30"/>
    </row>
    <row r="367" spans="18:18" ht="15.75" customHeight="1">
      <c r="R367" s="30"/>
    </row>
    <row r="368" spans="18:18" ht="15.75" customHeight="1">
      <c r="R368" s="30"/>
    </row>
    <row r="369" spans="18:18" ht="15.75" customHeight="1">
      <c r="R369" s="30"/>
    </row>
    <row r="370" spans="18:18" ht="15.75" customHeight="1">
      <c r="R370" s="30"/>
    </row>
    <row r="371" spans="18:18" ht="15.75" customHeight="1">
      <c r="R371" s="30"/>
    </row>
    <row r="372" spans="18:18" ht="15.75" customHeight="1">
      <c r="R372" s="30"/>
    </row>
    <row r="373" spans="18:18" ht="15.75" customHeight="1">
      <c r="R373" s="30"/>
    </row>
    <row r="374" spans="18:18" ht="15.75" customHeight="1">
      <c r="R374" s="30"/>
    </row>
    <row r="375" spans="18:18" ht="15.75" customHeight="1">
      <c r="R375" s="30"/>
    </row>
    <row r="376" spans="18:18" ht="15.75" customHeight="1">
      <c r="R376" s="30"/>
    </row>
    <row r="377" spans="18:18" ht="15.75" customHeight="1">
      <c r="R377" s="30"/>
    </row>
    <row r="378" spans="18:18" ht="15.75" customHeight="1">
      <c r="R378" s="30"/>
    </row>
    <row r="379" spans="18:18" ht="15.75" customHeight="1">
      <c r="R379" s="30"/>
    </row>
    <row r="380" spans="18:18" ht="15.75" customHeight="1">
      <c r="R380" s="30"/>
    </row>
    <row r="381" spans="18:18" ht="15.75" customHeight="1">
      <c r="R381" s="30"/>
    </row>
    <row r="382" spans="18:18" ht="15.75" customHeight="1">
      <c r="R382" s="30"/>
    </row>
    <row r="383" spans="18:18" ht="15.75" customHeight="1">
      <c r="R383" s="30"/>
    </row>
    <row r="384" spans="18:18" ht="15.75" customHeight="1">
      <c r="R384" s="30"/>
    </row>
    <row r="385" spans="18:18" ht="15.75" customHeight="1">
      <c r="R385" s="30"/>
    </row>
    <row r="386" spans="18:18" ht="15.75" customHeight="1">
      <c r="R386" s="30"/>
    </row>
    <row r="387" spans="18:18" ht="15.75" customHeight="1">
      <c r="R387" s="30"/>
    </row>
    <row r="388" spans="18:18" ht="15.75" customHeight="1">
      <c r="R388" s="30"/>
    </row>
    <row r="389" spans="18:18" ht="15.75" customHeight="1">
      <c r="R389" s="30"/>
    </row>
    <row r="390" spans="18:18" ht="15.75" customHeight="1">
      <c r="R390" s="30"/>
    </row>
    <row r="391" spans="18:18" ht="15.75" customHeight="1">
      <c r="R391" s="30"/>
    </row>
    <row r="392" spans="18:18" ht="15.75" customHeight="1">
      <c r="R392" s="30"/>
    </row>
    <row r="393" spans="18:18" ht="15.75" customHeight="1">
      <c r="R393" s="30"/>
    </row>
    <row r="394" spans="18:18" ht="15.75" customHeight="1">
      <c r="R394" s="30"/>
    </row>
    <row r="395" spans="18:18" ht="15.75" customHeight="1">
      <c r="R395" s="30"/>
    </row>
    <row r="396" spans="18:18" ht="15.75" customHeight="1">
      <c r="R396" s="30"/>
    </row>
    <row r="397" spans="18:18" ht="15.75" customHeight="1">
      <c r="R397" s="30"/>
    </row>
    <row r="398" spans="18:18" ht="15.75" customHeight="1">
      <c r="R398" s="30"/>
    </row>
    <row r="399" spans="18:18" ht="15.75" customHeight="1">
      <c r="R399" s="30"/>
    </row>
    <row r="400" spans="18:18" ht="15.75" customHeight="1">
      <c r="R400" s="30"/>
    </row>
    <row r="401" spans="18:18" ht="15.75" customHeight="1">
      <c r="R401" s="30"/>
    </row>
    <row r="402" spans="18:18" ht="15.75" customHeight="1">
      <c r="R402" s="30"/>
    </row>
    <row r="403" spans="18:18" ht="15.75" customHeight="1">
      <c r="R403" s="30"/>
    </row>
    <row r="404" spans="18:18" ht="15.75" customHeight="1">
      <c r="R404" s="30"/>
    </row>
    <row r="405" spans="18:18" ht="15.75" customHeight="1">
      <c r="R405" s="30"/>
    </row>
    <row r="406" spans="18:18" ht="15.75" customHeight="1">
      <c r="R406" s="30"/>
    </row>
    <row r="407" spans="18:18" ht="15.75" customHeight="1">
      <c r="R407" s="30"/>
    </row>
    <row r="408" spans="18:18" ht="15.75" customHeight="1">
      <c r="R408" s="30"/>
    </row>
    <row r="409" spans="18:18" ht="15.75" customHeight="1">
      <c r="R409" s="30"/>
    </row>
    <row r="410" spans="18:18" ht="15.75" customHeight="1">
      <c r="R410" s="30"/>
    </row>
    <row r="411" spans="18:18" ht="15.75" customHeight="1">
      <c r="R411" s="30"/>
    </row>
    <row r="412" spans="18:18" ht="15.75" customHeight="1">
      <c r="R412" s="30"/>
    </row>
    <row r="413" spans="18:18" ht="15.75" customHeight="1">
      <c r="R413" s="30"/>
    </row>
    <row r="414" spans="18:18" ht="15.75" customHeight="1">
      <c r="R414" s="30"/>
    </row>
    <row r="415" spans="18:18" ht="15.75" customHeight="1">
      <c r="R415" s="30"/>
    </row>
    <row r="416" spans="18:18" ht="15.75" customHeight="1">
      <c r="R416" s="30"/>
    </row>
    <row r="417" spans="18:18" ht="15.75" customHeight="1">
      <c r="R417" s="30"/>
    </row>
    <row r="418" spans="18:18" ht="15.75" customHeight="1">
      <c r="R418" s="30"/>
    </row>
    <row r="419" spans="18:18" ht="15.75" customHeight="1">
      <c r="R419" s="30"/>
    </row>
    <row r="420" spans="18:18" ht="15.75" customHeight="1">
      <c r="R420" s="30"/>
    </row>
    <row r="421" spans="18:18" ht="15.75" customHeight="1">
      <c r="R421" s="30"/>
    </row>
    <row r="422" spans="18:18" ht="15.75" customHeight="1">
      <c r="R422" s="30"/>
    </row>
    <row r="423" spans="18:18" ht="15.75" customHeight="1">
      <c r="R423" s="30"/>
    </row>
    <row r="424" spans="18:18" ht="15.75" customHeight="1">
      <c r="R424" s="30"/>
    </row>
    <row r="425" spans="18:18" ht="15.75" customHeight="1">
      <c r="R425" s="30"/>
    </row>
    <row r="426" spans="18:18" ht="15.75" customHeight="1">
      <c r="R426" s="30"/>
    </row>
    <row r="427" spans="18:18" ht="15.75" customHeight="1">
      <c r="R427" s="30"/>
    </row>
    <row r="428" spans="18:18" ht="15.75" customHeight="1">
      <c r="R428" s="30"/>
    </row>
    <row r="429" spans="18:18" ht="15.75" customHeight="1">
      <c r="R429" s="30"/>
    </row>
    <row r="430" spans="18:18" ht="15.75" customHeight="1">
      <c r="R430" s="30"/>
    </row>
    <row r="431" spans="18:18" ht="15.75" customHeight="1">
      <c r="R431" s="30"/>
    </row>
    <row r="432" spans="18:18" ht="15.75" customHeight="1">
      <c r="R432" s="30"/>
    </row>
    <row r="433" spans="18:18" ht="15.75" customHeight="1">
      <c r="R433" s="30"/>
    </row>
    <row r="434" spans="18:18" ht="15.75" customHeight="1">
      <c r="R434" s="30"/>
    </row>
    <row r="435" spans="18:18" ht="15.75" customHeight="1">
      <c r="R435" s="30"/>
    </row>
    <row r="436" spans="18:18" ht="15.75" customHeight="1">
      <c r="R436" s="30"/>
    </row>
    <row r="437" spans="18:18" ht="15.75" customHeight="1">
      <c r="R437" s="30"/>
    </row>
    <row r="438" spans="18:18" ht="15.75" customHeight="1">
      <c r="R438" s="30"/>
    </row>
    <row r="439" spans="18:18" ht="15.75" customHeight="1">
      <c r="R439" s="30"/>
    </row>
    <row r="440" spans="18:18" ht="15.75" customHeight="1">
      <c r="R440" s="30"/>
    </row>
    <row r="441" spans="18:18" ht="15.75" customHeight="1">
      <c r="R441" s="30"/>
    </row>
    <row r="442" spans="18:18" ht="15.75" customHeight="1">
      <c r="R442" s="30"/>
    </row>
    <row r="443" spans="18:18" ht="15.75" customHeight="1">
      <c r="R443" s="30"/>
    </row>
    <row r="444" spans="18:18" ht="15.75" customHeight="1">
      <c r="R444" s="30"/>
    </row>
    <row r="445" spans="18:18" ht="15.75" customHeight="1">
      <c r="R445" s="30"/>
    </row>
    <row r="446" spans="18:18" ht="15.75" customHeight="1">
      <c r="R446" s="30"/>
    </row>
    <row r="447" spans="18:18" ht="15.75" customHeight="1">
      <c r="R447" s="30"/>
    </row>
    <row r="448" spans="18:18" ht="15.75" customHeight="1">
      <c r="R448" s="30"/>
    </row>
    <row r="449" spans="18:18" ht="15.75" customHeight="1">
      <c r="R449" s="30"/>
    </row>
    <row r="450" spans="18:18" ht="15.75" customHeight="1">
      <c r="R450" s="30"/>
    </row>
    <row r="451" spans="18:18" ht="15.75" customHeight="1">
      <c r="R451" s="30"/>
    </row>
    <row r="452" spans="18:18" ht="15.75" customHeight="1">
      <c r="R452" s="30"/>
    </row>
    <row r="453" spans="18:18" ht="15.75" customHeight="1">
      <c r="R453" s="30"/>
    </row>
    <row r="454" spans="18:18" ht="15.75" customHeight="1">
      <c r="R454" s="30"/>
    </row>
    <row r="455" spans="18:18" ht="15.75" customHeight="1">
      <c r="R455" s="30"/>
    </row>
    <row r="456" spans="18:18" ht="15.75" customHeight="1">
      <c r="R456" s="30"/>
    </row>
    <row r="457" spans="18:18" ht="15.75" customHeight="1">
      <c r="R457" s="30"/>
    </row>
    <row r="458" spans="18:18" ht="15.75" customHeight="1">
      <c r="R458" s="30"/>
    </row>
    <row r="459" spans="18:18" ht="15.75" customHeight="1">
      <c r="R459" s="30"/>
    </row>
    <row r="460" spans="18:18" ht="15.75" customHeight="1">
      <c r="R460" s="30"/>
    </row>
    <row r="461" spans="18:18" ht="15.75" customHeight="1">
      <c r="R461" s="30"/>
    </row>
    <row r="462" spans="18:18" ht="15.75" customHeight="1">
      <c r="R462" s="30"/>
    </row>
    <row r="463" spans="18:18" ht="15.75" customHeight="1">
      <c r="R463" s="30"/>
    </row>
    <row r="464" spans="18:18" ht="15.75" customHeight="1">
      <c r="R464" s="30"/>
    </row>
    <row r="465" spans="18:18" ht="15.75" customHeight="1">
      <c r="R465" s="30"/>
    </row>
    <row r="466" spans="18:18" ht="15.75" customHeight="1">
      <c r="R466" s="30"/>
    </row>
    <row r="467" spans="18:18" ht="15.75" customHeight="1">
      <c r="R467" s="30"/>
    </row>
    <row r="468" spans="18:18" ht="15.75" customHeight="1">
      <c r="R468" s="30"/>
    </row>
    <row r="469" spans="18:18" ht="15.75" customHeight="1">
      <c r="R469" s="30"/>
    </row>
    <row r="470" spans="18:18" ht="15.75" customHeight="1">
      <c r="R470" s="30"/>
    </row>
    <row r="471" spans="18:18" ht="15.75" customHeight="1">
      <c r="R471" s="30"/>
    </row>
    <row r="472" spans="18:18" ht="15.75" customHeight="1">
      <c r="R472" s="30"/>
    </row>
    <row r="473" spans="18:18" ht="15.75" customHeight="1">
      <c r="R473" s="30"/>
    </row>
    <row r="474" spans="18:18" ht="15.75" customHeight="1">
      <c r="R474" s="30"/>
    </row>
    <row r="475" spans="18:18" ht="15.75" customHeight="1">
      <c r="R475" s="30"/>
    </row>
    <row r="476" spans="18:18" ht="15.75" customHeight="1">
      <c r="R476" s="30"/>
    </row>
    <row r="477" spans="18:18" ht="15.75" customHeight="1">
      <c r="R477" s="30"/>
    </row>
    <row r="478" spans="18:18" ht="15.75" customHeight="1">
      <c r="R478" s="30"/>
    </row>
    <row r="479" spans="18:18" ht="15.75" customHeight="1">
      <c r="R479" s="30"/>
    </row>
    <row r="480" spans="18:18" ht="15.75" customHeight="1">
      <c r="R480" s="30"/>
    </row>
    <row r="481" spans="18:18" ht="15.75" customHeight="1">
      <c r="R481" s="30"/>
    </row>
    <row r="482" spans="18:18" ht="15.75" customHeight="1">
      <c r="R482" s="30"/>
    </row>
    <row r="483" spans="18:18" ht="15.75" customHeight="1">
      <c r="R483" s="30"/>
    </row>
    <row r="484" spans="18:18" ht="15.75" customHeight="1">
      <c r="R484" s="30"/>
    </row>
    <row r="485" spans="18:18" ht="15.75" customHeight="1">
      <c r="R485" s="30"/>
    </row>
    <row r="486" spans="18:18" ht="15.75" customHeight="1">
      <c r="R486" s="30"/>
    </row>
    <row r="487" spans="18:18" ht="15.75" customHeight="1">
      <c r="R487" s="30"/>
    </row>
    <row r="488" spans="18:18" ht="15.75" customHeight="1">
      <c r="R488" s="30"/>
    </row>
    <row r="489" spans="18:18" ht="15.75" customHeight="1">
      <c r="R489" s="30"/>
    </row>
    <row r="490" spans="18:18" ht="15.75" customHeight="1">
      <c r="R490" s="30"/>
    </row>
    <row r="491" spans="18:18" ht="15.75" customHeight="1">
      <c r="R491" s="30"/>
    </row>
    <row r="492" spans="18:18" ht="15.75" customHeight="1">
      <c r="R492" s="30"/>
    </row>
    <row r="493" spans="18:18" ht="15.75" customHeight="1">
      <c r="R493" s="30"/>
    </row>
    <row r="494" spans="18:18" ht="15.75" customHeight="1">
      <c r="R494" s="30"/>
    </row>
    <row r="495" spans="18:18" ht="15.75" customHeight="1">
      <c r="R495" s="30"/>
    </row>
    <row r="496" spans="18:18" ht="15.75" customHeight="1">
      <c r="R496" s="30"/>
    </row>
    <row r="497" spans="18:18" ht="15.75" customHeight="1">
      <c r="R497" s="30"/>
    </row>
    <row r="498" spans="18:18" ht="15.75" customHeight="1">
      <c r="R498" s="30"/>
    </row>
    <row r="499" spans="18:18" ht="15.75" customHeight="1">
      <c r="R499" s="30"/>
    </row>
    <row r="500" spans="18:18" ht="15.75" customHeight="1">
      <c r="R500" s="30"/>
    </row>
    <row r="501" spans="18:18" ht="15.75" customHeight="1">
      <c r="R501" s="30"/>
    </row>
    <row r="502" spans="18:18" ht="15.75" customHeight="1">
      <c r="R502" s="30"/>
    </row>
    <row r="503" spans="18:18" ht="15.75" customHeight="1">
      <c r="R503" s="30"/>
    </row>
    <row r="504" spans="18:18" ht="15.75" customHeight="1">
      <c r="R504" s="30"/>
    </row>
    <row r="505" spans="18:18" ht="15.75" customHeight="1">
      <c r="R505" s="30"/>
    </row>
    <row r="506" spans="18:18" ht="15.75" customHeight="1">
      <c r="R506" s="30"/>
    </row>
    <row r="507" spans="18:18" ht="15.75" customHeight="1">
      <c r="R507" s="30"/>
    </row>
    <row r="508" spans="18:18" ht="15.75" customHeight="1">
      <c r="R508" s="30"/>
    </row>
    <row r="509" spans="18:18" ht="15.75" customHeight="1">
      <c r="R509" s="30"/>
    </row>
    <row r="510" spans="18:18" ht="15.75" customHeight="1">
      <c r="R510" s="30"/>
    </row>
    <row r="511" spans="18:18" ht="15.75" customHeight="1">
      <c r="R511" s="30"/>
    </row>
    <row r="512" spans="18:18" ht="15.75" customHeight="1">
      <c r="R512" s="30"/>
    </row>
    <row r="513" spans="18:18" ht="15.75" customHeight="1">
      <c r="R513" s="30"/>
    </row>
    <row r="514" spans="18:18" ht="15.75" customHeight="1">
      <c r="R514" s="30"/>
    </row>
    <row r="515" spans="18:18" ht="15.75" customHeight="1">
      <c r="R515" s="30"/>
    </row>
    <row r="516" spans="18:18" ht="15.75" customHeight="1">
      <c r="R516" s="30"/>
    </row>
    <row r="517" spans="18:18" ht="15.75" customHeight="1">
      <c r="R517" s="30"/>
    </row>
    <row r="518" spans="18:18" ht="15.75" customHeight="1">
      <c r="R518" s="30"/>
    </row>
    <row r="519" spans="18:18" ht="15.75" customHeight="1">
      <c r="R519" s="30"/>
    </row>
    <row r="520" spans="18:18" ht="15.75" customHeight="1">
      <c r="R520" s="30"/>
    </row>
    <row r="521" spans="18:18" ht="15.75" customHeight="1">
      <c r="R521" s="30"/>
    </row>
    <row r="522" spans="18:18" ht="15.75" customHeight="1">
      <c r="R522" s="30"/>
    </row>
    <row r="523" spans="18:18" ht="15.75" customHeight="1">
      <c r="R523" s="30"/>
    </row>
    <row r="524" spans="18:18" ht="15.75" customHeight="1">
      <c r="R524" s="30"/>
    </row>
    <row r="525" spans="18:18" ht="15.75" customHeight="1">
      <c r="R525" s="30"/>
    </row>
    <row r="526" spans="18:18" ht="15.75" customHeight="1">
      <c r="R526" s="30"/>
    </row>
    <row r="527" spans="18:18" ht="15.75" customHeight="1">
      <c r="R527" s="30"/>
    </row>
    <row r="528" spans="18:18" ht="15.75" customHeight="1">
      <c r="R528" s="30"/>
    </row>
    <row r="529" spans="18:18" ht="15.75" customHeight="1">
      <c r="R529" s="30"/>
    </row>
    <row r="530" spans="18:18" ht="15.75" customHeight="1">
      <c r="R530" s="30"/>
    </row>
    <row r="531" spans="18:18" ht="15.75" customHeight="1">
      <c r="R531" s="30"/>
    </row>
    <row r="532" spans="18:18" ht="15.75" customHeight="1">
      <c r="R532" s="30"/>
    </row>
    <row r="533" spans="18:18" ht="15.75" customHeight="1">
      <c r="R533" s="30"/>
    </row>
    <row r="534" spans="18:18" ht="15.75" customHeight="1">
      <c r="R534" s="30"/>
    </row>
    <row r="535" spans="18:18" ht="15.75" customHeight="1">
      <c r="R535" s="30"/>
    </row>
    <row r="536" spans="18:18" ht="15.75" customHeight="1">
      <c r="R536" s="30"/>
    </row>
    <row r="537" spans="18:18" ht="15.75" customHeight="1">
      <c r="R537" s="30"/>
    </row>
    <row r="538" spans="18:18" ht="15.75" customHeight="1">
      <c r="R538" s="30"/>
    </row>
    <row r="539" spans="18:18" ht="15.75" customHeight="1">
      <c r="R539" s="30"/>
    </row>
    <row r="540" spans="18:18" ht="15.75" customHeight="1">
      <c r="R540" s="30"/>
    </row>
    <row r="541" spans="18:18" ht="15.75" customHeight="1">
      <c r="R541" s="30"/>
    </row>
    <row r="542" spans="18:18" ht="15.75" customHeight="1">
      <c r="R542" s="30"/>
    </row>
    <row r="543" spans="18:18" ht="15.75" customHeight="1">
      <c r="R543" s="30"/>
    </row>
    <row r="544" spans="18:18" ht="15.75" customHeight="1">
      <c r="R544" s="30"/>
    </row>
    <row r="545" spans="18:18" ht="15.75" customHeight="1">
      <c r="R545" s="30"/>
    </row>
    <row r="546" spans="18:18" ht="15.75" customHeight="1">
      <c r="R546" s="30"/>
    </row>
    <row r="547" spans="18:18" ht="15.75" customHeight="1">
      <c r="R547" s="30"/>
    </row>
    <row r="548" spans="18:18" ht="15.75" customHeight="1">
      <c r="R548" s="30"/>
    </row>
    <row r="549" spans="18:18" ht="15.75" customHeight="1">
      <c r="R549" s="30"/>
    </row>
    <row r="550" spans="18:18" ht="15.75" customHeight="1">
      <c r="R550" s="30"/>
    </row>
    <row r="551" spans="18:18" ht="15.75" customHeight="1">
      <c r="R551" s="30"/>
    </row>
    <row r="552" spans="18:18" ht="15.75" customHeight="1">
      <c r="R552" s="30"/>
    </row>
    <row r="553" spans="18:18" ht="15.75" customHeight="1">
      <c r="R553" s="30"/>
    </row>
    <row r="554" spans="18:18" ht="15.75" customHeight="1">
      <c r="R554" s="30"/>
    </row>
    <row r="555" spans="18:18" ht="15.75" customHeight="1">
      <c r="R555" s="30"/>
    </row>
    <row r="556" spans="18:18" ht="15.75" customHeight="1">
      <c r="R556" s="30"/>
    </row>
    <row r="557" spans="18:18" ht="15.75" customHeight="1">
      <c r="R557" s="30"/>
    </row>
    <row r="558" spans="18:18" ht="15.75" customHeight="1">
      <c r="R558" s="30"/>
    </row>
    <row r="559" spans="18:18" ht="15.75" customHeight="1">
      <c r="R559" s="30"/>
    </row>
    <row r="560" spans="18:18" ht="15.75" customHeight="1">
      <c r="R560" s="30"/>
    </row>
    <row r="561" spans="18:18" ht="15.75" customHeight="1">
      <c r="R561" s="30"/>
    </row>
    <row r="562" spans="18:18" ht="15.75" customHeight="1">
      <c r="R562" s="30"/>
    </row>
    <row r="563" spans="18:18" ht="15.75" customHeight="1">
      <c r="R563" s="30"/>
    </row>
    <row r="564" spans="18:18" ht="15.75" customHeight="1">
      <c r="R564" s="30"/>
    </row>
    <row r="565" spans="18:18" ht="15.75" customHeight="1">
      <c r="R565" s="30"/>
    </row>
    <row r="566" spans="18:18" ht="15.75" customHeight="1">
      <c r="R566" s="30"/>
    </row>
    <row r="567" spans="18:18" ht="15.75" customHeight="1">
      <c r="R567" s="30"/>
    </row>
    <row r="568" spans="18:18" ht="15.75" customHeight="1">
      <c r="R568" s="30"/>
    </row>
    <row r="569" spans="18:18" ht="15.75" customHeight="1">
      <c r="R569" s="30"/>
    </row>
    <row r="570" spans="18:18" ht="15.75" customHeight="1">
      <c r="R570" s="30"/>
    </row>
    <row r="571" spans="18:18" ht="15.75" customHeight="1">
      <c r="R571" s="30"/>
    </row>
    <row r="572" spans="18:18" ht="15.75" customHeight="1">
      <c r="R572" s="30"/>
    </row>
    <row r="573" spans="18:18" ht="15.75" customHeight="1">
      <c r="R573" s="30"/>
    </row>
    <row r="574" spans="18:18" ht="15.75" customHeight="1">
      <c r="R574" s="30"/>
    </row>
    <row r="575" spans="18:18" ht="15.75" customHeight="1">
      <c r="R575" s="30"/>
    </row>
    <row r="576" spans="18:18" ht="15.75" customHeight="1">
      <c r="R576" s="30"/>
    </row>
    <row r="577" spans="18:18" ht="15.75" customHeight="1">
      <c r="R577" s="30"/>
    </row>
    <row r="578" spans="18:18" ht="15.75" customHeight="1">
      <c r="R578" s="30"/>
    </row>
    <row r="579" spans="18:18" ht="15.75" customHeight="1">
      <c r="R579" s="30"/>
    </row>
    <row r="580" spans="18:18" ht="15.75" customHeight="1">
      <c r="R580" s="30"/>
    </row>
    <row r="581" spans="18:18" ht="15.75" customHeight="1">
      <c r="R581" s="30"/>
    </row>
    <row r="582" spans="18:18" ht="15.75" customHeight="1">
      <c r="R582" s="30"/>
    </row>
    <row r="583" spans="18:18" ht="15.75" customHeight="1">
      <c r="R583" s="30"/>
    </row>
    <row r="584" spans="18:18" ht="15.75" customHeight="1">
      <c r="R584" s="30"/>
    </row>
    <row r="585" spans="18:18" ht="15.75" customHeight="1">
      <c r="R585" s="30"/>
    </row>
    <row r="586" spans="18:18" ht="15.75" customHeight="1">
      <c r="R586" s="30"/>
    </row>
    <row r="587" spans="18:18" ht="15.75" customHeight="1">
      <c r="R587" s="30"/>
    </row>
    <row r="588" spans="18:18" ht="15.75" customHeight="1">
      <c r="R588" s="30"/>
    </row>
    <row r="589" spans="18:18" ht="15.75" customHeight="1">
      <c r="R589" s="30"/>
    </row>
    <row r="590" spans="18:18" ht="15.75" customHeight="1">
      <c r="R590" s="30"/>
    </row>
    <row r="591" spans="18:18" ht="15.75" customHeight="1">
      <c r="R591" s="30"/>
    </row>
    <row r="592" spans="18:18" ht="15.75" customHeight="1">
      <c r="R592" s="30"/>
    </row>
    <row r="593" spans="18:18" ht="15.75" customHeight="1">
      <c r="R593" s="30"/>
    </row>
    <row r="594" spans="18:18" ht="15.75" customHeight="1">
      <c r="R594" s="30"/>
    </row>
    <row r="595" spans="18:18" ht="15.75" customHeight="1">
      <c r="R595" s="30"/>
    </row>
    <row r="596" spans="18:18" ht="15.75" customHeight="1">
      <c r="R596" s="30"/>
    </row>
    <row r="597" spans="18:18" ht="15.75" customHeight="1">
      <c r="R597" s="30"/>
    </row>
    <row r="598" spans="18:18" ht="15.75" customHeight="1">
      <c r="R598" s="30"/>
    </row>
    <row r="599" spans="18:18" ht="15.75" customHeight="1">
      <c r="R599" s="30"/>
    </row>
    <row r="600" spans="18:18" ht="15.75" customHeight="1">
      <c r="R600" s="30"/>
    </row>
    <row r="601" spans="18:18" ht="15.75" customHeight="1">
      <c r="R601" s="30"/>
    </row>
    <row r="602" spans="18:18" ht="15.75" customHeight="1">
      <c r="R602" s="30"/>
    </row>
    <row r="603" spans="18:18" ht="15.75" customHeight="1">
      <c r="R603" s="30"/>
    </row>
    <row r="604" spans="18:18" ht="15.75" customHeight="1">
      <c r="R604" s="30"/>
    </row>
    <row r="605" spans="18:18" ht="15.75" customHeight="1">
      <c r="R605" s="30"/>
    </row>
    <row r="606" spans="18:18" ht="15.75" customHeight="1">
      <c r="R606" s="30"/>
    </row>
    <row r="607" spans="18:18" ht="15.75" customHeight="1">
      <c r="R607" s="30"/>
    </row>
    <row r="608" spans="18:18" ht="15.75" customHeight="1">
      <c r="R608" s="30"/>
    </row>
    <row r="609" spans="18:18" ht="15.75" customHeight="1">
      <c r="R609" s="30"/>
    </row>
    <row r="610" spans="18:18" ht="15.75" customHeight="1">
      <c r="R610" s="30"/>
    </row>
    <row r="611" spans="18:18" ht="15.75" customHeight="1">
      <c r="R611" s="30"/>
    </row>
    <row r="612" spans="18:18" ht="15.75" customHeight="1">
      <c r="R612" s="30"/>
    </row>
    <row r="613" spans="18:18" ht="15.75" customHeight="1">
      <c r="R613" s="30"/>
    </row>
    <row r="614" spans="18:18" ht="15.75" customHeight="1">
      <c r="R614" s="30"/>
    </row>
    <row r="615" spans="18:18" ht="15.75" customHeight="1">
      <c r="R615" s="30"/>
    </row>
    <row r="616" spans="18:18" ht="15.75" customHeight="1">
      <c r="R616" s="30"/>
    </row>
    <row r="617" spans="18:18" ht="15.75" customHeight="1">
      <c r="R617" s="30"/>
    </row>
    <row r="618" spans="18:18" ht="15.75" customHeight="1">
      <c r="R618" s="30"/>
    </row>
    <row r="619" spans="18:18" ht="15.75" customHeight="1">
      <c r="R619" s="30"/>
    </row>
    <row r="620" spans="18:18" ht="15.75" customHeight="1">
      <c r="R620" s="30"/>
    </row>
    <row r="621" spans="18:18" ht="15.75" customHeight="1">
      <c r="R621" s="30"/>
    </row>
    <row r="622" spans="18:18" ht="15.75" customHeight="1">
      <c r="R622" s="30"/>
    </row>
    <row r="623" spans="18:18" ht="15.75" customHeight="1">
      <c r="R623" s="30"/>
    </row>
    <row r="624" spans="18:18" ht="15.75" customHeight="1">
      <c r="R624" s="30"/>
    </row>
    <row r="625" spans="18:18" ht="15.75" customHeight="1">
      <c r="R625" s="30"/>
    </row>
    <row r="626" spans="18:18" ht="15.75" customHeight="1">
      <c r="R626" s="30"/>
    </row>
    <row r="627" spans="18:18" ht="15.75" customHeight="1">
      <c r="R627" s="30"/>
    </row>
    <row r="628" spans="18:18" ht="15.75" customHeight="1">
      <c r="R628" s="30"/>
    </row>
    <row r="629" spans="18:18" ht="15.75" customHeight="1">
      <c r="R629" s="30"/>
    </row>
    <row r="630" spans="18:18" ht="15.75" customHeight="1">
      <c r="R630" s="30"/>
    </row>
    <row r="631" spans="18:18" ht="15.75" customHeight="1">
      <c r="R631" s="30"/>
    </row>
    <row r="632" spans="18:18" ht="15.75" customHeight="1">
      <c r="R632" s="30"/>
    </row>
    <row r="633" spans="18:18" ht="15.75" customHeight="1">
      <c r="R633" s="30"/>
    </row>
    <row r="634" spans="18:18" ht="15.75" customHeight="1">
      <c r="R634" s="30"/>
    </row>
    <row r="635" spans="18:18" ht="15.75" customHeight="1">
      <c r="R635" s="30"/>
    </row>
    <row r="636" spans="18:18" ht="15.75" customHeight="1">
      <c r="R636" s="30"/>
    </row>
    <row r="637" spans="18:18" ht="15.75" customHeight="1">
      <c r="R637" s="30"/>
    </row>
    <row r="638" spans="18:18" ht="15.75" customHeight="1">
      <c r="R638" s="30"/>
    </row>
    <row r="639" spans="18:18" ht="15.75" customHeight="1">
      <c r="R639" s="30"/>
    </row>
    <row r="640" spans="18:18" ht="15.75" customHeight="1">
      <c r="R640" s="30"/>
    </row>
    <row r="641" spans="18:18" ht="15.75" customHeight="1">
      <c r="R641" s="30"/>
    </row>
    <row r="642" spans="18:18" ht="15.75" customHeight="1">
      <c r="R642" s="30"/>
    </row>
    <row r="643" spans="18:18" ht="15.75" customHeight="1">
      <c r="R643" s="30"/>
    </row>
    <row r="644" spans="18:18" ht="15.75" customHeight="1">
      <c r="R644" s="30"/>
    </row>
    <row r="645" spans="18:18" ht="15.75" customHeight="1">
      <c r="R645" s="30"/>
    </row>
    <row r="646" spans="18:18" ht="15.75" customHeight="1">
      <c r="R646" s="30"/>
    </row>
    <row r="647" spans="18:18" ht="15.75" customHeight="1">
      <c r="R647" s="30"/>
    </row>
    <row r="648" spans="18:18" ht="15.75" customHeight="1">
      <c r="R648" s="30"/>
    </row>
    <row r="649" spans="18:18" ht="15.75" customHeight="1">
      <c r="R649" s="30"/>
    </row>
    <row r="650" spans="18:18" ht="15.75" customHeight="1">
      <c r="R650" s="30"/>
    </row>
    <row r="651" spans="18:18" ht="15.75" customHeight="1">
      <c r="R651" s="30"/>
    </row>
    <row r="652" spans="18:18" ht="15.75" customHeight="1">
      <c r="R652" s="30"/>
    </row>
    <row r="653" spans="18:18" ht="15.75" customHeight="1">
      <c r="R653" s="30"/>
    </row>
    <row r="654" spans="18:18" ht="15.75" customHeight="1">
      <c r="R654" s="30"/>
    </row>
    <row r="655" spans="18:18" ht="15.75" customHeight="1">
      <c r="R655" s="30"/>
    </row>
    <row r="656" spans="18:18" ht="15.75" customHeight="1">
      <c r="R656" s="30"/>
    </row>
    <row r="657" spans="18:18" ht="15.75" customHeight="1">
      <c r="R657" s="30"/>
    </row>
    <row r="658" spans="18:18" ht="15.75" customHeight="1">
      <c r="R658" s="30"/>
    </row>
    <row r="659" spans="18:18" ht="15.75" customHeight="1">
      <c r="R659" s="30"/>
    </row>
    <row r="660" spans="18:18" ht="15.75" customHeight="1">
      <c r="R660" s="30"/>
    </row>
    <row r="661" spans="18:18" ht="15.75" customHeight="1">
      <c r="R661" s="30"/>
    </row>
    <row r="662" spans="18:18" ht="15.75" customHeight="1">
      <c r="R662" s="30"/>
    </row>
    <row r="663" spans="18:18" ht="15.75" customHeight="1">
      <c r="R663" s="30"/>
    </row>
    <row r="664" spans="18:18" ht="15.75" customHeight="1">
      <c r="R664" s="30"/>
    </row>
    <row r="665" spans="18:18" ht="15.75" customHeight="1">
      <c r="R665" s="30"/>
    </row>
    <row r="666" spans="18:18" ht="15.75" customHeight="1">
      <c r="R666" s="30"/>
    </row>
    <row r="667" spans="18:18" ht="15.75" customHeight="1">
      <c r="R667" s="30"/>
    </row>
    <row r="668" spans="18:18" ht="15.75" customHeight="1">
      <c r="R668" s="30"/>
    </row>
    <row r="669" spans="18:18" ht="15.75" customHeight="1">
      <c r="R669" s="30"/>
    </row>
    <row r="670" spans="18:18" ht="15.75" customHeight="1">
      <c r="R670" s="30"/>
    </row>
    <row r="671" spans="18:18" ht="15.75" customHeight="1">
      <c r="R671" s="30"/>
    </row>
    <row r="672" spans="18:18" ht="15.75" customHeight="1">
      <c r="R672" s="30"/>
    </row>
    <row r="673" spans="18:18" ht="15.75" customHeight="1">
      <c r="R673" s="30"/>
    </row>
    <row r="674" spans="18:18" ht="15.75" customHeight="1">
      <c r="R674" s="30"/>
    </row>
    <row r="675" spans="18:18" ht="15.75" customHeight="1">
      <c r="R675" s="30"/>
    </row>
    <row r="676" spans="18:18" ht="15.75" customHeight="1">
      <c r="R676" s="30"/>
    </row>
    <row r="677" spans="18:18" ht="15.75" customHeight="1">
      <c r="R677" s="30"/>
    </row>
    <row r="678" spans="18:18" ht="15.75" customHeight="1">
      <c r="R678" s="30"/>
    </row>
    <row r="679" spans="18:18" ht="15.75" customHeight="1">
      <c r="R679" s="30"/>
    </row>
    <row r="680" spans="18:18" ht="15.75" customHeight="1">
      <c r="R680" s="30"/>
    </row>
    <row r="681" spans="18:18" ht="15.75" customHeight="1">
      <c r="R681" s="30"/>
    </row>
    <row r="682" spans="18:18" ht="15.75" customHeight="1">
      <c r="R682" s="30"/>
    </row>
    <row r="683" spans="18:18" ht="15.75" customHeight="1">
      <c r="R683" s="30"/>
    </row>
    <row r="684" spans="18:18" ht="15.75" customHeight="1">
      <c r="R684" s="30"/>
    </row>
    <row r="685" spans="18:18" ht="15.75" customHeight="1">
      <c r="R685" s="30"/>
    </row>
    <row r="686" spans="18:18" ht="15.75" customHeight="1">
      <c r="R686" s="30"/>
    </row>
    <row r="687" spans="18:18" ht="15.75" customHeight="1">
      <c r="R687" s="30"/>
    </row>
    <row r="688" spans="18:18" ht="15.75" customHeight="1">
      <c r="R688" s="30"/>
    </row>
    <row r="689" spans="18:18" ht="15.75" customHeight="1">
      <c r="R689" s="30"/>
    </row>
    <row r="690" spans="18:18" ht="15.75" customHeight="1">
      <c r="R690" s="30"/>
    </row>
    <row r="691" spans="18:18" ht="15.75" customHeight="1">
      <c r="R691" s="30"/>
    </row>
    <row r="692" spans="18:18" ht="15.75" customHeight="1">
      <c r="R692" s="30"/>
    </row>
    <row r="693" spans="18:18" ht="15.75" customHeight="1">
      <c r="R693" s="30"/>
    </row>
    <row r="694" spans="18:18" ht="15.75" customHeight="1">
      <c r="R694" s="30"/>
    </row>
    <row r="695" spans="18:18" ht="15.75" customHeight="1">
      <c r="R695" s="30"/>
    </row>
    <row r="696" spans="18:18" ht="15.75" customHeight="1">
      <c r="R696" s="30"/>
    </row>
    <row r="697" spans="18:18" ht="15.75" customHeight="1">
      <c r="R697" s="30"/>
    </row>
    <row r="698" spans="18:18" ht="15.75" customHeight="1">
      <c r="R698" s="30"/>
    </row>
    <row r="699" spans="18:18" ht="15.75" customHeight="1">
      <c r="R699" s="30"/>
    </row>
    <row r="700" spans="18:18" ht="15.75" customHeight="1">
      <c r="R700" s="30"/>
    </row>
    <row r="701" spans="18:18" ht="15.75" customHeight="1">
      <c r="R701" s="30"/>
    </row>
    <row r="702" spans="18:18" ht="15.75" customHeight="1">
      <c r="R702" s="30"/>
    </row>
    <row r="703" spans="18:18" ht="15.75" customHeight="1">
      <c r="R703" s="30"/>
    </row>
    <row r="704" spans="18:18" ht="15.75" customHeight="1">
      <c r="R704" s="30"/>
    </row>
    <row r="705" spans="18:18" ht="15.75" customHeight="1">
      <c r="R705" s="30"/>
    </row>
    <row r="706" spans="18:18" ht="15.75" customHeight="1">
      <c r="R706" s="30"/>
    </row>
    <row r="707" spans="18:18" ht="15.75" customHeight="1">
      <c r="R707" s="30"/>
    </row>
    <row r="708" spans="18:18" ht="15.75" customHeight="1">
      <c r="R708" s="30"/>
    </row>
    <row r="709" spans="18:18" ht="15.75" customHeight="1">
      <c r="R709" s="30"/>
    </row>
    <row r="710" spans="18:18" ht="15.75" customHeight="1">
      <c r="R710" s="30"/>
    </row>
    <row r="711" spans="18:18" ht="15.75" customHeight="1">
      <c r="R711" s="30"/>
    </row>
    <row r="712" spans="18:18" ht="15.75" customHeight="1">
      <c r="R712" s="30"/>
    </row>
    <row r="713" spans="18:18" ht="15.75" customHeight="1">
      <c r="R713" s="30"/>
    </row>
    <row r="714" spans="18:18" ht="15.75" customHeight="1">
      <c r="R714" s="30"/>
    </row>
    <row r="715" spans="18:18" ht="15.75" customHeight="1">
      <c r="R715" s="30"/>
    </row>
    <row r="716" spans="18:18" ht="15.75" customHeight="1">
      <c r="R716" s="30"/>
    </row>
    <row r="717" spans="18:18" ht="15.75" customHeight="1">
      <c r="R717" s="30"/>
    </row>
    <row r="718" spans="18:18" ht="15.75" customHeight="1">
      <c r="R718" s="30"/>
    </row>
    <row r="719" spans="18:18" ht="15.75" customHeight="1">
      <c r="R719" s="30"/>
    </row>
    <row r="720" spans="18:18" ht="15.75" customHeight="1">
      <c r="R720" s="30"/>
    </row>
    <row r="721" spans="18:18" ht="15.75" customHeight="1">
      <c r="R721" s="30"/>
    </row>
    <row r="722" spans="18:18" ht="15.75" customHeight="1">
      <c r="R722" s="30"/>
    </row>
    <row r="723" spans="18:18" ht="15.75" customHeight="1">
      <c r="R723" s="30"/>
    </row>
    <row r="724" spans="18:18" ht="15.75" customHeight="1">
      <c r="R724" s="30"/>
    </row>
    <row r="725" spans="18:18" ht="15.75" customHeight="1">
      <c r="R725" s="30"/>
    </row>
    <row r="726" spans="18:18" ht="15.75" customHeight="1">
      <c r="R726" s="30"/>
    </row>
    <row r="727" spans="18:18" ht="15.75" customHeight="1">
      <c r="R727" s="30"/>
    </row>
    <row r="728" spans="18:18" ht="15.75" customHeight="1">
      <c r="R728" s="30"/>
    </row>
    <row r="729" spans="18:18" ht="15.75" customHeight="1">
      <c r="R729" s="30"/>
    </row>
    <row r="730" spans="18:18" ht="15.75" customHeight="1">
      <c r="R730" s="30"/>
    </row>
    <row r="731" spans="18:18" ht="15.75" customHeight="1">
      <c r="R731" s="30"/>
    </row>
    <row r="732" spans="18:18" ht="15.75" customHeight="1">
      <c r="R732" s="30"/>
    </row>
    <row r="733" spans="18:18" ht="15.75" customHeight="1">
      <c r="R733" s="30"/>
    </row>
    <row r="734" spans="18:18" ht="15.75" customHeight="1">
      <c r="R734" s="30"/>
    </row>
    <row r="735" spans="18:18" ht="15.75" customHeight="1">
      <c r="R735" s="30"/>
    </row>
    <row r="736" spans="18:18" ht="15.75" customHeight="1">
      <c r="R736" s="30"/>
    </row>
    <row r="737" spans="18:18" ht="15.75" customHeight="1">
      <c r="R737" s="30"/>
    </row>
    <row r="738" spans="18:18" ht="15.75" customHeight="1">
      <c r="R738" s="30"/>
    </row>
    <row r="739" spans="18:18" ht="15.75" customHeight="1">
      <c r="R739" s="30"/>
    </row>
    <row r="740" spans="18:18" ht="15.75" customHeight="1">
      <c r="R740" s="30"/>
    </row>
    <row r="741" spans="18:18" ht="15.75" customHeight="1">
      <c r="R741" s="30"/>
    </row>
    <row r="742" spans="18:18" ht="15.75" customHeight="1">
      <c r="R742" s="30"/>
    </row>
    <row r="743" spans="18:18" ht="15.75" customHeight="1">
      <c r="R743" s="30"/>
    </row>
    <row r="744" spans="18:18" ht="15.75" customHeight="1">
      <c r="R744" s="30"/>
    </row>
    <row r="745" spans="18:18" ht="15.75" customHeight="1">
      <c r="R745" s="30"/>
    </row>
    <row r="746" spans="18:18" ht="15.75" customHeight="1">
      <c r="R746" s="30"/>
    </row>
    <row r="747" spans="18:18" ht="15.75" customHeight="1">
      <c r="R747" s="30"/>
    </row>
    <row r="748" spans="18:18" ht="15.75" customHeight="1">
      <c r="R748" s="30"/>
    </row>
    <row r="749" spans="18:18" ht="15.75" customHeight="1">
      <c r="R749" s="30"/>
    </row>
    <row r="750" spans="18:18" ht="15.75" customHeight="1">
      <c r="R750" s="30"/>
    </row>
    <row r="751" spans="18:18" ht="15.75" customHeight="1">
      <c r="R751" s="30"/>
    </row>
    <row r="752" spans="18:18" ht="15.75" customHeight="1">
      <c r="R752" s="30"/>
    </row>
    <row r="753" spans="18:18" ht="15.75" customHeight="1">
      <c r="R753" s="30"/>
    </row>
    <row r="754" spans="18:18" ht="15.75" customHeight="1">
      <c r="R754" s="30"/>
    </row>
    <row r="755" spans="18:18" ht="15.75" customHeight="1">
      <c r="R755" s="30"/>
    </row>
    <row r="756" spans="18:18" ht="15.75" customHeight="1">
      <c r="R756" s="30"/>
    </row>
    <row r="757" spans="18:18" ht="15.75" customHeight="1">
      <c r="R757" s="30"/>
    </row>
    <row r="758" spans="18:18" ht="15.75" customHeight="1">
      <c r="R758" s="30"/>
    </row>
    <row r="759" spans="18:18" ht="15.75" customHeight="1">
      <c r="R759" s="30"/>
    </row>
    <row r="760" spans="18:18" ht="15.75" customHeight="1">
      <c r="R760" s="30"/>
    </row>
    <row r="761" spans="18:18" ht="15.75" customHeight="1">
      <c r="R761" s="30"/>
    </row>
    <row r="762" spans="18:18" ht="15.75" customHeight="1">
      <c r="R762" s="30"/>
    </row>
    <row r="763" spans="18:18" ht="15.75" customHeight="1">
      <c r="R763" s="30"/>
    </row>
    <row r="764" spans="18:18" ht="15.75" customHeight="1">
      <c r="R764" s="30"/>
    </row>
    <row r="765" spans="18:18" ht="15.75" customHeight="1">
      <c r="R765" s="30"/>
    </row>
    <row r="766" spans="18:18" ht="15.75" customHeight="1">
      <c r="R766" s="30"/>
    </row>
    <row r="767" spans="18:18" ht="15.75" customHeight="1">
      <c r="R767" s="30"/>
    </row>
    <row r="768" spans="18:18" ht="15.75" customHeight="1">
      <c r="R768" s="30"/>
    </row>
    <row r="769" spans="18:18" ht="15.75" customHeight="1">
      <c r="R769" s="30"/>
    </row>
    <row r="770" spans="18:18" ht="15.75" customHeight="1">
      <c r="R770" s="30"/>
    </row>
    <row r="771" spans="18:18" ht="15.75" customHeight="1">
      <c r="R771" s="30"/>
    </row>
    <row r="772" spans="18:18" ht="15.75" customHeight="1">
      <c r="R772" s="30"/>
    </row>
    <row r="773" spans="18:18" ht="15.75" customHeight="1">
      <c r="R773" s="30"/>
    </row>
    <row r="774" spans="18:18" ht="15.75" customHeight="1">
      <c r="R774" s="30"/>
    </row>
    <row r="775" spans="18:18" ht="15.75" customHeight="1">
      <c r="R775" s="30"/>
    </row>
    <row r="776" spans="18:18" ht="15.75" customHeight="1">
      <c r="R776" s="30"/>
    </row>
    <row r="777" spans="18:18" ht="15.75" customHeight="1">
      <c r="R777" s="30"/>
    </row>
    <row r="778" spans="18:18" ht="15.75" customHeight="1">
      <c r="R778" s="30"/>
    </row>
    <row r="779" spans="18:18" ht="15.75" customHeight="1">
      <c r="R779" s="30"/>
    </row>
    <row r="780" spans="18:18" ht="15.75" customHeight="1">
      <c r="R780" s="30"/>
    </row>
    <row r="781" spans="18:18" ht="15.75" customHeight="1">
      <c r="R781" s="30"/>
    </row>
    <row r="782" spans="18:18" ht="15.75" customHeight="1">
      <c r="R782" s="30"/>
    </row>
    <row r="783" spans="18:18" ht="15.75" customHeight="1">
      <c r="R783" s="30"/>
    </row>
    <row r="784" spans="18:18" ht="15.75" customHeight="1">
      <c r="R784" s="30"/>
    </row>
    <row r="785" spans="18:18" ht="15.75" customHeight="1">
      <c r="R785" s="30"/>
    </row>
    <row r="786" spans="18:18" ht="15.75" customHeight="1">
      <c r="R786" s="30"/>
    </row>
    <row r="787" spans="18:18" ht="15.75" customHeight="1">
      <c r="R787" s="30"/>
    </row>
    <row r="788" spans="18:18" ht="15.75" customHeight="1">
      <c r="R788" s="30"/>
    </row>
    <row r="789" spans="18:18" ht="15.75" customHeight="1">
      <c r="R789" s="30"/>
    </row>
    <row r="790" spans="18:18" ht="15.75" customHeight="1">
      <c r="R790" s="30"/>
    </row>
    <row r="791" spans="18:18" ht="15.75" customHeight="1">
      <c r="R791" s="30"/>
    </row>
    <row r="792" spans="18:18" ht="15.75" customHeight="1">
      <c r="R792" s="30"/>
    </row>
    <row r="793" spans="18:18" ht="15.75" customHeight="1">
      <c r="R793" s="30"/>
    </row>
    <row r="794" spans="18:18" ht="15.75" customHeight="1">
      <c r="R794" s="30"/>
    </row>
    <row r="795" spans="18:18" ht="15.75" customHeight="1">
      <c r="R795" s="30"/>
    </row>
    <row r="796" spans="18:18" ht="15.75" customHeight="1">
      <c r="R796" s="30"/>
    </row>
    <row r="797" spans="18:18" ht="15.75" customHeight="1">
      <c r="R797" s="30"/>
    </row>
    <row r="798" spans="18:18" ht="15.75" customHeight="1">
      <c r="R798" s="30"/>
    </row>
    <row r="799" spans="18:18" ht="15.75" customHeight="1">
      <c r="R799" s="30"/>
    </row>
    <row r="800" spans="18:18" ht="15.75" customHeight="1">
      <c r="R800" s="30"/>
    </row>
    <row r="801" spans="18:18" ht="15.75" customHeight="1">
      <c r="R801" s="30"/>
    </row>
    <row r="802" spans="18:18" ht="15.75" customHeight="1">
      <c r="R802" s="30"/>
    </row>
    <row r="803" spans="18:18" ht="15.75" customHeight="1">
      <c r="R803" s="30"/>
    </row>
    <row r="804" spans="18:18" ht="15.75" customHeight="1">
      <c r="R804" s="30"/>
    </row>
    <row r="805" spans="18:18" ht="15.75" customHeight="1">
      <c r="R805" s="30"/>
    </row>
    <row r="806" spans="18:18" ht="15.75" customHeight="1">
      <c r="R806" s="30"/>
    </row>
    <row r="807" spans="18:18" ht="15.75" customHeight="1">
      <c r="R807" s="30"/>
    </row>
    <row r="808" spans="18:18" ht="15.75" customHeight="1">
      <c r="R808" s="30"/>
    </row>
    <row r="809" spans="18:18" ht="15.75" customHeight="1">
      <c r="R809" s="30"/>
    </row>
    <row r="810" spans="18:18" ht="15.75" customHeight="1">
      <c r="R810" s="30"/>
    </row>
    <row r="811" spans="18:18" ht="15.75" customHeight="1">
      <c r="R811" s="30"/>
    </row>
    <row r="812" spans="18:18" ht="15.75" customHeight="1">
      <c r="R812" s="30"/>
    </row>
    <row r="813" spans="18:18" ht="15.75" customHeight="1">
      <c r="R813" s="30"/>
    </row>
    <row r="814" spans="18:18" ht="15.75" customHeight="1">
      <c r="R814" s="30"/>
    </row>
    <row r="815" spans="18:18" ht="15.75" customHeight="1">
      <c r="R815" s="30"/>
    </row>
    <row r="816" spans="18:18" ht="15.75" customHeight="1">
      <c r="R816" s="30"/>
    </row>
    <row r="817" spans="18:18" ht="15.75" customHeight="1">
      <c r="R817" s="30"/>
    </row>
    <row r="818" spans="18:18" ht="15.75" customHeight="1">
      <c r="R818" s="30"/>
    </row>
    <row r="819" spans="18:18" ht="15.75" customHeight="1">
      <c r="R819" s="30"/>
    </row>
    <row r="820" spans="18:18" ht="15.75" customHeight="1">
      <c r="R820" s="30"/>
    </row>
    <row r="821" spans="18:18" ht="15.75" customHeight="1">
      <c r="R821" s="30"/>
    </row>
    <row r="822" spans="18:18" ht="15.75" customHeight="1">
      <c r="R822" s="30"/>
    </row>
    <row r="823" spans="18:18" ht="15.75" customHeight="1">
      <c r="R823" s="30"/>
    </row>
    <row r="824" spans="18:18" ht="15.75" customHeight="1">
      <c r="R824" s="30"/>
    </row>
    <row r="825" spans="18:18" ht="15.75" customHeight="1">
      <c r="R825" s="30"/>
    </row>
    <row r="826" spans="18:18" ht="15.75" customHeight="1">
      <c r="R826" s="30"/>
    </row>
    <row r="827" spans="18:18" ht="15.75" customHeight="1">
      <c r="R827" s="30"/>
    </row>
    <row r="828" spans="18:18" ht="15.75" customHeight="1">
      <c r="R828" s="30"/>
    </row>
    <row r="829" spans="18:18" ht="15.75" customHeight="1">
      <c r="R829" s="30"/>
    </row>
    <row r="830" spans="18:18" ht="15.75" customHeight="1">
      <c r="R830" s="30"/>
    </row>
    <row r="831" spans="18:18" ht="15.75" customHeight="1">
      <c r="R831" s="30"/>
    </row>
    <row r="832" spans="18:18" ht="15.75" customHeight="1">
      <c r="R832" s="30"/>
    </row>
    <row r="833" spans="18:18" ht="15.75" customHeight="1">
      <c r="R833" s="30"/>
    </row>
    <row r="834" spans="18:18" ht="15.75" customHeight="1">
      <c r="R834" s="30"/>
    </row>
    <row r="835" spans="18:18" ht="15.75" customHeight="1">
      <c r="R835" s="30"/>
    </row>
    <row r="836" spans="18:18" ht="15.75" customHeight="1">
      <c r="R836" s="30"/>
    </row>
    <row r="837" spans="18:18" ht="15.75" customHeight="1">
      <c r="R837" s="30"/>
    </row>
    <row r="838" spans="18:18" ht="15.75" customHeight="1">
      <c r="R838" s="30"/>
    </row>
    <row r="839" spans="18:18" ht="15.75" customHeight="1">
      <c r="R839" s="30"/>
    </row>
    <row r="840" spans="18:18" ht="15.75" customHeight="1">
      <c r="R840" s="30"/>
    </row>
    <row r="841" spans="18:18" ht="15.75" customHeight="1">
      <c r="R841" s="30"/>
    </row>
    <row r="842" spans="18:18" ht="15.75" customHeight="1">
      <c r="R842" s="30"/>
    </row>
    <row r="843" spans="18:18" ht="15.75" customHeight="1">
      <c r="R843" s="30"/>
    </row>
    <row r="844" spans="18:18" ht="15.75" customHeight="1">
      <c r="R844" s="30"/>
    </row>
    <row r="845" spans="18:18" ht="15.75" customHeight="1">
      <c r="R845" s="30"/>
    </row>
    <row r="846" spans="18:18" ht="15.75" customHeight="1">
      <c r="R846" s="30"/>
    </row>
    <row r="847" spans="18:18" ht="15.75" customHeight="1">
      <c r="R847" s="30"/>
    </row>
    <row r="848" spans="18:18" ht="15.75" customHeight="1">
      <c r="R848" s="30"/>
    </row>
    <row r="849" spans="18:18" ht="15.75" customHeight="1">
      <c r="R849" s="30"/>
    </row>
    <row r="850" spans="18:18" ht="15.75" customHeight="1">
      <c r="R850" s="30"/>
    </row>
    <row r="851" spans="18:18" ht="15.75" customHeight="1">
      <c r="R851" s="30"/>
    </row>
    <row r="852" spans="18:18" ht="15.75" customHeight="1">
      <c r="R852" s="30"/>
    </row>
    <row r="853" spans="18:18" ht="15.75" customHeight="1">
      <c r="R853" s="30"/>
    </row>
    <row r="854" spans="18:18" ht="15.75" customHeight="1">
      <c r="R854" s="30"/>
    </row>
    <row r="855" spans="18:18" ht="15.75" customHeight="1">
      <c r="R855" s="30"/>
    </row>
    <row r="856" spans="18:18" ht="15.75" customHeight="1">
      <c r="R856" s="30"/>
    </row>
    <row r="857" spans="18:18" ht="15.75" customHeight="1">
      <c r="R857" s="30"/>
    </row>
    <row r="858" spans="18:18" ht="15.75" customHeight="1">
      <c r="R858" s="30"/>
    </row>
    <row r="859" spans="18:18" ht="15.75" customHeight="1">
      <c r="R859" s="30"/>
    </row>
    <row r="860" spans="18:18" ht="15.75" customHeight="1">
      <c r="R860" s="30"/>
    </row>
    <row r="861" spans="18:18" ht="15.75" customHeight="1">
      <c r="R861" s="30"/>
    </row>
    <row r="862" spans="18:18" ht="15.75" customHeight="1">
      <c r="R862" s="30"/>
    </row>
    <row r="863" spans="18:18" ht="15.75" customHeight="1">
      <c r="R863" s="30"/>
    </row>
    <row r="864" spans="18:18" ht="15.75" customHeight="1">
      <c r="R864" s="30"/>
    </row>
    <row r="865" spans="18:18" ht="15.75" customHeight="1">
      <c r="R865" s="30"/>
    </row>
    <row r="866" spans="18:18" ht="15.75" customHeight="1">
      <c r="R866" s="30"/>
    </row>
    <row r="867" spans="18:18" ht="15.75" customHeight="1">
      <c r="R867" s="30"/>
    </row>
    <row r="868" spans="18:18" ht="15.75" customHeight="1">
      <c r="R868" s="30"/>
    </row>
    <row r="869" spans="18:18" ht="15.75" customHeight="1">
      <c r="R869" s="30"/>
    </row>
    <row r="870" spans="18:18" ht="15.75" customHeight="1">
      <c r="R870" s="30"/>
    </row>
    <row r="871" spans="18:18" ht="15.75" customHeight="1">
      <c r="R871" s="30"/>
    </row>
    <row r="872" spans="18:18" ht="15.75" customHeight="1">
      <c r="R872" s="30"/>
    </row>
    <row r="873" spans="18:18" ht="15.75" customHeight="1">
      <c r="R873" s="30"/>
    </row>
    <row r="874" spans="18:18" ht="15.75" customHeight="1">
      <c r="R874" s="30"/>
    </row>
    <row r="875" spans="18:18" ht="15.75" customHeight="1">
      <c r="R875" s="30"/>
    </row>
    <row r="876" spans="18:18" ht="15.75" customHeight="1">
      <c r="R876" s="30"/>
    </row>
    <row r="877" spans="18:18" ht="15.75" customHeight="1">
      <c r="R877" s="30"/>
    </row>
    <row r="878" spans="18:18" ht="15.75" customHeight="1">
      <c r="R878" s="30"/>
    </row>
    <row r="879" spans="18:18" ht="15.75" customHeight="1">
      <c r="R879" s="30"/>
    </row>
    <row r="880" spans="18:18" ht="15.75" customHeight="1">
      <c r="R880" s="30"/>
    </row>
    <row r="881" spans="18:18" ht="15.75" customHeight="1">
      <c r="R881" s="30"/>
    </row>
    <row r="882" spans="18:18" ht="15.75" customHeight="1">
      <c r="R882" s="30"/>
    </row>
    <row r="883" spans="18:18" ht="15.75" customHeight="1">
      <c r="R883" s="30"/>
    </row>
    <row r="884" spans="18:18" ht="15.75" customHeight="1">
      <c r="R884" s="30"/>
    </row>
    <row r="885" spans="18:18" ht="15.75" customHeight="1">
      <c r="R885" s="30"/>
    </row>
    <row r="886" spans="18:18" ht="15.75" customHeight="1">
      <c r="R886" s="30"/>
    </row>
    <row r="887" spans="18:18" ht="15.75" customHeight="1">
      <c r="R887" s="30"/>
    </row>
    <row r="888" spans="18:18" ht="15.75" customHeight="1">
      <c r="R888" s="30"/>
    </row>
    <row r="889" spans="18:18" ht="15.75" customHeight="1">
      <c r="R889" s="30"/>
    </row>
    <row r="890" spans="18:18" ht="15.75" customHeight="1">
      <c r="R890" s="30"/>
    </row>
    <row r="891" spans="18:18" ht="15.75" customHeight="1">
      <c r="R891" s="30"/>
    </row>
    <row r="892" spans="18:18" ht="15.75" customHeight="1">
      <c r="R892" s="30"/>
    </row>
    <row r="893" spans="18:18" ht="15.75" customHeight="1">
      <c r="R893" s="30"/>
    </row>
    <row r="894" spans="18:18" ht="15.75" customHeight="1">
      <c r="R894" s="30"/>
    </row>
    <row r="895" spans="18:18" ht="15.75" customHeight="1">
      <c r="R895" s="30"/>
    </row>
    <row r="896" spans="18:18" ht="15.75" customHeight="1">
      <c r="R896" s="30"/>
    </row>
    <row r="897" spans="18:18" ht="15.75" customHeight="1">
      <c r="R897" s="30"/>
    </row>
    <row r="898" spans="18:18" ht="15.75" customHeight="1">
      <c r="R898" s="30"/>
    </row>
    <row r="899" spans="18:18" ht="15.75" customHeight="1">
      <c r="R899" s="30"/>
    </row>
    <row r="900" spans="18:18" ht="15.75" customHeight="1">
      <c r="R900" s="30"/>
    </row>
    <row r="901" spans="18:18" ht="15.75" customHeight="1">
      <c r="R901" s="30"/>
    </row>
    <row r="902" spans="18:18" ht="15.75" customHeight="1">
      <c r="R902" s="30"/>
    </row>
    <row r="903" spans="18:18" ht="15.75" customHeight="1">
      <c r="R903" s="30"/>
    </row>
    <row r="904" spans="18:18" ht="15.75" customHeight="1">
      <c r="R904" s="30"/>
    </row>
    <row r="905" spans="18:18" ht="15.75" customHeight="1">
      <c r="R905" s="30"/>
    </row>
    <row r="906" spans="18:18" ht="15.75" customHeight="1">
      <c r="R906" s="30"/>
    </row>
    <row r="907" spans="18:18" ht="15.75" customHeight="1">
      <c r="R907" s="30"/>
    </row>
    <row r="908" spans="18:18" ht="15.75" customHeight="1">
      <c r="R908" s="30"/>
    </row>
    <row r="909" spans="18:18" ht="15.75" customHeight="1">
      <c r="R909" s="30"/>
    </row>
    <row r="910" spans="18:18" ht="15.75" customHeight="1">
      <c r="R910" s="30"/>
    </row>
    <row r="911" spans="18:18" ht="15.75" customHeight="1">
      <c r="R911" s="30"/>
    </row>
    <row r="912" spans="18:18" ht="15.75" customHeight="1">
      <c r="R912" s="30"/>
    </row>
    <row r="913" spans="18:18" ht="15.75" customHeight="1">
      <c r="R913" s="30"/>
    </row>
    <row r="914" spans="18:18" ht="15.75" customHeight="1">
      <c r="R914" s="30"/>
    </row>
    <row r="915" spans="18:18" ht="15.75" customHeight="1">
      <c r="R915" s="30"/>
    </row>
    <row r="916" spans="18:18" ht="15.75" customHeight="1">
      <c r="R916" s="30"/>
    </row>
    <row r="917" spans="18:18" ht="15.75" customHeight="1">
      <c r="R917" s="30"/>
    </row>
    <row r="918" spans="18:18" ht="15.75" customHeight="1">
      <c r="R918" s="30"/>
    </row>
    <row r="919" spans="18:18" ht="15.75" customHeight="1">
      <c r="R919" s="30"/>
    </row>
    <row r="920" spans="18:18" ht="15.75" customHeight="1">
      <c r="R920" s="30"/>
    </row>
    <row r="921" spans="18:18" ht="15.75" customHeight="1">
      <c r="R921" s="30"/>
    </row>
    <row r="922" spans="18:18" ht="15.75" customHeight="1">
      <c r="R922" s="30"/>
    </row>
    <row r="923" spans="18:18" ht="15.75" customHeight="1">
      <c r="R923" s="30"/>
    </row>
    <row r="924" spans="18:18" ht="15.75" customHeight="1">
      <c r="R924" s="30"/>
    </row>
    <row r="925" spans="18:18" ht="15.75" customHeight="1">
      <c r="R925" s="30"/>
    </row>
    <row r="926" spans="18:18" ht="15.75" customHeight="1">
      <c r="R926" s="30"/>
    </row>
    <row r="927" spans="18:18" ht="15.75" customHeight="1">
      <c r="R927" s="30"/>
    </row>
    <row r="928" spans="18:18" ht="15.75" customHeight="1">
      <c r="R928" s="30"/>
    </row>
    <row r="929" spans="18:18" ht="15.75" customHeight="1">
      <c r="R929" s="30"/>
    </row>
    <row r="930" spans="18:18" ht="15.75" customHeight="1">
      <c r="R930" s="30"/>
    </row>
    <row r="931" spans="18:18" ht="15.75" customHeight="1">
      <c r="R931" s="30"/>
    </row>
    <row r="932" spans="18:18" ht="15.75" customHeight="1">
      <c r="R932" s="30"/>
    </row>
    <row r="933" spans="18:18" ht="15.75" customHeight="1">
      <c r="R933" s="30"/>
    </row>
    <row r="934" spans="18:18" ht="15.75" customHeight="1">
      <c r="R934" s="30"/>
    </row>
    <row r="935" spans="18:18" ht="15.75" customHeight="1">
      <c r="R935" s="30"/>
    </row>
    <row r="936" spans="18:18" ht="15.75" customHeight="1">
      <c r="R936" s="30"/>
    </row>
    <row r="937" spans="18:18" ht="15.75" customHeight="1">
      <c r="R937" s="30"/>
    </row>
    <row r="938" spans="18:18" ht="15.75" customHeight="1">
      <c r="R938" s="30"/>
    </row>
    <row r="939" spans="18:18" ht="15.75" customHeight="1">
      <c r="R939" s="30"/>
    </row>
    <row r="940" spans="18:18" ht="15.75" customHeight="1">
      <c r="R940" s="30"/>
    </row>
    <row r="941" spans="18:18" ht="15.75" customHeight="1">
      <c r="R941" s="30"/>
    </row>
    <row r="942" spans="18:18" ht="15.75" customHeight="1">
      <c r="R942" s="30"/>
    </row>
    <row r="943" spans="18:18" ht="15.75" customHeight="1">
      <c r="R943" s="30"/>
    </row>
    <row r="944" spans="18:18" ht="15.75" customHeight="1">
      <c r="R944" s="30"/>
    </row>
    <row r="945" spans="18:18" ht="15.75" customHeight="1">
      <c r="R945" s="30"/>
    </row>
    <row r="946" spans="18:18" ht="15.75" customHeight="1">
      <c r="R946" s="30"/>
    </row>
    <row r="947" spans="18:18" ht="15.75" customHeight="1">
      <c r="R947" s="30"/>
    </row>
    <row r="948" spans="18:18" ht="15.75" customHeight="1">
      <c r="R948" s="30"/>
    </row>
    <row r="949" spans="18:18" ht="15.75" customHeight="1">
      <c r="R949" s="30"/>
    </row>
    <row r="950" spans="18:18" ht="15.75" customHeight="1">
      <c r="R950" s="30"/>
    </row>
    <row r="951" spans="18:18" ht="15.75" customHeight="1">
      <c r="R951" s="30"/>
    </row>
    <row r="952" spans="18:18" ht="15.75" customHeight="1">
      <c r="R952" s="30"/>
    </row>
    <row r="953" spans="18:18" ht="15.75" customHeight="1">
      <c r="R953" s="30"/>
    </row>
    <row r="954" spans="18:18" ht="15.75" customHeight="1">
      <c r="R954" s="30"/>
    </row>
    <row r="955" spans="18:18" ht="15.75" customHeight="1">
      <c r="R955" s="30"/>
    </row>
    <row r="956" spans="18:18" ht="15.75" customHeight="1">
      <c r="R956" s="30"/>
    </row>
    <row r="957" spans="18:18" ht="15.75" customHeight="1">
      <c r="R957" s="30"/>
    </row>
    <row r="958" spans="18:18" ht="15.75" customHeight="1">
      <c r="R958" s="30"/>
    </row>
    <row r="959" spans="18:18" ht="15.75" customHeight="1">
      <c r="R959" s="30"/>
    </row>
    <row r="960" spans="18:18" ht="15.75" customHeight="1">
      <c r="R960" s="30"/>
    </row>
    <row r="961" spans="18:18" ht="15.75" customHeight="1">
      <c r="R961" s="30"/>
    </row>
    <row r="962" spans="18:18" ht="15.75" customHeight="1">
      <c r="R962" s="30"/>
    </row>
    <row r="963" spans="18:18" ht="15.75" customHeight="1">
      <c r="R963" s="30"/>
    </row>
    <row r="964" spans="18:18" ht="15.75" customHeight="1">
      <c r="R964" s="30"/>
    </row>
    <row r="965" spans="18:18" ht="15.75" customHeight="1">
      <c r="R965" s="30"/>
    </row>
    <row r="966" spans="18:18" ht="15.75" customHeight="1">
      <c r="R966" s="30"/>
    </row>
    <row r="967" spans="18:18" ht="15.75" customHeight="1">
      <c r="R967" s="30"/>
    </row>
    <row r="968" spans="18:18" ht="15.75" customHeight="1">
      <c r="R968" s="30"/>
    </row>
    <row r="969" spans="18:18" ht="15.75" customHeight="1">
      <c r="R969" s="30"/>
    </row>
    <row r="970" spans="18:18" ht="15.75" customHeight="1">
      <c r="R970" s="30"/>
    </row>
    <row r="971" spans="18:18" ht="15.75" customHeight="1">
      <c r="R971" s="30"/>
    </row>
    <row r="972" spans="18:18" ht="15.75" customHeight="1">
      <c r="R972" s="30"/>
    </row>
    <row r="973" spans="18:18" ht="15.75" customHeight="1">
      <c r="R973" s="30"/>
    </row>
    <row r="974" spans="18:18" ht="15.75" customHeight="1">
      <c r="R974" s="30"/>
    </row>
    <row r="975" spans="18:18" ht="15.75" customHeight="1">
      <c r="R975" s="30"/>
    </row>
    <row r="976" spans="18:18" ht="15.75" customHeight="1">
      <c r="R976" s="30"/>
    </row>
    <row r="977" spans="18:18" ht="15.75" customHeight="1">
      <c r="R977" s="30"/>
    </row>
    <row r="978" spans="18:18" ht="15.75" customHeight="1">
      <c r="R978" s="30"/>
    </row>
    <row r="979" spans="18:18" ht="15.75" customHeight="1">
      <c r="R979" s="30"/>
    </row>
    <row r="980" spans="18:18" ht="15.75" customHeight="1">
      <c r="R980" s="30"/>
    </row>
    <row r="981" spans="18:18" ht="15.75" customHeight="1">
      <c r="R981" s="30"/>
    </row>
    <row r="982" spans="18:18" ht="15.75" customHeight="1">
      <c r="R982" s="30"/>
    </row>
    <row r="983" spans="18:18" ht="15.75" customHeight="1">
      <c r="R983" s="30"/>
    </row>
    <row r="984" spans="18:18" ht="15.75" customHeight="1">
      <c r="R984" s="30"/>
    </row>
    <row r="985" spans="18:18" ht="15.75" customHeight="1">
      <c r="R985" s="30"/>
    </row>
    <row r="986" spans="18:18" ht="15.75" customHeight="1">
      <c r="R986" s="30"/>
    </row>
    <row r="987" spans="18:18" ht="15.75" customHeight="1">
      <c r="R987" s="30"/>
    </row>
    <row r="988" spans="18:18" ht="15.75" customHeight="1">
      <c r="R988" s="30"/>
    </row>
    <row r="989" spans="18:18" ht="15.75" customHeight="1">
      <c r="R989" s="30"/>
    </row>
    <row r="990" spans="18:18" ht="15.75" customHeight="1">
      <c r="R990" s="30"/>
    </row>
    <row r="991" spans="18:18" ht="15.75" customHeight="1">
      <c r="R991" s="30"/>
    </row>
    <row r="992" spans="18:18" ht="15.75" customHeight="1">
      <c r="R992" s="30"/>
    </row>
    <row r="993" spans="18:18" ht="15.75" customHeight="1">
      <c r="R993" s="30"/>
    </row>
    <row r="994" spans="18:18" ht="15.75" customHeight="1">
      <c r="R994" s="30"/>
    </row>
    <row r="995" spans="18:18" ht="15.75" customHeight="1">
      <c r="R995" s="30"/>
    </row>
    <row r="996" spans="18:18" ht="15.75" customHeight="1">
      <c r="R996" s="30"/>
    </row>
    <row r="997" spans="18:18" ht="15.75" customHeight="1">
      <c r="R997" s="30"/>
    </row>
    <row r="998" spans="18:18" ht="15.75" customHeight="1">
      <c r="R998" s="30"/>
    </row>
    <row r="999" spans="18:18" ht="15.75" customHeight="1">
      <c r="R999" s="30"/>
    </row>
    <row r="1000" spans="18:18" ht="15.75" customHeight="1">
      <c r="R1000" s="3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2.6640625" defaultRowHeight="15" customHeight="1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8.6640625" customWidth="1"/>
    <col min="6" max="6" width="9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17.6640625" customWidth="1"/>
    <col min="16" max="16" width="10" customWidth="1"/>
    <col min="17" max="18" width="7.33203125" customWidth="1"/>
    <col min="19" max="19" width="7.1640625" customWidth="1"/>
    <col min="20" max="20" width="11.1640625" customWidth="1"/>
    <col min="21" max="21" width="13.5" customWidth="1"/>
    <col min="22" max="22" width="64.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6640625" customWidth="1"/>
    <col min="32" max="32" width="10.1640625" customWidth="1"/>
    <col min="33" max="33" width="8.83203125" customWidth="1"/>
  </cols>
  <sheetData>
    <row r="1" spans="1:33" ht="18.75" customHeight="1">
      <c r="A1" s="46" t="str">
        <f ca="1">IFERROR(__xludf.DUMMYFUNCTION("IFERROR(VLOOKUP(B2,IMPORTRANGE(""https://docs.google.com/spreadsheets/d/1x0DhHglkXKoEBOD2MBsuK_EyIr1ouxD2ftIpqOYFa-k/edit?usp=sharing"",""Ubiquitty-SKU-Specific Info!B1:BJ5000""),3,FALSE),"""")"),"10 Ft Black Oil Resistant Extension Cord for Farms and Ranches - 14/3 SJTOW Heavy Duty Cable with 3 Prong Grounded Plug for Safety")</f>
        <v>10 Ft Black Oil Resistant Extension Cord for Farms and Ranches - 14/3 SJTOW Heavy Duty Cable with 3 Prong Grounded Plug for Safety</v>
      </c>
      <c r="B1" s="47"/>
      <c r="C1" s="48" t="s">
        <v>0</v>
      </c>
      <c r="D1" s="50" t="s">
        <v>1</v>
      </c>
      <c r="E1" s="50" t="s">
        <v>2</v>
      </c>
      <c r="F1" s="52" t="s">
        <v>3</v>
      </c>
      <c r="G1" s="52" t="s">
        <v>4</v>
      </c>
      <c r="H1" s="53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58" t="s">
        <v>10</v>
      </c>
      <c r="N1" s="59" t="s">
        <v>11</v>
      </c>
      <c r="O1" s="50" t="s">
        <v>12</v>
      </c>
      <c r="P1" s="50" t="s">
        <v>13</v>
      </c>
      <c r="Q1" s="57" t="s">
        <v>14</v>
      </c>
      <c r="R1" s="57" t="s">
        <v>15</v>
      </c>
      <c r="S1" s="60" t="s">
        <v>16</v>
      </c>
      <c r="T1" s="62" t="s">
        <v>2006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Info!B1:BJ5000""),2,FALSE),"""")"),"B081GWBT4Q")</f>
        <v>B081GWBT4Q</v>
      </c>
      <c r="B2" s="3" t="s">
        <v>1791</v>
      </c>
      <c r="C2" s="49"/>
      <c r="D2" s="49"/>
      <c r="E2" s="51"/>
      <c r="F2" s="49"/>
      <c r="G2" s="49"/>
      <c r="H2" s="54"/>
      <c r="I2" s="49"/>
      <c r="J2" s="49"/>
      <c r="K2" s="54"/>
      <c r="L2" s="54"/>
      <c r="M2" s="54"/>
      <c r="N2" s="49"/>
      <c r="O2" s="49"/>
      <c r="P2" s="51"/>
      <c r="Q2" s="49"/>
      <c r="R2" s="49"/>
      <c r="S2" s="61"/>
      <c r="T2" s="47"/>
      <c r="U2" s="63"/>
      <c r="V2" s="63"/>
      <c r="W2" s="47"/>
      <c r="X2" s="47"/>
      <c r="Y2" s="47"/>
      <c r="Z2" s="47"/>
      <c r="AA2" s="63"/>
      <c r="AB2" s="63"/>
      <c r="AC2" s="63"/>
      <c r="AD2" s="63"/>
      <c r="AE2" s="47"/>
      <c r="AF2" s="47"/>
      <c r="AG2" s="47"/>
    </row>
    <row r="3" spans="1:33" ht="162.75" customHeight="1">
      <c r="A3" s="55" t="s">
        <v>31</v>
      </c>
      <c r="B3" s="56"/>
      <c r="C3" s="4">
        <f>((AE32+AF32)/0.85)*-1</f>
        <v>8.3694160969411762</v>
      </c>
      <c r="D3" s="5">
        <f>SUM(D4:D99765)</f>
        <v>373</v>
      </c>
      <c r="E3" s="5"/>
      <c r="F3" s="6">
        <f t="shared" ref="F3:G3" si="0">SUM(F4:F99765)</f>
        <v>5602.37</v>
      </c>
      <c r="G3" s="6">
        <f t="shared" si="0"/>
        <v>-77.669999999999987</v>
      </c>
      <c r="H3" s="7">
        <f t="shared" ref="H3:H32" si="1">G3/F3*-1</f>
        <v>1.3863775509293387E-2</v>
      </c>
      <c r="I3" s="8">
        <f t="shared" ref="I3:I32" si="2">J3/F3</f>
        <v>0.32753668847189094</v>
      </c>
      <c r="J3" s="6">
        <f>SUM(J4:J99765)</f>
        <v>1834.9817173942674</v>
      </c>
      <c r="K3" s="6">
        <f t="shared" ref="K3:K32" si="3">J3/D3</f>
        <v>4.9195220305476335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Sheet!a1:g5000""),2,FALSE),"""")"),"2 - March
2 - April
2 - May
2 - June
2 - July
2 - Aug
2 - Sept
2 - Oct
2.5 - Nov
3 - Dec
2 - Jan
2 - Feb")</f>
        <v>2 - March
2 - April
2 - May
2 - June
2 - July
2 - Aug
2 - Sept
2 - Oct
2.5 - Nov
3 - Dec
2 - Jan
2 -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QTY-100")</f>
        <v>US QTY-100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26</v>
      </c>
      <c r="X3" s="7">
        <f>W3/D3</f>
        <v>6.9705093833780166E-2</v>
      </c>
      <c r="Y3" s="6"/>
      <c r="Z3" s="5"/>
      <c r="AA3" s="5"/>
      <c r="AB3" s="5"/>
      <c r="AC3" s="5"/>
      <c r="AD3" s="6">
        <f>SUM(AD4:AD99765)</f>
        <v>-19.493644719394556</v>
      </c>
      <c r="AE3" s="6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Info!B2:BZ3000""),37,FALSE)),"""")*-1"),-2.8640036824)</f>
        <v>-2.8640036823999999</v>
      </c>
      <c r="AG3" s="6">
        <f>SUM(AG4:AG99765)</f>
        <v>0</v>
      </c>
    </row>
    <row r="4" spans="1:33" ht="15.75" customHeight="1">
      <c r="A4" s="14" t="s">
        <v>181</v>
      </c>
      <c r="B4" s="14" t="s">
        <v>706</v>
      </c>
      <c r="C4" s="15">
        <f t="shared" ref="C4:C32" si="4">IFERROR(F4/D4," - ")</f>
        <v>17.014999999999997</v>
      </c>
      <c r="D4" s="16">
        <v>12</v>
      </c>
      <c r="E4" s="16">
        <v>1</v>
      </c>
      <c r="F4" s="17">
        <v>204.17999999999995</v>
      </c>
      <c r="G4" s="17">
        <v>0</v>
      </c>
      <c r="H4" s="18">
        <f t="shared" si="1"/>
        <v>0</v>
      </c>
      <c r="I4" s="18">
        <f t="shared" si="2"/>
        <v>0.3955169422850876</v>
      </c>
      <c r="J4" s="17">
        <f t="shared" ref="J4:J32" si="5">F4*0.85+G4+AF4*D4+D4*AE4+AG4+AD4</f>
        <v>80.756649275769163</v>
      </c>
      <c r="K4" s="17">
        <f t="shared" si="3"/>
        <v>6.7297207729807633</v>
      </c>
      <c r="L4" s="16">
        <v>37</v>
      </c>
      <c r="M4" s="19">
        <f t="shared" ref="M4:M32" si="6">IFERROR(D4/L4,"-")</f>
        <v>0.32432432432432434</v>
      </c>
      <c r="N4" s="16">
        <v>37</v>
      </c>
      <c r="O4" s="20">
        <f t="shared" ref="O4:P4" si="7">D4/7</f>
        <v>1.7142857142857142</v>
      </c>
      <c r="P4" s="20">
        <f t="shared" si="7"/>
        <v>0.14285714285714285</v>
      </c>
      <c r="Q4" s="16">
        <f t="shared" ref="Q4:Q32" si="8">ROUNDDOWN(N4/(O4+P4),0)</f>
        <v>19</v>
      </c>
      <c r="R4" s="16"/>
      <c r="S4" s="21">
        <v>1.77285318559556</v>
      </c>
      <c r="T4" s="14">
        <v>280</v>
      </c>
      <c r="U4" s="22">
        <v>60</v>
      </c>
      <c r="V4" s="23" t="s">
        <v>1792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26" t="s">
        <v>35</v>
      </c>
      <c r="AB4" s="27">
        <f t="shared" ref="AB4:AB32" si="11">IF(OR(AA4="UsLargeStandardSize",AA4="UsSmallStandardSize"),-0.69,-0.48)</f>
        <v>-0.69</v>
      </c>
      <c r="AC4" s="28">
        <v>3.7869562500000009E-2</v>
      </c>
      <c r="AD4" s="25">
        <f t="shared" ref="AD4:AD32" si="12">IFERROR(AB4*AC4*D4*2,0)</f>
        <v>-0.62711995500000017</v>
      </c>
      <c r="AE4" s="25">
        <v>-4.9000000000000004</v>
      </c>
      <c r="AF4" s="25">
        <v>-2.7807692307692307</v>
      </c>
      <c r="AG4" s="25">
        <v>0</v>
      </c>
    </row>
    <row r="5" spans="1:33" ht="15.75" customHeight="1">
      <c r="A5" s="14" t="s">
        <v>183</v>
      </c>
      <c r="B5" s="14" t="s">
        <v>1793</v>
      </c>
      <c r="C5" s="15">
        <f t="shared" si="4"/>
        <v>17.98</v>
      </c>
      <c r="D5" s="16">
        <v>11</v>
      </c>
      <c r="E5" s="16">
        <v>0</v>
      </c>
      <c r="F5" s="29">
        <v>197.78</v>
      </c>
      <c r="G5" s="29">
        <v>0</v>
      </c>
      <c r="H5" s="18">
        <f t="shared" si="1"/>
        <v>0</v>
      </c>
      <c r="I5" s="18">
        <f t="shared" si="2"/>
        <v>0.4199060187311352</v>
      </c>
      <c r="J5" s="17">
        <f t="shared" si="5"/>
        <v>83.049012384643916</v>
      </c>
      <c r="K5" s="17">
        <f t="shared" si="3"/>
        <v>7.5499102167858103</v>
      </c>
      <c r="L5" s="16">
        <v>34</v>
      </c>
      <c r="M5" s="19">
        <f t="shared" si="6"/>
        <v>0.3235294117647059</v>
      </c>
      <c r="N5" s="16">
        <v>84</v>
      </c>
      <c r="O5" s="20">
        <f t="shared" ref="O5:P5" si="13">D5/7</f>
        <v>1.5714285714285714</v>
      </c>
      <c r="P5" s="20">
        <f t="shared" si="13"/>
        <v>0</v>
      </c>
      <c r="Q5" s="16">
        <f t="shared" si="8"/>
        <v>53</v>
      </c>
      <c r="R5" s="16"/>
      <c r="S5" s="21">
        <v>1.9662921348314599</v>
      </c>
      <c r="T5" s="14">
        <v>280</v>
      </c>
      <c r="U5" s="22">
        <v>60</v>
      </c>
      <c r="V5" s="23" t="s">
        <v>1794</v>
      </c>
      <c r="W5" s="14">
        <v>0</v>
      </c>
      <c r="X5" s="24">
        <f t="shared" si="9"/>
        <v>0</v>
      </c>
      <c r="Y5" s="25">
        <f t="shared" si="10"/>
        <v>0</v>
      </c>
      <c r="Z5" s="14">
        <v>0</v>
      </c>
      <c r="AA5" s="14" t="s">
        <v>35</v>
      </c>
      <c r="AB5" s="27">
        <f t="shared" si="11"/>
        <v>-0.69</v>
      </c>
      <c r="AC5" s="28">
        <v>3.7913443800695258E-2</v>
      </c>
      <c r="AD5" s="25">
        <f t="shared" si="12"/>
        <v>-0.57552607689455393</v>
      </c>
      <c r="AE5" s="25">
        <v>-4.9000000000000004</v>
      </c>
      <c r="AF5" s="25">
        <v>-2.7807692307692307</v>
      </c>
      <c r="AG5" s="25">
        <v>0</v>
      </c>
    </row>
    <row r="6" spans="1:33" ht="15.75" customHeight="1">
      <c r="A6" s="14" t="s">
        <v>185</v>
      </c>
      <c r="B6" s="14" t="s">
        <v>68</v>
      </c>
      <c r="C6" s="15">
        <f t="shared" si="4"/>
        <v>15.683333333333332</v>
      </c>
      <c r="D6" s="16">
        <v>3</v>
      </c>
      <c r="E6" s="16">
        <v>0</v>
      </c>
      <c r="F6" s="29">
        <v>47.05</v>
      </c>
      <c r="G6" s="29">
        <v>-0.05</v>
      </c>
      <c r="H6" s="18">
        <f t="shared" si="1"/>
        <v>1.0626992561105209E-3</v>
      </c>
      <c r="I6" s="18">
        <f t="shared" si="2"/>
        <v>0.35586423632183439</v>
      </c>
      <c r="J6" s="17">
        <f t="shared" si="5"/>
        <v>16.743412318942308</v>
      </c>
      <c r="K6" s="17">
        <f t="shared" si="3"/>
        <v>5.5811374396474358</v>
      </c>
      <c r="L6" s="16">
        <v>23</v>
      </c>
      <c r="M6" s="19">
        <f t="shared" si="6"/>
        <v>0.13043478260869565</v>
      </c>
      <c r="N6" s="16">
        <v>80</v>
      </c>
      <c r="O6" s="20">
        <f t="shared" ref="O6:P6" si="14">D6/7</f>
        <v>0.42857142857142855</v>
      </c>
      <c r="P6" s="20">
        <f t="shared" si="14"/>
        <v>0</v>
      </c>
      <c r="Q6" s="16">
        <f t="shared" si="8"/>
        <v>186</v>
      </c>
      <c r="R6" s="16"/>
      <c r="S6" s="21">
        <v>2.2641509433962201</v>
      </c>
      <c r="T6" s="14">
        <v>340</v>
      </c>
      <c r="U6" s="22">
        <v>220</v>
      </c>
      <c r="V6" s="23" t="s">
        <v>1795</v>
      </c>
      <c r="W6" s="14">
        <v>0</v>
      </c>
      <c r="X6" s="24">
        <f t="shared" si="9"/>
        <v>0</v>
      </c>
      <c r="Y6" s="25">
        <f t="shared" si="10"/>
        <v>0.05</v>
      </c>
      <c r="Z6" s="14">
        <v>1</v>
      </c>
      <c r="AA6" s="14" t="s">
        <v>35</v>
      </c>
      <c r="AB6" s="27">
        <f t="shared" si="11"/>
        <v>-0.69</v>
      </c>
      <c r="AC6" s="28">
        <v>3.7869562500000009E-2</v>
      </c>
      <c r="AD6" s="25">
        <f t="shared" si="12"/>
        <v>-0.15677998875000004</v>
      </c>
      <c r="AE6" s="25">
        <v>-4.9000000000000004</v>
      </c>
      <c r="AF6" s="25">
        <v>-2.7807692307692307</v>
      </c>
      <c r="AG6" s="25">
        <v>0</v>
      </c>
    </row>
    <row r="7" spans="1:33" ht="15.75" customHeight="1">
      <c r="A7" s="14" t="s">
        <v>187</v>
      </c>
      <c r="B7" s="14" t="s">
        <v>68</v>
      </c>
      <c r="C7" s="15">
        <f t="shared" si="4"/>
        <v>14.168571428571427</v>
      </c>
      <c r="D7" s="16">
        <v>21</v>
      </c>
      <c r="E7" s="16">
        <v>1</v>
      </c>
      <c r="F7" s="29">
        <v>297.53999999999996</v>
      </c>
      <c r="G7" s="29">
        <v>0</v>
      </c>
      <c r="H7" s="18">
        <f t="shared" si="1"/>
        <v>0</v>
      </c>
      <c r="I7" s="18">
        <f t="shared" si="2"/>
        <v>0.30421249658061472</v>
      </c>
      <c r="J7" s="17">
        <f t="shared" si="5"/>
        <v>90.5153862325961</v>
      </c>
      <c r="K7" s="17">
        <f t="shared" si="3"/>
        <v>4.3102564872664813</v>
      </c>
      <c r="L7" s="16">
        <v>31</v>
      </c>
      <c r="M7" s="19">
        <f t="shared" si="6"/>
        <v>0.67741935483870963</v>
      </c>
      <c r="N7" s="16">
        <v>58</v>
      </c>
      <c r="O7" s="20">
        <f t="shared" ref="O7:P7" si="15">D7/7</f>
        <v>3</v>
      </c>
      <c r="P7" s="20">
        <f t="shared" si="15"/>
        <v>0.14285714285714285</v>
      </c>
      <c r="Q7" s="16">
        <f t="shared" si="8"/>
        <v>18</v>
      </c>
      <c r="R7" s="16"/>
      <c r="S7" s="21">
        <v>3.2094861660078999</v>
      </c>
      <c r="T7" s="14">
        <v>540</v>
      </c>
      <c r="U7" s="22">
        <v>220</v>
      </c>
      <c r="V7" s="23" t="s">
        <v>1796</v>
      </c>
      <c r="W7" s="14">
        <v>0</v>
      </c>
      <c r="X7" s="24">
        <f t="shared" si="9"/>
        <v>0</v>
      </c>
      <c r="Y7" s="25">
        <f t="shared" si="10"/>
        <v>0</v>
      </c>
      <c r="Z7" s="14">
        <v>0</v>
      </c>
      <c r="AA7" s="14" t="s">
        <v>35</v>
      </c>
      <c r="AB7" s="27">
        <f t="shared" si="11"/>
        <v>-0.69</v>
      </c>
      <c r="AC7" s="28">
        <v>3.7869562500000009E-2</v>
      </c>
      <c r="AD7" s="25">
        <f t="shared" si="12"/>
        <v>-1.0974599212500002</v>
      </c>
      <c r="AE7" s="25">
        <v>-4.9000000000000004</v>
      </c>
      <c r="AF7" s="25">
        <v>-2.7807692307692307</v>
      </c>
      <c r="AG7" s="25">
        <v>0</v>
      </c>
    </row>
    <row r="8" spans="1:33" ht="15.75" customHeight="1">
      <c r="A8" s="14" t="s">
        <v>189</v>
      </c>
      <c r="B8" s="14" t="s">
        <v>1797</v>
      </c>
      <c r="C8" s="15">
        <f t="shared" si="4"/>
        <v>12.955714285714285</v>
      </c>
      <c r="D8" s="16">
        <v>28</v>
      </c>
      <c r="E8" s="16">
        <v>0</v>
      </c>
      <c r="F8" s="29">
        <v>362.76</v>
      </c>
      <c r="G8" s="29">
        <v>0</v>
      </c>
      <c r="H8" s="18">
        <f t="shared" si="1"/>
        <v>0</v>
      </c>
      <c r="I8" s="18">
        <f t="shared" si="2"/>
        <v>0.25317763839728752</v>
      </c>
      <c r="J8" s="17">
        <f t="shared" si="5"/>
        <v>91.842720105000012</v>
      </c>
      <c r="K8" s="17">
        <f t="shared" si="3"/>
        <v>3.2800971466071434</v>
      </c>
      <c r="L8" s="16">
        <v>30</v>
      </c>
      <c r="M8" s="19">
        <f t="shared" si="6"/>
        <v>0.93333333333333335</v>
      </c>
      <c r="N8" s="16">
        <v>32</v>
      </c>
      <c r="O8" s="20">
        <f t="shared" ref="O8:P8" si="16">D8/7</f>
        <v>4</v>
      </c>
      <c r="P8" s="20">
        <f t="shared" si="16"/>
        <v>0</v>
      </c>
      <c r="Q8" s="16">
        <f t="shared" si="8"/>
        <v>8</v>
      </c>
      <c r="R8" s="16"/>
      <c r="S8" s="21">
        <v>2.2886075949367002</v>
      </c>
      <c r="T8" s="14">
        <v>320</v>
      </c>
      <c r="U8" s="22">
        <v>120</v>
      </c>
      <c r="V8" s="23" t="s">
        <v>1798</v>
      </c>
      <c r="W8" s="14">
        <v>0</v>
      </c>
      <c r="X8" s="24">
        <f t="shared" si="9"/>
        <v>0</v>
      </c>
      <c r="Y8" s="25">
        <f t="shared" si="10"/>
        <v>0</v>
      </c>
      <c r="Z8" s="14">
        <v>0</v>
      </c>
      <c r="AA8" s="14" t="s">
        <v>35</v>
      </c>
      <c r="AB8" s="27">
        <f t="shared" si="11"/>
        <v>-0.69</v>
      </c>
      <c r="AC8" s="28">
        <v>3.7869562500000009E-2</v>
      </c>
      <c r="AD8" s="25">
        <f t="shared" si="12"/>
        <v>-1.4632798950000003</v>
      </c>
      <c r="AE8" s="25">
        <v>-4.9000000000000004</v>
      </c>
      <c r="AF8" s="25">
        <v>-2.78</v>
      </c>
      <c r="AG8" s="25">
        <v>0</v>
      </c>
    </row>
    <row r="9" spans="1:33" ht="15.75" customHeight="1">
      <c r="A9" s="14" t="s">
        <v>191</v>
      </c>
      <c r="B9" s="14" t="s">
        <v>343</v>
      </c>
      <c r="C9" s="15">
        <f t="shared" si="4"/>
        <v>13.765555555555554</v>
      </c>
      <c r="D9" s="16">
        <v>27</v>
      </c>
      <c r="E9" s="16">
        <v>0</v>
      </c>
      <c r="F9" s="29">
        <v>371.66999999999996</v>
      </c>
      <c r="G9" s="29">
        <v>0</v>
      </c>
      <c r="H9" s="18">
        <f t="shared" si="1"/>
        <v>0</v>
      </c>
      <c r="I9" s="18">
        <f t="shared" si="2"/>
        <v>0.28398646469184879</v>
      </c>
      <c r="J9" s="17">
        <f t="shared" si="5"/>
        <v>105.54924933201943</v>
      </c>
      <c r="K9" s="17">
        <f t="shared" si="3"/>
        <v>3.9092314567414603</v>
      </c>
      <c r="L9" s="16">
        <v>65</v>
      </c>
      <c r="M9" s="19">
        <f t="shared" si="6"/>
        <v>0.41538461538461541</v>
      </c>
      <c r="N9" s="16">
        <v>6</v>
      </c>
      <c r="O9" s="20">
        <f t="shared" ref="O9:P9" si="17">D9/7</f>
        <v>3.8571428571428572</v>
      </c>
      <c r="P9" s="20">
        <f t="shared" si="17"/>
        <v>0</v>
      </c>
      <c r="Q9" s="16">
        <f t="shared" si="8"/>
        <v>1</v>
      </c>
      <c r="R9" s="16"/>
      <c r="S9" s="21">
        <v>2.6307277628032302</v>
      </c>
      <c r="T9" s="14">
        <v>320</v>
      </c>
      <c r="U9" s="22">
        <v>120</v>
      </c>
      <c r="V9" s="23" t="s">
        <v>1799</v>
      </c>
      <c r="W9" s="14">
        <v>0</v>
      </c>
      <c r="X9" s="24">
        <f t="shared" si="9"/>
        <v>0</v>
      </c>
      <c r="Y9" s="25">
        <f t="shared" si="10"/>
        <v>0</v>
      </c>
      <c r="Z9" s="14">
        <v>0</v>
      </c>
      <c r="AA9" s="14" t="s">
        <v>35</v>
      </c>
      <c r="AB9" s="27">
        <f t="shared" si="11"/>
        <v>-0.69</v>
      </c>
      <c r="AC9" s="28">
        <v>3.7869562500000009E-2</v>
      </c>
      <c r="AD9" s="25">
        <f t="shared" si="12"/>
        <v>-1.4110198987500002</v>
      </c>
      <c r="AE9" s="25">
        <v>-4.9000000000000004</v>
      </c>
      <c r="AF9" s="25">
        <v>-2.8392307692307601</v>
      </c>
      <c r="AG9" s="25">
        <v>0</v>
      </c>
    </row>
    <row r="10" spans="1:33" ht="15.75" customHeight="1">
      <c r="A10" s="14" t="s">
        <v>192</v>
      </c>
      <c r="B10" s="14" t="s">
        <v>1244</v>
      </c>
      <c r="C10" s="15">
        <f t="shared" si="4"/>
        <v>13.949999999999998</v>
      </c>
      <c r="D10" s="16">
        <v>3</v>
      </c>
      <c r="E10" s="16">
        <v>0</v>
      </c>
      <c r="F10" s="29">
        <v>41.849999999999994</v>
      </c>
      <c r="G10" s="29">
        <v>0</v>
      </c>
      <c r="H10" s="18">
        <f t="shared" si="1"/>
        <v>0</v>
      </c>
      <c r="I10" s="18">
        <f t="shared" si="2"/>
        <v>0.29147019602288443</v>
      </c>
      <c r="J10" s="17">
        <f t="shared" si="5"/>
        <v>12.198027703557711</v>
      </c>
      <c r="K10" s="17">
        <f t="shared" si="3"/>
        <v>4.0660092345192371</v>
      </c>
      <c r="L10" s="16">
        <v>2</v>
      </c>
      <c r="M10" s="19">
        <f t="shared" si="6"/>
        <v>1.5</v>
      </c>
      <c r="N10" s="16">
        <v>40</v>
      </c>
      <c r="O10" s="20">
        <f t="shared" ref="O10:P10" si="18">D10/7</f>
        <v>0.42857142857142855</v>
      </c>
      <c r="P10" s="20">
        <f t="shared" si="18"/>
        <v>0</v>
      </c>
      <c r="Q10" s="16">
        <f t="shared" si="8"/>
        <v>93</v>
      </c>
      <c r="R10" s="16"/>
      <c r="S10" s="21">
        <v>2.5745856353591101</v>
      </c>
      <c r="T10" s="14">
        <v>320</v>
      </c>
      <c r="U10" s="22">
        <v>120</v>
      </c>
      <c r="V10" s="23" t="s">
        <v>1800</v>
      </c>
      <c r="W10" s="14">
        <v>0</v>
      </c>
      <c r="X10" s="24">
        <f t="shared" si="9"/>
        <v>0</v>
      </c>
      <c r="Y10" s="25">
        <f t="shared" si="10"/>
        <v>0</v>
      </c>
      <c r="Z10" s="14">
        <v>0</v>
      </c>
      <c r="AA10" s="14" t="s">
        <v>35</v>
      </c>
      <c r="AB10" s="27">
        <f t="shared" si="11"/>
        <v>-0.69</v>
      </c>
      <c r="AC10" s="28">
        <v>3.7869562500000009E-2</v>
      </c>
      <c r="AD10" s="25">
        <f t="shared" si="12"/>
        <v>-0.15677998875000004</v>
      </c>
      <c r="AE10" s="25">
        <v>-4.9000000000000004</v>
      </c>
      <c r="AF10" s="25">
        <v>-2.8392307692307601</v>
      </c>
      <c r="AG10" s="25">
        <v>0</v>
      </c>
    </row>
    <row r="11" spans="1:33" ht="15.75" customHeight="1">
      <c r="A11" s="14" t="s">
        <v>193</v>
      </c>
      <c r="B11" s="14" t="s">
        <v>1801</v>
      </c>
      <c r="C11" s="15">
        <f t="shared" si="4"/>
        <v>14.429999999999998</v>
      </c>
      <c r="D11" s="16">
        <v>7</v>
      </c>
      <c r="E11" s="16">
        <v>0</v>
      </c>
      <c r="F11" s="29">
        <v>101.00999999999999</v>
      </c>
      <c r="G11" s="29">
        <v>0</v>
      </c>
      <c r="H11" s="18">
        <f t="shared" si="1"/>
        <v>0</v>
      </c>
      <c r="I11" s="18">
        <f t="shared" si="2"/>
        <v>0.31004915000133321</v>
      </c>
      <c r="J11" s="17">
        <f t="shared" si="5"/>
        <v>31.318064641634663</v>
      </c>
      <c r="K11" s="17">
        <f t="shared" si="3"/>
        <v>4.4740092345192375</v>
      </c>
      <c r="L11" s="16">
        <v>24</v>
      </c>
      <c r="M11" s="19">
        <f t="shared" si="6"/>
        <v>0.29166666666666669</v>
      </c>
      <c r="N11" s="16">
        <v>99</v>
      </c>
      <c r="O11" s="20">
        <f t="shared" ref="O11:P11" si="19">D11/7</f>
        <v>1</v>
      </c>
      <c r="P11" s="20">
        <f t="shared" si="19"/>
        <v>0</v>
      </c>
      <c r="Q11" s="16">
        <f t="shared" si="8"/>
        <v>99</v>
      </c>
      <c r="R11" s="16"/>
      <c r="S11" s="21">
        <v>2.2173913043478199</v>
      </c>
      <c r="T11" s="14">
        <v>320</v>
      </c>
      <c r="U11" s="22">
        <v>120</v>
      </c>
      <c r="V11" s="23" t="s">
        <v>1802</v>
      </c>
      <c r="W11" s="14">
        <v>0</v>
      </c>
      <c r="X11" s="24">
        <f t="shared" si="9"/>
        <v>0</v>
      </c>
      <c r="Y11" s="25">
        <f t="shared" si="10"/>
        <v>0</v>
      </c>
      <c r="Z11" s="14">
        <v>0</v>
      </c>
      <c r="AA11" s="14" t="s">
        <v>35</v>
      </c>
      <c r="AB11" s="27">
        <f t="shared" si="11"/>
        <v>-0.69</v>
      </c>
      <c r="AC11" s="28">
        <v>3.7869562500000009E-2</v>
      </c>
      <c r="AD11" s="25">
        <f t="shared" si="12"/>
        <v>-0.36581997375000008</v>
      </c>
      <c r="AE11" s="25">
        <v>-4.9000000000000004</v>
      </c>
      <c r="AF11" s="25">
        <v>-2.8392307692307601</v>
      </c>
      <c r="AG11" s="25">
        <v>0</v>
      </c>
    </row>
    <row r="12" spans="1:33" ht="15.75" customHeight="1">
      <c r="A12" s="14" t="s">
        <v>195</v>
      </c>
      <c r="B12" s="14" t="s">
        <v>1793</v>
      </c>
      <c r="C12" s="15">
        <f t="shared" si="4"/>
        <v>14.045</v>
      </c>
      <c r="D12" s="16">
        <v>8</v>
      </c>
      <c r="E12" s="16">
        <v>1</v>
      </c>
      <c r="F12" s="29">
        <v>112.36</v>
      </c>
      <c r="G12" s="29">
        <v>0</v>
      </c>
      <c r="H12" s="18">
        <f t="shared" si="1"/>
        <v>0</v>
      </c>
      <c r="I12" s="18">
        <f t="shared" si="2"/>
        <v>0.29524807650546386</v>
      </c>
      <c r="J12" s="17">
        <f t="shared" si="5"/>
        <v>33.174073876153919</v>
      </c>
      <c r="K12" s="17">
        <f t="shared" si="3"/>
        <v>4.1467592345192399</v>
      </c>
      <c r="L12" s="16">
        <v>22</v>
      </c>
      <c r="M12" s="19">
        <f t="shared" si="6"/>
        <v>0.36363636363636365</v>
      </c>
      <c r="N12" s="16">
        <v>65</v>
      </c>
      <c r="O12" s="20">
        <f t="shared" ref="O12:P12" si="20">D12/7</f>
        <v>1.1428571428571428</v>
      </c>
      <c r="P12" s="20">
        <f t="shared" si="20"/>
        <v>0.14285714285714285</v>
      </c>
      <c r="Q12" s="16">
        <f t="shared" si="8"/>
        <v>50</v>
      </c>
      <c r="R12" s="16"/>
      <c r="S12" s="21">
        <v>2.8285714285714199</v>
      </c>
      <c r="T12" s="14">
        <v>320</v>
      </c>
      <c r="U12" s="22">
        <v>120</v>
      </c>
      <c r="V12" s="23" t="s">
        <v>1803</v>
      </c>
      <c r="W12" s="14">
        <v>0</v>
      </c>
      <c r="X12" s="24">
        <f t="shared" si="9"/>
        <v>0</v>
      </c>
      <c r="Y12" s="25">
        <f t="shared" si="10"/>
        <v>0</v>
      </c>
      <c r="Z12" s="14">
        <v>0</v>
      </c>
      <c r="AA12" s="14" t="s">
        <v>35</v>
      </c>
      <c r="AB12" s="27">
        <f t="shared" si="11"/>
        <v>-0.69</v>
      </c>
      <c r="AC12" s="28">
        <v>3.7869562500000009E-2</v>
      </c>
      <c r="AD12" s="25">
        <f t="shared" si="12"/>
        <v>-0.41807997000000008</v>
      </c>
      <c r="AE12" s="25">
        <v>-4.9000000000000004</v>
      </c>
      <c r="AF12" s="25">
        <v>-2.8392307692307601</v>
      </c>
      <c r="AG12" s="25">
        <v>0</v>
      </c>
    </row>
    <row r="13" spans="1:33" ht="15.75" customHeight="1">
      <c r="A13" s="14" t="s">
        <v>197</v>
      </c>
      <c r="B13" s="14" t="s">
        <v>68</v>
      </c>
      <c r="C13" s="15">
        <f t="shared" si="4"/>
        <v>13.829999999999998</v>
      </c>
      <c r="D13" s="16">
        <v>18</v>
      </c>
      <c r="E13" s="16">
        <v>1</v>
      </c>
      <c r="F13" s="17">
        <v>248.93999999999997</v>
      </c>
      <c r="G13" s="29">
        <v>0</v>
      </c>
      <c r="H13" s="18">
        <f t="shared" si="1"/>
        <v>0</v>
      </c>
      <c r="I13" s="18">
        <f t="shared" si="2"/>
        <v>0.28439913259219074</v>
      </c>
      <c r="J13" s="17">
        <f t="shared" si="5"/>
        <v>70.798320067499958</v>
      </c>
      <c r="K13" s="17">
        <f t="shared" si="3"/>
        <v>3.9332400037499977</v>
      </c>
      <c r="L13" s="16">
        <v>27</v>
      </c>
      <c r="M13" s="19">
        <f t="shared" si="6"/>
        <v>0.66666666666666663</v>
      </c>
      <c r="N13" s="16">
        <v>46</v>
      </c>
      <c r="O13" s="20">
        <f t="shared" ref="O13:P13" si="21">D13/7</f>
        <v>2.5714285714285716</v>
      </c>
      <c r="P13" s="20">
        <f t="shared" si="21"/>
        <v>0.14285714285714285</v>
      </c>
      <c r="Q13" s="16">
        <f t="shared" si="8"/>
        <v>16</v>
      </c>
      <c r="R13" s="16"/>
      <c r="S13" s="21">
        <v>2.83098591549295</v>
      </c>
      <c r="T13" s="14">
        <v>320</v>
      </c>
      <c r="U13" s="22">
        <v>120</v>
      </c>
      <c r="V13" s="23" t="s">
        <v>1803</v>
      </c>
      <c r="W13" s="14">
        <v>0</v>
      </c>
      <c r="X13" s="24">
        <f t="shared" si="9"/>
        <v>0</v>
      </c>
      <c r="Y13" s="25">
        <f t="shared" si="10"/>
        <v>0</v>
      </c>
      <c r="Z13" s="14">
        <v>0</v>
      </c>
      <c r="AA13" s="14" t="s">
        <v>35</v>
      </c>
      <c r="AB13" s="27">
        <f t="shared" si="11"/>
        <v>-0.69</v>
      </c>
      <c r="AC13" s="28">
        <v>3.7869562500000009E-2</v>
      </c>
      <c r="AD13" s="25">
        <f t="shared" si="12"/>
        <v>-0.94067993250000015</v>
      </c>
      <c r="AE13" s="25">
        <v>-4.9000000000000004</v>
      </c>
      <c r="AF13" s="25">
        <v>-2.87</v>
      </c>
      <c r="AG13" s="25">
        <v>0</v>
      </c>
    </row>
    <row r="14" spans="1:33" ht="15.75" customHeight="1">
      <c r="A14" s="14" t="s">
        <v>32</v>
      </c>
      <c r="B14" s="14" t="s">
        <v>1804</v>
      </c>
      <c r="C14" s="15">
        <f t="shared" si="4"/>
        <v>13.540000000000001</v>
      </c>
      <c r="D14" s="16">
        <v>10</v>
      </c>
      <c r="E14" s="16">
        <v>0</v>
      </c>
      <c r="F14" s="17">
        <v>135.4</v>
      </c>
      <c r="G14" s="29">
        <v>0</v>
      </c>
      <c r="H14" s="18">
        <f t="shared" si="1"/>
        <v>0</v>
      </c>
      <c r="I14" s="18">
        <f t="shared" si="2"/>
        <v>0.27228508151772524</v>
      </c>
      <c r="J14" s="17">
        <f t="shared" si="5"/>
        <v>36.867400037499998</v>
      </c>
      <c r="K14" s="17">
        <f t="shared" si="3"/>
        <v>3.6867400037499998</v>
      </c>
      <c r="L14" s="16">
        <v>24</v>
      </c>
      <c r="M14" s="19">
        <f t="shared" si="6"/>
        <v>0.41666666666666669</v>
      </c>
      <c r="N14" s="16">
        <v>0</v>
      </c>
      <c r="O14" s="20">
        <f t="shared" ref="O14:P14" si="22">D14/7</f>
        <v>1.4285714285714286</v>
      </c>
      <c r="P14" s="20">
        <f t="shared" si="22"/>
        <v>0</v>
      </c>
      <c r="Q14" s="16">
        <f t="shared" si="8"/>
        <v>0</v>
      </c>
      <c r="R14" s="16"/>
      <c r="S14" s="21">
        <v>2.9401709401709399</v>
      </c>
      <c r="T14" s="14">
        <v>320</v>
      </c>
      <c r="U14" s="22">
        <v>120</v>
      </c>
      <c r="V14" s="23" t="s">
        <v>1803</v>
      </c>
      <c r="W14" s="14">
        <v>0</v>
      </c>
      <c r="X14" s="24">
        <f t="shared" si="9"/>
        <v>0</v>
      </c>
      <c r="Y14" s="25">
        <f t="shared" si="10"/>
        <v>0</v>
      </c>
      <c r="Z14" s="14">
        <v>0</v>
      </c>
      <c r="AA14" s="14" t="s">
        <v>35</v>
      </c>
      <c r="AB14" s="27">
        <f t="shared" si="11"/>
        <v>-0.69</v>
      </c>
      <c r="AC14" s="28">
        <v>3.7869562500000009E-2</v>
      </c>
      <c r="AD14" s="25">
        <f t="shared" si="12"/>
        <v>-0.52259996250000007</v>
      </c>
      <c r="AE14" s="25">
        <v>-4.9000000000000004</v>
      </c>
      <c r="AF14" s="25">
        <v>-2.87</v>
      </c>
      <c r="AG14" s="25">
        <v>0</v>
      </c>
    </row>
    <row r="15" spans="1:33" ht="15.75" customHeight="1">
      <c r="A15" s="14" t="s">
        <v>36</v>
      </c>
      <c r="B15" s="14" t="s">
        <v>1804</v>
      </c>
      <c r="C15" s="15" t="str">
        <f t="shared" si="4"/>
        <v xml:space="preserve"> - </v>
      </c>
      <c r="D15" s="16">
        <v>0</v>
      </c>
      <c r="E15" s="16">
        <v>2</v>
      </c>
      <c r="F15" s="17">
        <v>0</v>
      </c>
      <c r="G15" s="29">
        <v>0</v>
      </c>
      <c r="H15" s="18" t="e">
        <f t="shared" si="1"/>
        <v>#DIV/0!</v>
      </c>
      <c r="I15" s="18" t="e">
        <f t="shared" si="2"/>
        <v>#DIV/0!</v>
      </c>
      <c r="J15" s="17">
        <f t="shared" si="5"/>
        <v>0</v>
      </c>
      <c r="K15" s="17" t="e">
        <f t="shared" si="3"/>
        <v>#DIV/0!</v>
      </c>
      <c r="L15" s="16">
        <v>0</v>
      </c>
      <c r="M15" s="19" t="str">
        <f t="shared" si="6"/>
        <v>-</v>
      </c>
      <c r="N15" s="16">
        <v>0</v>
      </c>
      <c r="O15" s="20">
        <f t="shared" ref="O15:P15" si="23">D15/7</f>
        <v>0</v>
      </c>
      <c r="P15" s="20">
        <f t="shared" si="23"/>
        <v>0.2857142857142857</v>
      </c>
      <c r="Q15" s="16">
        <f t="shared" si="8"/>
        <v>0</v>
      </c>
      <c r="R15" s="16"/>
      <c r="S15" s="21">
        <v>3.0422535211267601</v>
      </c>
      <c r="T15" s="14">
        <v>320</v>
      </c>
      <c r="U15" s="22">
        <v>120</v>
      </c>
      <c r="V15" s="23" t="s">
        <v>1805</v>
      </c>
      <c r="W15" s="14">
        <v>0</v>
      </c>
      <c r="X15" s="24">
        <f t="shared" si="9"/>
        <v>0</v>
      </c>
      <c r="Y15" s="25">
        <f t="shared" si="10"/>
        <v>0</v>
      </c>
      <c r="Z15" s="14">
        <v>0</v>
      </c>
      <c r="AA15" s="14" t="e">
        <v>#N/A</v>
      </c>
      <c r="AB15" s="27" t="e">
        <f t="shared" si="11"/>
        <v>#N/A</v>
      </c>
      <c r="AC15" s="28" t="e">
        <v>#N/A</v>
      </c>
      <c r="AD15" s="25">
        <f t="shared" si="12"/>
        <v>0</v>
      </c>
      <c r="AE15" s="25">
        <v>0</v>
      </c>
      <c r="AF15" s="25">
        <v>-2.83</v>
      </c>
      <c r="AG15" s="25">
        <v>0</v>
      </c>
    </row>
    <row r="16" spans="1:33" ht="15.75" customHeight="1">
      <c r="A16" s="14" t="s">
        <v>38</v>
      </c>
      <c r="B16" s="14"/>
      <c r="C16" s="15" t="str">
        <f t="shared" si="4"/>
        <v xml:space="preserve"> - </v>
      </c>
      <c r="D16" s="16">
        <v>0</v>
      </c>
      <c r="E16" s="16">
        <v>12</v>
      </c>
      <c r="F16" s="17">
        <v>0</v>
      </c>
      <c r="G16" s="29">
        <v>0</v>
      </c>
      <c r="H16" s="18" t="e">
        <f t="shared" si="1"/>
        <v>#DIV/0!</v>
      </c>
      <c r="I16" s="18" t="e">
        <f t="shared" si="2"/>
        <v>#DIV/0!</v>
      </c>
      <c r="J16" s="17">
        <f t="shared" si="5"/>
        <v>0</v>
      </c>
      <c r="K16" s="17" t="e">
        <f t="shared" si="3"/>
        <v>#DIV/0!</v>
      </c>
      <c r="L16" s="16">
        <v>0</v>
      </c>
      <c r="M16" s="19" t="str">
        <f t="shared" si="6"/>
        <v>-</v>
      </c>
      <c r="N16" s="16">
        <v>0</v>
      </c>
      <c r="O16" s="20">
        <f t="shared" ref="O16:P16" si="24">D16/7</f>
        <v>0</v>
      </c>
      <c r="P16" s="20">
        <f t="shared" si="24"/>
        <v>1.7142857142857142</v>
      </c>
      <c r="Q16" s="16">
        <f t="shared" si="8"/>
        <v>0</v>
      </c>
      <c r="R16" s="16"/>
      <c r="S16" s="21">
        <v>3.4583333333333299</v>
      </c>
      <c r="T16" s="14">
        <v>320</v>
      </c>
      <c r="U16" s="22">
        <v>120</v>
      </c>
      <c r="V16" s="23" t="s">
        <v>1806</v>
      </c>
      <c r="W16" s="14">
        <v>0</v>
      </c>
      <c r="X16" s="24">
        <f t="shared" si="9"/>
        <v>0</v>
      </c>
      <c r="Y16" s="25">
        <f t="shared" si="10"/>
        <v>0</v>
      </c>
      <c r="Z16" s="14">
        <v>0</v>
      </c>
      <c r="AA16" s="14" t="e">
        <v>#N/A</v>
      </c>
      <c r="AB16" s="27" t="e">
        <f t="shared" si="11"/>
        <v>#N/A</v>
      </c>
      <c r="AC16" s="28" t="e">
        <v>#N/A</v>
      </c>
      <c r="AD16" s="25">
        <f t="shared" si="12"/>
        <v>0</v>
      </c>
      <c r="AE16" s="25">
        <v>0</v>
      </c>
      <c r="AF16" s="25">
        <v>-2.83</v>
      </c>
      <c r="AG16" s="25">
        <v>0</v>
      </c>
    </row>
    <row r="17" spans="1:33" ht="15.75" customHeight="1">
      <c r="A17" s="14" t="s">
        <v>40</v>
      </c>
      <c r="B17" s="14" t="s">
        <v>1804</v>
      </c>
      <c r="C17" s="15" t="str">
        <f t="shared" si="4"/>
        <v xml:space="preserve"> - </v>
      </c>
      <c r="D17" s="16">
        <v>0</v>
      </c>
      <c r="E17" s="16">
        <v>3</v>
      </c>
      <c r="F17" s="17">
        <v>0</v>
      </c>
      <c r="G17" s="29">
        <v>0</v>
      </c>
      <c r="H17" s="18" t="e">
        <f t="shared" si="1"/>
        <v>#DIV/0!</v>
      </c>
      <c r="I17" s="18" t="e">
        <f t="shared" si="2"/>
        <v>#DIV/0!</v>
      </c>
      <c r="J17" s="17">
        <f t="shared" si="5"/>
        <v>0</v>
      </c>
      <c r="K17" s="17" t="e">
        <f t="shared" si="3"/>
        <v>#DIV/0!</v>
      </c>
      <c r="L17" s="16">
        <v>0</v>
      </c>
      <c r="M17" s="19" t="str">
        <f t="shared" si="6"/>
        <v>-</v>
      </c>
      <c r="N17" s="16">
        <v>0</v>
      </c>
      <c r="O17" s="20">
        <f t="shared" ref="O17:P17" si="25">D17/7</f>
        <v>0</v>
      </c>
      <c r="P17" s="20">
        <f t="shared" si="25"/>
        <v>0.42857142857142855</v>
      </c>
      <c r="Q17" s="16">
        <f t="shared" si="8"/>
        <v>0</v>
      </c>
      <c r="R17" s="16"/>
      <c r="S17" s="21">
        <v>3.7426900584795302</v>
      </c>
      <c r="T17" s="14">
        <v>200</v>
      </c>
      <c r="U17" s="22">
        <v>100</v>
      </c>
      <c r="V17" s="23" t="s">
        <v>1807</v>
      </c>
      <c r="W17" s="14">
        <v>0</v>
      </c>
      <c r="X17" s="24">
        <f t="shared" si="9"/>
        <v>0</v>
      </c>
      <c r="Y17" s="25">
        <f t="shared" si="10"/>
        <v>0</v>
      </c>
      <c r="Z17" s="14">
        <v>0</v>
      </c>
      <c r="AA17" s="14" t="e">
        <v>#N/A</v>
      </c>
      <c r="AB17" s="27" t="e">
        <f t="shared" si="11"/>
        <v>#N/A</v>
      </c>
      <c r="AC17" s="28" t="e">
        <v>#N/A</v>
      </c>
      <c r="AD17" s="25">
        <f t="shared" si="12"/>
        <v>0</v>
      </c>
      <c r="AE17" s="25">
        <v>0</v>
      </c>
      <c r="AF17" s="25">
        <v>-2.83</v>
      </c>
      <c r="AG17" s="25">
        <v>0</v>
      </c>
    </row>
    <row r="18" spans="1:33" ht="15.75" customHeight="1">
      <c r="A18" s="14" t="s">
        <v>42</v>
      </c>
      <c r="B18" s="14"/>
      <c r="C18" s="15" t="str">
        <f t="shared" si="4"/>
        <v xml:space="preserve"> - </v>
      </c>
      <c r="D18" s="16">
        <v>0</v>
      </c>
      <c r="E18" s="16">
        <v>0</v>
      </c>
      <c r="F18" s="17">
        <v>0</v>
      </c>
      <c r="G18" s="29">
        <v>0</v>
      </c>
      <c r="H18" s="18" t="e">
        <f t="shared" si="1"/>
        <v>#DIV/0!</v>
      </c>
      <c r="I18" s="18" t="e">
        <f t="shared" si="2"/>
        <v>#DIV/0!</v>
      </c>
      <c r="J18" s="17">
        <f t="shared" si="5"/>
        <v>0</v>
      </c>
      <c r="K18" s="17" t="e">
        <f t="shared" si="3"/>
        <v>#DIV/0!</v>
      </c>
      <c r="L18" s="16">
        <v>0</v>
      </c>
      <c r="M18" s="19" t="str">
        <f t="shared" si="6"/>
        <v>-</v>
      </c>
      <c r="N18" s="16">
        <v>0</v>
      </c>
      <c r="O18" s="20">
        <f t="shared" ref="O18:P18" si="26">D18/7</f>
        <v>0</v>
      </c>
      <c r="P18" s="20">
        <f t="shared" si="26"/>
        <v>0</v>
      </c>
      <c r="Q18" s="16" t="e">
        <f t="shared" si="8"/>
        <v>#DIV/0!</v>
      </c>
      <c r="R18" s="16"/>
      <c r="S18" s="21">
        <v>2.0067340067339998</v>
      </c>
      <c r="T18" s="14">
        <v>200</v>
      </c>
      <c r="U18" s="22">
        <v>0</v>
      </c>
      <c r="V18" s="23" t="s">
        <v>1808</v>
      </c>
      <c r="W18" s="14">
        <v>0</v>
      </c>
      <c r="X18" s="24">
        <f t="shared" si="9"/>
        <v>0</v>
      </c>
      <c r="Y18" s="25">
        <f t="shared" si="10"/>
        <v>0</v>
      </c>
      <c r="Z18" s="14">
        <v>0</v>
      </c>
      <c r="AA18" s="14" t="e">
        <v>#N/A</v>
      </c>
      <c r="AB18" s="27" t="e">
        <f t="shared" si="11"/>
        <v>#N/A</v>
      </c>
      <c r="AC18" s="28" t="e">
        <v>#N/A</v>
      </c>
      <c r="AD18" s="25">
        <f t="shared" si="12"/>
        <v>0</v>
      </c>
      <c r="AE18" s="25">
        <v>0</v>
      </c>
      <c r="AF18" s="25">
        <v>-2.83</v>
      </c>
      <c r="AG18" s="25">
        <v>0</v>
      </c>
    </row>
    <row r="19" spans="1:33" ht="15.75" customHeight="1">
      <c r="A19" s="14" t="s">
        <v>44</v>
      </c>
      <c r="B19" s="14"/>
      <c r="C19" s="15" t="str">
        <f t="shared" si="4"/>
        <v xml:space="preserve"> - </v>
      </c>
      <c r="D19" s="16">
        <v>0</v>
      </c>
      <c r="E19" s="16">
        <v>2</v>
      </c>
      <c r="F19" s="17">
        <v>0</v>
      </c>
      <c r="G19" s="29">
        <v>0</v>
      </c>
      <c r="H19" s="18" t="e">
        <f t="shared" si="1"/>
        <v>#DIV/0!</v>
      </c>
      <c r="I19" s="18" t="e">
        <f t="shared" si="2"/>
        <v>#DIV/0!</v>
      </c>
      <c r="J19" s="17">
        <f t="shared" si="5"/>
        <v>0</v>
      </c>
      <c r="K19" s="17" t="e">
        <f t="shared" si="3"/>
        <v>#DIV/0!</v>
      </c>
      <c r="L19" s="16">
        <v>0</v>
      </c>
      <c r="M19" s="19" t="str">
        <f t="shared" si="6"/>
        <v>-</v>
      </c>
      <c r="N19" s="16">
        <v>0</v>
      </c>
      <c r="O19" s="20">
        <f t="shared" ref="O19:P19" si="27">D19/7</f>
        <v>0</v>
      </c>
      <c r="P19" s="20">
        <f t="shared" si="27"/>
        <v>0.2857142857142857</v>
      </c>
      <c r="Q19" s="16">
        <f t="shared" si="8"/>
        <v>0</v>
      </c>
      <c r="R19" s="16"/>
      <c r="S19" s="21">
        <v>1.4004796163069499</v>
      </c>
      <c r="T19" s="14">
        <v>100</v>
      </c>
      <c r="U19" s="22" t="s">
        <v>34</v>
      </c>
      <c r="V19" s="23" t="s">
        <v>34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14" t="e">
        <v>#N/A</v>
      </c>
      <c r="AB19" s="27" t="e">
        <f t="shared" si="11"/>
        <v>#N/A</v>
      </c>
      <c r="AC19" s="28" t="e">
        <v>#N/A</v>
      </c>
      <c r="AD19" s="25">
        <f t="shared" si="12"/>
        <v>0</v>
      </c>
      <c r="AE19" s="25">
        <v>0</v>
      </c>
      <c r="AF19" s="25">
        <v>-2.9595000000000002</v>
      </c>
      <c r="AG19" s="25">
        <v>0</v>
      </c>
    </row>
    <row r="20" spans="1:33" ht="15.75" customHeight="1">
      <c r="A20" s="14" t="s">
        <v>46</v>
      </c>
      <c r="B20" s="14"/>
      <c r="C20" s="15" t="str">
        <f t="shared" si="4"/>
        <v xml:space="preserve"> - </v>
      </c>
      <c r="D20" s="16">
        <v>0</v>
      </c>
      <c r="E20" s="16">
        <v>1</v>
      </c>
      <c r="F20" s="17">
        <v>0</v>
      </c>
      <c r="G20" s="29">
        <v>0</v>
      </c>
      <c r="H20" s="18" t="e">
        <f t="shared" si="1"/>
        <v>#DIV/0!</v>
      </c>
      <c r="I20" s="18" t="e">
        <f t="shared" si="2"/>
        <v>#DIV/0!</v>
      </c>
      <c r="J20" s="17">
        <f t="shared" si="5"/>
        <v>0</v>
      </c>
      <c r="K20" s="17" t="e">
        <f t="shared" si="3"/>
        <v>#DIV/0!</v>
      </c>
      <c r="L20" s="16">
        <v>0</v>
      </c>
      <c r="M20" s="19" t="str">
        <f t="shared" si="6"/>
        <v>-</v>
      </c>
      <c r="N20" s="16">
        <v>0</v>
      </c>
      <c r="O20" s="20">
        <f t="shared" ref="O20:P20" si="28">D20/7</f>
        <v>0</v>
      </c>
      <c r="P20" s="20">
        <f t="shared" si="28"/>
        <v>0.14285714285714285</v>
      </c>
      <c r="Q20" s="16">
        <f t="shared" si="8"/>
        <v>0</v>
      </c>
      <c r="R20" s="16"/>
      <c r="S20" s="21">
        <v>1.27461139896373</v>
      </c>
      <c r="T20" s="14">
        <v>100</v>
      </c>
      <c r="U20" s="22" t="s">
        <v>34</v>
      </c>
      <c r="V20" s="23" t="s">
        <v>34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14" t="e">
        <v>#N/A</v>
      </c>
      <c r="AB20" s="27" t="e">
        <f t="shared" si="11"/>
        <v>#N/A</v>
      </c>
      <c r="AC20" s="28" t="e">
        <v>#N/A</v>
      </c>
      <c r="AD20" s="25">
        <f t="shared" si="12"/>
        <v>0</v>
      </c>
      <c r="AE20" s="25">
        <v>0</v>
      </c>
      <c r="AF20" s="25">
        <v>-2.9595000000000002</v>
      </c>
      <c r="AG20" s="25">
        <v>0</v>
      </c>
    </row>
    <row r="21" spans="1:33" ht="15.75" customHeight="1">
      <c r="A21" s="14" t="s">
        <v>47</v>
      </c>
      <c r="B21" s="14" t="s">
        <v>64</v>
      </c>
      <c r="C21" s="15">
        <f t="shared" si="4"/>
        <v>13.87</v>
      </c>
      <c r="D21" s="16">
        <v>1</v>
      </c>
      <c r="E21" s="16">
        <v>0</v>
      </c>
      <c r="F21" s="17">
        <v>13.87</v>
      </c>
      <c r="G21" s="29">
        <v>0</v>
      </c>
      <c r="H21" s="18">
        <f t="shared" si="1"/>
        <v>0</v>
      </c>
      <c r="I21" s="18">
        <f t="shared" si="2"/>
        <v>0.27957750567772155</v>
      </c>
      <c r="J21" s="17">
        <f t="shared" si="5"/>
        <v>3.8777400037499978</v>
      </c>
      <c r="K21" s="17">
        <f t="shared" si="3"/>
        <v>3.8777400037499978</v>
      </c>
      <c r="L21" s="16">
        <v>0</v>
      </c>
      <c r="M21" s="19" t="str">
        <f t="shared" si="6"/>
        <v>-</v>
      </c>
      <c r="N21" s="16">
        <v>238</v>
      </c>
      <c r="O21" s="20">
        <f t="shared" ref="O21:P21" si="29">D21/7</f>
        <v>0.14285714285714285</v>
      </c>
      <c r="P21" s="20">
        <f t="shared" si="29"/>
        <v>0</v>
      </c>
      <c r="Q21" s="16">
        <f t="shared" si="8"/>
        <v>1666</v>
      </c>
      <c r="R21" s="16"/>
      <c r="S21" s="21">
        <v>1.0319148936170199</v>
      </c>
      <c r="T21" s="14">
        <v>200</v>
      </c>
      <c r="U21" s="22">
        <v>100</v>
      </c>
      <c r="V21" s="23" t="s">
        <v>1809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14" t="s">
        <v>35</v>
      </c>
      <c r="AB21" s="27">
        <f t="shared" si="11"/>
        <v>-0.69</v>
      </c>
      <c r="AC21" s="28">
        <v>3.7869562500000009E-2</v>
      </c>
      <c r="AD21" s="25">
        <f t="shared" si="12"/>
        <v>-5.225999625000001E-2</v>
      </c>
      <c r="AE21" s="25">
        <v>-4.9000000000000004</v>
      </c>
      <c r="AF21" s="25">
        <v>-2.9595000000000002</v>
      </c>
      <c r="AG21" s="25">
        <v>0</v>
      </c>
    </row>
    <row r="22" spans="1:33" ht="15.75" customHeight="1">
      <c r="A22" s="14" t="s">
        <v>48</v>
      </c>
      <c r="B22" s="14" t="s">
        <v>260</v>
      </c>
      <c r="C22" s="15">
        <f t="shared" si="4"/>
        <v>11.990000000000002</v>
      </c>
      <c r="D22" s="16">
        <v>18</v>
      </c>
      <c r="E22" s="16">
        <v>0</v>
      </c>
      <c r="F22" s="29">
        <v>215.82000000000005</v>
      </c>
      <c r="G22" s="29">
        <v>-28.13</v>
      </c>
      <c r="H22" s="18">
        <f t="shared" si="1"/>
        <v>0.13034009823000645</v>
      </c>
      <c r="I22" s="18">
        <f t="shared" si="2"/>
        <v>5.97966827332964E-2</v>
      </c>
      <c r="J22" s="17">
        <f t="shared" si="5"/>
        <v>12.905320067500032</v>
      </c>
      <c r="K22" s="17">
        <f t="shared" si="3"/>
        <v>0.71696222597222403</v>
      </c>
      <c r="L22" s="16">
        <v>18</v>
      </c>
      <c r="M22" s="19">
        <f t="shared" si="6"/>
        <v>1</v>
      </c>
      <c r="N22" s="16">
        <v>222</v>
      </c>
      <c r="O22" s="20">
        <f t="shared" ref="O22:P22" si="30">D22/7</f>
        <v>2.5714285714285716</v>
      </c>
      <c r="P22" s="20">
        <f t="shared" si="30"/>
        <v>0</v>
      </c>
      <c r="Q22" s="16">
        <f t="shared" si="8"/>
        <v>86</v>
      </c>
      <c r="R22" s="16"/>
      <c r="S22" s="21">
        <v>0.77326968973747001</v>
      </c>
      <c r="T22" s="14">
        <v>180</v>
      </c>
      <c r="U22" s="22">
        <v>80</v>
      </c>
      <c r="V22" s="23" t="s">
        <v>826</v>
      </c>
      <c r="W22" s="14">
        <v>11</v>
      </c>
      <c r="X22" s="24">
        <f t="shared" si="9"/>
        <v>0.61111111111111116</v>
      </c>
      <c r="Y22" s="25">
        <f t="shared" si="10"/>
        <v>2.3441666666666667</v>
      </c>
      <c r="Z22" s="14">
        <v>1</v>
      </c>
      <c r="AA22" s="14" t="s">
        <v>35</v>
      </c>
      <c r="AB22" s="27">
        <f t="shared" si="11"/>
        <v>-0.69</v>
      </c>
      <c r="AC22" s="28">
        <v>3.7869562500000009E-2</v>
      </c>
      <c r="AD22" s="25">
        <f t="shared" si="12"/>
        <v>-0.94067993250000015</v>
      </c>
      <c r="AE22" s="25">
        <v>-4.9000000000000004</v>
      </c>
      <c r="AF22" s="25">
        <v>-2.9595000000000002</v>
      </c>
      <c r="AG22" s="25">
        <v>0</v>
      </c>
    </row>
    <row r="23" spans="1:33" ht="15.75" customHeight="1">
      <c r="A23" s="14" t="s">
        <v>49</v>
      </c>
      <c r="B23" s="14" t="s">
        <v>1810</v>
      </c>
      <c r="C23" s="15">
        <f t="shared" si="4"/>
        <v>11.759423076923081</v>
      </c>
      <c r="D23" s="16">
        <v>52</v>
      </c>
      <c r="E23" s="16">
        <v>1</v>
      </c>
      <c r="F23" s="17">
        <v>611.49000000000024</v>
      </c>
      <c r="G23" s="29">
        <v>-42.239999999999995</v>
      </c>
      <c r="H23" s="18">
        <f t="shared" si="1"/>
        <v>6.9077172153264935E-2</v>
      </c>
      <c r="I23" s="18">
        <f t="shared" si="2"/>
        <v>0.10812111431912236</v>
      </c>
      <c r="J23" s="17">
        <f t="shared" si="5"/>
        <v>66.114980195000157</v>
      </c>
      <c r="K23" s="17">
        <f t="shared" si="3"/>
        <v>1.2714419268269261</v>
      </c>
      <c r="L23" s="16">
        <v>54</v>
      </c>
      <c r="M23" s="19">
        <f t="shared" si="6"/>
        <v>0.96296296296296291</v>
      </c>
      <c r="N23" s="16">
        <v>190</v>
      </c>
      <c r="O23" s="20">
        <f t="shared" ref="O23:P23" si="31">D23/7</f>
        <v>7.4285714285714288</v>
      </c>
      <c r="P23" s="20">
        <f t="shared" si="31"/>
        <v>0.14285714285714285</v>
      </c>
      <c r="Q23" s="16">
        <f t="shared" si="8"/>
        <v>25</v>
      </c>
      <c r="R23" s="16"/>
      <c r="S23" s="21">
        <v>0.89795918367346905</v>
      </c>
      <c r="T23" s="14">
        <v>80</v>
      </c>
      <c r="U23" s="22">
        <v>80</v>
      </c>
      <c r="V23" s="23" t="s">
        <v>826</v>
      </c>
      <c r="W23" s="14">
        <v>13</v>
      </c>
      <c r="X23" s="24">
        <f t="shared" si="9"/>
        <v>0.25</v>
      </c>
      <c r="Y23" s="25">
        <f t="shared" si="10"/>
        <v>2.8159999999999998</v>
      </c>
      <c r="Z23" s="14">
        <v>2</v>
      </c>
      <c r="AA23" s="14" t="s">
        <v>35</v>
      </c>
      <c r="AB23" s="27">
        <f t="shared" si="11"/>
        <v>-0.69</v>
      </c>
      <c r="AC23" s="28">
        <v>3.7869562500000009E-2</v>
      </c>
      <c r="AD23" s="25">
        <f t="shared" si="12"/>
        <v>-2.7175198050000007</v>
      </c>
      <c r="AE23" s="25">
        <v>-4.9000000000000004</v>
      </c>
      <c r="AF23" s="25">
        <v>-2.9595000000000002</v>
      </c>
      <c r="AG23" s="25">
        <v>0</v>
      </c>
    </row>
    <row r="24" spans="1:33" ht="15.75" customHeight="1">
      <c r="A24" s="14" t="s">
        <v>50</v>
      </c>
      <c r="B24" s="14" t="s">
        <v>1811</v>
      </c>
      <c r="C24" s="15">
        <f t="shared" si="4"/>
        <v>13.307500000000001</v>
      </c>
      <c r="D24" s="16">
        <v>16</v>
      </c>
      <c r="E24" s="16">
        <v>1</v>
      </c>
      <c r="F24" s="17">
        <v>212.92000000000002</v>
      </c>
      <c r="G24" s="17">
        <v>-7.18</v>
      </c>
      <c r="H24" s="18">
        <f t="shared" si="1"/>
        <v>3.3721585572045833E-2</v>
      </c>
      <c r="I24" s="18">
        <f t="shared" si="2"/>
        <v>0.22174450526019152</v>
      </c>
      <c r="J24" s="17">
        <f t="shared" si="5"/>
        <v>47.213840059999981</v>
      </c>
      <c r="K24" s="17">
        <f t="shared" si="3"/>
        <v>2.9508650037499988</v>
      </c>
      <c r="L24" s="16">
        <v>31</v>
      </c>
      <c r="M24" s="19">
        <f t="shared" si="6"/>
        <v>0.5161290322580645</v>
      </c>
      <c r="N24" s="16">
        <v>170</v>
      </c>
      <c r="O24" s="20">
        <f t="shared" ref="O24:P24" si="32">D24/7</f>
        <v>2.2857142857142856</v>
      </c>
      <c r="P24" s="20">
        <f t="shared" si="32"/>
        <v>0.14285714285714285</v>
      </c>
      <c r="Q24" s="16">
        <f t="shared" si="8"/>
        <v>70</v>
      </c>
      <c r="R24" s="16"/>
      <c r="S24" s="21">
        <v>1.04440497335701</v>
      </c>
      <c r="T24" s="14">
        <v>100</v>
      </c>
      <c r="U24" s="22">
        <v>80</v>
      </c>
      <c r="V24" s="23" t="s">
        <v>1812</v>
      </c>
      <c r="W24" s="14">
        <v>2</v>
      </c>
      <c r="X24" s="24">
        <f t="shared" si="9"/>
        <v>0.125</v>
      </c>
      <c r="Y24" s="25">
        <f t="shared" si="10"/>
        <v>1.7949999999999999</v>
      </c>
      <c r="Z24" s="14">
        <v>2</v>
      </c>
      <c r="AA24" s="14" t="s">
        <v>35</v>
      </c>
      <c r="AB24" s="27">
        <f t="shared" si="11"/>
        <v>-0.69</v>
      </c>
      <c r="AC24" s="28">
        <v>3.7869562500000009E-2</v>
      </c>
      <c r="AD24" s="25">
        <f t="shared" si="12"/>
        <v>-0.83615994000000016</v>
      </c>
      <c r="AE24" s="25">
        <v>-4.9000000000000004</v>
      </c>
      <c r="AF24" s="25">
        <v>-2.9595000000000002</v>
      </c>
      <c r="AG24" s="25">
        <v>0</v>
      </c>
    </row>
    <row r="25" spans="1:33" ht="15.75" customHeight="1">
      <c r="A25" s="14" t="s">
        <v>51</v>
      </c>
      <c r="B25" s="14"/>
      <c r="C25" s="15">
        <f t="shared" si="4"/>
        <v>16.877058823529413</v>
      </c>
      <c r="D25" s="16">
        <v>17</v>
      </c>
      <c r="E25" s="16">
        <v>0</v>
      </c>
      <c r="F25" s="17">
        <v>286.91000000000003</v>
      </c>
      <c r="G25" s="17">
        <v>0</v>
      </c>
      <c r="H25" s="18">
        <f t="shared" si="1"/>
        <v>0</v>
      </c>
      <c r="I25" s="18">
        <f t="shared" si="2"/>
        <v>0.38118253132951097</v>
      </c>
      <c r="J25" s="17">
        <f t="shared" si="5"/>
        <v>109.36508006375</v>
      </c>
      <c r="K25" s="17">
        <f t="shared" si="3"/>
        <v>6.4332400037499999</v>
      </c>
      <c r="L25" s="16">
        <v>27</v>
      </c>
      <c r="M25" s="19">
        <f t="shared" si="6"/>
        <v>0.62962962962962965</v>
      </c>
      <c r="N25" s="16">
        <v>153</v>
      </c>
      <c r="O25" s="20">
        <f t="shared" ref="O25:P25" si="33">D25/7</f>
        <v>2.4285714285714284</v>
      </c>
      <c r="P25" s="20">
        <f t="shared" si="33"/>
        <v>0</v>
      </c>
      <c r="Q25" s="16">
        <f t="shared" si="8"/>
        <v>63</v>
      </c>
      <c r="R25" s="16"/>
      <c r="S25" s="21">
        <v>1.25</v>
      </c>
      <c r="T25" s="14">
        <v>310</v>
      </c>
      <c r="U25" s="22">
        <v>80</v>
      </c>
      <c r="V25" s="23" t="s">
        <v>1813</v>
      </c>
      <c r="W25" s="30">
        <v>0</v>
      </c>
      <c r="X25" s="24">
        <f t="shared" si="9"/>
        <v>0</v>
      </c>
      <c r="Y25" s="25">
        <f t="shared" si="10"/>
        <v>0</v>
      </c>
      <c r="Z25" s="30">
        <v>0</v>
      </c>
      <c r="AA25" s="14" t="s">
        <v>35</v>
      </c>
      <c r="AB25" s="27">
        <f t="shared" si="11"/>
        <v>-0.69</v>
      </c>
      <c r="AC25" s="28">
        <v>3.7869562500000009E-2</v>
      </c>
      <c r="AD25" s="25">
        <f t="shared" si="12"/>
        <v>-0.88841993625000015</v>
      </c>
      <c r="AE25" s="25">
        <v>-4.9000000000000004</v>
      </c>
      <c r="AF25" s="25">
        <v>-2.96</v>
      </c>
      <c r="AG25" s="25">
        <v>0</v>
      </c>
    </row>
    <row r="26" spans="1:33" ht="15.75" customHeight="1">
      <c r="A26" s="14" t="s">
        <v>52</v>
      </c>
      <c r="B26" s="14" t="s">
        <v>1295</v>
      </c>
      <c r="C26" s="15">
        <f t="shared" si="4"/>
        <v>16.245000000000001</v>
      </c>
      <c r="D26" s="16">
        <v>24</v>
      </c>
      <c r="E26" s="16">
        <v>0</v>
      </c>
      <c r="F26" s="17">
        <v>389.88</v>
      </c>
      <c r="G26" s="17">
        <v>0</v>
      </c>
      <c r="H26" s="18">
        <f t="shared" si="1"/>
        <v>0</v>
      </c>
      <c r="I26" s="18">
        <f t="shared" si="2"/>
        <v>0.40298491866728225</v>
      </c>
      <c r="J26" s="17">
        <f t="shared" si="5"/>
        <v>157.11576009000001</v>
      </c>
      <c r="K26" s="17">
        <f t="shared" si="3"/>
        <v>6.5464900037500007</v>
      </c>
      <c r="L26" s="16">
        <v>35</v>
      </c>
      <c r="M26" s="19">
        <f t="shared" si="6"/>
        <v>0.68571428571428572</v>
      </c>
      <c r="N26" s="16">
        <v>119</v>
      </c>
      <c r="O26" s="20">
        <f t="shared" ref="O26:P26" si="34">D26/7</f>
        <v>3.4285714285714284</v>
      </c>
      <c r="P26" s="20">
        <f t="shared" si="34"/>
        <v>0</v>
      </c>
      <c r="Q26" s="16">
        <f t="shared" si="8"/>
        <v>34</v>
      </c>
      <c r="R26" s="16"/>
      <c r="S26" s="21">
        <v>1.1005291005291</v>
      </c>
      <c r="T26" s="14">
        <v>310</v>
      </c>
      <c r="U26" s="22">
        <v>20</v>
      </c>
      <c r="V26" s="23" t="s">
        <v>1814</v>
      </c>
      <c r="W26" s="30">
        <v>0</v>
      </c>
      <c r="X26" s="24">
        <f t="shared" si="9"/>
        <v>0</v>
      </c>
      <c r="Y26" s="25">
        <f t="shared" si="10"/>
        <v>0</v>
      </c>
      <c r="Z26" s="30">
        <v>0</v>
      </c>
      <c r="AA26" s="14" t="s">
        <v>35</v>
      </c>
      <c r="AB26" s="27">
        <f t="shared" si="11"/>
        <v>-0.69</v>
      </c>
      <c r="AC26" s="28">
        <v>3.7869562500000009E-2</v>
      </c>
      <c r="AD26" s="25">
        <f t="shared" si="12"/>
        <v>-1.2542399100000003</v>
      </c>
      <c r="AE26" s="25">
        <v>-4.25</v>
      </c>
      <c r="AF26" s="25">
        <v>-2.9594999999999998</v>
      </c>
      <c r="AG26" s="25">
        <v>0</v>
      </c>
    </row>
    <row r="27" spans="1:33" ht="15.75" customHeight="1">
      <c r="A27" s="14" t="s">
        <v>53</v>
      </c>
      <c r="B27" s="14" t="s">
        <v>1815</v>
      </c>
      <c r="C27" s="15">
        <f t="shared" si="4"/>
        <v>16.525185185185187</v>
      </c>
      <c r="D27" s="16">
        <v>27</v>
      </c>
      <c r="E27" s="16">
        <v>1</v>
      </c>
      <c r="F27" s="17">
        <v>446.18</v>
      </c>
      <c r="G27" s="17">
        <v>0</v>
      </c>
      <c r="H27" s="18">
        <f t="shared" si="1"/>
        <v>0</v>
      </c>
      <c r="I27" s="18">
        <f t="shared" si="2"/>
        <v>0.40983791317685681</v>
      </c>
      <c r="J27" s="17">
        <f t="shared" si="5"/>
        <v>182.86148010124998</v>
      </c>
      <c r="K27" s="17">
        <f t="shared" si="3"/>
        <v>6.7726474111574069</v>
      </c>
      <c r="L27" s="16">
        <v>38</v>
      </c>
      <c r="M27" s="19">
        <f t="shared" si="6"/>
        <v>0.71052631578947367</v>
      </c>
      <c r="N27" s="16">
        <v>86</v>
      </c>
      <c r="O27" s="20">
        <f t="shared" ref="O27:P27" si="35">D27/7</f>
        <v>3.8571428571428572</v>
      </c>
      <c r="P27" s="20">
        <f t="shared" si="35"/>
        <v>0.14285714285714285</v>
      </c>
      <c r="Q27" s="16">
        <f t="shared" si="8"/>
        <v>21</v>
      </c>
      <c r="R27" s="16"/>
      <c r="S27" s="21">
        <v>1.32258064516129</v>
      </c>
      <c r="T27" s="14">
        <v>310</v>
      </c>
      <c r="U27" s="22">
        <v>80</v>
      </c>
      <c r="V27" s="23" t="s">
        <v>1816</v>
      </c>
      <c r="W27" s="30">
        <v>0</v>
      </c>
      <c r="X27" s="24">
        <f t="shared" si="9"/>
        <v>0</v>
      </c>
      <c r="Y27" s="25">
        <f t="shared" si="10"/>
        <v>0</v>
      </c>
      <c r="Z27" s="30">
        <v>0</v>
      </c>
      <c r="AA27" s="14" t="s">
        <v>35</v>
      </c>
      <c r="AB27" s="27">
        <f t="shared" si="11"/>
        <v>-0.69</v>
      </c>
      <c r="AC27" s="28">
        <v>3.7869562500000009E-2</v>
      </c>
      <c r="AD27" s="25">
        <f t="shared" si="12"/>
        <v>-1.4110198987500002</v>
      </c>
      <c r="AE27" s="25">
        <v>-4.25</v>
      </c>
      <c r="AF27" s="25">
        <v>-2.9714999999999998</v>
      </c>
      <c r="AG27" s="25">
        <v>0</v>
      </c>
    </row>
    <row r="28" spans="1:33" ht="15.75" customHeight="1">
      <c r="A28" s="14" t="s">
        <v>54</v>
      </c>
      <c r="B28" s="14" t="s">
        <v>1817</v>
      </c>
      <c r="C28" s="15">
        <f t="shared" si="4"/>
        <v>17.274333333333335</v>
      </c>
      <c r="D28" s="16">
        <v>30</v>
      </c>
      <c r="E28" s="16">
        <v>0</v>
      </c>
      <c r="F28" s="17">
        <v>518.23</v>
      </c>
      <c r="G28" s="17">
        <v>0</v>
      </c>
      <c r="H28" s="18">
        <f t="shared" si="1"/>
        <v>0</v>
      </c>
      <c r="I28" s="18">
        <f t="shared" si="2"/>
        <v>0.42892673159118538</v>
      </c>
      <c r="J28" s="17">
        <f t="shared" si="5"/>
        <v>222.28270011250001</v>
      </c>
      <c r="K28" s="17">
        <f t="shared" si="3"/>
        <v>7.409423337083334</v>
      </c>
      <c r="L28" s="16">
        <v>44</v>
      </c>
      <c r="M28" s="19">
        <f t="shared" si="6"/>
        <v>0.68181818181818177</v>
      </c>
      <c r="N28" s="16">
        <v>39</v>
      </c>
      <c r="O28" s="20">
        <f t="shared" ref="O28:P28" si="36">D28/7</f>
        <v>4.2857142857142856</v>
      </c>
      <c r="P28" s="20">
        <f t="shared" si="36"/>
        <v>0</v>
      </c>
      <c r="Q28" s="16">
        <f t="shared" si="8"/>
        <v>9</v>
      </c>
      <c r="R28" s="16"/>
      <c r="S28" s="21">
        <v>1.532416502946955</v>
      </c>
      <c r="T28" s="14">
        <v>310</v>
      </c>
      <c r="U28" s="22">
        <v>44395</v>
      </c>
      <c r="V28" s="23" t="s">
        <v>835</v>
      </c>
      <c r="W28" s="30">
        <v>0</v>
      </c>
      <c r="X28" s="24">
        <f t="shared" si="9"/>
        <v>0</v>
      </c>
      <c r="Y28" s="25">
        <f t="shared" si="10"/>
        <v>0</v>
      </c>
      <c r="Z28" s="30">
        <v>0</v>
      </c>
      <c r="AA28" s="14" t="s">
        <v>35</v>
      </c>
      <c r="AB28" s="27">
        <f t="shared" si="11"/>
        <v>-0.69</v>
      </c>
      <c r="AC28" s="28">
        <v>3.7869562500000009E-2</v>
      </c>
      <c r="AD28" s="25">
        <f t="shared" si="12"/>
        <v>-1.5677998875000003</v>
      </c>
      <c r="AE28" s="25">
        <v>-4.25</v>
      </c>
      <c r="AF28" s="25">
        <v>-2.9714999999999998</v>
      </c>
      <c r="AG28" s="25">
        <v>0</v>
      </c>
    </row>
    <row r="29" spans="1:33" ht="15.75" customHeight="1">
      <c r="A29" s="14" t="s">
        <v>55</v>
      </c>
      <c r="B29" s="14" t="s">
        <v>862</v>
      </c>
      <c r="C29" s="15">
        <f t="shared" si="4"/>
        <v>18.846153846153847</v>
      </c>
      <c r="D29" s="16">
        <v>13</v>
      </c>
      <c r="E29" s="16">
        <v>0</v>
      </c>
      <c r="F29" s="17">
        <v>245</v>
      </c>
      <c r="G29" s="17">
        <v>0</v>
      </c>
      <c r="H29" s="18">
        <f t="shared" si="1"/>
        <v>0</v>
      </c>
      <c r="I29" s="18">
        <f t="shared" si="2"/>
        <v>0.46404538795408162</v>
      </c>
      <c r="J29" s="17">
        <f t="shared" si="5"/>
        <v>113.69112004874999</v>
      </c>
      <c r="K29" s="17">
        <f t="shared" si="3"/>
        <v>8.7454707729807684</v>
      </c>
      <c r="L29" s="16">
        <v>34</v>
      </c>
      <c r="M29" s="19">
        <f t="shared" si="6"/>
        <v>0.38235294117647056</v>
      </c>
      <c r="N29" s="16">
        <v>26</v>
      </c>
      <c r="O29" s="20">
        <f t="shared" ref="O29:P29" si="37">D29/7</f>
        <v>1.8571428571428572</v>
      </c>
      <c r="P29" s="20">
        <f t="shared" si="37"/>
        <v>0</v>
      </c>
      <c r="Q29" s="16">
        <f t="shared" si="8"/>
        <v>14</v>
      </c>
      <c r="R29" s="16"/>
      <c r="S29" s="21">
        <v>1.896713615023474</v>
      </c>
      <c r="T29" s="14">
        <v>310</v>
      </c>
      <c r="U29" s="22">
        <v>44395</v>
      </c>
      <c r="V29" s="23" t="s">
        <v>835</v>
      </c>
      <c r="W29" s="30">
        <v>0</v>
      </c>
      <c r="X29" s="24">
        <f t="shared" si="9"/>
        <v>0</v>
      </c>
      <c r="Y29" s="25">
        <f t="shared" si="10"/>
        <v>0</v>
      </c>
      <c r="Z29" s="30">
        <v>0</v>
      </c>
      <c r="AA29" s="14" t="s">
        <v>35</v>
      </c>
      <c r="AB29" s="27">
        <f t="shared" si="11"/>
        <v>-0.69</v>
      </c>
      <c r="AC29" s="28">
        <v>3.7869562500000009E-2</v>
      </c>
      <c r="AD29" s="25">
        <f t="shared" si="12"/>
        <v>-0.67937995125000017</v>
      </c>
      <c r="AE29" s="25">
        <v>-4.25</v>
      </c>
      <c r="AF29" s="25">
        <v>-2.9714999999999998</v>
      </c>
      <c r="AG29" s="25">
        <v>0</v>
      </c>
    </row>
    <row r="30" spans="1:33" ht="15.75" customHeight="1">
      <c r="A30" s="14" t="s">
        <v>57</v>
      </c>
      <c r="B30" s="14" t="s">
        <v>1818</v>
      </c>
      <c r="C30" s="15">
        <f t="shared" si="4"/>
        <v>19.651176470588236</v>
      </c>
      <c r="D30" s="16">
        <v>17</v>
      </c>
      <c r="E30" s="16">
        <v>0</v>
      </c>
      <c r="F30" s="17">
        <v>334.07</v>
      </c>
      <c r="G30" s="17">
        <v>0</v>
      </c>
      <c r="H30" s="18">
        <f t="shared" si="1"/>
        <v>0</v>
      </c>
      <c r="I30" s="18">
        <f t="shared" si="2"/>
        <v>0.48532648086613589</v>
      </c>
      <c r="J30" s="17">
        <f t="shared" si="5"/>
        <v>162.13301746295002</v>
      </c>
      <c r="K30" s="17">
        <f t="shared" si="3"/>
        <v>9.5372363213500009</v>
      </c>
      <c r="L30" s="16">
        <v>31</v>
      </c>
      <c r="M30" s="19">
        <f t="shared" si="6"/>
        <v>0.54838709677419351</v>
      </c>
      <c r="N30" s="16">
        <v>11</v>
      </c>
      <c r="O30" s="20">
        <f t="shared" ref="O30:P30" si="38">D30/7</f>
        <v>2.4285714285714284</v>
      </c>
      <c r="P30" s="20">
        <f t="shared" si="38"/>
        <v>0</v>
      </c>
      <c r="Q30" s="16">
        <f t="shared" si="8"/>
        <v>4</v>
      </c>
      <c r="R30" s="16"/>
      <c r="S30" s="21">
        <v>1.9582366589327149</v>
      </c>
      <c r="T30" s="14">
        <v>100</v>
      </c>
      <c r="U30" s="22">
        <v>80</v>
      </c>
      <c r="V30" s="23" t="s">
        <v>1819</v>
      </c>
      <c r="W30" s="30">
        <v>0</v>
      </c>
      <c r="X30" s="24">
        <f t="shared" si="9"/>
        <v>0</v>
      </c>
      <c r="Y30" s="25">
        <f t="shared" si="10"/>
        <v>0</v>
      </c>
      <c r="Z30" s="30">
        <v>0</v>
      </c>
      <c r="AA30" s="14" t="s">
        <v>35</v>
      </c>
      <c r="AB30" s="27">
        <f t="shared" si="11"/>
        <v>-0.69</v>
      </c>
      <c r="AC30" s="28">
        <v>3.7869562500000009E-2</v>
      </c>
      <c r="AD30" s="25">
        <f t="shared" si="12"/>
        <v>-0.88841993625000015</v>
      </c>
      <c r="AE30" s="25">
        <v>-4.25</v>
      </c>
      <c r="AF30" s="25">
        <v>-2.8640036823999999</v>
      </c>
      <c r="AG30" s="25">
        <v>0</v>
      </c>
    </row>
    <row r="31" spans="1:33" ht="15.75" customHeight="1">
      <c r="A31" s="14" t="s">
        <v>58</v>
      </c>
      <c r="B31" s="14" t="s">
        <v>45</v>
      </c>
      <c r="C31" s="15">
        <f t="shared" si="4"/>
        <v>20.745999999999999</v>
      </c>
      <c r="D31" s="16">
        <v>10</v>
      </c>
      <c r="E31" s="16">
        <v>0</v>
      </c>
      <c r="F31" s="17">
        <v>207.45999999999998</v>
      </c>
      <c r="G31" s="17">
        <v>-7.0000000000000007E-2</v>
      </c>
      <c r="H31" s="18">
        <f t="shared" si="1"/>
        <v>3.3741444133808936E-4</v>
      </c>
      <c r="I31" s="18">
        <f t="shared" si="2"/>
        <v>0.50423389189964329</v>
      </c>
      <c r="J31" s="17">
        <f t="shared" si="5"/>
        <v>104.6083632135</v>
      </c>
      <c r="K31" s="17">
        <f t="shared" si="3"/>
        <v>10.46083632135</v>
      </c>
      <c r="L31" s="16">
        <v>24</v>
      </c>
      <c r="M31" s="19">
        <f t="shared" si="6"/>
        <v>0.41666666666666669</v>
      </c>
      <c r="N31" s="16">
        <v>1</v>
      </c>
      <c r="O31" s="20">
        <f t="shared" ref="O31:P31" si="39">D31/7</f>
        <v>1.4285714285714286</v>
      </c>
      <c r="P31" s="20">
        <f t="shared" si="39"/>
        <v>0</v>
      </c>
      <c r="Q31" s="16">
        <f t="shared" si="8"/>
        <v>0</v>
      </c>
      <c r="R31" s="16"/>
      <c r="S31" s="21">
        <v>1.89873417721518</v>
      </c>
      <c r="T31" s="14">
        <v>30</v>
      </c>
      <c r="U31" s="22">
        <v>80</v>
      </c>
      <c r="V31" s="23" t="s">
        <v>1820</v>
      </c>
      <c r="W31" s="30">
        <v>0</v>
      </c>
      <c r="X31" s="24">
        <f t="shared" si="9"/>
        <v>0</v>
      </c>
      <c r="Y31" s="25">
        <f t="shared" si="10"/>
        <v>0</v>
      </c>
      <c r="Z31" s="30">
        <v>0</v>
      </c>
      <c r="AA31" s="14" t="s">
        <v>35</v>
      </c>
      <c r="AB31" s="27">
        <f t="shared" si="11"/>
        <v>-0.69</v>
      </c>
      <c r="AC31" s="28">
        <v>3.7869562500000009E-2</v>
      </c>
      <c r="AD31" s="25">
        <f t="shared" si="12"/>
        <v>-0.52259996250000007</v>
      </c>
      <c r="AE31" s="25">
        <v>-4.25</v>
      </c>
      <c r="AF31" s="25">
        <v>-2.864003682399999</v>
      </c>
      <c r="AG31" s="25">
        <v>0</v>
      </c>
    </row>
    <row r="32" spans="1:33" ht="15.75" customHeight="1">
      <c r="A32" s="14" t="s">
        <v>60</v>
      </c>
      <c r="B32" s="14"/>
      <c r="C32" s="15" t="str">
        <f t="shared" si="4"/>
        <v xml:space="preserve"> - </v>
      </c>
      <c r="D32" s="16">
        <v>0</v>
      </c>
      <c r="E32" s="16">
        <v>0</v>
      </c>
      <c r="F32" s="17">
        <v>0</v>
      </c>
      <c r="G32" s="17">
        <v>0</v>
      </c>
      <c r="H32" s="18" t="e">
        <f t="shared" si="1"/>
        <v>#DIV/0!</v>
      </c>
      <c r="I32" s="18" t="e">
        <f t="shared" si="2"/>
        <v>#DIV/0!</v>
      </c>
      <c r="J32" s="17">
        <f t="shared" si="5"/>
        <v>0</v>
      </c>
      <c r="K32" s="17" t="e">
        <f t="shared" si="3"/>
        <v>#DIV/0!</v>
      </c>
      <c r="L32" s="16">
        <v>0</v>
      </c>
      <c r="M32" s="19" t="str">
        <f t="shared" si="6"/>
        <v>-</v>
      </c>
      <c r="N32" s="16">
        <v>0</v>
      </c>
      <c r="O32" s="20">
        <f t="shared" ref="O32:P32" si="40">D32/7</f>
        <v>0</v>
      </c>
      <c r="P32" s="20">
        <f t="shared" si="40"/>
        <v>0</v>
      </c>
      <c r="Q32" s="16" t="e">
        <f t="shared" si="8"/>
        <v>#DIV/0!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0</v>
      </c>
      <c r="T32" s="14">
        <f ca="1">IFERROR(__xludf.DUMMYFUNCTION("IFERROR(VLOOKUP($B$2,IMPORTRANGE(""https://docs.google.com/spreadsheets/d/1KiWZV1ko8G7lnRucBRBd29jj3Be6ltMfljMDqzOkQmI/edit#gid=1381463014"",""Lookup!A:D""),4,FALSE),"""")"),30)</f>
        <v>30</v>
      </c>
      <c r="U32" s="22">
        <f ca="1">IFERROR(__xludf.DUMMYFUNCTION("IFERROR(VLOOKUP($B$2,IMPORTRANGE(""https://docs.google.com/spreadsheets/d/1KiWZV1ko8G7lnRucBRBd29jj3Be6ltMfljMDqzOkQmI/edit#gid=1381463014"",""Lookup!A:D""),3,FALSE),"""")"),80)</f>
        <v>80</v>
      </c>
      <c r="V32" s="23" t="str">
        <f ca="1">IFERROR(__xludf.DUMMYFUNCTION("IFERROR(VLOOKUP($B$2,IMPORTRANGE(""https://docs.google.com/spreadsheets/d/1KiWZV1ko8G7lnRucBRBd29jj3Be6ltMfljMDqzOkQmI/edit#gid=1381463014"",""Lookup!A:D""),2,FALSE),"""")"),"| 413  - 80 units 07/26")</f>
        <v>| 413  - 80 units 07/26</v>
      </c>
      <c r="W32" s="30">
        <v>0</v>
      </c>
      <c r="X32" s="24">
        <f t="shared" si="9"/>
        <v>0</v>
      </c>
      <c r="Y32" s="25">
        <f t="shared" si="10"/>
        <v>0</v>
      </c>
      <c r="Z32" s="30">
        <v>0</v>
      </c>
      <c r="AA32" s="14" t="s">
        <v>35</v>
      </c>
      <c r="AB32" s="27">
        <f t="shared" si="11"/>
        <v>-0.69</v>
      </c>
      <c r="AC32" s="28">
        <v>3.7869562500000009E-2</v>
      </c>
      <c r="AD32" s="25">
        <f t="shared" si="12"/>
        <v>0</v>
      </c>
      <c r="AE32" s="25">
        <v>-4.25</v>
      </c>
      <c r="AF32" s="25">
        <v>-2.8640036823999999</v>
      </c>
      <c r="AG32" s="25">
        <v>0</v>
      </c>
    </row>
    <row r="33" spans="1:33" ht="15.75" customHeight="1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16"/>
      <c r="S33" s="21"/>
      <c r="T33" s="31"/>
      <c r="U33" s="36"/>
      <c r="V33" s="1"/>
      <c r="W33" s="31"/>
      <c r="X33" s="31"/>
      <c r="Y33" s="31"/>
      <c r="Z33" s="31"/>
      <c r="AA33" s="2"/>
      <c r="AB33" s="31"/>
      <c r="AC33" s="31"/>
      <c r="AD33" s="31"/>
      <c r="AE33" s="37"/>
      <c r="AF33" s="37"/>
      <c r="AG33" s="37"/>
    </row>
    <row r="34" spans="1:33" ht="15.75" customHeight="1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6"/>
      <c r="V34" s="1"/>
      <c r="W34" s="31"/>
      <c r="X34" s="31"/>
      <c r="Y34" s="31"/>
      <c r="Z34" s="31"/>
      <c r="AA34" s="2"/>
      <c r="AB34" s="31"/>
      <c r="AC34" s="31"/>
      <c r="AD34" s="31"/>
      <c r="AE34" s="37"/>
      <c r="AF34" s="37"/>
      <c r="AG34" s="37"/>
    </row>
    <row r="35" spans="1:33" ht="15.75" customHeight="1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6"/>
      <c r="V35" s="1"/>
      <c r="W35" s="31"/>
      <c r="X35" s="31"/>
      <c r="Y35" s="31"/>
      <c r="Z35" s="31"/>
      <c r="AA35" s="2"/>
      <c r="AB35" s="31"/>
      <c r="AC35" s="31"/>
      <c r="AD35" s="31"/>
      <c r="AE35" s="37"/>
      <c r="AF35" s="37"/>
      <c r="AG35" s="37"/>
    </row>
    <row r="36" spans="1:33" ht="15.75" customHeight="1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6"/>
      <c r="V36" s="1"/>
      <c r="W36" s="31"/>
      <c r="X36" s="31"/>
      <c r="Y36" s="31"/>
      <c r="Z36" s="31"/>
      <c r="AA36" s="2"/>
      <c r="AB36" s="31"/>
      <c r="AC36" s="31"/>
      <c r="AD36" s="31"/>
      <c r="AE36" s="37"/>
      <c r="AF36" s="37"/>
      <c r="AG36" s="37"/>
    </row>
    <row r="37" spans="1:33" ht="15.75" customHeight="1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6"/>
      <c r="V37" s="1"/>
      <c r="W37" s="31"/>
      <c r="X37" s="31"/>
      <c r="Y37" s="31"/>
      <c r="Z37" s="31"/>
      <c r="AA37" s="2"/>
      <c r="AB37" s="31"/>
      <c r="AC37" s="31"/>
      <c r="AD37" s="31"/>
      <c r="AE37" s="37"/>
      <c r="AF37" s="37"/>
      <c r="AG37" s="37"/>
    </row>
    <row r="38" spans="1:33" ht="15.75" customHeight="1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6"/>
      <c r="V38" s="1"/>
      <c r="W38" s="31"/>
      <c r="X38" s="31"/>
      <c r="Y38" s="31"/>
      <c r="Z38" s="31"/>
      <c r="AA38" s="2"/>
      <c r="AB38" s="31"/>
      <c r="AC38" s="31"/>
      <c r="AD38" s="31"/>
      <c r="AE38" s="37"/>
      <c r="AF38" s="37"/>
      <c r="AG38" s="37"/>
    </row>
    <row r="39" spans="1:33" ht="15.75" customHeight="1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6"/>
      <c r="V39" s="1"/>
      <c r="W39" s="31"/>
      <c r="X39" s="31"/>
      <c r="Y39" s="31"/>
      <c r="Z39" s="31"/>
      <c r="AA39" s="2"/>
      <c r="AB39" s="31"/>
      <c r="AC39" s="31"/>
      <c r="AD39" s="31"/>
      <c r="AE39" s="37"/>
      <c r="AF39" s="37"/>
      <c r="AG39" s="37"/>
    </row>
    <row r="40" spans="1:33" ht="15.75" customHeight="1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6"/>
      <c r="V40" s="1"/>
      <c r="W40" s="31"/>
      <c r="X40" s="31"/>
      <c r="Y40" s="31"/>
      <c r="Z40" s="31"/>
      <c r="AA40" s="2"/>
      <c r="AB40" s="31"/>
      <c r="AC40" s="31"/>
      <c r="AD40" s="31"/>
      <c r="AE40" s="37"/>
      <c r="AF40" s="37"/>
      <c r="AG40" s="37"/>
    </row>
    <row r="41" spans="1:33" ht="15.75" customHeight="1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6"/>
      <c r="V41" s="1"/>
      <c r="W41" s="31"/>
      <c r="X41" s="31"/>
      <c r="Y41" s="31"/>
      <c r="Z41" s="31"/>
      <c r="AA41" s="2"/>
      <c r="AB41" s="31"/>
      <c r="AC41" s="31"/>
      <c r="AD41" s="31"/>
      <c r="AE41" s="37"/>
      <c r="AF41" s="37"/>
      <c r="AG41" s="37"/>
    </row>
    <row r="42" spans="1:33" ht="15.75" customHeight="1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6"/>
      <c r="V42" s="1"/>
      <c r="W42" s="31"/>
      <c r="X42" s="31"/>
      <c r="Y42" s="31"/>
      <c r="Z42" s="31"/>
      <c r="AA42" s="2"/>
      <c r="AB42" s="31"/>
      <c r="AC42" s="31"/>
      <c r="AD42" s="31"/>
      <c r="AE42" s="37"/>
      <c r="AF42" s="37"/>
      <c r="AG42" s="37"/>
    </row>
    <row r="43" spans="1:33" ht="15.75" customHeight="1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6"/>
      <c r="V43" s="1"/>
      <c r="W43" s="31"/>
      <c r="X43" s="31"/>
      <c r="Y43" s="31"/>
      <c r="Z43" s="31"/>
      <c r="AA43" s="2"/>
      <c r="AB43" s="31"/>
      <c r="AC43" s="31"/>
      <c r="AD43" s="31"/>
      <c r="AE43" s="37"/>
      <c r="AF43" s="37"/>
      <c r="AG43" s="37"/>
    </row>
    <row r="44" spans="1:33" ht="15.75" customHeight="1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6"/>
      <c r="V44" s="1"/>
      <c r="W44" s="31"/>
      <c r="X44" s="31"/>
      <c r="Y44" s="31"/>
      <c r="Z44" s="31"/>
      <c r="AA44" s="2"/>
      <c r="AB44" s="31"/>
      <c r="AC44" s="31"/>
      <c r="AD44" s="31"/>
      <c r="AE44" s="37"/>
      <c r="AF44" s="37"/>
      <c r="AG44" s="37"/>
    </row>
    <row r="45" spans="1:33" ht="15.75" customHeight="1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6"/>
      <c r="V45" s="1"/>
      <c r="W45" s="31"/>
      <c r="X45" s="31"/>
      <c r="Y45" s="31"/>
      <c r="Z45" s="31"/>
      <c r="AA45" s="2"/>
      <c r="AB45" s="31"/>
      <c r="AC45" s="31"/>
      <c r="AD45" s="31"/>
      <c r="AE45" s="37"/>
      <c r="AF45" s="37"/>
      <c r="AG45" s="37"/>
    </row>
    <row r="46" spans="1:33" ht="15.75" customHeight="1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6"/>
      <c r="V46" s="1"/>
      <c r="W46" s="31"/>
      <c r="X46" s="31"/>
      <c r="Y46" s="31"/>
      <c r="Z46" s="31"/>
      <c r="AA46" s="2"/>
      <c r="AB46" s="31"/>
      <c r="AC46" s="31"/>
      <c r="AD46" s="31"/>
      <c r="AE46" s="37"/>
      <c r="AF46" s="37"/>
      <c r="AG46" s="37"/>
    </row>
    <row r="47" spans="1:33" ht="15.75" customHeight="1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6"/>
      <c r="V47" s="1"/>
      <c r="W47" s="31"/>
      <c r="X47" s="31"/>
      <c r="Y47" s="31"/>
      <c r="Z47" s="31"/>
      <c r="AA47" s="2"/>
      <c r="AB47" s="31"/>
      <c r="AC47" s="31"/>
      <c r="AD47" s="31"/>
      <c r="AE47" s="37"/>
      <c r="AF47" s="37"/>
      <c r="AG47" s="37"/>
    </row>
    <row r="48" spans="1:33" ht="15.75" customHeight="1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6"/>
      <c r="V48" s="1"/>
      <c r="W48" s="31"/>
      <c r="X48" s="31"/>
      <c r="Y48" s="31"/>
      <c r="Z48" s="31"/>
      <c r="AA48" s="2"/>
      <c r="AB48" s="31"/>
      <c r="AC48" s="31"/>
      <c r="AD48" s="31"/>
      <c r="AE48" s="37"/>
      <c r="AF48" s="37"/>
      <c r="AG48" s="37"/>
    </row>
    <row r="49" spans="1:33" ht="15.75" customHeight="1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6"/>
      <c r="V49" s="1"/>
      <c r="W49" s="31"/>
      <c r="X49" s="31"/>
      <c r="Y49" s="31"/>
      <c r="Z49" s="31"/>
      <c r="AA49" s="2"/>
      <c r="AB49" s="31"/>
      <c r="AC49" s="31"/>
      <c r="AD49" s="31"/>
      <c r="AE49" s="37"/>
      <c r="AF49" s="37"/>
      <c r="AG49" s="37"/>
    </row>
    <row r="50" spans="1:33" ht="15.75" customHeight="1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6"/>
      <c r="V50" s="1"/>
      <c r="W50" s="31"/>
      <c r="X50" s="31"/>
      <c r="Y50" s="31"/>
      <c r="Z50" s="31"/>
      <c r="AA50" s="2"/>
      <c r="AB50" s="31"/>
      <c r="AC50" s="31"/>
      <c r="AD50" s="31"/>
      <c r="AE50" s="37"/>
      <c r="AF50" s="37"/>
      <c r="AG50" s="37"/>
    </row>
    <row r="51" spans="1:33" ht="15.75" customHeight="1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6"/>
      <c r="V51" s="1"/>
      <c r="W51" s="31"/>
      <c r="X51" s="31"/>
      <c r="Y51" s="31"/>
      <c r="Z51" s="31"/>
      <c r="AA51" s="2"/>
      <c r="AB51" s="31"/>
      <c r="AC51" s="31"/>
      <c r="AD51" s="31"/>
      <c r="AE51" s="37"/>
      <c r="AF51" s="37"/>
      <c r="AG51" s="37"/>
    </row>
    <row r="52" spans="1:33" ht="15.75" customHeight="1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6"/>
      <c r="V52" s="1"/>
      <c r="W52" s="31"/>
      <c r="X52" s="31"/>
      <c r="Y52" s="31"/>
      <c r="Z52" s="31"/>
      <c r="AA52" s="2"/>
      <c r="AB52" s="31"/>
      <c r="AC52" s="31"/>
      <c r="AD52" s="31"/>
      <c r="AE52" s="37"/>
      <c r="AF52" s="37"/>
      <c r="AG52" s="37"/>
    </row>
    <row r="53" spans="1:33" ht="15.75" customHeight="1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6"/>
      <c r="V53" s="1"/>
      <c r="W53" s="31"/>
      <c r="X53" s="31"/>
      <c r="Y53" s="31"/>
      <c r="Z53" s="31"/>
      <c r="AA53" s="2"/>
      <c r="AB53" s="31"/>
      <c r="AC53" s="31"/>
      <c r="AD53" s="31"/>
      <c r="AE53" s="37"/>
      <c r="AF53" s="37"/>
      <c r="AG53" s="37"/>
    </row>
    <row r="54" spans="1:33" ht="15.75" customHeight="1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6"/>
      <c r="V54" s="1"/>
      <c r="W54" s="31"/>
      <c r="X54" s="31"/>
      <c r="Y54" s="31"/>
      <c r="Z54" s="31"/>
      <c r="AA54" s="2"/>
      <c r="AB54" s="31"/>
      <c r="AC54" s="31"/>
      <c r="AD54" s="31"/>
      <c r="AE54" s="37"/>
      <c r="AF54" s="37"/>
      <c r="AG54" s="37"/>
    </row>
    <row r="55" spans="1:33" ht="15.75" customHeight="1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6"/>
      <c r="V55" s="1"/>
      <c r="W55" s="31"/>
      <c r="X55" s="31"/>
      <c r="Y55" s="31"/>
      <c r="Z55" s="31"/>
      <c r="AA55" s="2"/>
      <c r="AB55" s="31"/>
      <c r="AC55" s="31"/>
      <c r="AD55" s="31"/>
      <c r="AE55" s="37"/>
      <c r="AF55" s="37"/>
      <c r="AG55" s="37"/>
    </row>
    <row r="56" spans="1:33" ht="15.75" customHeight="1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6"/>
      <c r="V56" s="1"/>
      <c r="W56" s="31"/>
      <c r="X56" s="31"/>
      <c r="Y56" s="31"/>
      <c r="Z56" s="31"/>
      <c r="AA56" s="2"/>
      <c r="AB56" s="31"/>
      <c r="AC56" s="31"/>
      <c r="AD56" s="31"/>
      <c r="AE56" s="37"/>
      <c r="AF56" s="37"/>
      <c r="AG56" s="37"/>
    </row>
    <row r="57" spans="1:33" ht="15.75" customHeight="1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6"/>
      <c r="V57" s="1"/>
      <c r="W57" s="31"/>
      <c r="X57" s="31"/>
      <c r="Y57" s="31"/>
      <c r="Z57" s="31"/>
      <c r="AA57" s="2"/>
      <c r="AB57" s="31"/>
      <c r="AC57" s="31"/>
      <c r="AD57" s="31"/>
      <c r="AE57" s="37"/>
      <c r="AF57" s="37"/>
      <c r="AG57" s="37"/>
    </row>
    <row r="58" spans="1:33" ht="15.75" customHeight="1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6"/>
      <c r="V58" s="1"/>
      <c r="W58" s="31"/>
      <c r="X58" s="31"/>
      <c r="Y58" s="31"/>
      <c r="Z58" s="31"/>
      <c r="AA58" s="2"/>
      <c r="AB58" s="31"/>
      <c r="AC58" s="31"/>
      <c r="AD58" s="31"/>
      <c r="AE58" s="37"/>
      <c r="AF58" s="37"/>
      <c r="AG58" s="37"/>
    </row>
    <row r="59" spans="1:33" ht="15.75" customHeight="1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6"/>
      <c r="V59" s="1"/>
      <c r="W59" s="31"/>
      <c r="X59" s="31"/>
      <c r="Y59" s="31"/>
      <c r="Z59" s="31"/>
      <c r="AA59" s="2"/>
      <c r="AB59" s="31"/>
      <c r="AC59" s="31"/>
      <c r="AD59" s="31"/>
      <c r="AE59" s="37"/>
      <c r="AF59" s="37"/>
      <c r="AG59" s="37"/>
    </row>
    <row r="60" spans="1:33" ht="15.75" customHeight="1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6"/>
      <c r="V60" s="1"/>
      <c r="W60" s="31"/>
      <c r="X60" s="31"/>
      <c r="Y60" s="31"/>
      <c r="Z60" s="31"/>
      <c r="AA60" s="2"/>
      <c r="AB60" s="31"/>
      <c r="AC60" s="31"/>
      <c r="AD60" s="31"/>
      <c r="AE60" s="37"/>
      <c r="AF60" s="37"/>
      <c r="AG60" s="37"/>
    </row>
    <row r="61" spans="1:33" ht="15.75" customHeight="1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6"/>
      <c r="V61" s="1"/>
      <c r="W61" s="31"/>
      <c r="X61" s="31"/>
      <c r="Y61" s="31"/>
      <c r="Z61" s="31"/>
      <c r="AA61" s="2"/>
      <c r="AB61" s="31"/>
      <c r="AC61" s="31"/>
      <c r="AD61" s="31"/>
      <c r="AE61" s="37"/>
      <c r="AF61" s="37"/>
      <c r="AG61" s="37"/>
    </row>
    <row r="62" spans="1:33" ht="15.75" customHeight="1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6"/>
      <c r="V62" s="1"/>
      <c r="W62" s="31"/>
      <c r="X62" s="31"/>
      <c r="Y62" s="31"/>
      <c r="Z62" s="31"/>
      <c r="AA62" s="2"/>
      <c r="AB62" s="31"/>
      <c r="AC62" s="31"/>
      <c r="AD62" s="31"/>
      <c r="AE62" s="37"/>
      <c r="AF62" s="37"/>
      <c r="AG62" s="37"/>
    </row>
    <row r="63" spans="1:33" ht="15.75" customHeight="1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6"/>
      <c r="V63" s="1"/>
      <c r="W63" s="31"/>
      <c r="X63" s="31"/>
      <c r="Y63" s="31"/>
      <c r="Z63" s="31"/>
      <c r="AA63" s="2"/>
      <c r="AB63" s="31"/>
      <c r="AC63" s="31"/>
      <c r="AD63" s="31"/>
      <c r="AE63" s="37"/>
      <c r="AF63" s="37"/>
      <c r="AG63" s="37"/>
    </row>
    <row r="64" spans="1:33" ht="15.75" customHeight="1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6"/>
      <c r="V64" s="1"/>
      <c r="W64" s="31"/>
      <c r="X64" s="31"/>
      <c r="Y64" s="31"/>
      <c r="Z64" s="31"/>
      <c r="AA64" s="2"/>
      <c r="AB64" s="31"/>
      <c r="AC64" s="31"/>
      <c r="AD64" s="31"/>
      <c r="AE64" s="37"/>
      <c r="AF64" s="37"/>
      <c r="AG64" s="37"/>
    </row>
    <row r="65" spans="1:33" ht="15.75" customHeight="1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6"/>
      <c r="V65" s="1"/>
      <c r="W65" s="31"/>
      <c r="X65" s="31"/>
      <c r="Y65" s="31"/>
      <c r="Z65" s="31"/>
      <c r="AA65" s="2"/>
      <c r="AB65" s="31"/>
      <c r="AC65" s="31"/>
      <c r="AD65" s="31"/>
      <c r="AE65" s="37"/>
      <c r="AF65" s="37"/>
      <c r="AG65" s="37"/>
    </row>
    <row r="66" spans="1:33" ht="15.75" customHeight="1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6"/>
      <c r="V66" s="1"/>
      <c r="W66" s="31"/>
      <c r="X66" s="31"/>
      <c r="Y66" s="31"/>
      <c r="Z66" s="31"/>
      <c r="AA66" s="2"/>
      <c r="AB66" s="31"/>
      <c r="AC66" s="31"/>
      <c r="AD66" s="31"/>
      <c r="AE66" s="37"/>
      <c r="AF66" s="37"/>
      <c r="AG66" s="37"/>
    </row>
    <row r="67" spans="1:33" ht="15.75" customHeight="1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6"/>
      <c r="V67" s="1"/>
      <c r="W67" s="31"/>
      <c r="X67" s="31"/>
      <c r="Y67" s="31"/>
      <c r="Z67" s="31"/>
      <c r="AA67" s="2"/>
      <c r="AB67" s="31"/>
      <c r="AC67" s="31"/>
      <c r="AD67" s="31"/>
      <c r="AE67" s="37"/>
      <c r="AF67" s="37"/>
      <c r="AG67" s="37"/>
    </row>
    <row r="68" spans="1:33" ht="15.75" customHeight="1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6"/>
      <c r="V68" s="1"/>
      <c r="W68" s="31"/>
      <c r="X68" s="31"/>
      <c r="Y68" s="31"/>
      <c r="Z68" s="31"/>
      <c r="AA68" s="2"/>
      <c r="AB68" s="31"/>
      <c r="AC68" s="31"/>
      <c r="AD68" s="31"/>
      <c r="AE68" s="37"/>
      <c r="AF68" s="37"/>
      <c r="AG68" s="37"/>
    </row>
    <row r="69" spans="1:33" ht="15.75" customHeight="1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6"/>
      <c r="V69" s="1"/>
      <c r="W69" s="31"/>
      <c r="X69" s="31"/>
      <c r="Y69" s="31"/>
      <c r="Z69" s="31"/>
      <c r="AA69" s="2"/>
      <c r="AB69" s="31"/>
      <c r="AC69" s="31"/>
      <c r="AD69" s="31"/>
      <c r="AE69" s="37"/>
      <c r="AF69" s="37"/>
      <c r="AG69" s="37"/>
    </row>
    <row r="70" spans="1:33" ht="15.75" customHeight="1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6"/>
      <c r="V70" s="1"/>
      <c r="W70" s="31"/>
      <c r="X70" s="31"/>
      <c r="Y70" s="31"/>
      <c r="Z70" s="31"/>
      <c r="AA70" s="2"/>
      <c r="AB70" s="31"/>
      <c r="AC70" s="31"/>
      <c r="AD70" s="31"/>
      <c r="AE70" s="37"/>
      <c r="AF70" s="37"/>
      <c r="AG70" s="37"/>
    </row>
    <row r="71" spans="1:33" ht="15.75" customHeight="1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6"/>
      <c r="V71" s="1"/>
      <c r="W71" s="31"/>
      <c r="X71" s="31"/>
      <c r="Y71" s="31"/>
      <c r="Z71" s="31"/>
      <c r="AA71" s="2"/>
      <c r="AB71" s="31"/>
      <c r="AC71" s="31"/>
      <c r="AD71" s="31"/>
      <c r="AE71" s="37"/>
      <c r="AF71" s="37"/>
      <c r="AG71" s="37"/>
    </row>
    <row r="72" spans="1:33" ht="15.75" customHeight="1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6"/>
      <c r="V72" s="1"/>
      <c r="W72" s="31"/>
      <c r="X72" s="31"/>
      <c r="Y72" s="31"/>
      <c r="Z72" s="31"/>
      <c r="AA72" s="2"/>
      <c r="AB72" s="31"/>
      <c r="AC72" s="31"/>
      <c r="AD72" s="31"/>
      <c r="AE72" s="37"/>
      <c r="AF72" s="37"/>
      <c r="AG72" s="37"/>
    </row>
    <row r="73" spans="1:33" ht="15.75" customHeight="1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6"/>
      <c r="V73" s="1"/>
      <c r="W73" s="31"/>
      <c r="X73" s="31"/>
      <c r="Y73" s="31"/>
      <c r="Z73" s="31"/>
      <c r="AA73" s="2"/>
      <c r="AB73" s="31"/>
      <c r="AC73" s="31"/>
      <c r="AD73" s="31"/>
      <c r="AE73" s="37"/>
      <c r="AF73" s="37"/>
      <c r="AG73" s="37"/>
    </row>
    <row r="74" spans="1:33" ht="15.75" customHeight="1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6"/>
      <c r="V74" s="1"/>
      <c r="W74" s="31"/>
      <c r="X74" s="31"/>
      <c r="Y74" s="31"/>
      <c r="Z74" s="31"/>
      <c r="AA74" s="2"/>
      <c r="AB74" s="31"/>
      <c r="AC74" s="31"/>
      <c r="AD74" s="31"/>
      <c r="AE74" s="37"/>
      <c r="AF74" s="37"/>
      <c r="AG74" s="37"/>
    </row>
    <row r="75" spans="1:33" ht="15.75" customHeight="1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6"/>
      <c r="V75" s="1"/>
      <c r="W75" s="31"/>
      <c r="X75" s="31"/>
      <c r="Y75" s="31"/>
      <c r="Z75" s="31"/>
      <c r="AA75" s="2"/>
      <c r="AB75" s="31"/>
      <c r="AC75" s="31"/>
      <c r="AD75" s="31"/>
      <c r="AE75" s="37"/>
      <c r="AF75" s="37"/>
      <c r="AG75" s="37"/>
    </row>
    <row r="76" spans="1:33" ht="15.75" customHeight="1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6"/>
      <c r="V76" s="1"/>
      <c r="W76" s="31"/>
      <c r="X76" s="31"/>
      <c r="Y76" s="31"/>
      <c r="Z76" s="31"/>
      <c r="AA76" s="2"/>
      <c r="AB76" s="31"/>
      <c r="AC76" s="31"/>
      <c r="AD76" s="31"/>
      <c r="AE76" s="37"/>
      <c r="AF76" s="37"/>
      <c r="AG76" s="37"/>
    </row>
    <row r="77" spans="1:33" ht="15.75" customHeight="1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6"/>
      <c r="V77" s="1"/>
      <c r="W77" s="31"/>
      <c r="X77" s="31"/>
      <c r="Y77" s="31"/>
      <c r="Z77" s="31"/>
      <c r="AA77" s="2"/>
      <c r="AB77" s="31"/>
      <c r="AC77" s="31"/>
      <c r="AD77" s="31"/>
      <c r="AE77" s="37"/>
      <c r="AF77" s="37"/>
      <c r="AG77" s="37"/>
    </row>
    <row r="78" spans="1:33" ht="15.75" customHeight="1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6"/>
      <c r="V78" s="1"/>
      <c r="W78" s="31"/>
      <c r="X78" s="31"/>
      <c r="Y78" s="31"/>
      <c r="Z78" s="31"/>
      <c r="AA78" s="2"/>
      <c r="AB78" s="31"/>
      <c r="AC78" s="31"/>
      <c r="AD78" s="31"/>
      <c r="AE78" s="37"/>
      <c r="AF78" s="37"/>
      <c r="AG78" s="37"/>
    </row>
    <row r="79" spans="1:33" ht="15.75" customHeight="1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6"/>
      <c r="V79" s="1"/>
      <c r="W79" s="31"/>
      <c r="X79" s="31"/>
      <c r="Y79" s="31"/>
      <c r="Z79" s="31"/>
      <c r="AA79" s="2"/>
      <c r="AB79" s="31"/>
      <c r="AC79" s="31"/>
      <c r="AD79" s="31"/>
      <c r="AE79" s="37"/>
      <c r="AF79" s="37"/>
      <c r="AG79" s="37"/>
    </row>
    <row r="80" spans="1:33" ht="15.75" customHeight="1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6"/>
      <c r="V80" s="1"/>
      <c r="W80" s="31"/>
      <c r="X80" s="31"/>
      <c r="Y80" s="31"/>
      <c r="Z80" s="31"/>
      <c r="AA80" s="2"/>
      <c r="AB80" s="31"/>
      <c r="AC80" s="31"/>
      <c r="AD80" s="31"/>
      <c r="AE80" s="37"/>
      <c r="AF80" s="37"/>
      <c r="AG80" s="37"/>
    </row>
    <row r="81" spans="1:33" ht="15.75" customHeight="1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6"/>
      <c r="V81" s="1"/>
      <c r="W81" s="31"/>
      <c r="X81" s="31"/>
      <c r="Y81" s="31"/>
      <c r="Z81" s="31"/>
      <c r="AA81" s="2"/>
      <c r="AB81" s="31"/>
      <c r="AC81" s="31"/>
      <c r="AD81" s="31"/>
      <c r="AE81" s="37"/>
      <c r="AF81" s="37"/>
      <c r="AG81" s="37"/>
    </row>
    <row r="82" spans="1:33" ht="15.75" customHeight="1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6"/>
      <c r="V82" s="1"/>
      <c r="W82" s="31"/>
      <c r="X82" s="31"/>
      <c r="Y82" s="31"/>
      <c r="Z82" s="31"/>
      <c r="AA82" s="2"/>
      <c r="AB82" s="31"/>
      <c r="AC82" s="31"/>
      <c r="AD82" s="31"/>
      <c r="AE82" s="37"/>
      <c r="AF82" s="37"/>
      <c r="AG82" s="37"/>
    </row>
    <row r="83" spans="1:33" ht="15.75" customHeight="1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6"/>
      <c r="V83" s="1"/>
      <c r="W83" s="31"/>
      <c r="X83" s="31"/>
      <c r="Y83" s="31"/>
      <c r="Z83" s="31"/>
      <c r="AA83" s="2"/>
      <c r="AB83" s="31"/>
      <c r="AC83" s="31"/>
      <c r="AD83" s="31"/>
      <c r="AE83" s="37"/>
      <c r="AF83" s="37"/>
      <c r="AG83" s="37"/>
    </row>
    <row r="84" spans="1:33" ht="15.75" customHeight="1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6"/>
      <c r="V84" s="1"/>
      <c r="W84" s="31"/>
      <c r="X84" s="31"/>
      <c r="Y84" s="31"/>
      <c r="Z84" s="31"/>
      <c r="AA84" s="2"/>
      <c r="AB84" s="31"/>
      <c r="AC84" s="31"/>
      <c r="AD84" s="31"/>
      <c r="AE84" s="37"/>
      <c r="AF84" s="37"/>
      <c r="AG84" s="37"/>
    </row>
    <row r="85" spans="1:33" ht="15.75" customHeight="1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6"/>
      <c r="V85" s="1"/>
      <c r="W85" s="31"/>
      <c r="X85" s="31"/>
      <c r="Y85" s="31"/>
      <c r="Z85" s="31"/>
      <c r="AA85" s="2"/>
      <c r="AB85" s="31"/>
      <c r="AC85" s="31"/>
      <c r="AD85" s="31"/>
      <c r="AE85" s="37"/>
      <c r="AF85" s="37"/>
      <c r="AG85" s="37"/>
    </row>
    <row r="86" spans="1:33" ht="15.75" customHeight="1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6"/>
      <c r="V86" s="1"/>
      <c r="W86" s="31"/>
      <c r="X86" s="31"/>
      <c r="Y86" s="31"/>
      <c r="Z86" s="31"/>
      <c r="AA86" s="2"/>
      <c r="AB86" s="31"/>
      <c r="AC86" s="31"/>
      <c r="AD86" s="31"/>
      <c r="AE86" s="37"/>
      <c r="AF86" s="37"/>
      <c r="AG86" s="37"/>
    </row>
    <row r="87" spans="1:33" ht="15.75" customHeight="1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6"/>
      <c r="V87" s="1"/>
      <c r="W87" s="31"/>
      <c r="X87" s="31"/>
      <c r="Y87" s="31"/>
      <c r="Z87" s="31"/>
      <c r="AA87" s="2"/>
      <c r="AB87" s="31"/>
      <c r="AC87" s="31"/>
      <c r="AD87" s="31"/>
      <c r="AE87" s="37"/>
      <c r="AF87" s="37"/>
      <c r="AG87" s="37"/>
    </row>
    <row r="88" spans="1:33" ht="15.75" customHeight="1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6"/>
      <c r="V88" s="1"/>
      <c r="W88" s="31"/>
      <c r="X88" s="31"/>
      <c r="Y88" s="31"/>
      <c r="Z88" s="31"/>
      <c r="AA88" s="2"/>
      <c r="AB88" s="31"/>
      <c r="AC88" s="31"/>
      <c r="AD88" s="31"/>
      <c r="AE88" s="37"/>
      <c r="AF88" s="37"/>
      <c r="AG88" s="37"/>
    </row>
    <row r="89" spans="1:33" ht="15.75" customHeight="1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6"/>
      <c r="V89" s="1"/>
      <c r="W89" s="31"/>
      <c r="X89" s="31"/>
      <c r="Y89" s="31"/>
      <c r="Z89" s="31"/>
      <c r="AA89" s="2"/>
      <c r="AB89" s="31"/>
      <c r="AC89" s="31"/>
      <c r="AD89" s="31"/>
      <c r="AE89" s="37"/>
      <c r="AF89" s="37"/>
      <c r="AG89" s="37"/>
    </row>
    <row r="90" spans="1:33" ht="15.75" customHeight="1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6"/>
      <c r="V90" s="1"/>
      <c r="W90" s="31"/>
      <c r="X90" s="31"/>
      <c r="Y90" s="31"/>
      <c r="Z90" s="31"/>
      <c r="AA90" s="2"/>
      <c r="AB90" s="31"/>
      <c r="AC90" s="31"/>
      <c r="AD90" s="31"/>
      <c r="AE90" s="37"/>
      <c r="AF90" s="37"/>
      <c r="AG90" s="37"/>
    </row>
    <row r="91" spans="1:33" ht="15.75" customHeight="1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6"/>
      <c r="V91" s="1"/>
      <c r="W91" s="31"/>
      <c r="X91" s="31"/>
      <c r="Y91" s="31"/>
      <c r="Z91" s="31"/>
      <c r="AA91" s="2"/>
      <c r="AB91" s="31"/>
      <c r="AC91" s="31"/>
      <c r="AD91" s="31"/>
      <c r="AE91" s="37"/>
      <c r="AF91" s="37"/>
      <c r="AG91" s="37"/>
    </row>
    <row r="92" spans="1:33" ht="15.75" customHeight="1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6"/>
      <c r="V92" s="1"/>
      <c r="W92" s="31"/>
      <c r="X92" s="31"/>
      <c r="Y92" s="31"/>
      <c r="Z92" s="31"/>
      <c r="AA92" s="2"/>
      <c r="AB92" s="31"/>
      <c r="AC92" s="31"/>
      <c r="AD92" s="31"/>
      <c r="AE92" s="37"/>
      <c r="AF92" s="37"/>
      <c r="AG92" s="37"/>
    </row>
    <row r="93" spans="1:33" ht="15.75" customHeight="1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6"/>
      <c r="V93" s="1"/>
      <c r="W93" s="31"/>
      <c r="X93" s="31"/>
      <c r="Y93" s="31"/>
      <c r="Z93" s="31"/>
      <c r="AA93" s="2"/>
      <c r="AB93" s="31"/>
      <c r="AC93" s="31"/>
      <c r="AD93" s="31"/>
      <c r="AE93" s="37"/>
      <c r="AF93" s="37"/>
      <c r="AG93" s="37"/>
    </row>
    <row r="94" spans="1:33" ht="15.75" customHeight="1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6"/>
      <c r="V94" s="1"/>
      <c r="W94" s="31"/>
      <c r="X94" s="31"/>
      <c r="Y94" s="31"/>
      <c r="Z94" s="31"/>
      <c r="AA94" s="2"/>
      <c r="AB94" s="31"/>
      <c r="AC94" s="31"/>
      <c r="AD94" s="31"/>
      <c r="AE94" s="37"/>
      <c r="AF94" s="37"/>
      <c r="AG94" s="37"/>
    </row>
    <row r="95" spans="1:33" ht="15.75" customHeight="1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6"/>
      <c r="V95" s="1"/>
      <c r="W95" s="31"/>
      <c r="X95" s="31"/>
      <c r="Y95" s="31"/>
      <c r="Z95" s="31"/>
      <c r="AA95" s="2"/>
      <c r="AB95" s="31"/>
      <c r="AC95" s="31"/>
      <c r="AD95" s="31"/>
      <c r="AE95" s="37"/>
      <c r="AF95" s="37"/>
      <c r="AG95" s="37"/>
    </row>
    <row r="96" spans="1:33" ht="15.75" customHeight="1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6"/>
      <c r="V96" s="1"/>
      <c r="W96" s="31"/>
      <c r="X96" s="31"/>
      <c r="Y96" s="31"/>
      <c r="Z96" s="31"/>
      <c r="AA96" s="2"/>
      <c r="AB96" s="31"/>
      <c r="AC96" s="31"/>
      <c r="AD96" s="31"/>
      <c r="AE96" s="37"/>
      <c r="AF96" s="37"/>
      <c r="AG96" s="37"/>
    </row>
    <row r="97" spans="1:33" ht="15.75" customHeight="1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8"/>
      <c r="R97" s="38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8"/>
      <c r="R98" s="38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8"/>
      <c r="R99" s="38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8"/>
      <c r="R100" s="38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8"/>
      <c r="R101" s="38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8"/>
      <c r="R102" s="38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8"/>
      <c r="R103" s="38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8"/>
      <c r="R104" s="38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8"/>
      <c r="R105" s="38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8"/>
      <c r="R106" s="38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8"/>
      <c r="R107" s="38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8"/>
      <c r="R108" s="38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8"/>
      <c r="R109" s="38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8"/>
      <c r="R110" s="38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8"/>
      <c r="R111" s="38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8"/>
      <c r="R112" s="38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8"/>
      <c r="R113" s="38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8"/>
      <c r="R114" s="38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>
      <c r="A115" s="31"/>
      <c r="B115" s="31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>
      <c r="A116" s="31"/>
      <c r="B116" s="31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>
      <c r="A117" s="31"/>
      <c r="B117" s="31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>
      <c r="A118" s="31"/>
      <c r="B118" s="31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>
      <c r="A119" s="31"/>
      <c r="B119" s="31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>
      <c r="A120" s="31"/>
      <c r="B120" s="31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>
      <c r="A121" s="31"/>
      <c r="B121" s="31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>
      <c r="A122" s="31"/>
      <c r="B122" s="31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>
      <c r="A123" s="31"/>
      <c r="B123" s="31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>
      <c r="A124" s="31"/>
      <c r="B124" s="31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>
      <c r="A125" s="31"/>
      <c r="B125" s="31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>
      <c r="A126" s="31"/>
      <c r="B126" s="31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>
      <c r="A127" s="31"/>
      <c r="B127" s="31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>
      <c r="A128" s="31"/>
      <c r="B128" s="31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>
      <c r="A129" s="31"/>
      <c r="B129" s="31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>
      <c r="A130" s="31"/>
      <c r="B130" s="31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>
      <c r="A131" s="31"/>
      <c r="B131" s="31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>
      <c r="A132" s="31"/>
      <c r="B132" s="31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>
      <c r="A133" s="31"/>
      <c r="B133" s="31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>
      <c r="A134" s="31"/>
      <c r="B134" s="31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>
      <c r="A135" s="31"/>
      <c r="B135" s="31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>
      <c r="A136" s="31"/>
      <c r="B136" s="31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>
      <c r="A137" s="31"/>
      <c r="B137" s="31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>
      <c r="A138" s="31"/>
      <c r="B138" s="31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>
      <c r="A139" s="31"/>
      <c r="B139" s="31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>
      <c r="A140" s="31"/>
      <c r="B140" s="31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>
      <c r="A141" s="31"/>
      <c r="B141" s="31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2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>
      <c r="A142" s="31"/>
      <c r="B142" s="31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2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>
      <c r="A143" s="31"/>
      <c r="B143" s="31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2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>
      <c r="A144" s="31"/>
      <c r="B144" s="31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2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>
      <c r="A145" s="31"/>
      <c r="B145" s="31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2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>
      <c r="A146" s="31"/>
      <c r="B146" s="31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2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>
      <c r="A147" s="31"/>
      <c r="B147" s="31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2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>
      <c r="A148" s="31"/>
      <c r="B148" s="31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2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</row>
    <row r="149" spans="1:33" ht="15.75" customHeight="1">
      <c r="A149" s="14"/>
      <c r="B149" s="14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>
      <c r="A150" s="14"/>
      <c r="B150" s="14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>
      <c r="A151" s="14"/>
      <c r="B151" s="14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>
      <c r="A152" s="14"/>
      <c r="B152" s="14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>
      <c r="A153" s="14"/>
      <c r="B153" s="14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>
      <c r="A154" s="14"/>
      <c r="B154" s="14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>
      <c r="A155" s="14"/>
      <c r="B155" s="14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>
      <c r="A156" s="14"/>
      <c r="B156" s="14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>
      <c r="A157" s="14"/>
      <c r="B157" s="14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>
      <c r="A158" s="14"/>
      <c r="B158" s="14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>
      <c r="A159" s="14"/>
      <c r="B159" s="14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>
      <c r="A160" s="14"/>
      <c r="B160" s="14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>
      <c r="A161" s="14"/>
      <c r="B161" s="14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>
      <c r="A162" s="14"/>
      <c r="B162" s="14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>
      <c r="A163" s="14"/>
      <c r="B163" s="14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>
      <c r="A164" s="14"/>
      <c r="B164" s="14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>
      <c r="A165" s="14"/>
      <c r="B165" s="14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>
      <c r="A166" s="14"/>
      <c r="B166" s="14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>
      <c r="A167" s="14"/>
      <c r="B167" s="14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>
      <c r="A168" s="14"/>
      <c r="B168" s="14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>
      <c r="A169" s="14"/>
      <c r="B169" s="14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>
      <c r="A170" s="14"/>
      <c r="B170" s="14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>
      <c r="A171" s="14"/>
      <c r="B171" s="14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>
      <c r="A172" s="14"/>
      <c r="B172" s="14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>
      <c r="A173" s="14"/>
      <c r="B173" s="14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>
      <c r="A174" s="14"/>
      <c r="B174" s="14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>
      <c r="A175" s="14"/>
      <c r="B175" s="14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>
      <c r="A176" s="14"/>
      <c r="B176" s="14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>
      <c r="A177" s="14"/>
      <c r="B177" s="14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>
      <c r="A178" s="14"/>
      <c r="B178" s="14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>
      <c r="A179" s="14"/>
      <c r="B179" s="14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>
      <c r="A180" s="14"/>
      <c r="B180" s="14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>
      <c r="A181" s="14"/>
      <c r="B181" s="14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>
      <c r="A182" s="14"/>
      <c r="B182" s="14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>
      <c r="A183" s="14"/>
      <c r="B183" s="14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>
      <c r="A184" s="14"/>
      <c r="B184" s="14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>
      <c r="A185" s="14"/>
      <c r="B185" s="14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>
      <c r="A186" s="14"/>
      <c r="B186" s="14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>
      <c r="A187" s="14"/>
      <c r="B187" s="14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>
      <c r="A188" s="14"/>
      <c r="B188" s="14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>
      <c r="A189" s="14"/>
      <c r="B189" s="14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>
      <c r="A190" s="14"/>
      <c r="B190" s="14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>
      <c r="A191" s="14"/>
      <c r="B191" s="14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>
      <c r="A192" s="14"/>
      <c r="B192" s="14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>
      <c r="A193" s="14"/>
      <c r="B193" s="14"/>
      <c r="C193" s="39"/>
      <c r="D193" s="39"/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>
      <c r="A194" s="14"/>
      <c r="B194" s="14"/>
      <c r="C194" s="39"/>
      <c r="D194" s="39"/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>
      <c r="A195" s="14"/>
      <c r="B195" s="14"/>
      <c r="C195" s="39"/>
      <c r="D195" s="39"/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>
      <c r="A196" s="14"/>
      <c r="B196" s="14"/>
      <c r="C196" s="39"/>
      <c r="D196" s="39"/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>
      <c r="A197" s="14"/>
      <c r="B197" s="14"/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>
      <c r="A198" s="14"/>
      <c r="B198" s="14"/>
      <c r="C198" s="39"/>
      <c r="D198" s="39"/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>
      <c r="A199" s="14"/>
      <c r="B199" s="14"/>
      <c r="C199" s="39"/>
      <c r="D199" s="39"/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>
      <c r="A200" s="14"/>
      <c r="B200" s="14"/>
      <c r="C200" s="39"/>
      <c r="D200" s="39"/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>
      <c r="A201" s="14"/>
      <c r="B201" s="14"/>
      <c r="C201" s="39"/>
      <c r="D201" s="39"/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>
      <c r="A202" s="14"/>
      <c r="B202" s="14"/>
      <c r="C202" s="39"/>
      <c r="D202" s="39"/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>
      <c r="A203" s="14"/>
      <c r="B203" s="14"/>
      <c r="C203" s="39"/>
      <c r="D203" s="39"/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>
      <c r="A204" s="14"/>
      <c r="B204" s="14"/>
      <c r="C204" s="39"/>
      <c r="D204" s="39"/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>
      <c r="A205" s="14"/>
      <c r="B205" s="14"/>
      <c r="C205" s="39"/>
      <c r="D205" s="39"/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>
      <c r="A206" s="14"/>
      <c r="B206" s="14"/>
      <c r="C206" s="39"/>
      <c r="D206" s="39"/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>
      <c r="A207" s="14"/>
      <c r="B207" s="14"/>
      <c r="C207" s="39"/>
      <c r="D207" s="39"/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>
      <c r="A208" s="14"/>
      <c r="B208" s="14"/>
      <c r="C208" s="39"/>
      <c r="D208" s="39"/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>
      <c r="A209" s="14"/>
      <c r="B209" s="14"/>
      <c r="C209" s="39"/>
      <c r="D209" s="39"/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>
      <c r="A210" s="14"/>
      <c r="B210" s="14"/>
      <c r="C210" s="39"/>
      <c r="D210" s="39"/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>
      <c r="A211" s="14"/>
      <c r="B211" s="14"/>
      <c r="C211" s="39"/>
      <c r="D211" s="39"/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>
      <c r="A212" s="14"/>
      <c r="B212" s="14"/>
      <c r="C212" s="39"/>
      <c r="D212" s="39"/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>
      <c r="A213" s="14"/>
      <c r="B213" s="14"/>
      <c r="C213" s="39"/>
      <c r="D213" s="39"/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>
      <c r="A214" s="14"/>
      <c r="B214" s="14"/>
      <c r="C214" s="39"/>
      <c r="D214" s="39"/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>
      <c r="A215" s="14"/>
      <c r="B215" s="14"/>
      <c r="C215" s="39"/>
      <c r="D215" s="39"/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>
      <c r="A216" s="14"/>
      <c r="B216" s="14"/>
      <c r="C216" s="39"/>
      <c r="D216" s="39"/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>
      <c r="A217" s="14"/>
      <c r="B217" s="14"/>
      <c r="C217" s="39"/>
      <c r="D217" s="39"/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>
      <c r="A218" s="14"/>
      <c r="B218" s="14"/>
      <c r="C218" s="39"/>
      <c r="D218" s="39"/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>
      <c r="A219" s="14"/>
      <c r="B219" s="14"/>
      <c r="C219" s="39"/>
      <c r="D219" s="39"/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>
      <c r="A220" s="14"/>
      <c r="B220" s="14"/>
      <c r="C220" s="39"/>
      <c r="D220" s="39"/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>
      <c r="R221" s="30"/>
      <c r="S221" s="40"/>
    </row>
    <row r="222" spans="1:33" ht="15.75" customHeight="1">
      <c r="R222" s="30"/>
      <c r="S222" s="40"/>
    </row>
    <row r="223" spans="1:33" ht="15.75" customHeight="1">
      <c r="R223" s="30"/>
      <c r="S223" s="40"/>
    </row>
    <row r="224" spans="1:33" ht="15.75" customHeight="1">
      <c r="R224" s="30"/>
      <c r="S224" s="40"/>
    </row>
    <row r="225" spans="18:18" ht="15.75" customHeight="1">
      <c r="R225" s="30"/>
    </row>
    <row r="226" spans="18:18" ht="15.75" customHeight="1">
      <c r="R226" s="30"/>
    </row>
    <row r="227" spans="18:18" ht="15.75" customHeight="1">
      <c r="R227" s="30"/>
    </row>
    <row r="228" spans="18:18" ht="15.75" customHeight="1">
      <c r="R228" s="30"/>
    </row>
    <row r="229" spans="18:18" ht="15.75" customHeight="1">
      <c r="R229" s="30"/>
    </row>
    <row r="230" spans="18:18" ht="15.75" customHeight="1">
      <c r="R230" s="30"/>
    </row>
    <row r="231" spans="18:18" ht="15.75" customHeight="1">
      <c r="R231" s="30"/>
    </row>
    <row r="232" spans="18:18" ht="15.75" customHeight="1">
      <c r="R232" s="30"/>
    </row>
    <row r="233" spans="18:18" ht="15.75" customHeight="1">
      <c r="R233" s="30"/>
    </row>
    <row r="234" spans="18:18" ht="15.75" customHeight="1">
      <c r="R234" s="30"/>
    </row>
    <row r="235" spans="18:18" ht="15.75" customHeight="1">
      <c r="R235" s="30"/>
    </row>
    <row r="236" spans="18:18" ht="15.75" customHeight="1">
      <c r="R236" s="30"/>
    </row>
    <row r="237" spans="18:18" ht="15.75" customHeight="1">
      <c r="R237" s="30"/>
    </row>
    <row r="238" spans="18:18" ht="15.75" customHeight="1">
      <c r="R238" s="30"/>
    </row>
    <row r="239" spans="18:18" ht="15.75" customHeight="1">
      <c r="R239" s="30"/>
    </row>
    <row r="240" spans="18:18" ht="15.75" customHeight="1">
      <c r="R240" s="30"/>
    </row>
    <row r="241" spans="18:18" ht="15.75" customHeight="1">
      <c r="R241" s="30"/>
    </row>
    <row r="242" spans="18:18" ht="15.75" customHeight="1">
      <c r="R242" s="30"/>
    </row>
    <row r="243" spans="18:18" ht="15.75" customHeight="1">
      <c r="R243" s="30"/>
    </row>
    <row r="244" spans="18:18" ht="15.75" customHeight="1">
      <c r="R244" s="30"/>
    </row>
    <row r="245" spans="18:18" ht="15.75" customHeight="1">
      <c r="R245" s="30"/>
    </row>
    <row r="246" spans="18:18" ht="15.75" customHeight="1">
      <c r="R246" s="30"/>
    </row>
    <row r="247" spans="18:18" ht="15.75" customHeight="1">
      <c r="R247" s="30"/>
    </row>
    <row r="248" spans="18:18" ht="15.75" customHeight="1">
      <c r="R248" s="30"/>
    </row>
    <row r="249" spans="18:18" ht="15.75" customHeight="1">
      <c r="R249" s="30"/>
    </row>
    <row r="250" spans="18:18" ht="15.75" customHeight="1">
      <c r="R250" s="30"/>
    </row>
    <row r="251" spans="18:18" ht="15.75" customHeight="1">
      <c r="R251" s="30"/>
    </row>
    <row r="252" spans="18:18" ht="15.75" customHeight="1">
      <c r="R252" s="30"/>
    </row>
    <row r="253" spans="18:18" ht="15.75" customHeight="1">
      <c r="R253" s="30"/>
    </row>
    <row r="254" spans="18:18" ht="15.75" customHeight="1">
      <c r="R254" s="30"/>
    </row>
    <row r="255" spans="18:18" ht="15.75" customHeight="1">
      <c r="R255" s="30"/>
    </row>
    <row r="256" spans="18:18" ht="15.75" customHeight="1">
      <c r="R256" s="30"/>
    </row>
    <row r="257" spans="18:18" ht="15.75" customHeight="1">
      <c r="R257" s="30"/>
    </row>
    <row r="258" spans="18:18" ht="15.75" customHeight="1">
      <c r="R258" s="30"/>
    </row>
    <row r="259" spans="18:18" ht="15.75" customHeight="1">
      <c r="R259" s="30"/>
    </row>
    <row r="260" spans="18:18" ht="15.75" customHeight="1">
      <c r="R260" s="30"/>
    </row>
    <row r="261" spans="18:18" ht="15.75" customHeight="1">
      <c r="R261" s="30"/>
    </row>
    <row r="262" spans="18:18" ht="15.75" customHeight="1">
      <c r="R262" s="30"/>
    </row>
    <row r="263" spans="18:18" ht="15.75" customHeight="1">
      <c r="R263" s="30"/>
    </row>
    <row r="264" spans="18:18" ht="15.75" customHeight="1">
      <c r="R264" s="30"/>
    </row>
    <row r="265" spans="18:18" ht="15.75" customHeight="1">
      <c r="R265" s="30"/>
    </row>
    <row r="266" spans="18:18" ht="15.75" customHeight="1">
      <c r="R266" s="30"/>
    </row>
    <row r="267" spans="18:18" ht="15.75" customHeight="1">
      <c r="R267" s="30"/>
    </row>
    <row r="268" spans="18:18" ht="15.75" customHeight="1">
      <c r="R268" s="30"/>
    </row>
    <row r="269" spans="18:18" ht="15.75" customHeight="1">
      <c r="R269" s="30"/>
    </row>
    <row r="270" spans="18:18" ht="15.75" customHeight="1">
      <c r="R270" s="30"/>
    </row>
    <row r="271" spans="18:18" ht="15.75" customHeight="1">
      <c r="R271" s="30"/>
    </row>
    <row r="272" spans="18:18" ht="15.75" customHeight="1">
      <c r="R272" s="30"/>
    </row>
    <row r="273" spans="18:18" ht="15.75" customHeight="1">
      <c r="R273" s="30"/>
    </row>
    <row r="274" spans="18:18" ht="15.75" customHeight="1">
      <c r="R274" s="30"/>
    </row>
    <row r="275" spans="18:18" ht="15.75" customHeight="1">
      <c r="R275" s="30"/>
    </row>
    <row r="276" spans="18:18" ht="15.75" customHeight="1">
      <c r="R276" s="30"/>
    </row>
    <row r="277" spans="18:18" ht="15.75" customHeight="1">
      <c r="R277" s="30"/>
    </row>
    <row r="278" spans="18:18" ht="15.75" customHeight="1">
      <c r="R278" s="30"/>
    </row>
    <row r="279" spans="18:18" ht="15.75" customHeight="1">
      <c r="R279" s="30"/>
    </row>
    <row r="280" spans="18:18" ht="15.75" customHeight="1">
      <c r="R280" s="30"/>
    </row>
    <row r="281" spans="18:18" ht="15.75" customHeight="1">
      <c r="R281" s="30"/>
    </row>
    <row r="282" spans="18:18" ht="15.75" customHeight="1">
      <c r="R282" s="30"/>
    </row>
    <row r="283" spans="18:18" ht="15.75" customHeight="1">
      <c r="R283" s="30"/>
    </row>
    <row r="284" spans="18:18" ht="15.75" customHeight="1">
      <c r="R284" s="30"/>
    </row>
    <row r="285" spans="18:18" ht="15.75" customHeight="1">
      <c r="R285" s="30"/>
    </row>
    <row r="286" spans="18:18" ht="15.75" customHeight="1">
      <c r="R286" s="30"/>
    </row>
    <row r="287" spans="18:18" ht="15.75" customHeight="1">
      <c r="R287" s="30"/>
    </row>
    <row r="288" spans="18:18" ht="15.75" customHeight="1">
      <c r="R288" s="30"/>
    </row>
    <row r="289" spans="18:18" ht="15.75" customHeight="1">
      <c r="R289" s="30"/>
    </row>
    <row r="290" spans="18:18" ht="15.75" customHeight="1">
      <c r="R290" s="30"/>
    </row>
    <row r="291" spans="18:18" ht="15.75" customHeight="1">
      <c r="R291" s="30"/>
    </row>
    <row r="292" spans="18:18" ht="15.75" customHeight="1">
      <c r="R292" s="30"/>
    </row>
    <row r="293" spans="18:18" ht="15.75" customHeight="1">
      <c r="R293" s="30"/>
    </row>
    <row r="294" spans="18:18" ht="15.75" customHeight="1">
      <c r="R294" s="30"/>
    </row>
    <row r="295" spans="18:18" ht="15.75" customHeight="1">
      <c r="R295" s="30"/>
    </row>
    <row r="296" spans="18:18" ht="15.75" customHeight="1">
      <c r="R296" s="30"/>
    </row>
    <row r="297" spans="18:18" ht="15.75" customHeight="1">
      <c r="R297" s="30"/>
    </row>
    <row r="298" spans="18:18" ht="15.75" customHeight="1">
      <c r="R298" s="30"/>
    </row>
    <row r="299" spans="18:18" ht="15.75" customHeight="1">
      <c r="R299" s="30"/>
    </row>
    <row r="300" spans="18:18" ht="15.75" customHeight="1">
      <c r="R300" s="30"/>
    </row>
    <row r="301" spans="18:18" ht="15.75" customHeight="1">
      <c r="R301" s="30"/>
    </row>
    <row r="302" spans="18:18" ht="15.75" customHeight="1">
      <c r="R302" s="30"/>
    </row>
    <row r="303" spans="18:18" ht="15.75" customHeight="1">
      <c r="R303" s="30"/>
    </row>
    <row r="304" spans="18:18" ht="15.75" customHeight="1">
      <c r="R304" s="30"/>
    </row>
    <row r="305" spans="18:18" ht="15.75" customHeight="1">
      <c r="R305" s="30"/>
    </row>
    <row r="306" spans="18:18" ht="15.75" customHeight="1">
      <c r="R306" s="30"/>
    </row>
    <row r="307" spans="18:18" ht="15.75" customHeight="1">
      <c r="R307" s="30"/>
    </row>
    <row r="308" spans="18:18" ht="15.75" customHeight="1">
      <c r="R308" s="30"/>
    </row>
    <row r="309" spans="18:18" ht="15.75" customHeight="1">
      <c r="R309" s="30"/>
    </row>
    <row r="310" spans="18:18" ht="15.75" customHeight="1">
      <c r="R310" s="30"/>
    </row>
    <row r="311" spans="18:18" ht="15.75" customHeight="1">
      <c r="R311" s="30"/>
    </row>
    <row r="312" spans="18:18" ht="15.75" customHeight="1">
      <c r="R312" s="30"/>
    </row>
    <row r="313" spans="18:18" ht="15.75" customHeight="1">
      <c r="R313" s="30"/>
    </row>
    <row r="314" spans="18:18" ht="15.75" customHeight="1">
      <c r="R314" s="30"/>
    </row>
    <row r="315" spans="18:18" ht="15.75" customHeight="1">
      <c r="R315" s="30"/>
    </row>
    <row r="316" spans="18:18" ht="15.75" customHeight="1">
      <c r="R316" s="30"/>
    </row>
    <row r="317" spans="18:18" ht="15.75" customHeight="1">
      <c r="R317" s="30"/>
    </row>
    <row r="318" spans="18:18" ht="15.75" customHeight="1">
      <c r="R318" s="30"/>
    </row>
    <row r="319" spans="18:18" ht="15.75" customHeight="1">
      <c r="R319" s="30"/>
    </row>
    <row r="320" spans="18:18" ht="15.75" customHeight="1">
      <c r="R320" s="30"/>
    </row>
    <row r="321" spans="18:18" ht="15.75" customHeight="1">
      <c r="R321" s="30"/>
    </row>
    <row r="322" spans="18:18" ht="15.75" customHeight="1">
      <c r="R322" s="30"/>
    </row>
    <row r="323" spans="18:18" ht="15.75" customHeight="1">
      <c r="R323" s="30"/>
    </row>
    <row r="324" spans="18:18" ht="15.75" customHeight="1">
      <c r="R324" s="30"/>
    </row>
    <row r="325" spans="18:18" ht="15.75" customHeight="1">
      <c r="R325" s="30"/>
    </row>
    <row r="326" spans="18:18" ht="15.75" customHeight="1">
      <c r="R326" s="30"/>
    </row>
    <row r="327" spans="18:18" ht="15.75" customHeight="1">
      <c r="R327" s="30"/>
    </row>
    <row r="328" spans="18:18" ht="15.75" customHeight="1">
      <c r="R328" s="30"/>
    </row>
    <row r="329" spans="18:18" ht="15.75" customHeight="1">
      <c r="R329" s="30"/>
    </row>
    <row r="330" spans="18:18" ht="15.75" customHeight="1">
      <c r="R330" s="30"/>
    </row>
    <row r="331" spans="18:18" ht="15.75" customHeight="1">
      <c r="R331" s="30"/>
    </row>
    <row r="332" spans="18:18" ht="15.75" customHeight="1">
      <c r="R332" s="30"/>
    </row>
    <row r="333" spans="18:18" ht="15.75" customHeight="1">
      <c r="R333" s="30"/>
    </row>
    <row r="334" spans="18:18" ht="15.75" customHeight="1">
      <c r="R334" s="30"/>
    </row>
    <row r="335" spans="18:18" ht="15.75" customHeight="1">
      <c r="R335" s="30"/>
    </row>
    <row r="336" spans="18:18" ht="15.75" customHeight="1">
      <c r="R336" s="30"/>
    </row>
    <row r="337" spans="18:18" ht="15.75" customHeight="1">
      <c r="R337" s="30"/>
    </row>
    <row r="338" spans="18:18" ht="15.75" customHeight="1">
      <c r="R338" s="30"/>
    </row>
    <row r="339" spans="18:18" ht="15.75" customHeight="1">
      <c r="R339" s="30"/>
    </row>
    <row r="340" spans="18:18" ht="15.75" customHeight="1">
      <c r="R340" s="30"/>
    </row>
    <row r="341" spans="18:18" ht="15.75" customHeight="1">
      <c r="R341" s="30"/>
    </row>
    <row r="342" spans="18:18" ht="15.75" customHeight="1">
      <c r="R342" s="30"/>
    </row>
    <row r="343" spans="18:18" ht="15.75" customHeight="1">
      <c r="R343" s="30"/>
    </row>
    <row r="344" spans="18:18" ht="15.75" customHeight="1">
      <c r="R344" s="30"/>
    </row>
    <row r="345" spans="18:18" ht="15.75" customHeight="1">
      <c r="R345" s="30"/>
    </row>
    <row r="346" spans="18:18" ht="15.75" customHeight="1">
      <c r="R346" s="30"/>
    </row>
    <row r="347" spans="18:18" ht="15.75" customHeight="1">
      <c r="R347" s="30"/>
    </row>
    <row r="348" spans="18:18" ht="15.75" customHeight="1">
      <c r="R348" s="30"/>
    </row>
    <row r="349" spans="18:18" ht="15.75" customHeight="1">
      <c r="R349" s="30"/>
    </row>
    <row r="350" spans="18:18" ht="15.75" customHeight="1">
      <c r="R350" s="30"/>
    </row>
    <row r="351" spans="18:18" ht="15.75" customHeight="1">
      <c r="R351" s="30"/>
    </row>
    <row r="352" spans="18:18" ht="15.75" customHeight="1">
      <c r="R352" s="30"/>
    </row>
    <row r="353" spans="18:18" ht="15.75" customHeight="1">
      <c r="R353" s="30"/>
    </row>
    <row r="354" spans="18:18" ht="15.75" customHeight="1">
      <c r="R354" s="30"/>
    </row>
    <row r="355" spans="18:18" ht="15.75" customHeight="1">
      <c r="R355" s="30"/>
    </row>
    <row r="356" spans="18:18" ht="15.75" customHeight="1">
      <c r="R356" s="30"/>
    </row>
    <row r="357" spans="18:18" ht="15.75" customHeight="1">
      <c r="R357" s="30"/>
    </row>
    <row r="358" spans="18:18" ht="15.75" customHeight="1">
      <c r="R358" s="30"/>
    </row>
    <row r="359" spans="18:18" ht="15.75" customHeight="1">
      <c r="R359" s="30"/>
    </row>
    <row r="360" spans="18:18" ht="15.75" customHeight="1">
      <c r="R360" s="30"/>
    </row>
    <row r="361" spans="18:18" ht="15.75" customHeight="1">
      <c r="R361" s="30"/>
    </row>
    <row r="362" spans="18:18" ht="15.75" customHeight="1">
      <c r="R362" s="30"/>
    </row>
    <row r="363" spans="18:18" ht="15.75" customHeight="1">
      <c r="R363" s="30"/>
    </row>
    <row r="364" spans="18:18" ht="15.75" customHeight="1">
      <c r="R364" s="30"/>
    </row>
    <row r="365" spans="18:18" ht="15.75" customHeight="1">
      <c r="R365" s="30"/>
    </row>
    <row r="366" spans="18:18" ht="15.75" customHeight="1">
      <c r="R366" s="30"/>
    </row>
    <row r="367" spans="18:18" ht="15.75" customHeight="1">
      <c r="R367" s="30"/>
    </row>
    <row r="368" spans="18:18" ht="15.75" customHeight="1">
      <c r="R368" s="30"/>
    </row>
    <row r="369" spans="18:18" ht="15.75" customHeight="1">
      <c r="R369" s="30"/>
    </row>
    <row r="370" spans="18:18" ht="15.75" customHeight="1">
      <c r="R370" s="30"/>
    </row>
    <row r="371" spans="18:18" ht="15.75" customHeight="1">
      <c r="R371" s="30"/>
    </row>
    <row r="372" spans="18:18" ht="15.75" customHeight="1">
      <c r="R372" s="30"/>
    </row>
    <row r="373" spans="18:18" ht="15.75" customHeight="1">
      <c r="R373" s="30"/>
    </row>
    <row r="374" spans="18:18" ht="15.75" customHeight="1">
      <c r="R374" s="30"/>
    </row>
    <row r="375" spans="18:18" ht="15.75" customHeight="1">
      <c r="R375" s="30"/>
    </row>
    <row r="376" spans="18:18" ht="15.75" customHeight="1">
      <c r="R376" s="30"/>
    </row>
    <row r="377" spans="18:18" ht="15.75" customHeight="1">
      <c r="R377" s="30"/>
    </row>
    <row r="378" spans="18:18" ht="15.75" customHeight="1">
      <c r="R378" s="30"/>
    </row>
    <row r="379" spans="18:18" ht="15.75" customHeight="1">
      <c r="R379" s="30"/>
    </row>
    <row r="380" spans="18:18" ht="15.75" customHeight="1">
      <c r="R380" s="30"/>
    </row>
    <row r="381" spans="18:18" ht="15.75" customHeight="1">
      <c r="R381" s="30"/>
    </row>
    <row r="382" spans="18:18" ht="15.75" customHeight="1">
      <c r="R382" s="30"/>
    </row>
    <row r="383" spans="18:18" ht="15.75" customHeight="1">
      <c r="R383" s="30"/>
    </row>
    <row r="384" spans="18:18" ht="15.75" customHeight="1">
      <c r="R384" s="30"/>
    </row>
    <row r="385" spans="18:18" ht="15.75" customHeight="1">
      <c r="R385" s="30"/>
    </row>
    <row r="386" spans="18:18" ht="15.75" customHeight="1">
      <c r="R386" s="30"/>
    </row>
    <row r="387" spans="18:18" ht="15.75" customHeight="1">
      <c r="R387" s="30"/>
    </row>
    <row r="388" spans="18:18" ht="15.75" customHeight="1">
      <c r="R388" s="30"/>
    </row>
    <row r="389" spans="18:18" ht="15.75" customHeight="1">
      <c r="R389" s="30"/>
    </row>
    <row r="390" spans="18:18" ht="15.75" customHeight="1">
      <c r="R390" s="30"/>
    </row>
    <row r="391" spans="18:18" ht="15.75" customHeight="1">
      <c r="R391" s="30"/>
    </row>
    <row r="392" spans="18:18" ht="15.75" customHeight="1">
      <c r="R392" s="30"/>
    </row>
    <row r="393" spans="18:18" ht="15.75" customHeight="1">
      <c r="R393" s="30"/>
    </row>
    <row r="394" spans="18:18" ht="15.75" customHeight="1">
      <c r="R394" s="30"/>
    </row>
    <row r="395" spans="18:18" ht="15.75" customHeight="1">
      <c r="R395" s="30"/>
    </row>
    <row r="396" spans="18:18" ht="15.75" customHeight="1">
      <c r="R396" s="30"/>
    </row>
    <row r="397" spans="18:18" ht="15.75" customHeight="1">
      <c r="R397" s="30"/>
    </row>
    <row r="398" spans="18:18" ht="15.75" customHeight="1">
      <c r="R398" s="30"/>
    </row>
    <row r="399" spans="18:18" ht="15.75" customHeight="1">
      <c r="R399" s="30"/>
    </row>
    <row r="400" spans="18:18" ht="15.75" customHeight="1">
      <c r="R400" s="30"/>
    </row>
    <row r="401" spans="18:18" ht="15.75" customHeight="1">
      <c r="R401" s="30"/>
    </row>
    <row r="402" spans="18:18" ht="15.75" customHeight="1">
      <c r="R402" s="30"/>
    </row>
    <row r="403" spans="18:18" ht="15.75" customHeight="1">
      <c r="R403" s="30"/>
    </row>
    <row r="404" spans="18:18" ht="15.75" customHeight="1">
      <c r="R404" s="30"/>
    </row>
    <row r="405" spans="18:18" ht="15.75" customHeight="1">
      <c r="R405" s="30"/>
    </row>
    <row r="406" spans="18:18" ht="15.75" customHeight="1">
      <c r="R406" s="30"/>
    </row>
    <row r="407" spans="18:18" ht="15.75" customHeight="1">
      <c r="R407" s="30"/>
    </row>
    <row r="408" spans="18:18" ht="15.75" customHeight="1">
      <c r="R408" s="30"/>
    </row>
    <row r="409" spans="18:18" ht="15.75" customHeight="1">
      <c r="R409" s="30"/>
    </row>
    <row r="410" spans="18:18" ht="15.75" customHeight="1">
      <c r="R410" s="30"/>
    </row>
    <row r="411" spans="18:18" ht="15.75" customHeight="1">
      <c r="R411" s="30"/>
    </row>
    <row r="412" spans="18:18" ht="15.75" customHeight="1">
      <c r="R412" s="30"/>
    </row>
    <row r="413" spans="18:18" ht="15.75" customHeight="1">
      <c r="R413" s="30"/>
    </row>
    <row r="414" spans="18:18" ht="15.75" customHeight="1">
      <c r="R414" s="30"/>
    </row>
    <row r="415" spans="18:18" ht="15.75" customHeight="1">
      <c r="R415" s="30"/>
    </row>
    <row r="416" spans="18:18" ht="15.75" customHeight="1">
      <c r="R416" s="30"/>
    </row>
    <row r="417" spans="18:18" ht="15.75" customHeight="1">
      <c r="R417" s="30"/>
    </row>
    <row r="418" spans="18:18" ht="15.75" customHeight="1">
      <c r="R418" s="30"/>
    </row>
    <row r="419" spans="18:18" ht="15.75" customHeight="1">
      <c r="R419" s="30"/>
    </row>
    <row r="420" spans="18:18" ht="15.75" customHeight="1">
      <c r="R420" s="30"/>
    </row>
    <row r="421" spans="18:18" ht="15.75" customHeight="1">
      <c r="R421" s="30"/>
    </row>
    <row r="422" spans="18:18" ht="15.75" customHeight="1">
      <c r="R422" s="30"/>
    </row>
    <row r="423" spans="18:18" ht="15.75" customHeight="1">
      <c r="R423" s="30"/>
    </row>
    <row r="424" spans="18:18" ht="15.75" customHeight="1">
      <c r="R424" s="30"/>
    </row>
    <row r="425" spans="18:18" ht="15.75" customHeight="1">
      <c r="R425" s="30"/>
    </row>
    <row r="426" spans="18:18" ht="15.75" customHeight="1">
      <c r="R426" s="30"/>
    </row>
    <row r="427" spans="18:18" ht="15.75" customHeight="1">
      <c r="R427" s="30"/>
    </row>
    <row r="428" spans="18:18" ht="15.75" customHeight="1">
      <c r="R428" s="30"/>
    </row>
    <row r="429" spans="18:18" ht="15.75" customHeight="1">
      <c r="R429" s="30"/>
    </row>
    <row r="430" spans="18:18" ht="15.75" customHeight="1">
      <c r="R430" s="30"/>
    </row>
    <row r="431" spans="18:18" ht="15.75" customHeight="1">
      <c r="R431" s="30"/>
    </row>
    <row r="432" spans="18:18" ht="15.75" customHeight="1">
      <c r="R432" s="30"/>
    </row>
    <row r="433" spans="18:18" ht="15.75" customHeight="1">
      <c r="R433" s="30"/>
    </row>
    <row r="434" spans="18:18" ht="15.75" customHeight="1">
      <c r="R434" s="30"/>
    </row>
    <row r="435" spans="18:18" ht="15.75" customHeight="1">
      <c r="R435" s="30"/>
    </row>
    <row r="436" spans="18:18" ht="15.75" customHeight="1">
      <c r="R436" s="30"/>
    </row>
    <row r="437" spans="18:18" ht="15.75" customHeight="1">
      <c r="R437" s="30"/>
    </row>
    <row r="438" spans="18:18" ht="15.75" customHeight="1">
      <c r="R438" s="30"/>
    </row>
    <row r="439" spans="18:18" ht="15.75" customHeight="1">
      <c r="R439" s="30"/>
    </row>
    <row r="440" spans="18:18" ht="15.75" customHeight="1">
      <c r="R440" s="30"/>
    </row>
    <row r="441" spans="18:18" ht="15.75" customHeight="1">
      <c r="R441" s="30"/>
    </row>
    <row r="442" spans="18:18" ht="15.75" customHeight="1">
      <c r="R442" s="30"/>
    </row>
    <row r="443" spans="18:18" ht="15.75" customHeight="1">
      <c r="R443" s="30"/>
    </row>
    <row r="444" spans="18:18" ht="15.75" customHeight="1">
      <c r="R444" s="30"/>
    </row>
    <row r="445" spans="18:18" ht="15.75" customHeight="1">
      <c r="R445" s="30"/>
    </row>
    <row r="446" spans="18:18" ht="15.75" customHeight="1">
      <c r="R446" s="30"/>
    </row>
    <row r="447" spans="18:18" ht="15.75" customHeight="1">
      <c r="R447" s="30"/>
    </row>
    <row r="448" spans="18:18" ht="15.75" customHeight="1">
      <c r="R448" s="30"/>
    </row>
    <row r="449" spans="18:18" ht="15.75" customHeight="1">
      <c r="R449" s="30"/>
    </row>
    <row r="450" spans="18:18" ht="15.75" customHeight="1">
      <c r="R450" s="30"/>
    </row>
    <row r="451" spans="18:18" ht="15.75" customHeight="1">
      <c r="R451" s="30"/>
    </row>
    <row r="452" spans="18:18" ht="15.75" customHeight="1">
      <c r="R452" s="30"/>
    </row>
    <row r="453" spans="18:18" ht="15.75" customHeight="1">
      <c r="R453" s="30"/>
    </row>
    <row r="454" spans="18:18" ht="15.75" customHeight="1">
      <c r="R454" s="30"/>
    </row>
    <row r="455" spans="18:18" ht="15.75" customHeight="1">
      <c r="R455" s="30"/>
    </row>
    <row r="456" spans="18:18" ht="15.75" customHeight="1">
      <c r="R456" s="30"/>
    </row>
    <row r="457" spans="18:18" ht="15.75" customHeight="1">
      <c r="R457" s="30"/>
    </row>
    <row r="458" spans="18:18" ht="15.75" customHeight="1">
      <c r="R458" s="30"/>
    </row>
    <row r="459" spans="18:18" ht="15.75" customHeight="1">
      <c r="R459" s="30"/>
    </row>
    <row r="460" spans="18:18" ht="15.75" customHeight="1">
      <c r="R460" s="30"/>
    </row>
    <row r="461" spans="18:18" ht="15.75" customHeight="1">
      <c r="R461" s="30"/>
    </row>
    <row r="462" spans="18:18" ht="15.75" customHeight="1">
      <c r="R462" s="30"/>
    </row>
    <row r="463" spans="18:18" ht="15.75" customHeight="1">
      <c r="R463" s="30"/>
    </row>
    <row r="464" spans="18:18" ht="15.75" customHeight="1">
      <c r="R464" s="30"/>
    </row>
    <row r="465" spans="18:18" ht="15.75" customHeight="1">
      <c r="R465" s="30"/>
    </row>
    <row r="466" spans="18:18" ht="15.75" customHeight="1">
      <c r="R466" s="30"/>
    </row>
    <row r="467" spans="18:18" ht="15.75" customHeight="1">
      <c r="R467" s="30"/>
    </row>
    <row r="468" spans="18:18" ht="15.75" customHeight="1">
      <c r="R468" s="30"/>
    </row>
    <row r="469" spans="18:18" ht="15.75" customHeight="1">
      <c r="R469" s="30"/>
    </row>
    <row r="470" spans="18:18" ht="15.75" customHeight="1">
      <c r="R470" s="30"/>
    </row>
    <row r="471" spans="18:18" ht="15.75" customHeight="1">
      <c r="R471" s="30"/>
    </row>
    <row r="472" spans="18:18" ht="15.75" customHeight="1">
      <c r="R472" s="30"/>
    </row>
    <row r="473" spans="18:18" ht="15.75" customHeight="1">
      <c r="R473" s="30"/>
    </row>
    <row r="474" spans="18:18" ht="15.75" customHeight="1">
      <c r="R474" s="30"/>
    </row>
    <row r="475" spans="18:18" ht="15.75" customHeight="1">
      <c r="R475" s="30"/>
    </row>
    <row r="476" spans="18:18" ht="15.75" customHeight="1">
      <c r="R476" s="30"/>
    </row>
    <row r="477" spans="18:18" ht="15.75" customHeight="1">
      <c r="R477" s="30"/>
    </row>
    <row r="478" spans="18:18" ht="15.75" customHeight="1">
      <c r="R478" s="30"/>
    </row>
    <row r="479" spans="18:18" ht="15.75" customHeight="1">
      <c r="R479" s="30"/>
    </row>
    <row r="480" spans="18:18" ht="15.75" customHeight="1">
      <c r="R480" s="30"/>
    </row>
    <row r="481" spans="18:18" ht="15.75" customHeight="1">
      <c r="R481" s="30"/>
    </row>
    <row r="482" spans="18:18" ht="15.75" customHeight="1">
      <c r="R482" s="30"/>
    </row>
    <row r="483" spans="18:18" ht="15.75" customHeight="1">
      <c r="R483" s="30"/>
    </row>
    <row r="484" spans="18:18" ht="15.75" customHeight="1">
      <c r="R484" s="30"/>
    </row>
    <row r="485" spans="18:18" ht="15.75" customHeight="1">
      <c r="R485" s="30"/>
    </row>
    <row r="486" spans="18:18" ht="15.75" customHeight="1">
      <c r="R486" s="30"/>
    </row>
    <row r="487" spans="18:18" ht="15.75" customHeight="1">
      <c r="R487" s="30"/>
    </row>
    <row r="488" spans="18:18" ht="15.75" customHeight="1">
      <c r="R488" s="30"/>
    </row>
    <row r="489" spans="18:18" ht="15.75" customHeight="1">
      <c r="R489" s="30"/>
    </row>
    <row r="490" spans="18:18" ht="15.75" customHeight="1">
      <c r="R490" s="30"/>
    </row>
    <row r="491" spans="18:18" ht="15.75" customHeight="1">
      <c r="R491" s="30"/>
    </row>
    <row r="492" spans="18:18" ht="15.75" customHeight="1">
      <c r="R492" s="30"/>
    </row>
    <row r="493" spans="18:18" ht="15.75" customHeight="1">
      <c r="R493" s="30"/>
    </row>
    <row r="494" spans="18:18" ht="15.75" customHeight="1">
      <c r="R494" s="30"/>
    </row>
    <row r="495" spans="18:18" ht="15.75" customHeight="1">
      <c r="R495" s="30"/>
    </row>
    <row r="496" spans="18:18" ht="15.75" customHeight="1">
      <c r="R496" s="30"/>
    </row>
    <row r="497" spans="18:18" ht="15.75" customHeight="1">
      <c r="R497" s="30"/>
    </row>
    <row r="498" spans="18:18" ht="15.75" customHeight="1">
      <c r="R498" s="30"/>
    </row>
    <row r="499" spans="18:18" ht="15.75" customHeight="1">
      <c r="R499" s="30"/>
    </row>
    <row r="500" spans="18:18" ht="15.75" customHeight="1">
      <c r="R500" s="30"/>
    </row>
    <row r="501" spans="18:18" ht="15.75" customHeight="1">
      <c r="R501" s="30"/>
    </row>
    <row r="502" spans="18:18" ht="15.75" customHeight="1">
      <c r="R502" s="30"/>
    </row>
    <row r="503" spans="18:18" ht="15.75" customHeight="1">
      <c r="R503" s="30"/>
    </row>
    <row r="504" spans="18:18" ht="15.75" customHeight="1">
      <c r="R504" s="30"/>
    </row>
    <row r="505" spans="18:18" ht="15.75" customHeight="1">
      <c r="R505" s="30"/>
    </row>
    <row r="506" spans="18:18" ht="15.75" customHeight="1">
      <c r="R506" s="30"/>
    </row>
    <row r="507" spans="18:18" ht="15.75" customHeight="1">
      <c r="R507" s="30"/>
    </row>
    <row r="508" spans="18:18" ht="15.75" customHeight="1">
      <c r="R508" s="30"/>
    </row>
    <row r="509" spans="18:18" ht="15.75" customHeight="1">
      <c r="R509" s="30"/>
    </row>
    <row r="510" spans="18:18" ht="15.75" customHeight="1">
      <c r="R510" s="30"/>
    </row>
    <row r="511" spans="18:18" ht="15.75" customHeight="1">
      <c r="R511" s="30"/>
    </row>
    <row r="512" spans="18:18" ht="15.75" customHeight="1">
      <c r="R512" s="30"/>
    </row>
    <row r="513" spans="18:18" ht="15.75" customHeight="1">
      <c r="R513" s="30"/>
    </row>
    <row r="514" spans="18:18" ht="15.75" customHeight="1">
      <c r="R514" s="30"/>
    </row>
    <row r="515" spans="18:18" ht="15.75" customHeight="1">
      <c r="R515" s="30"/>
    </row>
    <row r="516" spans="18:18" ht="15.75" customHeight="1">
      <c r="R516" s="30"/>
    </row>
    <row r="517" spans="18:18" ht="15.75" customHeight="1">
      <c r="R517" s="30"/>
    </row>
    <row r="518" spans="18:18" ht="15.75" customHeight="1">
      <c r="R518" s="30"/>
    </row>
    <row r="519" spans="18:18" ht="15.75" customHeight="1">
      <c r="R519" s="30"/>
    </row>
    <row r="520" spans="18:18" ht="15.75" customHeight="1">
      <c r="R520" s="30"/>
    </row>
    <row r="521" spans="18:18" ht="15.75" customHeight="1">
      <c r="R521" s="30"/>
    </row>
    <row r="522" spans="18:18" ht="15.75" customHeight="1">
      <c r="R522" s="30"/>
    </row>
    <row r="523" spans="18:18" ht="15.75" customHeight="1">
      <c r="R523" s="30"/>
    </row>
    <row r="524" spans="18:18" ht="15.75" customHeight="1">
      <c r="R524" s="30"/>
    </row>
    <row r="525" spans="18:18" ht="15.75" customHeight="1">
      <c r="R525" s="30"/>
    </row>
    <row r="526" spans="18:18" ht="15.75" customHeight="1">
      <c r="R526" s="30"/>
    </row>
    <row r="527" spans="18:18" ht="15.75" customHeight="1">
      <c r="R527" s="30"/>
    </row>
    <row r="528" spans="18:18" ht="15.75" customHeight="1">
      <c r="R528" s="30"/>
    </row>
    <row r="529" spans="18:18" ht="15.75" customHeight="1">
      <c r="R529" s="30"/>
    </row>
    <row r="530" spans="18:18" ht="15.75" customHeight="1">
      <c r="R530" s="30"/>
    </row>
    <row r="531" spans="18:18" ht="15.75" customHeight="1">
      <c r="R531" s="30"/>
    </row>
    <row r="532" spans="18:18" ht="15.75" customHeight="1">
      <c r="R532" s="30"/>
    </row>
    <row r="533" spans="18:18" ht="15.75" customHeight="1">
      <c r="R533" s="30"/>
    </row>
    <row r="534" spans="18:18" ht="15.75" customHeight="1">
      <c r="R534" s="30"/>
    </row>
    <row r="535" spans="18:18" ht="15.75" customHeight="1">
      <c r="R535" s="30"/>
    </row>
    <row r="536" spans="18:18" ht="15.75" customHeight="1">
      <c r="R536" s="30"/>
    </row>
    <row r="537" spans="18:18" ht="15.75" customHeight="1">
      <c r="R537" s="30"/>
    </row>
    <row r="538" spans="18:18" ht="15.75" customHeight="1">
      <c r="R538" s="30"/>
    </row>
    <row r="539" spans="18:18" ht="15.75" customHeight="1">
      <c r="R539" s="30"/>
    </row>
    <row r="540" spans="18:18" ht="15.75" customHeight="1">
      <c r="R540" s="30"/>
    </row>
    <row r="541" spans="18:18" ht="15.75" customHeight="1">
      <c r="R541" s="30"/>
    </row>
    <row r="542" spans="18:18" ht="15.75" customHeight="1">
      <c r="R542" s="30"/>
    </row>
    <row r="543" spans="18:18" ht="15.75" customHeight="1">
      <c r="R543" s="30"/>
    </row>
    <row r="544" spans="18:18" ht="15.75" customHeight="1">
      <c r="R544" s="30"/>
    </row>
    <row r="545" spans="18:18" ht="15.75" customHeight="1">
      <c r="R545" s="30"/>
    </row>
    <row r="546" spans="18:18" ht="15.75" customHeight="1">
      <c r="R546" s="30"/>
    </row>
    <row r="547" spans="18:18" ht="15.75" customHeight="1">
      <c r="R547" s="30"/>
    </row>
    <row r="548" spans="18:18" ht="15.75" customHeight="1">
      <c r="R548" s="30"/>
    </row>
    <row r="549" spans="18:18" ht="15.75" customHeight="1">
      <c r="R549" s="30"/>
    </row>
    <row r="550" spans="18:18" ht="15.75" customHeight="1">
      <c r="R550" s="30"/>
    </row>
    <row r="551" spans="18:18" ht="15.75" customHeight="1">
      <c r="R551" s="30"/>
    </row>
    <row r="552" spans="18:18" ht="15.75" customHeight="1">
      <c r="R552" s="30"/>
    </row>
    <row r="553" spans="18:18" ht="15.75" customHeight="1">
      <c r="R553" s="30"/>
    </row>
    <row r="554" spans="18:18" ht="15.75" customHeight="1">
      <c r="R554" s="30"/>
    </row>
    <row r="555" spans="18:18" ht="15.75" customHeight="1">
      <c r="R555" s="30"/>
    </row>
    <row r="556" spans="18:18" ht="15.75" customHeight="1">
      <c r="R556" s="30"/>
    </row>
    <row r="557" spans="18:18" ht="15.75" customHeight="1">
      <c r="R557" s="30"/>
    </row>
    <row r="558" spans="18:18" ht="15.75" customHeight="1">
      <c r="R558" s="30"/>
    </row>
    <row r="559" spans="18:18" ht="15.75" customHeight="1">
      <c r="R559" s="30"/>
    </row>
    <row r="560" spans="18:18" ht="15.75" customHeight="1">
      <c r="R560" s="30"/>
    </row>
    <row r="561" spans="18:18" ht="15.75" customHeight="1">
      <c r="R561" s="30"/>
    </row>
    <row r="562" spans="18:18" ht="15.75" customHeight="1">
      <c r="R562" s="30"/>
    </row>
    <row r="563" spans="18:18" ht="15.75" customHeight="1">
      <c r="R563" s="30"/>
    </row>
    <row r="564" spans="18:18" ht="15.75" customHeight="1">
      <c r="R564" s="30"/>
    </row>
    <row r="565" spans="18:18" ht="15.75" customHeight="1">
      <c r="R565" s="30"/>
    </row>
    <row r="566" spans="18:18" ht="15.75" customHeight="1">
      <c r="R566" s="30"/>
    </row>
    <row r="567" spans="18:18" ht="15.75" customHeight="1">
      <c r="R567" s="30"/>
    </row>
    <row r="568" spans="18:18" ht="15.75" customHeight="1">
      <c r="R568" s="30"/>
    </row>
    <row r="569" spans="18:18" ht="15.75" customHeight="1">
      <c r="R569" s="30"/>
    </row>
    <row r="570" spans="18:18" ht="15.75" customHeight="1">
      <c r="R570" s="30"/>
    </row>
    <row r="571" spans="18:18" ht="15.75" customHeight="1">
      <c r="R571" s="30"/>
    </row>
    <row r="572" spans="18:18" ht="15.75" customHeight="1">
      <c r="R572" s="30"/>
    </row>
    <row r="573" spans="18:18" ht="15.75" customHeight="1">
      <c r="R573" s="30"/>
    </row>
    <row r="574" spans="18:18" ht="15.75" customHeight="1">
      <c r="R574" s="30"/>
    </row>
    <row r="575" spans="18:18" ht="15.75" customHeight="1">
      <c r="R575" s="30"/>
    </row>
    <row r="576" spans="18:18" ht="15.75" customHeight="1">
      <c r="R576" s="30"/>
    </row>
    <row r="577" spans="18:18" ht="15.75" customHeight="1">
      <c r="R577" s="30"/>
    </row>
    <row r="578" spans="18:18" ht="15.75" customHeight="1">
      <c r="R578" s="30"/>
    </row>
    <row r="579" spans="18:18" ht="15.75" customHeight="1">
      <c r="R579" s="30"/>
    </row>
    <row r="580" spans="18:18" ht="15.75" customHeight="1">
      <c r="R580" s="30"/>
    </row>
    <row r="581" spans="18:18" ht="15.75" customHeight="1">
      <c r="R581" s="30"/>
    </row>
    <row r="582" spans="18:18" ht="15.75" customHeight="1">
      <c r="R582" s="30"/>
    </row>
    <row r="583" spans="18:18" ht="15.75" customHeight="1">
      <c r="R583" s="30"/>
    </row>
    <row r="584" spans="18:18" ht="15.75" customHeight="1">
      <c r="R584" s="30"/>
    </row>
    <row r="585" spans="18:18" ht="15.75" customHeight="1">
      <c r="R585" s="30"/>
    </row>
    <row r="586" spans="18:18" ht="15.75" customHeight="1">
      <c r="R586" s="30"/>
    </row>
    <row r="587" spans="18:18" ht="15.75" customHeight="1">
      <c r="R587" s="30"/>
    </row>
    <row r="588" spans="18:18" ht="15.75" customHeight="1">
      <c r="R588" s="30"/>
    </row>
    <row r="589" spans="18:18" ht="15.75" customHeight="1">
      <c r="R589" s="30"/>
    </row>
    <row r="590" spans="18:18" ht="15.75" customHeight="1">
      <c r="R590" s="30"/>
    </row>
    <row r="591" spans="18:18" ht="15.75" customHeight="1">
      <c r="R591" s="30"/>
    </row>
    <row r="592" spans="18:18" ht="15.75" customHeight="1">
      <c r="R592" s="30"/>
    </row>
    <row r="593" spans="18:18" ht="15.75" customHeight="1">
      <c r="R593" s="30"/>
    </row>
    <row r="594" spans="18:18" ht="15.75" customHeight="1">
      <c r="R594" s="30"/>
    </row>
    <row r="595" spans="18:18" ht="15.75" customHeight="1">
      <c r="R595" s="30"/>
    </row>
    <row r="596" spans="18:18" ht="15.75" customHeight="1">
      <c r="R596" s="30"/>
    </row>
    <row r="597" spans="18:18" ht="15.75" customHeight="1">
      <c r="R597" s="30"/>
    </row>
    <row r="598" spans="18:18" ht="15.75" customHeight="1">
      <c r="R598" s="30"/>
    </row>
    <row r="599" spans="18:18" ht="15.75" customHeight="1">
      <c r="R599" s="30"/>
    </row>
    <row r="600" spans="18:18" ht="15.75" customHeight="1">
      <c r="R600" s="30"/>
    </row>
    <row r="601" spans="18:18" ht="15.75" customHeight="1">
      <c r="R601" s="30"/>
    </row>
    <row r="602" spans="18:18" ht="15.75" customHeight="1">
      <c r="R602" s="30"/>
    </row>
    <row r="603" spans="18:18" ht="15.75" customHeight="1">
      <c r="R603" s="30"/>
    </row>
    <row r="604" spans="18:18" ht="15.75" customHeight="1">
      <c r="R604" s="30"/>
    </row>
    <row r="605" spans="18:18" ht="15.75" customHeight="1">
      <c r="R605" s="30"/>
    </row>
    <row r="606" spans="18:18" ht="15.75" customHeight="1">
      <c r="R606" s="30"/>
    </row>
    <row r="607" spans="18:18" ht="15.75" customHeight="1">
      <c r="R607" s="30"/>
    </row>
    <row r="608" spans="18:18" ht="15.75" customHeight="1">
      <c r="R608" s="30"/>
    </row>
    <row r="609" spans="18:18" ht="15.75" customHeight="1">
      <c r="R609" s="30"/>
    </row>
    <row r="610" spans="18:18" ht="15.75" customHeight="1">
      <c r="R610" s="30"/>
    </row>
    <row r="611" spans="18:18" ht="15.75" customHeight="1">
      <c r="R611" s="30"/>
    </row>
    <row r="612" spans="18:18" ht="15.75" customHeight="1">
      <c r="R612" s="30"/>
    </row>
    <row r="613" spans="18:18" ht="15.75" customHeight="1">
      <c r="R613" s="30"/>
    </row>
    <row r="614" spans="18:18" ht="15.75" customHeight="1">
      <c r="R614" s="30"/>
    </row>
    <row r="615" spans="18:18" ht="15.75" customHeight="1">
      <c r="R615" s="30"/>
    </row>
    <row r="616" spans="18:18" ht="15.75" customHeight="1">
      <c r="R616" s="30"/>
    </row>
    <row r="617" spans="18:18" ht="15.75" customHeight="1">
      <c r="R617" s="30"/>
    </row>
    <row r="618" spans="18:18" ht="15.75" customHeight="1">
      <c r="R618" s="30"/>
    </row>
    <row r="619" spans="18:18" ht="15.75" customHeight="1">
      <c r="R619" s="30"/>
    </row>
    <row r="620" spans="18:18" ht="15.75" customHeight="1">
      <c r="R620" s="30"/>
    </row>
    <row r="621" spans="18:18" ht="15.75" customHeight="1">
      <c r="R621" s="30"/>
    </row>
    <row r="622" spans="18:18" ht="15.75" customHeight="1">
      <c r="R622" s="30"/>
    </row>
    <row r="623" spans="18:18" ht="15.75" customHeight="1">
      <c r="R623" s="30"/>
    </row>
    <row r="624" spans="18:18" ht="15.75" customHeight="1">
      <c r="R624" s="30"/>
    </row>
    <row r="625" spans="18:18" ht="15.75" customHeight="1">
      <c r="R625" s="30"/>
    </row>
    <row r="626" spans="18:18" ht="15.75" customHeight="1">
      <c r="R626" s="30"/>
    </row>
    <row r="627" spans="18:18" ht="15.75" customHeight="1">
      <c r="R627" s="30"/>
    </row>
    <row r="628" spans="18:18" ht="15.75" customHeight="1">
      <c r="R628" s="30"/>
    </row>
    <row r="629" spans="18:18" ht="15.75" customHeight="1">
      <c r="R629" s="30"/>
    </row>
    <row r="630" spans="18:18" ht="15.75" customHeight="1">
      <c r="R630" s="30"/>
    </row>
    <row r="631" spans="18:18" ht="15.75" customHeight="1">
      <c r="R631" s="30"/>
    </row>
    <row r="632" spans="18:18" ht="15.75" customHeight="1">
      <c r="R632" s="30"/>
    </row>
    <row r="633" spans="18:18" ht="15.75" customHeight="1">
      <c r="R633" s="30"/>
    </row>
    <row r="634" spans="18:18" ht="15.75" customHeight="1">
      <c r="R634" s="30"/>
    </row>
    <row r="635" spans="18:18" ht="15.75" customHeight="1">
      <c r="R635" s="30"/>
    </row>
    <row r="636" spans="18:18" ht="15.75" customHeight="1">
      <c r="R636" s="30"/>
    </row>
    <row r="637" spans="18:18" ht="15.75" customHeight="1">
      <c r="R637" s="30"/>
    </row>
    <row r="638" spans="18:18" ht="15.75" customHeight="1">
      <c r="R638" s="30"/>
    </row>
    <row r="639" spans="18:18" ht="15.75" customHeight="1">
      <c r="R639" s="30"/>
    </row>
    <row r="640" spans="18:18" ht="15.75" customHeight="1">
      <c r="R640" s="30"/>
    </row>
    <row r="641" spans="18:18" ht="15.75" customHeight="1">
      <c r="R641" s="30"/>
    </row>
    <row r="642" spans="18:18" ht="15.75" customHeight="1">
      <c r="R642" s="30"/>
    </row>
    <row r="643" spans="18:18" ht="15.75" customHeight="1">
      <c r="R643" s="30"/>
    </row>
    <row r="644" spans="18:18" ht="15.75" customHeight="1">
      <c r="R644" s="30"/>
    </row>
    <row r="645" spans="18:18" ht="15.75" customHeight="1">
      <c r="R645" s="30"/>
    </row>
    <row r="646" spans="18:18" ht="15.75" customHeight="1">
      <c r="R646" s="30"/>
    </row>
    <row r="647" spans="18:18" ht="15.75" customHeight="1">
      <c r="R647" s="30"/>
    </row>
    <row r="648" spans="18:18" ht="15.75" customHeight="1">
      <c r="R648" s="30"/>
    </row>
    <row r="649" spans="18:18" ht="15.75" customHeight="1">
      <c r="R649" s="30"/>
    </row>
    <row r="650" spans="18:18" ht="15.75" customHeight="1">
      <c r="R650" s="30"/>
    </row>
    <row r="651" spans="18:18" ht="15.75" customHeight="1">
      <c r="R651" s="30"/>
    </row>
    <row r="652" spans="18:18" ht="15.75" customHeight="1">
      <c r="R652" s="30"/>
    </row>
    <row r="653" spans="18:18" ht="15.75" customHeight="1">
      <c r="R653" s="30"/>
    </row>
    <row r="654" spans="18:18" ht="15.75" customHeight="1">
      <c r="R654" s="30"/>
    </row>
    <row r="655" spans="18:18" ht="15.75" customHeight="1">
      <c r="R655" s="30"/>
    </row>
    <row r="656" spans="18:18" ht="15.75" customHeight="1">
      <c r="R656" s="30"/>
    </row>
    <row r="657" spans="18:18" ht="15.75" customHeight="1">
      <c r="R657" s="30"/>
    </row>
    <row r="658" spans="18:18" ht="15.75" customHeight="1">
      <c r="R658" s="30"/>
    </row>
    <row r="659" spans="18:18" ht="15.75" customHeight="1">
      <c r="R659" s="30"/>
    </row>
    <row r="660" spans="18:18" ht="15.75" customHeight="1">
      <c r="R660" s="30"/>
    </row>
    <row r="661" spans="18:18" ht="15.75" customHeight="1">
      <c r="R661" s="30"/>
    </row>
    <row r="662" spans="18:18" ht="15.75" customHeight="1">
      <c r="R662" s="30"/>
    </row>
    <row r="663" spans="18:18" ht="15.75" customHeight="1">
      <c r="R663" s="30"/>
    </row>
    <row r="664" spans="18:18" ht="15.75" customHeight="1">
      <c r="R664" s="30"/>
    </row>
    <row r="665" spans="18:18" ht="15.75" customHeight="1">
      <c r="R665" s="30"/>
    </row>
    <row r="666" spans="18:18" ht="15.75" customHeight="1">
      <c r="R666" s="30"/>
    </row>
    <row r="667" spans="18:18" ht="15.75" customHeight="1">
      <c r="R667" s="30"/>
    </row>
    <row r="668" spans="18:18" ht="15.75" customHeight="1">
      <c r="R668" s="30"/>
    </row>
    <row r="669" spans="18:18" ht="15.75" customHeight="1">
      <c r="R669" s="30"/>
    </row>
    <row r="670" spans="18:18" ht="15.75" customHeight="1">
      <c r="R670" s="30"/>
    </row>
    <row r="671" spans="18:18" ht="15.75" customHeight="1">
      <c r="R671" s="30"/>
    </row>
    <row r="672" spans="18:18" ht="15.75" customHeight="1">
      <c r="R672" s="30"/>
    </row>
    <row r="673" spans="18:18" ht="15.75" customHeight="1">
      <c r="R673" s="30"/>
    </row>
    <row r="674" spans="18:18" ht="15.75" customHeight="1">
      <c r="R674" s="30"/>
    </row>
    <row r="675" spans="18:18" ht="15.75" customHeight="1">
      <c r="R675" s="30"/>
    </row>
    <row r="676" spans="18:18" ht="15.75" customHeight="1">
      <c r="R676" s="30"/>
    </row>
    <row r="677" spans="18:18" ht="15.75" customHeight="1">
      <c r="R677" s="30"/>
    </row>
    <row r="678" spans="18:18" ht="15.75" customHeight="1">
      <c r="R678" s="30"/>
    </row>
    <row r="679" spans="18:18" ht="15.75" customHeight="1">
      <c r="R679" s="30"/>
    </row>
    <row r="680" spans="18:18" ht="15.75" customHeight="1">
      <c r="R680" s="30"/>
    </row>
    <row r="681" spans="18:18" ht="15.75" customHeight="1">
      <c r="R681" s="30"/>
    </row>
    <row r="682" spans="18:18" ht="15.75" customHeight="1">
      <c r="R682" s="30"/>
    </row>
    <row r="683" spans="18:18" ht="15.75" customHeight="1">
      <c r="R683" s="30"/>
    </row>
    <row r="684" spans="18:18" ht="15.75" customHeight="1">
      <c r="R684" s="30"/>
    </row>
    <row r="685" spans="18:18" ht="15.75" customHeight="1">
      <c r="R685" s="30"/>
    </row>
    <row r="686" spans="18:18" ht="15.75" customHeight="1">
      <c r="R686" s="30"/>
    </row>
    <row r="687" spans="18:18" ht="15.75" customHeight="1">
      <c r="R687" s="30"/>
    </row>
    <row r="688" spans="18:18" ht="15.75" customHeight="1">
      <c r="R688" s="30"/>
    </row>
    <row r="689" spans="18:18" ht="15.75" customHeight="1">
      <c r="R689" s="30"/>
    </row>
    <row r="690" spans="18:18" ht="15.75" customHeight="1">
      <c r="R690" s="30"/>
    </row>
    <row r="691" spans="18:18" ht="15.75" customHeight="1">
      <c r="R691" s="30"/>
    </row>
    <row r="692" spans="18:18" ht="15.75" customHeight="1">
      <c r="R692" s="30"/>
    </row>
    <row r="693" spans="18:18" ht="15.75" customHeight="1">
      <c r="R693" s="30"/>
    </row>
    <row r="694" spans="18:18" ht="15.75" customHeight="1">
      <c r="R694" s="30"/>
    </row>
    <row r="695" spans="18:18" ht="15.75" customHeight="1">
      <c r="R695" s="30"/>
    </row>
    <row r="696" spans="18:18" ht="15.75" customHeight="1">
      <c r="R696" s="30"/>
    </row>
    <row r="697" spans="18:18" ht="15.75" customHeight="1">
      <c r="R697" s="30"/>
    </row>
    <row r="698" spans="18:18" ht="15.75" customHeight="1">
      <c r="R698" s="30"/>
    </row>
    <row r="699" spans="18:18" ht="15.75" customHeight="1">
      <c r="R699" s="30"/>
    </row>
    <row r="700" spans="18:18" ht="15.75" customHeight="1">
      <c r="R700" s="30"/>
    </row>
    <row r="701" spans="18:18" ht="15.75" customHeight="1">
      <c r="R701" s="30"/>
    </row>
    <row r="702" spans="18:18" ht="15.75" customHeight="1">
      <c r="R702" s="30"/>
    </row>
    <row r="703" spans="18:18" ht="15.75" customHeight="1">
      <c r="R703" s="30"/>
    </row>
    <row r="704" spans="18:18" ht="15.75" customHeight="1">
      <c r="R704" s="30"/>
    </row>
    <row r="705" spans="18:18" ht="15.75" customHeight="1">
      <c r="R705" s="30"/>
    </row>
    <row r="706" spans="18:18" ht="15.75" customHeight="1">
      <c r="R706" s="30"/>
    </row>
    <row r="707" spans="18:18" ht="15.75" customHeight="1">
      <c r="R707" s="30"/>
    </row>
    <row r="708" spans="18:18" ht="15.75" customHeight="1">
      <c r="R708" s="30"/>
    </row>
    <row r="709" spans="18:18" ht="15.75" customHeight="1">
      <c r="R709" s="30"/>
    </row>
    <row r="710" spans="18:18" ht="15.75" customHeight="1">
      <c r="R710" s="30"/>
    </row>
    <row r="711" spans="18:18" ht="15.75" customHeight="1">
      <c r="R711" s="30"/>
    </row>
    <row r="712" spans="18:18" ht="15.75" customHeight="1">
      <c r="R712" s="30"/>
    </row>
    <row r="713" spans="18:18" ht="15.75" customHeight="1">
      <c r="R713" s="30"/>
    </row>
    <row r="714" spans="18:18" ht="15.75" customHeight="1">
      <c r="R714" s="30"/>
    </row>
    <row r="715" spans="18:18" ht="15.75" customHeight="1">
      <c r="R715" s="30"/>
    </row>
    <row r="716" spans="18:18" ht="15.75" customHeight="1">
      <c r="R716" s="30"/>
    </row>
    <row r="717" spans="18:18" ht="15.75" customHeight="1">
      <c r="R717" s="30"/>
    </row>
    <row r="718" spans="18:18" ht="15.75" customHeight="1">
      <c r="R718" s="30"/>
    </row>
    <row r="719" spans="18:18" ht="15.75" customHeight="1">
      <c r="R719" s="30"/>
    </row>
    <row r="720" spans="18:18" ht="15.75" customHeight="1">
      <c r="R720" s="30"/>
    </row>
    <row r="721" spans="18:18" ht="15.75" customHeight="1">
      <c r="R721" s="30"/>
    </row>
    <row r="722" spans="18:18" ht="15.75" customHeight="1">
      <c r="R722" s="30"/>
    </row>
    <row r="723" spans="18:18" ht="15.75" customHeight="1">
      <c r="R723" s="30"/>
    </row>
    <row r="724" spans="18:18" ht="15.75" customHeight="1">
      <c r="R724" s="30"/>
    </row>
    <row r="725" spans="18:18" ht="15.75" customHeight="1">
      <c r="R725" s="30"/>
    </row>
    <row r="726" spans="18:18" ht="15.75" customHeight="1">
      <c r="R726" s="30"/>
    </row>
    <row r="727" spans="18:18" ht="15.75" customHeight="1">
      <c r="R727" s="30"/>
    </row>
    <row r="728" spans="18:18" ht="15.75" customHeight="1">
      <c r="R728" s="30"/>
    </row>
    <row r="729" spans="18:18" ht="15.75" customHeight="1">
      <c r="R729" s="30"/>
    </row>
    <row r="730" spans="18:18" ht="15.75" customHeight="1">
      <c r="R730" s="30"/>
    </row>
    <row r="731" spans="18:18" ht="15.75" customHeight="1">
      <c r="R731" s="30"/>
    </row>
    <row r="732" spans="18:18" ht="15.75" customHeight="1">
      <c r="R732" s="30"/>
    </row>
    <row r="733" spans="18:18" ht="15.75" customHeight="1">
      <c r="R733" s="30"/>
    </row>
    <row r="734" spans="18:18" ht="15.75" customHeight="1">
      <c r="R734" s="30"/>
    </row>
    <row r="735" spans="18:18" ht="15.75" customHeight="1">
      <c r="R735" s="30"/>
    </row>
    <row r="736" spans="18:18" ht="15.75" customHeight="1">
      <c r="R736" s="30"/>
    </row>
    <row r="737" spans="18:18" ht="15.75" customHeight="1">
      <c r="R737" s="30"/>
    </row>
    <row r="738" spans="18:18" ht="15.75" customHeight="1">
      <c r="R738" s="30"/>
    </row>
    <row r="739" spans="18:18" ht="15.75" customHeight="1">
      <c r="R739" s="30"/>
    </row>
    <row r="740" spans="18:18" ht="15.75" customHeight="1">
      <c r="R740" s="30"/>
    </row>
    <row r="741" spans="18:18" ht="15.75" customHeight="1">
      <c r="R741" s="30"/>
    </row>
    <row r="742" spans="18:18" ht="15.75" customHeight="1">
      <c r="R742" s="30"/>
    </row>
    <row r="743" spans="18:18" ht="15.75" customHeight="1">
      <c r="R743" s="30"/>
    </row>
    <row r="744" spans="18:18" ht="15.75" customHeight="1">
      <c r="R744" s="30"/>
    </row>
    <row r="745" spans="18:18" ht="15.75" customHeight="1">
      <c r="R745" s="30"/>
    </row>
    <row r="746" spans="18:18" ht="15.75" customHeight="1">
      <c r="R746" s="30"/>
    </row>
    <row r="747" spans="18:18" ht="15.75" customHeight="1">
      <c r="R747" s="30"/>
    </row>
    <row r="748" spans="18:18" ht="15.75" customHeight="1">
      <c r="R748" s="30"/>
    </row>
    <row r="749" spans="18:18" ht="15.75" customHeight="1">
      <c r="R749" s="30"/>
    </row>
    <row r="750" spans="18:18" ht="15.75" customHeight="1">
      <c r="R750" s="30"/>
    </row>
    <row r="751" spans="18:18" ht="15.75" customHeight="1">
      <c r="R751" s="30"/>
    </row>
    <row r="752" spans="18:18" ht="15.75" customHeight="1">
      <c r="R752" s="30"/>
    </row>
    <row r="753" spans="18:18" ht="15.75" customHeight="1">
      <c r="R753" s="30"/>
    </row>
    <row r="754" spans="18:18" ht="15.75" customHeight="1">
      <c r="R754" s="30"/>
    </row>
    <row r="755" spans="18:18" ht="15.75" customHeight="1">
      <c r="R755" s="30"/>
    </row>
    <row r="756" spans="18:18" ht="15.75" customHeight="1">
      <c r="R756" s="30"/>
    </row>
    <row r="757" spans="18:18" ht="15.75" customHeight="1">
      <c r="R757" s="30"/>
    </row>
    <row r="758" spans="18:18" ht="15.75" customHeight="1">
      <c r="R758" s="30"/>
    </row>
    <row r="759" spans="18:18" ht="15.75" customHeight="1">
      <c r="R759" s="30"/>
    </row>
    <row r="760" spans="18:18" ht="15.75" customHeight="1">
      <c r="R760" s="30"/>
    </row>
    <row r="761" spans="18:18" ht="15.75" customHeight="1">
      <c r="R761" s="30"/>
    </row>
    <row r="762" spans="18:18" ht="15.75" customHeight="1">
      <c r="R762" s="30"/>
    </row>
    <row r="763" spans="18:18" ht="15.75" customHeight="1">
      <c r="R763" s="30"/>
    </row>
    <row r="764" spans="18:18" ht="15.75" customHeight="1">
      <c r="R764" s="30"/>
    </row>
    <row r="765" spans="18:18" ht="15.75" customHeight="1">
      <c r="R765" s="30"/>
    </row>
    <row r="766" spans="18:18" ht="15.75" customHeight="1">
      <c r="R766" s="30"/>
    </row>
    <row r="767" spans="18:18" ht="15.75" customHeight="1">
      <c r="R767" s="30"/>
    </row>
    <row r="768" spans="18:18" ht="15.75" customHeight="1">
      <c r="R768" s="30"/>
    </row>
    <row r="769" spans="18:18" ht="15.75" customHeight="1">
      <c r="R769" s="30"/>
    </row>
    <row r="770" spans="18:18" ht="15.75" customHeight="1">
      <c r="R770" s="30"/>
    </row>
    <row r="771" spans="18:18" ht="15.75" customHeight="1">
      <c r="R771" s="30"/>
    </row>
    <row r="772" spans="18:18" ht="15.75" customHeight="1">
      <c r="R772" s="30"/>
    </row>
    <row r="773" spans="18:18" ht="15.75" customHeight="1">
      <c r="R773" s="30"/>
    </row>
    <row r="774" spans="18:18" ht="15.75" customHeight="1">
      <c r="R774" s="30"/>
    </row>
    <row r="775" spans="18:18" ht="15.75" customHeight="1">
      <c r="R775" s="30"/>
    </row>
    <row r="776" spans="18:18" ht="15.75" customHeight="1">
      <c r="R776" s="30"/>
    </row>
    <row r="777" spans="18:18" ht="15.75" customHeight="1">
      <c r="R777" s="30"/>
    </row>
    <row r="778" spans="18:18" ht="15.75" customHeight="1">
      <c r="R778" s="30"/>
    </row>
    <row r="779" spans="18:18" ht="15.75" customHeight="1">
      <c r="R779" s="30"/>
    </row>
    <row r="780" spans="18:18" ht="15.75" customHeight="1">
      <c r="R780" s="30"/>
    </row>
    <row r="781" spans="18:18" ht="15.75" customHeight="1">
      <c r="R781" s="30"/>
    </row>
    <row r="782" spans="18:18" ht="15.75" customHeight="1">
      <c r="R782" s="30"/>
    </row>
    <row r="783" spans="18:18" ht="15.75" customHeight="1">
      <c r="R783" s="30"/>
    </row>
    <row r="784" spans="18:18" ht="15.75" customHeight="1">
      <c r="R784" s="30"/>
    </row>
    <row r="785" spans="18:18" ht="15.75" customHeight="1">
      <c r="R785" s="30"/>
    </row>
    <row r="786" spans="18:18" ht="15.75" customHeight="1">
      <c r="R786" s="30"/>
    </row>
    <row r="787" spans="18:18" ht="15.75" customHeight="1">
      <c r="R787" s="30"/>
    </row>
    <row r="788" spans="18:18" ht="15.75" customHeight="1">
      <c r="R788" s="30"/>
    </row>
    <row r="789" spans="18:18" ht="15.75" customHeight="1">
      <c r="R789" s="30"/>
    </row>
    <row r="790" spans="18:18" ht="15.75" customHeight="1">
      <c r="R790" s="30"/>
    </row>
    <row r="791" spans="18:18" ht="15.75" customHeight="1">
      <c r="R791" s="30"/>
    </row>
    <row r="792" spans="18:18" ht="15.75" customHeight="1">
      <c r="R792" s="30"/>
    </row>
    <row r="793" spans="18:18" ht="15.75" customHeight="1">
      <c r="R793" s="30"/>
    </row>
    <row r="794" spans="18:18" ht="15.75" customHeight="1">
      <c r="R794" s="30"/>
    </row>
    <row r="795" spans="18:18" ht="15.75" customHeight="1">
      <c r="R795" s="30"/>
    </row>
    <row r="796" spans="18:18" ht="15.75" customHeight="1">
      <c r="R796" s="30"/>
    </row>
    <row r="797" spans="18:18" ht="15.75" customHeight="1">
      <c r="R797" s="30"/>
    </row>
    <row r="798" spans="18:18" ht="15.75" customHeight="1">
      <c r="R798" s="30"/>
    </row>
    <row r="799" spans="18:18" ht="15.75" customHeight="1">
      <c r="R799" s="30"/>
    </row>
    <row r="800" spans="18:18" ht="15.75" customHeight="1">
      <c r="R800" s="30"/>
    </row>
    <row r="801" spans="18:18" ht="15.75" customHeight="1">
      <c r="R801" s="30"/>
    </row>
    <row r="802" spans="18:18" ht="15.75" customHeight="1">
      <c r="R802" s="30"/>
    </row>
    <row r="803" spans="18:18" ht="15.75" customHeight="1">
      <c r="R803" s="30"/>
    </row>
    <row r="804" spans="18:18" ht="15.75" customHeight="1">
      <c r="R804" s="30"/>
    </row>
    <row r="805" spans="18:18" ht="15.75" customHeight="1">
      <c r="R805" s="30"/>
    </row>
    <row r="806" spans="18:18" ht="15.75" customHeight="1">
      <c r="R806" s="30"/>
    </row>
    <row r="807" spans="18:18" ht="15.75" customHeight="1">
      <c r="R807" s="30"/>
    </row>
    <row r="808" spans="18:18" ht="15.75" customHeight="1">
      <c r="R808" s="30"/>
    </row>
    <row r="809" spans="18:18" ht="15.75" customHeight="1">
      <c r="R809" s="30"/>
    </row>
    <row r="810" spans="18:18" ht="15.75" customHeight="1">
      <c r="R810" s="30"/>
    </row>
    <row r="811" spans="18:18" ht="15.75" customHeight="1">
      <c r="R811" s="30"/>
    </row>
    <row r="812" spans="18:18" ht="15.75" customHeight="1">
      <c r="R812" s="30"/>
    </row>
    <row r="813" spans="18:18" ht="15.75" customHeight="1">
      <c r="R813" s="30"/>
    </row>
    <row r="814" spans="18:18" ht="15.75" customHeight="1">
      <c r="R814" s="30"/>
    </row>
    <row r="815" spans="18:18" ht="15.75" customHeight="1">
      <c r="R815" s="30"/>
    </row>
    <row r="816" spans="18:18" ht="15.75" customHeight="1">
      <c r="R816" s="30"/>
    </row>
    <row r="817" spans="18:18" ht="15.75" customHeight="1">
      <c r="R817" s="30"/>
    </row>
    <row r="818" spans="18:18" ht="15.75" customHeight="1">
      <c r="R818" s="30"/>
    </row>
    <row r="819" spans="18:18" ht="15.75" customHeight="1">
      <c r="R819" s="30"/>
    </row>
    <row r="820" spans="18:18" ht="15.75" customHeight="1">
      <c r="R820" s="30"/>
    </row>
    <row r="821" spans="18:18" ht="15.75" customHeight="1">
      <c r="R821" s="30"/>
    </row>
    <row r="822" spans="18:18" ht="15.75" customHeight="1">
      <c r="R822" s="30"/>
    </row>
    <row r="823" spans="18:18" ht="15.75" customHeight="1">
      <c r="R823" s="30"/>
    </row>
    <row r="824" spans="18:18" ht="15.75" customHeight="1">
      <c r="R824" s="30"/>
    </row>
    <row r="825" spans="18:18" ht="15.75" customHeight="1">
      <c r="R825" s="30"/>
    </row>
    <row r="826" spans="18:18" ht="15.75" customHeight="1">
      <c r="R826" s="30"/>
    </row>
    <row r="827" spans="18:18" ht="15.75" customHeight="1">
      <c r="R827" s="30"/>
    </row>
    <row r="828" spans="18:18" ht="15.75" customHeight="1">
      <c r="R828" s="30"/>
    </row>
    <row r="829" spans="18:18" ht="15.75" customHeight="1">
      <c r="R829" s="30"/>
    </row>
    <row r="830" spans="18:18" ht="15.75" customHeight="1">
      <c r="R830" s="30"/>
    </row>
    <row r="831" spans="18:18" ht="15.75" customHeight="1">
      <c r="R831" s="30"/>
    </row>
    <row r="832" spans="18:18" ht="15.75" customHeight="1">
      <c r="R832" s="30"/>
    </row>
    <row r="833" spans="18:18" ht="15.75" customHeight="1">
      <c r="R833" s="30"/>
    </row>
    <row r="834" spans="18:18" ht="15.75" customHeight="1">
      <c r="R834" s="30"/>
    </row>
    <row r="835" spans="18:18" ht="15.75" customHeight="1">
      <c r="R835" s="30"/>
    </row>
    <row r="836" spans="18:18" ht="15.75" customHeight="1">
      <c r="R836" s="30"/>
    </row>
    <row r="837" spans="18:18" ht="15.75" customHeight="1">
      <c r="R837" s="30"/>
    </row>
    <row r="838" spans="18:18" ht="15.75" customHeight="1">
      <c r="R838" s="30"/>
    </row>
    <row r="839" spans="18:18" ht="15.75" customHeight="1">
      <c r="R839" s="30"/>
    </row>
    <row r="840" spans="18:18" ht="15.75" customHeight="1">
      <c r="R840" s="30"/>
    </row>
    <row r="841" spans="18:18" ht="15.75" customHeight="1">
      <c r="R841" s="30"/>
    </row>
    <row r="842" spans="18:18" ht="15.75" customHeight="1">
      <c r="R842" s="30"/>
    </row>
    <row r="843" spans="18:18" ht="15.75" customHeight="1">
      <c r="R843" s="30"/>
    </row>
    <row r="844" spans="18:18" ht="15.75" customHeight="1">
      <c r="R844" s="30"/>
    </row>
    <row r="845" spans="18:18" ht="15.75" customHeight="1">
      <c r="R845" s="30"/>
    </row>
    <row r="846" spans="18:18" ht="15.75" customHeight="1">
      <c r="R846" s="30"/>
    </row>
    <row r="847" spans="18:18" ht="15.75" customHeight="1">
      <c r="R847" s="30"/>
    </row>
    <row r="848" spans="18:18" ht="15.75" customHeight="1">
      <c r="R848" s="30"/>
    </row>
    <row r="849" spans="18:18" ht="15.75" customHeight="1">
      <c r="R849" s="30"/>
    </row>
    <row r="850" spans="18:18" ht="15.75" customHeight="1">
      <c r="R850" s="30"/>
    </row>
    <row r="851" spans="18:18" ht="15.75" customHeight="1">
      <c r="R851" s="30"/>
    </row>
    <row r="852" spans="18:18" ht="15.75" customHeight="1">
      <c r="R852" s="30"/>
    </row>
    <row r="853" spans="18:18" ht="15.75" customHeight="1">
      <c r="R853" s="30"/>
    </row>
    <row r="854" spans="18:18" ht="15.75" customHeight="1">
      <c r="R854" s="30"/>
    </row>
    <row r="855" spans="18:18" ht="15.75" customHeight="1">
      <c r="R855" s="30"/>
    </row>
    <row r="856" spans="18:18" ht="15.75" customHeight="1">
      <c r="R856" s="30"/>
    </row>
    <row r="857" spans="18:18" ht="15.75" customHeight="1">
      <c r="R857" s="30"/>
    </row>
    <row r="858" spans="18:18" ht="15.75" customHeight="1">
      <c r="R858" s="30"/>
    </row>
    <row r="859" spans="18:18" ht="15.75" customHeight="1">
      <c r="R859" s="30"/>
    </row>
    <row r="860" spans="18:18" ht="15.75" customHeight="1">
      <c r="R860" s="30"/>
    </row>
    <row r="861" spans="18:18" ht="15.75" customHeight="1">
      <c r="R861" s="30"/>
    </row>
    <row r="862" spans="18:18" ht="15.75" customHeight="1">
      <c r="R862" s="30"/>
    </row>
    <row r="863" spans="18:18" ht="15.75" customHeight="1">
      <c r="R863" s="30"/>
    </row>
    <row r="864" spans="18:18" ht="15.75" customHeight="1">
      <c r="R864" s="30"/>
    </row>
    <row r="865" spans="18:18" ht="15.75" customHeight="1">
      <c r="R865" s="30"/>
    </row>
    <row r="866" spans="18:18" ht="15.75" customHeight="1">
      <c r="R866" s="30"/>
    </row>
    <row r="867" spans="18:18" ht="15.75" customHeight="1">
      <c r="R867" s="30"/>
    </row>
    <row r="868" spans="18:18" ht="15.75" customHeight="1">
      <c r="R868" s="30"/>
    </row>
    <row r="869" spans="18:18" ht="15.75" customHeight="1">
      <c r="R869" s="30"/>
    </row>
    <row r="870" spans="18:18" ht="15.75" customHeight="1">
      <c r="R870" s="30"/>
    </row>
    <row r="871" spans="18:18" ht="15.75" customHeight="1">
      <c r="R871" s="30"/>
    </row>
    <row r="872" spans="18:18" ht="15.75" customHeight="1">
      <c r="R872" s="30"/>
    </row>
    <row r="873" spans="18:18" ht="15.75" customHeight="1">
      <c r="R873" s="30"/>
    </row>
    <row r="874" spans="18:18" ht="15.75" customHeight="1">
      <c r="R874" s="30"/>
    </row>
    <row r="875" spans="18:18" ht="15.75" customHeight="1">
      <c r="R875" s="30"/>
    </row>
    <row r="876" spans="18:18" ht="15.75" customHeight="1">
      <c r="R876" s="30"/>
    </row>
    <row r="877" spans="18:18" ht="15.75" customHeight="1">
      <c r="R877" s="30"/>
    </row>
    <row r="878" spans="18:18" ht="15.75" customHeight="1">
      <c r="R878" s="30"/>
    </row>
    <row r="879" spans="18:18" ht="15.75" customHeight="1">
      <c r="R879" s="30"/>
    </row>
    <row r="880" spans="18:18" ht="15.75" customHeight="1">
      <c r="R880" s="30"/>
    </row>
    <row r="881" spans="18:18" ht="15.75" customHeight="1">
      <c r="R881" s="30"/>
    </row>
    <row r="882" spans="18:18" ht="15.75" customHeight="1">
      <c r="R882" s="30"/>
    </row>
    <row r="883" spans="18:18" ht="15.75" customHeight="1">
      <c r="R883" s="30"/>
    </row>
    <row r="884" spans="18:18" ht="15.75" customHeight="1">
      <c r="R884" s="30"/>
    </row>
    <row r="885" spans="18:18" ht="15.75" customHeight="1">
      <c r="R885" s="30"/>
    </row>
    <row r="886" spans="18:18" ht="15.75" customHeight="1">
      <c r="R886" s="30"/>
    </row>
    <row r="887" spans="18:18" ht="15.75" customHeight="1">
      <c r="R887" s="30"/>
    </row>
    <row r="888" spans="18:18" ht="15.75" customHeight="1">
      <c r="R888" s="30"/>
    </row>
    <row r="889" spans="18:18" ht="15.75" customHeight="1">
      <c r="R889" s="30"/>
    </row>
    <row r="890" spans="18:18" ht="15.75" customHeight="1">
      <c r="R890" s="30"/>
    </row>
    <row r="891" spans="18:18" ht="15.75" customHeight="1">
      <c r="R891" s="30"/>
    </row>
    <row r="892" spans="18:18" ht="15.75" customHeight="1">
      <c r="R892" s="30"/>
    </row>
    <row r="893" spans="18:18" ht="15.75" customHeight="1">
      <c r="R893" s="30"/>
    </row>
    <row r="894" spans="18:18" ht="15.75" customHeight="1">
      <c r="R894" s="30"/>
    </row>
    <row r="895" spans="18:18" ht="15.75" customHeight="1">
      <c r="R895" s="30"/>
    </row>
    <row r="896" spans="18:18" ht="15.75" customHeight="1">
      <c r="R896" s="30"/>
    </row>
    <row r="897" spans="18:18" ht="15.75" customHeight="1">
      <c r="R897" s="30"/>
    </row>
    <row r="898" spans="18:18" ht="15.75" customHeight="1">
      <c r="R898" s="30"/>
    </row>
    <row r="899" spans="18:18" ht="15.75" customHeight="1">
      <c r="R899" s="30"/>
    </row>
    <row r="900" spans="18:18" ht="15.75" customHeight="1">
      <c r="R900" s="30"/>
    </row>
    <row r="901" spans="18:18" ht="15.75" customHeight="1">
      <c r="R901" s="30"/>
    </row>
    <row r="902" spans="18:18" ht="15.75" customHeight="1">
      <c r="R902" s="30"/>
    </row>
    <row r="903" spans="18:18" ht="15.75" customHeight="1">
      <c r="R903" s="30"/>
    </row>
    <row r="904" spans="18:18" ht="15.75" customHeight="1">
      <c r="R904" s="30"/>
    </row>
    <row r="905" spans="18:18" ht="15.75" customHeight="1">
      <c r="R905" s="30"/>
    </row>
    <row r="906" spans="18:18" ht="15.75" customHeight="1">
      <c r="R906" s="30"/>
    </row>
    <row r="907" spans="18:18" ht="15.75" customHeight="1">
      <c r="R907" s="30"/>
    </row>
    <row r="908" spans="18:18" ht="15.75" customHeight="1">
      <c r="R908" s="30"/>
    </row>
    <row r="909" spans="18:18" ht="15.75" customHeight="1">
      <c r="R909" s="30"/>
    </row>
    <row r="910" spans="18:18" ht="15.75" customHeight="1">
      <c r="R910" s="30"/>
    </row>
    <row r="911" spans="18:18" ht="15.75" customHeight="1">
      <c r="R911" s="30"/>
    </row>
    <row r="912" spans="18:18" ht="15.75" customHeight="1">
      <c r="R912" s="30"/>
    </row>
    <row r="913" spans="18:18" ht="15.75" customHeight="1">
      <c r="R913" s="30"/>
    </row>
    <row r="914" spans="18:18" ht="15.75" customHeight="1">
      <c r="R914" s="30"/>
    </row>
    <row r="915" spans="18:18" ht="15.75" customHeight="1">
      <c r="R915" s="30"/>
    </row>
    <row r="916" spans="18:18" ht="15.75" customHeight="1">
      <c r="R916" s="30"/>
    </row>
    <row r="917" spans="18:18" ht="15.75" customHeight="1">
      <c r="R917" s="30"/>
    </row>
    <row r="918" spans="18:18" ht="15.75" customHeight="1">
      <c r="R918" s="30"/>
    </row>
    <row r="919" spans="18:18" ht="15.75" customHeight="1">
      <c r="R919" s="30"/>
    </row>
    <row r="920" spans="18:18" ht="15.75" customHeight="1">
      <c r="R920" s="30"/>
    </row>
    <row r="921" spans="18:18" ht="15.75" customHeight="1">
      <c r="R921" s="30"/>
    </row>
    <row r="922" spans="18:18" ht="15.75" customHeight="1">
      <c r="R922" s="30"/>
    </row>
    <row r="923" spans="18:18" ht="15.75" customHeight="1">
      <c r="R923" s="30"/>
    </row>
    <row r="924" spans="18:18" ht="15.75" customHeight="1">
      <c r="R924" s="30"/>
    </row>
    <row r="925" spans="18:18" ht="15.75" customHeight="1">
      <c r="R925" s="30"/>
    </row>
    <row r="926" spans="18:18" ht="15.75" customHeight="1">
      <c r="R926" s="30"/>
    </row>
    <row r="927" spans="18:18" ht="15.75" customHeight="1">
      <c r="R927" s="30"/>
    </row>
    <row r="928" spans="18:18" ht="15.75" customHeight="1">
      <c r="R928" s="30"/>
    </row>
    <row r="929" spans="18:18" ht="15.75" customHeight="1">
      <c r="R929" s="30"/>
    </row>
    <row r="930" spans="18:18" ht="15.75" customHeight="1">
      <c r="R930" s="30"/>
    </row>
    <row r="931" spans="18:18" ht="15.75" customHeight="1">
      <c r="R931" s="30"/>
    </row>
    <row r="932" spans="18:18" ht="15.75" customHeight="1">
      <c r="R932" s="30"/>
    </row>
    <row r="933" spans="18:18" ht="15.75" customHeight="1">
      <c r="R933" s="30"/>
    </row>
    <row r="934" spans="18:18" ht="15.75" customHeight="1">
      <c r="R934" s="30"/>
    </row>
    <row r="935" spans="18:18" ht="15.75" customHeight="1">
      <c r="R935" s="30"/>
    </row>
    <row r="936" spans="18:18" ht="15.75" customHeight="1">
      <c r="R936" s="30"/>
    </row>
    <row r="937" spans="18:18" ht="15.75" customHeight="1">
      <c r="R937" s="30"/>
    </row>
    <row r="938" spans="18:18" ht="15.75" customHeight="1">
      <c r="R938" s="30"/>
    </row>
    <row r="939" spans="18:18" ht="15.75" customHeight="1">
      <c r="R939" s="30"/>
    </row>
    <row r="940" spans="18:18" ht="15.75" customHeight="1">
      <c r="R940" s="30"/>
    </row>
    <row r="941" spans="18:18" ht="15.75" customHeight="1">
      <c r="R941" s="30"/>
    </row>
    <row r="942" spans="18:18" ht="15.75" customHeight="1">
      <c r="R942" s="30"/>
    </row>
    <row r="943" spans="18:18" ht="15.75" customHeight="1">
      <c r="R943" s="30"/>
    </row>
    <row r="944" spans="18:18" ht="15.75" customHeight="1">
      <c r="R944" s="30"/>
    </row>
    <row r="945" spans="18:18" ht="15.75" customHeight="1">
      <c r="R945" s="30"/>
    </row>
    <row r="946" spans="18:18" ht="15.75" customHeight="1">
      <c r="R946" s="30"/>
    </row>
    <row r="947" spans="18:18" ht="15.75" customHeight="1">
      <c r="R947" s="30"/>
    </row>
    <row r="948" spans="18:18" ht="15.75" customHeight="1">
      <c r="R948" s="30"/>
    </row>
    <row r="949" spans="18:18" ht="15.75" customHeight="1">
      <c r="R949" s="30"/>
    </row>
    <row r="950" spans="18:18" ht="15.75" customHeight="1">
      <c r="R950" s="30"/>
    </row>
    <row r="951" spans="18:18" ht="15.75" customHeight="1">
      <c r="R951" s="30"/>
    </row>
    <row r="952" spans="18:18" ht="15.75" customHeight="1">
      <c r="R952" s="30"/>
    </row>
    <row r="953" spans="18:18" ht="15.75" customHeight="1">
      <c r="R953" s="30"/>
    </row>
    <row r="954" spans="18:18" ht="15.75" customHeight="1">
      <c r="R954" s="30"/>
    </row>
    <row r="955" spans="18:18" ht="15.75" customHeight="1">
      <c r="R955" s="30"/>
    </row>
    <row r="956" spans="18:18" ht="15.75" customHeight="1">
      <c r="R956" s="30"/>
    </row>
    <row r="957" spans="18:18" ht="15.75" customHeight="1">
      <c r="R957" s="30"/>
    </row>
    <row r="958" spans="18:18" ht="15.75" customHeight="1">
      <c r="R958" s="30"/>
    </row>
    <row r="959" spans="18:18" ht="15.75" customHeight="1">
      <c r="R959" s="30"/>
    </row>
    <row r="960" spans="18:18" ht="15.75" customHeight="1">
      <c r="R960" s="30"/>
    </row>
    <row r="961" spans="18:18" ht="15.75" customHeight="1">
      <c r="R961" s="30"/>
    </row>
    <row r="962" spans="18:18" ht="15.75" customHeight="1">
      <c r="R962" s="30"/>
    </row>
    <row r="963" spans="18:18" ht="15.75" customHeight="1">
      <c r="R963" s="30"/>
    </row>
    <row r="964" spans="18:18" ht="15.75" customHeight="1">
      <c r="R964" s="30"/>
    </row>
    <row r="965" spans="18:18" ht="15.75" customHeight="1">
      <c r="R965" s="30"/>
    </row>
    <row r="966" spans="18:18" ht="15.75" customHeight="1">
      <c r="R966" s="30"/>
    </row>
    <row r="967" spans="18:18" ht="15.75" customHeight="1">
      <c r="R967" s="30"/>
    </row>
    <row r="968" spans="18:18" ht="15.75" customHeight="1">
      <c r="R968" s="30"/>
    </row>
    <row r="969" spans="18:18" ht="15.75" customHeight="1">
      <c r="R969" s="30"/>
    </row>
    <row r="970" spans="18:18" ht="15.75" customHeight="1">
      <c r="R970" s="30"/>
    </row>
    <row r="971" spans="18:18" ht="15.75" customHeight="1">
      <c r="R971" s="30"/>
    </row>
    <row r="972" spans="18:18" ht="15.75" customHeight="1">
      <c r="R972" s="30"/>
    </row>
    <row r="973" spans="18:18" ht="15.75" customHeight="1">
      <c r="R973" s="30"/>
    </row>
    <row r="974" spans="18:18" ht="15.75" customHeight="1">
      <c r="R974" s="30"/>
    </row>
    <row r="975" spans="18:18" ht="15.75" customHeight="1">
      <c r="R975" s="30"/>
    </row>
    <row r="976" spans="18:18" ht="15.75" customHeight="1">
      <c r="R976" s="30"/>
    </row>
    <row r="977" spans="18:18" ht="15.75" customHeight="1">
      <c r="R977" s="30"/>
    </row>
    <row r="978" spans="18:18" ht="15.75" customHeight="1">
      <c r="R978" s="30"/>
    </row>
    <row r="979" spans="18:18" ht="15.75" customHeight="1">
      <c r="R979" s="30"/>
    </row>
    <row r="980" spans="18:18" ht="15.75" customHeight="1">
      <c r="R980" s="30"/>
    </row>
    <row r="981" spans="18:18" ht="15.75" customHeight="1">
      <c r="R981" s="30"/>
    </row>
    <row r="982" spans="18:18" ht="15.75" customHeight="1">
      <c r="R982" s="30"/>
    </row>
    <row r="983" spans="18:18" ht="15.75" customHeight="1">
      <c r="R983" s="30"/>
    </row>
    <row r="984" spans="18:18" ht="15.75" customHeight="1">
      <c r="R984" s="30"/>
    </row>
    <row r="985" spans="18:18" ht="15.75" customHeight="1">
      <c r="R985" s="30"/>
    </row>
    <row r="986" spans="18:18" ht="15.75" customHeight="1">
      <c r="R986" s="30"/>
    </row>
    <row r="987" spans="18:18" ht="15.75" customHeight="1">
      <c r="R987" s="30"/>
    </row>
    <row r="988" spans="18:18" ht="15.75" customHeight="1">
      <c r="R988" s="30"/>
    </row>
    <row r="989" spans="18:18" ht="15.75" customHeight="1">
      <c r="R989" s="30"/>
    </row>
    <row r="990" spans="18:18" ht="15.75" customHeight="1">
      <c r="R990" s="30"/>
    </row>
    <row r="991" spans="18:18" ht="15.75" customHeight="1">
      <c r="R991" s="30"/>
    </row>
    <row r="992" spans="18:18" ht="15.75" customHeight="1">
      <c r="R992" s="30"/>
    </row>
    <row r="993" spans="18:18" ht="15.75" customHeight="1">
      <c r="R993" s="30"/>
    </row>
    <row r="994" spans="18:18" ht="15.75" customHeight="1">
      <c r="R994" s="30"/>
    </row>
    <row r="995" spans="18:18" ht="15.75" customHeight="1">
      <c r="R995" s="30"/>
    </row>
    <row r="996" spans="18:18" ht="15.75" customHeight="1">
      <c r="R996" s="30"/>
    </row>
    <row r="997" spans="18:18" ht="15.75" customHeight="1">
      <c r="R997" s="30"/>
    </row>
    <row r="998" spans="18:18" ht="15.75" customHeight="1">
      <c r="R998" s="30"/>
    </row>
    <row r="999" spans="18:18" ht="15.75" customHeight="1">
      <c r="R999" s="30"/>
    </row>
    <row r="1000" spans="18:18" ht="15.75" customHeight="1">
      <c r="R1000" s="3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2.6640625" defaultRowHeight="15" customHeight="1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8.6640625" customWidth="1"/>
    <col min="6" max="6" width="9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17.6640625" customWidth="1"/>
    <col min="16" max="16" width="10" customWidth="1"/>
    <col min="17" max="18" width="7.33203125" customWidth="1"/>
    <col min="19" max="19" width="7.1640625" customWidth="1"/>
    <col min="20" max="20" width="11.1640625" customWidth="1"/>
    <col min="21" max="21" width="19.1640625" customWidth="1"/>
    <col min="22" max="22" width="91.3320312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6640625" customWidth="1"/>
    <col min="32" max="32" width="10.1640625" customWidth="1"/>
    <col min="33" max="33" width="8.83203125" customWidth="1"/>
  </cols>
  <sheetData>
    <row r="1" spans="1:33" ht="18.75" customHeight="1">
      <c r="A1" s="46" t="str">
        <f ca="1">IFERROR(__xludf.DUMMYFUNCTION("IFERROR(VLOOKUP(B2,IMPORTRANGE(""https://docs.google.com/spreadsheets/d/1x0DhHglkXKoEBOD2MBsuK_EyIr1ouxD2ftIpqOYFa-k/edit?usp=sharing"",""Ubiquitty-SKU-Specific Info!B1:BJ5000""),3,FALSE),"""")"),"10 Ft Extension Cord with 3 Electrical Power Outlets - 14/3 SJTOW Heavy Duty Black Cable with 3 Prong Grounded Plug for Safety")</f>
        <v>10 Ft Extension Cord with 3 Electrical Power Outlets - 14/3 SJTOW Heavy Duty Black Cable with 3 Prong Grounded Plug for Safety</v>
      </c>
      <c r="B1" s="47"/>
      <c r="C1" s="48" t="s">
        <v>0</v>
      </c>
      <c r="D1" s="50" t="s">
        <v>1</v>
      </c>
      <c r="E1" s="50" t="s">
        <v>2</v>
      </c>
      <c r="F1" s="52" t="s">
        <v>3</v>
      </c>
      <c r="G1" s="52" t="s">
        <v>4</v>
      </c>
      <c r="H1" s="53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58" t="s">
        <v>10</v>
      </c>
      <c r="N1" s="59" t="s">
        <v>11</v>
      </c>
      <c r="O1" s="50" t="s">
        <v>12</v>
      </c>
      <c r="P1" s="50" t="s">
        <v>13</v>
      </c>
      <c r="Q1" s="57" t="s">
        <v>14</v>
      </c>
      <c r="R1" s="57" t="s">
        <v>15</v>
      </c>
      <c r="S1" s="60" t="s">
        <v>16</v>
      </c>
      <c r="T1" s="62" t="s">
        <v>2006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Info!B1:BJ5000""),2,FALSE),"""")"),"B078KG2F4C")</f>
        <v>B078KG2F4C</v>
      </c>
      <c r="B2" s="3" t="s">
        <v>1821</v>
      </c>
      <c r="C2" s="49"/>
      <c r="D2" s="49"/>
      <c r="E2" s="51"/>
      <c r="F2" s="49"/>
      <c r="G2" s="49"/>
      <c r="H2" s="54"/>
      <c r="I2" s="49"/>
      <c r="J2" s="49"/>
      <c r="K2" s="54"/>
      <c r="L2" s="54"/>
      <c r="M2" s="54"/>
      <c r="N2" s="49"/>
      <c r="O2" s="49"/>
      <c r="P2" s="51"/>
      <c r="Q2" s="49"/>
      <c r="R2" s="49"/>
      <c r="S2" s="61"/>
      <c r="T2" s="47"/>
      <c r="U2" s="63"/>
      <c r="V2" s="63"/>
      <c r="W2" s="47"/>
      <c r="X2" s="47"/>
      <c r="Y2" s="47"/>
      <c r="Z2" s="47"/>
      <c r="AA2" s="63"/>
      <c r="AB2" s="63"/>
      <c r="AC2" s="63"/>
      <c r="AD2" s="63"/>
      <c r="AE2" s="47"/>
      <c r="AF2" s="47"/>
      <c r="AG2" s="47"/>
    </row>
    <row r="3" spans="1:33" ht="136.5" customHeight="1">
      <c r="A3" s="55" t="s">
        <v>31</v>
      </c>
      <c r="B3" s="56"/>
      <c r="C3" s="4">
        <f>((AE32+AF32)/0.85)*-1</f>
        <v>10.620649694117647</v>
      </c>
      <c r="D3" s="5">
        <f>SUM(D4:D99765)</f>
        <v>1207</v>
      </c>
      <c r="E3" s="5"/>
      <c r="F3" s="6">
        <f t="shared" ref="F3:G3" si="0">SUM(F4:F99765)</f>
        <v>21200.44000000001</v>
      </c>
      <c r="G3" s="6">
        <f t="shared" si="0"/>
        <v>-0.51</v>
      </c>
      <c r="H3" s="7">
        <f t="shared" ref="H3:H32" si="1">G3/F3*-1</f>
        <v>2.4056104495944414E-5</v>
      </c>
      <c r="I3" s="8">
        <f t="shared" ref="I3:I32" si="2">J3/F3</f>
        <v>0.34577997131054922</v>
      </c>
      <c r="J3" s="6">
        <f>SUM(J4:J99765)</f>
        <v>7330.6875349710235</v>
      </c>
      <c r="K3" s="6">
        <f t="shared" ref="K3:K32" si="3">J3/D3</f>
        <v>6.0734776594623225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Sheet!a1:g5000""),2,FALSE),"""")"),"7.5 - March
7.5 - April
7.5 - May
10 - June
12 - July
13 - Aug
10 - Sept
10.5 - Oct
10.5 - Nov
7.5 - Dec
7 - Jan
7.5 - Feb")</f>
        <v>7.5 - March
7.5 - April
7.5 - May
10 - June
12 - July
13 - Aug
10 - Sept
10.5 - Oct
10.5 - Nov
7.5 - Dec
7 - Jan
7.5 -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QTY-0")</f>
        <v>Del QTY-0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QTY-0")</f>
        <v>US QTY-0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0</v>
      </c>
      <c r="X3" s="7">
        <f>W3/D3</f>
        <v>0</v>
      </c>
      <c r="Y3" s="6"/>
      <c r="Z3" s="5"/>
      <c r="AA3" s="5"/>
      <c r="AB3" s="5"/>
      <c r="AC3" s="5"/>
      <c r="AD3" s="6">
        <f>SUM(AD4:AD99765)</f>
        <v>-47.750570243337187</v>
      </c>
      <c r="AE3" s="6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Info!B2:BZ3000""),37,FALSE)),"""")*-1"),-4.07755224)</f>
        <v>-4.0775522400000002</v>
      </c>
      <c r="AG3" s="6">
        <f>SUM(AG4:AG99765)</f>
        <v>0</v>
      </c>
    </row>
    <row r="4" spans="1:33" ht="15.75" customHeight="1">
      <c r="A4" s="14" t="s">
        <v>181</v>
      </c>
      <c r="B4" s="14" t="s">
        <v>68</v>
      </c>
      <c r="C4" s="15">
        <f t="shared" ref="C4:C32" si="4">IFERROR(F4/D4," - ")</f>
        <v>19.991379310344833</v>
      </c>
      <c r="D4" s="16">
        <v>29</v>
      </c>
      <c r="E4" s="16">
        <v>5</v>
      </c>
      <c r="F4" s="17">
        <v>579.75000000000011</v>
      </c>
      <c r="G4" s="17">
        <v>-0.05</v>
      </c>
      <c r="H4" s="18">
        <f t="shared" si="1"/>
        <v>8.624407072013798E-5</v>
      </c>
      <c r="I4" s="18">
        <f t="shared" si="2"/>
        <v>0.42662509879368871</v>
      </c>
      <c r="J4" s="17">
        <f t="shared" ref="J4:J32" si="5">F4*0.85+G4+AF4*D4+D4*AE4+AG4+AD4</f>
        <v>247.33590102564108</v>
      </c>
      <c r="K4" s="17">
        <f t="shared" si="3"/>
        <v>8.5288241732979682</v>
      </c>
      <c r="L4" s="16">
        <v>59</v>
      </c>
      <c r="M4" s="19">
        <f t="shared" ref="M4:M32" si="6">IFERROR(D4/L4,"-")</f>
        <v>0.49152542372881358</v>
      </c>
      <c r="N4" s="16">
        <v>363</v>
      </c>
      <c r="O4" s="20">
        <f t="shared" ref="O4:P4" si="7">D4/7</f>
        <v>4.1428571428571432</v>
      </c>
      <c r="P4" s="20">
        <f t="shared" si="7"/>
        <v>0.7142857142857143</v>
      </c>
      <c r="Q4" s="16">
        <f t="shared" ref="Q4:Q32" si="8">ROUNDDOWN(N4/(O4+P4),0)</f>
        <v>74</v>
      </c>
      <c r="R4" s="16"/>
      <c r="S4" s="21">
        <v>2.0869565217391299</v>
      </c>
      <c r="T4" s="14" t="s">
        <v>34</v>
      </c>
      <c r="U4" s="22" t="s">
        <v>34</v>
      </c>
      <c r="V4" s="23" t="s">
        <v>34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26" t="s">
        <v>35</v>
      </c>
      <c r="AB4" s="27">
        <f t="shared" ref="AB4:AB32" si="11">IF(OR(AA4="UsLargeStandardSize",AA4="UsSmallStandardSize"),-0.69,-0.48)</f>
        <v>-0.69</v>
      </c>
      <c r="AC4" s="28">
        <v>2.8666666666666667E-2</v>
      </c>
      <c r="AD4" s="25">
        <f t="shared" ref="AD4:AD32" si="12">IFERROR(AB4*AC4*D4*2,0)</f>
        <v>-1.14724</v>
      </c>
      <c r="AE4" s="25">
        <v>-4.9000000000000004</v>
      </c>
      <c r="AF4" s="25">
        <v>-3.5225641025641026</v>
      </c>
      <c r="AG4" s="25">
        <v>0</v>
      </c>
    </row>
    <row r="5" spans="1:33" ht="15.75" customHeight="1">
      <c r="A5" s="14" t="s">
        <v>183</v>
      </c>
      <c r="B5" s="14" t="s">
        <v>68</v>
      </c>
      <c r="C5" s="15">
        <f t="shared" si="4"/>
        <v>20.054444444444457</v>
      </c>
      <c r="D5" s="16">
        <v>36</v>
      </c>
      <c r="E5" s="16">
        <v>5</v>
      </c>
      <c r="F5" s="29">
        <v>721.96000000000038</v>
      </c>
      <c r="G5" s="29">
        <v>-0.13</v>
      </c>
      <c r="H5" s="18">
        <f t="shared" si="1"/>
        <v>1.8006537758324552E-4</v>
      </c>
      <c r="I5" s="18">
        <f t="shared" si="2"/>
        <v>0.42786010591217688</v>
      </c>
      <c r="J5" s="17">
        <f t="shared" si="5"/>
        <v>308.89788206435537</v>
      </c>
      <c r="K5" s="17">
        <f t="shared" si="3"/>
        <v>8.5804967240098708</v>
      </c>
      <c r="L5" s="16">
        <v>76</v>
      </c>
      <c r="M5" s="19">
        <f t="shared" si="6"/>
        <v>0.47368421052631576</v>
      </c>
      <c r="N5" s="16">
        <v>270</v>
      </c>
      <c r="O5" s="20">
        <f t="shared" ref="O5:P5" si="13">D5/7</f>
        <v>5.1428571428571432</v>
      </c>
      <c r="P5" s="20">
        <f t="shared" si="13"/>
        <v>0.7142857142857143</v>
      </c>
      <c r="Q5" s="16">
        <f t="shared" si="8"/>
        <v>46</v>
      </c>
      <c r="R5" s="16"/>
      <c r="S5" s="21">
        <v>2.76280834914611</v>
      </c>
      <c r="T5" s="14" t="s">
        <v>34</v>
      </c>
      <c r="U5" s="22" t="s">
        <v>34</v>
      </c>
      <c r="V5" s="23" t="s">
        <v>34</v>
      </c>
      <c r="W5" s="14">
        <v>0</v>
      </c>
      <c r="X5" s="24">
        <f t="shared" si="9"/>
        <v>0</v>
      </c>
      <c r="Y5" s="25">
        <f t="shared" si="10"/>
        <v>0</v>
      </c>
      <c r="Z5" s="14">
        <v>0</v>
      </c>
      <c r="AA5" s="14" t="s">
        <v>35</v>
      </c>
      <c r="AB5" s="27">
        <f t="shared" si="11"/>
        <v>-0.69</v>
      </c>
      <c r="AC5" s="28">
        <v>2.8699884125144844E-2</v>
      </c>
      <c r="AD5" s="25">
        <f t="shared" si="12"/>
        <v>-1.4258102433371955</v>
      </c>
      <c r="AE5" s="25">
        <v>-4.9000000000000004</v>
      </c>
      <c r="AF5" s="25">
        <v>-3.5225641025641026</v>
      </c>
      <c r="AG5" s="25">
        <v>0</v>
      </c>
    </row>
    <row r="6" spans="1:33" ht="15.75" customHeight="1">
      <c r="A6" s="14" t="s">
        <v>185</v>
      </c>
      <c r="B6" s="14" t="s">
        <v>68</v>
      </c>
      <c r="C6" s="15">
        <f t="shared" si="4"/>
        <v>19.949999999999996</v>
      </c>
      <c r="D6" s="16">
        <v>20</v>
      </c>
      <c r="E6" s="16">
        <v>0</v>
      </c>
      <c r="F6" s="29">
        <v>398.99999999999989</v>
      </c>
      <c r="G6" s="29">
        <v>0</v>
      </c>
      <c r="H6" s="18">
        <f t="shared" si="1"/>
        <v>0</v>
      </c>
      <c r="I6" s="18">
        <f t="shared" si="2"/>
        <v>0.42583337831758883</v>
      </c>
      <c r="J6" s="17">
        <f t="shared" si="5"/>
        <v>169.9075179487179</v>
      </c>
      <c r="K6" s="17">
        <f t="shared" si="3"/>
        <v>8.4953758974358955</v>
      </c>
      <c r="L6" s="16">
        <v>52</v>
      </c>
      <c r="M6" s="19">
        <f t="shared" si="6"/>
        <v>0.38461538461538464</v>
      </c>
      <c r="N6" s="16">
        <v>261</v>
      </c>
      <c r="O6" s="20">
        <f t="shared" ref="O6:P6" si="14">D6/7</f>
        <v>2.8571428571428572</v>
      </c>
      <c r="P6" s="20">
        <f t="shared" si="14"/>
        <v>0</v>
      </c>
      <c r="Q6" s="16">
        <f t="shared" si="8"/>
        <v>91</v>
      </c>
      <c r="R6" s="16"/>
      <c r="S6" s="21">
        <v>2.9855072463768102</v>
      </c>
      <c r="T6" s="14">
        <v>1120</v>
      </c>
      <c r="U6" s="22" t="s">
        <v>34</v>
      </c>
      <c r="V6" s="23" t="s">
        <v>186</v>
      </c>
      <c r="W6" s="14">
        <v>0</v>
      </c>
      <c r="X6" s="24">
        <f t="shared" si="9"/>
        <v>0</v>
      </c>
      <c r="Y6" s="25">
        <f t="shared" si="10"/>
        <v>0</v>
      </c>
      <c r="Z6" s="14">
        <v>0</v>
      </c>
      <c r="AA6" s="14" t="s">
        <v>35</v>
      </c>
      <c r="AB6" s="27">
        <f t="shared" si="11"/>
        <v>-0.69</v>
      </c>
      <c r="AC6" s="28">
        <v>2.8666666666666667E-2</v>
      </c>
      <c r="AD6" s="25">
        <f t="shared" si="12"/>
        <v>-0.7911999999999999</v>
      </c>
      <c r="AE6" s="25">
        <v>-4.9000000000000004</v>
      </c>
      <c r="AF6" s="25">
        <v>-3.5225641025641026</v>
      </c>
      <c r="AG6" s="25">
        <v>0</v>
      </c>
    </row>
    <row r="7" spans="1:33" ht="15.75" customHeight="1">
      <c r="A7" s="14" t="s">
        <v>187</v>
      </c>
      <c r="B7" s="14" t="s">
        <v>1822</v>
      </c>
      <c r="C7" s="15">
        <f t="shared" si="4"/>
        <v>19.950000000000003</v>
      </c>
      <c r="D7" s="16">
        <v>33</v>
      </c>
      <c r="E7" s="16">
        <v>0</v>
      </c>
      <c r="F7" s="29">
        <v>658.35000000000014</v>
      </c>
      <c r="G7" s="29">
        <v>0</v>
      </c>
      <c r="H7" s="18">
        <f t="shared" si="1"/>
        <v>0</v>
      </c>
      <c r="I7" s="18">
        <f t="shared" si="2"/>
        <v>0.42583337831758883</v>
      </c>
      <c r="J7" s="17">
        <f t="shared" si="5"/>
        <v>280.34740461538468</v>
      </c>
      <c r="K7" s="17">
        <f t="shared" si="3"/>
        <v>8.495375897435899</v>
      </c>
      <c r="L7" s="16">
        <v>45</v>
      </c>
      <c r="M7" s="19">
        <f t="shared" si="6"/>
        <v>0.73333333333333328</v>
      </c>
      <c r="N7" s="16">
        <v>291</v>
      </c>
      <c r="O7" s="20">
        <f t="shared" ref="O7:P7" si="15">D7/7</f>
        <v>4.7142857142857144</v>
      </c>
      <c r="P7" s="20">
        <f t="shared" si="15"/>
        <v>0</v>
      </c>
      <c r="Q7" s="16">
        <f t="shared" si="8"/>
        <v>61</v>
      </c>
      <c r="R7" s="16"/>
      <c r="S7" s="21">
        <v>1.4521625163826899</v>
      </c>
      <c r="T7" s="14">
        <v>1624</v>
      </c>
      <c r="U7" s="22">
        <v>280</v>
      </c>
      <c r="V7" s="23" t="s">
        <v>1823</v>
      </c>
      <c r="W7" s="14">
        <v>0</v>
      </c>
      <c r="X7" s="24">
        <f t="shared" si="9"/>
        <v>0</v>
      </c>
      <c r="Y7" s="25">
        <f t="shared" si="10"/>
        <v>0</v>
      </c>
      <c r="Z7" s="14">
        <v>0</v>
      </c>
      <c r="AA7" s="14" t="s">
        <v>35</v>
      </c>
      <c r="AB7" s="27">
        <f t="shared" si="11"/>
        <v>-0.69</v>
      </c>
      <c r="AC7" s="28">
        <v>2.8666666666666667E-2</v>
      </c>
      <c r="AD7" s="25">
        <f t="shared" si="12"/>
        <v>-1.30548</v>
      </c>
      <c r="AE7" s="25">
        <v>-4.9000000000000004</v>
      </c>
      <c r="AF7" s="25">
        <v>-3.5225641025641026</v>
      </c>
      <c r="AG7" s="25">
        <v>0</v>
      </c>
    </row>
    <row r="8" spans="1:33" ht="15.75" customHeight="1">
      <c r="A8" s="14" t="s">
        <v>189</v>
      </c>
      <c r="B8" s="14" t="s">
        <v>714</v>
      </c>
      <c r="C8" s="15">
        <f t="shared" si="4"/>
        <v>20.793023255813953</v>
      </c>
      <c r="D8" s="16">
        <v>43</v>
      </c>
      <c r="E8" s="16">
        <v>0</v>
      </c>
      <c r="F8" s="29">
        <v>894.1</v>
      </c>
      <c r="G8" s="29">
        <v>0</v>
      </c>
      <c r="H8" s="18">
        <f t="shared" si="1"/>
        <v>0</v>
      </c>
      <c r="I8" s="18">
        <f t="shared" si="2"/>
        <v>0.44315392014316068</v>
      </c>
      <c r="J8" s="17">
        <f t="shared" si="5"/>
        <v>396.22391999999996</v>
      </c>
      <c r="K8" s="17">
        <f t="shared" si="3"/>
        <v>9.214509767441859</v>
      </c>
      <c r="L8" s="16">
        <v>53</v>
      </c>
      <c r="M8" s="19">
        <f t="shared" si="6"/>
        <v>0.81132075471698117</v>
      </c>
      <c r="N8" s="16">
        <v>254</v>
      </c>
      <c r="O8" s="20">
        <f t="shared" ref="O8:P8" si="16">D8/7</f>
        <v>6.1428571428571432</v>
      </c>
      <c r="P8" s="20">
        <f t="shared" si="16"/>
        <v>0</v>
      </c>
      <c r="Q8" s="16">
        <f t="shared" si="8"/>
        <v>41</v>
      </c>
      <c r="R8" s="16"/>
      <c r="S8" s="21">
        <v>1.61992136304062</v>
      </c>
      <c r="T8" s="14">
        <v>1932</v>
      </c>
      <c r="U8" s="22">
        <v>280</v>
      </c>
      <c r="V8" s="23" t="s">
        <v>1824</v>
      </c>
      <c r="W8" s="14">
        <v>0</v>
      </c>
      <c r="X8" s="24">
        <f t="shared" si="9"/>
        <v>0</v>
      </c>
      <c r="Y8" s="25">
        <f t="shared" si="10"/>
        <v>0</v>
      </c>
      <c r="Z8" s="14">
        <v>0</v>
      </c>
      <c r="AA8" s="14" t="s">
        <v>35</v>
      </c>
      <c r="AB8" s="27">
        <f t="shared" si="11"/>
        <v>-0.69</v>
      </c>
      <c r="AC8" s="28">
        <v>2.8666666666666667E-2</v>
      </c>
      <c r="AD8" s="25">
        <f t="shared" si="12"/>
        <v>-1.7010799999999999</v>
      </c>
      <c r="AE8" s="25">
        <v>-4.9000000000000004</v>
      </c>
      <c r="AF8" s="25">
        <v>-3.52</v>
      </c>
      <c r="AG8" s="25">
        <v>0</v>
      </c>
    </row>
    <row r="9" spans="1:33" ht="15.75" customHeight="1">
      <c r="A9" s="14" t="s">
        <v>191</v>
      </c>
      <c r="B9" s="14" t="s">
        <v>1825</v>
      </c>
      <c r="C9" s="15">
        <f t="shared" si="4"/>
        <v>20.525000000000006</v>
      </c>
      <c r="D9" s="16">
        <v>32</v>
      </c>
      <c r="E9" s="16">
        <v>2</v>
      </c>
      <c r="F9" s="29">
        <v>656.80000000000018</v>
      </c>
      <c r="G9" s="29">
        <v>0</v>
      </c>
      <c r="H9" s="18">
        <f t="shared" si="1"/>
        <v>0</v>
      </c>
      <c r="I9" s="18">
        <f t="shared" si="2"/>
        <v>0.4348340262255001</v>
      </c>
      <c r="J9" s="17">
        <f t="shared" si="5"/>
        <v>285.59898842490855</v>
      </c>
      <c r="K9" s="17">
        <f t="shared" si="3"/>
        <v>8.9249683882783923</v>
      </c>
      <c r="L9" s="16">
        <v>53</v>
      </c>
      <c r="M9" s="19">
        <f t="shared" si="6"/>
        <v>0.60377358490566035</v>
      </c>
      <c r="N9" s="16">
        <v>212</v>
      </c>
      <c r="O9" s="20">
        <f t="shared" ref="O9:P9" si="17">D9/7</f>
        <v>4.5714285714285712</v>
      </c>
      <c r="P9" s="20">
        <f t="shared" si="17"/>
        <v>0.2857142857142857</v>
      </c>
      <c r="Q9" s="16">
        <f t="shared" si="8"/>
        <v>43</v>
      </c>
      <c r="R9" s="16"/>
      <c r="S9" s="21">
        <v>2.07692307692307</v>
      </c>
      <c r="T9" s="14">
        <v>1932</v>
      </c>
      <c r="U9" s="22">
        <v>308</v>
      </c>
      <c r="V9" s="23" t="s">
        <v>1826</v>
      </c>
      <c r="W9" s="14">
        <v>0</v>
      </c>
      <c r="X9" s="24">
        <f t="shared" si="9"/>
        <v>0</v>
      </c>
      <c r="Y9" s="25">
        <f t="shared" si="10"/>
        <v>0</v>
      </c>
      <c r="Z9" s="14">
        <v>0</v>
      </c>
      <c r="AA9" s="14" t="s">
        <v>35</v>
      </c>
      <c r="AB9" s="27">
        <f t="shared" si="11"/>
        <v>-0.69</v>
      </c>
      <c r="AC9" s="28">
        <v>2.8666666666666667E-2</v>
      </c>
      <c r="AD9" s="25">
        <f t="shared" si="12"/>
        <v>-1.2659199999999999</v>
      </c>
      <c r="AE9" s="25">
        <v>-4.9000000000000004</v>
      </c>
      <c r="AF9" s="25">
        <v>-3.5817216117216102</v>
      </c>
      <c r="AG9" s="25">
        <v>0</v>
      </c>
    </row>
    <row r="10" spans="1:33" ht="15.75" customHeight="1">
      <c r="A10" s="14" t="s">
        <v>192</v>
      </c>
      <c r="B10" s="14" t="s">
        <v>175</v>
      </c>
      <c r="C10" s="15">
        <f t="shared" si="4"/>
        <v>18.015882352941176</v>
      </c>
      <c r="D10" s="16">
        <v>17</v>
      </c>
      <c r="E10" s="16">
        <v>1</v>
      </c>
      <c r="F10" s="29">
        <v>306.27</v>
      </c>
      <c r="G10" s="29">
        <v>0</v>
      </c>
      <c r="H10" s="18">
        <f t="shared" si="1"/>
        <v>0</v>
      </c>
      <c r="I10" s="18">
        <f t="shared" si="2"/>
        <v>0.37701280765576978</v>
      </c>
      <c r="J10" s="17">
        <f t="shared" si="5"/>
        <v>115.46771260073261</v>
      </c>
      <c r="K10" s="17">
        <f t="shared" si="3"/>
        <v>6.7922183882783891</v>
      </c>
      <c r="L10" s="16">
        <v>53</v>
      </c>
      <c r="M10" s="19">
        <f t="shared" si="6"/>
        <v>0.32075471698113206</v>
      </c>
      <c r="N10" s="16">
        <v>192</v>
      </c>
      <c r="O10" s="20">
        <f t="shared" ref="O10:P10" si="18">D10/7</f>
        <v>2.4285714285714284</v>
      </c>
      <c r="P10" s="20">
        <f t="shared" si="18"/>
        <v>0.14285714285714285</v>
      </c>
      <c r="Q10" s="16">
        <f t="shared" si="8"/>
        <v>74</v>
      </c>
      <c r="R10" s="16"/>
      <c r="S10" s="21">
        <v>2.7703984819734302</v>
      </c>
      <c r="T10" s="14">
        <v>1120</v>
      </c>
      <c r="U10" s="22">
        <v>308</v>
      </c>
      <c r="V10" s="23" t="s">
        <v>1827</v>
      </c>
      <c r="W10" s="14">
        <v>0</v>
      </c>
      <c r="X10" s="24">
        <f t="shared" si="9"/>
        <v>0</v>
      </c>
      <c r="Y10" s="25">
        <f t="shared" si="10"/>
        <v>0</v>
      </c>
      <c r="Z10" s="14">
        <v>0</v>
      </c>
      <c r="AA10" s="14" t="s">
        <v>35</v>
      </c>
      <c r="AB10" s="27">
        <f t="shared" si="11"/>
        <v>-0.69</v>
      </c>
      <c r="AC10" s="28">
        <v>2.8666666666666667E-2</v>
      </c>
      <c r="AD10" s="25">
        <f t="shared" si="12"/>
        <v>-0.67252000000000001</v>
      </c>
      <c r="AE10" s="25">
        <v>-4.9000000000000004</v>
      </c>
      <c r="AF10" s="25">
        <v>-3.5817216117216102</v>
      </c>
      <c r="AG10" s="25">
        <v>0</v>
      </c>
    </row>
    <row r="11" spans="1:33" ht="15.75" customHeight="1">
      <c r="A11" s="14" t="s">
        <v>193</v>
      </c>
      <c r="B11" s="14" t="s">
        <v>1828</v>
      </c>
      <c r="C11" s="15">
        <f t="shared" si="4"/>
        <v>16.512424242424242</v>
      </c>
      <c r="D11" s="16">
        <v>33</v>
      </c>
      <c r="E11" s="16">
        <v>0</v>
      </c>
      <c r="F11" s="29">
        <v>544.91</v>
      </c>
      <c r="G11" s="29">
        <v>0</v>
      </c>
      <c r="H11" s="18">
        <f t="shared" si="1"/>
        <v>0</v>
      </c>
      <c r="I11" s="18">
        <f t="shared" si="2"/>
        <v>0.33394726984857465</v>
      </c>
      <c r="J11" s="17">
        <f t="shared" si="5"/>
        <v>181.9712068131868</v>
      </c>
      <c r="K11" s="17">
        <f t="shared" si="3"/>
        <v>5.5142789943389943</v>
      </c>
      <c r="L11" s="16">
        <v>54</v>
      </c>
      <c r="M11" s="19">
        <f t="shared" si="6"/>
        <v>0.61111111111111116</v>
      </c>
      <c r="N11" s="16">
        <v>164</v>
      </c>
      <c r="O11" s="20">
        <f t="shared" ref="O11:P11" si="19">D11/7</f>
        <v>4.7142857142857144</v>
      </c>
      <c r="P11" s="20">
        <f t="shared" si="19"/>
        <v>0</v>
      </c>
      <c r="Q11" s="16">
        <f t="shared" si="8"/>
        <v>34</v>
      </c>
      <c r="R11" s="16"/>
      <c r="S11" s="21">
        <v>3.032</v>
      </c>
      <c r="T11" s="14">
        <v>1624</v>
      </c>
      <c r="U11" s="22">
        <v>280</v>
      </c>
      <c r="V11" s="23" t="s">
        <v>1829</v>
      </c>
      <c r="W11" s="14">
        <v>0</v>
      </c>
      <c r="X11" s="24">
        <f t="shared" si="9"/>
        <v>0</v>
      </c>
      <c r="Y11" s="25">
        <f t="shared" si="10"/>
        <v>0</v>
      </c>
      <c r="Z11" s="14">
        <v>0</v>
      </c>
      <c r="AA11" s="14" t="s">
        <v>35</v>
      </c>
      <c r="AB11" s="27">
        <f t="shared" si="11"/>
        <v>-0.69</v>
      </c>
      <c r="AC11" s="28">
        <v>2.8666666666666667E-2</v>
      </c>
      <c r="AD11" s="25">
        <f t="shared" si="12"/>
        <v>-1.30548</v>
      </c>
      <c r="AE11" s="25">
        <v>-4.9000000000000004</v>
      </c>
      <c r="AF11" s="25">
        <v>-3.5817216117216102</v>
      </c>
      <c r="AG11" s="25">
        <v>0</v>
      </c>
    </row>
    <row r="12" spans="1:33" ht="15.75" customHeight="1">
      <c r="A12" s="14" t="s">
        <v>195</v>
      </c>
      <c r="B12" s="14" t="s">
        <v>68</v>
      </c>
      <c r="C12" s="15">
        <f t="shared" si="4"/>
        <v>13.35538461538461</v>
      </c>
      <c r="D12" s="16">
        <v>65</v>
      </c>
      <c r="E12" s="16">
        <v>0</v>
      </c>
      <c r="F12" s="29">
        <v>868.09999999999968</v>
      </c>
      <c r="G12" s="29">
        <v>0</v>
      </c>
      <c r="H12" s="18">
        <f t="shared" si="1"/>
        <v>0</v>
      </c>
      <c r="I12" s="18">
        <f t="shared" si="2"/>
        <v>0.21195910060833448</v>
      </c>
      <c r="J12" s="17">
        <f t="shared" si="5"/>
        <v>184.0016952380951</v>
      </c>
      <c r="K12" s="17">
        <f t="shared" si="3"/>
        <v>2.8307953113553093</v>
      </c>
      <c r="L12" s="16">
        <v>106</v>
      </c>
      <c r="M12" s="19">
        <f t="shared" si="6"/>
        <v>0.6132075471698113</v>
      </c>
      <c r="N12" s="16">
        <v>104</v>
      </c>
      <c r="O12" s="20">
        <f t="shared" ref="O12:P12" si="20">D12/7</f>
        <v>9.2857142857142865</v>
      </c>
      <c r="P12" s="20">
        <f t="shared" si="20"/>
        <v>0</v>
      </c>
      <c r="Q12" s="16">
        <f t="shared" si="8"/>
        <v>11</v>
      </c>
      <c r="R12" s="16"/>
      <c r="S12" s="21">
        <v>1.9749715585893</v>
      </c>
      <c r="T12" s="14">
        <v>1624</v>
      </c>
      <c r="U12" s="22">
        <v>280</v>
      </c>
      <c r="V12" s="23" t="s">
        <v>1830</v>
      </c>
      <c r="W12" s="14">
        <v>0</v>
      </c>
      <c r="X12" s="24">
        <f t="shared" si="9"/>
        <v>0</v>
      </c>
      <c r="Y12" s="25">
        <f t="shared" si="10"/>
        <v>0</v>
      </c>
      <c r="Z12" s="14">
        <v>0</v>
      </c>
      <c r="AA12" s="14" t="s">
        <v>35</v>
      </c>
      <c r="AB12" s="27">
        <f t="shared" si="11"/>
        <v>-0.69</v>
      </c>
      <c r="AC12" s="28">
        <v>2.8666666666666667E-2</v>
      </c>
      <c r="AD12" s="25">
        <f t="shared" si="12"/>
        <v>-2.5713999999999997</v>
      </c>
      <c r="AE12" s="25">
        <v>-4.9000000000000004</v>
      </c>
      <c r="AF12" s="25">
        <v>-3.5817216117216102</v>
      </c>
      <c r="AG12" s="25">
        <v>0</v>
      </c>
    </row>
    <row r="13" spans="1:33" ht="15.75" customHeight="1">
      <c r="A13" s="14" t="s">
        <v>197</v>
      </c>
      <c r="B13" s="14" t="s">
        <v>1831</v>
      </c>
      <c r="C13" s="15">
        <f t="shared" si="4"/>
        <v>13.558536585365864</v>
      </c>
      <c r="D13" s="16">
        <v>82</v>
      </c>
      <c r="E13" s="16">
        <v>0</v>
      </c>
      <c r="F13" s="17">
        <v>1111.8000000000009</v>
      </c>
      <c r="G13" s="29">
        <v>-0.13</v>
      </c>
      <c r="H13" s="18">
        <f t="shared" si="1"/>
        <v>1.1692750494693282E-4</v>
      </c>
      <c r="I13" s="18">
        <f t="shared" si="2"/>
        <v>0.21910576928018982</v>
      </c>
      <c r="J13" s="17">
        <f t="shared" si="5"/>
        <v>243.60179428571524</v>
      </c>
      <c r="K13" s="17">
        <f t="shared" si="3"/>
        <v>2.9707535888501857</v>
      </c>
      <c r="L13" s="16">
        <v>97</v>
      </c>
      <c r="M13" s="19">
        <f t="shared" si="6"/>
        <v>0.84536082474226804</v>
      </c>
      <c r="N13" s="16">
        <v>22</v>
      </c>
      <c r="O13" s="20">
        <f t="shared" ref="O13:P13" si="21">D13/7</f>
        <v>11.714285714285714</v>
      </c>
      <c r="P13" s="20">
        <f t="shared" si="21"/>
        <v>0</v>
      </c>
      <c r="Q13" s="16">
        <f t="shared" si="8"/>
        <v>1</v>
      </c>
      <c r="R13" s="16"/>
      <c r="S13" s="21">
        <v>2.19559902200489</v>
      </c>
      <c r="T13" s="14">
        <v>1624</v>
      </c>
      <c r="U13" s="22">
        <v>280</v>
      </c>
      <c r="V13" s="23" t="s">
        <v>1832</v>
      </c>
      <c r="W13" s="14">
        <v>0</v>
      </c>
      <c r="X13" s="24">
        <f t="shared" si="9"/>
        <v>0</v>
      </c>
      <c r="Y13" s="25">
        <f t="shared" si="10"/>
        <v>0</v>
      </c>
      <c r="Z13" s="14">
        <v>0</v>
      </c>
      <c r="AA13" s="14" t="s">
        <v>35</v>
      </c>
      <c r="AB13" s="27">
        <f t="shared" si="11"/>
        <v>-0.69</v>
      </c>
      <c r="AC13" s="28">
        <v>2.8666666666666667E-2</v>
      </c>
      <c r="AD13" s="25">
        <f t="shared" si="12"/>
        <v>-3.2439199999999997</v>
      </c>
      <c r="AE13" s="25">
        <v>-4.9000000000000004</v>
      </c>
      <c r="AF13" s="25">
        <v>-3.6128571428571399</v>
      </c>
      <c r="AG13" s="25">
        <v>0</v>
      </c>
    </row>
    <row r="14" spans="1:33" ht="15.75" customHeight="1">
      <c r="A14" s="14" t="s">
        <v>32</v>
      </c>
      <c r="B14" s="14" t="s">
        <v>1833</v>
      </c>
      <c r="C14" s="15">
        <f t="shared" si="4"/>
        <v>14.570769230769233</v>
      </c>
      <c r="D14" s="16">
        <v>13</v>
      </c>
      <c r="E14" s="16">
        <v>0</v>
      </c>
      <c r="F14" s="17">
        <v>189.42000000000004</v>
      </c>
      <c r="G14" s="29">
        <v>0</v>
      </c>
      <c r="H14" s="18">
        <f t="shared" si="1"/>
        <v>0</v>
      </c>
      <c r="I14" s="18">
        <f t="shared" si="2"/>
        <v>0.26304285261776583</v>
      </c>
      <c r="J14" s="17">
        <f t="shared" si="5"/>
        <v>49.825577142857213</v>
      </c>
      <c r="K14" s="17">
        <f t="shared" si="3"/>
        <v>3.8327367032967086</v>
      </c>
      <c r="L14" s="16">
        <v>91</v>
      </c>
      <c r="M14" s="19">
        <f t="shared" si="6"/>
        <v>0.14285714285714285</v>
      </c>
      <c r="N14" s="16">
        <v>0</v>
      </c>
      <c r="O14" s="20">
        <f t="shared" ref="O14:P14" si="22">D14/7</f>
        <v>1.8571428571428572</v>
      </c>
      <c r="P14" s="20">
        <f t="shared" si="22"/>
        <v>0</v>
      </c>
      <c r="Q14" s="16">
        <f t="shared" si="8"/>
        <v>0</v>
      </c>
      <c r="R14" s="16"/>
      <c r="S14" s="21">
        <v>3.3970588235294099</v>
      </c>
      <c r="T14" s="14">
        <v>1624</v>
      </c>
      <c r="U14" s="22">
        <v>280</v>
      </c>
      <c r="V14" s="23" t="s">
        <v>1832</v>
      </c>
      <c r="W14" s="14">
        <v>0</v>
      </c>
      <c r="X14" s="24">
        <f t="shared" si="9"/>
        <v>0</v>
      </c>
      <c r="Y14" s="25">
        <f t="shared" si="10"/>
        <v>0</v>
      </c>
      <c r="Z14" s="14">
        <v>0</v>
      </c>
      <c r="AA14" s="14" t="s">
        <v>35</v>
      </c>
      <c r="AB14" s="27">
        <f t="shared" si="11"/>
        <v>-0.69</v>
      </c>
      <c r="AC14" s="28">
        <v>2.8666666666666667E-2</v>
      </c>
      <c r="AD14" s="25">
        <f t="shared" si="12"/>
        <v>-0.51427999999999996</v>
      </c>
      <c r="AE14" s="25">
        <v>-4.9000000000000004</v>
      </c>
      <c r="AF14" s="25">
        <v>-3.6128571428571399</v>
      </c>
      <c r="AG14" s="25">
        <v>0</v>
      </c>
    </row>
    <row r="15" spans="1:33" ht="15.75" customHeight="1">
      <c r="A15" s="14" t="s">
        <v>36</v>
      </c>
      <c r="B15" s="14" t="s">
        <v>1834</v>
      </c>
      <c r="C15" s="15">
        <f t="shared" si="4"/>
        <v>13.571176470588226</v>
      </c>
      <c r="D15" s="16">
        <v>34</v>
      </c>
      <c r="E15" s="16">
        <v>0</v>
      </c>
      <c r="F15" s="17">
        <v>461.41999999999967</v>
      </c>
      <c r="G15" s="29">
        <v>0</v>
      </c>
      <c r="H15" s="18">
        <f t="shared" si="1"/>
        <v>0</v>
      </c>
      <c r="I15" s="18">
        <f t="shared" si="2"/>
        <v>0.1969676588419596</v>
      </c>
      <c r="J15" s="17">
        <f t="shared" si="5"/>
        <v>90.884817142856932</v>
      </c>
      <c r="K15" s="17">
        <f t="shared" si="3"/>
        <v>2.6730828571428509</v>
      </c>
      <c r="L15" s="16">
        <v>93</v>
      </c>
      <c r="M15" s="19">
        <f t="shared" si="6"/>
        <v>0.36559139784946237</v>
      </c>
      <c r="N15" s="16">
        <v>76</v>
      </c>
      <c r="O15" s="20">
        <f t="shared" ref="O15:P15" si="23">D15/7</f>
        <v>4.8571428571428568</v>
      </c>
      <c r="P15" s="20">
        <f t="shared" si="23"/>
        <v>0</v>
      </c>
      <c r="Q15" s="16">
        <f t="shared" si="8"/>
        <v>15</v>
      </c>
      <c r="R15" s="16"/>
      <c r="S15" s="21">
        <v>2.84502446982055</v>
      </c>
      <c r="T15" s="14">
        <v>1624</v>
      </c>
      <c r="U15" s="22">
        <v>280</v>
      </c>
      <c r="V15" s="23" t="s">
        <v>1835</v>
      </c>
      <c r="W15" s="14">
        <v>0</v>
      </c>
      <c r="X15" s="24">
        <f t="shared" si="9"/>
        <v>0</v>
      </c>
      <c r="Y15" s="25">
        <f t="shared" si="10"/>
        <v>0</v>
      </c>
      <c r="Z15" s="14">
        <v>0</v>
      </c>
      <c r="AA15" s="14" t="s">
        <v>35</v>
      </c>
      <c r="AB15" s="27">
        <f t="shared" si="11"/>
        <v>-0.69</v>
      </c>
      <c r="AC15" s="28">
        <v>2.8666666666666667E-2</v>
      </c>
      <c r="AD15" s="25">
        <f t="shared" si="12"/>
        <v>-1.34504</v>
      </c>
      <c r="AE15" s="25">
        <v>-4.9000000000000004</v>
      </c>
      <c r="AF15" s="25">
        <v>-3.9228571428571399</v>
      </c>
      <c r="AG15" s="25">
        <v>0</v>
      </c>
    </row>
    <row r="16" spans="1:33" ht="15.75" customHeight="1">
      <c r="A16" s="14" t="s">
        <v>38</v>
      </c>
      <c r="B16" s="14" t="s">
        <v>45</v>
      </c>
      <c r="C16" s="15">
        <f t="shared" si="4"/>
        <v>13.845423728813573</v>
      </c>
      <c r="D16" s="16">
        <v>59</v>
      </c>
      <c r="E16" s="16">
        <v>0</v>
      </c>
      <c r="F16" s="17">
        <v>816.88000000000079</v>
      </c>
      <c r="G16" s="29">
        <v>-0.06</v>
      </c>
      <c r="H16" s="18">
        <f t="shared" si="1"/>
        <v>7.345020076388201E-5</v>
      </c>
      <c r="I16" s="18">
        <f t="shared" si="2"/>
        <v>0.20982933670971166</v>
      </c>
      <c r="J16" s="17">
        <f t="shared" si="5"/>
        <v>171.40538857142943</v>
      </c>
      <c r="K16" s="17">
        <f t="shared" si="3"/>
        <v>2.9051760774818547</v>
      </c>
      <c r="L16" s="16">
        <v>119</v>
      </c>
      <c r="M16" s="19">
        <f t="shared" si="6"/>
        <v>0.49579831932773111</v>
      </c>
      <c r="N16" s="16">
        <v>18</v>
      </c>
      <c r="O16" s="20">
        <f t="shared" ref="O16:P16" si="24">D16/7</f>
        <v>8.4285714285714288</v>
      </c>
      <c r="P16" s="20">
        <f t="shared" si="24"/>
        <v>0</v>
      </c>
      <c r="Q16" s="16">
        <f t="shared" si="8"/>
        <v>2</v>
      </c>
      <c r="R16" s="16"/>
      <c r="S16" s="21">
        <v>2.2043628013777199</v>
      </c>
      <c r="T16" s="14">
        <v>1624</v>
      </c>
      <c r="U16" s="22">
        <v>280</v>
      </c>
      <c r="V16" s="23" t="s">
        <v>1835</v>
      </c>
      <c r="W16" s="14">
        <v>0</v>
      </c>
      <c r="X16" s="24">
        <f t="shared" si="9"/>
        <v>0</v>
      </c>
      <c r="Y16" s="25">
        <f t="shared" si="10"/>
        <v>0</v>
      </c>
      <c r="Z16" s="14">
        <v>0</v>
      </c>
      <c r="AA16" s="14" t="s">
        <v>35</v>
      </c>
      <c r="AB16" s="27">
        <f t="shared" si="11"/>
        <v>-0.69</v>
      </c>
      <c r="AC16" s="28">
        <v>2.8666666666666667E-2</v>
      </c>
      <c r="AD16" s="25">
        <f t="shared" si="12"/>
        <v>-2.3340399999999999</v>
      </c>
      <c r="AE16" s="25">
        <v>-4.9000000000000004</v>
      </c>
      <c r="AF16" s="25">
        <v>-3.9228571428571399</v>
      </c>
      <c r="AG16" s="25">
        <v>0</v>
      </c>
    </row>
    <row r="17" spans="1:33" ht="15.75" customHeight="1">
      <c r="A17" s="14" t="s">
        <v>40</v>
      </c>
      <c r="B17" s="14" t="s">
        <v>45</v>
      </c>
      <c r="C17" s="15">
        <f t="shared" si="4"/>
        <v>14.025000000000002</v>
      </c>
      <c r="D17" s="16">
        <v>8</v>
      </c>
      <c r="E17" s="16">
        <v>0</v>
      </c>
      <c r="F17" s="17">
        <v>112.20000000000002</v>
      </c>
      <c r="G17" s="29">
        <v>0</v>
      </c>
      <c r="H17" s="18">
        <f t="shared" si="1"/>
        <v>0</v>
      </c>
      <c r="I17" s="18">
        <f t="shared" si="2"/>
        <v>0.21809859943977625</v>
      </c>
      <c r="J17" s="17">
        <f t="shared" si="5"/>
        <v>24.470662857142898</v>
      </c>
      <c r="K17" s="17">
        <f t="shared" si="3"/>
        <v>3.0588328571428622</v>
      </c>
      <c r="L17" s="16">
        <v>84</v>
      </c>
      <c r="M17" s="19">
        <f t="shared" si="6"/>
        <v>9.5238095238095233E-2</v>
      </c>
      <c r="N17" s="16">
        <v>0</v>
      </c>
      <c r="O17" s="20">
        <f t="shared" ref="O17:P17" si="25">D17/7</f>
        <v>1.1428571428571428</v>
      </c>
      <c r="P17" s="20">
        <f t="shared" si="25"/>
        <v>0</v>
      </c>
      <c r="Q17" s="16">
        <f t="shared" si="8"/>
        <v>0</v>
      </c>
      <c r="R17" s="16"/>
      <c r="S17" s="21" t="e">
        <v>#N/A</v>
      </c>
      <c r="T17" s="14">
        <v>1624</v>
      </c>
      <c r="U17" s="22">
        <v>280</v>
      </c>
      <c r="V17" s="23" t="s">
        <v>1836</v>
      </c>
      <c r="W17" s="14">
        <v>0</v>
      </c>
      <c r="X17" s="24">
        <f t="shared" si="9"/>
        <v>0</v>
      </c>
      <c r="Y17" s="25">
        <f t="shared" si="10"/>
        <v>0</v>
      </c>
      <c r="Z17" s="14">
        <v>0</v>
      </c>
      <c r="AA17" s="14" t="s">
        <v>35</v>
      </c>
      <c r="AB17" s="27">
        <f t="shared" si="11"/>
        <v>-0.69</v>
      </c>
      <c r="AC17" s="28">
        <v>2.8666666666666667E-2</v>
      </c>
      <c r="AD17" s="25">
        <f t="shared" si="12"/>
        <v>-0.31647999999999998</v>
      </c>
      <c r="AE17" s="25">
        <v>-4.9000000000000004</v>
      </c>
      <c r="AF17" s="25">
        <v>-3.9228571428571399</v>
      </c>
      <c r="AG17" s="25">
        <v>0</v>
      </c>
    </row>
    <row r="18" spans="1:33" ht="15.75" customHeight="1">
      <c r="A18" s="14" t="s">
        <v>42</v>
      </c>
      <c r="B18" s="14" t="s">
        <v>45</v>
      </c>
      <c r="C18" s="15">
        <f t="shared" si="4"/>
        <v>13.95</v>
      </c>
      <c r="D18" s="16">
        <v>2</v>
      </c>
      <c r="E18" s="16">
        <v>0</v>
      </c>
      <c r="F18" s="17">
        <v>27.9</v>
      </c>
      <c r="G18" s="29">
        <v>0</v>
      </c>
      <c r="H18" s="18">
        <f t="shared" si="1"/>
        <v>0</v>
      </c>
      <c r="I18" s="18">
        <f t="shared" si="2"/>
        <v>0.21470128008192543</v>
      </c>
      <c r="J18" s="17">
        <f t="shared" si="5"/>
        <v>5.9901657142857196</v>
      </c>
      <c r="K18" s="17">
        <f t="shared" si="3"/>
        <v>2.9950828571428598</v>
      </c>
      <c r="L18" s="16">
        <v>8</v>
      </c>
      <c r="M18" s="19">
        <f t="shared" si="6"/>
        <v>0.25</v>
      </c>
      <c r="N18" s="16">
        <v>168</v>
      </c>
      <c r="O18" s="20">
        <f t="shared" ref="O18:P18" si="26">D18/7</f>
        <v>0.2857142857142857</v>
      </c>
      <c r="P18" s="20">
        <f t="shared" si="26"/>
        <v>0</v>
      </c>
      <c r="Q18" s="16">
        <f t="shared" si="8"/>
        <v>588</v>
      </c>
      <c r="R18" s="16"/>
      <c r="S18" s="21" t="e">
        <v>#N/A</v>
      </c>
      <c r="T18" s="14">
        <v>1008</v>
      </c>
      <c r="U18" s="22">
        <v>0</v>
      </c>
      <c r="V18" s="23" t="s">
        <v>1837</v>
      </c>
      <c r="W18" s="14">
        <v>0</v>
      </c>
      <c r="X18" s="24">
        <f t="shared" si="9"/>
        <v>0</v>
      </c>
      <c r="Y18" s="25">
        <f t="shared" si="10"/>
        <v>0</v>
      </c>
      <c r="Z18" s="14">
        <v>0</v>
      </c>
      <c r="AA18" s="14" t="s">
        <v>35</v>
      </c>
      <c r="AB18" s="27">
        <f t="shared" si="11"/>
        <v>-0.69</v>
      </c>
      <c r="AC18" s="28">
        <v>2.8666666666666667E-2</v>
      </c>
      <c r="AD18" s="25">
        <f t="shared" si="12"/>
        <v>-7.9119999999999996E-2</v>
      </c>
      <c r="AE18" s="25">
        <v>-4.9000000000000004</v>
      </c>
      <c r="AF18" s="25">
        <v>-3.9228571428571399</v>
      </c>
      <c r="AG18" s="25">
        <v>0</v>
      </c>
    </row>
    <row r="19" spans="1:33" ht="15.75" customHeight="1">
      <c r="A19" s="14" t="s">
        <v>44</v>
      </c>
      <c r="B19" s="14" t="s">
        <v>1831</v>
      </c>
      <c r="C19" s="15">
        <f t="shared" si="4"/>
        <v>13.78546875</v>
      </c>
      <c r="D19" s="16">
        <v>64</v>
      </c>
      <c r="E19" s="16">
        <v>0</v>
      </c>
      <c r="F19" s="17">
        <v>882.27</v>
      </c>
      <c r="G19" s="29">
        <v>0</v>
      </c>
      <c r="H19" s="18">
        <f t="shared" si="1"/>
        <v>0</v>
      </c>
      <c r="I19" s="18">
        <f t="shared" si="2"/>
        <v>0.19377152442805809</v>
      </c>
      <c r="J19" s="17">
        <f t="shared" si="5"/>
        <v>170.95880285714281</v>
      </c>
      <c r="K19" s="17">
        <f t="shared" si="3"/>
        <v>2.6712312946428565</v>
      </c>
      <c r="L19" s="16">
        <v>73</v>
      </c>
      <c r="M19" s="19">
        <f t="shared" si="6"/>
        <v>0.87671232876712324</v>
      </c>
      <c r="N19" s="16">
        <v>657</v>
      </c>
      <c r="O19" s="20">
        <f t="shared" ref="O19:P19" si="27">D19/7</f>
        <v>9.1428571428571423</v>
      </c>
      <c r="P19" s="20">
        <f t="shared" si="27"/>
        <v>0</v>
      </c>
      <c r="Q19" s="16">
        <f t="shared" si="8"/>
        <v>71</v>
      </c>
      <c r="R19" s="16"/>
      <c r="S19" s="21">
        <v>1.39708265802269</v>
      </c>
      <c r="T19" s="14">
        <v>770</v>
      </c>
      <c r="U19" s="22" t="s">
        <v>34</v>
      </c>
      <c r="V19" s="23" t="s">
        <v>34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14" t="s">
        <v>35</v>
      </c>
      <c r="AB19" s="27">
        <f t="shared" si="11"/>
        <v>-0.69</v>
      </c>
      <c r="AC19" s="28">
        <v>2.8666666666666667E-2</v>
      </c>
      <c r="AD19" s="25">
        <f t="shared" si="12"/>
        <v>-2.5318399999999999</v>
      </c>
      <c r="AE19" s="25">
        <v>-4.9000000000000004</v>
      </c>
      <c r="AF19" s="25">
        <v>-4.1068571428571428</v>
      </c>
      <c r="AG19" s="25">
        <v>0</v>
      </c>
    </row>
    <row r="20" spans="1:33" ht="15.75" customHeight="1">
      <c r="A20" s="14" t="s">
        <v>46</v>
      </c>
      <c r="B20" s="14" t="s">
        <v>1838</v>
      </c>
      <c r="C20" s="15">
        <f t="shared" si="4"/>
        <v>14.591530612244915</v>
      </c>
      <c r="D20" s="16">
        <v>98</v>
      </c>
      <c r="E20" s="16">
        <v>0</v>
      </c>
      <c r="F20" s="17">
        <v>1429.9700000000016</v>
      </c>
      <c r="G20" s="29">
        <v>0</v>
      </c>
      <c r="H20" s="18">
        <f t="shared" si="1"/>
        <v>0</v>
      </c>
      <c r="I20" s="18">
        <f t="shared" si="2"/>
        <v>0.23002274173584128</v>
      </c>
      <c r="J20" s="17">
        <f t="shared" si="5"/>
        <v>328.92562000000135</v>
      </c>
      <c r="K20" s="17">
        <f t="shared" si="3"/>
        <v>3.3563838775510342</v>
      </c>
      <c r="L20" s="16">
        <v>124</v>
      </c>
      <c r="M20" s="19">
        <f t="shared" si="6"/>
        <v>0.79032258064516125</v>
      </c>
      <c r="N20" s="16">
        <v>551</v>
      </c>
      <c r="O20" s="20">
        <f t="shared" ref="O20:P20" si="28">D20/7</f>
        <v>14</v>
      </c>
      <c r="P20" s="20">
        <f t="shared" si="28"/>
        <v>0</v>
      </c>
      <c r="Q20" s="16">
        <f t="shared" si="8"/>
        <v>39</v>
      </c>
      <c r="R20" s="16"/>
      <c r="S20" s="21">
        <v>1.94776119402985</v>
      </c>
      <c r="T20" s="14">
        <v>770</v>
      </c>
      <c r="U20" s="22" t="s">
        <v>34</v>
      </c>
      <c r="V20" s="23" t="s">
        <v>34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14" t="s">
        <v>35</v>
      </c>
      <c r="AB20" s="27">
        <f t="shared" si="11"/>
        <v>-0.69</v>
      </c>
      <c r="AC20" s="28">
        <v>2.8666666666666667E-2</v>
      </c>
      <c r="AD20" s="25">
        <f t="shared" si="12"/>
        <v>-3.8768799999999999</v>
      </c>
      <c r="AE20" s="25">
        <v>-4.9000000000000004</v>
      </c>
      <c r="AF20" s="25">
        <v>-4.1068571428571428</v>
      </c>
      <c r="AG20" s="25">
        <v>0</v>
      </c>
    </row>
    <row r="21" spans="1:33" ht="15.75" customHeight="1">
      <c r="A21" s="14" t="s">
        <v>47</v>
      </c>
      <c r="B21" s="14" t="s">
        <v>1839</v>
      </c>
      <c r="C21" s="15">
        <f t="shared" si="4"/>
        <v>16.033750000000008</v>
      </c>
      <c r="D21" s="16">
        <v>120</v>
      </c>
      <c r="E21" s="16">
        <v>0</v>
      </c>
      <c r="F21" s="17">
        <v>1924.0500000000009</v>
      </c>
      <c r="G21" s="29">
        <v>0</v>
      </c>
      <c r="H21" s="18">
        <f t="shared" si="1"/>
        <v>0</v>
      </c>
      <c r="I21" s="18">
        <f t="shared" si="2"/>
        <v>0.28578906102083801</v>
      </c>
      <c r="J21" s="17">
        <f t="shared" si="5"/>
        <v>549.8724428571436</v>
      </c>
      <c r="K21" s="17">
        <f t="shared" si="3"/>
        <v>4.5822703571428631</v>
      </c>
      <c r="L21" s="16">
        <v>62</v>
      </c>
      <c r="M21" s="19">
        <f t="shared" si="6"/>
        <v>1.935483870967742</v>
      </c>
      <c r="N21" s="16">
        <v>443</v>
      </c>
      <c r="O21" s="20">
        <f t="shared" ref="O21:P21" si="29">D21/7</f>
        <v>17.142857142857142</v>
      </c>
      <c r="P21" s="20">
        <f t="shared" si="29"/>
        <v>0</v>
      </c>
      <c r="Q21" s="16">
        <f t="shared" si="8"/>
        <v>25</v>
      </c>
      <c r="R21" s="16"/>
      <c r="S21" s="21">
        <v>2.87941534713763</v>
      </c>
      <c r="T21" s="14">
        <v>770</v>
      </c>
      <c r="U21" s="22" t="s">
        <v>34</v>
      </c>
      <c r="V21" s="23" t="s">
        <v>34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14" t="s">
        <v>35</v>
      </c>
      <c r="AB21" s="27">
        <f t="shared" si="11"/>
        <v>-0.69</v>
      </c>
      <c r="AC21" s="28">
        <v>2.8666666666666667E-2</v>
      </c>
      <c r="AD21" s="25">
        <f t="shared" si="12"/>
        <v>-4.7471999999999994</v>
      </c>
      <c r="AE21" s="25">
        <v>-4.9000000000000004</v>
      </c>
      <c r="AF21" s="25">
        <v>-4.1068571428571428</v>
      </c>
      <c r="AG21" s="25">
        <v>0</v>
      </c>
    </row>
    <row r="22" spans="1:33" ht="15.75" customHeight="1">
      <c r="A22" s="14" t="s">
        <v>48</v>
      </c>
      <c r="B22" s="14" t="s">
        <v>68</v>
      </c>
      <c r="C22" s="15">
        <f t="shared" si="4"/>
        <v>17.91180327868852</v>
      </c>
      <c r="D22" s="16">
        <v>61</v>
      </c>
      <c r="E22" s="16">
        <v>0</v>
      </c>
      <c r="F22" s="29">
        <v>1092.6199999999997</v>
      </c>
      <c r="G22" s="29">
        <v>0</v>
      </c>
      <c r="H22" s="18">
        <f t="shared" si="1"/>
        <v>0</v>
      </c>
      <c r="I22" s="18">
        <f t="shared" si="2"/>
        <v>0.34494660017729317</v>
      </c>
      <c r="J22" s="17">
        <f t="shared" si="5"/>
        <v>376.89555428571396</v>
      </c>
      <c r="K22" s="17">
        <f t="shared" si="3"/>
        <v>6.1786156440280973</v>
      </c>
      <c r="L22" s="16">
        <v>105</v>
      </c>
      <c r="M22" s="19">
        <f t="shared" si="6"/>
        <v>0.580952380952381</v>
      </c>
      <c r="N22" s="16">
        <v>398</v>
      </c>
      <c r="O22" s="20">
        <f t="shared" ref="O22:P22" si="30">D22/7</f>
        <v>8.7142857142857135</v>
      </c>
      <c r="P22" s="20">
        <f t="shared" si="30"/>
        <v>0</v>
      </c>
      <c r="Q22" s="16">
        <f t="shared" si="8"/>
        <v>45</v>
      </c>
      <c r="R22" s="16"/>
      <c r="S22" s="21">
        <v>3.9129082426127502</v>
      </c>
      <c r="T22" s="14">
        <v>770</v>
      </c>
      <c r="U22" s="22" t="s">
        <v>34</v>
      </c>
      <c r="V22" s="23" t="s">
        <v>34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35</v>
      </c>
      <c r="AB22" s="27">
        <f t="shared" si="11"/>
        <v>-0.69</v>
      </c>
      <c r="AC22" s="28">
        <v>2.8666666666666667E-2</v>
      </c>
      <c r="AD22" s="25">
        <f t="shared" si="12"/>
        <v>-2.41316</v>
      </c>
      <c r="AE22" s="25">
        <v>-4.9000000000000004</v>
      </c>
      <c r="AF22" s="25">
        <v>-4.1068571428571428</v>
      </c>
      <c r="AG22" s="25">
        <v>0</v>
      </c>
    </row>
    <row r="23" spans="1:33" ht="15.75" customHeight="1">
      <c r="A23" s="14" t="s">
        <v>49</v>
      </c>
      <c r="B23" s="14" t="s">
        <v>1840</v>
      </c>
      <c r="C23" s="15">
        <f t="shared" si="4"/>
        <v>18.894358974358973</v>
      </c>
      <c r="D23" s="16">
        <v>39</v>
      </c>
      <c r="E23" s="16">
        <v>0</v>
      </c>
      <c r="F23" s="17">
        <v>736.87999999999988</v>
      </c>
      <c r="G23" s="29">
        <v>0</v>
      </c>
      <c r="H23" s="18">
        <f t="shared" si="1"/>
        <v>0</v>
      </c>
      <c r="I23" s="18">
        <f t="shared" si="2"/>
        <v>0.37121068753198799</v>
      </c>
      <c r="J23" s="17">
        <f t="shared" si="5"/>
        <v>273.53773142857125</v>
      </c>
      <c r="K23" s="17">
        <f t="shared" si="3"/>
        <v>7.0137879853479808</v>
      </c>
      <c r="L23" s="16">
        <v>73</v>
      </c>
      <c r="M23" s="19">
        <f t="shared" si="6"/>
        <v>0.53424657534246578</v>
      </c>
      <c r="N23" s="16">
        <v>356</v>
      </c>
      <c r="O23" s="20">
        <f t="shared" ref="O23:P23" si="31">D23/7</f>
        <v>5.5714285714285712</v>
      </c>
      <c r="P23" s="20">
        <f t="shared" si="31"/>
        <v>0</v>
      </c>
      <c r="Q23" s="16">
        <f t="shared" si="8"/>
        <v>63</v>
      </c>
      <c r="R23" s="16"/>
      <c r="S23" s="21">
        <v>3.5019867549668802</v>
      </c>
      <c r="T23" s="14">
        <v>770</v>
      </c>
      <c r="U23" s="22" t="s">
        <v>34</v>
      </c>
      <c r="V23" s="23" t="s">
        <v>34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35</v>
      </c>
      <c r="AB23" s="27">
        <f t="shared" si="11"/>
        <v>-0.69</v>
      </c>
      <c r="AC23" s="28">
        <v>2.8666666666666667E-2</v>
      </c>
      <c r="AD23" s="25">
        <f t="shared" si="12"/>
        <v>-1.54284</v>
      </c>
      <c r="AE23" s="25">
        <v>-4.9000000000000004</v>
      </c>
      <c r="AF23" s="25">
        <v>-4.1068571428571428</v>
      </c>
      <c r="AG23" s="25">
        <v>0</v>
      </c>
    </row>
    <row r="24" spans="1:33" ht="15.75" customHeight="1">
      <c r="A24" s="14" t="s">
        <v>50</v>
      </c>
      <c r="B24" s="14" t="s">
        <v>1841</v>
      </c>
      <c r="C24" s="15">
        <f t="shared" si="4"/>
        <v>18.464065934065911</v>
      </c>
      <c r="D24" s="16">
        <v>91</v>
      </c>
      <c r="E24" s="16">
        <v>2</v>
      </c>
      <c r="F24" s="17">
        <v>1680.2299999999977</v>
      </c>
      <c r="G24" s="17">
        <v>0</v>
      </c>
      <c r="H24" s="18">
        <f t="shared" si="1"/>
        <v>0</v>
      </c>
      <c r="I24" s="18">
        <f t="shared" si="2"/>
        <v>0.36005281419805546</v>
      </c>
      <c r="J24" s="17">
        <f t="shared" si="5"/>
        <v>604.97153999999796</v>
      </c>
      <c r="K24" s="17">
        <f t="shared" si="3"/>
        <v>6.6480389010988787</v>
      </c>
      <c r="L24" s="16">
        <v>121</v>
      </c>
      <c r="M24" s="19">
        <f t="shared" si="6"/>
        <v>0.75206611570247939</v>
      </c>
      <c r="N24" s="16">
        <v>275</v>
      </c>
      <c r="O24" s="20">
        <f t="shared" ref="O24:P24" si="32">D24/7</f>
        <v>13</v>
      </c>
      <c r="P24" s="20">
        <f t="shared" si="32"/>
        <v>0.2857142857142857</v>
      </c>
      <c r="Q24" s="16">
        <f t="shared" si="8"/>
        <v>20</v>
      </c>
      <c r="R24" s="16"/>
      <c r="S24" s="21">
        <v>2.3062761506276099</v>
      </c>
      <c r="T24" s="14">
        <v>770</v>
      </c>
      <c r="U24" s="22" t="s">
        <v>34</v>
      </c>
      <c r="V24" s="23" t="s">
        <v>34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14" t="s">
        <v>35</v>
      </c>
      <c r="AB24" s="27">
        <f t="shared" si="11"/>
        <v>-0.69</v>
      </c>
      <c r="AC24" s="28">
        <v>2.8666666666666667E-2</v>
      </c>
      <c r="AD24" s="25">
        <f t="shared" si="12"/>
        <v>-3.5999599999999998</v>
      </c>
      <c r="AE24" s="25">
        <v>-4.9000000000000004</v>
      </c>
      <c r="AF24" s="25">
        <v>-4.1068571428571428</v>
      </c>
      <c r="AG24" s="25">
        <v>0</v>
      </c>
    </row>
    <row r="25" spans="1:33" ht="15.75" customHeight="1">
      <c r="A25" s="14" t="s">
        <v>51</v>
      </c>
      <c r="B25" s="14" t="s">
        <v>1842</v>
      </c>
      <c r="C25" s="15">
        <f t="shared" si="4"/>
        <v>19.989883720930234</v>
      </c>
      <c r="D25" s="16">
        <v>86</v>
      </c>
      <c r="E25" s="16">
        <v>0</v>
      </c>
      <c r="F25" s="17">
        <v>1719.13</v>
      </c>
      <c r="G25" s="17">
        <v>0</v>
      </c>
      <c r="H25" s="18">
        <f t="shared" si="1"/>
        <v>0</v>
      </c>
      <c r="I25" s="18">
        <f t="shared" si="2"/>
        <v>0.3972930144898873</v>
      </c>
      <c r="J25" s="17">
        <f t="shared" si="5"/>
        <v>682.99833999999998</v>
      </c>
      <c r="K25" s="17">
        <f t="shared" si="3"/>
        <v>7.9418411627906975</v>
      </c>
      <c r="L25" s="16">
        <v>131</v>
      </c>
      <c r="M25" s="19">
        <f t="shared" si="6"/>
        <v>0.65648854961832059</v>
      </c>
      <c r="N25" s="16">
        <v>170</v>
      </c>
      <c r="O25" s="20">
        <f t="shared" ref="O25:P25" si="33">D25/7</f>
        <v>12.285714285714286</v>
      </c>
      <c r="P25" s="20">
        <f t="shared" si="33"/>
        <v>0</v>
      </c>
      <c r="Q25" s="16">
        <f t="shared" si="8"/>
        <v>13</v>
      </c>
      <c r="R25" s="16"/>
      <c r="S25" s="21">
        <v>3.4823529411764711</v>
      </c>
      <c r="T25" s="14">
        <v>1876</v>
      </c>
      <c r="U25" s="22" t="s">
        <v>34</v>
      </c>
      <c r="V25" s="23" t="s">
        <v>34</v>
      </c>
      <c r="W25" s="30">
        <v>0</v>
      </c>
      <c r="X25" s="24">
        <f t="shared" si="9"/>
        <v>0</v>
      </c>
      <c r="Y25" s="25">
        <f t="shared" si="10"/>
        <v>0</v>
      </c>
      <c r="Z25" s="30">
        <v>0</v>
      </c>
      <c r="AA25" s="14" t="s">
        <v>35</v>
      </c>
      <c r="AB25" s="27">
        <f t="shared" si="11"/>
        <v>-0.69</v>
      </c>
      <c r="AC25" s="28">
        <v>2.8666666666666667E-2</v>
      </c>
      <c r="AD25" s="25">
        <f t="shared" si="12"/>
        <v>-3.4021599999999999</v>
      </c>
      <c r="AE25" s="25">
        <v>-4.9000000000000004</v>
      </c>
      <c r="AF25" s="25">
        <v>-4.1100000000000003</v>
      </c>
      <c r="AG25" s="25">
        <v>0</v>
      </c>
    </row>
    <row r="26" spans="1:33" ht="15.75" customHeight="1">
      <c r="A26" s="14" t="s">
        <v>52</v>
      </c>
      <c r="B26" s="14" t="s">
        <v>1843</v>
      </c>
      <c r="C26" s="15">
        <f t="shared" si="4"/>
        <v>22.192456140350878</v>
      </c>
      <c r="D26" s="16">
        <v>57</v>
      </c>
      <c r="E26" s="16">
        <v>3</v>
      </c>
      <c r="F26" s="17">
        <v>1264.97</v>
      </c>
      <c r="G26" s="17">
        <v>0</v>
      </c>
      <c r="H26" s="18">
        <f t="shared" si="1"/>
        <v>0</v>
      </c>
      <c r="I26" s="18">
        <f t="shared" si="2"/>
        <v>0.4401121946426737</v>
      </c>
      <c r="J26" s="17">
        <f t="shared" si="5"/>
        <v>556.728722857143</v>
      </c>
      <c r="K26" s="17">
        <f t="shared" si="3"/>
        <v>9.7671705764411048</v>
      </c>
      <c r="L26" s="16">
        <v>106</v>
      </c>
      <c r="M26" s="19">
        <f t="shared" si="6"/>
        <v>0.53773584905660377</v>
      </c>
      <c r="N26" s="16">
        <v>124</v>
      </c>
      <c r="O26" s="20">
        <f t="shared" ref="O26:P26" si="34">D26/7</f>
        <v>8.1428571428571423</v>
      </c>
      <c r="P26" s="20">
        <f t="shared" si="34"/>
        <v>0.42857142857142855</v>
      </c>
      <c r="Q26" s="16">
        <f t="shared" si="8"/>
        <v>14</v>
      </c>
      <c r="R26" s="16"/>
      <c r="S26" s="21">
        <v>4.8013245033112586</v>
      </c>
      <c r="T26" s="14">
        <v>1876</v>
      </c>
      <c r="U26" s="22" t="s">
        <v>34</v>
      </c>
      <c r="V26" s="23" t="s">
        <v>34</v>
      </c>
      <c r="W26" s="30">
        <v>0</v>
      </c>
      <c r="X26" s="24">
        <f t="shared" si="9"/>
        <v>0</v>
      </c>
      <c r="Y26" s="25">
        <f t="shared" si="10"/>
        <v>0</v>
      </c>
      <c r="Z26" s="30">
        <v>0</v>
      </c>
      <c r="AA26" s="14" t="s">
        <v>35</v>
      </c>
      <c r="AB26" s="27">
        <f t="shared" si="11"/>
        <v>-0.69</v>
      </c>
      <c r="AC26" s="28">
        <v>2.8666666666666667E-2</v>
      </c>
      <c r="AD26" s="25">
        <f t="shared" si="12"/>
        <v>-2.2549199999999998</v>
      </c>
      <c r="AE26" s="25">
        <v>-4.95</v>
      </c>
      <c r="AF26" s="25">
        <v>-4.1068571428571401</v>
      </c>
      <c r="AG26" s="25">
        <v>0</v>
      </c>
    </row>
    <row r="27" spans="1:33" ht="15.75" customHeight="1">
      <c r="A27" s="14" t="s">
        <v>53</v>
      </c>
      <c r="B27" s="14" t="s">
        <v>1844</v>
      </c>
      <c r="C27" s="15">
        <f t="shared" si="4"/>
        <v>25.226896551724138</v>
      </c>
      <c r="D27" s="16">
        <v>29</v>
      </c>
      <c r="E27" s="16">
        <v>0</v>
      </c>
      <c r="F27" s="17">
        <v>731.58</v>
      </c>
      <c r="G27" s="17">
        <v>0</v>
      </c>
      <c r="H27" s="18">
        <f t="shared" si="1"/>
        <v>0</v>
      </c>
      <c r="I27" s="18">
        <f t="shared" si="2"/>
        <v>0.4889345799502447</v>
      </c>
      <c r="J27" s="17">
        <f t="shared" si="5"/>
        <v>357.69476000000003</v>
      </c>
      <c r="K27" s="17">
        <f t="shared" si="3"/>
        <v>12.334302068965519</v>
      </c>
      <c r="L27" s="16">
        <v>85</v>
      </c>
      <c r="M27" s="19">
        <f t="shared" si="6"/>
        <v>0.3411764705882353</v>
      </c>
      <c r="N27" s="16">
        <v>90</v>
      </c>
      <c r="O27" s="20">
        <f t="shared" ref="O27:P27" si="35">D27/7</f>
        <v>4.1428571428571432</v>
      </c>
      <c r="P27" s="20">
        <f t="shared" si="35"/>
        <v>0</v>
      </c>
      <c r="Q27" s="16">
        <f t="shared" si="8"/>
        <v>21</v>
      </c>
      <c r="R27" s="16"/>
      <c r="S27" s="21">
        <v>4.429003021148036</v>
      </c>
      <c r="T27" s="14">
        <v>1876</v>
      </c>
      <c r="U27" s="22" t="s">
        <v>34</v>
      </c>
      <c r="V27" s="23" t="s">
        <v>34</v>
      </c>
      <c r="W27" s="30">
        <v>0</v>
      </c>
      <c r="X27" s="24">
        <f t="shared" si="9"/>
        <v>0</v>
      </c>
      <c r="Y27" s="25">
        <f t="shared" si="10"/>
        <v>0</v>
      </c>
      <c r="Z27" s="30">
        <v>0</v>
      </c>
      <c r="AA27" s="14" t="s">
        <v>35</v>
      </c>
      <c r="AB27" s="27">
        <f t="shared" si="11"/>
        <v>-0.69</v>
      </c>
      <c r="AC27" s="28">
        <v>2.8666666666666667E-2</v>
      </c>
      <c r="AD27" s="25">
        <f t="shared" si="12"/>
        <v>-1.14724</v>
      </c>
      <c r="AE27" s="25">
        <v>-4.95</v>
      </c>
      <c r="AF27" s="25">
        <v>-4.1189999999999998</v>
      </c>
      <c r="AG27" s="25">
        <v>0</v>
      </c>
    </row>
    <row r="28" spans="1:33" ht="15.75" customHeight="1">
      <c r="A28" s="14" t="s">
        <v>54</v>
      </c>
      <c r="B28" s="14" t="s">
        <v>1845</v>
      </c>
      <c r="C28" s="15">
        <f t="shared" si="4"/>
        <v>26.52</v>
      </c>
      <c r="D28" s="16">
        <v>12</v>
      </c>
      <c r="E28" s="16">
        <v>0</v>
      </c>
      <c r="F28" s="17">
        <v>318.24</v>
      </c>
      <c r="G28" s="17">
        <v>0</v>
      </c>
      <c r="H28" s="18">
        <f t="shared" si="1"/>
        <v>0</v>
      </c>
      <c r="I28" s="18">
        <f t="shared" si="2"/>
        <v>0.50653996983408756</v>
      </c>
      <c r="J28" s="17">
        <f t="shared" si="5"/>
        <v>161.20128000000003</v>
      </c>
      <c r="K28" s="17">
        <f t="shared" si="3"/>
        <v>13.433440000000003</v>
      </c>
      <c r="L28" s="16">
        <v>50</v>
      </c>
      <c r="M28" s="19">
        <f t="shared" si="6"/>
        <v>0.24</v>
      </c>
      <c r="N28" s="16">
        <v>80</v>
      </c>
      <c r="O28" s="20">
        <f t="shared" ref="O28:P28" si="36">D28/7</f>
        <v>1.7142857142857142</v>
      </c>
      <c r="P28" s="20">
        <f t="shared" si="36"/>
        <v>0</v>
      </c>
      <c r="Q28" s="16">
        <f t="shared" si="8"/>
        <v>46</v>
      </c>
      <c r="R28" s="16"/>
      <c r="S28" s="21">
        <v>2.500851788756389</v>
      </c>
      <c r="T28" s="14">
        <v>1568</v>
      </c>
      <c r="U28" s="22">
        <v>44409</v>
      </c>
      <c r="V28" s="23" t="s">
        <v>1846</v>
      </c>
      <c r="W28" s="30">
        <v>0</v>
      </c>
      <c r="X28" s="24">
        <f t="shared" si="9"/>
        <v>0</v>
      </c>
      <c r="Y28" s="25">
        <f t="shared" si="10"/>
        <v>0</v>
      </c>
      <c r="Z28" s="30">
        <v>0</v>
      </c>
      <c r="AA28" s="14" t="s">
        <v>35</v>
      </c>
      <c r="AB28" s="27">
        <f t="shared" si="11"/>
        <v>-0.69</v>
      </c>
      <c r="AC28" s="28">
        <v>2.8666666666666667E-2</v>
      </c>
      <c r="AD28" s="25">
        <f t="shared" si="12"/>
        <v>-0.47471999999999998</v>
      </c>
      <c r="AE28" s="25">
        <v>-4.95</v>
      </c>
      <c r="AF28" s="25">
        <v>-4.1189999999999998</v>
      </c>
      <c r="AG28" s="25">
        <v>0</v>
      </c>
    </row>
    <row r="29" spans="1:33" ht="15.75" customHeight="1">
      <c r="A29" s="14" t="s">
        <v>55</v>
      </c>
      <c r="B29" s="14" t="s">
        <v>1847</v>
      </c>
      <c r="C29" s="15">
        <f t="shared" si="4"/>
        <v>24.1555</v>
      </c>
      <c r="D29" s="16">
        <v>20</v>
      </c>
      <c r="E29" s="16">
        <v>0</v>
      </c>
      <c r="F29" s="17">
        <v>483.11</v>
      </c>
      <c r="G29" s="17">
        <v>-7.0000000000000007E-2</v>
      </c>
      <c r="H29" s="18">
        <f t="shared" si="1"/>
        <v>1.4489453747593717E-4</v>
      </c>
      <c r="I29" s="18">
        <f t="shared" si="2"/>
        <v>0.47277493738486065</v>
      </c>
      <c r="J29" s="17">
        <f t="shared" si="5"/>
        <v>228.40230000000003</v>
      </c>
      <c r="K29" s="17">
        <f t="shared" si="3"/>
        <v>11.420115000000001</v>
      </c>
      <c r="L29" s="16">
        <v>49</v>
      </c>
      <c r="M29" s="19">
        <f t="shared" si="6"/>
        <v>0.40816326530612246</v>
      </c>
      <c r="N29" s="16">
        <v>63</v>
      </c>
      <c r="O29" s="20">
        <f t="shared" ref="O29:P29" si="37">D29/7</f>
        <v>2.8571428571428572</v>
      </c>
      <c r="P29" s="20">
        <f t="shared" si="37"/>
        <v>0</v>
      </c>
      <c r="Q29" s="16">
        <f t="shared" si="8"/>
        <v>22</v>
      </c>
      <c r="R29" s="16"/>
      <c r="S29" s="21">
        <v>3.1620370370370372</v>
      </c>
      <c r="T29" s="14">
        <v>1568</v>
      </c>
      <c r="U29" s="22">
        <v>44409</v>
      </c>
      <c r="V29" s="23" t="s">
        <v>1846</v>
      </c>
      <c r="W29" s="30">
        <v>0</v>
      </c>
      <c r="X29" s="24">
        <f t="shared" si="9"/>
        <v>0</v>
      </c>
      <c r="Y29" s="25">
        <f t="shared" si="10"/>
        <v>0</v>
      </c>
      <c r="Z29" s="30">
        <v>0</v>
      </c>
      <c r="AA29" s="14" t="s">
        <v>35</v>
      </c>
      <c r="AB29" s="27">
        <f t="shared" si="11"/>
        <v>-0.69</v>
      </c>
      <c r="AC29" s="28">
        <v>2.8666666666666667E-2</v>
      </c>
      <c r="AD29" s="25">
        <f t="shared" si="12"/>
        <v>-0.7911999999999999</v>
      </c>
      <c r="AE29" s="25">
        <v>-4.95</v>
      </c>
      <c r="AF29" s="25">
        <v>-4.1189999999999998</v>
      </c>
      <c r="AG29" s="25">
        <v>0</v>
      </c>
    </row>
    <row r="30" spans="1:33" ht="15.75" customHeight="1">
      <c r="A30" s="14" t="s">
        <v>57</v>
      </c>
      <c r="B30" s="14" t="s">
        <v>1848</v>
      </c>
      <c r="C30" s="15">
        <f t="shared" si="4"/>
        <v>24.361052631578954</v>
      </c>
      <c r="D30" s="16">
        <v>19</v>
      </c>
      <c r="E30" s="16">
        <v>8</v>
      </c>
      <c r="F30" s="17">
        <v>462.86000000000013</v>
      </c>
      <c r="G30" s="17">
        <v>-7.0000000000000007E-2</v>
      </c>
      <c r="H30" s="18">
        <f t="shared" si="1"/>
        <v>1.5123363436028169E-4</v>
      </c>
      <c r="I30" s="18">
        <f t="shared" si="2"/>
        <v>0.47765170340923824</v>
      </c>
      <c r="J30" s="17">
        <f t="shared" si="5"/>
        <v>221.08586744000007</v>
      </c>
      <c r="K30" s="17">
        <f t="shared" si="3"/>
        <v>11.636098286315793</v>
      </c>
      <c r="L30" s="16">
        <v>32</v>
      </c>
      <c r="M30" s="19">
        <f t="shared" si="6"/>
        <v>0.59375</v>
      </c>
      <c r="N30" s="16">
        <v>45</v>
      </c>
      <c r="O30" s="20">
        <f t="shared" ref="O30:P30" si="38">D30/7</f>
        <v>2.7142857142857144</v>
      </c>
      <c r="P30" s="20">
        <f t="shared" si="38"/>
        <v>1.1428571428571428</v>
      </c>
      <c r="Q30" s="16">
        <f t="shared" si="8"/>
        <v>11</v>
      </c>
      <c r="R30" s="16"/>
      <c r="S30" s="21">
        <v>3.8058252427184471</v>
      </c>
      <c r="T30" s="14">
        <v>1274</v>
      </c>
      <c r="U30" s="22">
        <v>266</v>
      </c>
      <c r="V30" s="23" t="s">
        <v>1846</v>
      </c>
      <c r="W30" s="30">
        <v>0</v>
      </c>
      <c r="X30" s="24">
        <f t="shared" si="9"/>
        <v>0</v>
      </c>
      <c r="Y30" s="25">
        <f t="shared" si="10"/>
        <v>0</v>
      </c>
      <c r="Z30" s="30">
        <v>0</v>
      </c>
      <c r="AA30" s="14" t="s">
        <v>35</v>
      </c>
      <c r="AB30" s="27">
        <f t="shared" si="11"/>
        <v>-0.69</v>
      </c>
      <c r="AC30" s="28">
        <v>2.8666666666666667E-2</v>
      </c>
      <c r="AD30" s="25">
        <f t="shared" si="12"/>
        <v>-0.75163999999999997</v>
      </c>
      <c r="AE30" s="25">
        <v>-4.95</v>
      </c>
      <c r="AF30" s="25">
        <v>-4.0775522400000002</v>
      </c>
      <c r="AG30" s="25">
        <v>0</v>
      </c>
    </row>
    <row r="31" spans="1:33" ht="15.75" customHeight="1">
      <c r="A31" s="14" t="s">
        <v>58</v>
      </c>
      <c r="B31" s="14" t="s">
        <v>1849</v>
      </c>
      <c r="C31" s="15">
        <f t="shared" si="4"/>
        <v>24.93</v>
      </c>
      <c r="D31" s="16">
        <v>4</v>
      </c>
      <c r="E31" s="16">
        <v>0</v>
      </c>
      <c r="F31" s="17">
        <v>99.72</v>
      </c>
      <c r="G31" s="17">
        <v>0</v>
      </c>
      <c r="H31" s="18">
        <f t="shared" si="1"/>
        <v>0</v>
      </c>
      <c r="I31" s="18">
        <f t="shared" si="2"/>
        <v>0.48629714239871646</v>
      </c>
      <c r="J31" s="17">
        <f t="shared" si="5"/>
        <v>48.493551040000007</v>
      </c>
      <c r="K31" s="17">
        <f t="shared" si="3"/>
        <v>12.123387760000002</v>
      </c>
      <c r="L31" s="16">
        <v>38</v>
      </c>
      <c r="M31" s="19">
        <f t="shared" si="6"/>
        <v>0.10526315789473684</v>
      </c>
      <c r="N31" s="16">
        <v>35</v>
      </c>
      <c r="O31" s="20">
        <f t="shared" ref="O31:P31" si="39">D31/7</f>
        <v>0.5714285714285714</v>
      </c>
      <c r="P31" s="20">
        <f t="shared" si="39"/>
        <v>0</v>
      </c>
      <c r="Q31" s="16">
        <f t="shared" si="8"/>
        <v>61</v>
      </c>
      <c r="R31" s="16"/>
      <c r="S31" s="21">
        <v>4.8221070811744298</v>
      </c>
      <c r="T31" s="14">
        <v>504</v>
      </c>
      <c r="U31" s="22">
        <v>266</v>
      </c>
      <c r="V31" s="23" t="s">
        <v>1850</v>
      </c>
      <c r="W31" s="30">
        <v>0</v>
      </c>
      <c r="X31" s="24">
        <f t="shared" si="9"/>
        <v>0</v>
      </c>
      <c r="Y31" s="25">
        <f t="shared" si="10"/>
        <v>0</v>
      </c>
      <c r="Z31" s="30">
        <v>0</v>
      </c>
      <c r="AA31" s="14" t="s">
        <v>35</v>
      </c>
      <c r="AB31" s="27">
        <f t="shared" si="11"/>
        <v>-0.69</v>
      </c>
      <c r="AC31" s="28">
        <v>2.8666666666666667E-2</v>
      </c>
      <c r="AD31" s="25">
        <f t="shared" si="12"/>
        <v>-0.15823999999999999</v>
      </c>
      <c r="AE31" s="25">
        <v>-4.95</v>
      </c>
      <c r="AF31" s="25">
        <v>-4.0775522399999993</v>
      </c>
      <c r="AG31" s="25">
        <v>0</v>
      </c>
    </row>
    <row r="32" spans="1:33" ht="15.75" customHeight="1">
      <c r="A32" s="14" t="s">
        <v>60</v>
      </c>
      <c r="B32" s="14"/>
      <c r="C32" s="15">
        <f t="shared" si="4"/>
        <v>25.95</v>
      </c>
      <c r="D32" s="16">
        <v>1</v>
      </c>
      <c r="E32" s="16">
        <v>0</v>
      </c>
      <c r="F32" s="17">
        <v>25.95</v>
      </c>
      <c r="G32" s="17">
        <v>0</v>
      </c>
      <c r="H32" s="18">
        <f t="shared" si="1"/>
        <v>0</v>
      </c>
      <c r="I32" s="18">
        <f t="shared" si="2"/>
        <v>0.50059297726396912</v>
      </c>
      <c r="J32" s="17">
        <f t="shared" si="5"/>
        <v>12.990387759999999</v>
      </c>
      <c r="K32" s="17">
        <f t="shared" si="3"/>
        <v>12.990387759999999</v>
      </c>
      <c r="L32" s="16">
        <v>40</v>
      </c>
      <c r="M32" s="19">
        <f t="shared" si="6"/>
        <v>2.5000000000000001E-2</v>
      </c>
      <c r="N32" s="16">
        <v>34</v>
      </c>
      <c r="O32" s="20">
        <f t="shared" ref="O32:P32" si="40">D32/7</f>
        <v>0.14285714285714285</v>
      </c>
      <c r="P32" s="20">
        <f t="shared" si="40"/>
        <v>0</v>
      </c>
      <c r="Q32" s="16">
        <f t="shared" si="8"/>
        <v>238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2.2768701633705928</v>
      </c>
      <c r="T32" s="14">
        <f ca="1">IFERROR(__xludf.DUMMYFUNCTION("IFERROR(VLOOKUP($B$2,IMPORTRANGE(""https://docs.google.com/spreadsheets/d/1KiWZV1ko8G7lnRucBRBd29jj3Be6ltMfljMDqzOkQmI/edit#gid=1381463014"",""Lookup!A:D""),4,FALSE),"""")"),504)</f>
        <v>504</v>
      </c>
      <c r="U32" s="22">
        <f ca="1">IFERROR(__xludf.DUMMYFUNCTION("IFERROR(VLOOKUP($B$2,IMPORTRANGE(""https://docs.google.com/spreadsheets/d/1KiWZV1ko8G7lnRucBRBd29jj3Be6ltMfljMDqzOkQmI/edit#gid=1381463014"",""Lookup!A:D""),3,FALSE),"""")"),266)</f>
        <v>266</v>
      </c>
      <c r="V32" s="23" t="str">
        <f ca="1">IFERROR(__xludf.DUMMYFUNCTION("IFERROR(VLOOKUP($B$2,IMPORTRANGE(""https://docs.google.com/spreadsheets/d/1KiWZV1ko8G7lnRucBRBd29jj3Be6ltMfljMDqzOkQmI/edit#gid=1381463014"",""Lookup!A:D""),2,FALSE),"""")"),"| 414  - 266 units 08/02")</f>
        <v>| 414  - 266 units 08/02</v>
      </c>
      <c r="W32" s="30">
        <v>0</v>
      </c>
      <c r="X32" s="24">
        <f t="shared" si="9"/>
        <v>0</v>
      </c>
      <c r="Y32" s="25">
        <f t="shared" si="10"/>
        <v>0</v>
      </c>
      <c r="Z32" s="30">
        <v>0</v>
      </c>
      <c r="AA32" s="14" t="s">
        <v>35</v>
      </c>
      <c r="AB32" s="27">
        <f t="shared" si="11"/>
        <v>-0.69</v>
      </c>
      <c r="AC32" s="28">
        <v>2.8666666666666667E-2</v>
      </c>
      <c r="AD32" s="25">
        <f t="shared" si="12"/>
        <v>-3.9559999999999998E-2</v>
      </c>
      <c r="AE32" s="25">
        <v>-4.95</v>
      </c>
      <c r="AF32" s="25">
        <v>-4.0775522400000002</v>
      </c>
      <c r="AG32" s="25">
        <v>0</v>
      </c>
    </row>
    <row r="33" spans="1:33" ht="15.75" customHeight="1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16"/>
      <c r="S33" s="21"/>
      <c r="T33" s="31"/>
      <c r="U33" s="36"/>
      <c r="V33" s="1"/>
      <c r="W33" s="31"/>
      <c r="X33" s="31"/>
      <c r="Y33" s="31"/>
      <c r="Z33" s="31"/>
      <c r="AA33" s="2"/>
      <c r="AB33" s="31"/>
      <c r="AC33" s="31"/>
      <c r="AD33" s="31"/>
      <c r="AE33" s="37"/>
      <c r="AF33" s="37"/>
      <c r="AG33" s="37"/>
    </row>
    <row r="34" spans="1:33" ht="15.75" customHeight="1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6"/>
      <c r="V34" s="1"/>
      <c r="W34" s="31"/>
      <c r="X34" s="31"/>
      <c r="Y34" s="31"/>
      <c r="Z34" s="31"/>
      <c r="AA34" s="2"/>
      <c r="AB34" s="31"/>
      <c r="AC34" s="31"/>
      <c r="AD34" s="31"/>
      <c r="AE34" s="37"/>
      <c r="AF34" s="37"/>
      <c r="AG34" s="37"/>
    </row>
    <row r="35" spans="1:33" ht="15.75" customHeight="1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6"/>
      <c r="V35" s="1"/>
      <c r="W35" s="31"/>
      <c r="X35" s="31"/>
      <c r="Y35" s="31"/>
      <c r="Z35" s="31"/>
      <c r="AA35" s="2"/>
      <c r="AB35" s="31"/>
      <c r="AC35" s="31"/>
      <c r="AD35" s="31"/>
      <c r="AE35" s="37"/>
      <c r="AF35" s="37"/>
      <c r="AG35" s="37"/>
    </row>
    <row r="36" spans="1:33" ht="15.75" customHeight="1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6"/>
      <c r="V36" s="1"/>
      <c r="W36" s="31"/>
      <c r="X36" s="31"/>
      <c r="Y36" s="31"/>
      <c r="Z36" s="31"/>
      <c r="AA36" s="2"/>
      <c r="AB36" s="31"/>
      <c r="AC36" s="31"/>
      <c r="AD36" s="31"/>
      <c r="AE36" s="37"/>
      <c r="AF36" s="37"/>
      <c r="AG36" s="37"/>
    </row>
    <row r="37" spans="1:33" ht="15.75" customHeight="1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6"/>
      <c r="V37" s="1"/>
      <c r="W37" s="31"/>
      <c r="X37" s="31"/>
      <c r="Y37" s="31"/>
      <c r="Z37" s="31"/>
      <c r="AA37" s="2"/>
      <c r="AB37" s="31"/>
      <c r="AC37" s="31"/>
      <c r="AD37" s="31"/>
      <c r="AE37" s="37"/>
      <c r="AF37" s="37"/>
      <c r="AG37" s="37"/>
    </row>
    <row r="38" spans="1:33" ht="15.75" customHeight="1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6"/>
      <c r="V38" s="1"/>
      <c r="W38" s="31"/>
      <c r="X38" s="31"/>
      <c r="Y38" s="31"/>
      <c r="Z38" s="31"/>
      <c r="AA38" s="2"/>
      <c r="AB38" s="31"/>
      <c r="AC38" s="31"/>
      <c r="AD38" s="31"/>
      <c r="AE38" s="37"/>
      <c r="AF38" s="37"/>
      <c r="AG38" s="37"/>
    </row>
    <row r="39" spans="1:33" ht="15.75" customHeight="1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6"/>
      <c r="V39" s="1"/>
      <c r="W39" s="31"/>
      <c r="X39" s="31"/>
      <c r="Y39" s="31"/>
      <c r="Z39" s="31"/>
      <c r="AA39" s="2"/>
      <c r="AB39" s="31"/>
      <c r="AC39" s="31"/>
      <c r="AD39" s="31"/>
      <c r="AE39" s="37"/>
      <c r="AF39" s="37"/>
      <c r="AG39" s="37"/>
    </row>
    <row r="40" spans="1:33" ht="15.75" customHeight="1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6"/>
      <c r="V40" s="1"/>
      <c r="W40" s="31"/>
      <c r="X40" s="31"/>
      <c r="Y40" s="31"/>
      <c r="Z40" s="31"/>
      <c r="AA40" s="2"/>
      <c r="AB40" s="31"/>
      <c r="AC40" s="31"/>
      <c r="AD40" s="31"/>
      <c r="AE40" s="37"/>
      <c r="AF40" s="37"/>
      <c r="AG40" s="37"/>
    </row>
    <row r="41" spans="1:33" ht="15.75" customHeight="1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6"/>
      <c r="V41" s="1"/>
      <c r="W41" s="31"/>
      <c r="X41" s="31"/>
      <c r="Y41" s="31"/>
      <c r="Z41" s="31"/>
      <c r="AA41" s="2"/>
      <c r="AB41" s="31"/>
      <c r="AC41" s="31"/>
      <c r="AD41" s="31"/>
      <c r="AE41" s="37"/>
      <c r="AF41" s="37"/>
      <c r="AG41" s="37"/>
    </row>
    <row r="42" spans="1:33" ht="15.75" customHeight="1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6"/>
      <c r="V42" s="1"/>
      <c r="W42" s="31"/>
      <c r="X42" s="31"/>
      <c r="Y42" s="31"/>
      <c r="Z42" s="31"/>
      <c r="AA42" s="2"/>
      <c r="AB42" s="31"/>
      <c r="AC42" s="31"/>
      <c r="AD42" s="31"/>
      <c r="AE42" s="37"/>
      <c r="AF42" s="37"/>
      <c r="AG42" s="37"/>
    </row>
    <row r="43" spans="1:33" ht="15.75" customHeight="1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6"/>
      <c r="V43" s="1"/>
      <c r="W43" s="31"/>
      <c r="X43" s="31"/>
      <c r="Y43" s="31"/>
      <c r="Z43" s="31"/>
      <c r="AA43" s="2"/>
      <c r="AB43" s="31"/>
      <c r="AC43" s="31"/>
      <c r="AD43" s="31"/>
      <c r="AE43" s="37"/>
      <c r="AF43" s="37"/>
      <c r="AG43" s="37"/>
    </row>
    <row r="44" spans="1:33" ht="15.75" customHeight="1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6"/>
      <c r="V44" s="1"/>
      <c r="W44" s="31"/>
      <c r="X44" s="31"/>
      <c r="Y44" s="31"/>
      <c r="Z44" s="31"/>
      <c r="AA44" s="2"/>
      <c r="AB44" s="31"/>
      <c r="AC44" s="31"/>
      <c r="AD44" s="31"/>
      <c r="AE44" s="37"/>
      <c r="AF44" s="37"/>
      <c r="AG44" s="37"/>
    </row>
    <row r="45" spans="1:33" ht="15.75" customHeight="1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6"/>
      <c r="V45" s="1"/>
      <c r="W45" s="31"/>
      <c r="X45" s="31"/>
      <c r="Y45" s="31"/>
      <c r="Z45" s="31"/>
      <c r="AA45" s="2"/>
      <c r="AB45" s="31"/>
      <c r="AC45" s="31"/>
      <c r="AD45" s="31"/>
      <c r="AE45" s="37"/>
      <c r="AF45" s="37"/>
      <c r="AG45" s="37"/>
    </row>
    <row r="46" spans="1:33" ht="15.75" customHeight="1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6"/>
      <c r="V46" s="1"/>
      <c r="W46" s="31"/>
      <c r="X46" s="31"/>
      <c r="Y46" s="31"/>
      <c r="Z46" s="31"/>
      <c r="AA46" s="2"/>
      <c r="AB46" s="31"/>
      <c r="AC46" s="31"/>
      <c r="AD46" s="31"/>
      <c r="AE46" s="37"/>
      <c r="AF46" s="37"/>
      <c r="AG46" s="37"/>
    </row>
    <row r="47" spans="1:33" ht="15.75" customHeight="1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6"/>
      <c r="V47" s="1"/>
      <c r="W47" s="31"/>
      <c r="X47" s="31"/>
      <c r="Y47" s="31"/>
      <c r="Z47" s="31"/>
      <c r="AA47" s="2"/>
      <c r="AB47" s="31"/>
      <c r="AC47" s="31"/>
      <c r="AD47" s="31"/>
      <c r="AE47" s="37"/>
      <c r="AF47" s="37"/>
      <c r="AG47" s="37"/>
    </row>
    <row r="48" spans="1:33" ht="15.75" customHeight="1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6"/>
      <c r="V48" s="1"/>
      <c r="W48" s="31"/>
      <c r="X48" s="31"/>
      <c r="Y48" s="31"/>
      <c r="Z48" s="31"/>
      <c r="AA48" s="2"/>
      <c r="AB48" s="31"/>
      <c r="AC48" s="31"/>
      <c r="AD48" s="31"/>
      <c r="AE48" s="37"/>
      <c r="AF48" s="37"/>
      <c r="AG48" s="37"/>
    </row>
    <row r="49" spans="1:33" ht="15.75" customHeight="1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6"/>
      <c r="V49" s="1"/>
      <c r="W49" s="31"/>
      <c r="X49" s="31"/>
      <c r="Y49" s="31"/>
      <c r="Z49" s="31"/>
      <c r="AA49" s="2"/>
      <c r="AB49" s="31"/>
      <c r="AC49" s="31"/>
      <c r="AD49" s="31"/>
      <c r="AE49" s="37"/>
      <c r="AF49" s="37"/>
      <c r="AG49" s="37"/>
    </row>
    <row r="50" spans="1:33" ht="15.75" customHeight="1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6"/>
      <c r="V50" s="1"/>
      <c r="W50" s="31"/>
      <c r="X50" s="31"/>
      <c r="Y50" s="31"/>
      <c r="Z50" s="31"/>
      <c r="AA50" s="2"/>
      <c r="AB50" s="31"/>
      <c r="AC50" s="31"/>
      <c r="AD50" s="31"/>
      <c r="AE50" s="37"/>
      <c r="AF50" s="37"/>
      <c r="AG50" s="37"/>
    </row>
    <row r="51" spans="1:33" ht="15.75" customHeight="1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6"/>
      <c r="V51" s="1"/>
      <c r="W51" s="31"/>
      <c r="X51" s="31"/>
      <c r="Y51" s="31"/>
      <c r="Z51" s="31"/>
      <c r="AA51" s="2"/>
      <c r="AB51" s="31"/>
      <c r="AC51" s="31"/>
      <c r="AD51" s="31"/>
      <c r="AE51" s="37"/>
      <c r="AF51" s="37"/>
      <c r="AG51" s="37"/>
    </row>
    <row r="52" spans="1:33" ht="15.75" customHeight="1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6"/>
      <c r="V52" s="1"/>
      <c r="W52" s="31"/>
      <c r="X52" s="31"/>
      <c r="Y52" s="31"/>
      <c r="Z52" s="31"/>
      <c r="AA52" s="2"/>
      <c r="AB52" s="31"/>
      <c r="AC52" s="31"/>
      <c r="AD52" s="31"/>
      <c r="AE52" s="37"/>
      <c r="AF52" s="37"/>
      <c r="AG52" s="37"/>
    </row>
    <row r="53" spans="1:33" ht="15.75" customHeight="1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6"/>
      <c r="V53" s="1"/>
      <c r="W53" s="31"/>
      <c r="X53" s="31"/>
      <c r="Y53" s="31"/>
      <c r="Z53" s="31"/>
      <c r="AA53" s="2"/>
      <c r="AB53" s="31"/>
      <c r="AC53" s="31"/>
      <c r="AD53" s="31"/>
      <c r="AE53" s="37"/>
      <c r="AF53" s="37"/>
      <c r="AG53" s="37"/>
    </row>
    <row r="54" spans="1:33" ht="15.75" customHeight="1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6"/>
      <c r="V54" s="1"/>
      <c r="W54" s="31"/>
      <c r="X54" s="31"/>
      <c r="Y54" s="31"/>
      <c r="Z54" s="31"/>
      <c r="AA54" s="2"/>
      <c r="AB54" s="31"/>
      <c r="AC54" s="31"/>
      <c r="AD54" s="31"/>
      <c r="AE54" s="37"/>
      <c r="AF54" s="37"/>
      <c r="AG54" s="37"/>
    </row>
    <row r="55" spans="1:33" ht="15.75" customHeight="1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6"/>
      <c r="V55" s="1"/>
      <c r="W55" s="31"/>
      <c r="X55" s="31"/>
      <c r="Y55" s="31"/>
      <c r="Z55" s="31"/>
      <c r="AA55" s="2"/>
      <c r="AB55" s="31"/>
      <c r="AC55" s="31"/>
      <c r="AD55" s="31"/>
      <c r="AE55" s="37"/>
      <c r="AF55" s="37"/>
      <c r="AG55" s="37"/>
    </row>
    <row r="56" spans="1:33" ht="15.75" customHeight="1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6"/>
      <c r="V56" s="1"/>
      <c r="W56" s="31"/>
      <c r="X56" s="31"/>
      <c r="Y56" s="31"/>
      <c r="Z56" s="31"/>
      <c r="AA56" s="2"/>
      <c r="AB56" s="31"/>
      <c r="AC56" s="31"/>
      <c r="AD56" s="31"/>
      <c r="AE56" s="37"/>
      <c r="AF56" s="37"/>
      <c r="AG56" s="37"/>
    </row>
    <row r="57" spans="1:33" ht="15.75" customHeight="1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6"/>
      <c r="V57" s="1"/>
      <c r="W57" s="31"/>
      <c r="X57" s="31"/>
      <c r="Y57" s="31"/>
      <c r="Z57" s="31"/>
      <c r="AA57" s="2"/>
      <c r="AB57" s="31"/>
      <c r="AC57" s="31"/>
      <c r="AD57" s="31"/>
      <c r="AE57" s="37"/>
      <c r="AF57" s="37"/>
      <c r="AG57" s="37"/>
    </row>
    <row r="58" spans="1:33" ht="15.75" customHeight="1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6"/>
      <c r="V58" s="1"/>
      <c r="W58" s="31"/>
      <c r="X58" s="31"/>
      <c r="Y58" s="31"/>
      <c r="Z58" s="31"/>
      <c r="AA58" s="2"/>
      <c r="AB58" s="31"/>
      <c r="AC58" s="31"/>
      <c r="AD58" s="31"/>
      <c r="AE58" s="37"/>
      <c r="AF58" s="37"/>
      <c r="AG58" s="37"/>
    </row>
    <row r="59" spans="1:33" ht="15.75" customHeight="1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6"/>
      <c r="V59" s="1"/>
      <c r="W59" s="31"/>
      <c r="X59" s="31"/>
      <c r="Y59" s="31"/>
      <c r="Z59" s="31"/>
      <c r="AA59" s="2"/>
      <c r="AB59" s="31"/>
      <c r="AC59" s="31"/>
      <c r="AD59" s="31"/>
      <c r="AE59" s="37"/>
      <c r="AF59" s="37"/>
      <c r="AG59" s="37"/>
    </row>
    <row r="60" spans="1:33" ht="15.75" customHeight="1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6"/>
      <c r="V60" s="1"/>
      <c r="W60" s="31"/>
      <c r="X60" s="31"/>
      <c r="Y60" s="31"/>
      <c r="Z60" s="31"/>
      <c r="AA60" s="2"/>
      <c r="AB60" s="31"/>
      <c r="AC60" s="31"/>
      <c r="AD60" s="31"/>
      <c r="AE60" s="37"/>
      <c r="AF60" s="37"/>
      <c r="AG60" s="37"/>
    </row>
    <row r="61" spans="1:33" ht="15.75" customHeight="1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6"/>
      <c r="V61" s="1"/>
      <c r="W61" s="31"/>
      <c r="X61" s="31"/>
      <c r="Y61" s="31"/>
      <c r="Z61" s="31"/>
      <c r="AA61" s="2"/>
      <c r="AB61" s="31"/>
      <c r="AC61" s="31"/>
      <c r="AD61" s="31"/>
      <c r="AE61" s="37"/>
      <c r="AF61" s="37"/>
      <c r="AG61" s="37"/>
    </row>
    <row r="62" spans="1:33" ht="15.75" customHeight="1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6"/>
      <c r="V62" s="1"/>
      <c r="W62" s="31"/>
      <c r="X62" s="31"/>
      <c r="Y62" s="31"/>
      <c r="Z62" s="31"/>
      <c r="AA62" s="2"/>
      <c r="AB62" s="31"/>
      <c r="AC62" s="31"/>
      <c r="AD62" s="31"/>
      <c r="AE62" s="37"/>
      <c r="AF62" s="37"/>
      <c r="AG62" s="37"/>
    </row>
    <row r="63" spans="1:33" ht="15.75" customHeight="1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6"/>
      <c r="V63" s="1"/>
      <c r="W63" s="31"/>
      <c r="X63" s="31"/>
      <c r="Y63" s="31"/>
      <c r="Z63" s="31"/>
      <c r="AA63" s="2"/>
      <c r="AB63" s="31"/>
      <c r="AC63" s="31"/>
      <c r="AD63" s="31"/>
      <c r="AE63" s="37"/>
      <c r="AF63" s="37"/>
      <c r="AG63" s="37"/>
    </row>
    <row r="64" spans="1:33" ht="15.75" customHeight="1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6"/>
      <c r="V64" s="1"/>
      <c r="W64" s="31"/>
      <c r="X64" s="31"/>
      <c r="Y64" s="31"/>
      <c r="Z64" s="31"/>
      <c r="AA64" s="2"/>
      <c r="AB64" s="31"/>
      <c r="AC64" s="31"/>
      <c r="AD64" s="31"/>
      <c r="AE64" s="37"/>
      <c r="AF64" s="37"/>
      <c r="AG64" s="37"/>
    </row>
    <row r="65" spans="1:33" ht="15.75" customHeight="1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6"/>
      <c r="V65" s="1"/>
      <c r="W65" s="31"/>
      <c r="X65" s="31"/>
      <c r="Y65" s="31"/>
      <c r="Z65" s="31"/>
      <c r="AA65" s="2"/>
      <c r="AB65" s="31"/>
      <c r="AC65" s="31"/>
      <c r="AD65" s="31"/>
      <c r="AE65" s="37"/>
      <c r="AF65" s="37"/>
      <c r="AG65" s="37"/>
    </row>
    <row r="66" spans="1:33" ht="15.75" customHeight="1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6"/>
      <c r="V66" s="1"/>
      <c r="W66" s="31"/>
      <c r="X66" s="31"/>
      <c r="Y66" s="31"/>
      <c r="Z66" s="31"/>
      <c r="AA66" s="2"/>
      <c r="AB66" s="31"/>
      <c r="AC66" s="31"/>
      <c r="AD66" s="31"/>
      <c r="AE66" s="37"/>
      <c r="AF66" s="37"/>
      <c r="AG66" s="37"/>
    </row>
    <row r="67" spans="1:33" ht="15.75" customHeight="1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6"/>
      <c r="V67" s="1"/>
      <c r="W67" s="31"/>
      <c r="X67" s="31"/>
      <c r="Y67" s="31"/>
      <c r="Z67" s="31"/>
      <c r="AA67" s="2"/>
      <c r="AB67" s="31"/>
      <c r="AC67" s="31"/>
      <c r="AD67" s="31"/>
      <c r="AE67" s="37"/>
      <c r="AF67" s="37"/>
      <c r="AG67" s="37"/>
    </row>
    <row r="68" spans="1:33" ht="15.75" customHeight="1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6"/>
      <c r="V68" s="1"/>
      <c r="W68" s="31"/>
      <c r="X68" s="31"/>
      <c r="Y68" s="31"/>
      <c r="Z68" s="31"/>
      <c r="AA68" s="2"/>
      <c r="AB68" s="31"/>
      <c r="AC68" s="31"/>
      <c r="AD68" s="31"/>
      <c r="AE68" s="37"/>
      <c r="AF68" s="37"/>
      <c r="AG68" s="37"/>
    </row>
    <row r="69" spans="1:33" ht="15.75" customHeight="1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6"/>
      <c r="V69" s="1"/>
      <c r="W69" s="31"/>
      <c r="X69" s="31"/>
      <c r="Y69" s="31"/>
      <c r="Z69" s="31"/>
      <c r="AA69" s="2"/>
      <c r="AB69" s="31"/>
      <c r="AC69" s="31"/>
      <c r="AD69" s="31"/>
      <c r="AE69" s="37"/>
      <c r="AF69" s="37"/>
      <c r="AG69" s="37"/>
    </row>
    <row r="70" spans="1:33" ht="15.75" customHeight="1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6"/>
      <c r="V70" s="1"/>
      <c r="W70" s="31"/>
      <c r="X70" s="31"/>
      <c r="Y70" s="31"/>
      <c r="Z70" s="31"/>
      <c r="AA70" s="2"/>
      <c r="AB70" s="31"/>
      <c r="AC70" s="31"/>
      <c r="AD70" s="31"/>
      <c r="AE70" s="37"/>
      <c r="AF70" s="37"/>
      <c r="AG70" s="37"/>
    </row>
    <row r="71" spans="1:33" ht="15.75" customHeight="1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6"/>
      <c r="V71" s="1"/>
      <c r="W71" s="31"/>
      <c r="X71" s="31"/>
      <c r="Y71" s="31"/>
      <c r="Z71" s="31"/>
      <c r="AA71" s="2"/>
      <c r="AB71" s="31"/>
      <c r="AC71" s="31"/>
      <c r="AD71" s="31"/>
      <c r="AE71" s="37"/>
      <c r="AF71" s="37"/>
      <c r="AG71" s="37"/>
    </row>
    <row r="72" spans="1:33" ht="15.75" customHeight="1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6"/>
      <c r="V72" s="1"/>
      <c r="W72" s="31"/>
      <c r="X72" s="31"/>
      <c r="Y72" s="31"/>
      <c r="Z72" s="31"/>
      <c r="AA72" s="2"/>
      <c r="AB72" s="31"/>
      <c r="AC72" s="31"/>
      <c r="AD72" s="31"/>
      <c r="AE72" s="37"/>
      <c r="AF72" s="37"/>
      <c r="AG72" s="37"/>
    </row>
    <row r="73" spans="1:33" ht="15.75" customHeight="1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6"/>
      <c r="V73" s="1"/>
      <c r="W73" s="31"/>
      <c r="X73" s="31"/>
      <c r="Y73" s="31"/>
      <c r="Z73" s="31"/>
      <c r="AA73" s="2"/>
      <c r="AB73" s="31"/>
      <c r="AC73" s="31"/>
      <c r="AD73" s="31"/>
      <c r="AE73" s="37"/>
      <c r="AF73" s="37"/>
      <c r="AG73" s="37"/>
    </row>
    <row r="74" spans="1:33" ht="15.75" customHeight="1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6"/>
      <c r="V74" s="1"/>
      <c r="W74" s="31"/>
      <c r="X74" s="31"/>
      <c r="Y74" s="31"/>
      <c r="Z74" s="31"/>
      <c r="AA74" s="2"/>
      <c r="AB74" s="31"/>
      <c r="AC74" s="31"/>
      <c r="AD74" s="31"/>
      <c r="AE74" s="37"/>
      <c r="AF74" s="37"/>
      <c r="AG74" s="37"/>
    </row>
    <row r="75" spans="1:33" ht="15.75" customHeight="1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6"/>
      <c r="V75" s="1"/>
      <c r="W75" s="31"/>
      <c r="X75" s="31"/>
      <c r="Y75" s="31"/>
      <c r="Z75" s="31"/>
      <c r="AA75" s="2"/>
      <c r="AB75" s="31"/>
      <c r="AC75" s="31"/>
      <c r="AD75" s="31"/>
      <c r="AE75" s="37"/>
      <c r="AF75" s="37"/>
      <c r="AG75" s="37"/>
    </row>
    <row r="76" spans="1:33" ht="15.75" customHeight="1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6"/>
      <c r="V76" s="1"/>
      <c r="W76" s="31"/>
      <c r="X76" s="31"/>
      <c r="Y76" s="31"/>
      <c r="Z76" s="31"/>
      <c r="AA76" s="2"/>
      <c r="AB76" s="31"/>
      <c r="AC76" s="31"/>
      <c r="AD76" s="31"/>
      <c r="AE76" s="37"/>
      <c r="AF76" s="37"/>
      <c r="AG76" s="37"/>
    </row>
    <row r="77" spans="1:33" ht="15.75" customHeight="1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6"/>
      <c r="V77" s="1"/>
      <c r="W77" s="31"/>
      <c r="X77" s="31"/>
      <c r="Y77" s="31"/>
      <c r="Z77" s="31"/>
      <c r="AA77" s="2"/>
      <c r="AB77" s="31"/>
      <c r="AC77" s="31"/>
      <c r="AD77" s="31"/>
      <c r="AE77" s="37"/>
      <c r="AF77" s="37"/>
      <c r="AG77" s="37"/>
    </row>
    <row r="78" spans="1:33" ht="15.75" customHeight="1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6"/>
      <c r="V78" s="1"/>
      <c r="W78" s="31"/>
      <c r="X78" s="31"/>
      <c r="Y78" s="31"/>
      <c r="Z78" s="31"/>
      <c r="AA78" s="2"/>
      <c r="AB78" s="31"/>
      <c r="AC78" s="31"/>
      <c r="AD78" s="31"/>
      <c r="AE78" s="37"/>
      <c r="AF78" s="37"/>
      <c r="AG78" s="37"/>
    </row>
    <row r="79" spans="1:33" ht="15.75" customHeight="1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6"/>
      <c r="V79" s="1"/>
      <c r="W79" s="31"/>
      <c r="X79" s="31"/>
      <c r="Y79" s="31"/>
      <c r="Z79" s="31"/>
      <c r="AA79" s="2"/>
      <c r="AB79" s="31"/>
      <c r="AC79" s="31"/>
      <c r="AD79" s="31"/>
      <c r="AE79" s="37"/>
      <c r="AF79" s="37"/>
      <c r="AG79" s="37"/>
    </row>
    <row r="80" spans="1:33" ht="15.75" customHeight="1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6"/>
      <c r="V80" s="1"/>
      <c r="W80" s="31"/>
      <c r="X80" s="31"/>
      <c r="Y80" s="31"/>
      <c r="Z80" s="31"/>
      <c r="AA80" s="2"/>
      <c r="AB80" s="31"/>
      <c r="AC80" s="31"/>
      <c r="AD80" s="31"/>
      <c r="AE80" s="37"/>
      <c r="AF80" s="37"/>
      <c r="AG80" s="37"/>
    </row>
    <row r="81" spans="1:33" ht="15.75" customHeight="1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6"/>
      <c r="V81" s="1"/>
      <c r="W81" s="31"/>
      <c r="X81" s="31"/>
      <c r="Y81" s="31"/>
      <c r="Z81" s="31"/>
      <c r="AA81" s="2"/>
      <c r="AB81" s="31"/>
      <c r="AC81" s="31"/>
      <c r="AD81" s="31"/>
      <c r="AE81" s="37"/>
      <c r="AF81" s="37"/>
      <c r="AG81" s="37"/>
    </row>
    <row r="82" spans="1:33" ht="15.75" customHeight="1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6"/>
      <c r="V82" s="1"/>
      <c r="W82" s="31"/>
      <c r="X82" s="31"/>
      <c r="Y82" s="31"/>
      <c r="Z82" s="31"/>
      <c r="AA82" s="2"/>
      <c r="AB82" s="31"/>
      <c r="AC82" s="31"/>
      <c r="AD82" s="31"/>
      <c r="AE82" s="37"/>
      <c r="AF82" s="37"/>
      <c r="AG82" s="37"/>
    </row>
    <row r="83" spans="1:33" ht="15.75" customHeight="1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6"/>
      <c r="V83" s="1"/>
      <c r="W83" s="31"/>
      <c r="X83" s="31"/>
      <c r="Y83" s="31"/>
      <c r="Z83" s="31"/>
      <c r="AA83" s="2"/>
      <c r="AB83" s="31"/>
      <c r="AC83" s="31"/>
      <c r="AD83" s="31"/>
      <c r="AE83" s="37"/>
      <c r="AF83" s="37"/>
      <c r="AG83" s="37"/>
    </row>
    <row r="84" spans="1:33" ht="15.75" customHeight="1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6"/>
      <c r="V84" s="1"/>
      <c r="W84" s="31"/>
      <c r="X84" s="31"/>
      <c r="Y84" s="31"/>
      <c r="Z84" s="31"/>
      <c r="AA84" s="2"/>
      <c r="AB84" s="31"/>
      <c r="AC84" s="31"/>
      <c r="AD84" s="31"/>
      <c r="AE84" s="37"/>
      <c r="AF84" s="37"/>
      <c r="AG84" s="37"/>
    </row>
    <row r="85" spans="1:33" ht="15.75" customHeight="1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6"/>
      <c r="V85" s="1"/>
      <c r="W85" s="31"/>
      <c r="X85" s="31"/>
      <c r="Y85" s="31"/>
      <c r="Z85" s="31"/>
      <c r="AA85" s="2"/>
      <c r="AB85" s="31"/>
      <c r="AC85" s="31"/>
      <c r="AD85" s="31"/>
      <c r="AE85" s="37"/>
      <c r="AF85" s="37"/>
      <c r="AG85" s="37"/>
    </row>
    <row r="86" spans="1:33" ht="15.75" customHeight="1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6"/>
      <c r="V86" s="1"/>
      <c r="W86" s="31"/>
      <c r="X86" s="31"/>
      <c r="Y86" s="31"/>
      <c r="Z86" s="31"/>
      <c r="AA86" s="2"/>
      <c r="AB86" s="31"/>
      <c r="AC86" s="31"/>
      <c r="AD86" s="31"/>
      <c r="AE86" s="37"/>
      <c r="AF86" s="37"/>
      <c r="AG86" s="37"/>
    </row>
    <row r="87" spans="1:33" ht="15.75" customHeight="1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6"/>
      <c r="V87" s="1"/>
      <c r="W87" s="31"/>
      <c r="X87" s="31"/>
      <c r="Y87" s="31"/>
      <c r="Z87" s="31"/>
      <c r="AA87" s="2"/>
      <c r="AB87" s="31"/>
      <c r="AC87" s="31"/>
      <c r="AD87" s="31"/>
      <c r="AE87" s="37"/>
      <c r="AF87" s="37"/>
      <c r="AG87" s="37"/>
    </row>
    <row r="88" spans="1:33" ht="15.75" customHeight="1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6"/>
      <c r="V88" s="1"/>
      <c r="W88" s="31"/>
      <c r="X88" s="31"/>
      <c r="Y88" s="31"/>
      <c r="Z88" s="31"/>
      <c r="AA88" s="2"/>
      <c r="AB88" s="31"/>
      <c r="AC88" s="31"/>
      <c r="AD88" s="31"/>
      <c r="AE88" s="37"/>
      <c r="AF88" s="37"/>
      <c r="AG88" s="37"/>
    </row>
    <row r="89" spans="1:33" ht="15.75" customHeight="1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6"/>
      <c r="V89" s="1"/>
      <c r="W89" s="31"/>
      <c r="X89" s="31"/>
      <c r="Y89" s="31"/>
      <c r="Z89" s="31"/>
      <c r="AA89" s="2"/>
      <c r="AB89" s="31"/>
      <c r="AC89" s="31"/>
      <c r="AD89" s="31"/>
      <c r="AE89" s="37"/>
      <c r="AF89" s="37"/>
      <c r="AG89" s="37"/>
    </row>
    <row r="90" spans="1:33" ht="15.75" customHeight="1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6"/>
      <c r="V90" s="1"/>
      <c r="W90" s="31"/>
      <c r="X90" s="31"/>
      <c r="Y90" s="31"/>
      <c r="Z90" s="31"/>
      <c r="AA90" s="2"/>
      <c r="AB90" s="31"/>
      <c r="AC90" s="31"/>
      <c r="AD90" s="31"/>
      <c r="AE90" s="37"/>
      <c r="AF90" s="37"/>
      <c r="AG90" s="37"/>
    </row>
    <row r="91" spans="1:33" ht="15.75" customHeight="1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6"/>
      <c r="V91" s="1"/>
      <c r="W91" s="31"/>
      <c r="X91" s="31"/>
      <c r="Y91" s="31"/>
      <c r="Z91" s="31"/>
      <c r="AA91" s="2"/>
      <c r="AB91" s="31"/>
      <c r="AC91" s="31"/>
      <c r="AD91" s="31"/>
      <c r="AE91" s="37"/>
      <c r="AF91" s="37"/>
      <c r="AG91" s="37"/>
    </row>
    <row r="92" spans="1:33" ht="15.75" customHeight="1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6"/>
      <c r="V92" s="1"/>
      <c r="W92" s="31"/>
      <c r="X92" s="31"/>
      <c r="Y92" s="31"/>
      <c r="Z92" s="31"/>
      <c r="AA92" s="2"/>
      <c r="AB92" s="31"/>
      <c r="AC92" s="31"/>
      <c r="AD92" s="31"/>
      <c r="AE92" s="37"/>
      <c r="AF92" s="37"/>
      <c r="AG92" s="37"/>
    </row>
    <row r="93" spans="1:33" ht="15.75" customHeight="1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6"/>
      <c r="V93" s="1"/>
      <c r="W93" s="31"/>
      <c r="X93" s="31"/>
      <c r="Y93" s="31"/>
      <c r="Z93" s="31"/>
      <c r="AA93" s="2"/>
      <c r="AB93" s="31"/>
      <c r="AC93" s="31"/>
      <c r="AD93" s="31"/>
      <c r="AE93" s="37"/>
      <c r="AF93" s="37"/>
      <c r="AG93" s="37"/>
    </row>
    <row r="94" spans="1:33" ht="15.75" customHeight="1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6"/>
      <c r="V94" s="1"/>
      <c r="W94" s="31"/>
      <c r="X94" s="31"/>
      <c r="Y94" s="31"/>
      <c r="Z94" s="31"/>
      <c r="AA94" s="2"/>
      <c r="AB94" s="31"/>
      <c r="AC94" s="31"/>
      <c r="AD94" s="31"/>
      <c r="AE94" s="37"/>
      <c r="AF94" s="37"/>
      <c r="AG94" s="37"/>
    </row>
    <row r="95" spans="1:33" ht="15.75" customHeight="1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6"/>
      <c r="V95" s="1"/>
      <c r="W95" s="31"/>
      <c r="X95" s="31"/>
      <c r="Y95" s="31"/>
      <c r="Z95" s="31"/>
      <c r="AA95" s="2"/>
      <c r="AB95" s="31"/>
      <c r="AC95" s="31"/>
      <c r="AD95" s="31"/>
      <c r="AE95" s="37"/>
      <c r="AF95" s="37"/>
      <c r="AG95" s="37"/>
    </row>
    <row r="96" spans="1:33" ht="15.75" customHeight="1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6"/>
      <c r="V96" s="1"/>
      <c r="W96" s="31"/>
      <c r="X96" s="31"/>
      <c r="Y96" s="31"/>
      <c r="Z96" s="31"/>
      <c r="AA96" s="2"/>
      <c r="AB96" s="31"/>
      <c r="AC96" s="31"/>
      <c r="AD96" s="31"/>
      <c r="AE96" s="37"/>
      <c r="AF96" s="37"/>
      <c r="AG96" s="37"/>
    </row>
    <row r="97" spans="1:33" ht="15.75" customHeight="1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8"/>
      <c r="R97" s="38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8"/>
      <c r="R98" s="38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8"/>
      <c r="R99" s="38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8"/>
      <c r="R100" s="38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8"/>
      <c r="R101" s="38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8"/>
      <c r="R102" s="38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8"/>
      <c r="R103" s="38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8"/>
      <c r="R104" s="38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8"/>
      <c r="R105" s="38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8"/>
      <c r="R106" s="38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8"/>
      <c r="R107" s="38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8"/>
      <c r="R108" s="38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8"/>
      <c r="R109" s="38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8"/>
      <c r="R110" s="38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8"/>
      <c r="R111" s="38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8"/>
      <c r="R112" s="38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8"/>
      <c r="R113" s="38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8"/>
      <c r="R114" s="38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>
      <c r="A115" s="31"/>
      <c r="B115" s="31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>
      <c r="A116" s="31"/>
      <c r="B116" s="31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>
      <c r="A117" s="31"/>
      <c r="B117" s="31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>
      <c r="A118" s="31"/>
      <c r="B118" s="31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>
      <c r="A119" s="31"/>
      <c r="B119" s="31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>
      <c r="A120" s="31"/>
      <c r="B120" s="31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>
      <c r="A121" s="31"/>
      <c r="B121" s="31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>
      <c r="A122" s="31"/>
      <c r="B122" s="31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>
      <c r="A123" s="31"/>
      <c r="B123" s="31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>
      <c r="A124" s="31"/>
      <c r="B124" s="31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>
      <c r="A125" s="31"/>
      <c r="B125" s="31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>
      <c r="A126" s="31"/>
      <c r="B126" s="31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>
      <c r="A127" s="31"/>
      <c r="B127" s="31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>
      <c r="A128" s="31"/>
      <c r="B128" s="31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>
      <c r="A129" s="31"/>
      <c r="B129" s="31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>
      <c r="A130" s="31"/>
      <c r="B130" s="31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>
      <c r="A131" s="31"/>
      <c r="B131" s="31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>
      <c r="A132" s="31"/>
      <c r="B132" s="31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>
      <c r="A133" s="31"/>
      <c r="B133" s="31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>
      <c r="A134" s="31"/>
      <c r="B134" s="31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>
      <c r="A135" s="31"/>
      <c r="B135" s="31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>
      <c r="A136" s="31"/>
      <c r="B136" s="31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>
      <c r="A137" s="31"/>
      <c r="B137" s="31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>
      <c r="A138" s="31"/>
      <c r="B138" s="31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>
      <c r="A139" s="31"/>
      <c r="B139" s="31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>
      <c r="A140" s="31"/>
      <c r="B140" s="31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>
      <c r="A141" s="31"/>
      <c r="B141" s="31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2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>
      <c r="A142" s="31"/>
      <c r="B142" s="31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2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>
      <c r="A143" s="31"/>
      <c r="B143" s="31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2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>
      <c r="A144" s="31"/>
      <c r="B144" s="31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2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>
      <c r="A145" s="31"/>
      <c r="B145" s="31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2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>
      <c r="A146" s="31"/>
      <c r="B146" s="31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2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>
      <c r="A147" s="31"/>
      <c r="B147" s="31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2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>
      <c r="A148" s="31"/>
      <c r="B148" s="31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2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</row>
    <row r="149" spans="1:33" ht="15.75" customHeight="1">
      <c r="A149" s="14"/>
      <c r="B149" s="14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>
      <c r="A150" s="14"/>
      <c r="B150" s="14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>
      <c r="A151" s="14"/>
      <c r="B151" s="14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>
      <c r="A152" s="14"/>
      <c r="B152" s="14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>
      <c r="A153" s="14"/>
      <c r="B153" s="14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>
      <c r="A154" s="14"/>
      <c r="B154" s="14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>
      <c r="A155" s="14"/>
      <c r="B155" s="14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>
      <c r="A156" s="14"/>
      <c r="B156" s="14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>
      <c r="A157" s="14"/>
      <c r="B157" s="14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>
      <c r="A158" s="14"/>
      <c r="B158" s="14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>
      <c r="A159" s="14"/>
      <c r="B159" s="14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>
      <c r="A160" s="14"/>
      <c r="B160" s="14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>
      <c r="A161" s="14"/>
      <c r="B161" s="14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>
      <c r="A162" s="14"/>
      <c r="B162" s="14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>
      <c r="A163" s="14"/>
      <c r="B163" s="14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>
      <c r="A164" s="14"/>
      <c r="B164" s="14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>
      <c r="A165" s="14"/>
      <c r="B165" s="14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>
      <c r="A166" s="14"/>
      <c r="B166" s="14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>
      <c r="A167" s="14"/>
      <c r="B167" s="14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>
      <c r="A168" s="14"/>
      <c r="B168" s="14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>
      <c r="A169" s="14"/>
      <c r="B169" s="14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>
      <c r="A170" s="14"/>
      <c r="B170" s="14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>
      <c r="A171" s="14"/>
      <c r="B171" s="14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>
      <c r="A172" s="14"/>
      <c r="B172" s="14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>
      <c r="A173" s="14"/>
      <c r="B173" s="14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>
      <c r="A174" s="14"/>
      <c r="B174" s="14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>
      <c r="A175" s="14"/>
      <c r="B175" s="14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>
      <c r="A176" s="14"/>
      <c r="B176" s="14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>
      <c r="A177" s="14"/>
      <c r="B177" s="14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>
      <c r="A178" s="14"/>
      <c r="B178" s="14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>
      <c r="A179" s="14"/>
      <c r="B179" s="14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>
      <c r="A180" s="14"/>
      <c r="B180" s="14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>
      <c r="A181" s="14"/>
      <c r="B181" s="14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>
      <c r="A182" s="14"/>
      <c r="B182" s="14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>
      <c r="A183" s="14"/>
      <c r="B183" s="14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>
      <c r="A184" s="14"/>
      <c r="B184" s="14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>
      <c r="A185" s="14"/>
      <c r="B185" s="14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>
      <c r="A186" s="14"/>
      <c r="B186" s="14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>
      <c r="A187" s="14"/>
      <c r="B187" s="14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>
      <c r="A188" s="14"/>
      <c r="B188" s="14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>
      <c r="A189" s="14"/>
      <c r="B189" s="14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>
      <c r="A190" s="14"/>
      <c r="B190" s="14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>
      <c r="A191" s="14"/>
      <c r="B191" s="14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>
      <c r="A192" s="14"/>
      <c r="B192" s="14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>
      <c r="A193" s="14"/>
      <c r="B193" s="14"/>
      <c r="C193" s="39"/>
      <c r="D193" s="39"/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>
      <c r="A194" s="14"/>
      <c r="B194" s="14"/>
      <c r="C194" s="39"/>
      <c r="D194" s="39"/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>
      <c r="A195" s="14"/>
      <c r="B195" s="14"/>
      <c r="C195" s="39"/>
      <c r="D195" s="39"/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>
      <c r="A196" s="14"/>
      <c r="B196" s="14"/>
      <c r="C196" s="39"/>
      <c r="D196" s="39"/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>
      <c r="A197" s="14"/>
      <c r="B197" s="14"/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>
      <c r="A198" s="14"/>
      <c r="B198" s="14"/>
      <c r="C198" s="39"/>
      <c r="D198" s="39"/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>
      <c r="A199" s="14"/>
      <c r="B199" s="14"/>
      <c r="C199" s="39"/>
      <c r="D199" s="39"/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>
      <c r="A200" s="14"/>
      <c r="B200" s="14"/>
      <c r="C200" s="39"/>
      <c r="D200" s="39"/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>
      <c r="A201" s="14"/>
      <c r="B201" s="14"/>
      <c r="C201" s="39"/>
      <c r="D201" s="39"/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>
      <c r="A202" s="14"/>
      <c r="B202" s="14"/>
      <c r="C202" s="39"/>
      <c r="D202" s="39"/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>
      <c r="A203" s="14"/>
      <c r="B203" s="14"/>
      <c r="C203" s="39"/>
      <c r="D203" s="39"/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>
      <c r="A204" s="14"/>
      <c r="B204" s="14"/>
      <c r="C204" s="39"/>
      <c r="D204" s="39"/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>
      <c r="A205" s="14"/>
      <c r="B205" s="14"/>
      <c r="C205" s="39"/>
      <c r="D205" s="39"/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>
      <c r="A206" s="14"/>
      <c r="B206" s="14"/>
      <c r="C206" s="39"/>
      <c r="D206" s="39"/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>
      <c r="A207" s="14"/>
      <c r="B207" s="14"/>
      <c r="C207" s="39"/>
      <c r="D207" s="39"/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>
      <c r="A208" s="14"/>
      <c r="B208" s="14"/>
      <c r="C208" s="39"/>
      <c r="D208" s="39"/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>
      <c r="A209" s="14"/>
      <c r="B209" s="14"/>
      <c r="C209" s="39"/>
      <c r="D209" s="39"/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>
      <c r="A210" s="14"/>
      <c r="B210" s="14"/>
      <c r="C210" s="39"/>
      <c r="D210" s="39"/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>
      <c r="A211" s="14"/>
      <c r="B211" s="14"/>
      <c r="C211" s="39"/>
      <c r="D211" s="39"/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>
      <c r="A212" s="14"/>
      <c r="B212" s="14"/>
      <c r="C212" s="39"/>
      <c r="D212" s="39"/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>
      <c r="A213" s="14"/>
      <c r="B213" s="14"/>
      <c r="C213" s="39"/>
      <c r="D213" s="39"/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>
      <c r="A214" s="14"/>
      <c r="B214" s="14"/>
      <c r="C214" s="39"/>
      <c r="D214" s="39"/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>
      <c r="A215" s="14"/>
      <c r="B215" s="14"/>
      <c r="C215" s="39"/>
      <c r="D215" s="39"/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>
      <c r="A216" s="14"/>
      <c r="B216" s="14"/>
      <c r="C216" s="39"/>
      <c r="D216" s="39"/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>
      <c r="A217" s="14"/>
      <c r="B217" s="14"/>
      <c r="C217" s="39"/>
      <c r="D217" s="39"/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>
      <c r="A218" s="14"/>
      <c r="B218" s="14"/>
      <c r="C218" s="39"/>
      <c r="D218" s="39"/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>
      <c r="A219" s="14"/>
      <c r="B219" s="14"/>
      <c r="C219" s="39"/>
      <c r="D219" s="39"/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>
      <c r="A220" s="14"/>
      <c r="B220" s="14"/>
      <c r="C220" s="39"/>
      <c r="D220" s="39"/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>
      <c r="R221" s="30"/>
      <c r="S221" s="40"/>
    </row>
    <row r="222" spans="1:33" ht="15.75" customHeight="1">
      <c r="R222" s="30"/>
      <c r="S222" s="40"/>
    </row>
    <row r="223" spans="1:33" ht="15.75" customHeight="1">
      <c r="R223" s="30"/>
      <c r="S223" s="40"/>
    </row>
    <row r="224" spans="1:33" ht="15.75" customHeight="1">
      <c r="R224" s="30"/>
      <c r="S224" s="40"/>
    </row>
    <row r="225" spans="18:18" ht="15.75" customHeight="1">
      <c r="R225" s="30"/>
    </row>
    <row r="226" spans="18:18" ht="15.75" customHeight="1">
      <c r="R226" s="30"/>
    </row>
    <row r="227" spans="18:18" ht="15.75" customHeight="1">
      <c r="R227" s="30"/>
    </row>
    <row r="228" spans="18:18" ht="15.75" customHeight="1">
      <c r="R228" s="30"/>
    </row>
    <row r="229" spans="18:18" ht="15.75" customHeight="1">
      <c r="R229" s="30"/>
    </row>
    <row r="230" spans="18:18" ht="15.75" customHeight="1">
      <c r="R230" s="30"/>
    </row>
    <row r="231" spans="18:18" ht="15.75" customHeight="1">
      <c r="R231" s="30"/>
    </row>
    <row r="232" spans="18:18" ht="15.75" customHeight="1">
      <c r="R232" s="30"/>
    </row>
    <row r="233" spans="18:18" ht="15.75" customHeight="1">
      <c r="R233" s="30"/>
    </row>
    <row r="234" spans="18:18" ht="15.75" customHeight="1">
      <c r="R234" s="30"/>
    </row>
    <row r="235" spans="18:18" ht="15.75" customHeight="1">
      <c r="R235" s="30"/>
    </row>
    <row r="236" spans="18:18" ht="15.75" customHeight="1">
      <c r="R236" s="30"/>
    </row>
    <row r="237" spans="18:18" ht="15.75" customHeight="1">
      <c r="R237" s="30"/>
    </row>
    <row r="238" spans="18:18" ht="15.75" customHeight="1">
      <c r="R238" s="30"/>
    </row>
    <row r="239" spans="18:18" ht="15.75" customHeight="1">
      <c r="R239" s="30"/>
    </row>
    <row r="240" spans="18:18" ht="15.75" customHeight="1">
      <c r="R240" s="30"/>
    </row>
    <row r="241" spans="18:18" ht="15.75" customHeight="1">
      <c r="R241" s="30"/>
    </row>
    <row r="242" spans="18:18" ht="15.75" customHeight="1">
      <c r="R242" s="30"/>
    </row>
    <row r="243" spans="18:18" ht="15.75" customHeight="1">
      <c r="R243" s="30"/>
    </row>
    <row r="244" spans="18:18" ht="15.75" customHeight="1">
      <c r="R244" s="30"/>
    </row>
    <row r="245" spans="18:18" ht="15.75" customHeight="1">
      <c r="R245" s="30"/>
    </row>
    <row r="246" spans="18:18" ht="15.75" customHeight="1">
      <c r="R246" s="30"/>
    </row>
    <row r="247" spans="18:18" ht="15.75" customHeight="1">
      <c r="R247" s="30"/>
    </row>
    <row r="248" spans="18:18" ht="15.75" customHeight="1">
      <c r="R248" s="30"/>
    </row>
    <row r="249" spans="18:18" ht="15.75" customHeight="1">
      <c r="R249" s="30"/>
    </row>
    <row r="250" spans="18:18" ht="15.75" customHeight="1">
      <c r="R250" s="30"/>
    </row>
    <row r="251" spans="18:18" ht="15.75" customHeight="1">
      <c r="R251" s="30"/>
    </row>
    <row r="252" spans="18:18" ht="15.75" customHeight="1">
      <c r="R252" s="30"/>
    </row>
    <row r="253" spans="18:18" ht="15.75" customHeight="1">
      <c r="R253" s="30"/>
    </row>
    <row r="254" spans="18:18" ht="15.75" customHeight="1">
      <c r="R254" s="30"/>
    </row>
    <row r="255" spans="18:18" ht="15.75" customHeight="1">
      <c r="R255" s="30"/>
    </row>
    <row r="256" spans="18:18" ht="15.75" customHeight="1">
      <c r="R256" s="30"/>
    </row>
    <row r="257" spans="18:18" ht="15.75" customHeight="1">
      <c r="R257" s="30"/>
    </row>
    <row r="258" spans="18:18" ht="15.75" customHeight="1">
      <c r="R258" s="30"/>
    </row>
    <row r="259" spans="18:18" ht="15.75" customHeight="1">
      <c r="R259" s="30"/>
    </row>
    <row r="260" spans="18:18" ht="15.75" customHeight="1">
      <c r="R260" s="30"/>
    </row>
    <row r="261" spans="18:18" ht="15.75" customHeight="1">
      <c r="R261" s="30"/>
    </row>
    <row r="262" spans="18:18" ht="15.75" customHeight="1">
      <c r="R262" s="30"/>
    </row>
    <row r="263" spans="18:18" ht="15.75" customHeight="1">
      <c r="R263" s="30"/>
    </row>
    <row r="264" spans="18:18" ht="15.75" customHeight="1">
      <c r="R264" s="30"/>
    </row>
    <row r="265" spans="18:18" ht="15.75" customHeight="1">
      <c r="R265" s="30"/>
    </row>
    <row r="266" spans="18:18" ht="15.75" customHeight="1">
      <c r="R266" s="30"/>
    </row>
    <row r="267" spans="18:18" ht="15.75" customHeight="1">
      <c r="R267" s="30"/>
    </row>
    <row r="268" spans="18:18" ht="15.75" customHeight="1">
      <c r="R268" s="30"/>
    </row>
    <row r="269" spans="18:18" ht="15.75" customHeight="1">
      <c r="R269" s="30"/>
    </row>
    <row r="270" spans="18:18" ht="15.75" customHeight="1">
      <c r="R270" s="30"/>
    </row>
    <row r="271" spans="18:18" ht="15.75" customHeight="1">
      <c r="R271" s="30"/>
    </row>
    <row r="272" spans="18:18" ht="15.75" customHeight="1">
      <c r="R272" s="30"/>
    </row>
    <row r="273" spans="18:18" ht="15.75" customHeight="1">
      <c r="R273" s="30"/>
    </row>
    <row r="274" spans="18:18" ht="15.75" customHeight="1">
      <c r="R274" s="30"/>
    </row>
    <row r="275" spans="18:18" ht="15.75" customHeight="1">
      <c r="R275" s="30"/>
    </row>
    <row r="276" spans="18:18" ht="15.75" customHeight="1">
      <c r="R276" s="30"/>
    </row>
    <row r="277" spans="18:18" ht="15.75" customHeight="1">
      <c r="R277" s="30"/>
    </row>
    <row r="278" spans="18:18" ht="15.75" customHeight="1">
      <c r="R278" s="30"/>
    </row>
    <row r="279" spans="18:18" ht="15.75" customHeight="1">
      <c r="R279" s="30"/>
    </row>
    <row r="280" spans="18:18" ht="15.75" customHeight="1">
      <c r="R280" s="30"/>
    </row>
    <row r="281" spans="18:18" ht="15.75" customHeight="1">
      <c r="R281" s="30"/>
    </row>
    <row r="282" spans="18:18" ht="15.75" customHeight="1">
      <c r="R282" s="30"/>
    </row>
    <row r="283" spans="18:18" ht="15.75" customHeight="1">
      <c r="R283" s="30"/>
    </row>
    <row r="284" spans="18:18" ht="15.75" customHeight="1">
      <c r="R284" s="30"/>
    </row>
    <row r="285" spans="18:18" ht="15.75" customHeight="1">
      <c r="R285" s="30"/>
    </row>
    <row r="286" spans="18:18" ht="15.75" customHeight="1">
      <c r="R286" s="30"/>
    </row>
    <row r="287" spans="18:18" ht="15.75" customHeight="1">
      <c r="R287" s="30"/>
    </row>
    <row r="288" spans="18:18" ht="15.75" customHeight="1">
      <c r="R288" s="30"/>
    </row>
    <row r="289" spans="18:18" ht="15.75" customHeight="1">
      <c r="R289" s="30"/>
    </row>
    <row r="290" spans="18:18" ht="15.75" customHeight="1">
      <c r="R290" s="30"/>
    </row>
    <row r="291" spans="18:18" ht="15.75" customHeight="1">
      <c r="R291" s="30"/>
    </row>
    <row r="292" spans="18:18" ht="15.75" customHeight="1">
      <c r="R292" s="30"/>
    </row>
    <row r="293" spans="18:18" ht="15.75" customHeight="1">
      <c r="R293" s="30"/>
    </row>
    <row r="294" spans="18:18" ht="15.75" customHeight="1">
      <c r="R294" s="30"/>
    </row>
    <row r="295" spans="18:18" ht="15.75" customHeight="1">
      <c r="R295" s="30"/>
    </row>
    <row r="296" spans="18:18" ht="15.75" customHeight="1">
      <c r="R296" s="30"/>
    </row>
    <row r="297" spans="18:18" ht="15.75" customHeight="1">
      <c r="R297" s="30"/>
    </row>
    <row r="298" spans="18:18" ht="15.75" customHeight="1">
      <c r="R298" s="30"/>
    </row>
    <row r="299" spans="18:18" ht="15.75" customHeight="1">
      <c r="R299" s="30"/>
    </row>
    <row r="300" spans="18:18" ht="15.75" customHeight="1">
      <c r="R300" s="30"/>
    </row>
    <row r="301" spans="18:18" ht="15.75" customHeight="1">
      <c r="R301" s="30"/>
    </row>
    <row r="302" spans="18:18" ht="15.75" customHeight="1">
      <c r="R302" s="30"/>
    </row>
    <row r="303" spans="18:18" ht="15.75" customHeight="1">
      <c r="R303" s="30"/>
    </row>
    <row r="304" spans="18:18" ht="15.75" customHeight="1">
      <c r="R304" s="30"/>
    </row>
    <row r="305" spans="18:18" ht="15.75" customHeight="1">
      <c r="R305" s="30"/>
    </row>
    <row r="306" spans="18:18" ht="15.75" customHeight="1">
      <c r="R306" s="30"/>
    </row>
    <row r="307" spans="18:18" ht="15.75" customHeight="1">
      <c r="R307" s="30"/>
    </row>
    <row r="308" spans="18:18" ht="15.75" customHeight="1">
      <c r="R308" s="30"/>
    </row>
    <row r="309" spans="18:18" ht="15.75" customHeight="1">
      <c r="R309" s="30"/>
    </row>
    <row r="310" spans="18:18" ht="15.75" customHeight="1">
      <c r="R310" s="30"/>
    </row>
    <row r="311" spans="18:18" ht="15.75" customHeight="1">
      <c r="R311" s="30"/>
    </row>
    <row r="312" spans="18:18" ht="15.75" customHeight="1">
      <c r="R312" s="30"/>
    </row>
    <row r="313" spans="18:18" ht="15.75" customHeight="1">
      <c r="R313" s="30"/>
    </row>
    <row r="314" spans="18:18" ht="15.75" customHeight="1">
      <c r="R314" s="30"/>
    </row>
    <row r="315" spans="18:18" ht="15.75" customHeight="1">
      <c r="R315" s="30"/>
    </row>
    <row r="316" spans="18:18" ht="15.75" customHeight="1">
      <c r="R316" s="30"/>
    </row>
    <row r="317" spans="18:18" ht="15.75" customHeight="1">
      <c r="R317" s="30"/>
    </row>
    <row r="318" spans="18:18" ht="15.75" customHeight="1">
      <c r="R318" s="30"/>
    </row>
    <row r="319" spans="18:18" ht="15.75" customHeight="1">
      <c r="R319" s="30"/>
    </row>
    <row r="320" spans="18:18" ht="15.75" customHeight="1">
      <c r="R320" s="30"/>
    </row>
    <row r="321" spans="18:18" ht="15.75" customHeight="1">
      <c r="R321" s="30"/>
    </row>
    <row r="322" spans="18:18" ht="15.75" customHeight="1">
      <c r="R322" s="30"/>
    </row>
    <row r="323" spans="18:18" ht="15.75" customHeight="1">
      <c r="R323" s="30"/>
    </row>
    <row r="324" spans="18:18" ht="15.75" customHeight="1">
      <c r="R324" s="30"/>
    </row>
    <row r="325" spans="18:18" ht="15.75" customHeight="1">
      <c r="R325" s="30"/>
    </row>
    <row r="326" spans="18:18" ht="15.75" customHeight="1">
      <c r="R326" s="30"/>
    </row>
    <row r="327" spans="18:18" ht="15.75" customHeight="1">
      <c r="R327" s="30"/>
    </row>
    <row r="328" spans="18:18" ht="15.75" customHeight="1">
      <c r="R328" s="30"/>
    </row>
    <row r="329" spans="18:18" ht="15.75" customHeight="1">
      <c r="R329" s="30"/>
    </row>
    <row r="330" spans="18:18" ht="15.75" customHeight="1">
      <c r="R330" s="30"/>
    </row>
    <row r="331" spans="18:18" ht="15.75" customHeight="1">
      <c r="R331" s="30"/>
    </row>
    <row r="332" spans="18:18" ht="15.75" customHeight="1">
      <c r="R332" s="30"/>
    </row>
    <row r="333" spans="18:18" ht="15.75" customHeight="1">
      <c r="R333" s="30"/>
    </row>
    <row r="334" spans="18:18" ht="15.75" customHeight="1">
      <c r="R334" s="30"/>
    </row>
    <row r="335" spans="18:18" ht="15.75" customHeight="1">
      <c r="R335" s="30"/>
    </row>
    <row r="336" spans="18:18" ht="15.75" customHeight="1">
      <c r="R336" s="30"/>
    </row>
    <row r="337" spans="18:18" ht="15.75" customHeight="1">
      <c r="R337" s="30"/>
    </row>
    <row r="338" spans="18:18" ht="15.75" customHeight="1">
      <c r="R338" s="30"/>
    </row>
    <row r="339" spans="18:18" ht="15.75" customHeight="1">
      <c r="R339" s="30"/>
    </row>
    <row r="340" spans="18:18" ht="15.75" customHeight="1">
      <c r="R340" s="30"/>
    </row>
    <row r="341" spans="18:18" ht="15.75" customHeight="1">
      <c r="R341" s="30"/>
    </row>
    <row r="342" spans="18:18" ht="15.75" customHeight="1">
      <c r="R342" s="30"/>
    </row>
    <row r="343" spans="18:18" ht="15.75" customHeight="1">
      <c r="R343" s="30"/>
    </row>
    <row r="344" spans="18:18" ht="15.75" customHeight="1">
      <c r="R344" s="30"/>
    </row>
    <row r="345" spans="18:18" ht="15.75" customHeight="1">
      <c r="R345" s="30"/>
    </row>
    <row r="346" spans="18:18" ht="15.75" customHeight="1">
      <c r="R346" s="30"/>
    </row>
    <row r="347" spans="18:18" ht="15.75" customHeight="1">
      <c r="R347" s="30"/>
    </row>
    <row r="348" spans="18:18" ht="15.75" customHeight="1">
      <c r="R348" s="30"/>
    </row>
    <row r="349" spans="18:18" ht="15.75" customHeight="1">
      <c r="R349" s="30"/>
    </row>
    <row r="350" spans="18:18" ht="15.75" customHeight="1">
      <c r="R350" s="30"/>
    </row>
    <row r="351" spans="18:18" ht="15.75" customHeight="1">
      <c r="R351" s="30"/>
    </row>
    <row r="352" spans="18:18" ht="15.75" customHeight="1">
      <c r="R352" s="30"/>
    </row>
    <row r="353" spans="18:18" ht="15.75" customHeight="1">
      <c r="R353" s="30"/>
    </row>
    <row r="354" spans="18:18" ht="15.75" customHeight="1">
      <c r="R354" s="30"/>
    </row>
    <row r="355" spans="18:18" ht="15.75" customHeight="1">
      <c r="R355" s="30"/>
    </row>
    <row r="356" spans="18:18" ht="15.75" customHeight="1">
      <c r="R356" s="30"/>
    </row>
    <row r="357" spans="18:18" ht="15.75" customHeight="1">
      <c r="R357" s="30"/>
    </row>
    <row r="358" spans="18:18" ht="15.75" customHeight="1">
      <c r="R358" s="30"/>
    </row>
    <row r="359" spans="18:18" ht="15.75" customHeight="1">
      <c r="R359" s="30"/>
    </row>
    <row r="360" spans="18:18" ht="15.75" customHeight="1">
      <c r="R360" s="30"/>
    </row>
    <row r="361" spans="18:18" ht="15.75" customHeight="1">
      <c r="R361" s="30"/>
    </row>
    <row r="362" spans="18:18" ht="15.75" customHeight="1">
      <c r="R362" s="30"/>
    </row>
    <row r="363" spans="18:18" ht="15.75" customHeight="1">
      <c r="R363" s="30"/>
    </row>
    <row r="364" spans="18:18" ht="15.75" customHeight="1">
      <c r="R364" s="30"/>
    </row>
    <row r="365" spans="18:18" ht="15.75" customHeight="1">
      <c r="R365" s="30"/>
    </row>
    <row r="366" spans="18:18" ht="15.75" customHeight="1">
      <c r="R366" s="30"/>
    </row>
    <row r="367" spans="18:18" ht="15.75" customHeight="1">
      <c r="R367" s="30"/>
    </row>
    <row r="368" spans="18:18" ht="15.75" customHeight="1">
      <c r="R368" s="30"/>
    </row>
    <row r="369" spans="18:18" ht="15.75" customHeight="1">
      <c r="R369" s="30"/>
    </row>
    <row r="370" spans="18:18" ht="15.75" customHeight="1">
      <c r="R370" s="30"/>
    </row>
    <row r="371" spans="18:18" ht="15.75" customHeight="1">
      <c r="R371" s="30"/>
    </row>
    <row r="372" spans="18:18" ht="15.75" customHeight="1">
      <c r="R372" s="30"/>
    </row>
    <row r="373" spans="18:18" ht="15.75" customHeight="1">
      <c r="R373" s="30"/>
    </row>
    <row r="374" spans="18:18" ht="15.75" customHeight="1">
      <c r="R374" s="30"/>
    </row>
    <row r="375" spans="18:18" ht="15.75" customHeight="1">
      <c r="R375" s="30"/>
    </row>
    <row r="376" spans="18:18" ht="15.75" customHeight="1">
      <c r="R376" s="30"/>
    </row>
    <row r="377" spans="18:18" ht="15.75" customHeight="1">
      <c r="R377" s="30"/>
    </row>
    <row r="378" spans="18:18" ht="15.75" customHeight="1">
      <c r="R378" s="30"/>
    </row>
    <row r="379" spans="18:18" ht="15.75" customHeight="1">
      <c r="R379" s="30"/>
    </row>
    <row r="380" spans="18:18" ht="15.75" customHeight="1">
      <c r="R380" s="30"/>
    </row>
    <row r="381" spans="18:18" ht="15.75" customHeight="1">
      <c r="R381" s="30"/>
    </row>
    <row r="382" spans="18:18" ht="15.75" customHeight="1">
      <c r="R382" s="30"/>
    </row>
    <row r="383" spans="18:18" ht="15.75" customHeight="1">
      <c r="R383" s="30"/>
    </row>
    <row r="384" spans="18:18" ht="15.75" customHeight="1">
      <c r="R384" s="30"/>
    </row>
    <row r="385" spans="18:18" ht="15.75" customHeight="1">
      <c r="R385" s="30"/>
    </row>
    <row r="386" spans="18:18" ht="15.75" customHeight="1">
      <c r="R386" s="30"/>
    </row>
    <row r="387" spans="18:18" ht="15.75" customHeight="1">
      <c r="R387" s="30"/>
    </row>
    <row r="388" spans="18:18" ht="15.75" customHeight="1">
      <c r="R388" s="30"/>
    </row>
    <row r="389" spans="18:18" ht="15.75" customHeight="1">
      <c r="R389" s="30"/>
    </row>
    <row r="390" spans="18:18" ht="15.75" customHeight="1">
      <c r="R390" s="30"/>
    </row>
    <row r="391" spans="18:18" ht="15.75" customHeight="1">
      <c r="R391" s="30"/>
    </row>
    <row r="392" spans="18:18" ht="15.75" customHeight="1">
      <c r="R392" s="30"/>
    </row>
    <row r="393" spans="18:18" ht="15.75" customHeight="1">
      <c r="R393" s="30"/>
    </row>
    <row r="394" spans="18:18" ht="15.75" customHeight="1">
      <c r="R394" s="30"/>
    </row>
    <row r="395" spans="18:18" ht="15.75" customHeight="1">
      <c r="R395" s="30"/>
    </row>
    <row r="396" spans="18:18" ht="15.75" customHeight="1">
      <c r="R396" s="30"/>
    </row>
    <row r="397" spans="18:18" ht="15.75" customHeight="1">
      <c r="R397" s="30"/>
    </row>
    <row r="398" spans="18:18" ht="15.75" customHeight="1">
      <c r="R398" s="30"/>
    </row>
    <row r="399" spans="18:18" ht="15.75" customHeight="1">
      <c r="R399" s="30"/>
    </row>
    <row r="400" spans="18:18" ht="15.75" customHeight="1">
      <c r="R400" s="30"/>
    </row>
    <row r="401" spans="18:18" ht="15.75" customHeight="1">
      <c r="R401" s="30"/>
    </row>
    <row r="402" spans="18:18" ht="15.75" customHeight="1">
      <c r="R402" s="30"/>
    </row>
    <row r="403" spans="18:18" ht="15.75" customHeight="1">
      <c r="R403" s="30"/>
    </row>
    <row r="404" spans="18:18" ht="15.75" customHeight="1">
      <c r="R404" s="30"/>
    </row>
    <row r="405" spans="18:18" ht="15.75" customHeight="1">
      <c r="R405" s="30"/>
    </row>
    <row r="406" spans="18:18" ht="15.75" customHeight="1">
      <c r="R406" s="30"/>
    </row>
    <row r="407" spans="18:18" ht="15.75" customHeight="1">
      <c r="R407" s="30"/>
    </row>
    <row r="408" spans="18:18" ht="15.75" customHeight="1">
      <c r="R408" s="30"/>
    </row>
    <row r="409" spans="18:18" ht="15.75" customHeight="1">
      <c r="R409" s="30"/>
    </row>
    <row r="410" spans="18:18" ht="15.75" customHeight="1">
      <c r="R410" s="30"/>
    </row>
    <row r="411" spans="18:18" ht="15.75" customHeight="1">
      <c r="R411" s="30"/>
    </row>
    <row r="412" spans="18:18" ht="15.75" customHeight="1">
      <c r="R412" s="30"/>
    </row>
    <row r="413" spans="18:18" ht="15.75" customHeight="1">
      <c r="R413" s="30"/>
    </row>
    <row r="414" spans="18:18" ht="15.75" customHeight="1">
      <c r="R414" s="30"/>
    </row>
    <row r="415" spans="18:18" ht="15.75" customHeight="1">
      <c r="R415" s="30"/>
    </row>
    <row r="416" spans="18:18" ht="15.75" customHeight="1">
      <c r="R416" s="30"/>
    </row>
    <row r="417" spans="18:18" ht="15.75" customHeight="1">
      <c r="R417" s="30"/>
    </row>
    <row r="418" spans="18:18" ht="15.75" customHeight="1">
      <c r="R418" s="30"/>
    </row>
    <row r="419" spans="18:18" ht="15.75" customHeight="1">
      <c r="R419" s="30"/>
    </row>
    <row r="420" spans="18:18" ht="15.75" customHeight="1">
      <c r="R420" s="30"/>
    </row>
    <row r="421" spans="18:18" ht="15.75" customHeight="1">
      <c r="R421" s="30"/>
    </row>
    <row r="422" spans="18:18" ht="15.75" customHeight="1">
      <c r="R422" s="30"/>
    </row>
    <row r="423" spans="18:18" ht="15.75" customHeight="1">
      <c r="R423" s="30"/>
    </row>
    <row r="424" spans="18:18" ht="15.75" customHeight="1">
      <c r="R424" s="30"/>
    </row>
    <row r="425" spans="18:18" ht="15.75" customHeight="1">
      <c r="R425" s="30"/>
    </row>
    <row r="426" spans="18:18" ht="15.75" customHeight="1">
      <c r="R426" s="30"/>
    </row>
    <row r="427" spans="18:18" ht="15.75" customHeight="1">
      <c r="R427" s="30"/>
    </row>
    <row r="428" spans="18:18" ht="15.75" customHeight="1">
      <c r="R428" s="30"/>
    </row>
    <row r="429" spans="18:18" ht="15.75" customHeight="1">
      <c r="R429" s="30"/>
    </row>
    <row r="430" spans="18:18" ht="15.75" customHeight="1">
      <c r="R430" s="30"/>
    </row>
    <row r="431" spans="18:18" ht="15.75" customHeight="1">
      <c r="R431" s="30"/>
    </row>
    <row r="432" spans="18:18" ht="15.75" customHeight="1">
      <c r="R432" s="30"/>
    </row>
    <row r="433" spans="18:18" ht="15.75" customHeight="1">
      <c r="R433" s="30"/>
    </row>
    <row r="434" spans="18:18" ht="15.75" customHeight="1">
      <c r="R434" s="30"/>
    </row>
    <row r="435" spans="18:18" ht="15.75" customHeight="1">
      <c r="R435" s="30"/>
    </row>
    <row r="436" spans="18:18" ht="15.75" customHeight="1">
      <c r="R436" s="30"/>
    </row>
    <row r="437" spans="18:18" ht="15.75" customHeight="1">
      <c r="R437" s="30"/>
    </row>
    <row r="438" spans="18:18" ht="15.75" customHeight="1">
      <c r="R438" s="30"/>
    </row>
    <row r="439" spans="18:18" ht="15.75" customHeight="1">
      <c r="R439" s="30"/>
    </row>
    <row r="440" spans="18:18" ht="15.75" customHeight="1">
      <c r="R440" s="30"/>
    </row>
    <row r="441" spans="18:18" ht="15.75" customHeight="1">
      <c r="R441" s="30"/>
    </row>
    <row r="442" spans="18:18" ht="15.75" customHeight="1">
      <c r="R442" s="30"/>
    </row>
    <row r="443" spans="18:18" ht="15.75" customHeight="1">
      <c r="R443" s="30"/>
    </row>
    <row r="444" spans="18:18" ht="15.75" customHeight="1">
      <c r="R444" s="30"/>
    </row>
    <row r="445" spans="18:18" ht="15.75" customHeight="1">
      <c r="R445" s="30"/>
    </row>
    <row r="446" spans="18:18" ht="15.75" customHeight="1">
      <c r="R446" s="30"/>
    </row>
    <row r="447" spans="18:18" ht="15.75" customHeight="1">
      <c r="R447" s="30"/>
    </row>
    <row r="448" spans="18:18" ht="15.75" customHeight="1">
      <c r="R448" s="30"/>
    </row>
    <row r="449" spans="18:18" ht="15.75" customHeight="1">
      <c r="R449" s="30"/>
    </row>
    <row r="450" spans="18:18" ht="15.75" customHeight="1">
      <c r="R450" s="30"/>
    </row>
    <row r="451" spans="18:18" ht="15.75" customHeight="1">
      <c r="R451" s="30"/>
    </row>
    <row r="452" spans="18:18" ht="15.75" customHeight="1">
      <c r="R452" s="30"/>
    </row>
    <row r="453" spans="18:18" ht="15.75" customHeight="1">
      <c r="R453" s="30"/>
    </row>
    <row r="454" spans="18:18" ht="15.75" customHeight="1">
      <c r="R454" s="30"/>
    </row>
    <row r="455" spans="18:18" ht="15.75" customHeight="1">
      <c r="R455" s="30"/>
    </row>
    <row r="456" spans="18:18" ht="15.75" customHeight="1">
      <c r="R456" s="30"/>
    </row>
    <row r="457" spans="18:18" ht="15.75" customHeight="1">
      <c r="R457" s="30"/>
    </row>
    <row r="458" spans="18:18" ht="15.75" customHeight="1">
      <c r="R458" s="30"/>
    </row>
    <row r="459" spans="18:18" ht="15.75" customHeight="1">
      <c r="R459" s="30"/>
    </row>
    <row r="460" spans="18:18" ht="15.75" customHeight="1">
      <c r="R460" s="30"/>
    </row>
    <row r="461" spans="18:18" ht="15.75" customHeight="1">
      <c r="R461" s="30"/>
    </row>
    <row r="462" spans="18:18" ht="15.75" customHeight="1">
      <c r="R462" s="30"/>
    </row>
    <row r="463" spans="18:18" ht="15.75" customHeight="1">
      <c r="R463" s="30"/>
    </row>
    <row r="464" spans="18:18" ht="15.75" customHeight="1">
      <c r="R464" s="30"/>
    </row>
    <row r="465" spans="18:18" ht="15.75" customHeight="1">
      <c r="R465" s="30"/>
    </row>
    <row r="466" spans="18:18" ht="15.75" customHeight="1">
      <c r="R466" s="30"/>
    </row>
    <row r="467" spans="18:18" ht="15.75" customHeight="1">
      <c r="R467" s="30"/>
    </row>
    <row r="468" spans="18:18" ht="15.75" customHeight="1">
      <c r="R468" s="30"/>
    </row>
    <row r="469" spans="18:18" ht="15.75" customHeight="1">
      <c r="R469" s="30"/>
    </row>
    <row r="470" spans="18:18" ht="15.75" customHeight="1">
      <c r="R470" s="30"/>
    </row>
    <row r="471" spans="18:18" ht="15.75" customHeight="1">
      <c r="R471" s="30"/>
    </row>
    <row r="472" spans="18:18" ht="15.75" customHeight="1">
      <c r="R472" s="30"/>
    </row>
    <row r="473" spans="18:18" ht="15.75" customHeight="1">
      <c r="R473" s="30"/>
    </row>
    <row r="474" spans="18:18" ht="15.75" customHeight="1">
      <c r="R474" s="30"/>
    </row>
    <row r="475" spans="18:18" ht="15.75" customHeight="1">
      <c r="R475" s="30"/>
    </row>
    <row r="476" spans="18:18" ht="15.75" customHeight="1">
      <c r="R476" s="30"/>
    </row>
    <row r="477" spans="18:18" ht="15.75" customHeight="1">
      <c r="R477" s="30"/>
    </row>
    <row r="478" spans="18:18" ht="15.75" customHeight="1">
      <c r="R478" s="30"/>
    </row>
    <row r="479" spans="18:18" ht="15.75" customHeight="1">
      <c r="R479" s="30"/>
    </row>
    <row r="480" spans="18:18" ht="15.75" customHeight="1">
      <c r="R480" s="30"/>
    </row>
    <row r="481" spans="18:18" ht="15.75" customHeight="1">
      <c r="R481" s="30"/>
    </row>
    <row r="482" spans="18:18" ht="15.75" customHeight="1">
      <c r="R482" s="30"/>
    </row>
    <row r="483" spans="18:18" ht="15.75" customHeight="1">
      <c r="R483" s="30"/>
    </row>
    <row r="484" spans="18:18" ht="15.75" customHeight="1">
      <c r="R484" s="30"/>
    </row>
    <row r="485" spans="18:18" ht="15.75" customHeight="1">
      <c r="R485" s="30"/>
    </row>
    <row r="486" spans="18:18" ht="15.75" customHeight="1">
      <c r="R486" s="30"/>
    </row>
    <row r="487" spans="18:18" ht="15.75" customHeight="1">
      <c r="R487" s="30"/>
    </row>
    <row r="488" spans="18:18" ht="15.75" customHeight="1">
      <c r="R488" s="30"/>
    </row>
    <row r="489" spans="18:18" ht="15.75" customHeight="1">
      <c r="R489" s="30"/>
    </row>
    <row r="490" spans="18:18" ht="15.75" customHeight="1">
      <c r="R490" s="30"/>
    </row>
    <row r="491" spans="18:18" ht="15.75" customHeight="1">
      <c r="R491" s="30"/>
    </row>
    <row r="492" spans="18:18" ht="15.75" customHeight="1">
      <c r="R492" s="30"/>
    </row>
    <row r="493" spans="18:18" ht="15.75" customHeight="1">
      <c r="R493" s="30"/>
    </row>
    <row r="494" spans="18:18" ht="15.75" customHeight="1">
      <c r="R494" s="30"/>
    </row>
    <row r="495" spans="18:18" ht="15.75" customHeight="1">
      <c r="R495" s="30"/>
    </row>
    <row r="496" spans="18:18" ht="15.75" customHeight="1">
      <c r="R496" s="30"/>
    </row>
    <row r="497" spans="18:18" ht="15.75" customHeight="1">
      <c r="R497" s="30"/>
    </row>
    <row r="498" spans="18:18" ht="15.75" customHeight="1">
      <c r="R498" s="30"/>
    </row>
    <row r="499" spans="18:18" ht="15.75" customHeight="1">
      <c r="R499" s="30"/>
    </row>
    <row r="500" spans="18:18" ht="15.75" customHeight="1">
      <c r="R500" s="30"/>
    </row>
    <row r="501" spans="18:18" ht="15.75" customHeight="1">
      <c r="R501" s="30"/>
    </row>
    <row r="502" spans="18:18" ht="15.75" customHeight="1">
      <c r="R502" s="30"/>
    </row>
    <row r="503" spans="18:18" ht="15.75" customHeight="1">
      <c r="R503" s="30"/>
    </row>
    <row r="504" spans="18:18" ht="15.75" customHeight="1">
      <c r="R504" s="30"/>
    </row>
    <row r="505" spans="18:18" ht="15.75" customHeight="1">
      <c r="R505" s="30"/>
    </row>
    <row r="506" spans="18:18" ht="15.75" customHeight="1">
      <c r="R506" s="30"/>
    </row>
    <row r="507" spans="18:18" ht="15.75" customHeight="1">
      <c r="R507" s="30"/>
    </row>
    <row r="508" spans="18:18" ht="15.75" customHeight="1">
      <c r="R508" s="30"/>
    </row>
    <row r="509" spans="18:18" ht="15.75" customHeight="1">
      <c r="R509" s="30"/>
    </row>
    <row r="510" spans="18:18" ht="15.75" customHeight="1">
      <c r="R510" s="30"/>
    </row>
    <row r="511" spans="18:18" ht="15.75" customHeight="1">
      <c r="R511" s="30"/>
    </row>
    <row r="512" spans="18:18" ht="15.75" customHeight="1">
      <c r="R512" s="30"/>
    </row>
    <row r="513" spans="18:18" ht="15.75" customHeight="1">
      <c r="R513" s="30"/>
    </row>
    <row r="514" spans="18:18" ht="15.75" customHeight="1">
      <c r="R514" s="30"/>
    </row>
    <row r="515" spans="18:18" ht="15.75" customHeight="1">
      <c r="R515" s="30"/>
    </row>
    <row r="516" spans="18:18" ht="15.75" customHeight="1">
      <c r="R516" s="30"/>
    </row>
    <row r="517" spans="18:18" ht="15.75" customHeight="1">
      <c r="R517" s="30"/>
    </row>
    <row r="518" spans="18:18" ht="15.75" customHeight="1">
      <c r="R518" s="30"/>
    </row>
    <row r="519" spans="18:18" ht="15.75" customHeight="1">
      <c r="R519" s="30"/>
    </row>
    <row r="520" spans="18:18" ht="15.75" customHeight="1">
      <c r="R520" s="30"/>
    </row>
    <row r="521" spans="18:18" ht="15.75" customHeight="1">
      <c r="R521" s="30"/>
    </row>
    <row r="522" spans="18:18" ht="15.75" customHeight="1">
      <c r="R522" s="30"/>
    </row>
    <row r="523" spans="18:18" ht="15.75" customHeight="1">
      <c r="R523" s="30"/>
    </row>
    <row r="524" spans="18:18" ht="15.75" customHeight="1">
      <c r="R524" s="30"/>
    </row>
    <row r="525" spans="18:18" ht="15.75" customHeight="1">
      <c r="R525" s="30"/>
    </row>
    <row r="526" spans="18:18" ht="15.75" customHeight="1">
      <c r="R526" s="30"/>
    </row>
    <row r="527" spans="18:18" ht="15.75" customHeight="1">
      <c r="R527" s="30"/>
    </row>
    <row r="528" spans="18:18" ht="15.75" customHeight="1">
      <c r="R528" s="30"/>
    </row>
    <row r="529" spans="18:18" ht="15.75" customHeight="1">
      <c r="R529" s="30"/>
    </row>
    <row r="530" spans="18:18" ht="15.75" customHeight="1">
      <c r="R530" s="30"/>
    </row>
    <row r="531" spans="18:18" ht="15.75" customHeight="1">
      <c r="R531" s="30"/>
    </row>
    <row r="532" spans="18:18" ht="15.75" customHeight="1">
      <c r="R532" s="30"/>
    </row>
    <row r="533" spans="18:18" ht="15.75" customHeight="1">
      <c r="R533" s="30"/>
    </row>
    <row r="534" spans="18:18" ht="15.75" customHeight="1">
      <c r="R534" s="30"/>
    </row>
    <row r="535" spans="18:18" ht="15.75" customHeight="1">
      <c r="R535" s="30"/>
    </row>
    <row r="536" spans="18:18" ht="15.75" customHeight="1">
      <c r="R536" s="30"/>
    </row>
    <row r="537" spans="18:18" ht="15.75" customHeight="1">
      <c r="R537" s="30"/>
    </row>
    <row r="538" spans="18:18" ht="15.75" customHeight="1">
      <c r="R538" s="30"/>
    </row>
    <row r="539" spans="18:18" ht="15.75" customHeight="1">
      <c r="R539" s="30"/>
    </row>
    <row r="540" spans="18:18" ht="15.75" customHeight="1">
      <c r="R540" s="30"/>
    </row>
    <row r="541" spans="18:18" ht="15.75" customHeight="1">
      <c r="R541" s="30"/>
    </row>
    <row r="542" spans="18:18" ht="15.75" customHeight="1">
      <c r="R542" s="30"/>
    </row>
    <row r="543" spans="18:18" ht="15.75" customHeight="1">
      <c r="R543" s="30"/>
    </row>
    <row r="544" spans="18:18" ht="15.75" customHeight="1">
      <c r="R544" s="30"/>
    </row>
    <row r="545" spans="18:18" ht="15.75" customHeight="1">
      <c r="R545" s="30"/>
    </row>
    <row r="546" spans="18:18" ht="15.75" customHeight="1">
      <c r="R546" s="30"/>
    </row>
    <row r="547" spans="18:18" ht="15.75" customHeight="1">
      <c r="R547" s="30"/>
    </row>
    <row r="548" spans="18:18" ht="15.75" customHeight="1">
      <c r="R548" s="30"/>
    </row>
    <row r="549" spans="18:18" ht="15.75" customHeight="1">
      <c r="R549" s="30"/>
    </row>
    <row r="550" spans="18:18" ht="15.75" customHeight="1">
      <c r="R550" s="30"/>
    </row>
    <row r="551" spans="18:18" ht="15.75" customHeight="1">
      <c r="R551" s="30"/>
    </row>
    <row r="552" spans="18:18" ht="15.75" customHeight="1">
      <c r="R552" s="30"/>
    </row>
    <row r="553" spans="18:18" ht="15.75" customHeight="1">
      <c r="R553" s="30"/>
    </row>
    <row r="554" spans="18:18" ht="15.75" customHeight="1">
      <c r="R554" s="30"/>
    </row>
    <row r="555" spans="18:18" ht="15.75" customHeight="1">
      <c r="R555" s="30"/>
    </row>
    <row r="556" spans="18:18" ht="15.75" customHeight="1">
      <c r="R556" s="30"/>
    </row>
    <row r="557" spans="18:18" ht="15.75" customHeight="1">
      <c r="R557" s="30"/>
    </row>
    <row r="558" spans="18:18" ht="15.75" customHeight="1">
      <c r="R558" s="30"/>
    </row>
    <row r="559" spans="18:18" ht="15.75" customHeight="1">
      <c r="R559" s="30"/>
    </row>
    <row r="560" spans="18:18" ht="15.75" customHeight="1">
      <c r="R560" s="30"/>
    </row>
    <row r="561" spans="18:18" ht="15.75" customHeight="1">
      <c r="R561" s="30"/>
    </row>
    <row r="562" spans="18:18" ht="15.75" customHeight="1">
      <c r="R562" s="30"/>
    </row>
    <row r="563" spans="18:18" ht="15.75" customHeight="1">
      <c r="R563" s="30"/>
    </row>
    <row r="564" spans="18:18" ht="15.75" customHeight="1">
      <c r="R564" s="30"/>
    </row>
    <row r="565" spans="18:18" ht="15.75" customHeight="1">
      <c r="R565" s="30"/>
    </row>
    <row r="566" spans="18:18" ht="15.75" customHeight="1">
      <c r="R566" s="30"/>
    </row>
    <row r="567" spans="18:18" ht="15.75" customHeight="1">
      <c r="R567" s="30"/>
    </row>
    <row r="568" spans="18:18" ht="15.75" customHeight="1">
      <c r="R568" s="30"/>
    </row>
    <row r="569" spans="18:18" ht="15.75" customHeight="1">
      <c r="R569" s="30"/>
    </row>
    <row r="570" spans="18:18" ht="15.75" customHeight="1">
      <c r="R570" s="30"/>
    </row>
    <row r="571" spans="18:18" ht="15.75" customHeight="1">
      <c r="R571" s="30"/>
    </row>
    <row r="572" spans="18:18" ht="15.75" customHeight="1">
      <c r="R572" s="30"/>
    </row>
    <row r="573" spans="18:18" ht="15.75" customHeight="1">
      <c r="R573" s="30"/>
    </row>
    <row r="574" spans="18:18" ht="15.75" customHeight="1">
      <c r="R574" s="30"/>
    </row>
    <row r="575" spans="18:18" ht="15.75" customHeight="1">
      <c r="R575" s="30"/>
    </row>
    <row r="576" spans="18:18" ht="15.75" customHeight="1">
      <c r="R576" s="30"/>
    </row>
    <row r="577" spans="18:18" ht="15.75" customHeight="1">
      <c r="R577" s="30"/>
    </row>
    <row r="578" spans="18:18" ht="15.75" customHeight="1">
      <c r="R578" s="30"/>
    </row>
    <row r="579" spans="18:18" ht="15.75" customHeight="1">
      <c r="R579" s="30"/>
    </row>
    <row r="580" spans="18:18" ht="15.75" customHeight="1">
      <c r="R580" s="30"/>
    </row>
    <row r="581" spans="18:18" ht="15.75" customHeight="1">
      <c r="R581" s="30"/>
    </row>
    <row r="582" spans="18:18" ht="15.75" customHeight="1">
      <c r="R582" s="30"/>
    </row>
    <row r="583" spans="18:18" ht="15.75" customHeight="1">
      <c r="R583" s="30"/>
    </row>
    <row r="584" spans="18:18" ht="15.75" customHeight="1">
      <c r="R584" s="30"/>
    </row>
    <row r="585" spans="18:18" ht="15.75" customHeight="1">
      <c r="R585" s="30"/>
    </row>
    <row r="586" spans="18:18" ht="15.75" customHeight="1">
      <c r="R586" s="30"/>
    </row>
    <row r="587" spans="18:18" ht="15.75" customHeight="1">
      <c r="R587" s="30"/>
    </row>
    <row r="588" spans="18:18" ht="15.75" customHeight="1">
      <c r="R588" s="30"/>
    </row>
    <row r="589" spans="18:18" ht="15.75" customHeight="1">
      <c r="R589" s="30"/>
    </row>
    <row r="590" spans="18:18" ht="15.75" customHeight="1">
      <c r="R590" s="30"/>
    </row>
    <row r="591" spans="18:18" ht="15.75" customHeight="1">
      <c r="R591" s="30"/>
    </row>
    <row r="592" spans="18:18" ht="15.75" customHeight="1">
      <c r="R592" s="30"/>
    </row>
    <row r="593" spans="18:18" ht="15.75" customHeight="1">
      <c r="R593" s="30"/>
    </row>
    <row r="594" spans="18:18" ht="15.75" customHeight="1">
      <c r="R594" s="30"/>
    </row>
    <row r="595" spans="18:18" ht="15.75" customHeight="1">
      <c r="R595" s="30"/>
    </row>
    <row r="596" spans="18:18" ht="15.75" customHeight="1">
      <c r="R596" s="30"/>
    </row>
    <row r="597" spans="18:18" ht="15.75" customHeight="1">
      <c r="R597" s="30"/>
    </row>
    <row r="598" spans="18:18" ht="15.75" customHeight="1">
      <c r="R598" s="30"/>
    </row>
    <row r="599" spans="18:18" ht="15.75" customHeight="1">
      <c r="R599" s="30"/>
    </row>
    <row r="600" spans="18:18" ht="15.75" customHeight="1">
      <c r="R600" s="30"/>
    </row>
    <row r="601" spans="18:18" ht="15.75" customHeight="1">
      <c r="R601" s="30"/>
    </row>
    <row r="602" spans="18:18" ht="15.75" customHeight="1">
      <c r="R602" s="30"/>
    </row>
    <row r="603" spans="18:18" ht="15.75" customHeight="1">
      <c r="R603" s="30"/>
    </row>
    <row r="604" spans="18:18" ht="15.75" customHeight="1">
      <c r="R604" s="30"/>
    </row>
    <row r="605" spans="18:18" ht="15.75" customHeight="1">
      <c r="R605" s="30"/>
    </row>
    <row r="606" spans="18:18" ht="15.75" customHeight="1">
      <c r="R606" s="30"/>
    </row>
    <row r="607" spans="18:18" ht="15.75" customHeight="1">
      <c r="R607" s="30"/>
    </row>
    <row r="608" spans="18:18" ht="15.75" customHeight="1">
      <c r="R608" s="30"/>
    </row>
    <row r="609" spans="18:18" ht="15.75" customHeight="1">
      <c r="R609" s="30"/>
    </row>
    <row r="610" spans="18:18" ht="15.75" customHeight="1">
      <c r="R610" s="30"/>
    </row>
    <row r="611" spans="18:18" ht="15.75" customHeight="1">
      <c r="R611" s="30"/>
    </row>
    <row r="612" spans="18:18" ht="15.75" customHeight="1">
      <c r="R612" s="30"/>
    </row>
    <row r="613" spans="18:18" ht="15.75" customHeight="1">
      <c r="R613" s="30"/>
    </row>
    <row r="614" spans="18:18" ht="15.75" customHeight="1">
      <c r="R614" s="30"/>
    </row>
    <row r="615" spans="18:18" ht="15.75" customHeight="1">
      <c r="R615" s="30"/>
    </row>
    <row r="616" spans="18:18" ht="15.75" customHeight="1">
      <c r="R616" s="30"/>
    </row>
    <row r="617" spans="18:18" ht="15.75" customHeight="1">
      <c r="R617" s="30"/>
    </row>
    <row r="618" spans="18:18" ht="15.75" customHeight="1">
      <c r="R618" s="30"/>
    </row>
    <row r="619" spans="18:18" ht="15.75" customHeight="1">
      <c r="R619" s="30"/>
    </row>
    <row r="620" spans="18:18" ht="15.75" customHeight="1">
      <c r="R620" s="30"/>
    </row>
    <row r="621" spans="18:18" ht="15.75" customHeight="1">
      <c r="R621" s="30"/>
    </row>
    <row r="622" spans="18:18" ht="15.75" customHeight="1">
      <c r="R622" s="30"/>
    </row>
    <row r="623" spans="18:18" ht="15.75" customHeight="1">
      <c r="R623" s="30"/>
    </row>
    <row r="624" spans="18:18" ht="15.75" customHeight="1">
      <c r="R624" s="30"/>
    </row>
    <row r="625" spans="18:18" ht="15.75" customHeight="1">
      <c r="R625" s="30"/>
    </row>
    <row r="626" spans="18:18" ht="15.75" customHeight="1">
      <c r="R626" s="30"/>
    </row>
    <row r="627" spans="18:18" ht="15.75" customHeight="1">
      <c r="R627" s="30"/>
    </row>
    <row r="628" spans="18:18" ht="15.75" customHeight="1">
      <c r="R628" s="30"/>
    </row>
    <row r="629" spans="18:18" ht="15.75" customHeight="1">
      <c r="R629" s="30"/>
    </row>
    <row r="630" spans="18:18" ht="15.75" customHeight="1">
      <c r="R630" s="30"/>
    </row>
    <row r="631" spans="18:18" ht="15.75" customHeight="1">
      <c r="R631" s="30"/>
    </row>
    <row r="632" spans="18:18" ht="15.75" customHeight="1">
      <c r="R632" s="30"/>
    </row>
    <row r="633" spans="18:18" ht="15.75" customHeight="1">
      <c r="R633" s="30"/>
    </row>
    <row r="634" spans="18:18" ht="15.75" customHeight="1">
      <c r="R634" s="30"/>
    </row>
    <row r="635" spans="18:18" ht="15.75" customHeight="1">
      <c r="R635" s="30"/>
    </row>
    <row r="636" spans="18:18" ht="15.75" customHeight="1">
      <c r="R636" s="30"/>
    </row>
    <row r="637" spans="18:18" ht="15.75" customHeight="1">
      <c r="R637" s="30"/>
    </row>
    <row r="638" spans="18:18" ht="15.75" customHeight="1">
      <c r="R638" s="30"/>
    </row>
    <row r="639" spans="18:18" ht="15.75" customHeight="1">
      <c r="R639" s="30"/>
    </row>
    <row r="640" spans="18:18" ht="15.75" customHeight="1">
      <c r="R640" s="30"/>
    </row>
    <row r="641" spans="18:18" ht="15.75" customHeight="1">
      <c r="R641" s="30"/>
    </row>
    <row r="642" spans="18:18" ht="15.75" customHeight="1">
      <c r="R642" s="30"/>
    </row>
    <row r="643" spans="18:18" ht="15.75" customHeight="1">
      <c r="R643" s="30"/>
    </row>
    <row r="644" spans="18:18" ht="15.75" customHeight="1">
      <c r="R644" s="30"/>
    </row>
    <row r="645" spans="18:18" ht="15.75" customHeight="1">
      <c r="R645" s="30"/>
    </row>
    <row r="646" spans="18:18" ht="15.75" customHeight="1">
      <c r="R646" s="30"/>
    </row>
    <row r="647" spans="18:18" ht="15.75" customHeight="1">
      <c r="R647" s="30"/>
    </row>
    <row r="648" spans="18:18" ht="15.75" customHeight="1">
      <c r="R648" s="30"/>
    </row>
    <row r="649" spans="18:18" ht="15.75" customHeight="1">
      <c r="R649" s="30"/>
    </row>
    <row r="650" spans="18:18" ht="15.75" customHeight="1">
      <c r="R650" s="30"/>
    </row>
    <row r="651" spans="18:18" ht="15.75" customHeight="1">
      <c r="R651" s="30"/>
    </row>
    <row r="652" spans="18:18" ht="15.75" customHeight="1">
      <c r="R652" s="30"/>
    </row>
    <row r="653" spans="18:18" ht="15.75" customHeight="1">
      <c r="R653" s="30"/>
    </row>
    <row r="654" spans="18:18" ht="15.75" customHeight="1">
      <c r="R654" s="30"/>
    </row>
    <row r="655" spans="18:18" ht="15.75" customHeight="1">
      <c r="R655" s="30"/>
    </row>
    <row r="656" spans="18:18" ht="15.75" customHeight="1">
      <c r="R656" s="30"/>
    </row>
    <row r="657" spans="18:18" ht="15.75" customHeight="1">
      <c r="R657" s="30"/>
    </row>
    <row r="658" spans="18:18" ht="15.75" customHeight="1">
      <c r="R658" s="30"/>
    </row>
    <row r="659" spans="18:18" ht="15.75" customHeight="1">
      <c r="R659" s="30"/>
    </row>
    <row r="660" spans="18:18" ht="15.75" customHeight="1">
      <c r="R660" s="30"/>
    </row>
    <row r="661" spans="18:18" ht="15.75" customHeight="1">
      <c r="R661" s="30"/>
    </row>
    <row r="662" spans="18:18" ht="15.75" customHeight="1">
      <c r="R662" s="30"/>
    </row>
    <row r="663" spans="18:18" ht="15.75" customHeight="1">
      <c r="R663" s="30"/>
    </row>
    <row r="664" spans="18:18" ht="15.75" customHeight="1">
      <c r="R664" s="30"/>
    </row>
    <row r="665" spans="18:18" ht="15.75" customHeight="1">
      <c r="R665" s="30"/>
    </row>
    <row r="666" spans="18:18" ht="15.75" customHeight="1">
      <c r="R666" s="30"/>
    </row>
    <row r="667" spans="18:18" ht="15.75" customHeight="1">
      <c r="R667" s="30"/>
    </row>
    <row r="668" spans="18:18" ht="15.75" customHeight="1">
      <c r="R668" s="30"/>
    </row>
    <row r="669" spans="18:18" ht="15.75" customHeight="1">
      <c r="R669" s="30"/>
    </row>
    <row r="670" spans="18:18" ht="15.75" customHeight="1">
      <c r="R670" s="30"/>
    </row>
    <row r="671" spans="18:18" ht="15.75" customHeight="1">
      <c r="R671" s="30"/>
    </row>
    <row r="672" spans="18:18" ht="15.75" customHeight="1">
      <c r="R672" s="30"/>
    </row>
    <row r="673" spans="18:18" ht="15.75" customHeight="1">
      <c r="R673" s="30"/>
    </row>
    <row r="674" spans="18:18" ht="15.75" customHeight="1">
      <c r="R674" s="30"/>
    </row>
    <row r="675" spans="18:18" ht="15.75" customHeight="1">
      <c r="R675" s="30"/>
    </row>
    <row r="676" spans="18:18" ht="15.75" customHeight="1">
      <c r="R676" s="30"/>
    </row>
    <row r="677" spans="18:18" ht="15.75" customHeight="1">
      <c r="R677" s="30"/>
    </row>
    <row r="678" spans="18:18" ht="15.75" customHeight="1">
      <c r="R678" s="30"/>
    </row>
    <row r="679" spans="18:18" ht="15.75" customHeight="1">
      <c r="R679" s="30"/>
    </row>
    <row r="680" spans="18:18" ht="15.75" customHeight="1">
      <c r="R680" s="30"/>
    </row>
    <row r="681" spans="18:18" ht="15.75" customHeight="1">
      <c r="R681" s="30"/>
    </row>
    <row r="682" spans="18:18" ht="15.75" customHeight="1">
      <c r="R682" s="30"/>
    </row>
    <row r="683" spans="18:18" ht="15.75" customHeight="1">
      <c r="R683" s="30"/>
    </row>
    <row r="684" spans="18:18" ht="15.75" customHeight="1">
      <c r="R684" s="30"/>
    </row>
    <row r="685" spans="18:18" ht="15.75" customHeight="1">
      <c r="R685" s="30"/>
    </row>
    <row r="686" spans="18:18" ht="15.75" customHeight="1">
      <c r="R686" s="30"/>
    </row>
    <row r="687" spans="18:18" ht="15.75" customHeight="1">
      <c r="R687" s="30"/>
    </row>
    <row r="688" spans="18:18" ht="15.75" customHeight="1">
      <c r="R688" s="30"/>
    </row>
    <row r="689" spans="18:18" ht="15.75" customHeight="1">
      <c r="R689" s="30"/>
    </row>
    <row r="690" spans="18:18" ht="15.75" customHeight="1">
      <c r="R690" s="30"/>
    </row>
    <row r="691" spans="18:18" ht="15.75" customHeight="1">
      <c r="R691" s="30"/>
    </row>
    <row r="692" spans="18:18" ht="15.75" customHeight="1">
      <c r="R692" s="30"/>
    </row>
    <row r="693" spans="18:18" ht="15.75" customHeight="1">
      <c r="R693" s="30"/>
    </row>
    <row r="694" spans="18:18" ht="15.75" customHeight="1">
      <c r="R694" s="30"/>
    </row>
    <row r="695" spans="18:18" ht="15.75" customHeight="1">
      <c r="R695" s="30"/>
    </row>
    <row r="696" spans="18:18" ht="15.75" customHeight="1">
      <c r="R696" s="30"/>
    </row>
    <row r="697" spans="18:18" ht="15.75" customHeight="1">
      <c r="R697" s="30"/>
    </row>
    <row r="698" spans="18:18" ht="15.75" customHeight="1">
      <c r="R698" s="30"/>
    </row>
    <row r="699" spans="18:18" ht="15.75" customHeight="1">
      <c r="R699" s="30"/>
    </row>
    <row r="700" spans="18:18" ht="15.75" customHeight="1">
      <c r="R700" s="30"/>
    </row>
    <row r="701" spans="18:18" ht="15.75" customHeight="1">
      <c r="R701" s="30"/>
    </row>
    <row r="702" spans="18:18" ht="15.75" customHeight="1">
      <c r="R702" s="30"/>
    </row>
    <row r="703" spans="18:18" ht="15.75" customHeight="1">
      <c r="R703" s="30"/>
    </row>
    <row r="704" spans="18:18" ht="15.75" customHeight="1">
      <c r="R704" s="30"/>
    </row>
    <row r="705" spans="18:18" ht="15.75" customHeight="1">
      <c r="R705" s="30"/>
    </row>
    <row r="706" spans="18:18" ht="15.75" customHeight="1">
      <c r="R706" s="30"/>
    </row>
    <row r="707" spans="18:18" ht="15.75" customHeight="1">
      <c r="R707" s="30"/>
    </row>
    <row r="708" spans="18:18" ht="15.75" customHeight="1">
      <c r="R708" s="30"/>
    </row>
    <row r="709" spans="18:18" ht="15.75" customHeight="1">
      <c r="R709" s="30"/>
    </row>
    <row r="710" spans="18:18" ht="15.75" customHeight="1">
      <c r="R710" s="30"/>
    </row>
    <row r="711" spans="18:18" ht="15.75" customHeight="1">
      <c r="R711" s="30"/>
    </row>
    <row r="712" spans="18:18" ht="15.75" customHeight="1">
      <c r="R712" s="30"/>
    </row>
    <row r="713" spans="18:18" ht="15.75" customHeight="1">
      <c r="R713" s="30"/>
    </row>
    <row r="714" spans="18:18" ht="15.75" customHeight="1">
      <c r="R714" s="30"/>
    </row>
    <row r="715" spans="18:18" ht="15.75" customHeight="1">
      <c r="R715" s="30"/>
    </row>
    <row r="716" spans="18:18" ht="15.75" customHeight="1">
      <c r="R716" s="30"/>
    </row>
    <row r="717" spans="18:18" ht="15.75" customHeight="1">
      <c r="R717" s="30"/>
    </row>
    <row r="718" spans="18:18" ht="15.75" customHeight="1">
      <c r="R718" s="30"/>
    </row>
    <row r="719" spans="18:18" ht="15.75" customHeight="1">
      <c r="R719" s="30"/>
    </row>
    <row r="720" spans="18:18" ht="15.75" customHeight="1">
      <c r="R720" s="30"/>
    </row>
    <row r="721" spans="18:18" ht="15.75" customHeight="1">
      <c r="R721" s="30"/>
    </row>
    <row r="722" spans="18:18" ht="15.75" customHeight="1">
      <c r="R722" s="30"/>
    </row>
    <row r="723" spans="18:18" ht="15.75" customHeight="1">
      <c r="R723" s="30"/>
    </row>
    <row r="724" spans="18:18" ht="15.75" customHeight="1">
      <c r="R724" s="30"/>
    </row>
    <row r="725" spans="18:18" ht="15.75" customHeight="1">
      <c r="R725" s="30"/>
    </row>
    <row r="726" spans="18:18" ht="15.75" customHeight="1">
      <c r="R726" s="30"/>
    </row>
    <row r="727" spans="18:18" ht="15.75" customHeight="1">
      <c r="R727" s="30"/>
    </row>
    <row r="728" spans="18:18" ht="15.75" customHeight="1">
      <c r="R728" s="30"/>
    </row>
    <row r="729" spans="18:18" ht="15.75" customHeight="1">
      <c r="R729" s="30"/>
    </row>
    <row r="730" spans="18:18" ht="15.75" customHeight="1">
      <c r="R730" s="30"/>
    </row>
    <row r="731" spans="18:18" ht="15.75" customHeight="1">
      <c r="R731" s="30"/>
    </row>
    <row r="732" spans="18:18" ht="15.75" customHeight="1">
      <c r="R732" s="30"/>
    </row>
    <row r="733" spans="18:18" ht="15.75" customHeight="1">
      <c r="R733" s="30"/>
    </row>
    <row r="734" spans="18:18" ht="15.75" customHeight="1">
      <c r="R734" s="30"/>
    </row>
    <row r="735" spans="18:18" ht="15.75" customHeight="1">
      <c r="R735" s="30"/>
    </row>
    <row r="736" spans="18:18" ht="15.75" customHeight="1">
      <c r="R736" s="30"/>
    </row>
    <row r="737" spans="18:18" ht="15.75" customHeight="1">
      <c r="R737" s="30"/>
    </row>
    <row r="738" spans="18:18" ht="15.75" customHeight="1">
      <c r="R738" s="30"/>
    </row>
    <row r="739" spans="18:18" ht="15.75" customHeight="1">
      <c r="R739" s="30"/>
    </row>
    <row r="740" spans="18:18" ht="15.75" customHeight="1">
      <c r="R740" s="30"/>
    </row>
    <row r="741" spans="18:18" ht="15.75" customHeight="1">
      <c r="R741" s="30"/>
    </row>
    <row r="742" spans="18:18" ht="15.75" customHeight="1">
      <c r="R742" s="30"/>
    </row>
    <row r="743" spans="18:18" ht="15.75" customHeight="1">
      <c r="R743" s="30"/>
    </row>
    <row r="744" spans="18:18" ht="15.75" customHeight="1">
      <c r="R744" s="30"/>
    </row>
    <row r="745" spans="18:18" ht="15.75" customHeight="1">
      <c r="R745" s="30"/>
    </row>
    <row r="746" spans="18:18" ht="15.75" customHeight="1">
      <c r="R746" s="30"/>
    </row>
    <row r="747" spans="18:18" ht="15.75" customHeight="1">
      <c r="R747" s="30"/>
    </row>
    <row r="748" spans="18:18" ht="15.75" customHeight="1">
      <c r="R748" s="30"/>
    </row>
    <row r="749" spans="18:18" ht="15.75" customHeight="1">
      <c r="R749" s="30"/>
    </row>
    <row r="750" spans="18:18" ht="15.75" customHeight="1">
      <c r="R750" s="30"/>
    </row>
    <row r="751" spans="18:18" ht="15.75" customHeight="1">
      <c r="R751" s="30"/>
    </row>
    <row r="752" spans="18:18" ht="15.75" customHeight="1">
      <c r="R752" s="30"/>
    </row>
    <row r="753" spans="18:18" ht="15.75" customHeight="1">
      <c r="R753" s="30"/>
    </row>
    <row r="754" spans="18:18" ht="15.75" customHeight="1">
      <c r="R754" s="30"/>
    </row>
    <row r="755" spans="18:18" ht="15.75" customHeight="1">
      <c r="R755" s="30"/>
    </row>
    <row r="756" spans="18:18" ht="15.75" customHeight="1">
      <c r="R756" s="30"/>
    </row>
    <row r="757" spans="18:18" ht="15.75" customHeight="1">
      <c r="R757" s="30"/>
    </row>
    <row r="758" spans="18:18" ht="15.75" customHeight="1">
      <c r="R758" s="30"/>
    </row>
    <row r="759" spans="18:18" ht="15.75" customHeight="1">
      <c r="R759" s="30"/>
    </row>
    <row r="760" spans="18:18" ht="15.75" customHeight="1">
      <c r="R760" s="30"/>
    </row>
    <row r="761" spans="18:18" ht="15.75" customHeight="1">
      <c r="R761" s="30"/>
    </row>
    <row r="762" spans="18:18" ht="15.75" customHeight="1">
      <c r="R762" s="30"/>
    </row>
    <row r="763" spans="18:18" ht="15.75" customHeight="1">
      <c r="R763" s="30"/>
    </row>
    <row r="764" spans="18:18" ht="15.75" customHeight="1">
      <c r="R764" s="30"/>
    </row>
    <row r="765" spans="18:18" ht="15.75" customHeight="1">
      <c r="R765" s="30"/>
    </row>
    <row r="766" spans="18:18" ht="15.75" customHeight="1">
      <c r="R766" s="30"/>
    </row>
    <row r="767" spans="18:18" ht="15.75" customHeight="1">
      <c r="R767" s="30"/>
    </row>
    <row r="768" spans="18:18" ht="15.75" customHeight="1">
      <c r="R768" s="30"/>
    </row>
    <row r="769" spans="18:18" ht="15.75" customHeight="1">
      <c r="R769" s="30"/>
    </row>
    <row r="770" spans="18:18" ht="15.75" customHeight="1">
      <c r="R770" s="30"/>
    </row>
    <row r="771" spans="18:18" ht="15.75" customHeight="1">
      <c r="R771" s="30"/>
    </row>
    <row r="772" spans="18:18" ht="15.75" customHeight="1">
      <c r="R772" s="30"/>
    </row>
    <row r="773" spans="18:18" ht="15.75" customHeight="1">
      <c r="R773" s="30"/>
    </row>
    <row r="774" spans="18:18" ht="15.75" customHeight="1">
      <c r="R774" s="30"/>
    </row>
    <row r="775" spans="18:18" ht="15.75" customHeight="1">
      <c r="R775" s="30"/>
    </row>
    <row r="776" spans="18:18" ht="15.75" customHeight="1">
      <c r="R776" s="30"/>
    </row>
    <row r="777" spans="18:18" ht="15.75" customHeight="1">
      <c r="R777" s="30"/>
    </row>
    <row r="778" spans="18:18" ht="15.75" customHeight="1">
      <c r="R778" s="30"/>
    </row>
    <row r="779" spans="18:18" ht="15.75" customHeight="1">
      <c r="R779" s="30"/>
    </row>
    <row r="780" spans="18:18" ht="15.75" customHeight="1">
      <c r="R780" s="30"/>
    </row>
    <row r="781" spans="18:18" ht="15.75" customHeight="1">
      <c r="R781" s="30"/>
    </row>
    <row r="782" spans="18:18" ht="15.75" customHeight="1">
      <c r="R782" s="30"/>
    </row>
    <row r="783" spans="18:18" ht="15.75" customHeight="1">
      <c r="R783" s="30"/>
    </row>
    <row r="784" spans="18:18" ht="15.75" customHeight="1">
      <c r="R784" s="30"/>
    </row>
    <row r="785" spans="18:18" ht="15.75" customHeight="1">
      <c r="R785" s="30"/>
    </row>
    <row r="786" spans="18:18" ht="15.75" customHeight="1">
      <c r="R786" s="30"/>
    </row>
    <row r="787" spans="18:18" ht="15.75" customHeight="1">
      <c r="R787" s="30"/>
    </row>
    <row r="788" spans="18:18" ht="15.75" customHeight="1">
      <c r="R788" s="30"/>
    </row>
    <row r="789" spans="18:18" ht="15.75" customHeight="1">
      <c r="R789" s="30"/>
    </row>
    <row r="790" spans="18:18" ht="15.75" customHeight="1">
      <c r="R790" s="30"/>
    </row>
    <row r="791" spans="18:18" ht="15.75" customHeight="1">
      <c r="R791" s="30"/>
    </row>
    <row r="792" spans="18:18" ht="15.75" customHeight="1">
      <c r="R792" s="30"/>
    </row>
    <row r="793" spans="18:18" ht="15.75" customHeight="1">
      <c r="R793" s="30"/>
    </row>
    <row r="794" spans="18:18" ht="15.75" customHeight="1">
      <c r="R794" s="30"/>
    </row>
    <row r="795" spans="18:18" ht="15.75" customHeight="1">
      <c r="R795" s="30"/>
    </row>
    <row r="796" spans="18:18" ht="15.75" customHeight="1">
      <c r="R796" s="30"/>
    </row>
    <row r="797" spans="18:18" ht="15.75" customHeight="1">
      <c r="R797" s="30"/>
    </row>
    <row r="798" spans="18:18" ht="15.75" customHeight="1">
      <c r="R798" s="30"/>
    </row>
    <row r="799" spans="18:18" ht="15.75" customHeight="1">
      <c r="R799" s="30"/>
    </row>
    <row r="800" spans="18:18" ht="15.75" customHeight="1">
      <c r="R800" s="30"/>
    </row>
    <row r="801" spans="18:18" ht="15.75" customHeight="1">
      <c r="R801" s="30"/>
    </row>
    <row r="802" spans="18:18" ht="15.75" customHeight="1">
      <c r="R802" s="30"/>
    </row>
    <row r="803" spans="18:18" ht="15.75" customHeight="1">
      <c r="R803" s="30"/>
    </row>
    <row r="804" spans="18:18" ht="15.75" customHeight="1">
      <c r="R804" s="30"/>
    </row>
    <row r="805" spans="18:18" ht="15.75" customHeight="1">
      <c r="R805" s="30"/>
    </row>
    <row r="806" spans="18:18" ht="15.75" customHeight="1">
      <c r="R806" s="30"/>
    </row>
    <row r="807" spans="18:18" ht="15.75" customHeight="1">
      <c r="R807" s="30"/>
    </row>
    <row r="808" spans="18:18" ht="15.75" customHeight="1">
      <c r="R808" s="30"/>
    </row>
    <row r="809" spans="18:18" ht="15.75" customHeight="1">
      <c r="R809" s="30"/>
    </row>
    <row r="810" spans="18:18" ht="15.75" customHeight="1">
      <c r="R810" s="30"/>
    </row>
    <row r="811" spans="18:18" ht="15.75" customHeight="1">
      <c r="R811" s="30"/>
    </row>
    <row r="812" spans="18:18" ht="15.75" customHeight="1">
      <c r="R812" s="30"/>
    </row>
    <row r="813" spans="18:18" ht="15.75" customHeight="1">
      <c r="R813" s="30"/>
    </row>
    <row r="814" spans="18:18" ht="15.75" customHeight="1">
      <c r="R814" s="30"/>
    </row>
    <row r="815" spans="18:18" ht="15.75" customHeight="1">
      <c r="R815" s="30"/>
    </row>
    <row r="816" spans="18:18" ht="15.75" customHeight="1">
      <c r="R816" s="30"/>
    </row>
    <row r="817" spans="18:18" ht="15.75" customHeight="1">
      <c r="R817" s="30"/>
    </row>
    <row r="818" spans="18:18" ht="15.75" customHeight="1">
      <c r="R818" s="30"/>
    </row>
    <row r="819" spans="18:18" ht="15.75" customHeight="1">
      <c r="R819" s="30"/>
    </row>
    <row r="820" spans="18:18" ht="15.75" customHeight="1">
      <c r="R820" s="30"/>
    </row>
    <row r="821" spans="18:18" ht="15.75" customHeight="1">
      <c r="R821" s="30"/>
    </row>
    <row r="822" spans="18:18" ht="15.75" customHeight="1">
      <c r="R822" s="30"/>
    </row>
    <row r="823" spans="18:18" ht="15.75" customHeight="1">
      <c r="R823" s="30"/>
    </row>
    <row r="824" spans="18:18" ht="15.75" customHeight="1">
      <c r="R824" s="30"/>
    </row>
    <row r="825" spans="18:18" ht="15.75" customHeight="1">
      <c r="R825" s="30"/>
    </row>
    <row r="826" spans="18:18" ht="15.75" customHeight="1">
      <c r="R826" s="30"/>
    </row>
    <row r="827" spans="18:18" ht="15.75" customHeight="1">
      <c r="R827" s="30"/>
    </row>
    <row r="828" spans="18:18" ht="15.75" customHeight="1">
      <c r="R828" s="30"/>
    </row>
    <row r="829" spans="18:18" ht="15.75" customHeight="1">
      <c r="R829" s="30"/>
    </row>
    <row r="830" spans="18:18" ht="15.75" customHeight="1">
      <c r="R830" s="30"/>
    </row>
    <row r="831" spans="18:18" ht="15.75" customHeight="1">
      <c r="R831" s="30"/>
    </row>
    <row r="832" spans="18:18" ht="15.75" customHeight="1">
      <c r="R832" s="30"/>
    </row>
    <row r="833" spans="18:18" ht="15.75" customHeight="1">
      <c r="R833" s="30"/>
    </row>
    <row r="834" spans="18:18" ht="15.75" customHeight="1">
      <c r="R834" s="30"/>
    </row>
    <row r="835" spans="18:18" ht="15.75" customHeight="1">
      <c r="R835" s="30"/>
    </row>
    <row r="836" spans="18:18" ht="15.75" customHeight="1">
      <c r="R836" s="30"/>
    </row>
    <row r="837" spans="18:18" ht="15.75" customHeight="1">
      <c r="R837" s="30"/>
    </row>
    <row r="838" spans="18:18" ht="15.75" customHeight="1">
      <c r="R838" s="30"/>
    </row>
    <row r="839" spans="18:18" ht="15.75" customHeight="1">
      <c r="R839" s="30"/>
    </row>
    <row r="840" spans="18:18" ht="15.75" customHeight="1">
      <c r="R840" s="30"/>
    </row>
    <row r="841" spans="18:18" ht="15.75" customHeight="1">
      <c r="R841" s="30"/>
    </row>
    <row r="842" spans="18:18" ht="15.75" customHeight="1">
      <c r="R842" s="30"/>
    </row>
    <row r="843" spans="18:18" ht="15.75" customHeight="1">
      <c r="R843" s="30"/>
    </row>
    <row r="844" spans="18:18" ht="15.75" customHeight="1">
      <c r="R844" s="30"/>
    </row>
    <row r="845" spans="18:18" ht="15.75" customHeight="1">
      <c r="R845" s="30"/>
    </row>
    <row r="846" spans="18:18" ht="15.75" customHeight="1">
      <c r="R846" s="30"/>
    </row>
    <row r="847" spans="18:18" ht="15.75" customHeight="1">
      <c r="R847" s="30"/>
    </row>
    <row r="848" spans="18:18" ht="15.75" customHeight="1">
      <c r="R848" s="30"/>
    </row>
    <row r="849" spans="18:18" ht="15.75" customHeight="1">
      <c r="R849" s="30"/>
    </row>
    <row r="850" spans="18:18" ht="15.75" customHeight="1">
      <c r="R850" s="30"/>
    </row>
    <row r="851" spans="18:18" ht="15.75" customHeight="1">
      <c r="R851" s="30"/>
    </row>
    <row r="852" spans="18:18" ht="15.75" customHeight="1">
      <c r="R852" s="30"/>
    </row>
    <row r="853" spans="18:18" ht="15.75" customHeight="1">
      <c r="R853" s="30"/>
    </row>
    <row r="854" spans="18:18" ht="15.75" customHeight="1">
      <c r="R854" s="30"/>
    </row>
    <row r="855" spans="18:18" ht="15.75" customHeight="1">
      <c r="R855" s="30"/>
    </row>
    <row r="856" spans="18:18" ht="15.75" customHeight="1">
      <c r="R856" s="30"/>
    </row>
    <row r="857" spans="18:18" ht="15.75" customHeight="1">
      <c r="R857" s="30"/>
    </row>
    <row r="858" spans="18:18" ht="15.75" customHeight="1">
      <c r="R858" s="30"/>
    </row>
    <row r="859" spans="18:18" ht="15.75" customHeight="1">
      <c r="R859" s="30"/>
    </row>
    <row r="860" spans="18:18" ht="15.75" customHeight="1">
      <c r="R860" s="30"/>
    </row>
    <row r="861" spans="18:18" ht="15.75" customHeight="1">
      <c r="R861" s="30"/>
    </row>
    <row r="862" spans="18:18" ht="15.75" customHeight="1">
      <c r="R862" s="30"/>
    </row>
    <row r="863" spans="18:18" ht="15.75" customHeight="1">
      <c r="R863" s="30"/>
    </row>
    <row r="864" spans="18:18" ht="15.75" customHeight="1">
      <c r="R864" s="30"/>
    </row>
    <row r="865" spans="18:18" ht="15.75" customHeight="1">
      <c r="R865" s="30"/>
    </row>
    <row r="866" spans="18:18" ht="15.75" customHeight="1">
      <c r="R866" s="30"/>
    </row>
    <row r="867" spans="18:18" ht="15.75" customHeight="1">
      <c r="R867" s="30"/>
    </row>
    <row r="868" spans="18:18" ht="15.75" customHeight="1">
      <c r="R868" s="30"/>
    </row>
    <row r="869" spans="18:18" ht="15.75" customHeight="1">
      <c r="R869" s="30"/>
    </row>
    <row r="870" spans="18:18" ht="15.75" customHeight="1">
      <c r="R870" s="30"/>
    </row>
    <row r="871" spans="18:18" ht="15.75" customHeight="1">
      <c r="R871" s="30"/>
    </row>
    <row r="872" spans="18:18" ht="15.75" customHeight="1">
      <c r="R872" s="30"/>
    </row>
    <row r="873" spans="18:18" ht="15.75" customHeight="1">
      <c r="R873" s="30"/>
    </row>
    <row r="874" spans="18:18" ht="15.75" customHeight="1">
      <c r="R874" s="30"/>
    </row>
    <row r="875" spans="18:18" ht="15.75" customHeight="1">
      <c r="R875" s="30"/>
    </row>
    <row r="876" spans="18:18" ht="15.75" customHeight="1">
      <c r="R876" s="30"/>
    </row>
    <row r="877" spans="18:18" ht="15.75" customHeight="1">
      <c r="R877" s="30"/>
    </row>
    <row r="878" spans="18:18" ht="15.75" customHeight="1">
      <c r="R878" s="30"/>
    </row>
    <row r="879" spans="18:18" ht="15.75" customHeight="1">
      <c r="R879" s="30"/>
    </row>
    <row r="880" spans="18:18" ht="15.75" customHeight="1">
      <c r="R880" s="30"/>
    </row>
    <row r="881" spans="18:18" ht="15.75" customHeight="1">
      <c r="R881" s="30"/>
    </row>
    <row r="882" spans="18:18" ht="15.75" customHeight="1">
      <c r="R882" s="30"/>
    </row>
    <row r="883" spans="18:18" ht="15.75" customHeight="1">
      <c r="R883" s="30"/>
    </row>
    <row r="884" spans="18:18" ht="15.75" customHeight="1">
      <c r="R884" s="30"/>
    </row>
    <row r="885" spans="18:18" ht="15.75" customHeight="1">
      <c r="R885" s="30"/>
    </row>
    <row r="886" spans="18:18" ht="15.75" customHeight="1">
      <c r="R886" s="30"/>
    </row>
    <row r="887" spans="18:18" ht="15.75" customHeight="1">
      <c r="R887" s="30"/>
    </row>
    <row r="888" spans="18:18" ht="15.75" customHeight="1">
      <c r="R888" s="30"/>
    </row>
    <row r="889" spans="18:18" ht="15.75" customHeight="1">
      <c r="R889" s="30"/>
    </row>
    <row r="890" spans="18:18" ht="15.75" customHeight="1">
      <c r="R890" s="30"/>
    </row>
    <row r="891" spans="18:18" ht="15.75" customHeight="1">
      <c r="R891" s="30"/>
    </row>
    <row r="892" spans="18:18" ht="15.75" customHeight="1">
      <c r="R892" s="30"/>
    </row>
    <row r="893" spans="18:18" ht="15.75" customHeight="1">
      <c r="R893" s="30"/>
    </row>
    <row r="894" spans="18:18" ht="15.75" customHeight="1">
      <c r="R894" s="30"/>
    </row>
    <row r="895" spans="18:18" ht="15.75" customHeight="1">
      <c r="R895" s="30"/>
    </row>
    <row r="896" spans="18:18" ht="15.75" customHeight="1">
      <c r="R896" s="30"/>
    </row>
    <row r="897" spans="18:18" ht="15.75" customHeight="1">
      <c r="R897" s="30"/>
    </row>
    <row r="898" spans="18:18" ht="15.75" customHeight="1">
      <c r="R898" s="30"/>
    </row>
    <row r="899" spans="18:18" ht="15.75" customHeight="1">
      <c r="R899" s="30"/>
    </row>
    <row r="900" spans="18:18" ht="15.75" customHeight="1">
      <c r="R900" s="30"/>
    </row>
    <row r="901" spans="18:18" ht="15.75" customHeight="1">
      <c r="R901" s="30"/>
    </row>
    <row r="902" spans="18:18" ht="15.75" customHeight="1">
      <c r="R902" s="30"/>
    </row>
    <row r="903" spans="18:18" ht="15.75" customHeight="1">
      <c r="R903" s="30"/>
    </row>
    <row r="904" spans="18:18" ht="15.75" customHeight="1">
      <c r="R904" s="30"/>
    </row>
    <row r="905" spans="18:18" ht="15.75" customHeight="1">
      <c r="R905" s="30"/>
    </row>
    <row r="906" spans="18:18" ht="15.75" customHeight="1">
      <c r="R906" s="30"/>
    </row>
    <row r="907" spans="18:18" ht="15.75" customHeight="1">
      <c r="R907" s="30"/>
    </row>
    <row r="908" spans="18:18" ht="15.75" customHeight="1">
      <c r="R908" s="30"/>
    </row>
    <row r="909" spans="18:18" ht="15.75" customHeight="1">
      <c r="R909" s="30"/>
    </row>
    <row r="910" spans="18:18" ht="15.75" customHeight="1">
      <c r="R910" s="30"/>
    </row>
    <row r="911" spans="18:18" ht="15.75" customHeight="1">
      <c r="R911" s="30"/>
    </row>
    <row r="912" spans="18:18" ht="15.75" customHeight="1">
      <c r="R912" s="30"/>
    </row>
    <row r="913" spans="18:18" ht="15.75" customHeight="1">
      <c r="R913" s="30"/>
    </row>
    <row r="914" spans="18:18" ht="15.75" customHeight="1">
      <c r="R914" s="30"/>
    </row>
    <row r="915" spans="18:18" ht="15.75" customHeight="1">
      <c r="R915" s="30"/>
    </row>
    <row r="916" spans="18:18" ht="15.75" customHeight="1">
      <c r="R916" s="30"/>
    </row>
    <row r="917" spans="18:18" ht="15.75" customHeight="1">
      <c r="R917" s="30"/>
    </row>
    <row r="918" spans="18:18" ht="15.75" customHeight="1">
      <c r="R918" s="30"/>
    </row>
    <row r="919" spans="18:18" ht="15.75" customHeight="1">
      <c r="R919" s="30"/>
    </row>
    <row r="920" spans="18:18" ht="15.75" customHeight="1">
      <c r="R920" s="30"/>
    </row>
    <row r="921" spans="18:18" ht="15.75" customHeight="1">
      <c r="R921" s="30"/>
    </row>
    <row r="922" spans="18:18" ht="15.75" customHeight="1">
      <c r="R922" s="30"/>
    </row>
    <row r="923" spans="18:18" ht="15.75" customHeight="1">
      <c r="R923" s="30"/>
    </row>
    <row r="924" spans="18:18" ht="15.75" customHeight="1">
      <c r="R924" s="30"/>
    </row>
    <row r="925" spans="18:18" ht="15.75" customHeight="1">
      <c r="R925" s="30"/>
    </row>
    <row r="926" spans="18:18" ht="15.75" customHeight="1">
      <c r="R926" s="30"/>
    </row>
    <row r="927" spans="18:18" ht="15.75" customHeight="1">
      <c r="R927" s="30"/>
    </row>
    <row r="928" spans="18:18" ht="15.75" customHeight="1">
      <c r="R928" s="30"/>
    </row>
    <row r="929" spans="18:18" ht="15.75" customHeight="1">
      <c r="R929" s="30"/>
    </row>
    <row r="930" spans="18:18" ht="15.75" customHeight="1">
      <c r="R930" s="30"/>
    </row>
    <row r="931" spans="18:18" ht="15.75" customHeight="1">
      <c r="R931" s="30"/>
    </row>
    <row r="932" spans="18:18" ht="15.75" customHeight="1">
      <c r="R932" s="30"/>
    </row>
    <row r="933" spans="18:18" ht="15.75" customHeight="1">
      <c r="R933" s="30"/>
    </row>
    <row r="934" spans="18:18" ht="15.75" customHeight="1">
      <c r="R934" s="30"/>
    </row>
    <row r="935" spans="18:18" ht="15.75" customHeight="1">
      <c r="R935" s="30"/>
    </row>
    <row r="936" spans="18:18" ht="15.75" customHeight="1">
      <c r="R936" s="30"/>
    </row>
    <row r="937" spans="18:18" ht="15.75" customHeight="1">
      <c r="R937" s="30"/>
    </row>
    <row r="938" spans="18:18" ht="15.75" customHeight="1">
      <c r="R938" s="30"/>
    </row>
    <row r="939" spans="18:18" ht="15.75" customHeight="1">
      <c r="R939" s="30"/>
    </row>
    <row r="940" spans="18:18" ht="15.75" customHeight="1">
      <c r="R940" s="30"/>
    </row>
    <row r="941" spans="18:18" ht="15.75" customHeight="1">
      <c r="R941" s="30"/>
    </row>
    <row r="942" spans="18:18" ht="15.75" customHeight="1">
      <c r="R942" s="30"/>
    </row>
    <row r="943" spans="18:18" ht="15.75" customHeight="1">
      <c r="R943" s="30"/>
    </row>
    <row r="944" spans="18:18" ht="15.75" customHeight="1">
      <c r="R944" s="30"/>
    </row>
    <row r="945" spans="18:18" ht="15.75" customHeight="1">
      <c r="R945" s="30"/>
    </row>
    <row r="946" spans="18:18" ht="15.75" customHeight="1">
      <c r="R946" s="30"/>
    </row>
    <row r="947" spans="18:18" ht="15.75" customHeight="1">
      <c r="R947" s="30"/>
    </row>
    <row r="948" spans="18:18" ht="15.75" customHeight="1">
      <c r="R948" s="30"/>
    </row>
    <row r="949" spans="18:18" ht="15.75" customHeight="1">
      <c r="R949" s="30"/>
    </row>
    <row r="950" spans="18:18" ht="15.75" customHeight="1">
      <c r="R950" s="30"/>
    </row>
    <row r="951" spans="18:18" ht="15.75" customHeight="1">
      <c r="R951" s="30"/>
    </row>
    <row r="952" spans="18:18" ht="15.75" customHeight="1">
      <c r="R952" s="30"/>
    </row>
    <row r="953" spans="18:18" ht="15.75" customHeight="1">
      <c r="R953" s="30"/>
    </row>
    <row r="954" spans="18:18" ht="15.75" customHeight="1">
      <c r="R954" s="30"/>
    </row>
    <row r="955" spans="18:18" ht="15.75" customHeight="1">
      <c r="R955" s="30"/>
    </row>
    <row r="956" spans="18:18" ht="15.75" customHeight="1">
      <c r="R956" s="30"/>
    </row>
    <row r="957" spans="18:18" ht="15.75" customHeight="1">
      <c r="R957" s="30"/>
    </row>
    <row r="958" spans="18:18" ht="15.75" customHeight="1">
      <c r="R958" s="30"/>
    </row>
    <row r="959" spans="18:18" ht="15.75" customHeight="1">
      <c r="R959" s="30"/>
    </row>
    <row r="960" spans="18:18" ht="15.75" customHeight="1">
      <c r="R960" s="30"/>
    </row>
    <row r="961" spans="18:18" ht="15.75" customHeight="1">
      <c r="R961" s="30"/>
    </row>
    <row r="962" spans="18:18" ht="15.75" customHeight="1">
      <c r="R962" s="30"/>
    </row>
    <row r="963" spans="18:18" ht="15.75" customHeight="1">
      <c r="R963" s="30"/>
    </row>
    <row r="964" spans="18:18" ht="15.75" customHeight="1">
      <c r="R964" s="30"/>
    </row>
    <row r="965" spans="18:18" ht="15.75" customHeight="1">
      <c r="R965" s="30"/>
    </row>
    <row r="966" spans="18:18" ht="15.75" customHeight="1">
      <c r="R966" s="30"/>
    </row>
    <row r="967" spans="18:18" ht="15.75" customHeight="1">
      <c r="R967" s="30"/>
    </row>
    <row r="968" spans="18:18" ht="15.75" customHeight="1">
      <c r="R968" s="30"/>
    </row>
    <row r="969" spans="18:18" ht="15.75" customHeight="1">
      <c r="R969" s="30"/>
    </row>
    <row r="970" spans="18:18" ht="15.75" customHeight="1">
      <c r="R970" s="30"/>
    </row>
    <row r="971" spans="18:18" ht="15.75" customHeight="1">
      <c r="R971" s="30"/>
    </row>
    <row r="972" spans="18:18" ht="15.75" customHeight="1">
      <c r="R972" s="30"/>
    </row>
    <row r="973" spans="18:18" ht="15.75" customHeight="1">
      <c r="R973" s="30"/>
    </row>
    <row r="974" spans="18:18" ht="15.75" customHeight="1">
      <c r="R974" s="30"/>
    </row>
    <row r="975" spans="18:18" ht="15.75" customHeight="1">
      <c r="R975" s="30"/>
    </row>
    <row r="976" spans="18:18" ht="15.75" customHeight="1">
      <c r="R976" s="30"/>
    </row>
    <row r="977" spans="18:18" ht="15.75" customHeight="1">
      <c r="R977" s="30"/>
    </row>
    <row r="978" spans="18:18" ht="15.75" customHeight="1">
      <c r="R978" s="30"/>
    </row>
    <row r="979" spans="18:18" ht="15.75" customHeight="1">
      <c r="R979" s="30"/>
    </row>
    <row r="980" spans="18:18" ht="15.75" customHeight="1">
      <c r="R980" s="30"/>
    </row>
    <row r="981" spans="18:18" ht="15.75" customHeight="1">
      <c r="R981" s="30"/>
    </row>
    <row r="982" spans="18:18" ht="15.75" customHeight="1">
      <c r="R982" s="30"/>
    </row>
    <row r="983" spans="18:18" ht="15.75" customHeight="1">
      <c r="R983" s="30"/>
    </row>
    <row r="984" spans="18:18" ht="15.75" customHeight="1">
      <c r="R984" s="30"/>
    </row>
    <row r="985" spans="18:18" ht="15.75" customHeight="1">
      <c r="R985" s="30"/>
    </row>
    <row r="986" spans="18:18" ht="15.75" customHeight="1">
      <c r="R986" s="30"/>
    </row>
    <row r="987" spans="18:18" ht="15.75" customHeight="1">
      <c r="R987" s="30"/>
    </row>
    <row r="988" spans="18:18" ht="15.75" customHeight="1">
      <c r="R988" s="30"/>
    </row>
    <row r="989" spans="18:18" ht="15.75" customHeight="1">
      <c r="R989" s="30"/>
    </row>
    <row r="990" spans="18:18" ht="15.75" customHeight="1">
      <c r="R990" s="30"/>
    </row>
    <row r="991" spans="18:18" ht="15.75" customHeight="1">
      <c r="R991" s="30"/>
    </row>
    <row r="992" spans="18:18" ht="15.75" customHeight="1">
      <c r="R992" s="30"/>
    </row>
    <row r="993" spans="18:18" ht="15.75" customHeight="1">
      <c r="R993" s="30"/>
    </row>
    <row r="994" spans="18:18" ht="15.75" customHeight="1">
      <c r="R994" s="30"/>
    </row>
    <row r="995" spans="18:18" ht="15.75" customHeight="1">
      <c r="R995" s="30"/>
    </row>
    <row r="996" spans="18:18" ht="15.75" customHeight="1">
      <c r="R996" s="30"/>
    </row>
    <row r="997" spans="18:18" ht="15.75" customHeight="1">
      <c r="R997" s="30"/>
    </row>
    <row r="998" spans="18:18" ht="15.75" customHeight="1">
      <c r="R998" s="30"/>
    </row>
    <row r="999" spans="18:18" ht="15.75" customHeight="1">
      <c r="R999" s="30"/>
    </row>
    <row r="1000" spans="18:18" ht="15.75" customHeight="1">
      <c r="R1000" s="3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2.6640625" defaultRowHeight="15" customHeight="1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8.6640625" customWidth="1"/>
    <col min="6" max="6" width="9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16.33203125" customWidth="1"/>
    <col min="16" max="16" width="10" customWidth="1"/>
    <col min="17" max="18" width="7.33203125" customWidth="1"/>
    <col min="19" max="19" width="7.1640625" customWidth="1"/>
    <col min="20" max="20" width="11.1640625" customWidth="1"/>
    <col min="21" max="21" width="13.5" customWidth="1"/>
    <col min="22" max="22" width="53.664062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6640625" customWidth="1"/>
    <col min="32" max="32" width="10.1640625" customWidth="1"/>
    <col min="33" max="33" width="8.83203125" customWidth="1"/>
  </cols>
  <sheetData>
    <row r="1" spans="1:33" ht="18.75" customHeight="1">
      <c r="A1" s="46" t="str">
        <f ca="1">IFERROR(__xludf.DUMMYFUNCTION("IFERROR(VLOOKUP(B2,IMPORTRANGE(""https://docs.google.com/spreadsheets/d/1x0DhHglkXKoEBOD2MBsuK_EyIr1ouxD2ftIpqOYFa-k/edit?usp=sharing"",""Ubiquitty-SKU-Specific Info!B1:BJ5000""),3,FALSE),"""")"),"25 Ft Extension Cord with 3 Electrical Power Outlets - 14/3 SJTOW Heavy Duty Black Cable with 3 Prong Grounded Plug for Safety")</f>
        <v>25 Ft Extension Cord with 3 Electrical Power Outlets - 14/3 SJTOW Heavy Duty Black Cable with 3 Prong Grounded Plug for Safety</v>
      </c>
      <c r="B1" s="47"/>
      <c r="C1" s="48" t="s">
        <v>0</v>
      </c>
      <c r="D1" s="50" t="s">
        <v>1</v>
      </c>
      <c r="E1" s="50" t="s">
        <v>2</v>
      </c>
      <c r="F1" s="52" t="s">
        <v>3</v>
      </c>
      <c r="G1" s="52" t="s">
        <v>4</v>
      </c>
      <c r="H1" s="53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58" t="s">
        <v>10</v>
      </c>
      <c r="N1" s="59" t="s">
        <v>11</v>
      </c>
      <c r="O1" s="50" t="s">
        <v>12</v>
      </c>
      <c r="P1" s="50" t="s">
        <v>13</v>
      </c>
      <c r="Q1" s="57" t="s">
        <v>14</v>
      </c>
      <c r="R1" s="57" t="s">
        <v>15</v>
      </c>
      <c r="S1" s="60" t="s">
        <v>16</v>
      </c>
      <c r="T1" s="62" t="s">
        <v>2006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Info!B1:BJ5000""),2,FALSE),"""")"),"B078KG2ND4")</f>
        <v>B078KG2ND4</v>
      </c>
      <c r="B2" s="3" t="s">
        <v>1851</v>
      </c>
      <c r="C2" s="49"/>
      <c r="D2" s="49"/>
      <c r="E2" s="51"/>
      <c r="F2" s="49"/>
      <c r="G2" s="49"/>
      <c r="H2" s="54"/>
      <c r="I2" s="49"/>
      <c r="J2" s="49"/>
      <c r="K2" s="54"/>
      <c r="L2" s="54"/>
      <c r="M2" s="54"/>
      <c r="N2" s="49"/>
      <c r="O2" s="49"/>
      <c r="P2" s="51"/>
      <c r="Q2" s="49"/>
      <c r="R2" s="49"/>
      <c r="S2" s="61"/>
      <c r="T2" s="47"/>
      <c r="U2" s="63"/>
      <c r="V2" s="63"/>
      <c r="W2" s="47"/>
      <c r="X2" s="47"/>
      <c r="Y2" s="47"/>
      <c r="Z2" s="47"/>
      <c r="AA2" s="63"/>
      <c r="AB2" s="63"/>
      <c r="AC2" s="63"/>
      <c r="AD2" s="63"/>
      <c r="AE2" s="47"/>
      <c r="AF2" s="47"/>
      <c r="AG2" s="47"/>
    </row>
    <row r="3" spans="1:33" ht="180.75" customHeight="1">
      <c r="A3" s="55" t="s">
        <v>31</v>
      </c>
      <c r="B3" s="56"/>
      <c r="C3" s="4">
        <f>((AE32+AF32)/0.85)*-1</f>
        <v>17.515303234705883</v>
      </c>
      <c r="D3" s="5">
        <f>SUM(D4:D99765)</f>
        <v>1223</v>
      </c>
      <c r="E3" s="5"/>
      <c r="F3" s="6">
        <f t="shared" ref="F3:G3" si="0">SUM(F4:F99765)</f>
        <v>26674.12000000001</v>
      </c>
      <c r="G3" s="6">
        <f t="shared" si="0"/>
        <v>-153.19000000000005</v>
      </c>
      <c r="H3" s="7">
        <f t="shared" ref="H3:H32" si="1">G3/F3*-1</f>
        <v>5.7430198259586446E-3</v>
      </c>
      <c r="I3" s="8">
        <f t="shared" ref="I3:I32" si="2">J3/F3</f>
        <v>0.2266925352882791</v>
      </c>
      <c r="J3" s="6">
        <f>SUM(J4:J99765)</f>
        <v>6046.8238893837934</v>
      </c>
      <c r="K3" s="6">
        <f t="shared" ref="K3:K32" si="3">J3/D3</f>
        <v>4.9442550199376889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Sheet!a1:g5000""),2,FALSE),"""")"),"7 - March
4 - April
4 - May
5.5 - June
7 - July
7 - Aug
7.5 - Sept
7.5 - Oct
14 - Nov
6.5 - Dec
9 - Jan
7 - Feb")</f>
        <v>7 - March
4 - April
4 - May
5.5 - June
7 - July
7 - Aug
7.5 - Sept
7.5 - Oct
14 - Nov
6.5 - Dec
9 - Jan
7 -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QTY-4")</f>
        <v>Del QTY-4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QTY-0")</f>
        <v>US QTY-0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29</v>
      </c>
      <c r="X3" s="7">
        <f>W3/D3</f>
        <v>2.3712183156173343E-2</v>
      </c>
      <c r="Y3" s="6"/>
      <c r="Z3" s="5"/>
      <c r="AA3" s="5"/>
      <c r="AB3" s="5"/>
      <c r="AC3" s="5"/>
      <c r="AD3" s="6">
        <f>SUM(AD4:AD99765)</f>
        <v>-162.479396397611</v>
      </c>
      <c r="AE3" s="6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Info!B2:BZ3000""),37,FALSE)),"""")*-1"),-9.2080077495)</f>
        <v>-9.2080077495000001</v>
      </c>
      <c r="AG3" s="6">
        <f>SUM(AG4:AG99765)</f>
        <v>0</v>
      </c>
    </row>
    <row r="4" spans="1:33" ht="15.75" customHeight="1">
      <c r="A4" s="14" t="s">
        <v>181</v>
      </c>
      <c r="B4" s="14" t="s">
        <v>66</v>
      </c>
      <c r="C4" s="15">
        <f t="shared" ref="C4:C32" si="4">IFERROR(F4/D4," - ")</f>
        <v>20.162857142857138</v>
      </c>
      <c r="D4" s="16">
        <v>91</v>
      </c>
      <c r="E4" s="16">
        <v>1</v>
      </c>
      <c r="F4" s="17">
        <v>1834.8199999999995</v>
      </c>
      <c r="G4" s="17">
        <v>-134.24</v>
      </c>
      <c r="H4" s="18">
        <f t="shared" si="1"/>
        <v>7.3162490053520268E-2</v>
      </c>
      <c r="I4" s="18">
        <f t="shared" si="2"/>
        <v>0.16740262593121438</v>
      </c>
      <c r="J4" s="17">
        <f t="shared" ref="J4:J32" si="5">F4*0.85+G4+AF4*D4+D4*AE4+AG4+AD4</f>
        <v>307.15368611111069</v>
      </c>
      <c r="K4" s="17">
        <f t="shared" si="3"/>
        <v>3.3753152319902275</v>
      </c>
      <c r="L4" s="16">
        <v>145</v>
      </c>
      <c r="M4" s="19">
        <f t="shared" ref="M4:M32" si="6">IFERROR(D4/L4,"-")</f>
        <v>0.62758620689655176</v>
      </c>
      <c r="N4" s="16">
        <v>135</v>
      </c>
      <c r="O4" s="20">
        <f t="shared" ref="O4:P4" si="7">D4/7</f>
        <v>13</v>
      </c>
      <c r="P4" s="20">
        <f t="shared" si="7"/>
        <v>0.14285714285714285</v>
      </c>
      <c r="Q4" s="16">
        <f t="shared" ref="Q4:Q32" si="8">ROUNDDOWN(N4/(O4+P4),0)</f>
        <v>10</v>
      </c>
      <c r="R4" s="16"/>
      <c r="S4" s="21">
        <v>3.8886956521739098</v>
      </c>
      <c r="T4" s="14">
        <v>720</v>
      </c>
      <c r="U4" s="22">
        <v>108</v>
      </c>
      <c r="V4" s="23" t="s">
        <v>1852</v>
      </c>
      <c r="W4" s="14">
        <v>25</v>
      </c>
      <c r="X4" s="24">
        <f t="shared" ref="X4:X32" si="9">IFERROR(W4/D4,0)</f>
        <v>0.27472527472527475</v>
      </c>
      <c r="Y4" s="25">
        <f t="shared" ref="Y4:Y32" si="10">IFERROR(G4/(W4+Z4)*-1,0)</f>
        <v>3.3560000000000003</v>
      </c>
      <c r="Z4" s="14">
        <v>15</v>
      </c>
      <c r="AA4" s="26" t="s">
        <v>35</v>
      </c>
      <c r="AB4" s="27">
        <f t="shared" ref="AB4:AB32" si="11">IF(OR(AA4="UsLargeStandardSize",AA4="UsSmallStandardSize"),-0.69,-0.48)</f>
        <v>-0.69</v>
      </c>
      <c r="AC4" s="28">
        <v>7.8749999999999987E-2</v>
      </c>
      <c r="AD4" s="25">
        <f t="shared" ref="AD4:AD32" si="12">IFERROR(AB4*AC4*D4*2,0)</f>
        <v>-9.8894249999999975</v>
      </c>
      <c r="AE4" s="25">
        <v>-5.42</v>
      </c>
      <c r="AF4" s="25">
        <v>-6.7592735042735042</v>
      </c>
      <c r="AG4" s="25">
        <v>0</v>
      </c>
    </row>
    <row r="5" spans="1:33" ht="15.75" customHeight="1">
      <c r="A5" s="14" t="s">
        <v>183</v>
      </c>
      <c r="B5" s="14" t="s">
        <v>1853</v>
      </c>
      <c r="C5" s="15">
        <f t="shared" si="4"/>
        <v>20.744583333333349</v>
      </c>
      <c r="D5" s="16">
        <v>48</v>
      </c>
      <c r="E5" s="16">
        <v>2</v>
      </c>
      <c r="F5" s="29">
        <v>995.74000000000069</v>
      </c>
      <c r="G5" s="29">
        <v>-2.58</v>
      </c>
      <c r="H5" s="18">
        <f t="shared" si="1"/>
        <v>2.591037821117961E-3</v>
      </c>
      <c r="I5" s="18">
        <f t="shared" si="2"/>
        <v>0.25505797426931509</v>
      </c>
      <c r="J5" s="17">
        <f t="shared" si="5"/>
        <v>253.97142729892801</v>
      </c>
      <c r="K5" s="17">
        <f t="shared" si="3"/>
        <v>5.2910714020610001</v>
      </c>
      <c r="L5" s="16">
        <v>114</v>
      </c>
      <c r="M5" s="19">
        <f t="shared" si="6"/>
        <v>0.42105263157894735</v>
      </c>
      <c r="N5" s="16">
        <v>131</v>
      </c>
      <c r="O5" s="20">
        <f t="shared" ref="O5:P5" si="13">D5/7</f>
        <v>6.8571428571428568</v>
      </c>
      <c r="P5" s="20">
        <f t="shared" si="13"/>
        <v>0.2857142857142857</v>
      </c>
      <c r="Q5" s="16">
        <f t="shared" si="8"/>
        <v>18</v>
      </c>
      <c r="R5" s="16"/>
      <c r="S5" s="21">
        <v>5.4490238611713604</v>
      </c>
      <c r="T5" s="14">
        <v>720</v>
      </c>
      <c r="U5" s="22">
        <v>108</v>
      </c>
      <c r="V5" s="23" t="s">
        <v>1854</v>
      </c>
      <c r="W5" s="14">
        <v>1</v>
      </c>
      <c r="X5" s="24">
        <f t="shared" si="9"/>
        <v>2.0833333333333332E-2</v>
      </c>
      <c r="Y5" s="25">
        <f t="shared" si="10"/>
        <v>2.58</v>
      </c>
      <c r="Z5" s="14">
        <v>0</v>
      </c>
      <c r="AA5" s="14" t="s">
        <v>35</v>
      </c>
      <c r="AB5" s="27">
        <f t="shared" si="11"/>
        <v>-0.69</v>
      </c>
      <c r="AC5" s="28">
        <v>7.8841251448435679E-2</v>
      </c>
      <c r="AD5" s="25">
        <f t="shared" si="12"/>
        <v>-5.2224444959443783</v>
      </c>
      <c r="AE5" s="25">
        <v>-5.42</v>
      </c>
      <c r="AF5" s="25">
        <v>-6.7592735042735042</v>
      </c>
      <c r="AG5" s="25">
        <v>0</v>
      </c>
    </row>
    <row r="6" spans="1:33" ht="15.75" customHeight="1">
      <c r="A6" s="14" t="s">
        <v>185</v>
      </c>
      <c r="B6" s="14" t="s">
        <v>1855</v>
      </c>
      <c r="C6" s="15">
        <f t="shared" si="4"/>
        <v>21.146376811594216</v>
      </c>
      <c r="D6" s="16">
        <v>69</v>
      </c>
      <c r="E6" s="16">
        <v>1</v>
      </c>
      <c r="F6" s="29">
        <v>1459.1000000000008</v>
      </c>
      <c r="G6" s="29">
        <v>0</v>
      </c>
      <c r="H6" s="18">
        <f t="shared" si="1"/>
        <v>0</v>
      </c>
      <c r="I6" s="18">
        <f t="shared" si="2"/>
        <v>0.26890998095067403</v>
      </c>
      <c r="J6" s="17">
        <f t="shared" si="5"/>
        <v>392.3665532051287</v>
      </c>
      <c r="K6" s="17">
        <f t="shared" si="3"/>
        <v>5.686471785581575</v>
      </c>
      <c r="L6" s="16">
        <v>114</v>
      </c>
      <c r="M6" s="19">
        <f t="shared" si="6"/>
        <v>0.60526315789473684</v>
      </c>
      <c r="N6" s="16">
        <v>55</v>
      </c>
      <c r="O6" s="20">
        <f t="shared" ref="O6:P6" si="14">D6/7</f>
        <v>9.8571428571428577</v>
      </c>
      <c r="P6" s="20">
        <f t="shared" si="14"/>
        <v>0.14285714285714285</v>
      </c>
      <c r="Q6" s="16">
        <f t="shared" si="8"/>
        <v>5</v>
      </c>
      <c r="R6" s="16"/>
      <c r="S6" s="21">
        <v>4.3974763406940003</v>
      </c>
      <c r="T6" s="14">
        <v>972</v>
      </c>
      <c r="U6" s="22">
        <v>204</v>
      </c>
      <c r="V6" s="23" t="s">
        <v>1856</v>
      </c>
      <c r="W6" s="14">
        <v>0</v>
      </c>
      <c r="X6" s="24">
        <f t="shared" si="9"/>
        <v>0</v>
      </c>
      <c r="Y6" s="25">
        <f t="shared" si="10"/>
        <v>0</v>
      </c>
      <c r="Z6" s="14">
        <v>0</v>
      </c>
      <c r="AA6" s="14" t="s">
        <v>35</v>
      </c>
      <c r="AB6" s="27">
        <f t="shared" si="11"/>
        <v>-0.69</v>
      </c>
      <c r="AC6" s="28">
        <v>7.8749999999999987E-2</v>
      </c>
      <c r="AD6" s="25">
        <f t="shared" si="12"/>
        <v>-7.4985749999999989</v>
      </c>
      <c r="AE6" s="25">
        <v>-5.42</v>
      </c>
      <c r="AF6" s="25">
        <v>-6.7592735042735042</v>
      </c>
      <c r="AG6" s="25">
        <v>0</v>
      </c>
    </row>
    <row r="7" spans="1:33" ht="15.75" customHeight="1">
      <c r="A7" s="14" t="s">
        <v>187</v>
      </c>
      <c r="B7" s="14" t="s">
        <v>68</v>
      </c>
      <c r="C7" s="15">
        <f t="shared" si="4"/>
        <v>24.156595744680853</v>
      </c>
      <c r="D7" s="16">
        <v>47</v>
      </c>
      <c r="E7" s="16">
        <v>1</v>
      </c>
      <c r="F7" s="29">
        <v>1135.3600000000001</v>
      </c>
      <c r="G7" s="29">
        <v>0</v>
      </c>
      <c r="H7" s="18">
        <f t="shared" si="1"/>
        <v>0</v>
      </c>
      <c r="I7" s="18">
        <f t="shared" si="2"/>
        <v>0.34132118473360462</v>
      </c>
      <c r="J7" s="17">
        <f t="shared" si="5"/>
        <v>387.52242029914538</v>
      </c>
      <c r="K7" s="17">
        <f t="shared" si="3"/>
        <v>8.2451578787052213</v>
      </c>
      <c r="L7" s="16">
        <v>83</v>
      </c>
      <c r="M7" s="19">
        <f t="shared" si="6"/>
        <v>0.5662650602409639</v>
      </c>
      <c r="N7" s="16">
        <v>37</v>
      </c>
      <c r="O7" s="20">
        <f t="shared" ref="O7:P7" si="15">D7/7</f>
        <v>6.7142857142857144</v>
      </c>
      <c r="P7" s="20">
        <f t="shared" si="15"/>
        <v>0.14285714285714285</v>
      </c>
      <c r="Q7" s="16">
        <f t="shared" si="8"/>
        <v>5</v>
      </c>
      <c r="R7" s="16"/>
      <c r="S7" s="21">
        <v>6.9793103448275797</v>
      </c>
      <c r="T7" s="14">
        <v>1020</v>
      </c>
      <c r="U7" s="22">
        <v>204</v>
      </c>
      <c r="V7" s="23" t="s">
        <v>1857</v>
      </c>
      <c r="W7" s="14">
        <v>0</v>
      </c>
      <c r="X7" s="24">
        <f t="shared" si="9"/>
        <v>0</v>
      </c>
      <c r="Y7" s="25">
        <f t="shared" si="10"/>
        <v>0</v>
      </c>
      <c r="Z7" s="14">
        <v>0</v>
      </c>
      <c r="AA7" s="14" t="s">
        <v>35</v>
      </c>
      <c r="AB7" s="27">
        <f t="shared" si="11"/>
        <v>-0.69</v>
      </c>
      <c r="AC7" s="28">
        <v>7.8749999999999987E-2</v>
      </c>
      <c r="AD7" s="25">
        <f t="shared" si="12"/>
        <v>-5.1077249999999994</v>
      </c>
      <c r="AE7" s="25">
        <v>-5.42</v>
      </c>
      <c r="AF7" s="25">
        <v>-6.7592735042735042</v>
      </c>
      <c r="AG7" s="25">
        <v>0</v>
      </c>
    </row>
    <row r="8" spans="1:33" ht="15.75" customHeight="1">
      <c r="A8" s="14" t="s">
        <v>189</v>
      </c>
      <c r="B8" s="14" t="s">
        <v>1858</v>
      </c>
      <c r="C8" s="15">
        <f t="shared" si="4"/>
        <v>24.413500000000006</v>
      </c>
      <c r="D8" s="16">
        <v>20</v>
      </c>
      <c r="E8" s="16">
        <v>0</v>
      </c>
      <c r="F8" s="29">
        <v>488.2700000000001</v>
      </c>
      <c r="G8" s="29">
        <v>-7.0000000000000007E-2</v>
      </c>
      <c r="H8" s="18">
        <f t="shared" si="1"/>
        <v>1.4336330309050319E-4</v>
      </c>
      <c r="I8" s="18">
        <f t="shared" si="2"/>
        <v>0.34650091138099842</v>
      </c>
      <c r="J8" s="17">
        <f t="shared" si="5"/>
        <v>169.18600000000012</v>
      </c>
      <c r="K8" s="17">
        <f t="shared" si="3"/>
        <v>8.459300000000006</v>
      </c>
      <c r="L8" s="16">
        <v>67</v>
      </c>
      <c r="M8" s="19">
        <f t="shared" si="6"/>
        <v>0.29850746268656714</v>
      </c>
      <c r="N8" s="16">
        <v>218</v>
      </c>
      <c r="O8" s="20">
        <f t="shared" ref="O8:P8" si="16">D8/7</f>
        <v>2.8571428571428572</v>
      </c>
      <c r="P8" s="20">
        <f t="shared" si="16"/>
        <v>0</v>
      </c>
      <c r="Q8" s="16">
        <f t="shared" si="8"/>
        <v>76</v>
      </c>
      <c r="R8" s="16"/>
      <c r="S8" s="21">
        <v>3.9093198992443301</v>
      </c>
      <c r="T8" s="14">
        <v>816</v>
      </c>
      <c r="U8" s="22">
        <v>360</v>
      </c>
      <c r="V8" s="23" t="s">
        <v>1859</v>
      </c>
      <c r="W8" s="14">
        <v>0</v>
      </c>
      <c r="X8" s="24">
        <f t="shared" si="9"/>
        <v>0</v>
      </c>
      <c r="Y8" s="25">
        <f t="shared" si="10"/>
        <v>0</v>
      </c>
      <c r="Z8" s="14">
        <v>0</v>
      </c>
      <c r="AA8" s="14" t="s">
        <v>35</v>
      </c>
      <c r="AB8" s="27">
        <f t="shared" si="11"/>
        <v>-0.69</v>
      </c>
      <c r="AC8" s="28">
        <v>7.8749999999999987E-2</v>
      </c>
      <c r="AD8" s="25">
        <f t="shared" si="12"/>
        <v>-2.1734999999999998</v>
      </c>
      <c r="AE8" s="25">
        <v>-5.42</v>
      </c>
      <c r="AF8" s="25">
        <v>-6.76</v>
      </c>
      <c r="AG8" s="25">
        <v>0</v>
      </c>
    </row>
    <row r="9" spans="1:33" ht="15.75" customHeight="1">
      <c r="A9" s="14" t="s">
        <v>191</v>
      </c>
      <c r="B9" s="14" t="s">
        <v>1860</v>
      </c>
      <c r="C9" s="15">
        <f t="shared" si="4"/>
        <v>22.524285714285718</v>
      </c>
      <c r="D9" s="16">
        <v>14</v>
      </c>
      <c r="E9" s="16">
        <v>0</v>
      </c>
      <c r="F9" s="29">
        <v>315.34000000000003</v>
      </c>
      <c r="G9" s="29">
        <v>0</v>
      </c>
      <c r="H9" s="18">
        <f t="shared" si="1"/>
        <v>0</v>
      </c>
      <c r="I9" s="18">
        <f t="shared" si="2"/>
        <v>0.29706786027725368</v>
      </c>
      <c r="J9" s="17">
        <f t="shared" si="5"/>
        <v>93.677379059829192</v>
      </c>
      <c r="K9" s="17">
        <f t="shared" si="3"/>
        <v>6.6912413614163713</v>
      </c>
      <c r="L9" s="16">
        <v>71</v>
      </c>
      <c r="M9" s="19">
        <f t="shared" si="6"/>
        <v>0.19718309859154928</v>
      </c>
      <c r="N9" s="16">
        <v>204</v>
      </c>
      <c r="O9" s="20">
        <f t="shared" ref="O9:P9" si="17">D9/7</f>
        <v>2</v>
      </c>
      <c r="P9" s="20">
        <f t="shared" si="17"/>
        <v>0</v>
      </c>
      <c r="Q9" s="16">
        <f t="shared" si="8"/>
        <v>102</v>
      </c>
      <c r="R9" s="16"/>
      <c r="S9" s="21">
        <v>4.2014814814814798</v>
      </c>
      <c r="T9" s="14">
        <v>816</v>
      </c>
      <c r="U9" s="22">
        <v>360</v>
      </c>
      <c r="V9" s="23" t="s">
        <v>1861</v>
      </c>
      <c r="W9" s="14">
        <v>0</v>
      </c>
      <c r="X9" s="24">
        <f t="shared" si="9"/>
        <v>0</v>
      </c>
      <c r="Y9" s="25">
        <f t="shared" si="10"/>
        <v>0</v>
      </c>
      <c r="Z9" s="14">
        <v>0</v>
      </c>
      <c r="AA9" s="14" t="s">
        <v>35</v>
      </c>
      <c r="AB9" s="27">
        <f t="shared" si="11"/>
        <v>-0.69</v>
      </c>
      <c r="AC9" s="28">
        <v>7.8749999999999987E-2</v>
      </c>
      <c r="AD9" s="25">
        <f t="shared" si="12"/>
        <v>-1.5214499999999997</v>
      </c>
      <c r="AE9" s="25">
        <v>-5.42</v>
      </c>
      <c r="AF9" s="25">
        <v>-6.9257264957264901</v>
      </c>
      <c r="AG9" s="25">
        <v>0</v>
      </c>
    </row>
    <row r="10" spans="1:33" ht="15.75" customHeight="1">
      <c r="A10" s="14" t="s">
        <v>192</v>
      </c>
      <c r="B10" s="14" t="s">
        <v>992</v>
      </c>
      <c r="C10" s="15">
        <f t="shared" si="4"/>
        <v>19.504358974358976</v>
      </c>
      <c r="D10" s="16">
        <v>39</v>
      </c>
      <c r="E10" s="16">
        <v>1</v>
      </c>
      <c r="F10" s="29">
        <v>760.67000000000007</v>
      </c>
      <c r="G10" s="29">
        <v>0</v>
      </c>
      <c r="H10" s="18">
        <f t="shared" si="1"/>
        <v>0</v>
      </c>
      <c r="I10" s="18">
        <f t="shared" si="2"/>
        <v>0.20887077154569908</v>
      </c>
      <c r="J10" s="17">
        <f t="shared" si="5"/>
        <v>158.88172979166694</v>
      </c>
      <c r="K10" s="17">
        <f t="shared" si="3"/>
        <v>4.0738905074786391</v>
      </c>
      <c r="L10" s="16">
        <v>86</v>
      </c>
      <c r="M10" s="19">
        <f t="shared" si="6"/>
        <v>0.45348837209302323</v>
      </c>
      <c r="N10" s="16">
        <v>130</v>
      </c>
      <c r="O10" s="20">
        <f t="shared" ref="O10:P10" si="18">D10/7</f>
        <v>5.5714285714285712</v>
      </c>
      <c r="P10" s="20">
        <f t="shared" si="18"/>
        <v>0.14285714285714285</v>
      </c>
      <c r="Q10" s="16">
        <f t="shared" si="8"/>
        <v>22</v>
      </c>
      <c r="R10" s="16"/>
      <c r="S10" s="21">
        <v>3.47869674185463</v>
      </c>
      <c r="T10" s="14">
        <v>408</v>
      </c>
      <c r="U10" s="22">
        <v>48</v>
      </c>
      <c r="V10" s="23" t="s">
        <v>1862</v>
      </c>
      <c r="W10" s="14">
        <v>0</v>
      </c>
      <c r="X10" s="24">
        <f t="shared" si="9"/>
        <v>0</v>
      </c>
      <c r="Y10" s="25">
        <f t="shared" si="10"/>
        <v>0</v>
      </c>
      <c r="Z10" s="14">
        <v>0</v>
      </c>
      <c r="AA10" s="14" t="s">
        <v>35</v>
      </c>
      <c r="AB10" s="27">
        <f t="shared" si="11"/>
        <v>-0.69</v>
      </c>
      <c r="AC10" s="28">
        <v>0.11528125000000003</v>
      </c>
      <c r="AD10" s="25">
        <f t="shared" si="12"/>
        <v>-6.2044368750000007</v>
      </c>
      <c r="AE10" s="25">
        <v>-5.42</v>
      </c>
      <c r="AF10" s="25">
        <v>-6.9257264957264901</v>
      </c>
      <c r="AG10" s="25">
        <v>0</v>
      </c>
    </row>
    <row r="11" spans="1:33" ht="15.75" customHeight="1">
      <c r="A11" s="14" t="s">
        <v>193</v>
      </c>
      <c r="B11" s="14" t="s">
        <v>1863</v>
      </c>
      <c r="C11" s="15">
        <f t="shared" si="4"/>
        <v>19.467903225806452</v>
      </c>
      <c r="D11" s="16">
        <v>62</v>
      </c>
      <c r="E11" s="16">
        <v>0</v>
      </c>
      <c r="F11" s="29">
        <v>1207.01</v>
      </c>
      <c r="G11" s="29">
        <v>0</v>
      </c>
      <c r="H11" s="18">
        <f t="shared" si="1"/>
        <v>0</v>
      </c>
      <c r="I11" s="18">
        <f t="shared" si="2"/>
        <v>0.20767018791472944</v>
      </c>
      <c r="J11" s="17">
        <f t="shared" si="5"/>
        <v>250.65999351495759</v>
      </c>
      <c r="K11" s="17">
        <f t="shared" si="3"/>
        <v>4.042903121208993</v>
      </c>
      <c r="L11" s="16">
        <v>117</v>
      </c>
      <c r="M11" s="19">
        <f t="shared" si="6"/>
        <v>0.52991452991452992</v>
      </c>
      <c r="N11" s="16">
        <v>153</v>
      </c>
      <c r="O11" s="20">
        <f t="shared" ref="O11:P11" si="19">D11/7</f>
        <v>8.8571428571428577</v>
      </c>
      <c r="P11" s="20">
        <f t="shared" si="19"/>
        <v>0</v>
      </c>
      <c r="Q11" s="16">
        <f t="shared" si="8"/>
        <v>17</v>
      </c>
      <c r="R11" s="16"/>
      <c r="S11" s="21">
        <v>4.0772946859903296</v>
      </c>
      <c r="T11" s="14">
        <v>972</v>
      </c>
      <c r="U11" s="22">
        <v>48</v>
      </c>
      <c r="V11" s="23" t="s">
        <v>1864</v>
      </c>
      <c r="W11" s="14">
        <v>0</v>
      </c>
      <c r="X11" s="24">
        <f t="shared" si="9"/>
        <v>0</v>
      </c>
      <c r="Y11" s="25">
        <f t="shared" si="10"/>
        <v>0</v>
      </c>
      <c r="Z11" s="14">
        <v>0</v>
      </c>
      <c r="AA11" s="14" t="s">
        <v>35</v>
      </c>
      <c r="AB11" s="27">
        <f t="shared" si="11"/>
        <v>-0.69</v>
      </c>
      <c r="AC11" s="28">
        <v>0.11528125000000003</v>
      </c>
      <c r="AD11" s="25">
        <f t="shared" si="12"/>
        <v>-9.8634637500000011</v>
      </c>
      <c r="AE11" s="25">
        <v>-5.42</v>
      </c>
      <c r="AF11" s="25">
        <v>-6.9257264957264901</v>
      </c>
      <c r="AG11" s="25">
        <v>0</v>
      </c>
    </row>
    <row r="12" spans="1:33" ht="15.75" customHeight="1">
      <c r="A12" s="14" t="s">
        <v>195</v>
      </c>
      <c r="B12" s="14" t="s">
        <v>1865</v>
      </c>
      <c r="C12" s="15">
        <f t="shared" si="4"/>
        <v>21.509090909090911</v>
      </c>
      <c r="D12" s="16">
        <v>33</v>
      </c>
      <c r="E12" s="16">
        <v>0</v>
      </c>
      <c r="F12" s="29">
        <v>709.80000000000007</v>
      </c>
      <c r="G12" s="29">
        <v>0</v>
      </c>
      <c r="H12" s="18">
        <f t="shared" si="1"/>
        <v>0</v>
      </c>
      <c r="I12" s="18">
        <f t="shared" si="2"/>
        <v>0.26862653918854024</v>
      </c>
      <c r="J12" s="17">
        <f t="shared" si="5"/>
        <v>190.67111751602587</v>
      </c>
      <c r="K12" s="17">
        <f t="shared" si="3"/>
        <v>5.7779126520007837</v>
      </c>
      <c r="L12" s="16">
        <v>77</v>
      </c>
      <c r="M12" s="19">
        <f t="shared" si="6"/>
        <v>0.42857142857142855</v>
      </c>
      <c r="N12" s="16">
        <v>98</v>
      </c>
      <c r="O12" s="20">
        <f t="shared" ref="O12:P12" si="20">D12/7</f>
        <v>4.7142857142857144</v>
      </c>
      <c r="P12" s="20">
        <f t="shared" si="20"/>
        <v>0</v>
      </c>
      <c r="Q12" s="16">
        <f t="shared" si="8"/>
        <v>20</v>
      </c>
      <c r="R12" s="16"/>
      <c r="S12" s="21">
        <v>6.3827160493827098</v>
      </c>
      <c r="T12" s="14">
        <v>972</v>
      </c>
      <c r="U12" s="22">
        <v>48</v>
      </c>
      <c r="V12" s="23" t="s">
        <v>1866</v>
      </c>
      <c r="W12" s="14">
        <v>0</v>
      </c>
      <c r="X12" s="24">
        <f t="shared" si="9"/>
        <v>0</v>
      </c>
      <c r="Y12" s="25">
        <f t="shared" si="10"/>
        <v>0</v>
      </c>
      <c r="Z12" s="14">
        <v>0</v>
      </c>
      <c r="AA12" s="14" t="s">
        <v>35</v>
      </c>
      <c r="AB12" s="27">
        <f t="shared" si="11"/>
        <v>-0.69</v>
      </c>
      <c r="AC12" s="28">
        <v>0.11528125000000003</v>
      </c>
      <c r="AD12" s="25">
        <f t="shared" si="12"/>
        <v>-5.249908125000001</v>
      </c>
      <c r="AE12" s="25">
        <v>-5.42</v>
      </c>
      <c r="AF12" s="25">
        <v>-6.9257264957264901</v>
      </c>
      <c r="AG12" s="25">
        <v>0</v>
      </c>
    </row>
    <row r="13" spans="1:33" ht="15.75" customHeight="1">
      <c r="A13" s="14" t="s">
        <v>197</v>
      </c>
      <c r="B13" s="14" t="s">
        <v>911</v>
      </c>
      <c r="C13" s="15">
        <f t="shared" si="4"/>
        <v>24.157368421052631</v>
      </c>
      <c r="D13" s="16">
        <v>19</v>
      </c>
      <c r="E13" s="16">
        <v>0</v>
      </c>
      <c r="F13" s="17">
        <v>458.99</v>
      </c>
      <c r="G13" s="29">
        <v>0</v>
      </c>
      <c r="H13" s="18">
        <f t="shared" si="1"/>
        <v>0</v>
      </c>
      <c r="I13" s="18">
        <f t="shared" si="2"/>
        <v>0.32873372468172879</v>
      </c>
      <c r="J13" s="17">
        <f t="shared" si="5"/>
        <v>150.88549229166671</v>
      </c>
      <c r="K13" s="17">
        <f t="shared" si="3"/>
        <v>7.9413416995614057</v>
      </c>
      <c r="L13" s="16">
        <v>40</v>
      </c>
      <c r="M13" s="19">
        <f t="shared" si="6"/>
        <v>0.47499999999999998</v>
      </c>
      <c r="N13" s="16">
        <v>99</v>
      </c>
      <c r="O13" s="20">
        <f t="shared" ref="O13:P13" si="21">D13/7</f>
        <v>2.7142857142857144</v>
      </c>
      <c r="P13" s="20">
        <f t="shared" si="21"/>
        <v>0</v>
      </c>
      <c r="Q13" s="16">
        <f t="shared" si="8"/>
        <v>36</v>
      </c>
      <c r="R13" s="16"/>
      <c r="S13" s="21">
        <v>4.24193548387096</v>
      </c>
      <c r="T13" s="14">
        <v>972</v>
      </c>
      <c r="U13" s="22">
        <v>48</v>
      </c>
      <c r="V13" s="23" t="s">
        <v>1866</v>
      </c>
      <c r="W13" s="14">
        <v>0</v>
      </c>
      <c r="X13" s="24">
        <f t="shared" si="9"/>
        <v>0</v>
      </c>
      <c r="Y13" s="25">
        <f t="shared" si="10"/>
        <v>0</v>
      </c>
      <c r="Z13" s="14">
        <v>0</v>
      </c>
      <c r="AA13" s="14" t="s">
        <v>35</v>
      </c>
      <c r="AB13" s="27">
        <f t="shared" si="11"/>
        <v>-0.69</v>
      </c>
      <c r="AC13" s="28">
        <v>0.11528125000000003</v>
      </c>
      <c r="AD13" s="25">
        <f t="shared" si="12"/>
        <v>-3.0226743750000002</v>
      </c>
      <c r="AE13" s="25">
        <v>-5.42</v>
      </c>
      <c r="AF13" s="25">
        <v>-7.0133333333333301</v>
      </c>
      <c r="AG13" s="25">
        <v>0</v>
      </c>
    </row>
    <row r="14" spans="1:33" ht="15.75" customHeight="1">
      <c r="A14" s="14" t="s">
        <v>32</v>
      </c>
      <c r="B14" s="14" t="s">
        <v>68</v>
      </c>
      <c r="C14" s="15">
        <f t="shared" si="4"/>
        <v>24.117692307692309</v>
      </c>
      <c r="D14" s="16">
        <v>26</v>
      </c>
      <c r="E14" s="16">
        <v>0</v>
      </c>
      <c r="F14" s="17">
        <v>627.06000000000006</v>
      </c>
      <c r="G14" s="29">
        <v>0</v>
      </c>
      <c r="H14" s="18">
        <f t="shared" si="1"/>
        <v>0</v>
      </c>
      <c r="I14" s="18">
        <f t="shared" si="2"/>
        <v>0.32787618741959862</v>
      </c>
      <c r="J14" s="17">
        <f t="shared" si="5"/>
        <v>205.59804208333352</v>
      </c>
      <c r="K14" s="17">
        <f t="shared" si="3"/>
        <v>7.9076170032051358</v>
      </c>
      <c r="L14" s="16">
        <v>64</v>
      </c>
      <c r="M14" s="19">
        <f t="shared" si="6"/>
        <v>0.40625</v>
      </c>
      <c r="N14" s="16">
        <v>62</v>
      </c>
      <c r="O14" s="20">
        <f t="shared" ref="O14:P14" si="22">D14/7</f>
        <v>3.7142857142857144</v>
      </c>
      <c r="P14" s="20">
        <f t="shared" si="22"/>
        <v>0</v>
      </c>
      <c r="Q14" s="16">
        <f t="shared" si="8"/>
        <v>16</v>
      </c>
      <c r="R14" s="16"/>
      <c r="S14" s="21">
        <v>3.3776435045317199</v>
      </c>
      <c r="T14" s="14">
        <v>972</v>
      </c>
      <c r="U14" s="22">
        <v>48</v>
      </c>
      <c r="V14" s="23" t="s">
        <v>1866</v>
      </c>
      <c r="W14" s="14">
        <v>0</v>
      </c>
      <c r="X14" s="24">
        <f t="shared" si="9"/>
        <v>0</v>
      </c>
      <c r="Y14" s="25">
        <f t="shared" si="10"/>
        <v>0</v>
      </c>
      <c r="Z14" s="14">
        <v>0</v>
      </c>
      <c r="AA14" s="14" t="s">
        <v>35</v>
      </c>
      <c r="AB14" s="27">
        <f t="shared" si="11"/>
        <v>-0.69</v>
      </c>
      <c r="AC14" s="28">
        <v>0.11528125000000003</v>
      </c>
      <c r="AD14" s="25">
        <f t="shared" si="12"/>
        <v>-4.1362912500000011</v>
      </c>
      <c r="AE14" s="25">
        <v>-5.42</v>
      </c>
      <c r="AF14" s="25">
        <v>-7.0133333333333301</v>
      </c>
      <c r="AG14" s="25">
        <v>0</v>
      </c>
    </row>
    <row r="15" spans="1:33" ht="15.75" customHeight="1">
      <c r="A15" s="14" t="s">
        <v>36</v>
      </c>
      <c r="B15" s="14" t="s">
        <v>1867</v>
      </c>
      <c r="C15" s="15">
        <f t="shared" si="4"/>
        <v>23.95</v>
      </c>
      <c r="D15" s="16">
        <v>25</v>
      </c>
      <c r="E15" s="16">
        <v>0</v>
      </c>
      <c r="F15" s="17">
        <v>598.75</v>
      </c>
      <c r="G15" s="29">
        <v>-0.08</v>
      </c>
      <c r="H15" s="18">
        <f t="shared" si="1"/>
        <v>1.3361169102296452E-4</v>
      </c>
      <c r="I15" s="18">
        <f t="shared" si="2"/>
        <v>0.29611183890048731</v>
      </c>
      <c r="J15" s="17">
        <f t="shared" si="5"/>
        <v>177.29696354166677</v>
      </c>
      <c r="K15" s="17">
        <f t="shared" si="3"/>
        <v>7.091878541666671</v>
      </c>
      <c r="L15" s="16">
        <v>58</v>
      </c>
      <c r="M15" s="19">
        <f t="shared" si="6"/>
        <v>0.43103448275862066</v>
      </c>
      <c r="N15" s="16">
        <v>43</v>
      </c>
      <c r="O15" s="20">
        <f t="shared" ref="O15:P15" si="23">D15/7</f>
        <v>3.5714285714285716</v>
      </c>
      <c r="P15" s="20">
        <f t="shared" si="23"/>
        <v>0</v>
      </c>
      <c r="Q15" s="16">
        <f t="shared" si="8"/>
        <v>12</v>
      </c>
      <c r="R15" s="16"/>
      <c r="S15" s="21">
        <v>4.4767676767676701</v>
      </c>
      <c r="T15" s="14">
        <v>972</v>
      </c>
      <c r="U15" s="22">
        <v>48</v>
      </c>
      <c r="V15" s="23" t="s">
        <v>1866</v>
      </c>
      <c r="W15" s="14">
        <v>0</v>
      </c>
      <c r="X15" s="24">
        <f t="shared" si="9"/>
        <v>0</v>
      </c>
      <c r="Y15" s="25">
        <f t="shared" si="10"/>
        <v>0</v>
      </c>
      <c r="Z15" s="14">
        <v>0</v>
      </c>
      <c r="AA15" s="14" t="s">
        <v>35</v>
      </c>
      <c r="AB15" s="27">
        <f t="shared" si="11"/>
        <v>-0.69</v>
      </c>
      <c r="AC15" s="28">
        <v>0.11528125000000003</v>
      </c>
      <c r="AD15" s="25">
        <f t="shared" si="12"/>
        <v>-3.9772031250000008</v>
      </c>
      <c r="AE15" s="25">
        <v>-5.42</v>
      </c>
      <c r="AF15" s="25">
        <v>-7.68333333333333</v>
      </c>
      <c r="AG15" s="25">
        <v>0</v>
      </c>
    </row>
    <row r="16" spans="1:33" ht="15.75" customHeight="1">
      <c r="A16" s="14" t="s">
        <v>38</v>
      </c>
      <c r="B16" s="14" t="s">
        <v>45</v>
      </c>
      <c r="C16" s="15">
        <f t="shared" si="4"/>
        <v>24.907777777777788</v>
      </c>
      <c r="D16" s="16">
        <v>36</v>
      </c>
      <c r="E16" s="16">
        <v>0</v>
      </c>
      <c r="F16" s="17">
        <v>896.6800000000004</v>
      </c>
      <c r="G16" s="29">
        <v>0</v>
      </c>
      <c r="H16" s="18">
        <f t="shared" si="1"/>
        <v>0</v>
      </c>
      <c r="I16" s="18">
        <f t="shared" si="2"/>
        <v>0.31753895202301857</v>
      </c>
      <c r="J16" s="17">
        <f t="shared" si="5"/>
        <v>284.73082750000043</v>
      </c>
      <c r="K16" s="17">
        <f t="shared" si="3"/>
        <v>7.9091896527777896</v>
      </c>
      <c r="L16" s="16">
        <v>71</v>
      </c>
      <c r="M16" s="19">
        <f t="shared" si="6"/>
        <v>0.50704225352112675</v>
      </c>
      <c r="N16" s="16">
        <v>6</v>
      </c>
      <c r="O16" s="20">
        <f t="shared" ref="O16:P16" si="24">D16/7</f>
        <v>5.1428571428571432</v>
      </c>
      <c r="P16" s="20">
        <f t="shared" si="24"/>
        <v>0</v>
      </c>
      <c r="Q16" s="16">
        <f t="shared" si="8"/>
        <v>1</v>
      </c>
      <c r="R16" s="16"/>
      <c r="S16" s="21">
        <v>5.5470737913486001</v>
      </c>
      <c r="T16" s="14">
        <v>972</v>
      </c>
      <c r="U16" s="22">
        <v>48</v>
      </c>
      <c r="V16" s="23" t="s">
        <v>1868</v>
      </c>
      <c r="W16" s="14">
        <v>0</v>
      </c>
      <c r="X16" s="24">
        <f t="shared" si="9"/>
        <v>0</v>
      </c>
      <c r="Y16" s="25">
        <f t="shared" si="10"/>
        <v>0</v>
      </c>
      <c r="Z16" s="14">
        <v>0</v>
      </c>
      <c r="AA16" s="14" t="s">
        <v>35</v>
      </c>
      <c r="AB16" s="27">
        <f t="shared" si="11"/>
        <v>-0.69</v>
      </c>
      <c r="AC16" s="28">
        <v>0.11528125000000003</v>
      </c>
      <c r="AD16" s="25">
        <f t="shared" si="12"/>
        <v>-5.7271725000000009</v>
      </c>
      <c r="AE16" s="25">
        <v>-5.42</v>
      </c>
      <c r="AF16" s="25">
        <v>-7.68333333333333</v>
      </c>
      <c r="AG16" s="25">
        <v>0</v>
      </c>
    </row>
    <row r="17" spans="1:33" ht="15.75" customHeight="1">
      <c r="A17" s="14" t="s">
        <v>40</v>
      </c>
      <c r="B17" s="14" t="s">
        <v>1869</v>
      </c>
      <c r="C17" s="15">
        <f t="shared" si="4"/>
        <v>24.95</v>
      </c>
      <c r="D17" s="16">
        <v>3</v>
      </c>
      <c r="E17" s="16">
        <v>0</v>
      </c>
      <c r="F17" s="17">
        <v>74.849999999999994</v>
      </c>
      <c r="G17" s="29">
        <v>0</v>
      </c>
      <c r="H17" s="18">
        <f t="shared" si="1"/>
        <v>0</v>
      </c>
      <c r="I17" s="18">
        <f t="shared" si="2"/>
        <v>0.31844002171008695</v>
      </c>
      <c r="J17" s="17">
        <f t="shared" si="5"/>
        <v>23.835235625000006</v>
      </c>
      <c r="K17" s="17">
        <f t="shared" si="3"/>
        <v>7.9450785416666685</v>
      </c>
      <c r="L17" s="16">
        <v>8</v>
      </c>
      <c r="M17" s="19">
        <f t="shared" si="6"/>
        <v>0.375</v>
      </c>
      <c r="N17" s="16">
        <v>0</v>
      </c>
      <c r="O17" s="20">
        <f t="shared" ref="O17:P17" si="25">D17/7</f>
        <v>0.42857142857142855</v>
      </c>
      <c r="P17" s="20">
        <f t="shared" si="25"/>
        <v>0</v>
      </c>
      <c r="Q17" s="16">
        <f t="shared" si="8"/>
        <v>0</v>
      </c>
      <c r="R17" s="16"/>
      <c r="S17" s="21">
        <v>4.0168067226890702</v>
      </c>
      <c r="T17" s="14">
        <v>612</v>
      </c>
      <c r="U17" s="22">
        <v>48</v>
      </c>
      <c r="V17" s="23" t="s">
        <v>1870</v>
      </c>
      <c r="W17" s="14">
        <v>0</v>
      </c>
      <c r="X17" s="24">
        <f t="shared" si="9"/>
        <v>0</v>
      </c>
      <c r="Y17" s="25">
        <f t="shared" si="10"/>
        <v>0</v>
      </c>
      <c r="Z17" s="14">
        <v>0</v>
      </c>
      <c r="AA17" s="14" t="s">
        <v>35</v>
      </c>
      <c r="AB17" s="27">
        <f t="shared" si="11"/>
        <v>-0.69</v>
      </c>
      <c r="AC17" s="28">
        <v>0.11528125000000003</v>
      </c>
      <c r="AD17" s="25">
        <f t="shared" si="12"/>
        <v>-0.47726437500000007</v>
      </c>
      <c r="AE17" s="25">
        <v>-5.42</v>
      </c>
      <c r="AF17" s="25">
        <v>-7.68333333333333</v>
      </c>
      <c r="AG17" s="25">
        <v>0</v>
      </c>
    </row>
    <row r="18" spans="1:33" ht="15.75" customHeight="1">
      <c r="A18" s="14" t="s">
        <v>42</v>
      </c>
      <c r="B18" s="14" t="s">
        <v>1321</v>
      </c>
      <c r="C18" s="15">
        <f t="shared" si="4"/>
        <v>22.678421052631574</v>
      </c>
      <c r="D18" s="16">
        <v>19</v>
      </c>
      <c r="E18" s="16">
        <v>0</v>
      </c>
      <c r="F18" s="17">
        <v>430.88999999999987</v>
      </c>
      <c r="G18" s="29">
        <v>0</v>
      </c>
      <c r="H18" s="18">
        <f t="shared" si="1"/>
        <v>0</v>
      </c>
      <c r="I18" s="18">
        <f t="shared" si="2"/>
        <v>0.26519643596200115</v>
      </c>
      <c r="J18" s="17">
        <f t="shared" si="5"/>
        <v>114.27049229166664</v>
      </c>
      <c r="K18" s="17">
        <f t="shared" si="3"/>
        <v>6.0142364364035075</v>
      </c>
      <c r="L18" s="16">
        <v>36</v>
      </c>
      <c r="M18" s="19">
        <f t="shared" si="6"/>
        <v>0.52777777777777779</v>
      </c>
      <c r="N18" s="16">
        <v>351</v>
      </c>
      <c r="O18" s="20">
        <f t="shared" ref="O18:P18" si="26">D18/7</f>
        <v>2.7142857142857144</v>
      </c>
      <c r="P18" s="20">
        <f t="shared" si="26"/>
        <v>0</v>
      </c>
      <c r="Q18" s="16">
        <f t="shared" si="8"/>
        <v>129</v>
      </c>
      <c r="R18" s="16"/>
      <c r="S18" s="21">
        <v>2.1765480895915599</v>
      </c>
      <c r="T18" s="14">
        <v>564</v>
      </c>
      <c r="U18" s="22">
        <v>0</v>
      </c>
      <c r="V18" s="23" t="s">
        <v>1871</v>
      </c>
      <c r="W18" s="14">
        <v>0</v>
      </c>
      <c r="X18" s="24">
        <f t="shared" si="9"/>
        <v>0</v>
      </c>
      <c r="Y18" s="25">
        <f t="shared" si="10"/>
        <v>0</v>
      </c>
      <c r="Z18" s="14">
        <v>0</v>
      </c>
      <c r="AA18" s="14" t="s">
        <v>35</v>
      </c>
      <c r="AB18" s="27">
        <f t="shared" si="11"/>
        <v>-0.69</v>
      </c>
      <c r="AC18" s="28">
        <v>0.11528125000000003</v>
      </c>
      <c r="AD18" s="25">
        <f t="shared" si="12"/>
        <v>-3.0226743750000002</v>
      </c>
      <c r="AE18" s="25">
        <v>-5.42</v>
      </c>
      <c r="AF18" s="25">
        <v>-7.68333333333333</v>
      </c>
      <c r="AG18" s="25">
        <v>0</v>
      </c>
    </row>
    <row r="19" spans="1:33" ht="15.75" customHeight="1">
      <c r="A19" s="14" t="s">
        <v>44</v>
      </c>
      <c r="B19" s="14" t="s">
        <v>64</v>
      </c>
      <c r="C19" s="15">
        <f t="shared" si="4"/>
        <v>20.13034482758621</v>
      </c>
      <c r="D19" s="16">
        <v>29</v>
      </c>
      <c r="E19" s="16">
        <v>1</v>
      </c>
      <c r="F19" s="17">
        <v>583.78000000000009</v>
      </c>
      <c r="G19" s="29">
        <v>0</v>
      </c>
      <c r="H19" s="18">
        <f t="shared" si="1"/>
        <v>0</v>
      </c>
      <c r="I19" s="18">
        <f t="shared" si="2"/>
        <v>0.17378597709468183</v>
      </c>
      <c r="J19" s="17">
        <f t="shared" si="5"/>
        <v>101.45277770833337</v>
      </c>
      <c r="K19" s="17">
        <f t="shared" si="3"/>
        <v>3.4983716451149438</v>
      </c>
      <c r="L19" s="16">
        <v>30</v>
      </c>
      <c r="M19" s="19">
        <f t="shared" si="6"/>
        <v>0.96666666666666667</v>
      </c>
      <c r="N19" s="16">
        <v>366</v>
      </c>
      <c r="O19" s="20">
        <f t="shared" ref="O19:P19" si="27">D19/7</f>
        <v>4.1428571428571432</v>
      </c>
      <c r="P19" s="20">
        <f t="shared" si="27"/>
        <v>0.14285714285714285</v>
      </c>
      <c r="Q19" s="16">
        <f t="shared" si="8"/>
        <v>85</v>
      </c>
      <c r="R19" s="16"/>
      <c r="S19" s="21">
        <v>2.3004552352048502</v>
      </c>
      <c r="T19" s="14">
        <v>564</v>
      </c>
      <c r="U19" s="22">
        <v>408</v>
      </c>
      <c r="V19" s="23" t="s">
        <v>1872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14" t="s">
        <v>35</v>
      </c>
      <c r="AB19" s="27">
        <f t="shared" si="11"/>
        <v>-0.69</v>
      </c>
      <c r="AC19" s="28">
        <v>0.11528125000000003</v>
      </c>
      <c r="AD19" s="25">
        <f t="shared" si="12"/>
        <v>-4.6135556250000009</v>
      </c>
      <c r="AE19" s="25">
        <v>-5.42</v>
      </c>
      <c r="AF19" s="25">
        <v>-8.0333333333333332</v>
      </c>
      <c r="AG19" s="25">
        <v>0</v>
      </c>
    </row>
    <row r="20" spans="1:33" ht="15.75" customHeight="1">
      <c r="A20" s="14" t="s">
        <v>46</v>
      </c>
      <c r="B20" s="14" t="s">
        <v>1873</v>
      </c>
      <c r="C20" s="15">
        <f t="shared" si="4"/>
        <v>19.630945945945939</v>
      </c>
      <c r="D20" s="16">
        <v>74</v>
      </c>
      <c r="E20" s="16">
        <v>0</v>
      </c>
      <c r="F20" s="17">
        <v>1452.6899999999996</v>
      </c>
      <c r="G20" s="29">
        <v>-14.860000000000001</v>
      </c>
      <c r="H20" s="18">
        <f t="shared" si="1"/>
        <v>1.0229298749216973E-2</v>
      </c>
      <c r="I20" s="18">
        <f t="shared" si="2"/>
        <v>0.14774235695158627</v>
      </c>
      <c r="J20" s="17">
        <f t="shared" si="5"/>
        <v>214.62384451999981</v>
      </c>
      <c r="K20" s="17">
        <f t="shared" si="3"/>
        <v>2.9003222232432408</v>
      </c>
      <c r="L20" s="16">
        <v>82</v>
      </c>
      <c r="M20" s="19">
        <f t="shared" si="6"/>
        <v>0.90243902439024393</v>
      </c>
      <c r="N20" s="16">
        <v>276</v>
      </c>
      <c r="O20" s="20">
        <f t="shared" ref="O20:P20" si="28">D20/7</f>
        <v>10.571428571428571</v>
      </c>
      <c r="P20" s="20">
        <f t="shared" si="28"/>
        <v>0</v>
      </c>
      <c r="Q20" s="16">
        <f t="shared" si="8"/>
        <v>26</v>
      </c>
      <c r="R20" s="16"/>
      <c r="S20" s="21">
        <v>2.9664694280078798</v>
      </c>
      <c r="T20" s="14">
        <v>408</v>
      </c>
      <c r="U20" s="22">
        <v>408</v>
      </c>
      <c r="V20" s="23" t="s">
        <v>1874</v>
      </c>
      <c r="W20" s="14">
        <v>3</v>
      </c>
      <c r="X20" s="24">
        <f t="shared" si="9"/>
        <v>4.0540540540540543E-2</v>
      </c>
      <c r="Y20" s="25">
        <f t="shared" si="10"/>
        <v>2.476666666666667</v>
      </c>
      <c r="Z20" s="14">
        <v>3</v>
      </c>
      <c r="AA20" s="14" t="s">
        <v>35</v>
      </c>
      <c r="AB20" s="27">
        <f t="shared" si="11"/>
        <v>-0.69</v>
      </c>
      <c r="AC20" s="28">
        <v>9.5534555555555553E-2</v>
      </c>
      <c r="AD20" s="25">
        <f t="shared" si="12"/>
        <v>-9.7559888133333317</v>
      </c>
      <c r="AE20" s="25">
        <v>-5.42</v>
      </c>
      <c r="AF20" s="25">
        <v>-8.0333333333333332</v>
      </c>
      <c r="AG20" s="25">
        <v>0</v>
      </c>
    </row>
    <row r="21" spans="1:33" ht="15.75" customHeight="1">
      <c r="A21" s="14" t="s">
        <v>47</v>
      </c>
      <c r="B21" s="14" t="s">
        <v>1875</v>
      </c>
      <c r="C21" s="15">
        <f t="shared" si="4"/>
        <v>20.67510204081632</v>
      </c>
      <c r="D21" s="16">
        <v>49</v>
      </c>
      <c r="E21" s="16">
        <v>0</v>
      </c>
      <c r="F21" s="17">
        <v>1013.0799999999997</v>
      </c>
      <c r="G21" s="29">
        <v>-1.3399999999999999</v>
      </c>
      <c r="H21" s="18">
        <f t="shared" si="1"/>
        <v>1.3226990958265885E-3</v>
      </c>
      <c r="I21" s="18">
        <f t="shared" si="2"/>
        <v>0.1915985114897143</v>
      </c>
      <c r="J21" s="17">
        <f t="shared" si="5"/>
        <v>194.10462001999971</v>
      </c>
      <c r="K21" s="17">
        <f t="shared" si="3"/>
        <v>3.9613187759183615</v>
      </c>
      <c r="L21" s="16">
        <v>49</v>
      </c>
      <c r="M21" s="19">
        <f t="shared" si="6"/>
        <v>1</v>
      </c>
      <c r="N21" s="16">
        <v>242</v>
      </c>
      <c r="O21" s="20">
        <f t="shared" ref="O21:P21" si="29">D21/7</f>
        <v>7</v>
      </c>
      <c r="P21" s="20">
        <f t="shared" si="29"/>
        <v>0</v>
      </c>
      <c r="Q21" s="16">
        <f t="shared" si="8"/>
        <v>34</v>
      </c>
      <c r="R21" s="16"/>
      <c r="S21" s="21">
        <v>3.0141843971631199</v>
      </c>
      <c r="T21" s="14">
        <v>564</v>
      </c>
      <c r="U21" s="22">
        <v>408</v>
      </c>
      <c r="V21" s="23" t="s">
        <v>1876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14" t="s">
        <v>35</v>
      </c>
      <c r="AB21" s="27">
        <f t="shared" si="11"/>
        <v>-0.69</v>
      </c>
      <c r="AC21" s="28">
        <v>9.5534555555555553E-2</v>
      </c>
      <c r="AD21" s="25">
        <f t="shared" si="12"/>
        <v>-6.4600466466666662</v>
      </c>
      <c r="AE21" s="25">
        <v>-5.42</v>
      </c>
      <c r="AF21" s="25">
        <v>-8.0333333333333332</v>
      </c>
      <c r="AG21" s="25">
        <v>0</v>
      </c>
    </row>
    <row r="22" spans="1:33" ht="15.75" customHeight="1">
      <c r="A22" s="14" t="s">
        <v>48</v>
      </c>
      <c r="B22" s="14" t="s">
        <v>68</v>
      </c>
      <c r="C22" s="15">
        <f t="shared" si="4"/>
        <v>21.677954545454547</v>
      </c>
      <c r="D22" s="16">
        <v>44</v>
      </c>
      <c r="E22" s="16">
        <v>0</v>
      </c>
      <c r="F22" s="29">
        <v>953.83</v>
      </c>
      <c r="G22" s="29">
        <v>0</v>
      </c>
      <c r="H22" s="18">
        <f t="shared" si="1"/>
        <v>0</v>
      </c>
      <c r="I22" s="18">
        <f t="shared" si="2"/>
        <v>0.22331859463426398</v>
      </c>
      <c r="J22" s="17">
        <f t="shared" si="5"/>
        <v>213.00797512000003</v>
      </c>
      <c r="K22" s="17">
        <f t="shared" si="3"/>
        <v>4.8410903436363641</v>
      </c>
      <c r="L22" s="16">
        <v>77</v>
      </c>
      <c r="M22" s="19">
        <f t="shared" si="6"/>
        <v>0.5714285714285714</v>
      </c>
      <c r="N22" s="16">
        <v>203</v>
      </c>
      <c r="O22" s="20">
        <f t="shared" ref="O22:P22" si="30">D22/7</f>
        <v>6.2857142857142856</v>
      </c>
      <c r="P22" s="20">
        <f t="shared" si="30"/>
        <v>0</v>
      </c>
      <c r="Q22" s="16">
        <f t="shared" si="8"/>
        <v>32</v>
      </c>
      <c r="R22" s="16"/>
      <c r="S22" s="21">
        <v>2.1099415204678298</v>
      </c>
      <c r="T22" s="14">
        <v>492</v>
      </c>
      <c r="U22" s="22">
        <v>408</v>
      </c>
      <c r="V22" s="23" t="s">
        <v>1877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35</v>
      </c>
      <c r="AB22" s="27">
        <f t="shared" si="11"/>
        <v>-0.69</v>
      </c>
      <c r="AC22" s="28">
        <v>9.5534555555555553E-2</v>
      </c>
      <c r="AD22" s="25">
        <f t="shared" si="12"/>
        <v>-5.8008582133333322</v>
      </c>
      <c r="AE22" s="25">
        <v>-5.42</v>
      </c>
      <c r="AF22" s="25">
        <v>-8.0333333333333332</v>
      </c>
      <c r="AG22" s="25">
        <v>0</v>
      </c>
    </row>
    <row r="23" spans="1:33" ht="15.75" customHeight="1">
      <c r="A23" s="14" t="s">
        <v>49</v>
      </c>
      <c r="B23" s="14" t="s">
        <v>68</v>
      </c>
      <c r="C23" s="15">
        <f t="shared" si="4"/>
        <v>22.331836734693887</v>
      </c>
      <c r="D23" s="16">
        <v>49</v>
      </c>
      <c r="E23" s="16">
        <v>0</v>
      </c>
      <c r="F23" s="17">
        <v>1094.2600000000004</v>
      </c>
      <c r="G23" s="29">
        <v>0</v>
      </c>
      <c r="H23" s="18">
        <f t="shared" si="1"/>
        <v>0</v>
      </c>
      <c r="I23" s="18">
        <f t="shared" si="2"/>
        <v>0.24166799482755491</v>
      </c>
      <c r="J23" s="17">
        <f t="shared" si="5"/>
        <v>264.44762002000033</v>
      </c>
      <c r="K23" s="17">
        <f t="shared" si="3"/>
        <v>5.3968902044898028</v>
      </c>
      <c r="L23" s="16">
        <v>64</v>
      </c>
      <c r="M23" s="19">
        <f t="shared" si="6"/>
        <v>0.765625</v>
      </c>
      <c r="N23" s="16">
        <v>151</v>
      </c>
      <c r="O23" s="20">
        <f t="shared" ref="O23:P23" si="31">D23/7</f>
        <v>7</v>
      </c>
      <c r="P23" s="20">
        <f t="shared" si="31"/>
        <v>0</v>
      </c>
      <c r="Q23" s="16">
        <f t="shared" si="8"/>
        <v>21</v>
      </c>
      <c r="R23" s="16"/>
      <c r="S23" s="21">
        <v>2.31265508684863</v>
      </c>
      <c r="T23" s="14">
        <v>972</v>
      </c>
      <c r="U23" s="22">
        <v>408</v>
      </c>
      <c r="V23" s="23" t="s">
        <v>1877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35</v>
      </c>
      <c r="AB23" s="27">
        <f t="shared" si="11"/>
        <v>-0.69</v>
      </c>
      <c r="AC23" s="28">
        <v>9.5534555555555553E-2</v>
      </c>
      <c r="AD23" s="25">
        <f t="shared" si="12"/>
        <v>-6.4600466466666662</v>
      </c>
      <c r="AE23" s="25">
        <v>-5.42</v>
      </c>
      <c r="AF23" s="25">
        <v>-8.0333333333333332</v>
      </c>
      <c r="AG23" s="25">
        <v>0</v>
      </c>
    </row>
    <row r="24" spans="1:33" ht="15.75" customHeight="1">
      <c r="A24" s="14" t="s">
        <v>50</v>
      </c>
      <c r="B24" s="14" t="s">
        <v>1878</v>
      </c>
      <c r="C24" s="15">
        <f t="shared" si="4"/>
        <v>21.950000000000014</v>
      </c>
      <c r="D24" s="16">
        <v>46</v>
      </c>
      <c r="E24" s="16">
        <v>0</v>
      </c>
      <c r="F24" s="17">
        <v>1009.7000000000006</v>
      </c>
      <c r="G24" s="17">
        <v>0</v>
      </c>
      <c r="H24" s="18">
        <f t="shared" si="1"/>
        <v>0</v>
      </c>
      <c r="I24" s="18">
        <f t="shared" si="2"/>
        <v>0.23108560273348555</v>
      </c>
      <c r="J24" s="17">
        <f t="shared" si="5"/>
        <v>233.32713308000049</v>
      </c>
      <c r="K24" s="17">
        <f t="shared" si="3"/>
        <v>5.0723289800000106</v>
      </c>
      <c r="L24" s="16">
        <v>56</v>
      </c>
      <c r="M24" s="19">
        <f t="shared" si="6"/>
        <v>0.8214285714285714</v>
      </c>
      <c r="N24" s="16">
        <v>116</v>
      </c>
      <c r="O24" s="20">
        <f t="shared" ref="O24:P24" si="32">D24/7</f>
        <v>6.5714285714285712</v>
      </c>
      <c r="P24" s="20">
        <f t="shared" si="32"/>
        <v>0</v>
      </c>
      <c r="Q24" s="16">
        <f t="shared" si="8"/>
        <v>17</v>
      </c>
      <c r="R24" s="16"/>
      <c r="S24" s="21">
        <v>2.9033280507131498</v>
      </c>
      <c r="T24" s="14">
        <v>972</v>
      </c>
      <c r="U24" s="22">
        <v>408</v>
      </c>
      <c r="V24" s="23" t="s">
        <v>1879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14" t="s">
        <v>35</v>
      </c>
      <c r="AB24" s="27">
        <f t="shared" si="11"/>
        <v>-0.69</v>
      </c>
      <c r="AC24" s="28">
        <v>9.5534555555555553E-2</v>
      </c>
      <c r="AD24" s="25">
        <f t="shared" si="12"/>
        <v>-6.0645335866666654</v>
      </c>
      <c r="AE24" s="25">
        <v>-5.42</v>
      </c>
      <c r="AF24" s="25">
        <v>-8.0333333333333332</v>
      </c>
      <c r="AG24" s="25">
        <v>0</v>
      </c>
    </row>
    <row r="25" spans="1:33" ht="15.75" customHeight="1">
      <c r="A25" s="14" t="s">
        <v>51</v>
      </c>
      <c r="B25" s="14"/>
      <c r="C25" s="15">
        <f t="shared" si="4"/>
        <v>23.819523809523812</v>
      </c>
      <c r="D25" s="16">
        <v>63</v>
      </c>
      <c r="E25" s="16">
        <v>0</v>
      </c>
      <c r="F25" s="17">
        <v>1500.63</v>
      </c>
      <c r="G25" s="17">
        <v>0</v>
      </c>
      <c r="H25" s="18">
        <f t="shared" si="1"/>
        <v>0</v>
      </c>
      <c r="I25" s="18">
        <f t="shared" si="2"/>
        <v>0.27980230019391888</v>
      </c>
      <c r="J25" s="17">
        <f t="shared" si="5"/>
        <v>419.87972574000054</v>
      </c>
      <c r="K25" s="17">
        <f t="shared" si="3"/>
        <v>6.66475755142858</v>
      </c>
      <c r="L25" s="16">
        <v>84</v>
      </c>
      <c r="M25" s="19">
        <f t="shared" si="6"/>
        <v>0.75</v>
      </c>
      <c r="N25" s="16">
        <v>33</v>
      </c>
      <c r="O25" s="20">
        <f t="shared" ref="O25:P25" si="33">D25/7</f>
        <v>9</v>
      </c>
      <c r="P25" s="20">
        <f t="shared" si="33"/>
        <v>0</v>
      </c>
      <c r="Q25" s="16">
        <f t="shared" si="8"/>
        <v>3</v>
      </c>
      <c r="R25" s="16"/>
      <c r="S25" s="21">
        <v>4.4951456310679614</v>
      </c>
      <c r="T25" s="14">
        <v>1584</v>
      </c>
      <c r="U25" s="22">
        <v>408</v>
      </c>
      <c r="V25" s="23" t="s">
        <v>1880</v>
      </c>
      <c r="W25" s="30">
        <v>0</v>
      </c>
      <c r="X25" s="24">
        <f t="shared" si="9"/>
        <v>0</v>
      </c>
      <c r="Y25" s="25">
        <f t="shared" si="10"/>
        <v>0</v>
      </c>
      <c r="Z25" s="30">
        <v>0</v>
      </c>
      <c r="AA25" s="14" t="s">
        <v>35</v>
      </c>
      <c r="AB25" s="27">
        <f t="shared" si="11"/>
        <v>-0.69</v>
      </c>
      <c r="AC25" s="28">
        <v>9.5534555555555553E-2</v>
      </c>
      <c r="AD25" s="25">
        <f t="shared" si="12"/>
        <v>-8.305774259999998</v>
      </c>
      <c r="AE25" s="25">
        <v>-5.42</v>
      </c>
      <c r="AF25" s="25">
        <v>-8.0299999999999905</v>
      </c>
      <c r="AG25" s="25">
        <v>0</v>
      </c>
    </row>
    <row r="26" spans="1:33" ht="15.75" customHeight="1">
      <c r="A26" s="14" t="s">
        <v>52</v>
      </c>
      <c r="B26" s="14" t="s">
        <v>1881</v>
      </c>
      <c r="C26" s="15">
        <f t="shared" si="4"/>
        <v>25.286842105263158</v>
      </c>
      <c r="D26" s="16">
        <v>38</v>
      </c>
      <c r="E26" s="16">
        <v>0</v>
      </c>
      <c r="F26" s="17">
        <v>960.9</v>
      </c>
      <c r="G26" s="17">
        <v>0</v>
      </c>
      <c r="H26" s="18">
        <f t="shared" si="1"/>
        <v>0</v>
      </c>
      <c r="I26" s="18">
        <f t="shared" si="2"/>
        <v>0.3127573121448643</v>
      </c>
      <c r="J26" s="17">
        <f t="shared" si="5"/>
        <v>300.52850124000008</v>
      </c>
      <c r="K26" s="17">
        <f t="shared" si="3"/>
        <v>7.9086447694736863</v>
      </c>
      <c r="L26" s="16">
        <v>58</v>
      </c>
      <c r="M26" s="19">
        <f t="shared" si="6"/>
        <v>0.65517241379310343</v>
      </c>
      <c r="N26" s="16">
        <v>2</v>
      </c>
      <c r="O26" s="20">
        <f t="shared" ref="O26:P26" si="34">D26/7</f>
        <v>5.4285714285714288</v>
      </c>
      <c r="P26" s="20">
        <f t="shared" si="34"/>
        <v>0</v>
      </c>
      <c r="Q26" s="16">
        <f t="shared" si="8"/>
        <v>0</v>
      </c>
      <c r="R26" s="16"/>
      <c r="S26" s="21">
        <v>2.821529745042493</v>
      </c>
      <c r="T26" s="14">
        <v>1584</v>
      </c>
      <c r="U26" s="22">
        <v>408</v>
      </c>
      <c r="V26" s="23" t="s">
        <v>1882</v>
      </c>
      <c r="W26" s="30">
        <v>0</v>
      </c>
      <c r="X26" s="24">
        <f t="shared" si="9"/>
        <v>0</v>
      </c>
      <c r="Y26" s="25">
        <f t="shared" si="10"/>
        <v>0</v>
      </c>
      <c r="Z26" s="30">
        <v>0</v>
      </c>
      <c r="AA26" s="14" t="s">
        <v>35</v>
      </c>
      <c r="AB26" s="27">
        <f t="shared" si="11"/>
        <v>-0.69</v>
      </c>
      <c r="AC26" s="28">
        <v>9.5534555555555553E-2</v>
      </c>
      <c r="AD26" s="25">
        <f t="shared" si="12"/>
        <v>-5.0098320933333325</v>
      </c>
      <c r="AE26" s="25">
        <v>-5.42</v>
      </c>
      <c r="AF26" s="25">
        <v>-8.0333333333333297</v>
      </c>
      <c r="AG26" s="25">
        <v>0</v>
      </c>
    </row>
    <row r="27" spans="1:33" ht="15.75" customHeight="1">
      <c r="A27" s="14" t="s">
        <v>53</v>
      </c>
      <c r="B27" s="14" t="s">
        <v>1883</v>
      </c>
      <c r="C27" s="15">
        <f t="shared" si="4"/>
        <v>23.616</v>
      </c>
      <c r="D27" s="16">
        <v>15</v>
      </c>
      <c r="E27" s="16">
        <v>0</v>
      </c>
      <c r="F27" s="17">
        <v>354.24</v>
      </c>
      <c r="G27" s="17">
        <v>0</v>
      </c>
      <c r="H27" s="18">
        <f t="shared" si="1"/>
        <v>0</v>
      </c>
      <c r="I27" s="18">
        <f t="shared" si="2"/>
        <v>0.20004498278003613</v>
      </c>
      <c r="J27" s="17">
        <f t="shared" si="5"/>
        <v>70.863934700000001</v>
      </c>
      <c r="K27" s="17">
        <f t="shared" si="3"/>
        <v>4.724262313333333</v>
      </c>
      <c r="L27" s="16">
        <v>31</v>
      </c>
      <c r="M27" s="19">
        <f t="shared" si="6"/>
        <v>0.4838709677419355</v>
      </c>
      <c r="N27" s="16">
        <v>408</v>
      </c>
      <c r="O27" s="20">
        <f t="shared" ref="O27:P27" si="35">D27/7</f>
        <v>2.1428571428571428</v>
      </c>
      <c r="P27" s="20">
        <f t="shared" si="35"/>
        <v>0</v>
      </c>
      <c r="Q27" s="16">
        <f t="shared" si="8"/>
        <v>190</v>
      </c>
      <c r="R27" s="16"/>
      <c r="S27" s="21">
        <v>1.832380952380952</v>
      </c>
      <c r="T27" s="14">
        <v>1176</v>
      </c>
      <c r="U27" s="22">
        <v>84</v>
      </c>
      <c r="V27" s="23" t="s">
        <v>1884</v>
      </c>
      <c r="W27" s="30">
        <v>0</v>
      </c>
      <c r="X27" s="24">
        <f t="shared" si="9"/>
        <v>0</v>
      </c>
      <c r="Y27" s="25">
        <f t="shared" si="10"/>
        <v>0</v>
      </c>
      <c r="Z27" s="30">
        <v>0</v>
      </c>
      <c r="AA27" s="14" t="s">
        <v>35</v>
      </c>
      <c r="AB27" s="27">
        <f t="shared" si="11"/>
        <v>-0.69</v>
      </c>
      <c r="AC27" s="28">
        <v>9.5534555555555553E-2</v>
      </c>
      <c r="AD27" s="25">
        <f t="shared" si="12"/>
        <v>-1.9775652999999997</v>
      </c>
      <c r="AE27" s="25">
        <v>-5.68</v>
      </c>
      <c r="AF27" s="25">
        <v>-9.5374999999999996</v>
      </c>
      <c r="AG27" s="25">
        <v>0</v>
      </c>
    </row>
    <row r="28" spans="1:33" ht="15.75" customHeight="1">
      <c r="A28" s="14" t="s">
        <v>54</v>
      </c>
      <c r="B28" s="14" t="s">
        <v>1885</v>
      </c>
      <c r="C28" s="15">
        <f t="shared" si="4"/>
        <v>20.320869565217393</v>
      </c>
      <c r="D28" s="16">
        <v>69</v>
      </c>
      <c r="E28" s="16">
        <v>0</v>
      </c>
      <c r="F28" s="17">
        <v>1402.14</v>
      </c>
      <c r="G28" s="17">
        <v>-0.02</v>
      </c>
      <c r="H28" s="18">
        <f t="shared" si="1"/>
        <v>1.4263910879084826E-5</v>
      </c>
      <c r="I28" s="18">
        <f t="shared" si="2"/>
        <v>9.4637268475330591E-2</v>
      </c>
      <c r="J28" s="17">
        <f t="shared" si="5"/>
        <v>132.69469962000005</v>
      </c>
      <c r="K28" s="17">
        <f t="shared" si="3"/>
        <v>1.9231115886956529</v>
      </c>
      <c r="L28" s="16">
        <v>63</v>
      </c>
      <c r="M28" s="19">
        <f t="shared" si="6"/>
        <v>1.0952380952380953</v>
      </c>
      <c r="N28" s="16">
        <v>336</v>
      </c>
      <c r="O28" s="20">
        <f t="shared" ref="O28:P28" si="36">D28/7</f>
        <v>9.8571428571428577</v>
      </c>
      <c r="P28" s="20">
        <f t="shared" si="36"/>
        <v>0</v>
      </c>
      <c r="Q28" s="16">
        <f t="shared" si="8"/>
        <v>34</v>
      </c>
      <c r="R28" s="16"/>
      <c r="S28" s="21">
        <v>2.354838709677419</v>
      </c>
      <c r="T28" s="14">
        <v>1380</v>
      </c>
      <c r="U28" s="22">
        <v>44384</v>
      </c>
      <c r="V28" s="23" t="s">
        <v>1884</v>
      </c>
      <c r="W28" s="30">
        <v>0</v>
      </c>
      <c r="X28" s="24">
        <f t="shared" si="9"/>
        <v>0</v>
      </c>
      <c r="Y28" s="25">
        <f t="shared" si="10"/>
        <v>0</v>
      </c>
      <c r="Z28" s="30">
        <v>0</v>
      </c>
      <c r="AA28" s="14" t="s">
        <v>35</v>
      </c>
      <c r="AB28" s="27">
        <f t="shared" si="11"/>
        <v>-0.69</v>
      </c>
      <c r="AC28" s="28">
        <v>9.5534555555555553E-2</v>
      </c>
      <c r="AD28" s="25">
        <f t="shared" si="12"/>
        <v>-9.0968003799999995</v>
      </c>
      <c r="AE28" s="25">
        <v>-5.68</v>
      </c>
      <c r="AF28" s="25">
        <v>-9.5374999999999996</v>
      </c>
      <c r="AG28" s="25">
        <v>0</v>
      </c>
    </row>
    <row r="29" spans="1:33" ht="15.75" customHeight="1">
      <c r="A29" s="14" t="s">
        <v>55</v>
      </c>
      <c r="B29" s="14" t="s">
        <v>68</v>
      </c>
      <c r="C29" s="15">
        <f t="shared" si="4"/>
        <v>21.749807692307691</v>
      </c>
      <c r="D29" s="16">
        <v>52</v>
      </c>
      <c r="E29" s="16">
        <v>0</v>
      </c>
      <c r="F29" s="17">
        <v>1130.99</v>
      </c>
      <c r="G29" s="17">
        <v>0</v>
      </c>
      <c r="H29" s="18">
        <f t="shared" si="1"/>
        <v>0</v>
      </c>
      <c r="I29" s="18">
        <f t="shared" si="2"/>
        <v>0.14427708493738522</v>
      </c>
      <c r="J29" s="17">
        <f t="shared" si="5"/>
        <v>163.17594029333333</v>
      </c>
      <c r="K29" s="17">
        <f t="shared" si="3"/>
        <v>3.1379988517948716</v>
      </c>
      <c r="L29" s="16">
        <v>85</v>
      </c>
      <c r="M29" s="19">
        <f t="shared" si="6"/>
        <v>0.61176470588235299</v>
      </c>
      <c r="N29" s="16">
        <v>286</v>
      </c>
      <c r="O29" s="20">
        <f t="shared" ref="O29:P29" si="37">D29/7</f>
        <v>7.4285714285714288</v>
      </c>
      <c r="P29" s="20">
        <f t="shared" si="37"/>
        <v>0</v>
      </c>
      <c r="Q29" s="16">
        <f t="shared" si="8"/>
        <v>38</v>
      </c>
      <c r="R29" s="16"/>
      <c r="S29" s="21">
        <v>3.3684210526315792</v>
      </c>
      <c r="T29" s="14">
        <v>1488</v>
      </c>
      <c r="U29" s="22">
        <v>44386</v>
      </c>
      <c r="V29" s="23" t="s">
        <v>1886</v>
      </c>
      <c r="W29" s="30">
        <v>0</v>
      </c>
      <c r="X29" s="24">
        <f t="shared" si="9"/>
        <v>0</v>
      </c>
      <c r="Y29" s="25">
        <f t="shared" si="10"/>
        <v>0</v>
      </c>
      <c r="Z29" s="30">
        <v>0</v>
      </c>
      <c r="AA29" s="14" t="s">
        <v>35</v>
      </c>
      <c r="AB29" s="27">
        <f t="shared" si="11"/>
        <v>-0.69</v>
      </c>
      <c r="AC29" s="28">
        <v>9.5534555555555553E-2</v>
      </c>
      <c r="AD29" s="25">
        <f t="shared" si="12"/>
        <v>-6.855559706666666</v>
      </c>
      <c r="AE29" s="25">
        <v>-5.68</v>
      </c>
      <c r="AF29" s="25">
        <v>-9.5374999999999996</v>
      </c>
      <c r="AG29" s="25">
        <v>0</v>
      </c>
    </row>
    <row r="30" spans="1:33" ht="15.75" customHeight="1">
      <c r="A30" s="14" t="s">
        <v>57</v>
      </c>
      <c r="B30" s="14" t="s">
        <v>68</v>
      </c>
      <c r="C30" s="15">
        <f t="shared" si="4"/>
        <v>22.243684210526322</v>
      </c>
      <c r="D30" s="16">
        <v>57</v>
      </c>
      <c r="E30" s="16">
        <v>0</v>
      </c>
      <c r="F30" s="17">
        <v>1267.8900000000003</v>
      </c>
      <c r="G30" s="17">
        <v>0</v>
      </c>
      <c r="H30" s="18">
        <f t="shared" si="1"/>
        <v>0</v>
      </c>
      <c r="I30" s="18">
        <f t="shared" si="2"/>
        <v>0.17475909592985212</v>
      </c>
      <c r="J30" s="17">
        <f t="shared" si="5"/>
        <v>221.57531013850024</v>
      </c>
      <c r="K30" s="17">
        <f t="shared" si="3"/>
        <v>3.8872861427807059</v>
      </c>
      <c r="L30" s="16">
        <v>52</v>
      </c>
      <c r="M30" s="19">
        <f t="shared" si="6"/>
        <v>1.0961538461538463</v>
      </c>
      <c r="N30" s="16">
        <v>223</v>
      </c>
      <c r="O30" s="20">
        <f t="shared" ref="O30:P30" si="38">D30/7</f>
        <v>8.1428571428571423</v>
      </c>
      <c r="P30" s="20">
        <f t="shared" si="38"/>
        <v>0</v>
      </c>
      <c r="Q30" s="16">
        <f t="shared" si="8"/>
        <v>27</v>
      </c>
      <c r="R30" s="16"/>
      <c r="S30" s="21">
        <v>4.2136279926335174</v>
      </c>
      <c r="T30" s="14">
        <v>588</v>
      </c>
      <c r="U30" s="22">
        <v>108</v>
      </c>
      <c r="V30" s="23" t="s">
        <v>1887</v>
      </c>
      <c r="W30" s="30">
        <v>0</v>
      </c>
      <c r="X30" s="24">
        <f t="shared" si="9"/>
        <v>0</v>
      </c>
      <c r="Y30" s="25">
        <f t="shared" si="10"/>
        <v>0</v>
      </c>
      <c r="Z30" s="30">
        <v>0</v>
      </c>
      <c r="AA30" s="14" t="s">
        <v>35</v>
      </c>
      <c r="AB30" s="27">
        <f t="shared" si="11"/>
        <v>-0.69</v>
      </c>
      <c r="AC30" s="28">
        <v>9.5534555555555553E-2</v>
      </c>
      <c r="AD30" s="25">
        <f t="shared" si="12"/>
        <v>-7.5147481399999991</v>
      </c>
      <c r="AE30" s="25">
        <v>-5.68</v>
      </c>
      <c r="AF30" s="25">
        <v>-9.2080077495000001</v>
      </c>
      <c r="AG30" s="25">
        <v>0</v>
      </c>
    </row>
    <row r="31" spans="1:33" ht="15.75" customHeight="1">
      <c r="A31" s="14" t="s">
        <v>58</v>
      </c>
      <c r="B31" s="14" t="s">
        <v>1888</v>
      </c>
      <c r="C31" s="15">
        <f t="shared" si="4"/>
        <v>22.30350877192982</v>
      </c>
      <c r="D31" s="16">
        <v>57</v>
      </c>
      <c r="E31" s="16">
        <v>1</v>
      </c>
      <c r="F31" s="17">
        <v>1271.2999999999997</v>
      </c>
      <c r="G31" s="17">
        <v>0</v>
      </c>
      <c r="H31" s="18">
        <f t="shared" si="1"/>
        <v>0</v>
      </c>
      <c r="I31" s="18">
        <f t="shared" si="2"/>
        <v>0.17657029036301411</v>
      </c>
      <c r="J31" s="17">
        <f t="shared" si="5"/>
        <v>224.4738101384998</v>
      </c>
      <c r="K31" s="17">
        <f t="shared" si="3"/>
        <v>3.9381370199736807</v>
      </c>
      <c r="L31" s="16">
        <v>73</v>
      </c>
      <c r="M31" s="19">
        <f t="shared" si="6"/>
        <v>0.78082191780821919</v>
      </c>
      <c r="N31" s="16">
        <v>164</v>
      </c>
      <c r="O31" s="20">
        <f t="shared" ref="O31:P31" si="39">D31/7</f>
        <v>8.1428571428571423</v>
      </c>
      <c r="P31" s="20">
        <f t="shared" si="39"/>
        <v>0.14285714285714285</v>
      </c>
      <c r="Q31" s="16">
        <f t="shared" si="8"/>
        <v>19</v>
      </c>
      <c r="R31" s="16"/>
      <c r="S31" s="21">
        <v>3.31668856767411</v>
      </c>
      <c r="T31" s="14">
        <v>372</v>
      </c>
      <c r="U31" s="22">
        <v>264</v>
      </c>
      <c r="V31" s="23" t="s">
        <v>1889</v>
      </c>
      <c r="W31" s="30">
        <v>0</v>
      </c>
      <c r="X31" s="24">
        <f t="shared" si="9"/>
        <v>0</v>
      </c>
      <c r="Y31" s="25">
        <f t="shared" si="10"/>
        <v>0</v>
      </c>
      <c r="Z31" s="30">
        <v>0</v>
      </c>
      <c r="AA31" s="14" t="s">
        <v>35</v>
      </c>
      <c r="AB31" s="27">
        <f t="shared" si="11"/>
        <v>-0.69</v>
      </c>
      <c r="AC31" s="28">
        <v>9.5534555555555553E-2</v>
      </c>
      <c r="AD31" s="25">
        <f t="shared" si="12"/>
        <v>-7.5147481399999991</v>
      </c>
      <c r="AE31" s="25">
        <v>-5.68</v>
      </c>
      <c r="AF31" s="25">
        <v>-9.2080077495000001</v>
      </c>
      <c r="AG31" s="25">
        <v>0</v>
      </c>
    </row>
    <row r="32" spans="1:33" ht="15.75" customHeight="1">
      <c r="A32" s="14" t="s">
        <v>60</v>
      </c>
      <c r="B32" s="14"/>
      <c r="C32" s="15">
        <f t="shared" si="4"/>
        <v>22.845333333333333</v>
      </c>
      <c r="D32" s="16">
        <v>30</v>
      </c>
      <c r="E32" s="16">
        <v>0</v>
      </c>
      <c r="F32" s="17">
        <v>685.36</v>
      </c>
      <c r="G32" s="17">
        <v>0</v>
      </c>
      <c r="H32" s="18">
        <f t="shared" si="1"/>
        <v>0</v>
      </c>
      <c r="I32" s="18">
        <f t="shared" si="2"/>
        <v>0.1925420755734214</v>
      </c>
      <c r="J32" s="17">
        <f t="shared" si="5"/>
        <v>131.96063691500009</v>
      </c>
      <c r="K32" s="17">
        <f t="shared" si="3"/>
        <v>4.3986878971666696</v>
      </c>
      <c r="L32" s="16">
        <v>56</v>
      </c>
      <c r="M32" s="19">
        <f t="shared" si="6"/>
        <v>0.5357142857142857</v>
      </c>
      <c r="N32" s="16">
        <v>149</v>
      </c>
      <c r="O32" s="20">
        <f t="shared" ref="O32:P32" si="40">D32/7</f>
        <v>4.2857142857142856</v>
      </c>
      <c r="P32" s="20">
        <f t="shared" si="40"/>
        <v>0</v>
      </c>
      <c r="Q32" s="16">
        <f t="shared" si="8"/>
        <v>34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2.3969896519285041</v>
      </c>
      <c r="T32" s="14">
        <f ca="1">IFERROR(__xludf.DUMMYFUNCTION("IFERROR(VLOOKUP($B$2,IMPORTRANGE(""https://docs.google.com/spreadsheets/d/1KiWZV1ko8G7lnRucBRBd29jj3Be6ltMfljMDqzOkQmI/edit#gid=1381463014"",""Lookup!A:D""),4,FALSE),"""")"),372)</f>
        <v>372</v>
      </c>
      <c r="U32" s="22">
        <f ca="1">IFERROR(__xludf.DUMMYFUNCTION("IFERROR(VLOOKUP($B$2,IMPORTRANGE(""https://docs.google.com/spreadsheets/d/1KiWZV1ko8G7lnRucBRBd29jj3Be6ltMfljMDqzOkQmI/edit#gid=1381463014"",""Lookup!A:D""),3,FALSE),"""")"),264)</f>
        <v>264</v>
      </c>
      <c r="V32" s="23" t="str">
        <f ca="1">IFERROR(__xludf.DUMMYFUNCTION("IFERROR(VLOOKUP($B$2,IMPORTRANGE(""https://docs.google.com/spreadsheets/d/1KiWZV1ko8G7lnRucBRBd29jj3Be6ltMfljMDqzOkQmI/edit#gid=1381463014"",""Lookup!A:D""),2,FALSE),"""")"),"| 410  - 156 units 07/20| 417  - 108 units 08/14")</f>
        <v>| 410  - 156 units 07/20| 417  - 108 units 08/14</v>
      </c>
      <c r="W32" s="30">
        <v>0</v>
      </c>
      <c r="X32" s="24">
        <f t="shared" si="9"/>
        <v>0</v>
      </c>
      <c r="Y32" s="25">
        <f t="shared" si="10"/>
        <v>0</v>
      </c>
      <c r="Z32" s="30">
        <v>0</v>
      </c>
      <c r="AA32" s="14" t="s">
        <v>35</v>
      </c>
      <c r="AB32" s="27">
        <f t="shared" si="11"/>
        <v>-0.69</v>
      </c>
      <c r="AC32" s="28">
        <v>9.5534555555555553E-2</v>
      </c>
      <c r="AD32" s="25">
        <f t="shared" si="12"/>
        <v>-3.9551305999999995</v>
      </c>
      <c r="AE32" s="25">
        <v>-5.68</v>
      </c>
      <c r="AF32" s="25">
        <v>-9.2080077495000001</v>
      </c>
      <c r="AG32" s="25">
        <v>0</v>
      </c>
    </row>
    <row r="33" spans="1:33" ht="15.75" customHeight="1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16"/>
      <c r="S33" s="21"/>
      <c r="T33" s="31"/>
      <c r="U33" s="36"/>
      <c r="V33" s="1"/>
      <c r="W33" s="31"/>
      <c r="X33" s="31"/>
      <c r="Y33" s="31"/>
      <c r="Z33" s="31"/>
      <c r="AA33" s="2"/>
      <c r="AB33" s="31"/>
      <c r="AC33" s="31"/>
      <c r="AD33" s="31"/>
      <c r="AE33" s="37"/>
      <c r="AF33" s="37"/>
      <c r="AG33" s="37"/>
    </row>
    <row r="34" spans="1:33" ht="15.75" customHeight="1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6"/>
      <c r="V34" s="1"/>
      <c r="W34" s="31"/>
      <c r="X34" s="31"/>
      <c r="Y34" s="31"/>
      <c r="Z34" s="31"/>
      <c r="AA34" s="2"/>
      <c r="AB34" s="31"/>
      <c r="AC34" s="31"/>
      <c r="AD34" s="31"/>
      <c r="AE34" s="37"/>
      <c r="AF34" s="37"/>
      <c r="AG34" s="37"/>
    </row>
    <row r="35" spans="1:33" ht="15.75" customHeight="1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6"/>
      <c r="V35" s="1"/>
      <c r="W35" s="31"/>
      <c r="X35" s="31"/>
      <c r="Y35" s="31"/>
      <c r="Z35" s="31"/>
      <c r="AA35" s="2"/>
      <c r="AB35" s="31"/>
      <c r="AC35" s="31"/>
      <c r="AD35" s="31"/>
      <c r="AE35" s="37"/>
      <c r="AF35" s="37"/>
      <c r="AG35" s="37"/>
    </row>
    <row r="36" spans="1:33" ht="15.75" customHeight="1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6"/>
      <c r="V36" s="1"/>
      <c r="W36" s="31"/>
      <c r="X36" s="31"/>
      <c r="Y36" s="31"/>
      <c r="Z36" s="31"/>
      <c r="AA36" s="2"/>
      <c r="AB36" s="31"/>
      <c r="AC36" s="31"/>
      <c r="AD36" s="31"/>
      <c r="AE36" s="37"/>
      <c r="AF36" s="37"/>
      <c r="AG36" s="37"/>
    </row>
    <row r="37" spans="1:33" ht="15.75" customHeight="1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6"/>
      <c r="V37" s="1"/>
      <c r="W37" s="31"/>
      <c r="X37" s="31"/>
      <c r="Y37" s="31"/>
      <c r="Z37" s="31"/>
      <c r="AA37" s="2"/>
      <c r="AB37" s="31"/>
      <c r="AC37" s="31"/>
      <c r="AD37" s="31"/>
      <c r="AE37" s="37"/>
      <c r="AF37" s="37"/>
      <c r="AG37" s="37"/>
    </row>
    <row r="38" spans="1:33" ht="15.75" customHeight="1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6"/>
      <c r="V38" s="1"/>
      <c r="W38" s="31"/>
      <c r="X38" s="31"/>
      <c r="Y38" s="31"/>
      <c r="Z38" s="31"/>
      <c r="AA38" s="2"/>
      <c r="AB38" s="31"/>
      <c r="AC38" s="31"/>
      <c r="AD38" s="31"/>
      <c r="AE38" s="37"/>
      <c r="AF38" s="37"/>
      <c r="AG38" s="37"/>
    </row>
    <row r="39" spans="1:33" ht="15.75" customHeight="1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6"/>
      <c r="V39" s="1"/>
      <c r="W39" s="31"/>
      <c r="X39" s="31"/>
      <c r="Y39" s="31"/>
      <c r="Z39" s="31"/>
      <c r="AA39" s="2"/>
      <c r="AB39" s="31"/>
      <c r="AC39" s="31"/>
      <c r="AD39" s="31"/>
      <c r="AE39" s="37"/>
      <c r="AF39" s="37"/>
      <c r="AG39" s="37"/>
    </row>
    <row r="40" spans="1:33" ht="15.75" customHeight="1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6"/>
      <c r="V40" s="1"/>
      <c r="W40" s="31"/>
      <c r="X40" s="31"/>
      <c r="Y40" s="31"/>
      <c r="Z40" s="31"/>
      <c r="AA40" s="2"/>
      <c r="AB40" s="31"/>
      <c r="AC40" s="31"/>
      <c r="AD40" s="31"/>
      <c r="AE40" s="37"/>
      <c r="AF40" s="37"/>
      <c r="AG40" s="37"/>
    </row>
    <row r="41" spans="1:33" ht="15.75" customHeight="1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6"/>
      <c r="V41" s="1"/>
      <c r="W41" s="31"/>
      <c r="X41" s="31"/>
      <c r="Y41" s="31"/>
      <c r="Z41" s="31"/>
      <c r="AA41" s="2"/>
      <c r="AB41" s="31"/>
      <c r="AC41" s="31"/>
      <c r="AD41" s="31"/>
      <c r="AE41" s="37"/>
      <c r="AF41" s="37"/>
      <c r="AG41" s="37"/>
    </row>
    <row r="42" spans="1:33" ht="15.75" customHeight="1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6"/>
      <c r="V42" s="1"/>
      <c r="W42" s="31"/>
      <c r="X42" s="31"/>
      <c r="Y42" s="31"/>
      <c r="Z42" s="31"/>
      <c r="AA42" s="2"/>
      <c r="AB42" s="31"/>
      <c r="AC42" s="31"/>
      <c r="AD42" s="31"/>
      <c r="AE42" s="37"/>
      <c r="AF42" s="37"/>
      <c r="AG42" s="37"/>
    </row>
    <row r="43" spans="1:33" ht="15.75" customHeight="1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6"/>
      <c r="V43" s="1"/>
      <c r="W43" s="31"/>
      <c r="X43" s="31"/>
      <c r="Y43" s="31"/>
      <c r="Z43" s="31"/>
      <c r="AA43" s="2"/>
      <c r="AB43" s="31"/>
      <c r="AC43" s="31"/>
      <c r="AD43" s="31"/>
      <c r="AE43" s="37"/>
      <c r="AF43" s="37"/>
      <c r="AG43" s="37"/>
    </row>
    <row r="44" spans="1:33" ht="15.75" customHeight="1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6"/>
      <c r="V44" s="1"/>
      <c r="W44" s="31"/>
      <c r="X44" s="31"/>
      <c r="Y44" s="31"/>
      <c r="Z44" s="31"/>
      <c r="AA44" s="2"/>
      <c r="AB44" s="31"/>
      <c r="AC44" s="31"/>
      <c r="AD44" s="31"/>
      <c r="AE44" s="37"/>
      <c r="AF44" s="37"/>
      <c r="AG44" s="37"/>
    </row>
    <row r="45" spans="1:33" ht="15.75" customHeight="1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6"/>
      <c r="V45" s="1"/>
      <c r="W45" s="31"/>
      <c r="X45" s="31"/>
      <c r="Y45" s="31"/>
      <c r="Z45" s="31"/>
      <c r="AA45" s="2"/>
      <c r="AB45" s="31"/>
      <c r="AC45" s="31"/>
      <c r="AD45" s="31"/>
      <c r="AE45" s="37"/>
      <c r="AF45" s="37"/>
      <c r="AG45" s="37"/>
    </row>
    <row r="46" spans="1:33" ht="15.75" customHeight="1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6"/>
      <c r="V46" s="1"/>
      <c r="W46" s="31"/>
      <c r="X46" s="31"/>
      <c r="Y46" s="31"/>
      <c r="Z46" s="31"/>
      <c r="AA46" s="2"/>
      <c r="AB46" s="31"/>
      <c r="AC46" s="31"/>
      <c r="AD46" s="31"/>
      <c r="AE46" s="37"/>
      <c r="AF46" s="37"/>
      <c r="AG46" s="37"/>
    </row>
    <row r="47" spans="1:33" ht="15.75" customHeight="1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6"/>
      <c r="V47" s="1"/>
      <c r="W47" s="31"/>
      <c r="X47" s="31"/>
      <c r="Y47" s="31"/>
      <c r="Z47" s="31"/>
      <c r="AA47" s="2"/>
      <c r="AB47" s="31"/>
      <c r="AC47" s="31"/>
      <c r="AD47" s="31"/>
      <c r="AE47" s="37"/>
      <c r="AF47" s="37"/>
      <c r="AG47" s="37"/>
    </row>
    <row r="48" spans="1:33" ht="15.75" customHeight="1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6"/>
      <c r="V48" s="1"/>
      <c r="W48" s="31"/>
      <c r="X48" s="31"/>
      <c r="Y48" s="31"/>
      <c r="Z48" s="31"/>
      <c r="AA48" s="2"/>
      <c r="AB48" s="31"/>
      <c r="AC48" s="31"/>
      <c r="AD48" s="31"/>
      <c r="AE48" s="37"/>
      <c r="AF48" s="37"/>
      <c r="AG48" s="37"/>
    </row>
    <row r="49" spans="1:33" ht="15.75" customHeight="1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6"/>
      <c r="V49" s="1"/>
      <c r="W49" s="31"/>
      <c r="X49" s="31"/>
      <c r="Y49" s="31"/>
      <c r="Z49" s="31"/>
      <c r="AA49" s="2"/>
      <c r="AB49" s="31"/>
      <c r="AC49" s="31"/>
      <c r="AD49" s="31"/>
      <c r="AE49" s="37"/>
      <c r="AF49" s="37"/>
      <c r="AG49" s="37"/>
    </row>
    <row r="50" spans="1:33" ht="15.75" customHeight="1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6"/>
      <c r="V50" s="1"/>
      <c r="W50" s="31"/>
      <c r="X50" s="31"/>
      <c r="Y50" s="31"/>
      <c r="Z50" s="31"/>
      <c r="AA50" s="2"/>
      <c r="AB50" s="31"/>
      <c r="AC50" s="31"/>
      <c r="AD50" s="31"/>
      <c r="AE50" s="37"/>
      <c r="AF50" s="37"/>
      <c r="AG50" s="37"/>
    </row>
    <row r="51" spans="1:33" ht="15.75" customHeight="1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6"/>
      <c r="V51" s="1"/>
      <c r="W51" s="31"/>
      <c r="X51" s="31"/>
      <c r="Y51" s="31"/>
      <c r="Z51" s="31"/>
      <c r="AA51" s="2"/>
      <c r="AB51" s="31"/>
      <c r="AC51" s="31"/>
      <c r="AD51" s="31"/>
      <c r="AE51" s="37"/>
      <c r="AF51" s="37"/>
      <c r="AG51" s="37"/>
    </row>
    <row r="52" spans="1:33" ht="15.75" customHeight="1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6"/>
      <c r="V52" s="1"/>
      <c r="W52" s="31"/>
      <c r="X52" s="31"/>
      <c r="Y52" s="31"/>
      <c r="Z52" s="31"/>
      <c r="AA52" s="2"/>
      <c r="AB52" s="31"/>
      <c r="AC52" s="31"/>
      <c r="AD52" s="31"/>
      <c r="AE52" s="37"/>
      <c r="AF52" s="37"/>
      <c r="AG52" s="37"/>
    </row>
    <row r="53" spans="1:33" ht="15.75" customHeight="1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6"/>
      <c r="V53" s="1"/>
      <c r="W53" s="31"/>
      <c r="X53" s="31"/>
      <c r="Y53" s="31"/>
      <c r="Z53" s="31"/>
      <c r="AA53" s="2"/>
      <c r="AB53" s="31"/>
      <c r="AC53" s="31"/>
      <c r="AD53" s="31"/>
      <c r="AE53" s="37"/>
      <c r="AF53" s="37"/>
      <c r="AG53" s="37"/>
    </row>
    <row r="54" spans="1:33" ht="15.75" customHeight="1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6"/>
      <c r="V54" s="1"/>
      <c r="W54" s="31"/>
      <c r="X54" s="31"/>
      <c r="Y54" s="31"/>
      <c r="Z54" s="31"/>
      <c r="AA54" s="2"/>
      <c r="AB54" s="31"/>
      <c r="AC54" s="31"/>
      <c r="AD54" s="31"/>
      <c r="AE54" s="37"/>
      <c r="AF54" s="37"/>
      <c r="AG54" s="37"/>
    </row>
    <row r="55" spans="1:33" ht="15.75" customHeight="1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6"/>
      <c r="V55" s="1"/>
      <c r="W55" s="31"/>
      <c r="X55" s="31"/>
      <c r="Y55" s="31"/>
      <c r="Z55" s="31"/>
      <c r="AA55" s="2"/>
      <c r="AB55" s="31"/>
      <c r="AC55" s="31"/>
      <c r="AD55" s="31"/>
      <c r="AE55" s="37"/>
      <c r="AF55" s="37"/>
      <c r="AG55" s="37"/>
    </row>
    <row r="56" spans="1:33" ht="15.75" customHeight="1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6"/>
      <c r="V56" s="1"/>
      <c r="W56" s="31"/>
      <c r="X56" s="31"/>
      <c r="Y56" s="31"/>
      <c r="Z56" s="31"/>
      <c r="AA56" s="2"/>
      <c r="AB56" s="31"/>
      <c r="AC56" s="31"/>
      <c r="AD56" s="31"/>
      <c r="AE56" s="37"/>
      <c r="AF56" s="37"/>
      <c r="AG56" s="37"/>
    </row>
    <row r="57" spans="1:33" ht="15.75" customHeight="1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6"/>
      <c r="V57" s="1"/>
      <c r="W57" s="31"/>
      <c r="X57" s="31"/>
      <c r="Y57" s="31"/>
      <c r="Z57" s="31"/>
      <c r="AA57" s="2"/>
      <c r="AB57" s="31"/>
      <c r="AC57" s="31"/>
      <c r="AD57" s="31"/>
      <c r="AE57" s="37"/>
      <c r="AF57" s="37"/>
      <c r="AG57" s="37"/>
    </row>
    <row r="58" spans="1:33" ht="15.75" customHeight="1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6"/>
      <c r="V58" s="1"/>
      <c r="W58" s="31"/>
      <c r="X58" s="31"/>
      <c r="Y58" s="31"/>
      <c r="Z58" s="31"/>
      <c r="AA58" s="2"/>
      <c r="AB58" s="31"/>
      <c r="AC58" s="31"/>
      <c r="AD58" s="31"/>
      <c r="AE58" s="37"/>
      <c r="AF58" s="37"/>
      <c r="AG58" s="37"/>
    </row>
    <row r="59" spans="1:33" ht="15.75" customHeight="1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6"/>
      <c r="V59" s="1"/>
      <c r="W59" s="31"/>
      <c r="X59" s="31"/>
      <c r="Y59" s="31"/>
      <c r="Z59" s="31"/>
      <c r="AA59" s="2"/>
      <c r="AB59" s="31"/>
      <c r="AC59" s="31"/>
      <c r="AD59" s="31"/>
      <c r="AE59" s="37"/>
      <c r="AF59" s="37"/>
      <c r="AG59" s="37"/>
    </row>
    <row r="60" spans="1:33" ht="15.75" customHeight="1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6"/>
      <c r="V60" s="1"/>
      <c r="W60" s="31"/>
      <c r="X60" s="31"/>
      <c r="Y60" s="31"/>
      <c r="Z60" s="31"/>
      <c r="AA60" s="2"/>
      <c r="AB60" s="31"/>
      <c r="AC60" s="31"/>
      <c r="AD60" s="31"/>
      <c r="AE60" s="37"/>
      <c r="AF60" s="37"/>
      <c r="AG60" s="37"/>
    </row>
    <row r="61" spans="1:33" ht="15.75" customHeight="1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6"/>
      <c r="V61" s="1"/>
      <c r="W61" s="31"/>
      <c r="X61" s="31"/>
      <c r="Y61" s="31"/>
      <c r="Z61" s="31"/>
      <c r="AA61" s="2"/>
      <c r="AB61" s="31"/>
      <c r="AC61" s="31"/>
      <c r="AD61" s="31"/>
      <c r="AE61" s="37"/>
      <c r="AF61" s="37"/>
      <c r="AG61" s="37"/>
    </row>
    <row r="62" spans="1:33" ht="15.75" customHeight="1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6"/>
      <c r="V62" s="1"/>
      <c r="W62" s="31"/>
      <c r="X62" s="31"/>
      <c r="Y62" s="31"/>
      <c r="Z62" s="31"/>
      <c r="AA62" s="2"/>
      <c r="AB62" s="31"/>
      <c r="AC62" s="31"/>
      <c r="AD62" s="31"/>
      <c r="AE62" s="37"/>
      <c r="AF62" s="37"/>
      <c r="AG62" s="37"/>
    </row>
    <row r="63" spans="1:33" ht="15.75" customHeight="1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6"/>
      <c r="V63" s="1"/>
      <c r="W63" s="31"/>
      <c r="X63" s="31"/>
      <c r="Y63" s="31"/>
      <c r="Z63" s="31"/>
      <c r="AA63" s="2"/>
      <c r="AB63" s="31"/>
      <c r="AC63" s="31"/>
      <c r="AD63" s="31"/>
      <c r="AE63" s="37"/>
      <c r="AF63" s="37"/>
      <c r="AG63" s="37"/>
    </row>
    <row r="64" spans="1:33" ht="15.75" customHeight="1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6"/>
      <c r="V64" s="1"/>
      <c r="W64" s="31"/>
      <c r="X64" s="31"/>
      <c r="Y64" s="31"/>
      <c r="Z64" s="31"/>
      <c r="AA64" s="2"/>
      <c r="AB64" s="31"/>
      <c r="AC64" s="31"/>
      <c r="AD64" s="31"/>
      <c r="AE64" s="37"/>
      <c r="AF64" s="37"/>
      <c r="AG64" s="37"/>
    </row>
    <row r="65" spans="1:33" ht="15.75" customHeight="1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6"/>
      <c r="V65" s="1"/>
      <c r="W65" s="31"/>
      <c r="X65" s="31"/>
      <c r="Y65" s="31"/>
      <c r="Z65" s="31"/>
      <c r="AA65" s="2"/>
      <c r="AB65" s="31"/>
      <c r="AC65" s="31"/>
      <c r="AD65" s="31"/>
      <c r="AE65" s="37"/>
      <c r="AF65" s="37"/>
      <c r="AG65" s="37"/>
    </row>
    <row r="66" spans="1:33" ht="15.75" customHeight="1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6"/>
      <c r="V66" s="1"/>
      <c r="W66" s="31"/>
      <c r="X66" s="31"/>
      <c r="Y66" s="31"/>
      <c r="Z66" s="31"/>
      <c r="AA66" s="2"/>
      <c r="AB66" s="31"/>
      <c r="AC66" s="31"/>
      <c r="AD66" s="31"/>
      <c r="AE66" s="37"/>
      <c r="AF66" s="37"/>
      <c r="AG66" s="37"/>
    </row>
    <row r="67" spans="1:33" ht="15.75" customHeight="1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6"/>
      <c r="V67" s="1"/>
      <c r="W67" s="31"/>
      <c r="X67" s="31"/>
      <c r="Y67" s="31"/>
      <c r="Z67" s="31"/>
      <c r="AA67" s="2"/>
      <c r="AB67" s="31"/>
      <c r="AC67" s="31"/>
      <c r="AD67" s="31"/>
      <c r="AE67" s="37"/>
      <c r="AF67" s="37"/>
      <c r="AG67" s="37"/>
    </row>
    <row r="68" spans="1:33" ht="15.75" customHeight="1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6"/>
      <c r="V68" s="1"/>
      <c r="W68" s="31"/>
      <c r="X68" s="31"/>
      <c r="Y68" s="31"/>
      <c r="Z68" s="31"/>
      <c r="AA68" s="2"/>
      <c r="AB68" s="31"/>
      <c r="AC68" s="31"/>
      <c r="AD68" s="31"/>
      <c r="AE68" s="37"/>
      <c r="AF68" s="37"/>
      <c r="AG68" s="37"/>
    </row>
    <row r="69" spans="1:33" ht="15.75" customHeight="1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6"/>
      <c r="V69" s="1"/>
      <c r="W69" s="31"/>
      <c r="X69" s="31"/>
      <c r="Y69" s="31"/>
      <c r="Z69" s="31"/>
      <c r="AA69" s="2"/>
      <c r="AB69" s="31"/>
      <c r="AC69" s="31"/>
      <c r="AD69" s="31"/>
      <c r="AE69" s="37"/>
      <c r="AF69" s="37"/>
      <c r="AG69" s="37"/>
    </row>
    <row r="70" spans="1:33" ht="15.75" customHeight="1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6"/>
      <c r="V70" s="1"/>
      <c r="W70" s="31"/>
      <c r="X70" s="31"/>
      <c r="Y70" s="31"/>
      <c r="Z70" s="31"/>
      <c r="AA70" s="2"/>
      <c r="AB70" s="31"/>
      <c r="AC70" s="31"/>
      <c r="AD70" s="31"/>
      <c r="AE70" s="37"/>
      <c r="AF70" s="37"/>
      <c r="AG70" s="37"/>
    </row>
    <row r="71" spans="1:33" ht="15.75" customHeight="1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6"/>
      <c r="V71" s="1"/>
      <c r="W71" s="31"/>
      <c r="X71" s="31"/>
      <c r="Y71" s="31"/>
      <c r="Z71" s="31"/>
      <c r="AA71" s="2"/>
      <c r="AB71" s="31"/>
      <c r="AC71" s="31"/>
      <c r="AD71" s="31"/>
      <c r="AE71" s="37"/>
      <c r="AF71" s="37"/>
      <c r="AG71" s="37"/>
    </row>
    <row r="72" spans="1:33" ht="15.75" customHeight="1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6"/>
      <c r="V72" s="1"/>
      <c r="W72" s="31"/>
      <c r="X72" s="31"/>
      <c r="Y72" s="31"/>
      <c r="Z72" s="31"/>
      <c r="AA72" s="2"/>
      <c r="AB72" s="31"/>
      <c r="AC72" s="31"/>
      <c r="AD72" s="31"/>
      <c r="AE72" s="37"/>
      <c r="AF72" s="37"/>
      <c r="AG72" s="37"/>
    </row>
    <row r="73" spans="1:33" ht="15.75" customHeight="1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6"/>
      <c r="V73" s="1"/>
      <c r="W73" s="31"/>
      <c r="X73" s="31"/>
      <c r="Y73" s="31"/>
      <c r="Z73" s="31"/>
      <c r="AA73" s="2"/>
      <c r="AB73" s="31"/>
      <c r="AC73" s="31"/>
      <c r="AD73" s="31"/>
      <c r="AE73" s="37"/>
      <c r="AF73" s="37"/>
      <c r="AG73" s="37"/>
    </row>
    <row r="74" spans="1:33" ht="15.75" customHeight="1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6"/>
      <c r="V74" s="1"/>
      <c r="W74" s="31"/>
      <c r="X74" s="31"/>
      <c r="Y74" s="31"/>
      <c r="Z74" s="31"/>
      <c r="AA74" s="2"/>
      <c r="AB74" s="31"/>
      <c r="AC74" s="31"/>
      <c r="AD74" s="31"/>
      <c r="AE74" s="37"/>
      <c r="AF74" s="37"/>
      <c r="AG74" s="37"/>
    </row>
    <row r="75" spans="1:33" ht="15.75" customHeight="1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6"/>
      <c r="V75" s="1"/>
      <c r="W75" s="31"/>
      <c r="X75" s="31"/>
      <c r="Y75" s="31"/>
      <c r="Z75" s="31"/>
      <c r="AA75" s="2"/>
      <c r="AB75" s="31"/>
      <c r="AC75" s="31"/>
      <c r="AD75" s="31"/>
      <c r="AE75" s="37"/>
      <c r="AF75" s="37"/>
      <c r="AG75" s="37"/>
    </row>
    <row r="76" spans="1:33" ht="15.75" customHeight="1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6"/>
      <c r="V76" s="1"/>
      <c r="W76" s="31"/>
      <c r="X76" s="31"/>
      <c r="Y76" s="31"/>
      <c r="Z76" s="31"/>
      <c r="AA76" s="2"/>
      <c r="AB76" s="31"/>
      <c r="AC76" s="31"/>
      <c r="AD76" s="31"/>
      <c r="AE76" s="37"/>
      <c r="AF76" s="37"/>
      <c r="AG76" s="37"/>
    </row>
    <row r="77" spans="1:33" ht="15.75" customHeight="1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6"/>
      <c r="V77" s="1"/>
      <c r="W77" s="31"/>
      <c r="X77" s="31"/>
      <c r="Y77" s="31"/>
      <c r="Z77" s="31"/>
      <c r="AA77" s="2"/>
      <c r="AB77" s="31"/>
      <c r="AC77" s="31"/>
      <c r="AD77" s="31"/>
      <c r="AE77" s="37"/>
      <c r="AF77" s="37"/>
      <c r="AG77" s="37"/>
    </row>
    <row r="78" spans="1:33" ht="15.75" customHeight="1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6"/>
      <c r="V78" s="1"/>
      <c r="W78" s="31"/>
      <c r="X78" s="31"/>
      <c r="Y78" s="31"/>
      <c r="Z78" s="31"/>
      <c r="AA78" s="2"/>
      <c r="AB78" s="31"/>
      <c r="AC78" s="31"/>
      <c r="AD78" s="31"/>
      <c r="AE78" s="37"/>
      <c r="AF78" s="37"/>
      <c r="AG78" s="37"/>
    </row>
    <row r="79" spans="1:33" ht="15.75" customHeight="1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6"/>
      <c r="V79" s="1"/>
      <c r="W79" s="31"/>
      <c r="X79" s="31"/>
      <c r="Y79" s="31"/>
      <c r="Z79" s="31"/>
      <c r="AA79" s="2"/>
      <c r="AB79" s="31"/>
      <c r="AC79" s="31"/>
      <c r="AD79" s="31"/>
      <c r="AE79" s="37"/>
      <c r="AF79" s="37"/>
      <c r="AG79" s="37"/>
    </row>
    <row r="80" spans="1:33" ht="15.75" customHeight="1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6"/>
      <c r="V80" s="1"/>
      <c r="W80" s="31"/>
      <c r="X80" s="31"/>
      <c r="Y80" s="31"/>
      <c r="Z80" s="31"/>
      <c r="AA80" s="2"/>
      <c r="AB80" s="31"/>
      <c r="AC80" s="31"/>
      <c r="AD80" s="31"/>
      <c r="AE80" s="37"/>
      <c r="AF80" s="37"/>
      <c r="AG80" s="37"/>
    </row>
    <row r="81" spans="1:33" ht="15.75" customHeight="1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6"/>
      <c r="V81" s="1"/>
      <c r="W81" s="31"/>
      <c r="X81" s="31"/>
      <c r="Y81" s="31"/>
      <c r="Z81" s="31"/>
      <c r="AA81" s="2"/>
      <c r="AB81" s="31"/>
      <c r="AC81" s="31"/>
      <c r="AD81" s="31"/>
      <c r="AE81" s="37"/>
      <c r="AF81" s="37"/>
      <c r="AG81" s="37"/>
    </row>
    <row r="82" spans="1:33" ht="15.75" customHeight="1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6"/>
      <c r="V82" s="1"/>
      <c r="W82" s="31"/>
      <c r="X82" s="31"/>
      <c r="Y82" s="31"/>
      <c r="Z82" s="31"/>
      <c r="AA82" s="2"/>
      <c r="AB82" s="31"/>
      <c r="AC82" s="31"/>
      <c r="AD82" s="31"/>
      <c r="AE82" s="37"/>
      <c r="AF82" s="37"/>
      <c r="AG82" s="37"/>
    </row>
    <row r="83" spans="1:33" ht="15.75" customHeight="1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6"/>
      <c r="V83" s="1"/>
      <c r="W83" s="31"/>
      <c r="X83" s="31"/>
      <c r="Y83" s="31"/>
      <c r="Z83" s="31"/>
      <c r="AA83" s="2"/>
      <c r="AB83" s="31"/>
      <c r="AC83" s="31"/>
      <c r="AD83" s="31"/>
      <c r="AE83" s="37"/>
      <c r="AF83" s="37"/>
      <c r="AG83" s="37"/>
    </row>
    <row r="84" spans="1:33" ht="15.75" customHeight="1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6"/>
      <c r="V84" s="1"/>
      <c r="W84" s="31"/>
      <c r="X84" s="31"/>
      <c r="Y84" s="31"/>
      <c r="Z84" s="31"/>
      <c r="AA84" s="2"/>
      <c r="AB84" s="31"/>
      <c r="AC84" s="31"/>
      <c r="AD84" s="31"/>
      <c r="AE84" s="37"/>
      <c r="AF84" s="37"/>
      <c r="AG84" s="37"/>
    </row>
    <row r="85" spans="1:33" ht="15.75" customHeight="1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6"/>
      <c r="V85" s="1"/>
      <c r="W85" s="31"/>
      <c r="X85" s="31"/>
      <c r="Y85" s="31"/>
      <c r="Z85" s="31"/>
      <c r="AA85" s="2"/>
      <c r="AB85" s="31"/>
      <c r="AC85" s="31"/>
      <c r="AD85" s="31"/>
      <c r="AE85" s="37"/>
      <c r="AF85" s="37"/>
      <c r="AG85" s="37"/>
    </row>
    <row r="86" spans="1:33" ht="15.75" customHeight="1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6"/>
      <c r="V86" s="1"/>
      <c r="W86" s="31"/>
      <c r="X86" s="31"/>
      <c r="Y86" s="31"/>
      <c r="Z86" s="31"/>
      <c r="AA86" s="2"/>
      <c r="AB86" s="31"/>
      <c r="AC86" s="31"/>
      <c r="AD86" s="31"/>
      <c r="AE86" s="37"/>
      <c r="AF86" s="37"/>
      <c r="AG86" s="37"/>
    </row>
    <row r="87" spans="1:33" ht="15.75" customHeight="1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6"/>
      <c r="V87" s="1"/>
      <c r="W87" s="31"/>
      <c r="X87" s="31"/>
      <c r="Y87" s="31"/>
      <c r="Z87" s="31"/>
      <c r="AA87" s="2"/>
      <c r="AB87" s="31"/>
      <c r="AC87" s="31"/>
      <c r="AD87" s="31"/>
      <c r="AE87" s="37"/>
      <c r="AF87" s="37"/>
      <c r="AG87" s="37"/>
    </row>
    <row r="88" spans="1:33" ht="15.75" customHeight="1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6"/>
      <c r="V88" s="1"/>
      <c r="W88" s="31"/>
      <c r="X88" s="31"/>
      <c r="Y88" s="31"/>
      <c r="Z88" s="31"/>
      <c r="AA88" s="2"/>
      <c r="AB88" s="31"/>
      <c r="AC88" s="31"/>
      <c r="AD88" s="31"/>
      <c r="AE88" s="37"/>
      <c r="AF88" s="37"/>
      <c r="AG88" s="37"/>
    </row>
    <row r="89" spans="1:33" ht="15.75" customHeight="1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6"/>
      <c r="V89" s="1"/>
      <c r="W89" s="31"/>
      <c r="X89" s="31"/>
      <c r="Y89" s="31"/>
      <c r="Z89" s="31"/>
      <c r="AA89" s="2"/>
      <c r="AB89" s="31"/>
      <c r="AC89" s="31"/>
      <c r="AD89" s="31"/>
      <c r="AE89" s="37"/>
      <c r="AF89" s="37"/>
      <c r="AG89" s="37"/>
    </row>
    <row r="90" spans="1:33" ht="15.75" customHeight="1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6"/>
      <c r="V90" s="1"/>
      <c r="W90" s="31"/>
      <c r="X90" s="31"/>
      <c r="Y90" s="31"/>
      <c r="Z90" s="31"/>
      <c r="AA90" s="2"/>
      <c r="AB90" s="31"/>
      <c r="AC90" s="31"/>
      <c r="AD90" s="31"/>
      <c r="AE90" s="37"/>
      <c r="AF90" s="37"/>
      <c r="AG90" s="37"/>
    </row>
    <row r="91" spans="1:33" ht="15.75" customHeight="1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6"/>
      <c r="V91" s="1"/>
      <c r="W91" s="31"/>
      <c r="X91" s="31"/>
      <c r="Y91" s="31"/>
      <c r="Z91" s="31"/>
      <c r="AA91" s="2"/>
      <c r="AB91" s="31"/>
      <c r="AC91" s="31"/>
      <c r="AD91" s="31"/>
      <c r="AE91" s="37"/>
      <c r="AF91" s="37"/>
      <c r="AG91" s="37"/>
    </row>
    <row r="92" spans="1:33" ht="15.75" customHeight="1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6"/>
      <c r="V92" s="1"/>
      <c r="W92" s="31"/>
      <c r="X92" s="31"/>
      <c r="Y92" s="31"/>
      <c r="Z92" s="31"/>
      <c r="AA92" s="2"/>
      <c r="AB92" s="31"/>
      <c r="AC92" s="31"/>
      <c r="AD92" s="31"/>
      <c r="AE92" s="37"/>
      <c r="AF92" s="37"/>
      <c r="AG92" s="37"/>
    </row>
    <row r="93" spans="1:33" ht="15.75" customHeight="1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6"/>
      <c r="V93" s="1"/>
      <c r="W93" s="31"/>
      <c r="X93" s="31"/>
      <c r="Y93" s="31"/>
      <c r="Z93" s="31"/>
      <c r="AA93" s="2"/>
      <c r="AB93" s="31"/>
      <c r="AC93" s="31"/>
      <c r="AD93" s="31"/>
      <c r="AE93" s="37"/>
      <c r="AF93" s="37"/>
      <c r="AG93" s="37"/>
    </row>
    <row r="94" spans="1:33" ht="15.75" customHeight="1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6"/>
      <c r="V94" s="1"/>
      <c r="W94" s="31"/>
      <c r="X94" s="31"/>
      <c r="Y94" s="31"/>
      <c r="Z94" s="31"/>
      <c r="AA94" s="2"/>
      <c r="AB94" s="31"/>
      <c r="AC94" s="31"/>
      <c r="AD94" s="31"/>
      <c r="AE94" s="37"/>
      <c r="AF94" s="37"/>
      <c r="AG94" s="37"/>
    </row>
    <row r="95" spans="1:33" ht="15.75" customHeight="1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6"/>
      <c r="V95" s="1"/>
      <c r="W95" s="31"/>
      <c r="X95" s="31"/>
      <c r="Y95" s="31"/>
      <c r="Z95" s="31"/>
      <c r="AA95" s="2"/>
      <c r="AB95" s="31"/>
      <c r="AC95" s="31"/>
      <c r="AD95" s="31"/>
      <c r="AE95" s="37"/>
      <c r="AF95" s="37"/>
      <c r="AG95" s="37"/>
    </row>
    <row r="96" spans="1:33" ht="15.75" customHeight="1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6"/>
      <c r="V96" s="1"/>
      <c r="W96" s="31"/>
      <c r="X96" s="31"/>
      <c r="Y96" s="31"/>
      <c r="Z96" s="31"/>
      <c r="AA96" s="2"/>
      <c r="AB96" s="31"/>
      <c r="AC96" s="31"/>
      <c r="AD96" s="31"/>
      <c r="AE96" s="37"/>
      <c r="AF96" s="37"/>
      <c r="AG96" s="37"/>
    </row>
    <row r="97" spans="1:33" ht="15.75" customHeight="1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8"/>
      <c r="R97" s="38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8"/>
      <c r="R98" s="38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8"/>
      <c r="R99" s="38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8"/>
      <c r="R100" s="38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8"/>
      <c r="R101" s="38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8"/>
      <c r="R102" s="38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8"/>
      <c r="R103" s="38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8"/>
      <c r="R104" s="38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8"/>
      <c r="R105" s="38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8"/>
      <c r="R106" s="38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8"/>
      <c r="R107" s="38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8"/>
      <c r="R108" s="38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8"/>
      <c r="R109" s="38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8"/>
      <c r="R110" s="38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8"/>
      <c r="R111" s="38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8"/>
      <c r="R112" s="38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8"/>
      <c r="R113" s="38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8"/>
      <c r="R114" s="38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>
      <c r="A115" s="31"/>
      <c r="B115" s="31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>
      <c r="A116" s="31"/>
      <c r="B116" s="31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>
      <c r="A117" s="31"/>
      <c r="B117" s="31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>
      <c r="A118" s="31"/>
      <c r="B118" s="31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>
      <c r="A119" s="31"/>
      <c r="B119" s="31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>
      <c r="A120" s="31"/>
      <c r="B120" s="31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>
      <c r="A121" s="31"/>
      <c r="B121" s="31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>
      <c r="A122" s="31"/>
      <c r="B122" s="31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>
      <c r="A123" s="31"/>
      <c r="B123" s="31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>
      <c r="A124" s="31"/>
      <c r="B124" s="31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>
      <c r="A125" s="31"/>
      <c r="B125" s="31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>
      <c r="A126" s="31"/>
      <c r="B126" s="31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>
      <c r="A127" s="31"/>
      <c r="B127" s="31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>
      <c r="A128" s="31"/>
      <c r="B128" s="31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>
      <c r="A129" s="31"/>
      <c r="B129" s="31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>
      <c r="A130" s="31"/>
      <c r="B130" s="31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>
      <c r="A131" s="31"/>
      <c r="B131" s="31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>
      <c r="A132" s="31"/>
      <c r="B132" s="31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>
      <c r="A133" s="31"/>
      <c r="B133" s="31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>
      <c r="A134" s="31"/>
      <c r="B134" s="31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>
      <c r="A135" s="31"/>
      <c r="B135" s="31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>
      <c r="A136" s="31"/>
      <c r="B136" s="31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>
      <c r="A137" s="31"/>
      <c r="B137" s="31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>
      <c r="A138" s="31"/>
      <c r="B138" s="31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>
      <c r="A139" s="31"/>
      <c r="B139" s="31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>
      <c r="A140" s="31"/>
      <c r="B140" s="31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>
      <c r="A141" s="31"/>
      <c r="B141" s="31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2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>
      <c r="A142" s="31"/>
      <c r="B142" s="31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2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>
      <c r="A143" s="31"/>
      <c r="B143" s="31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2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>
      <c r="A144" s="31"/>
      <c r="B144" s="31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2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>
      <c r="A145" s="31"/>
      <c r="B145" s="31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2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>
      <c r="A146" s="31"/>
      <c r="B146" s="31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2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>
      <c r="A147" s="31"/>
      <c r="B147" s="31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2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>
      <c r="A148" s="31"/>
      <c r="B148" s="31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2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</row>
    <row r="149" spans="1:33" ht="15.75" customHeight="1">
      <c r="A149" s="14"/>
      <c r="B149" s="14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>
      <c r="A150" s="14"/>
      <c r="B150" s="14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>
      <c r="A151" s="14"/>
      <c r="B151" s="14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>
      <c r="A152" s="14"/>
      <c r="B152" s="14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>
      <c r="A153" s="14"/>
      <c r="B153" s="14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>
      <c r="A154" s="14"/>
      <c r="B154" s="14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>
      <c r="A155" s="14"/>
      <c r="B155" s="14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>
      <c r="A156" s="14"/>
      <c r="B156" s="14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>
      <c r="A157" s="14"/>
      <c r="B157" s="14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>
      <c r="A158" s="14"/>
      <c r="B158" s="14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>
      <c r="A159" s="14"/>
      <c r="B159" s="14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>
      <c r="A160" s="14"/>
      <c r="B160" s="14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>
      <c r="A161" s="14"/>
      <c r="B161" s="14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>
      <c r="A162" s="14"/>
      <c r="B162" s="14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>
      <c r="A163" s="14"/>
      <c r="B163" s="14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>
      <c r="A164" s="14"/>
      <c r="B164" s="14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>
      <c r="A165" s="14"/>
      <c r="B165" s="14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>
      <c r="A166" s="14"/>
      <c r="B166" s="14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>
      <c r="A167" s="14"/>
      <c r="B167" s="14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>
      <c r="A168" s="14"/>
      <c r="B168" s="14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>
      <c r="A169" s="14"/>
      <c r="B169" s="14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>
      <c r="A170" s="14"/>
      <c r="B170" s="14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>
      <c r="A171" s="14"/>
      <c r="B171" s="14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>
      <c r="A172" s="14"/>
      <c r="B172" s="14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>
      <c r="A173" s="14"/>
      <c r="B173" s="14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>
      <c r="A174" s="14"/>
      <c r="B174" s="14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>
      <c r="A175" s="14"/>
      <c r="B175" s="14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>
      <c r="A176" s="14"/>
      <c r="B176" s="14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>
      <c r="A177" s="14"/>
      <c r="B177" s="14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>
      <c r="A178" s="14"/>
      <c r="B178" s="14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>
      <c r="A179" s="14"/>
      <c r="B179" s="14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>
      <c r="A180" s="14"/>
      <c r="B180" s="14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>
      <c r="A181" s="14"/>
      <c r="B181" s="14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>
      <c r="A182" s="14"/>
      <c r="B182" s="14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>
      <c r="A183" s="14"/>
      <c r="B183" s="14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>
      <c r="A184" s="14"/>
      <c r="B184" s="14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>
      <c r="A185" s="14"/>
      <c r="B185" s="14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>
      <c r="A186" s="14"/>
      <c r="B186" s="14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>
      <c r="A187" s="14"/>
      <c r="B187" s="14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>
      <c r="A188" s="14"/>
      <c r="B188" s="14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>
      <c r="A189" s="14"/>
      <c r="B189" s="14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>
      <c r="A190" s="14"/>
      <c r="B190" s="14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>
      <c r="A191" s="14"/>
      <c r="B191" s="14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>
      <c r="A192" s="14"/>
      <c r="B192" s="14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>
      <c r="A193" s="14"/>
      <c r="B193" s="14"/>
      <c r="C193" s="39"/>
      <c r="D193" s="39"/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>
      <c r="A194" s="14"/>
      <c r="B194" s="14"/>
      <c r="C194" s="39"/>
      <c r="D194" s="39"/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>
      <c r="A195" s="14"/>
      <c r="B195" s="14"/>
      <c r="C195" s="39"/>
      <c r="D195" s="39"/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>
      <c r="A196" s="14"/>
      <c r="B196" s="14"/>
      <c r="C196" s="39"/>
      <c r="D196" s="39"/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>
      <c r="A197" s="14"/>
      <c r="B197" s="14"/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>
      <c r="A198" s="14"/>
      <c r="B198" s="14"/>
      <c r="C198" s="39"/>
      <c r="D198" s="39"/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>
      <c r="A199" s="14"/>
      <c r="B199" s="14"/>
      <c r="C199" s="39"/>
      <c r="D199" s="39"/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>
      <c r="A200" s="14"/>
      <c r="B200" s="14"/>
      <c r="C200" s="39"/>
      <c r="D200" s="39"/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>
      <c r="A201" s="14"/>
      <c r="B201" s="14"/>
      <c r="C201" s="39"/>
      <c r="D201" s="39"/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>
      <c r="A202" s="14"/>
      <c r="B202" s="14"/>
      <c r="C202" s="39"/>
      <c r="D202" s="39"/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>
      <c r="A203" s="14"/>
      <c r="B203" s="14"/>
      <c r="C203" s="39"/>
      <c r="D203" s="39"/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>
      <c r="A204" s="14"/>
      <c r="B204" s="14"/>
      <c r="C204" s="39"/>
      <c r="D204" s="39"/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>
      <c r="A205" s="14"/>
      <c r="B205" s="14"/>
      <c r="C205" s="39"/>
      <c r="D205" s="39"/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>
      <c r="A206" s="14"/>
      <c r="B206" s="14"/>
      <c r="C206" s="39"/>
      <c r="D206" s="39"/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>
      <c r="A207" s="14"/>
      <c r="B207" s="14"/>
      <c r="C207" s="39"/>
      <c r="D207" s="39"/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>
      <c r="A208" s="14"/>
      <c r="B208" s="14"/>
      <c r="C208" s="39"/>
      <c r="D208" s="39"/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>
      <c r="A209" s="14"/>
      <c r="B209" s="14"/>
      <c r="C209" s="39"/>
      <c r="D209" s="39"/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>
      <c r="A210" s="14"/>
      <c r="B210" s="14"/>
      <c r="C210" s="39"/>
      <c r="D210" s="39"/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>
      <c r="A211" s="14"/>
      <c r="B211" s="14"/>
      <c r="C211" s="39"/>
      <c r="D211" s="39"/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>
      <c r="A212" s="14"/>
      <c r="B212" s="14"/>
      <c r="C212" s="39"/>
      <c r="D212" s="39"/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>
      <c r="A213" s="14"/>
      <c r="B213" s="14"/>
      <c r="C213" s="39"/>
      <c r="D213" s="39"/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>
      <c r="A214" s="14"/>
      <c r="B214" s="14"/>
      <c r="C214" s="39"/>
      <c r="D214" s="39"/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>
      <c r="A215" s="14"/>
      <c r="B215" s="14"/>
      <c r="C215" s="39"/>
      <c r="D215" s="39"/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>
      <c r="A216" s="14"/>
      <c r="B216" s="14"/>
      <c r="C216" s="39"/>
      <c r="D216" s="39"/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>
      <c r="A217" s="14"/>
      <c r="B217" s="14"/>
      <c r="C217" s="39"/>
      <c r="D217" s="39"/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>
      <c r="A218" s="14"/>
      <c r="B218" s="14"/>
      <c r="C218" s="39"/>
      <c r="D218" s="39"/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>
      <c r="A219" s="14"/>
      <c r="B219" s="14"/>
      <c r="C219" s="39"/>
      <c r="D219" s="39"/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>
      <c r="A220" s="14"/>
      <c r="B220" s="14"/>
      <c r="C220" s="39"/>
      <c r="D220" s="39"/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>
      <c r="R221" s="30"/>
      <c r="S221" s="40"/>
    </row>
    <row r="222" spans="1:33" ht="15.75" customHeight="1">
      <c r="R222" s="30"/>
      <c r="S222" s="40"/>
    </row>
    <row r="223" spans="1:33" ht="15.75" customHeight="1">
      <c r="R223" s="30"/>
      <c r="S223" s="40"/>
    </row>
    <row r="224" spans="1:33" ht="15.75" customHeight="1">
      <c r="R224" s="30"/>
      <c r="S224" s="40"/>
    </row>
    <row r="225" spans="18:18" ht="15.75" customHeight="1">
      <c r="R225" s="30"/>
    </row>
    <row r="226" spans="18:18" ht="15.75" customHeight="1">
      <c r="R226" s="30"/>
    </row>
    <row r="227" spans="18:18" ht="15.75" customHeight="1">
      <c r="R227" s="30"/>
    </row>
    <row r="228" spans="18:18" ht="15.75" customHeight="1">
      <c r="R228" s="30"/>
    </row>
    <row r="229" spans="18:18" ht="15.75" customHeight="1">
      <c r="R229" s="30"/>
    </row>
    <row r="230" spans="18:18" ht="15.75" customHeight="1">
      <c r="R230" s="30"/>
    </row>
    <row r="231" spans="18:18" ht="15.75" customHeight="1">
      <c r="R231" s="30"/>
    </row>
    <row r="232" spans="18:18" ht="15.75" customHeight="1">
      <c r="R232" s="30"/>
    </row>
    <row r="233" spans="18:18" ht="15.75" customHeight="1">
      <c r="R233" s="30"/>
    </row>
    <row r="234" spans="18:18" ht="15.75" customHeight="1">
      <c r="R234" s="30"/>
    </row>
    <row r="235" spans="18:18" ht="15.75" customHeight="1">
      <c r="R235" s="30"/>
    </row>
    <row r="236" spans="18:18" ht="15.75" customHeight="1">
      <c r="R236" s="30"/>
    </row>
    <row r="237" spans="18:18" ht="15.75" customHeight="1">
      <c r="R237" s="30"/>
    </row>
    <row r="238" spans="18:18" ht="15.75" customHeight="1">
      <c r="R238" s="30"/>
    </row>
    <row r="239" spans="18:18" ht="15.75" customHeight="1">
      <c r="R239" s="30"/>
    </row>
    <row r="240" spans="18:18" ht="15.75" customHeight="1">
      <c r="R240" s="30"/>
    </row>
    <row r="241" spans="18:18" ht="15.75" customHeight="1">
      <c r="R241" s="30"/>
    </row>
    <row r="242" spans="18:18" ht="15.75" customHeight="1">
      <c r="R242" s="30"/>
    </row>
    <row r="243" spans="18:18" ht="15.75" customHeight="1">
      <c r="R243" s="30"/>
    </row>
    <row r="244" spans="18:18" ht="15.75" customHeight="1">
      <c r="R244" s="30"/>
    </row>
    <row r="245" spans="18:18" ht="15.75" customHeight="1">
      <c r="R245" s="30"/>
    </row>
    <row r="246" spans="18:18" ht="15.75" customHeight="1">
      <c r="R246" s="30"/>
    </row>
    <row r="247" spans="18:18" ht="15.75" customHeight="1">
      <c r="R247" s="30"/>
    </row>
    <row r="248" spans="18:18" ht="15.75" customHeight="1">
      <c r="R248" s="30"/>
    </row>
    <row r="249" spans="18:18" ht="15.75" customHeight="1">
      <c r="R249" s="30"/>
    </row>
    <row r="250" spans="18:18" ht="15.75" customHeight="1">
      <c r="R250" s="30"/>
    </row>
    <row r="251" spans="18:18" ht="15.75" customHeight="1">
      <c r="R251" s="30"/>
    </row>
    <row r="252" spans="18:18" ht="15.75" customHeight="1">
      <c r="R252" s="30"/>
    </row>
    <row r="253" spans="18:18" ht="15.75" customHeight="1">
      <c r="R253" s="30"/>
    </row>
    <row r="254" spans="18:18" ht="15.75" customHeight="1">
      <c r="R254" s="30"/>
    </row>
    <row r="255" spans="18:18" ht="15.75" customHeight="1">
      <c r="R255" s="30"/>
    </row>
    <row r="256" spans="18:18" ht="15.75" customHeight="1">
      <c r="R256" s="30"/>
    </row>
    <row r="257" spans="18:18" ht="15.75" customHeight="1">
      <c r="R257" s="30"/>
    </row>
    <row r="258" spans="18:18" ht="15.75" customHeight="1">
      <c r="R258" s="30"/>
    </row>
    <row r="259" spans="18:18" ht="15.75" customHeight="1">
      <c r="R259" s="30"/>
    </row>
    <row r="260" spans="18:18" ht="15.75" customHeight="1">
      <c r="R260" s="30"/>
    </row>
    <row r="261" spans="18:18" ht="15.75" customHeight="1">
      <c r="R261" s="30"/>
    </row>
    <row r="262" spans="18:18" ht="15.75" customHeight="1">
      <c r="R262" s="30"/>
    </row>
    <row r="263" spans="18:18" ht="15.75" customHeight="1">
      <c r="R263" s="30"/>
    </row>
    <row r="264" spans="18:18" ht="15.75" customHeight="1">
      <c r="R264" s="30"/>
    </row>
    <row r="265" spans="18:18" ht="15.75" customHeight="1">
      <c r="R265" s="30"/>
    </row>
    <row r="266" spans="18:18" ht="15.75" customHeight="1">
      <c r="R266" s="30"/>
    </row>
    <row r="267" spans="18:18" ht="15.75" customHeight="1">
      <c r="R267" s="30"/>
    </row>
    <row r="268" spans="18:18" ht="15.75" customHeight="1">
      <c r="R268" s="30"/>
    </row>
    <row r="269" spans="18:18" ht="15.75" customHeight="1">
      <c r="R269" s="30"/>
    </row>
    <row r="270" spans="18:18" ht="15.75" customHeight="1">
      <c r="R270" s="30"/>
    </row>
    <row r="271" spans="18:18" ht="15.75" customHeight="1">
      <c r="R271" s="30"/>
    </row>
    <row r="272" spans="18:18" ht="15.75" customHeight="1">
      <c r="R272" s="30"/>
    </row>
    <row r="273" spans="18:18" ht="15.75" customHeight="1">
      <c r="R273" s="30"/>
    </row>
    <row r="274" spans="18:18" ht="15.75" customHeight="1">
      <c r="R274" s="30"/>
    </row>
    <row r="275" spans="18:18" ht="15.75" customHeight="1">
      <c r="R275" s="30"/>
    </row>
    <row r="276" spans="18:18" ht="15.75" customHeight="1">
      <c r="R276" s="30"/>
    </row>
    <row r="277" spans="18:18" ht="15.75" customHeight="1">
      <c r="R277" s="30"/>
    </row>
    <row r="278" spans="18:18" ht="15.75" customHeight="1">
      <c r="R278" s="30"/>
    </row>
    <row r="279" spans="18:18" ht="15.75" customHeight="1">
      <c r="R279" s="30"/>
    </row>
    <row r="280" spans="18:18" ht="15.75" customHeight="1">
      <c r="R280" s="30"/>
    </row>
    <row r="281" spans="18:18" ht="15.75" customHeight="1">
      <c r="R281" s="30"/>
    </row>
    <row r="282" spans="18:18" ht="15.75" customHeight="1">
      <c r="R282" s="30"/>
    </row>
    <row r="283" spans="18:18" ht="15.75" customHeight="1">
      <c r="R283" s="30"/>
    </row>
    <row r="284" spans="18:18" ht="15.75" customHeight="1">
      <c r="R284" s="30"/>
    </row>
    <row r="285" spans="18:18" ht="15.75" customHeight="1">
      <c r="R285" s="30"/>
    </row>
    <row r="286" spans="18:18" ht="15.75" customHeight="1">
      <c r="R286" s="30"/>
    </row>
    <row r="287" spans="18:18" ht="15.75" customHeight="1">
      <c r="R287" s="30"/>
    </row>
    <row r="288" spans="18:18" ht="15.75" customHeight="1">
      <c r="R288" s="30"/>
    </row>
    <row r="289" spans="18:18" ht="15.75" customHeight="1">
      <c r="R289" s="30"/>
    </row>
    <row r="290" spans="18:18" ht="15.75" customHeight="1">
      <c r="R290" s="30"/>
    </row>
    <row r="291" spans="18:18" ht="15.75" customHeight="1">
      <c r="R291" s="30"/>
    </row>
    <row r="292" spans="18:18" ht="15.75" customHeight="1">
      <c r="R292" s="30"/>
    </row>
    <row r="293" spans="18:18" ht="15.75" customHeight="1">
      <c r="R293" s="30"/>
    </row>
    <row r="294" spans="18:18" ht="15.75" customHeight="1">
      <c r="R294" s="30"/>
    </row>
    <row r="295" spans="18:18" ht="15.75" customHeight="1">
      <c r="R295" s="30"/>
    </row>
    <row r="296" spans="18:18" ht="15.75" customHeight="1">
      <c r="R296" s="30"/>
    </row>
    <row r="297" spans="18:18" ht="15.75" customHeight="1">
      <c r="R297" s="30"/>
    </row>
    <row r="298" spans="18:18" ht="15.75" customHeight="1">
      <c r="R298" s="30"/>
    </row>
    <row r="299" spans="18:18" ht="15.75" customHeight="1">
      <c r="R299" s="30"/>
    </row>
    <row r="300" spans="18:18" ht="15.75" customHeight="1">
      <c r="R300" s="30"/>
    </row>
    <row r="301" spans="18:18" ht="15.75" customHeight="1">
      <c r="R301" s="30"/>
    </row>
    <row r="302" spans="18:18" ht="15.75" customHeight="1">
      <c r="R302" s="30"/>
    </row>
    <row r="303" spans="18:18" ht="15.75" customHeight="1">
      <c r="R303" s="30"/>
    </row>
    <row r="304" spans="18:18" ht="15.75" customHeight="1">
      <c r="R304" s="30"/>
    </row>
    <row r="305" spans="18:18" ht="15.75" customHeight="1">
      <c r="R305" s="30"/>
    </row>
    <row r="306" spans="18:18" ht="15.75" customHeight="1">
      <c r="R306" s="30"/>
    </row>
    <row r="307" spans="18:18" ht="15.75" customHeight="1">
      <c r="R307" s="30"/>
    </row>
    <row r="308" spans="18:18" ht="15.75" customHeight="1">
      <c r="R308" s="30"/>
    </row>
    <row r="309" spans="18:18" ht="15.75" customHeight="1">
      <c r="R309" s="30"/>
    </row>
    <row r="310" spans="18:18" ht="15.75" customHeight="1">
      <c r="R310" s="30"/>
    </row>
    <row r="311" spans="18:18" ht="15.75" customHeight="1">
      <c r="R311" s="30"/>
    </row>
    <row r="312" spans="18:18" ht="15.75" customHeight="1">
      <c r="R312" s="30"/>
    </row>
    <row r="313" spans="18:18" ht="15.75" customHeight="1">
      <c r="R313" s="30"/>
    </row>
    <row r="314" spans="18:18" ht="15.75" customHeight="1">
      <c r="R314" s="30"/>
    </row>
    <row r="315" spans="18:18" ht="15.75" customHeight="1">
      <c r="R315" s="30"/>
    </row>
    <row r="316" spans="18:18" ht="15.75" customHeight="1">
      <c r="R316" s="30"/>
    </row>
    <row r="317" spans="18:18" ht="15.75" customHeight="1">
      <c r="R317" s="30"/>
    </row>
    <row r="318" spans="18:18" ht="15.75" customHeight="1">
      <c r="R318" s="30"/>
    </row>
    <row r="319" spans="18:18" ht="15.75" customHeight="1">
      <c r="R319" s="30"/>
    </row>
    <row r="320" spans="18:18" ht="15.75" customHeight="1">
      <c r="R320" s="30"/>
    </row>
    <row r="321" spans="18:18" ht="15.75" customHeight="1">
      <c r="R321" s="30"/>
    </row>
    <row r="322" spans="18:18" ht="15.75" customHeight="1">
      <c r="R322" s="30"/>
    </row>
    <row r="323" spans="18:18" ht="15.75" customHeight="1">
      <c r="R323" s="30"/>
    </row>
    <row r="324" spans="18:18" ht="15.75" customHeight="1">
      <c r="R324" s="30"/>
    </row>
    <row r="325" spans="18:18" ht="15.75" customHeight="1">
      <c r="R325" s="30"/>
    </row>
    <row r="326" spans="18:18" ht="15.75" customHeight="1">
      <c r="R326" s="30"/>
    </row>
    <row r="327" spans="18:18" ht="15.75" customHeight="1">
      <c r="R327" s="30"/>
    </row>
    <row r="328" spans="18:18" ht="15.75" customHeight="1">
      <c r="R328" s="30"/>
    </row>
    <row r="329" spans="18:18" ht="15.75" customHeight="1">
      <c r="R329" s="30"/>
    </row>
    <row r="330" spans="18:18" ht="15.75" customHeight="1">
      <c r="R330" s="30"/>
    </row>
    <row r="331" spans="18:18" ht="15.75" customHeight="1">
      <c r="R331" s="30"/>
    </row>
    <row r="332" spans="18:18" ht="15.75" customHeight="1">
      <c r="R332" s="30"/>
    </row>
    <row r="333" spans="18:18" ht="15.75" customHeight="1">
      <c r="R333" s="30"/>
    </row>
    <row r="334" spans="18:18" ht="15.75" customHeight="1">
      <c r="R334" s="30"/>
    </row>
    <row r="335" spans="18:18" ht="15.75" customHeight="1">
      <c r="R335" s="30"/>
    </row>
    <row r="336" spans="18:18" ht="15.75" customHeight="1">
      <c r="R336" s="30"/>
    </row>
    <row r="337" spans="18:18" ht="15.75" customHeight="1">
      <c r="R337" s="30"/>
    </row>
    <row r="338" spans="18:18" ht="15.75" customHeight="1">
      <c r="R338" s="30"/>
    </row>
    <row r="339" spans="18:18" ht="15.75" customHeight="1">
      <c r="R339" s="30"/>
    </row>
    <row r="340" spans="18:18" ht="15.75" customHeight="1">
      <c r="R340" s="30"/>
    </row>
    <row r="341" spans="18:18" ht="15.75" customHeight="1">
      <c r="R341" s="30"/>
    </row>
    <row r="342" spans="18:18" ht="15.75" customHeight="1">
      <c r="R342" s="30"/>
    </row>
    <row r="343" spans="18:18" ht="15.75" customHeight="1">
      <c r="R343" s="30"/>
    </row>
    <row r="344" spans="18:18" ht="15.75" customHeight="1">
      <c r="R344" s="30"/>
    </row>
    <row r="345" spans="18:18" ht="15.75" customHeight="1">
      <c r="R345" s="30"/>
    </row>
    <row r="346" spans="18:18" ht="15.75" customHeight="1">
      <c r="R346" s="30"/>
    </row>
    <row r="347" spans="18:18" ht="15.75" customHeight="1">
      <c r="R347" s="30"/>
    </row>
    <row r="348" spans="18:18" ht="15.75" customHeight="1">
      <c r="R348" s="30"/>
    </row>
    <row r="349" spans="18:18" ht="15.75" customHeight="1">
      <c r="R349" s="30"/>
    </row>
    <row r="350" spans="18:18" ht="15.75" customHeight="1">
      <c r="R350" s="30"/>
    </row>
    <row r="351" spans="18:18" ht="15.75" customHeight="1">
      <c r="R351" s="30"/>
    </row>
    <row r="352" spans="18:18" ht="15.75" customHeight="1">
      <c r="R352" s="30"/>
    </row>
    <row r="353" spans="18:18" ht="15.75" customHeight="1">
      <c r="R353" s="30"/>
    </row>
    <row r="354" spans="18:18" ht="15.75" customHeight="1">
      <c r="R354" s="30"/>
    </row>
    <row r="355" spans="18:18" ht="15.75" customHeight="1">
      <c r="R355" s="30"/>
    </row>
    <row r="356" spans="18:18" ht="15.75" customHeight="1">
      <c r="R356" s="30"/>
    </row>
    <row r="357" spans="18:18" ht="15.75" customHeight="1">
      <c r="R357" s="30"/>
    </row>
    <row r="358" spans="18:18" ht="15.75" customHeight="1">
      <c r="R358" s="30"/>
    </row>
    <row r="359" spans="18:18" ht="15.75" customHeight="1">
      <c r="R359" s="30"/>
    </row>
    <row r="360" spans="18:18" ht="15.75" customHeight="1">
      <c r="R360" s="30"/>
    </row>
    <row r="361" spans="18:18" ht="15.75" customHeight="1">
      <c r="R361" s="30"/>
    </row>
    <row r="362" spans="18:18" ht="15.75" customHeight="1">
      <c r="R362" s="30"/>
    </row>
    <row r="363" spans="18:18" ht="15.75" customHeight="1">
      <c r="R363" s="30"/>
    </row>
    <row r="364" spans="18:18" ht="15.75" customHeight="1">
      <c r="R364" s="30"/>
    </row>
    <row r="365" spans="18:18" ht="15.75" customHeight="1">
      <c r="R365" s="30"/>
    </row>
    <row r="366" spans="18:18" ht="15.75" customHeight="1">
      <c r="R366" s="30"/>
    </row>
    <row r="367" spans="18:18" ht="15.75" customHeight="1">
      <c r="R367" s="30"/>
    </row>
    <row r="368" spans="18:18" ht="15.75" customHeight="1">
      <c r="R368" s="30"/>
    </row>
    <row r="369" spans="18:18" ht="15.75" customHeight="1">
      <c r="R369" s="30"/>
    </row>
    <row r="370" spans="18:18" ht="15.75" customHeight="1">
      <c r="R370" s="30"/>
    </row>
    <row r="371" spans="18:18" ht="15.75" customHeight="1">
      <c r="R371" s="30"/>
    </row>
    <row r="372" spans="18:18" ht="15.75" customHeight="1">
      <c r="R372" s="30"/>
    </row>
    <row r="373" spans="18:18" ht="15.75" customHeight="1">
      <c r="R373" s="30"/>
    </row>
    <row r="374" spans="18:18" ht="15.75" customHeight="1">
      <c r="R374" s="30"/>
    </row>
    <row r="375" spans="18:18" ht="15.75" customHeight="1">
      <c r="R375" s="30"/>
    </row>
    <row r="376" spans="18:18" ht="15.75" customHeight="1">
      <c r="R376" s="30"/>
    </row>
    <row r="377" spans="18:18" ht="15.75" customHeight="1">
      <c r="R377" s="30"/>
    </row>
    <row r="378" spans="18:18" ht="15.75" customHeight="1">
      <c r="R378" s="30"/>
    </row>
    <row r="379" spans="18:18" ht="15.75" customHeight="1">
      <c r="R379" s="30"/>
    </row>
    <row r="380" spans="18:18" ht="15.75" customHeight="1">
      <c r="R380" s="30"/>
    </row>
    <row r="381" spans="18:18" ht="15.75" customHeight="1">
      <c r="R381" s="30"/>
    </row>
    <row r="382" spans="18:18" ht="15.75" customHeight="1">
      <c r="R382" s="30"/>
    </row>
    <row r="383" spans="18:18" ht="15.75" customHeight="1">
      <c r="R383" s="30"/>
    </row>
    <row r="384" spans="18:18" ht="15.75" customHeight="1">
      <c r="R384" s="30"/>
    </row>
    <row r="385" spans="18:18" ht="15.75" customHeight="1">
      <c r="R385" s="30"/>
    </row>
    <row r="386" spans="18:18" ht="15.75" customHeight="1">
      <c r="R386" s="30"/>
    </row>
    <row r="387" spans="18:18" ht="15.75" customHeight="1">
      <c r="R387" s="30"/>
    </row>
    <row r="388" spans="18:18" ht="15.75" customHeight="1">
      <c r="R388" s="30"/>
    </row>
    <row r="389" spans="18:18" ht="15.75" customHeight="1">
      <c r="R389" s="30"/>
    </row>
    <row r="390" spans="18:18" ht="15.75" customHeight="1">
      <c r="R390" s="30"/>
    </row>
    <row r="391" spans="18:18" ht="15.75" customHeight="1">
      <c r="R391" s="30"/>
    </row>
    <row r="392" spans="18:18" ht="15.75" customHeight="1">
      <c r="R392" s="30"/>
    </row>
    <row r="393" spans="18:18" ht="15.75" customHeight="1">
      <c r="R393" s="30"/>
    </row>
    <row r="394" spans="18:18" ht="15.75" customHeight="1">
      <c r="R394" s="30"/>
    </row>
    <row r="395" spans="18:18" ht="15.75" customHeight="1">
      <c r="R395" s="30"/>
    </row>
    <row r="396" spans="18:18" ht="15.75" customHeight="1">
      <c r="R396" s="30"/>
    </row>
    <row r="397" spans="18:18" ht="15.75" customHeight="1">
      <c r="R397" s="30"/>
    </row>
    <row r="398" spans="18:18" ht="15.75" customHeight="1">
      <c r="R398" s="30"/>
    </row>
    <row r="399" spans="18:18" ht="15.75" customHeight="1">
      <c r="R399" s="30"/>
    </row>
    <row r="400" spans="18:18" ht="15.75" customHeight="1">
      <c r="R400" s="30"/>
    </row>
    <row r="401" spans="18:18" ht="15.75" customHeight="1">
      <c r="R401" s="30"/>
    </row>
    <row r="402" spans="18:18" ht="15.75" customHeight="1">
      <c r="R402" s="30"/>
    </row>
    <row r="403" spans="18:18" ht="15.75" customHeight="1">
      <c r="R403" s="30"/>
    </row>
    <row r="404" spans="18:18" ht="15.75" customHeight="1">
      <c r="R404" s="30"/>
    </row>
    <row r="405" spans="18:18" ht="15.75" customHeight="1">
      <c r="R405" s="30"/>
    </row>
    <row r="406" spans="18:18" ht="15.75" customHeight="1">
      <c r="R406" s="30"/>
    </row>
    <row r="407" spans="18:18" ht="15.75" customHeight="1">
      <c r="R407" s="30"/>
    </row>
    <row r="408" spans="18:18" ht="15.75" customHeight="1">
      <c r="R408" s="30"/>
    </row>
    <row r="409" spans="18:18" ht="15.75" customHeight="1">
      <c r="R409" s="30"/>
    </row>
    <row r="410" spans="18:18" ht="15.75" customHeight="1">
      <c r="R410" s="30"/>
    </row>
    <row r="411" spans="18:18" ht="15.75" customHeight="1">
      <c r="R411" s="30"/>
    </row>
    <row r="412" spans="18:18" ht="15.75" customHeight="1">
      <c r="R412" s="30"/>
    </row>
    <row r="413" spans="18:18" ht="15.75" customHeight="1">
      <c r="R413" s="30"/>
    </row>
    <row r="414" spans="18:18" ht="15.75" customHeight="1">
      <c r="R414" s="30"/>
    </row>
    <row r="415" spans="18:18" ht="15.75" customHeight="1">
      <c r="R415" s="30"/>
    </row>
    <row r="416" spans="18:18" ht="15.75" customHeight="1">
      <c r="R416" s="30"/>
    </row>
    <row r="417" spans="18:18" ht="15.75" customHeight="1">
      <c r="R417" s="30"/>
    </row>
    <row r="418" spans="18:18" ht="15.75" customHeight="1">
      <c r="R418" s="30"/>
    </row>
    <row r="419" spans="18:18" ht="15.75" customHeight="1">
      <c r="R419" s="30"/>
    </row>
    <row r="420" spans="18:18" ht="15.75" customHeight="1">
      <c r="R420" s="30"/>
    </row>
    <row r="421" spans="18:18" ht="15.75" customHeight="1">
      <c r="R421" s="30"/>
    </row>
    <row r="422" spans="18:18" ht="15.75" customHeight="1">
      <c r="R422" s="30"/>
    </row>
    <row r="423" spans="18:18" ht="15.75" customHeight="1">
      <c r="R423" s="30"/>
    </row>
    <row r="424" spans="18:18" ht="15.75" customHeight="1">
      <c r="R424" s="30"/>
    </row>
    <row r="425" spans="18:18" ht="15.75" customHeight="1">
      <c r="R425" s="30"/>
    </row>
    <row r="426" spans="18:18" ht="15.75" customHeight="1">
      <c r="R426" s="30"/>
    </row>
    <row r="427" spans="18:18" ht="15.75" customHeight="1">
      <c r="R427" s="30"/>
    </row>
    <row r="428" spans="18:18" ht="15.75" customHeight="1">
      <c r="R428" s="30"/>
    </row>
    <row r="429" spans="18:18" ht="15.75" customHeight="1">
      <c r="R429" s="30"/>
    </row>
    <row r="430" spans="18:18" ht="15.75" customHeight="1">
      <c r="R430" s="30"/>
    </row>
    <row r="431" spans="18:18" ht="15.75" customHeight="1">
      <c r="R431" s="30"/>
    </row>
    <row r="432" spans="18:18" ht="15.75" customHeight="1">
      <c r="R432" s="30"/>
    </row>
    <row r="433" spans="18:18" ht="15.75" customHeight="1">
      <c r="R433" s="30"/>
    </row>
    <row r="434" spans="18:18" ht="15.75" customHeight="1">
      <c r="R434" s="30"/>
    </row>
    <row r="435" spans="18:18" ht="15.75" customHeight="1">
      <c r="R435" s="30"/>
    </row>
    <row r="436" spans="18:18" ht="15.75" customHeight="1">
      <c r="R436" s="30"/>
    </row>
    <row r="437" spans="18:18" ht="15.75" customHeight="1">
      <c r="R437" s="30"/>
    </row>
    <row r="438" spans="18:18" ht="15.75" customHeight="1">
      <c r="R438" s="30"/>
    </row>
    <row r="439" spans="18:18" ht="15.75" customHeight="1">
      <c r="R439" s="30"/>
    </row>
    <row r="440" spans="18:18" ht="15.75" customHeight="1">
      <c r="R440" s="30"/>
    </row>
    <row r="441" spans="18:18" ht="15.75" customHeight="1">
      <c r="R441" s="30"/>
    </row>
    <row r="442" spans="18:18" ht="15.75" customHeight="1">
      <c r="R442" s="30"/>
    </row>
    <row r="443" spans="18:18" ht="15.75" customHeight="1">
      <c r="R443" s="30"/>
    </row>
    <row r="444" spans="18:18" ht="15.75" customHeight="1">
      <c r="R444" s="30"/>
    </row>
    <row r="445" spans="18:18" ht="15.75" customHeight="1">
      <c r="R445" s="30"/>
    </row>
    <row r="446" spans="18:18" ht="15.75" customHeight="1">
      <c r="R446" s="30"/>
    </row>
    <row r="447" spans="18:18" ht="15.75" customHeight="1">
      <c r="R447" s="30"/>
    </row>
    <row r="448" spans="18:18" ht="15.75" customHeight="1">
      <c r="R448" s="30"/>
    </row>
    <row r="449" spans="18:18" ht="15.75" customHeight="1">
      <c r="R449" s="30"/>
    </row>
    <row r="450" spans="18:18" ht="15.75" customHeight="1">
      <c r="R450" s="30"/>
    </row>
    <row r="451" spans="18:18" ht="15.75" customHeight="1">
      <c r="R451" s="30"/>
    </row>
    <row r="452" spans="18:18" ht="15.75" customHeight="1">
      <c r="R452" s="30"/>
    </row>
    <row r="453" spans="18:18" ht="15.75" customHeight="1">
      <c r="R453" s="30"/>
    </row>
    <row r="454" spans="18:18" ht="15.75" customHeight="1">
      <c r="R454" s="30"/>
    </row>
    <row r="455" spans="18:18" ht="15.75" customHeight="1">
      <c r="R455" s="30"/>
    </row>
    <row r="456" spans="18:18" ht="15.75" customHeight="1">
      <c r="R456" s="30"/>
    </row>
    <row r="457" spans="18:18" ht="15.75" customHeight="1">
      <c r="R457" s="30"/>
    </row>
    <row r="458" spans="18:18" ht="15.75" customHeight="1">
      <c r="R458" s="30"/>
    </row>
    <row r="459" spans="18:18" ht="15.75" customHeight="1">
      <c r="R459" s="30"/>
    </row>
    <row r="460" spans="18:18" ht="15.75" customHeight="1">
      <c r="R460" s="30"/>
    </row>
    <row r="461" spans="18:18" ht="15.75" customHeight="1">
      <c r="R461" s="30"/>
    </row>
    <row r="462" spans="18:18" ht="15.75" customHeight="1">
      <c r="R462" s="30"/>
    </row>
    <row r="463" spans="18:18" ht="15.75" customHeight="1">
      <c r="R463" s="30"/>
    </row>
    <row r="464" spans="18:18" ht="15.75" customHeight="1">
      <c r="R464" s="30"/>
    </row>
    <row r="465" spans="18:18" ht="15.75" customHeight="1">
      <c r="R465" s="30"/>
    </row>
    <row r="466" spans="18:18" ht="15.75" customHeight="1">
      <c r="R466" s="30"/>
    </row>
    <row r="467" spans="18:18" ht="15.75" customHeight="1">
      <c r="R467" s="30"/>
    </row>
    <row r="468" spans="18:18" ht="15.75" customHeight="1">
      <c r="R468" s="30"/>
    </row>
    <row r="469" spans="18:18" ht="15.75" customHeight="1">
      <c r="R469" s="30"/>
    </row>
    <row r="470" spans="18:18" ht="15.75" customHeight="1">
      <c r="R470" s="30"/>
    </row>
    <row r="471" spans="18:18" ht="15.75" customHeight="1">
      <c r="R471" s="30"/>
    </row>
    <row r="472" spans="18:18" ht="15.75" customHeight="1">
      <c r="R472" s="30"/>
    </row>
    <row r="473" spans="18:18" ht="15.75" customHeight="1">
      <c r="R473" s="30"/>
    </row>
    <row r="474" spans="18:18" ht="15.75" customHeight="1">
      <c r="R474" s="30"/>
    </row>
    <row r="475" spans="18:18" ht="15.75" customHeight="1">
      <c r="R475" s="30"/>
    </row>
    <row r="476" spans="18:18" ht="15.75" customHeight="1">
      <c r="R476" s="30"/>
    </row>
    <row r="477" spans="18:18" ht="15.75" customHeight="1">
      <c r="R477" s="30"/>
    </row>
    <row r="478" spans="18:18" ht="15.75" customHeight="1">
      <c r="R478" s="30"/>
    </row>
    <row r="479" spans="18:18" ht="15.75" customHeight="1">
      <c r="R479" s="30"/>
    </row>
    <row r="480" spans="18:18" ht="15.75" customHeight="1">
      <c r="R480" s="30"/>
    </row>
    <row r="481" spans="18:18" ht="15.75" customHeight="1">
      <c r="R481" s="30"/>
    </row>
    <row r="482" spans="18:18" ht="15.75" customHeight="1">
      <c r="R482" s="30"/>
    </row>
    <row r="483" spans="18:18" ht="15.75" customHeight="1">
      <c r="R483" s="30"/>
    </row>
    <row r="484" spans="18:18" ht="15.75" customHeight="1">
      <c r="R484" s="30"/>
    </row>
    <row r="485" spans="18:18" ht="15.75" customHeight="1">
      <c r="R485" s="30"/>
    </row>
    <row r="486" spans="18:18" ht="15.75" customHeight="1">
      <c r="R486" s="30"/>
    </row>
    <row r="487" spans="18:18" ht="15.75" customHeight="1">
      <c r="R487" s="30"/>
    </row>
    <row r="488" spans="18:18" ht="15.75" customHeight="1">
      <c r="R488" s="30"/>
    </row>
    <row r="489" spans="18:18" ht="15.75" customHeight="1">
      <c r="R489" s="30"/>
    </row>
    <row r="490" spans="18:18" ht="15.75" customHeight="1">
      <c r="R490" s="30"/>
    </row>
    <row r="491" spans="18:18" ht="15.75" customHeight="1">
      <c r="R491" s="30"/>
    </row>
    <row r="492" spans="18:18" ht="15.75" customHeight="1">
      <c r="R492" s="30"/>
    </row>
    <row r="493" spans="18:18" ht="15.75" customHeight="1">
      <c r="R493" s="30"/>
    </row>
    <row r="494" spans="18:18" ht="15.75" customHeight="1">
      <c r="R494" s="30"/>
    </row>
    <row r="495" spans="18:18" ht="15.75" customHeight="1">
      <c r="R495" s="30"/>
    </row>
    <row r="496" spans="18:18" ht="15.75" customHeight="1">
      <c r="R496" s="30"/>
    </row>
    <row r="497" spans="18:18" ht="15.75" customHeight="1">
      <c r="R497" s="30"/>
    </row>
    <row r="498" spans="18:18" ht="15.75" customHeight="1">
      <c r="R498" s="30"/>
    </row>
    <row r="499" spans="18:18" ht="15.75" customHeight="1">
      <c r="R499" s="30"/>
    </row>
    <row r="500" spans="18:18" ht="15.75" customHeight="1">
      <c r="R500" s="30"/>
    </row>
    <row r="501" spans="18:18" ht="15.75" customHeight="1">
      <c r="R501" s="30"/>
    </row>
    <row r="502" spans="18:18" ht="15.75" customHeight="1">
      <c r="R502" s="30"/>
    </row>
    <row r="503" spans="18:18" ht="15.75" customHeight="1">
      <c r="R503" s="30"/>
    </row>
    <row r="504" spans="18:18" ht="15.75" customHeight="1">
      <c r="R504" s="30"/>
    </row>
    <row r="505" spans="18:18" ht="15.75" customHeight="1">
      <c r="R505" s="30"/>
    </row>
    <row r="506" spans="18:18" ht="15.75" customHeight="1">
      <c r="R506" s="30"/>
    </row>
    <row r="507" spans="18:18" ht="15.75" customHeight="1">
      <c r="R507" s="30"/>
    </row>
    <row r="508" spans="18:18" ht="15.75" customHeight="1">
      <c r="R508" s="30"/>
    </row>
    <row r="509" spans="18:18" ht="15.75" customHeight="1">
      <c r="R509" s="30"/>
    </row>
    <row r="510" spans="18:18" ht="15.75" customHeight="1">
      <c r="R510" s="30"/>
    </row>
    <row r="511" spans="18:18" ht="15.75" customHeight="1">
      <c r="R511" s="30"/>
    </row>
    <row r="512" spans="18:18" ht="15.75" customHeight="1">
      <c r="R512" s="30"/>
    </row>
    <row r="513" spans="18:18" ht="15.75" customHeight="1">
      <c r="R513" s="30"/>
    </row>
    <row r="514" spans="18:18" ht="15.75" customHeight="1">
      <c r="R514" s="30"/>
    </row>
    <row r="515" spans="18:18" ht="15.75" customHeight="1">
      <c r="R515" s="30"/>
    </row>
    <row r="516" spans="18:18" ht="15.75" customHeight="1">
      <c r="R516" s="30"/>
    </row>
    <row r="517" spans="18:18" ht="15.75" customHeight="1">
      <c r="R517" s="30"/>
    </row>
    <row r="518" spans="18:18" ht="15.75" customHeight="1">
      <c r="R518" s="30"/>
    </row>
    <row r="519" spans="18:18" ht="15.75" customHeight="1">
      <c r="R519" s="30"/>
    </row>
    <row r="520" spans="18:18" ht="15.75" customHeight="1">
      <c r="R520" s="30"/>
    </row>
    <row r="521" spans="18:18" ht="15.75" customHeight="1">
      <c r="R521" s="30"/>
    </row>
    <row r="522" spans="18:18" ht="15.75" customHeight="1">
      <c r="R522" s="30"/>
    </row>
    <row r="523" spans="18:18" ht="15.75" customHeight="1">
      <c r="R523" s="30"/>
    </row>
    <row r="524" spans="18:18" ht="15.75" customHeight="1">
      <c r="R524" s="30"/>
    </row>
    <row r="525" spans="18:18" ht="15.75" customHeight="1">
      <c r="R525" s="30"/>
    </row>
    <row r="526" spans="18:18" ht="15.75" customHeight="1">
      <c r="R526" s="30"/>
    </row>
    <row r="527" spans="18:18" ht="15.75" customHeight="1">
      <c r="R527" s="30"/>
    </row>
    <row r="528" spans="18:18" ht="15.75" customHeight="1">
      <c r="R528" s="30"/>
    </row>
    <row r="529" spans="18:18" ht="15.75" customHeight="1">
      <c r="R529" s="30"/>
    </row>
    <row r="530" spans="18:18" ht="15.75" customHeight="1">
      <c r="R530" s="30"/>
    </row>
    <row r="531" spans="18:18" ht="15.75" customHeight="1">
      <c r="R531" s="30"/>
    </row>
    <row r="532" spans="18:18" ht="15.75" customHeight="1">
      <c r="R532" s="30"/>
    </row>
    <row r="533" spans="18:18" ht="15.75" customHeight="1">
      <c r="R533" s="30"/>
    </row>
    <row r="534" spans="18:18" ht="15.75" customHeight="1">
      <c r="R534" s="30"/>
    </row>
    <row r="535" spans="18:18" ht="15.75" customHeight="1">
      <c r="R535" s="30"/>
    </row>
    <row r="536" spans="18:18" ht="15.75" customHeight="1">
      <c r="R536" s="30"/>
    </row>
    <row r="537" spans="18:18" ht="15.75" customHeight="1">
      <c r="R537" s="30"/>
    </row>
    <row r="538" spans="18:18" ht="15.75" customHeight="1">
      <c r="R538" s="30"/>
    </row>
    <row r="539" spans="18:18" ht="15.75" customHeight="1">
      <c r="R539" s="30"/>
    </row>
    <row r="540" spans="18:18" ht="15.75" customHeight="1">
      <c r="R540" s="30"/>
    </row>
    <row r="541" spans="18:18" ht="15.75" customHeight="1">
      <c r="R541" s="30"/>
    </row>
    <row r="542" spans="18:18" ht="15.75" customHeight="1">
      <c r="R542" s="30"/>
    </row>
    <row r="543" spans="18:18" ht="15.75" customHeight="1">
      <c r="R543" s="30"/>
    </row>
    <row r="544" spans="18:18" ht="15.75" customHeight="1">
      <c r="R544" s="30"/>
    </row>
    <row r="545" spans="18:18" ht="15.75" customHeight="1">
      <c r="R545" s="30"/>
    </row>
    <row r="546" spans="18:18" ht="15.75" customHeight="1">
      <c r="R546" s="30"/>
    </row>
    <row r="547" spans="18:18" ht="15.75" customHeight="1">
      <c r="R547" s="30"/>
    </row>
    <row r="548" spans="18:18" ht="15.75" customHeight="1">
      <c r="R548" s="30"/>
    </row>
    <row r="549" spans="18:18" ht="15.75" customHeight="1">
      <c r="R549" s="30"/>
    </row>
    <row r="550" spans="18:18" ht="15.75" customHeight="1">
      <c r="R550" s="30"/>
    </row>
    <row r="551" spans="18:18" ht="15.75" customHeight="1">
      <c r="R551" s="30"/>
    </row>
    <row r="552" spans="18:18" ht="15.75" customHeight="1">
      <c r="R552" s="30"/>
    </row>
    <row r="553" spans="18:18" ht="15.75" customHeight="1">
      <c r="R553" s="30"/>
    </row>
    <row r="554" spans="18:18" ht="15.75" customHeight="1">
      <c r="R554" s="30"/>
    </row>
    <row r="555" spans="18:18" ht="15.75" customHeight="1">
      <c r="R555" s="30"/>
    </row>
    <row r="556" spans="18:18" ht="15.75" customHeight="1">
      <c r="R556" s="30"/>
    </row>
    <row r="557" spans="18:18" ht="15.75" customHeight="1">
      <c r="R557" s="30"/>
    </row>
    <row r="558" spans="18:18" ht="15.75" customHeight="1">
      <c r="R558" s="30"/>
    </row>
    <row r="559" spans="18:18" ht="15.75" customHeight="1">
      <c r="R559" s="30"/>
    </row>
    <row r="560" spans="18:18" ht="15.75" customHeight="1">
      <c r="R560" s="30"/>
    </row>
    <row r="561" spans="18:18" ht="15.75" customHeight="1">
      <c r="R561" s="30"/>
    </row>
    <row r="562" spans="18:18" ht="15.75" customHeight="1">
      <c r="R562" s="30"/>
    </row>
    <row r="563" spans="18:18" ht="15.75" customHeight="1">
      <c r="R563" s="30"/>
    </row>
    <row r="564" spans="18:18" ht="15.75" customHeight="1">
      <c r="R564" s="30"/>
    </row>
    <row r="565" spans="18:18" ht="15.75" customHeight="1">
      <c r="R565" s="30"/>
    </row>
    <row r="566" spans="18:18" ht="15.75" customHeight="1">
      <c r="R566" s="30"/>
    </row>
    <row r="567" spans="18:18" ht="15.75" customHeight="1">
      <c r="R567" s="30"/>
    </row>
    <row r="568" spans="18:18" ht="15.75" customHeight="1">
      <c r="R568" s="30"/>
    </row>
    <row r="569" spans="18:18" ht="15.75" customHeight="1">
      <c r="R569" s="30"/>
    </row>
    <row r="570" spans="18:18" ht="15.75" customHeight="1">
      <c r="R570" s="30"/>
    </row>
    <row r="571" spans="18:18" ht="15.75" customHeight="1">
      <c r="R571" s="30"/>
    </row>
    <row r="572" spans="18:18" ht="15.75" customHeight="1">
      <c r="R572" s="30"/>
    </row>
    <row r="573" spans="18:18" ht="15.75" customHeight="1">
      <c r="R573" s="30"/>
    </row>
    <row r="574" spans="18:18" ht="15.75" customHeight="1">
      <c r="R574" s="30"/>
    </row>
    <row r="575" spans="18:18" ht="15.75" customHeight="1">
      <c r="R575" s="30"/>
    </row>
    <row r="576" spans="18:18" ht="15.75" customHeight="1">
      <c r="R576" s="30"/>
    </row>
    <row r="577" spans="18:18" ht="15.75" customHeight="1">
      <c r="R577" s="30"/>
    </row>
    <row r="578" spans="18:18" ht="15.75" customHeight="1">
      <c r="R578" s="30"/>
    </row>
    <row r="579" spans="18:18" ht="15.75" customHeight="1">
      <c r="R579" s="30"/>
    </row>
    <row r="580" spans="18:18" ht="15.75" customHeight="1">
      <c r="R580" s="30"/>
    </row>
    <row r="581" spans="18:18" ht="15.75" customHeight="1">
      <c r="R581" s="30"/>
    </row>
    <row r="582" spans="18:18" ht="15.75" customHeight="1">
      <c r="R582" s="30"/>
    </row>
    <row r="583" spans="18:18" ht="15.75" customHeight="1">
      <c r="R583" s="30"/>
    </row>
    <row r="584" spans="18:18" ht="15.75" customHeight="1">
      <c r="R584" s="30"/>
    </row>
    <row r="585" spans="18:18" ht="15.75" customHeight="1">
      <c r="R585" s="30"/>
    </row>
    <row r="586" spans="18:18" ht="15.75" customHeight="1">
      <c r="R586" s="30"/>
    </row>
    <row r="587" spans="18:18" ht="15.75" customHeight="1">
      <c r="R587" s="30"/>
    </row>
    <row r="588" spans="18:18" ht="15.75" customHeight="1">
      <c r="R588" s="30"/>
    </row>
    <row r="589" spans="18:18" ht="15.75" customHeight="1">
      <c r="R589" s="30"/>
    </row>
    <row r="590" spans="18:18" ht="15.75" customHeight="1">
      <c r="R590" s="30"/>
    </row>
    <row r="591" spans="18:18" ht="15.75" customHeight="1">
      <c r="R591" s="30"/>
    </row>
    <row r="592" spans="18:18" ht="15.75" customHeight="1">
      <c r="R592" s="30"/>
    </row>
    <row r="593" spans="18:18" ht="15.75" customHeight="1">
      <c r="R593" s="30"/>
    </row>
    <row r="594" spans="18:18" ht="15.75" customHeight="1">
      <c r="R594" s="30"/>
    </row>
    <row r="595" spans="18:18" ht="15.75" customHeight="1">
      <c r="R595" s="30"/>
    </row>
    <row r="596" spans="18:18" ht="15.75" customHeight="1">
      <c r="R596" s="30"/>
    </row>
    <row r="597" spans="18:18" ht="15.75" customHeight="1">
      <c r="R597" s="30"/>
    </row>
    <row r="598" spans="18:18" ht="15.75" customHeight="1">
      <c r="R598" s="30"/>
    </row>
    <row r="599" spans="18:18" ht="15.75" customHeight="1">
      <c r="R599" s="30"/>
    </row>
    <row r="600" spans="18:18" ht="15.75" customHeight="1">
      <c r="R600" s="30"/>
    </row>
    <row r="601" spans="18:18" ht="15.75" customHeight="1">
      <c r="R601" s="30"/>
    </row>
    <row r="602" spans="18:18" ht="15.75" customHeight="1">
      <c r="R602" s="30"/>
    </row>
    <row r="603" spans="18:18" ht="15.75" customHeight="1">
      <c r="R603" s="30"/>
    </row>
    <row r="604" spans="18:18" ht="15.75" customHeight="1">
      <c r="R604" s="30"/>
    </row>
    <row r="605" spans="18:18" ht="15.75" customHeight="1">
      <c r="R605" s="30"/>
    </row>
    <row r="606" spans="18:18" ht="15.75" customHeight="1">
      <c r="R606" s="30"/>
    </row>
    <row r="607" spans="18:18" ht="15.75" customHeight="1">
      <c r="R607" s="30"/>
    </row>
    <row r="608" spans="18:18" ht="15.75" customHeight="1">
      <c r="R608" s="30"/>
    </row>
    <row r="609" spans="18:18" ht="15.75" customHeight="1">
      <c r="R609" s="30"/>
    </row>
    <row r="610" spans="18:18" ht="15.75" customHeight="1">
      <c r="R610" s="30"/>
    </row>
    <row r="611" spans="18:18" ht="15.75" customHeight="1">
      <c r="R611" s="30"/>
    </row>
    <row r="612" spans="18:18" ht="15.75" customHeight="1">
      <c r="R612" s="30"/>
    </row>
    <row r="613" spans="18:18" ht="15.75" customHeight="1">
      <c r="R613" s="30"/>
    </row>
    <row r="614" spans="18:18" ht="15.75" customHeight="1">
      <c r="R614" s="30"/>
    </row>
    <row r="615" spans="18:18" ht="15.75" customHeight="1">
      <c r="R615" s="30"/>
    </row>
    <row r="616" spans="18:18" ht="15.75" customHeight="1">
      <c r="R616" s="30"/>
    </row>
    <row r="617" spans="18:18" ht="15.75" customHeight="1">
      <c r="R617" s="30"/>
    </row>
    <row r="618" spans="18:18" ht="15.75" customHeight="1">
      <c r="R618" s="30"/>
    </row>
    <row r="619" spans="18:18" ht="15.75" customHeight="1">
      <c r="R619" s="30"/>
    </row>
    <row r="620" spans="18:18" ht="15.75" customHeight="1">
      <c r="R620" s="30"/>
    </row>
    <row r="621" spans="18:18" ht="15.75" customHeight="1">
      <c r="R621" s="30"/>
    </row>
    <row r="622" spans="18:18" ht="15.75" customHeight="1">
      <c r="R622" s="30"/>
    </row>
    <row r="623" spans="18:18" ht="15.75" customHeight="1">
      <c r="R623" s="30"/>
    </row>
    <row r="624" spans="18:18" ht="15.75" customHeight="1">
      <c r="R624" s="30"/>
    </row>
    <row r="625" spans="18:18" ht="15.75" customHeight="1">
      <c r="R625" s="30"/>
    </row>
    <row r="626" spans="18:18" ht="15.75" customHeight="1">
      <c r="R626" s="30"/>
    </row>
    <row r="627" spans="18:18" ht="15.75" customHeight="1">
      <c r="R627" s="30"/>
    </row>
    <row r="628" spans="18:18" ht="15.75" customHeight="1">
      <c r="R628" s="30"/>
    </row>
    <row r="629" spans="18:18" ht="15.75" customHeight="1">
      <c r="R629" s="30"/>
    </row>
    <row r="630" spans="18:18" ht="15.75" customHeight="1">
      <c r="R630" s="30"/>
    </row>
    <row r="631" spans="18:18" ht="15.75" customHeight="1">
      <c r="R631" s="30"/>
    </row>
    <row r="632" spans="18:18" ht="15.75" customHeight="1">
      <c r="R632" s="30"/>
    </row>
    <row r="633" spans="18:18" ht="15.75" customHeight="1">
      <c r="R633" s="30"/>
    </row>
    <row r="634" spans="18:18" ht="15.75" customHeight="1">
      <c r="R634" s="30"/>
    </row>
    <row r="635" spans="18:18" ht="15.75" customHeight="1">
      <c r="R635" s="30"/>
    </row>
    <row r="636" spans="18:18" ht="15.75" customHeight="1">
      <c r="R636" s="30"/>
    </row>
    <row r="637" spans="18:18" ht="15.75" customHeight="1">
      <c r="R637" s="30"/>
    </row>
    <row r="638" spans="18:18" ht="15.75" customHeight="1">
      <c r="R638" s="30"/>
    </row>
    <row r="639" spans="18:18" ht="15.75" customHeight="1">
      <c r="R639" s="30"/>
    </row>
    <row r="640" spans="18:18" ht="15.75" customHeight="1">
      <c r="R640" s="30"/>
    </row>
    <row r="641" spans="18:18" ht="15.75" customHeight="1">
      <c r="R641" s="30"/>
    </row>
    <row r="642" spans="18:18" ht="15.75" customHeight="1">
      <c r="R642" s="30"/>
    </row>
    <row r="643" spans="18:18" ht="15.75" customHeight="1">
      <c r="R643" s="30"/>
    </row>
    <row r="644" spans="18:18" ht="15.75" customHeight="1">
      <c r="R644" s="30"/>
    </row>
    <row r="645" spans="18:18" ht="15.75" customHeight="1">
      <c r="R645" s="30"/>
    </row>
    <row r="646" spans="18:18" ht="15.75" customHeight="1">
      <c r="R646" s="30"/>
    </row>
    <row r="647" spans="18:18" ht="15.75" customHeight="1">
      <c r="R647" s="30"/>
    </row>
    <row r="648" spans="18:18" ht="15.75" customHeight="1">
      <c r="R648" s="30"/>
    </row>
    <row r="649" spans="18:18" ht="15.75" customHeight="1">
      <c r="R649" s="30"/>
    </row>
    <row r="650" spans="18:18" ht="15.75" customHeight="1">
      <c r="R650" s="30"/>
    </row>
    <row r="651" spans="18:18" ht="15.75" customHeight="1">
      <c r="R651" s="30"/>
    </row>
    <row r="652" spans="18:18" ht="15.75" customHeight="1">
      <c r="R652" s="30"/>
    </row>
    <row r="653" spans="18:18" ht="15.75" customHeight="1">
      <c r="R653" s="30"/>
    </row>
    <row r="654" spans="18:18" ht="15.75" customHeight="1">
      <c r="R654" s="30"/>
    </row>
    <row r="655" spans="18:18" ht="15.75" customHeight="1">
      <c r="R655" s="30"/>
    </row>
    <row r="656" spans="18:18" ht="15.75" customHeight="1">
      <c r="R656" s="30"/>
    </row>
    <row r="657" spans="18:18" ht="15.75" customHeight="1">
      <c r="R657" s="30"/>
    </row>
    <row r="658" spans="18:18" ht="15.75" customHeight="1">
      <c r="R658" s="30"/>
    </row>
    <row r="659" spans="18:18" ht="15.75" customHeight="1">
      <c r="R659" s="30"/>
    </row>
    <row r="660" spans="18:18" ht="15.75" customHeight="1">
      <c r="R660" s="30"/>
    </row>
    <row r="661" spans="18:18" ht="15.75" customHeight="1">
      <c r="R661" s="30"/>
    </row>
    <row r="662" spans="18:18" ht="15.75" customHeight="1">
      <c r="R662" s="30"/>
    </row>
    <row r="663" spans="18:18" ht="15.75" customHeight="1">
      <c r="R663" s="30"/>
    </row>
    <row r="664" spans="18:18" ht="15.75" customHeight="1">
      <c r="R664" s="30"/>
    </row>
    <row r="665" spans="18:18" ht="15.75" customHeight="1">
      <c r="R665" s="30"/>
    </row>
    <row r="666" spans="18:18" ht="15.75" customHeight="1">
      <c r="R666" s="30"/>
    </row>
    <row r="667" spans="18:18" ht="15.75" customHeight="1">
      <c r="R667" s="30"/>
    </row>
    <row r="668" spans="18:18" ht="15.75" customHeight="1">
      <c r="R668" s="30"/>
    </row>
    <row r="669" spans="18:18" ht="15.75" customHeight="1">
      <c r="R669" s="30"/>
    </row>
    <row r="670" spans="18:18" ht="15.75" customHeight="1">
      <c r="R670" s="30"/>
    </row>
    <row r="671" spans="18:18" ht="15.75" customHeight="1">
      <c r="R671" s="30"/>
    </row>
    <row r="672" spans="18:18" ht="15.75" customHeight="1">
      <c r="R672" s="30"/>
    </row>
    <row r="673" spans="18:18" ht="15.75" customHeight="1">
      <c r="R673" s="30"/>
    </row>
    <row r="674" spans="18:18" ht="15.75" customHeight="1">
      <c r="R674" s="30"/>
    </row>
    <row r="675" spans="18:18" ht="15.75" customHeight="1">
      <c r="R675" s="30"/>
    </row>
    <row r="676" spans="18:18" ht="15.75" customHeight="1">
      <c r="R676" s="30"/>
    </row>
    <row r="677" spans="18:18" ht="15.75" customHeight="1">
      <c r="R677" s="30"/>
    </row>
    <row r="678" spans="18:18" ht="15.75" customHeight="1">
      <c r="R678" s="30"/>
    </row>
    <row r="679" spans="18:18" ht="15.75" customHeight="1">
      <c r="R679" s="30"/>
    </row>
    <row r="680" spans="18:18" ht="15.75" customHeight="1">
      <c r="R680" s="30"/>
    </row>
    <row r="681" spans="18:18" ht="15.75" customHeight="1">
      <c r="R681" s="30"/>
    </row>
    <row r="682" spans="18:18" ht="15.75" customHeight="1">
      <c r="R682" s="30"/>
    </row>
    <row r="683" spans="18:18" ht="15.75" customHeight="1">
      <c r="R683" s="30"/>
    </row>
    <row r="684" spans="18:18" ht="15.75" customHeight="1">
      <c r="R684" s="30"/>
    </row>
    <row r="685" spans="18:18" ht="15.75" customHeight="1">
      <c r="R685" s="30"/>
    </row>
    <row r="686" spans="18:18" ht="15.75" customHeight="1">
      <c r="R686" s="30"/>
    </row>
    <row r="687" spans="18:18" ht="15.75" customHeight="1">
      <c r="R687" s="30"/>
    </row>
    <row r="688" spans="18:18" ht="15.75" customHeight="1">
      <c r="R688" s="30"/>
    </row>
    <row r="689" spans="18:18" ht="15.75" customHeight="1">
      <c r="R689" s="30"/>
    </row>
    <row r="690" spans="18:18" ht="15.75" customHeight="1">
      <c r="R690" s="30"/>
    </row>
    <row r="691" spans="18:18" ht="15.75" customHeight="1">
      <c r="R691" s="30"/>
    </row>
    <row r="692" spans="18:18" ht="15.75" customHeight="1">
      <c r="R692" s="30"/>
    </row>
    <row r="693" spans="18:18" ht="15.75" customHeight="1">
      <c r="R693" s="30"/>
    </row>
    <row r="694" spans="18:18" ht="15.75" customHeight="1">
      <c r="R694" s="30"/>
    </row>
    <row r="695" spans="18:18" ht="15.75" customHeight="1">
      <c r="R695" s="30"/>
    </row>
    <row r="696" spans="18:18" ht="15.75" customHeight="1">
      <c r="R696" s="30"/>
    </row>
    <row r="697" spans="18:18" ht="15.75" customHeight="1">
      <c r="R697" s="30"/>
    </row>
    <row r="698" spans="18:18" ht="15.75" customHeight="1">
      <c r="R698" s="30"/>
    </row>
    <row r="699" spans="18:18" ht="15.75" customHeight="1">
      <c r="R699" s="30"/>
    </row>
    <row r="700" spans="18:18" ht="15.75" customHeight="1">
      <c r="R700" s="30"/>
    </row>
    <row r="701" spans="18:18" ht="15.75" customHeight="1">
      <c r="R701" s="30"/>
    </row>
    <row r="702" spans="18:18" ht="15.75" customHeight="1">
      <c r="R702" s="30"/>
    </row>
    <row r="703" spans="18:18" ht="15.75" customHeight="1">
      <c r="R703" s="30"/>
    </row>
    <row r="704" spans="18:18" ht="15.75" customHeight="1">
      <c r="R704" s="30"/>
    </row>
    <row r="705" spans="18:18" ht="15.75" customHeight="1">
      <c r="R705" s="30"/>
    </row>
    <row r="706" spans="18:18" ht="15.75" customHeight="1">
      <c r="R706" s="30"/>
    </row>
    <row r="707" spans="18:18" ht="15.75" customHeight="1">
      <c r="R707" s="30"/>
    </row>
    <row r="708" spans="18:18" ht="15.75" customHeight="1">
      <c r="R708" s="30"/>
    </row>
    <row r="709" spans="18:18" ht="15.75" customHeight="1">
      <c r="R709" s="30"/>
    </row>
    <row r="710" spans="18:18" ht="15.75" customHeight="1">
      <c r="R710" s="30"/>
    </row>
    <row r="711" spans="18:18" ht="15.75" customHeight="1">
      <c r="R711" s="30"/>
    </row>
    <row r="712" spans="18:18" ht="15.75" customHeight="1">
      <c r="R712" s="30"/>
    </row>
    <row r="713" spans="18:18" ht="15.75" customHeight="1">
      <c r="R713" s="30"/>
    </row>
    <row r="714" spans="18:18" ht="15.75" customHeight="1">
      <c r="R714" s="30"/>
    </row>
    <row r="715" spans="18:18" ht="15.75" customHeight="1">
      <c r="R715" s="30"/>
    </row>
    <row r="716" spans="18:18" ht="15.75" customHeight="1">
      <c r="R716" s="30"/>
    </row>
    <row r="717" spans="18:18" ht="15.75" customHeight="1">
      <c r="R717" s="30"/>
    </row>
    <row r="718" spans="18:18" ht="15.75" customHeight="1">
      <c r="R718" s="30"/>
    </row>
    <row r="719" spans="18:18" ht="15.75" customHeight="1">
      <c r="R719" s="30"/>
    </row>
    <row r="720" spans="18:18" ht="15.75" customHeight="1">
      <c r="R720" s="30"/>
    </row>
    <row r="721" spans="18:18" ht="15.75" customHeight="1">
      <c r="R721" s="30"/>
    </row>
    <row r="722" spans="18:18" ht="15.75" customHeight="1">
      <c r="R722" s="30"/>
    </row>
    <row r="723" spans="18:18" ht="15.75" customHeight="1">
      <c r="R723" s="30"/>
    </row>
    <row r="724" spans="18:18" ht="15.75" customHeight="1">
      <c r="R724" s="30"/>
    </row>
    <row r="725" spans="18:18" ht="15.75" customHeight="1">
      <c r="R725" s="30"/>
    </row>
    <row r="726" spans="18:18" ht="15.75" customHeight="1">
      <c r="R726" s="30"/>
    </row>
    <row r="727" spans="18:18" ht="15.75" customHeight="1">
      <c r="R727" s="30"/>
    </row>
    <row r="728" spans="18:18" ht="15.75" customHeight="1">
      <c r="R728" s="30"/>
    </row>
    <row r="729" spans="18:18" ht="15.75" customHeight="1">
      <c r="R729" s="30"/>
    </row>
    <row r="730" spans="18:18" ht="15.75" customHeight="1">
      <c r="R730" s="30"/>
    </row>
    <row r="731" spans="18:18" ht="15.75" customHeight="1">
      <c r="R731" s="30"/>
    </row>
    <row r="732" spans="18:18" ht="15.75" customHeight="1">
      <c r="R732" s="30"/>
    </row>
    <row r="733" spans="18:18" ht="15.75" customHeight="1">
      <c r="R733" s="30"/>
    </row>
    <row r="734" spans="18:18" ht="15.75" customHeight="1">
      <c r="R734" s="30"/>
    </row>
    <row r="735" spans="18:18" ht="15.75" customHeight="1">
      <c r="R735" s="30"/>
    </row>
    <row r="736" spans="18:18" ht="15.75" customHeight="1">
      <c r="R736" s="30"/>
    </row>
    <row r="737" spans="18:18" ht="15.75" customHeight="1">
      <c r="R737" s="30"/>
    </row>
    <row r="738" spans="18:18" ht="15.75" customHeight="1">
      <c r="R738" s="30"/>
    </row>
    <row r="739" spans="18:18" ht="15.75" customHeight="1">
      <c r="R739" s="30"/>
    </row>
    <row r="740" spans="18:18" ht="15.75" customHeight="1">
      <c r="R740" s="30"/>
    </row>
    <row r="741" spans="18:18" ht="15.75" customHeight="1">
      <c r="R741" s="30"/>
    </row>
    <row r="742" spans="18:18" ht="15.75" customHeight="1">
      <c r="R742" s="30"/>
    </row>
    <row r="743" spans="18:18" ht="15.75" customHeight="1">
      <c r="R743" s="30"/>
    </row>
    <row r="744" spans="18:18" ht="15.75" customHeight="1">
      <c r="R744" s="30"/>
    </row>
    <row r="745" spans="18:18" ht="15.75" customHeight="1">
      <c r="R745" s="30"/>
    </row>
    <row r="746" spans="18:18" ht="15.75" customHeight="1">
      <c r="R746" s="30"/>
    </row>
    <row r="747" spans="18:18" ht="15.75" customHeight="1">
      <c r="R747" s="30"/>
    </row>
    <row r="748" spans="18:18" ht="15.75" customHeight="1">
      <c r="R748" s="30"/>
    </row>
    <row r="749" spans="18:18" ht="15.75" customHeight="1">
      <c r="R749" s="30"/>
    </row>
    <row r="750" spans="18:18" ht="15.75" customHeight="1">
      <c r="R750" s="30"/>
    </row>
    <row r="751" spans="18:18" ht="15.75" customHeight="1">
      <c r="R751" s="30"/>
    </row>
    <row r="752" spans="18:18" ht="15.75" customHeight="1">
      <c r="R752" s="30"/>
    </row>
    <row r="753" spans="18:18" ht="15.75" customHeight="1">
      <c r="R753" s="30"/>
    </row>
    <row r="754" spans="18:18" ht="15.75" customHeight="1">
      <c r="R754" s="30"/>
    </row>
    <row r="755" spans="18:18" ht="15.75" customHeight="1">
      <c r="R755" s="30"/>
    </row>
    <row r="756" spans="18:18" ht="15.75" customHeight="1">
      <c r="R756" s="30"/>
    </row>
    <row r="757" spans="18:18" ht="15.75" customHeight="1">
      <c r="R757" s="30"/>
    </row>
    <row r="758" spans="18:18" ht="15.75" customHeight="1">
      <c r="R758" s="30"/>
    </row>
    <row r="759" spans="18:18" ht="15.75" customHeight="1">
      <c r="R759" s="30"/>
    </row>
    <row r="760" spans="18:18" ht="15.75" customHeight="1">
      <c r="R760" s="30"/>
    </row>
    <row r="761" spans="18:18" ht="15.75" customHeight="1">
      <c r="R761" s="30"/>
    </row>
    <row r="762" spans="18:18" ht="15.75" customHeight="1">
      <c r="R762" s="30"/>
    </row>
    <row r="763" spans="18:18" ht="15.75" customHeight="1">
      <c r="R763" s="30"/>
    </row>
    <row r="764" spans="18:18" ht="15.75" customHeight="1">
      <c r="R764" s="30"/>
    </row>
    <row r="765" spans="18:18" ht="15.75" customHeight="1">
      <c r="R765" s="30"/>
    </row>
    <row r="766" spans="18:18" ht="15.75" customHeight="1">
      <c r="R766" s="30"/>
    </row>
    <row r="767" spans="18:18" ht="15.75" customHeight="1">
      <c r="R767" s="30"/>
    </row>
    <row r="768" spans="18:18" ht="15.75" customHeight="1">
      <c r="R768" s="30"/>
    </row>
    <row r="769" spans="18:18" ht="15.75" customHeight="1">
      <c r="R769" s="30"/>
    </row>
    <row r="770" spans="18:18" ht="15.75" customHeight="1">
      <c r="R770" s="30"/>
    </row>
    <row r="771" spans="18:18" ht="15.75" customHeight="1">
      <c r="R771" s="30"/>
    </row>
    <row r="772" spans="18:18" ht="15.75" customHeight="1">
      <c r="R772" s="30"/>
    </row>
    <row r="773" spans="18:18" ht="15.75" customHeight="1">
      <c r="R773" s="30"/>
    </row>
    <row r="774" spans="18:18" ht="15.75" customHeight="1">
      <c r="R774" s="30"/>
    </row>
    <row r="775" spans="18:18" ht="15.75" customHeight="1">
      <c r="R775" s="30"/>
    </row>
    <row r="776" spans="18:18" ht="15.75" customHeight="1">
      <c r="R776" s="30"/>
    </row>
    <row r="777" spans="18:18" ht="15.75" customHeight="1">
      <c r="R777" s="30"/>
    </row>
    <row r="778" spans="18:18" ht="15.75" customHeight="1">
      <c r="R778" s="30"/>
    </row>
    <row r="779" spans="18:18" ht="15.75" customHeight="1">
      <c r="R779" s="30"/>
    </row>
    <row r="780" spans="18:18" ht="15.75" customHeight="1">
      <c r="R780" s="30"/>
    </row>
    <row r="781" spans="18:18" ht="15.75" customHeight="1">
      <c r="R781" s="30"/>
    </row>
    <row r="782" spans="18:18" ht="15.75" customHeight="1">
      <c r="R782" s="30"/>
    </row>
    <row r="783" spans="18:18" ht="15.75" customHeight="1">
      <c r="R783" s="30"/>
    </row>
    <row r="784" spans="18:18" ht="15.75" customHeight="1">
      <c r="R784" s="30"/>
    </row>
    <row r="785" spans="18:18" ht="15.75" customHeight="1">
      <c r="R785" s="30"/>
    </row>
    <row r="786" spans="18:18" ht="15.75" customHeight="1">
      <c r="R786" s="30"/>
    </row>
    <row r="787" spans="18:18" ht="15.75" customHeight="1">
      <c r="R787" s="30"/>
    </row>
    <row r="788" spans="18:18" ht="15.75" customHeight="1">
      <c r="R788" s="30"/>
    </row>
    <row r="789" spans="18:18" ht="15.75" customHeight="1">
      <c r="R789" s="30"/>
    </row>
    <row r="790" spans="18:18" ht="15.75" customHeight="1">
      <c r="R790" s="30"/>
    </row>
    <row r="791" spans="18:18" ht="15.75" customHeight="1">
      <c r="R791" s="30"/>
    </row>
    <row r="792" spans="18:18" ht="15.75" customHeight="1">
      <c r="R792" s="30"/>
    </row>
    <row r="793" spans="18:18" ht="15.75" customHeight="1">
      <c r="R793" s="30"/>
    </row>
    <row r="794" spans="18:18" ht="15.75" customHeight="1">
      <c r="R794" s="30"/>
    </row>
    <row r="795" spans="18:18" ht="15.75" customHeight="1">
      <c r="R795" s="30"/>
    </row>
    <row r="796" spans="18:18" ht="15.75" customHeight="1">
      <c r="R796" s="30"/>
    </row>
    <row r="797" spans="18:18" ht="15.75" customHeight="1">
      <c r="R797" s="30"/>
    </row>
    <row r="798" spans="18:18" ht="15.75" customHeight="1">
      <c r="R798" s="30"/>
    </row>
    <row r="799" spans="18:18" ht="15.75" customHeight="1">
      <c r="R799" s="30"/>
    </row>
    <row r="800" spans="18:18" ht="15.75" customHeight="1">
      <c r="R800" s="30"/>
    </row>
    <row r="801" spans="18:18" ht="15.75" customHeight="1">
      <c r="R801" s="30"/>
    </row>
    <row r="802" spans="18:18" ht="15.75" customHeight="1">
      <c r="R802" s="30"/>
    </row>
    <row r="803" spans="18:18" ht="15.75" customHeight="1">
      <c r="R803" s="30"/>
    </row>
    <row r="804" spans="18:18" ht="15.75" customHeight="1">
      <c r="R804" s="30"/>
    </row>
    <row r="805" spans="18:18" ht="15.75" customHeight="1">
      <c r="R805" s="30"/>
    </row>
    <row r="806" spans="18:18" ht="15.75" customHeight="1">
      <c r="R806" s="30"/>
    </row>
    <row r="807" spans="18:18" ht="15.75" customHeight="1">
      <c r="R807" s="30"/>
    </row>
    <row r="808" spans="18:18" ht="15.75" customHeight="1">
      <c r="R808" s="30"/>
    </row>
    <row r="809" spans="18:18" ht="15.75" customHeight="1">
      <c r="R809" s="30"/>
    </row>
    <row r="810" spans="18:18" ht="15.75" customHeight="1">
      <c r="R810" s="30"/>
    </row>
    <row r="811" spans="18:18" ht="15.75" customHeight="1">
      <c r="R811" s="30"/>
    </row>
    <row r="812" spans="18:18" ht="15.75" customHeight="1">
      <c r="R812" s="30"/>
    </row>
    <row r="813" spans="18:18" ht="15.75" customHeight="1">
      <c r="R813" s="30"/>
    </row>
    <row r="814" spans="18:18" ht="15.75" customHeight="1">
      <c r="R814" s="30"/>
    </row>
    <row r="815" spans="18:18" ht="15.75" customHeight="1">
      <c r="R815" s="30"/>
    </row>
    <row r="816" spans="18:18" ht="15.75" customHeight="1">
      <c r="R816" s="30"/>
    </row>
    <row r="817" spans="18:18" ht="15.75" customHeight="1">
      <c r="R817" s="30"/>
    </row>
    <row r="818" spans="18:18" ht="15.75" customHeight="1">
      <c r="R818" s="30"/>
    </row>
    <row r="819" spans="18:18" ht="15.75" customHeight="1">
      <c r="R819" s="30"/>
    </row>
    <row r="820" spans="18:18" ht="15.75" customHeight="1">
      <c r="R820" s="30"/>
    </row>
    <row r="821" spans="18:18" ht="15.75" customHeight="1">
      <c r="R821" s="30"/>
    </row>
    <row r="822" spans="18:18" ht="15.75" customHeight="1">
      <c r="R822" s="30"/>
    </row>
    <row r="823" spans="18:18" ht="15.75" customHeight="1">
      <c r="R823" s="30"/>
    </row>
    <row r="824" spans="18:18" ht="15.75" customHeight="1">
      <c r="R824" s="30"/>
    </row>
    <row r="825" spans="18:18" ht="15.75" customHeight="1">
      <c r="R825" s="30"/>
    </row>
    <row r="826" spans="18:18" ht="15.75" customHeight="1">
      <c r="R826" s="30"/>
    </row>
    <row r="827" spans="18:18" ht="15.75" customHeight="1">
      <c r="R827" s="30"/>
    </row>
    <row r="828" spans="18:18" ht="15.75" customHeight="1">
      <c r="R828" s="30"/>
    </row>
    <row r="829" spans="18:18" ht="15.75" customHeight="1">
      <c r="R829" s="30"/>
    </row>
    <row r="830" spans="18:18" ht="15.75" customHeight="1">
      <c r="R830" s="30"/>
    </row>
    <row r="831" spans="18:18" ht="15.75" customHeight="1">
      <c r="R831" s="30"/>
    </row>
    <row r="832" spans="18:18" ht="15.75" customHeight="1">
      <c r="R832" s="30"/>
    </row>
    <row r="833" spans="18:18" ht="15.75" customHeight="1">
      <c r="R833" s="30"/>
    </row>
    <row r="834" spans="18:18" ht="15.75" customHeight="1">
      <c r="R834" s="30"/>
    </row>
    <row r="835" spans="18:18" ht="15.75" customHeight="1">
      <c r="R835" s="30"/>
    </row>
    <row r="836" spans="18:18" ht="15.75" customHeight="1">
      <c r="R836" s="30"/>
    </row>
    <row r="837" spans="18:18" ht="15.75" customHeight="1">
      <c r="R837" s="30"/>
    </row>
    <row r="838" spans="18:18" ht="15.75" customHeight="1">
      <c r="R838" s="30"/>
    </row>
    <row r="839" spans="18:18" ht="15.75" customHeight="1">
      <c r="R839" s="30"/>
    </row>
    <row r="840" spans="18:18" ht="15.75" customHeight="1">
      <c r="R840" s="30"/>
    </row>
    <row r="841" spans="18:18" ht="15.75" customHeight="1">
      <c r="R841" s="30"/>
    </row>
    <row r="842" spans="18:18" ht="15.75" customHeight="1">
      <c r="R842" s="30"/>
    </row>
    <row r="843" spans="18:18" ht="15.75" customHeight="1">
      <c r="R843" s="30"/>
    </row>
    <row r="844" spans="18:18" ht="15.75" customHeight="1">
      <c r="R844" s="30"/>
    </row>
    <row r="845" spans="18:18" ht="15.75" customHeight="1">
      <c r="R845" s="30"/>
    </row>
    <row r="846" spans="18:18" ht="15.75" customHeight="1">
      <c r="R846" s="30"/>
    </row>
    <row r="847" spans="18:18" ht="15.75" customHeight="1">
      <c r="R847" s="30"/>
    </row>
    <row r="848" spans="18:18" ht="15.75" customHeight="1">
      <c r="R848" s="30"/>
    </row>
    <row r="849" spans="18:18" ht="15.75" customHeight="1">
      <c r="R849" s="30"/>
    </row>
    <row r="850" spans="18:18" ht="15.75" customHeight="1">
      <c r="R850" s="30"/>
    </row>
    <row r="851" spans="18:18" ht="15.75" customHeight="1">
      <c r="R851" s="30"/>
    </row>
    <row r="852" spans="18:18" ht="15.75" customHeight="1">
      <c r="R852" s="30"/>
    </row>
    <row r="853" spans="18:18" ht="15.75" customHeight="1">
      <c r="R853" s="30"/>
    </row>
    <row r="854" spans="18:18" ht="15.75" customHeight="1">
      <c r="R854" s="30"/>
    </row>
    <row r="855" spans="18:18" ht="15.75" customHeight="1">
      <c r="R855" s="30"/>
    </row>
    <row r="856" spans="18:18" ht="15.75" customHeight="1">
      <c r="R856" s="30"/>
    </row>
    <row r="857" spans="18:18" ht="15.75" customHeight="1">
      <c r="R857" s="30"/>
    </row>
    <row r="858" spans="18:18" ht="15.75" customHeight="1">
      <c r="R858" s="30"/>
    </row>
    <row r="859" spans="18:18" ht="15.75" customHeight="1">
      <c r="R859" s="30"/>
    </row>
    <row r="860" spans="18:18" ht="15.75" customHeight="1">
      <c r="R860" s="30"/>
    </row>
    <row r="861" spans="18:18" ht="15.75" customHeight="1">
      <c r="R861" s="30"/>
    </row>
    <row r="862" spans="18:18" ht="15.75" customHeight="1">
      <c r="R862" s="30"/>
    </row>
    <row r="863" spans="18:18" ht="15.75" customHeight="1">
      <c r="R863" s="30"/>
    </row>
    <row r="864" spans="18:18" ht="15.75" customHeight="1">
      <c r="R864" s="30"/>
    </row>
    <row r="865" spans="18:18" ht="15.75" customHeight="1">
      <c r="R865" s="30"/>
    </row>
    <row r="866" spans="18:18" ht="15.75" customHeight="1">
      <c r="R866" s="30"/>
    </row>
    <row r="867" spans="18:18" ht="15.75" customHeight="1">
      <c r="R867" s="30"/>
    </row>
    <row r="868" spans="18:18" ht="15.75" customHeight="1">
      <c r="R868" s="30"/>
    </row>
    <row r="869" spans="18:18" ht="15.75" customHeight="1">
      <c r="R869" s="30"/>
    </row>
    <row r="870" spans="18:18" ht="15.75" customHeight="1">
      <c r="R870" s="30"/>
    </row>
    <row r="871" spans="18:18" ht="15.75" customHeight="1">
      <c r="R871" s="30"/>
    </row>
    <row r="872" spans="18:18" ht="15.75" customHeight="1">
      <c r="R872" s="30"/>
    </row>
    <row r="873" spans="18:18" ht="15.75" customHeight="1">
      <c r="R873" s="30"/>
    </row>
    <row r="874" spans="18:18" ht="15.75" customHeight="1">
      <c r="R874" s="30"/>
    </row>
    <row r="875" spans="18:18" ht="15.75" customHeight="1">
      <c r="R875" s="30"/>
    </row>
    <row r="876" spans="18:18" ht="15.75" customHeight="1">
      <c r="R876" s="30"/>
    </row>
    <row r="877" spans="18:18" ht="15.75" customHeight="1">
      <c r="R877" s="30"/>
    </row>
    <row r="878" spans="18:18" ht="15.75" customHeight="1">
      <c r="R878" s="30"/>
    </row>
    <row r="879" spans="18:18" ht="15.75" customHeight="1">
      <c r="R879" s="30"/>
    </row>
    <row r="880" spans="18:18" ht="15.75" customHeight="1">
      <c r="R880" s="30"/>
    </row>
    <row r="881" spans="18:18" ht="15.75" customHeight="1">
      <c r="R881" s="30"/>
    </row>
    <row r="882" spans="18:18" ht="15.75" customHeight="1">
      <c r="R882" s="30"/>
    </row>
    <row r="883" spans="18:18" ht="15.75" customHeight="1">
      <c r="R883" s="30"/>
    </row>
    <row r="884" spans="18:18" ht="15.75" customHeight="1">
      <c r="R884" s="30"/>
    </row>
    <row r="885" spans="18:18" ht="15.75" customHeight="1">
      <c r="R885" s="30"/>
    </row>
    <row r="886" spans="18:18" ht="15.75" customHeight="1">
      <c r="R886" s="30"/>
    </row>
    <row r="887" spans="18:18" ht="15.75" customHeight="1">
      <c r="R887" s="30"/>
    </row>
    <row r="888" spans="18:18" ht="15.75" customHeight="1">
      <c r="R888" s="30"/>
    </row>
    <row r="889" spans="18:18" ht="15.75" customHeight="1">
      <c r="R889" s="30"/>
    </row>
    <row r="890" spans="18:18" ht="15.75" customHeight="1">
      <c r="R890" s="30"/>
    </row>
    <row r="891" spans="18:18" ht="15.75" customHeight="1">
      <c r="R891" s="30"/>
    </row>
    <row r="892" spans="18:18" ht="15.75" customHeight="1">
      <c r="R892" s="30"/>
    </row>
    <row r="893" spans="18:18" ht="15.75" customHeight="1">
      <c r="R893" s="30"/>
    </row>
    <row r="894" spans="18:18" ht="15.75" customHeight="1">
      <c r="R894" s="30"/>
    </row>
    <row r="895" spans="18:18" ht="15.75" customHeight="1">
      <c r="R895" s="30"/>
    </row>
    <row r="896" spans="18:18" ht="15.75" customHeight="1">
      <c r="R896" s="30"/>
    </row>
    <row r="897" spans="18:18" ht="15.75" customHeight="1">
      <c r="R897" s="30"/>
    </row>
    <row r="898" spans="18:18" ht="15.75" customHeight="1">
      <c r="R898" s="30"/>
    </row>
    <row r="899" spans="18:18" ht="15.75" customHeight="1">
      <c r="R899" s="30"/>
    </row>
    <row r="900" spans="18:18" ht="15.75" customHeight="1">
      <c r="R900" s="30"/>
    </row>
    <row r="901" spans="18:18" ht="15.75" customHeight="1">
      <c r="R901" s="30"/>
    </row>
    <row r="902" spans="18:18" ht="15.75" customHeight="1">
      <c r="R902" s="30"/>
    </row>
    <row r="903" spans="18:18" ht="15.75" customHeight="1">
      <c r="R903" s="30"/>
    </row>
    <row r="904" spans="18:18" ht="15.75" customHeight="1">
      <c r="R904" s="30"/>
    </row>
    <row r="905" spans="18:18" ht="15.75" customHeight="1">
      <c r="R905" s="30"/>
    </row>
    <row r="906" spans="18:18" ht="15.75" customHeight="1">
      <c r="R906" s="30"/>
    </row>
    <row r="907" spans="18:18" ht="15.75" customHeight="1">
      <c r="R907" s="30"/>
    </row>
    <row r="908" spans="18:18" ht="15.75" customHeight="1">
      <c r="R908" s="30"/>
    </row>
    <row r="909" spans="18:18" ht="15.75" customHeight="1">
      <c r="R909" s="30"/>
    </row>
    <row r="910" spans="18:18" ht="15.75" customHeight="1">
      <c r="R910" s="30"/>
    </row>
    <row r="911" spans="18:18" ht="15.75" customHeight="1">
      <c r="R911" s="30"/>
    </row>
    <row r="912" spans="18:18" ht="15.75" customHeight="1">
      <c r="R912" s="30"/>
    </row>
    <row r="913" spans="18:18" ht="15.75" customHeight="1">
      <c r="R913" s="30"/>
    </row>
    <row r="914" spans="18:18" ht="15.75" customHeight="1">
      <c r="R914" s="30"/>
    </row>
    <row r="915" spans="18:18" ht="15.75" customHeight="1">
      <c r="R915" s="30"/>
    </row>
    <row r="916" spans="18:18" ht="15.75" customHeight="1">
      <c r="R916" s="30"/>
    </row>
    <row r="917" spans="18:18" ht="15.75" customHeight="1">
      <c r="R917" s="30"/>
    </row>
    <row r="918" spans="18:18" ht="15.75" customHeight="1">
      <c r="R918" s="30"/>
    </row>
    <row r="919" spans="18:18" ht="15.75" customHeight="1">
      <c r="R919" s="30"/>
    </row>
    <row r="920" spans="18:18" ht="15.75" customHeight="1">
      <c r="R920" s="30"/>
    </row>
    <row r="921" spans="18:18" ht="15.75" customHeight="1">
      <c r="R921" s="30"/>
    </row>
    <row r="922" spans="18:18" ht="15.75" customHeight="1">
      <c r="R922" s="30"/>
    </row>
    <row r="923" spans="18:18" ht="15.75" customHeight="1">
      <c r="R923" s="30"/>
    </row>
    <row r="924" spans="18:18" ht="15.75" customHeight="1">
      <c r="R924" s="30"/>
    </row>
    <row r="925" spans="18:18" ht="15.75" customHeight="1">
      <c r="R925" s="30"/>
    </row>
    <row r="926" spans="18:18" ht="15.75" customHeight="1">
      <c r="R926" s="30"/>
    </row>
    <row r="927" spans="18:18" ht="15.75" customHeight="1">
      <c r="R927" s="30"/>
    </row>
    <row r="928" spans="18:18" ht="15.75" customHeight="1">
      <c r="R928" s="30"/>
    </row>
    <row r="929" spans="18:18" ht="15.75" customHeight="1">
      <c r="R929" s="30"/>
    </row>
    <row r="930" spans="18:18" ht="15.75" customHeight="1">
      <c r="R930" s="30"/>
    </row>
    <row r="931" spans="18:18" ht="15.75" customHeight="1">
      <c r="R931" s="30"/>
    </row>
    <row r="932" spans="18:18" ht="15.75" customHeight="1">
      <c r="R932" s="30"/>
    </row>
    <row r="933" spans="18:18" ht="15.75" customHeight="1">
      <c r="R933" s="30"/>
    </row>
    <row r="934" spans="18:18" ht="15.75" customHeight="1">
      <c r="R934" s="30"/>
    </row>
    <row r="935" spans="18:18" ht="15.75" customHeight="1">
      <c r="R935" s="30"/>
    </row>
    <row r="936" spans="18:18" ht="15.75" customHeight="1">
      <c r="R936" s="30"/>
    </row>
    <row r="937" spans="18:18" ht="15.75" customHeight="1">
      <c r="R937" s="30"/>
    </row>
    <row r="938" spans="18:18" ht="15.75" customHeight="1">
      <c r="R938" s="30"/>
    </row>
    <row r="939" spans="18:18" ht="15.75" customHeight="1">
      <c r="R939" s="30"/>
    </row>
    <row r="940" spans="18:18" ht="15.75" customHeight="1">
      <c r="R940" s="30"/>
    </row>
    <row r="941" spans="18:18" ht="15.75" customHeight="1">
      <c r="R941" s="30"/>
    </row>
    <row r="942" spans="18:18" ht="15.75" customHeight="1">
      <c r="R942" s="30"/>
    </row>
    <row r="943" spans="18:18" ht="15.75" customHeight="1">
      <c r="R943" s="30"/>
    </row>
    <row r="944" spans="18:18" ht="15.75" customHeight="1">
      <c r="R944" s="30"/>
    </row>
    <row r="945" spans="18:18" ht="15.75" customHeight="1">
      <c r="R945" s="30"/>
    </row>
    <row r="946" spans="18:18" ht="15.75" customHeight="1">
      <c r="R946" s="30"/>
    </row>
    <row r="947" spans="18:18" ht="15.75" customHeight="1">
      <c r="R947" s="30"/>
    </row>
    <row r="948" spans="18:18" ht="15.75" customHeight="1">
      <c r="R948" s="30"/>
    </row>
    <row r="949" spans="18:18" ht="15.75" customHeight="1">
      <c r="R949" s="30"/>
    </row>
    <row r="950" spans="18:18" ht="15.75" customHeight="1">
      <c r="R950" s="30"/>
    </row>
    <row r="951" spans="18:18" ht="15.75" customHeight="1">
      <c r="R951" s="30"/>
    </row>
    <row r="952" spans="18:18" ht="15.75" customHeight="1">
      <c r="R952" s="30"/>
    </row>
    <row r="953" spans="18:18" ht="15.75" customHeight="1">
      <c r="R953" s="30"/>
    </row>
    <row r="954" spans="18:18" ht="15.75" customHeight="1">
      <c r="R954" s="30"/>
    </row>
    <row r="955" spans="18:18" ht="15.75" customHeight="1">
      <c r="R955" s="30"/>
    </row>
    <row r="956" spans="18:18" ht="15.75" customHeight="1">
      <c r="R956" s="30"/>
    </row>
    <row r="957" spans="18:18" ht="15.75" customHeight="1">
      <c r="R957" s="30"/>
    </row>
    <row r="958" spans="18:18" ht="15.75" customHeight="1">
      <c r="R958" s="30"/>
    </row>
    <row r="959" spans="18:18" ht="15.75" customHeight="1">
      <c r="R959" s="30"/>
    </row>
    <row r="960" spans="18:18" ht="15.75" customHeight="1">
      <c r="R960" s="30"/>
    </row>
    <row r="961" spans="18:18" ht="15.75" customHeight="1">
      <c r="R961" s="30"/>
    </row>
    <row r="962" spans="18:18" ht="15.75" customHeight="1">
      <c r="R962" s="30"/>
    </row>
    <row r="963" spans="18:18" ht="15.75" customHeight="1">
      <c r="R963" s="30"/>
    </row>
    <row r="964" spans="18:18" ht="15.75" customHeight="1">
      <c r="R964" s="30"/>
    </row>
    <row r="965" spans="18:18" ht="15.75" customHeight="1">
      <c r="R965" s="30"/>
    </row>
    <row r="966" spans="18:18" ht="15.75" customHeight="1">
      <c r="R966" s="30"/>
    </row>
    <row r="967" spans="18:18" ht="15.75" customHeight="1">
      <c r="R967" s="30"/>
    </row>
    <row r="968" spans="18:18" ht="15.75" customHeight="1">
      <c r="R968" s="30"/>
    </row>
    <row r="969" spans="18:18" ht="15.75" customHeight="1">
      <c r="R969" s="30"/>
    </row>
    <row r="970" spans="18:18" ht="15.75" customHeight="1">
      <c r="R970" s="30"/>
    </row>
    <row r="971" spans="18:18" ht="15.75" customHeight="1">
      <c r="R971" s="30"/>
    </row>
    <row r="972" spans="18:18" ht="15.75" customHeight="1">
      <c r="R972" s="30"/>
    </row>
    <row r="973" spans="18:18" ht="15.75" customHeight="1">
      <c r="R973" s="30"/>
    </row>
    <row r="974" spans="18:18" ht="15.75" customHeight="1">
      <c r="R974" s="30"/>
    </row>
    <row r="975" spans="18:18" ht="15.75" customHeight="1">
      <c r="R975" s="30"/>
    </row>
    <row r="976" spans="18:18" ht="15.75" customHeight="1">
      <c r="R976" s="30"/>
    </row>
    <row r="977" spans="18:18" ht="15.75" customHeight="1">
      <c r="R977" s="30"/>
    </row>
    <row r="978" spans="18:18" ht="15.75" customHeight="1">
      <c r="R978" s="30"/>
    </row>
    <row r="979" spans="18:18" ht="15.75" customHeight="1">
      <c r="R979" s="30"/>
    </row>
    <row r="980" spans="18:18" ht="15.75" customHeight="1">
      <c r="R980" s="30"/>
    </row>
    <row r="981" spans="18:18" ht="15.75" customHeight="1">
      <c r="R981" s="30"/>
    </row>
    <row r="982" spans="18:18" ht="15.75" customHeight="1">
      <c r="R982" s="30"/>
    </row>
    <row r="983" spans="18:18" ht="15.75" customHeight="1">
      <c r="R983" s="30"/>
    </row>
    <row r="984" spans="18:18" ht="15.75" customHeight="1">
      <c r="R984" s="30"/>
    </row>
    <row r="985" spans="18:18" ht="15.75" customHeight="1">
      <c r="R985" s="30"/>
    </row>
    <row r="986" spans="18:18" ht="15.75" customHeight="1">
      <c r="R986" s="30"/>
    </row>
    <row r="987" spans="18:18" ht="15.75" customHeight="1">
      <c r="R987" s="30"/>
    </row>
    <row r="988" spans="18:18" ht="15.75" customHeight="1">
      <c r="R988" s="30"/>
    </row>
    <row r="989" spans="18:18" ht="15.75" customHeight="1">
      <c r="R989" s="30"/>
    </row>
    <row r="990" spans="18:18" ht="15.75" customHeight="1">
      <c r="R990" s="30"/>
    </row>
    <row r="991" spans="18:18" ht="15.75" customHeight="1">
      <c r="R991" s="30"/>
    </row>
    <row r="992" spans="18:18" ht="15.75" customHeight="1">
      <c r="R992" s="30"/>
    </row>
    <row r="993" spans="18:18" ht="15.75" customHeight="1">
      <c r="R993" s="30"/>
    </row>
    <row r="994" spans="18:18" ht="15.75" customHeight="1">
      <c r="R994" s="30"/>
    </row>
    <row r="995" spans="18:18" ht="15.75" customHeight="1">
      <c r="R995" s="30"/>
    </row>
    <row r="996" spans="18:18" ht="15.75" customHeight="1">
      <c r="R996" s="30"/>
    </row>
    <row r="997" spans="18:18" ht="15.75" customHeight="1">
      <c r="R997" s="30"/>
    </row>
    <row r="998" spans="18:18" ht="15.75" customHeight="1">
      <c r="R998" s="30"/>
    </row>
    <row r="999" spans="18:18" ht="15.75" customHeight="1">
      <c r="R999" s="30"/>
    </row>
    <row r="1000" spans="18:18" ht="15.75" customHeight="1">
      <c r="R1000" s="3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2.6640625" defaultRowHeight="15" customHeight="1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8.6640625" customWidth="1"/>
    <col min="6" max="6" width="9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16.33203125" customWidth="1"/>
    <col min="16" max="16" width="10" customWidth="1"/>
    <col min="17" max="18" width="7.33203125" customWidth="1"/>
    <col min="19" max="19" width="7.1640625" customWidth="1"/>
    <col min="20" max="20" width="11.1640625" customWidth="1"/>
    <col min="21" max="21" width="13.5" customWidth="1"/>
    <col min="22" max="22" width="92.3320312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6640625" customWidth="1"/>
    <col min="32" max="32" width="10.1640625" customWidth="1"/>
    <col min="33" max="33" width="8.83203125" customWidth="1"/>
  </cols>
  <sheetData>
    <row r="1" spans="1:33" ht="18.75" customHeight="1">
      <c r="A1" s="46" t="str">
        <f ca="1">IFERROR(__xludf.DUMMYFUNCTION("IFERROR(VLOOKUP(B2,IMPORTRANGE(""https://docs.google.com/spreadsheets/d/1x0DhHglkXKoEBOD2MBsuK_EyIr1ouxD2ftIpqOYFa-k/edit?usp=sharing"",""Ubiquitty-SKU-Specific Info!B1:BJ5000""),3,FALSE),"""")"),"25 Ft Extension Cord with 3 Electrical Power Outlets - 14/3 SJTOW Heavy Duty Black Cable")</f>
        <v>25 Ft Extension Cord with 3 Electrical Power Outlets - 14/3 SJTOW Heavy Duty Black Cable</v>
      </c>
      <c r="B1" s="47"/>
      <c r="C1" s="48" t="s">
        <v>0</v>
      </c>
      <c r="D1" s="50" t="s">
        <v>1</v>
      </c>
      <c r="E1" s="50" t="s">
        <v>2</v>
      </c>
      <c r="F1" s="52" t="s">
        <v>3</v>
      </c>
      <c r="G1" s="52" t="s">
        <v>4</v>
      </c>
      <c r="H1" s="53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58" t="s">
        <v>10</v>
      </c>
      <c r="N1" s="59" t="s">
        <v>11</v>
      </c>
      <c r="O1" s="50" t="s">
        <v>12</v>
      </c>
      <c r="P1" s="50" t="s">
        <v>13</v>
      </c>
      <c r="Q1" s="57" t="s">
        <v>14</v>
      </c>
      <c r="R1" s="57" t="s">
        <v>15</v>
      </c>
      <c r="S1" s="60" t="s">
        <v>16</v>
      </c>
      <c r="T1" s="62" t="s">
        <v>2006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Info!B1:BJ5000""),2,FALSE),"""")"),"B078KPH2C7")</f>
        <v>B078KPH2C7</v>
      </c>
      <c r="B2" s="3" t="s">
        <v>1890</v>
      </c>
      <c r="C2" s="49"/>
      <c r="D2" s="49"/>
      <c r="E2" s="51"/>
      <c r="F2" s="49"/>
      <c r="G2" s="49"/>
      <c r="H2" s="54"/>
      <c r="I2" s="49"/>
      <c r="J2" s="49"/>
      <c r="K2" s="54"/>
      <c r="L2" s="54"/>
      <c r="M2" s="54"/>
      <c r="N2" s="49"/>
      <c r="O2" s="49"/>
      <c r="P2" s="51"/>
      <c r="Q2" s="49"/>
      <c r="R2" s="49"/>
      <c r="S2" s="61"/>
      <c r="T2" s="47"/>
      <c r="U2" s="63"/>
      <c r="V2" s="63"/>
      <c r="W2" s="47"/>
      <c r="X2" s="47"/>
      <c r="Y2" s="47"/>
      <c r="Z2" s="47"/>
      <c r="AA2" s="63"/>
      <c r="AB2" s="63"/>
      <c r="AC2" s="63"/>
      <c r="AD2" s="63"/>
      <c r="AE2" s="47"/>
      <c r="AF2" s="47"/>
      <c r="AG2" s="47"/>
    </row>
    <row r="3" spans="1:33" ht="180" customHeight="1">
      <c r="A3" s="55" t="s">
        <v>31</v>
      </c>
      <c r="B3" s="56"/>
      <c r="C3" s="4">
        <f>((AE32+AF32)/0.85)*-1</f>
        <v>22.418289411764707</v>
      </c>
      <c r="D3" s="5">
        <f>SUM(D4:D99765)</f>
        <v>617</v>
      </c>
      <c r="E3" s="5"/>
      <c r="F3" s="6">
        <f t="shared" ref="F3:G3" si="0">SUM(F4:F99765)</f>
        <v>17647.91</v>
      </c>
      <c r="G3" s="6">
        <f t="shared" si="0"/>
        <v>-82.28</v>
      </c>
      <c r="H3" s="7">
        <f t="shared" ref="H3:H32" si="1">G3/F3*-1</f>
        <v>4.6623084546555376E-3</v>
      </c>
      <c r="I3" s="8">
        <f t="shared" ref="I3:I32" si="2">J3/F3</f>
        <v>0.22065607650426869</v>
      </c>
      <c r="J3" s="6">
        <f>SUM(J4:J99765)</f>
        <v>3894.1185791004482</v>
      </c>
      <c r="K3" s="6">
        <f t="shared" ref="K3:K32" si="3">J3/D3</f>
        <v>6.3113753307948919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Sheet!a1:g5000""),2,FALSE),"""")"),"4.5 - March
6.5 - April
2.5 - May
3 - June
3.5 - July
4 - Aug
5 - Sept
6 - Oct
7 - Nov
6 - Dec
5.5 - Jan
4.5 - Feb")</f>
        <v>4.5 - March
6.5 - April
2.5 - May
3 - June
3.5 - July
4 - Aug
5 - Sept
6 - Oct
7 - Nov
6 - Dec
5.5 - Jan
4.5 -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QTY-0")</f>
        <v>Del QTY-0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QTY-252")</f>
        <v>US QTY-252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22</v>
      </c>
      <c r="X3" s="7">
        <f>W3/D3</f>
        <v>3.5656401944894653E-2</v>
      </c>
      <c r="Y3" s="6"/>
      <c r="Z3" s="5"/>
      <c r="AA3" s="5"/>
      <c r="AB3" s="5"/>
      <c r="AC3" s="5"/>
      <c r="AD3" s="6">
        <f>SUM(AD4:AD99765)</f>
        <v>-73.317732147426625</v>
      </c>
      <c r="AE3" s="6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Info!B2:BZ3000""),37,FALSE)),"""")*-1"),-12.775546)</f>
        <v>-12.775546</v>
      </c>
      <c r="AG3" s="6">
        <f>SUM(AG4:AG99765)</f>
        <v>0</v>
      </c>
    </row>
    <row r="4" spans="1:33" ht="15.75" customHeight="1">
      <c r="A4" s="14" t="s">
        <v>181</v>
      </c>
      <c r="B4" s="14" t="s">
        <v>83</v>
      </c>
      <c r="C4" s="15">
        <f t="shared" ref="C4:C32" si="4">IFERROR(F4/D4," - ")</f>
        <v>29.990000000000002</v>
      </c>
      <c r="D4" s="16">
        <v>37</v>
      </c>
      <c r="E4" s="16">
        <v>0</v>
      </c>
      <c r="F4" s="17">
        <v>1109.6300000000001</v>
      </c>
      <c r="G4" s="17">
        <v>0</v>
      </c>
      <c r="H4" s="18">
        <f t="shared" si="1"/>
        <v>0</v>
      </c>
      <c r="I4" s="18">
        <f t="shared" si="2"/>
        <v>0.27535771227517436</v>
      </c>
      <c r="J4" s="17">
        <f t="shared" ref="J4:J32" si="5">F4*0.85+G4+AF4*D4+D4*AE4+AG4+AD4</f>
        <v>305.54517827190176</v>
      </c>
      <c r="K4" s="17">
        <f t="shared" si="3"/>
        <v>8.2579777911324808</v>
      </c>
      <c r="L4" s="16">
        <v>59</v>
      </c>
      <c r="M4" s="19">
        <f t="shared" ref="M4:M32" si="6">IFERROR(D4/L4,"-")</f>
        <v>0.6271186440677966</v>
      </c>
      <c r="N4" s="16">
        <v>373</v>
      </c>
      <c r="O4" s="20">
        <f t="shared" ref="O4:P4" si="7">D4/7</f>
        <v>5.2857142857142856</v>
      </c>
      <c r="P4" s="20">
        <f t="shared" si="7"/>
        <v>0</v>
      </c>
      <c r="Q4" s="16">
        <f t="shared" ref="Q4:Q32" si="8">ROUNDDOWN(N4/(O4+P4),0)</f>
        <v>70</v>
      </c>
      <c r="R4" s="16"/>
      <c r="S4" s="21">
        <v>2.0521042084168299</v>
      </c>
      <c r="T4" s="14">
        <v>618</v>
      </c>
      <c r="U4" s="22">
        <v>162</v>
      </c>
      <c r="V4" s="23" t="s">
        <v>1891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26" t="s">
        <v>35</v>
      </c>
      <c r="AB4" s="27">
        <f t="shared" ref="AB4:AB32" si="11">IF(OR(AA4="UsLargeStandardSize",AA4="UsSmallStandardSize"),-0.69,-0.48)</f>
        <v>-0.69</v>
      </c>
      <c r="AC4" s="28">
        <v>8.6102430555555567E-2</v>
      </c>
      <c r="AD4" s="25">
        <f t="shared" ref="AD4:AD32" si="12">IFERROR(AB4*AC4*D4*2,0)</f>
        <v>-4.3963901041666666</v>
      </c>
      <c r="AE4" s="25">
        <v>-6.18</v>
      </c>
      <c r="AF4" s="25">
        <v>-10.934700854700855</v>
      </c>
      <c r="AG4" s="25">
        <v>0</v>
      </c>
    </row>
    <row r="5" spans="1:33" ht="15.75" customHeight="1">
      <c r="A5" s="14" t="s">
        <v>183</v>
      </c>
      <c r="B5" s="14" t="s">
        <v>83</v>
      </c>
      <c r="C5" s="15">
        <f t="shared" si="4"/>
        <v>29.990000000000002</v>
      </c>
      <c r="D5" s="16">
        <v>36</v>
      </c>
      <c r="E5" s="16">
        <v>0</v>
      </c>
      <c r="F5" s="29">
        <v>1079.6400000000001</v>
      </c>
      <c r="G5" s="29">
        <v>0</v>
      </c>
      <c r="H5" s="18">
        <f t="shared" si="1"/>
        <v>0</v>
      </c>
      <c r="I5" s="18">
        <f t="shared" si="2"/>
        <v>0.27535312127577344</v>
      </c>
      <c r="J5" s="17">
        <f t="shared" si="5"/>
        <v>297.28224385417604</v>
      </c>
      <c r="K5" s="17">
        <f t="shared" si="3"/>
        <v>8.2578401070604457</v>
      </c>
      <c r="L5" s="16">
        <v>73</v>
      </c>
      <c r="M5" s="19">
        <f t="shared" si="6"/>
        <v>0.49315068493150682</v>
      </c>
      <c r="N5" s="16">
        <v>299</v>
      </c>
      <c r="O5" s="20">
        <f t="shared" ref="O5:P5" si="13">D5/7</f>
        <v>5.1428571428571432</v>
      </c>
      <c r="P5" s="20">
        <f t="shared" si="13"/>
        <v>0</v>
      </c>
      <c r="Q5" s="16">
        <f t="shared" si="8"/>
        <v>58</v>
      </c>
      <c r="R5" s="16"/>
      <c r="S5" s="21">
        <v>1.7330895795246799</v>
      </c>
      <c r="T5" s="14">
        <v>618</v>
      </c>
      <c r="U5" s="22">
        <v>162</v>
      </c>
      <c r="V5" s="23" t="s">
        <v>1891</v>
      </c>
      <c r="W5" s="14">
        <v>0</v>
      </c>
      <c r="X5" s="24">
        <f t="shared" si="9"/>
        <v>0</v>
      </c>
      <c r="Y5" s="25">
        <f t="shared" si="10"/>
        <v>0</v>
      </c>
      <c r="Z5" s="14">
        <v>0</v>
      </c>
      <c r="AA5" s="14" t="s">
        <v>35</v>
      </c>
      <c r="AB5" s="27">
        <f t="shared" si="11"/>
        <v>-0.69</v>
      </c>
      <c r="AC5" s="28">
        <v>8.6202201622247981E-2</v>
      </c>
      <c r="AD5" s="25">
        <f t="shared" si="12"/>
        <v>-4.2825253765932789</v>
      </c>
      <c r="AE5" s="25">
        <v>-6.18</v>
      </c>
      <c r="AF5" s="25">
        <v>-10.934700854700855</v>
      </c>
      <c r="AG5" s="25">
        <v>0</v>
      </c>
    </row>
    <row r="6" spans="1:33" ht="15.75" customHeight="1">
      <c r="A6" s="14" t="s">
        <v>185</v>
      </c>
      <c r="B6" s="14" t="s">
        <v>1892</v>
      </c>
      <c r="C6" s="15">
        <f t="shared" si="4"/>
        <v>29.990000000000002</v>
      </c>
      <c r="D6" s="16">
        <v>21</v>
      </c>
      <c r="E6" s="16">
        <v>0</v>
      </c>
      <c r="F6" s="29">
        <v>629.79000000000008</v>
      </c>
      <c r="G6" s="29">
        <v>0</v>
      </c>
      <c r="H6" s="18">
        <f t="shared" si="1"/>
        <v>0</v>
      </c>
      <c r="I6" s="18">
        <f t="shared" si="2"/>
        <v>0.2753577122751743</v>
      </c>
      <c r="J6" s="17">
        <f t="shared" si="5"/>
        <v>173.41753361378204</v>
      </c>
      <c r="K6" s="17">
        <f t="shared" si="3"/>
        <v>8.257977791132479</v>
      </c>
      <c r="L6" s="16">
        <v>59</v>
      </c>
      <c r="M6" s="19">
        <f t="shared" si="6"/>
        <v>0.3559322033898305</v>
      </c>
      <c r="N6" s="16">
        <v>298</v>
      </c>
      <c r="O6" s="20">
        <f t="shared" ref="O6:P6" si="14">D6/7</f>
        <v>3</v>
      </c>
      <c r="P6" s="20">
        <f t="shared" si="14"/>
        <v>0</v>
      </c>
      <c r="Q6" s="16">
        <f t="shared" si="8"/>
        <v>99</v>
      </c>
      <c r="R6" s="16"/>
      <c r="S6" s="21">
        <v>2.03493449781659</v>
      </c>
      <c r="T6" s="14">
        <v>696</v>
      </c>
      <c r="U6" s="22">
        <v>240</v>
      </c>
      <c r="V6" s="23" t="s">
        <v>1893</v>
      </c>
      <c r="W6" s="14">
        <v>0</v>
      </c>
      <c r="X6" s="24">
        <f t="shared" si="9"/>
        <v>0</v>
      </c>
      <c r="Y6" s="25">
        <f t="shared" si="10"/>
        <v>0</v>
      </c>
      <c r="Z6" s="14">
        <v>0</v>
      </c>
      <c r="AA6" s="14" t="s">
        <v>35</v>
      </c>
      <c r="AB6" s="27">
        <f t="shared" si="11"/>
        <v>-0.69</v>
      </c>
      <c r="AC6" s="28">
        <v>8.6102430555555567E-2</v>
      </c>
      <c r="AD6" s="25">
        <f t="shared" si="12"/>
        <v>-2.4952484374999999</v>
      </c>
      <c r="AE6" s="25">
        <v>-6.18</v>
      </c>
      <c r="AF6" s="25">
        <v>-10.934700854700855</v>
      </c>
      <c r="AG6" s="25">
        <v>0</v>
      </c>
    </row>
    <row r="7" spans="1:33" ht="15.75" customHeight="1">
      <c r="A7" s="14" t="s">
        <v>187</v>
      </c>
      <c r="B7" s="14" t="s">
        <v>1894</v>
      </c>
      <c r="C7" s="15">
        <f t="shared" si="4"/>
        <v>29.168421052631583</v>
      </c>
      <c r="D7" s="16">
        <v>19</v>
      </c>
      <c r="E7" s="16">
        <v>0</v>
      </c>
      <c r="F7" s="29">
        <v>554.20000000000005</v>
      </c>
      <c r="G7" s="29">
        <v>0</v>
      </c>
      <c r="H7" s="18">
        <f t="shared" si="1"/>
        <v>0</v>
      </c>
      <c r="I7" s="18">
        <f t="shared" si="2"/>
        <v>0.25917191994138777</v>
      </c>
      <c r="J7" s="17">
        <f t="shared" si="5"/>
        <v>143.63307803151713</v>
      </c>
      <c r="K7" s="17">
        <f t="shared" si="3"/>
        <v>7.5596356858693223</v>
      </c>
      <c r="L7" s="16">
        <v>42</v>
      </c>
      <c r="M7" s="19">
        <f t="shared" si="6"/>
        <v>0.45238095238095238</v>
      </c>
      <c r="N7" s="16">
        <v>299</v>
      </c>
      <c r="O7" s="20">
        <f t="shared" ref="O7:P7" si="15">D7/7</f>
        <v>2.7142857142857144</v>
      </c>
      <c r="P7" s="20">
        <f t="shared" si="15"/>
        <v>0</v>
      </c>
      <c r="Q7" s="16">
        <f t="shared" si="8"/>
        <v>110</v>
      </c>
      <c r="R7" s="16"/>
      <c r="S7" s="21">
        <v>1.34946236559139</v>
      </c>
      <c r="T7" s="14">
        <v>810</v>
      </c>
      <c r="U7" s="22">
        <v>240</v>
      </c>
      <c r="V7" s="23" t="s">
        <v>1895</v>
      </c>
      <c r="W7" s="14">
        <v>0</v>
      </c>
      <c r="X7" s="24">
        <f t="shared" si="9"/>
        <v>0</v>
      </c>
      <c r="Y7" s="25">
        <f t="shared" si="10"/>
        <v>0</v>
      </c>
      <c r="Z7" s="14">
        <v>0</v>
      </c>
      <c r="AA7" s="14" t="s">
        <v>35</v>
      </c>
      <c r="AB7" s="27">
        <f t="shared" si="11"/>
        <v>-0.69</v>
      </c>
      <c r="AC7" s="28">
        <v>8.6102430555555567E-2</v>
      </c>
      <c r="AD7" s="25">
        <f t="shared" si="12"/>
        <v>-2.2576057291666669</v>
      </c>
      <c r="AE7" s="25">
        <v>-6.18</v>
      </c>
      <c r="AF7" s="25">
        <v>-10.934700854700855</v>
      </c>
      <c r="AG7" s="25">
        <v>0</v>
      </c>
    </row>
    <row r="8" spans="1:33" ht="15.75" customHeight="1">
      <c r="A8" s="14" t="s">
        <v>189</v>
      </c>
      <c r="B8" s="14" t="s">
        <v>1896</v>
      </c>
      <c r="C8" s="15">
        <f t="shared" si="4"/>
        <v>27.74159420289855</v>
      </c>
      <c r="D8" s="16">
        <v>69</v>
      </c>
      <c r="E8" s="16">
        <v>0</v>
      </c>
      <c r="F8" s="29">
        <v>1914.17</v>
      </c>
      <c r="G8" s="29">
        <v>-0.05</v>
      </c>
      <c r="H8" s="18">
        <f t="shared" si="1"/>
        <v>2.6120981939953086E-5</v>
      </c>
      <c r="I8" s="18">
        <f t="shared" si="2"/>
        <v>0.22892732963242557</v>
      </c>
      <c r="J8" s="17">
        <f t="shared" si="5"/>
        <v>438.20582656250008</v>
      </c>
      <c r="K8" s="17">
        <f t="shared" si="3"/>
        <v>6.3508090806159432</v>
      </c>
      <c r="L8" s="16">
        <v>52</v>
      </c>
      <c r="M8" s="19">
        <f t="shared" si="6"/>
        <v>1.3269230769230769</v>
      </c>
      <c r="N8" s="16">
        <v>235</v>
      </c>
      <c r="O8" s="20">
        <f t="shared" ref="O8:P8" si="16">D8/7</f>
        <v>9.8571428571428577</v>
      </c>
      <c r="P8" s="20">
        <f t="shared" si="16"/>
        <v>0</v>
      </c>
      <c r="Q8" s="16">
        <f t="shared" si="8"/>
        <v>23</v>
      </c>
      <c r="R8" s="16"/>
      <c r="S8" s="21">
        <v>1.89247311827957</v>
      </c>
      <c r="T8" s="14">
        <v>810</v>
      </c>
      <c r="U8" s="22">
        <v>102</v>
      </c>
      <c r="V8" s="23" t="s">
        <v>1897</v>
      </c>
      <c r="W8" s="14">
        <v>0</v>
      </c>
      <c r="X8" s="24">
        <f t="shared" si="9"/>
        <v>0</v>
      </c>
      <c r="Y8" s="25">
        <f t="shared" si="10"/>
        <v>0</v>
      </c>
      <c r="Z8" s="14">
        <v>0</v>
      </c>
      <c r="AA8" s="14" t="s">
        <v>35</v>
      </c>
      <c r="AB8" s="27">
        <f t="shared" si="11"/>
        <v>-0.69</v>
      </c>
      <c r="AC8" s="28">
        <v>8.6102430555555567E-2</v>
      </c>
      <c r="AD8" s="25">
        <f t="shared" si="12"/>
        <v>-8.1986734375000001</v>
      </c>
      <c r="AE8" s="25">
        <v>-6.18</v>
      </c>
      <c r="AF8" s="25">
        <v>-10.93</v>
      </c>
      <c r="AG8" s="25">
        <v>0</v>
      </c>
    </row>
    <row r="9" spans="1:33" ht="15.75" customHeight="1">
      <c r="A9" s="14" t="s">
        <v>191</v>
      </c>
      <c r="B9" s="14" t="s">
        <v>1029</v>
      </c>
      <c r="C9" s="15">
        <f t="shared" si="4"/>
        <v>26.083333333333339</v>
      </c>
      <c r="D9" s="16">
        <v>30</v>
      </c>
      <c r="E9" s="16">
        <v>1</v>
      </c>
      <c r="F9" s="29">
        <v>782.50000000000023</v>
      </c>
      <c r="G9" s="29">
        <v>0</v>
      </c>
      <c r="H9" s="18">
        <f t="shared" si="1"/>
        <v>0</v>
      </c>
      <c r="I9" s="18">
        <f t="shared" si="2"/>
        <v>0.18044905433358105</v>
      </c>
      <c r="J9" s="17">
        <f t="shared" si="5"/>
        <v>141.20138501602722</v>
      </c>
      <c r="K9" s="17">
        <f t="shared" si="3"/>
        <v>4.7067128338675737</v>
      </c>
      <c r="L9" s="16">
        <v>62</v>
      </c>
      <c r="M9" s="19">
        <f t="shared" si="6"/>
        <v>0.4838709677419355</v>
      </c>
      <c r="N9" s="16">
        <v>203</v>
      </c>
      <c r="O9" s="20">
        <f t="shared" ref="O9:P9" si="17">D9/7</f>
        <v>4.2857142857142856</v>
      </c>
      <c r="P9" s="20">
        <f t="shared" si="17"/>
        <v>0.14285714285714285</v>
      </c>
      <c r="Q9" s="16">
        <f t="shared" si="8"/>
        <v>45</v>
      </c>
      <c r="R9" s="16"/>
      <c r="S9" s="21">
        <v>1.8941504178272901</v>
      </c>
      <c r="T9" s="14">
        <v>810</v>
      </c>
      <c r="U9" s="22">
        <v>240</v>
      </c>
      <c r="V9" s="23" t="s">
        <v>1898</v>
      </c>
      <c r="W9" s="14">
        <v>0</v>
      </c>
      <c r="X9" s="24">
        <f t="shared" si="9"/>
        <v>0</v>
      </c>
      <c r="Y9" s="25">
        <f t="shared" si="10"/>
        <v>0</v>
      </c>
      <c r="Z9" s="14">
        <v>0</v>
      </c>
      <c r="AA9" s="14" t="s">
        <v>35</v>
      </c>
      <c r="AB9" s="27">
        <f t="shared" si="11"/>
        <v>-0.69</v>
      </c>
      <c r="AC9" s="28">
        <v>8.6102430555555567E-2</v>
      </c>
      <c r="AD9" s="25">
        <f t="shared" si="12"/>
        <v>-3.564640625</v>
      </c>
      <c r="AE9" s="25">
        <v>-6.18</v>
      </c>
      <c r="AF9" s="25">
        <v>-11.1652991452991</v>
      </c>
      <c r="AG9" s="25">
        <v>0</v>
      </c>
    </row>
    <row r="10" spans="1:33" ht="15.75" customHeight="1">
      <c r="A10" s="14" t="s">
        <v>192</v>
      </c>
      <c r="B10" s="14" t="s">
        <v>1899</v>
      </c>
      <c r="C10" s="15">
        <f t="shared" si="4"/>
        <v>25.113703703703706</v>
      </c>
      <c r="D10" s="16">
        <v>27</v>
      </c>
      <c r="E10" s="16">
        <v>2</v>
      </c>
      <c r="F10" s="29">
        <v>678.07</v>
      </c>
      <c r="G10" s="29">
        <v>0</v>
      </c>
      <c r="H10" s="18">
        <f t="shared" si="1"/>
        <v>0</v>
      </c>
      <c r="I10" s="18">
        <f t="shared" si="2"/>
        <v>0.15459797146964821</v>
      </c>
      <c r="J10" s="17">
        <f t="shared" si="5"/>
        <v>104.82824651442436</v>
      </c>
      <c r="K10" s="17">
        <f t="shared" si="3"/>
        <v>3.8825276486823839</v>
      </c>
      <c r="L10" s="16">
        <v>57</v>
      </c>
      <c r="M10" s="19">
        <f t="shared" si="6"/>
        <v>0.47368421052631576</v>
      </c>
      <c r="N10" s="16">
        <v>268</v>
      </c>
      <c r="O10" s="20">
        <f t="shared" ref="O10:P10" si="18">D10/7</f>
        <v>3.8571428571428572</v>
      </c>
      <c r="P10" s="20">
        <f t="shared" si="18"/>
        <v>0.2857142857142857</v>
      </c>
      <c r="Q10" s="16">
        <f t="shared" si="8"/>
        <v>64</v>
      </c>
      <c r="R10" s="16"/>
      <c r="S10" s="21">
        <v>1.9599465954606099</v>
      </c>
      <c r="T10" s="14">
        <v>456</v>
      </c>
      <c r="U10" s="22">
        <v>102</v>
      </c>
      <c r="V10" s="23" t="s">
        <v>1900</v>
      </c>
      <c r="W10" s="14">
        <v>0</v>
      </c>
      <c r="X10" s="24">
        <f t="shared" si="9"/>
        <v>0</v>
      </c>
      <c r="Y10" s="25">
        <f t="shared" si="10"/>
        <v>0</v>
      </c>
      <c r="Z10" s="14">
        <v>0</v>
      </c>
      <c r="AA10" s="14" t="s">
        <v>35</v>
      </c>
      <c r="AB10" s="27">
        <f t="shared" si="11"/>
        <v>-0.69</v>
      </c>
      <c r="AC10" s="28">
        <v>8.6102430555555567E-2</v>
      </c>
      <c r="AD10" s="25">
        <f t="shared" si="12"/>
        <v>-3.2081765625000003</v>
      </c>
      <c r="AE10" s="25">
        <v>-6.18</v>
      </c>
      <c r="AF10" s="25">
        <v>-11.1652991452991</v>
      </c>
      <c r="AG10" s="25">
        <v>0</v>
      </c>
    </row>
    <row r="11" spans="1:33" ht="15.75" customHeight="1">
      <c r="A11" s="14" t="s">
        <v>193</v>
      </c>
      <c r="B11" s="14" t="s">
        <v>1901</v>
      </c>
      <c r="C11" s="15">
        <f t="shared" si="4"/>
        <v>25.215396825396823</v>
      </c>
      <c r="D11" s="16">
        <v>63</v>
      </c>
      <c r="E11" s="16">
        <v>0</v>
      </c>
      <c r="F11" s="29">
        <v>1588.57</v>
      </c>
      <c r="G11" s="29">
        <v>-0.02</v>
      </c>
      <c r="H11" s="18">
        <f t="shared" si="1"/>
        <v>1.2589939379441888E-5</v>
      </c>
      <c r="I11" s="18">
        <f t="shared" si="2"/>
        <v>0.15738992208946204</v>
      </c>
      <c r="J11" s="17">
        <f t="shared" si="5"/>
        <v>250.02490853365668</v>
      </c>
      <c r="K11" s="17">
        <f t="shared" si="3"/>
        <v>3.9686493418040745</v>
      </c>
      <c r="L11" s="16">
        <v>70</v>
      </c>
      <c r="M11" s="19">
        <f t="shared" si="6"/>
        <v>0.9</v>
      </c>
      <c r="N11" s="16">
        <v>216</v>
      </c>
      <c r="O11" s="20">
        <f t="shared" ref="O11:P11" si="19">D11/7</f>
        <v>9</v>
      </c>
      <c r="P11" s="20">
        <f t="shared" si="19"/>
        <v>0</v>
      </c>
      <c r="Q11" s="16">
        <f t="shared" si="8"/>
        <v>24</v>
      </c>
      <c r="R11" s="16"/>
      <c r="S11" s="21">
        <v>2.6541471048513299</v>
      </c>
      <c r="T11" s="14">
        <v>456</v>
      </c>
      <c r="U11" s="22">
        <v>102</v>
      </c>
      <c r="V11" s="23" t="s">
        <v>1902</v>
      </c>
      <c r="W11" s="14">
        <v>1</v>
      </c>
      <c r="X11" s="24">
        <f t="shared" si="9"/>
        <v>1.5873015873015872E-2</v>
      </c>
      <c r="Y11" s="25">
        <f t="shared" si="10"/>
        <v>0.02</v>
      </c>
      <c r="Z11" s="14">
        <v>0</v>
      </c>
      <c r="AA11" s="14" t="s">
        <v>35</v>
      </c>
      <c r="AB11" s="27">
        <f t="shared" si="11"/>
        <v>-0.69</v>
      </c>
      <c r="AC11" s="28">
        <v>8.6102430555555567E-2</v>
      </c>
      <c r="AD11" s="25">
        <f t="shared" si="12"/>
        <v>-7.4857453125000006</v>
      </c>
      <c r="AE11" s="25">
        <v>-6.18</v>
      </c>
      <c r="AF11" s="25">
        <v>-11.1652991452991</v>
      </c>
      <c r="AG11" s="25">
        <v>0</v>
      </c>
    </row>
    <row r="12" spans="1:33" ht="15.75" customHeight="1">
      <c r="A12" s="14" t="s">
        <v>195</v>
      </c>
      <c r="B12" s="14" t="s">
        <v>1903</v>
      </c>
      <c r="C12" s="15">
        <f t="shared" si="4"/>
        <v>27.583432835820886</v>
      </c>
      <c r="D12" s="16">
        <v>67</v>
      </c>
      <c r="E12" s="16">
        <v>1</v>
      </c>
      <c r="F12" s="29">
        <v>1848.0899999999995</v>
      </c>
      <c r="G12" s="29">
        <v>0</v>
      </c>
      <c r="H12" s="18">
        <f t="shared" si="1"/>
        <v>0</v>
      </c>
      <c r="I12" s="18">
        <f t="shared" si="2"/>
        <v>0.21686196372243405</v>
      </c>
      <c r="J12" s="17">
        <f t="shared" si="5"/>
        <v>400.78042653579303</v>
      </c>
      <c r="K12" s="17">
        <f t="shared" si="3"/>
        <v>5.9817974109819856</v>
      </c>
      <c r="L12" s="16">
        <v>93</v>
      </c>
      <c r="M12" s="19">
        <f t="shared" si="6"/>
        <v>0.72043010752688175</v>
      </c>
      <c r="N12" s="16">
        <v>141</v>
      </c>
      <c r="O12" s="20">
        <f t="shared" ref="O12:P12" si="20">D12/7</f>
        <v>9.5714285714285712</v>
      </c>
      <c r="P12" s="20">
        <f t="shared" si="20"/>
        <v>0.14285714285714285</v>
      </c>
      <c r="Q12" s="16">
        <f t="shared" si="8"/>
        <v>14</v>
      </c>
      <c r="R12" s="16"/>
      <c r="S12" s="21">
        <v>2.4029126213592198</v>
      </c>
      <c r="T12" s="14">
        <v>456</v>
      </c>
      <c r="U12" s="22">
        <v>102</v>
      </c>
      <c r="V12" s="23" t="s">
        <v>1904</v>
      </c>
      <c r="W12" s="14">
        <v>0</v>
      </c>
      <c r="X12" s="24">
        <f t="shared" si="9"/>
        <v>0</v>
      </c>
      <c r="Y12" s="25">
        <f t="shared" si="10"/>
        <v>0</v>
      </c>
      <c r="Z12" s="14">
        <v>0</v>
      </c>
      <c r="AA12" s="14" t="s">
        <v>35</v>
      </c>
      <c r="AB12" s="27">
        <f t="shared" si="11"/>
        <v>-0.69</v>
      </c>
      <c r="AC12" s="28">
        <v>8.6102430555555567E-2</v>
      </c>
      <c r="AD12" s="25">
        <f t="shared" si="12"/>
        <v>-7.9610307291666667</v>
      </c>
      <c r="AE12" s="25">
        <v>-6.18</v>
      </c>
      <c r="AF12" s="25">
        <v>-11.1652991452991</v>
      </c>
      <c r="AG12" s="25">
        <v>0</v>
      </c>
    </row>
    <row r="13" spans="1:33" ht="15.75" customHeight="1">
      <c r="A13" s="14" t="s">
        <v>197</v>
      </c>
      <c r="B13" s="14" t="s">
        <v>900</v>
      </c>
      <c r="C13" s="15">
        <f t="shared" si="4"/>
        <v>32.294000000000004</v>
      </c>
      <c r="D13" s="16">
        <v>25</v>
      </c>
      <c r="E13" s="16">
        <v>3</v>
      </c>
      <c r="F13" s="17">
        <v>807.35</v>
      </c>
      <c r="G13" s="29">
        <v>-0.08</v>
      </c>
      <c r="H13" s="18">
        <f t="shared" si="1"/>
        <v>9.9089614169814831E-5</v>
      </c>
      <c r="I13" s="18">
        <f t="shared" si="2"/>
        <v>0.30535740320699606</v>
      </c>
      <c r="J13" s="17">
        <f t="shared" si="5"/>
        <v>246.53029947916826</v>
      </c>
      <c r="K13" s="17">
        <f t="shared" si="3"/>
        <v>9.8612119791667308</v>
      </c>
      <c r="L13" s="16">
        <v>59</v>
      </c>
      <c r="M13" s="19">
        <f t="shared" si="6"/>
        <v>0.42372881355932202</v>
      </c>
      <c r="N13" s="16">
        <v>125</v>
      </c>
      <c r="O13" s="20">
        <f t="shared" ref="O13:P13" si="21">D13/7</f>
        <v>3.5714285714285716</v>
      </c>
      <c r="P13" s="20">
        <f t="shared" si="21"/>
        <v>0.42857142857142855</v>
      </c>
      <c r="Q13" s="16">
        <f t="shared" si="8"/>
        <v>31</v>
      </c>
      <c r="R13" s="16"/>
      <c r="S13" s="21">
        <v>2.7100130039011701</v>
      </c>
      <c r="T13" s="14">
        <v>456</v>
      </c>
      <c r="U13" s="22">
        <v>102</v>
      </c>
      <c r="V13" s="23" t="s">
        <v>1904</v>
      </c>
      <c r="W13" s="14">
        <v>0</v>
      </c>
      <c r="X13" s="24">
        <f t="shared" si="9"/>
        <v>0</v>
      </c>
      <c r="Y13" s="25">
        <f t="shared" si="10"/>
        <v>0</v>
      </c>
      <c r="Z13" s="14">
        <v>0</v>
      </c>
      <c r="AA13" s="14" t="s">
        <v>35</v>
      </c>
      <c r="AB13" s="27">
        <f t="shared" si="11"/>
        <v>-0.69</v>
      </c>
      <c r="AC13" s="28">
        <v>8.6102430555555567E-2</v>
      </c>
      <c r="AD13" s="25">
        <f t="shared" si="12"/>
        <v>-2.9705338541666668</v>
      </c>
      <c r="AE13" s="25">
        <v>-6.18</v>
      </c>
      <c r="AF13" s="25">
        <v>-11.2866666666666</v>
      </c>
      <c r="AG13" s="25">
        <v>0</v>
      </c>
    </row>
    <row r="14" spans="1:33" ht="15.75" customHeight="1">
      <c r="A14" s="14" t="s">
        <v>32</v>
      </c>
      <c r="B14" s="14" t="s">
        <v>1905</v>
      </c>
      <c r="C14" s="15">
        <f t="shared" si="4"/>
        <v>33.646499999999989</v>
      </c>
      <c r="D14" s="16">
        <v>40</v>
      </c>
      <c r="E14" s="16">
        <v>0</v>
      </c>
      <c r="F14" s="17">
        <v>1345.8599999999994</v>
      </c>
      <c r="G14" s="29">
        <v>0</v>
      </c>
      <c r="H14" s="18">
        <f t="shared" si="1"/>
        <v>0</v>
      </c>
      <c r="I14" s="18">
        <f t="shared" si="2"/>
        <v>0.32734569655585949</v>
      </c>
      <c r="J14" s="17">
        <f t="shared" si="5"/>
        <v>440.5614791666689</v>
      </c>
      <c r="K14" s="17">
        <f t="shared" si="3"/>
        <v>11.014036979166722</v>
      </c>
      <c r="L14" s="16">
        <v>55</v>
      </c>
      <c r="M14" s="19">
        <f t="shared" si="6"/>
        <v>0.72727272727272729</v>
      </c>
      <c r="N14" s="16">
        <v>0</v>
      </c>
      <c r="O14" s="20">
        <f t="shared" ref="O14:P14" si="22">D14/7</f>
        <v>5.7142857142857144</v>
      </c>
      <c r="P14" s="20">
        <f t="shared" si="22"/>
        <v>0</v>
      </c>
      <c r="Q14" s="16">
        <f t="shared" si="8"/>
        <v>0</v>
      </c>
      <c r="R14" s="16"/>
      <c r="S14" s="21">
        <v>2.6195524146054101</v>
      </c>
      <c r="T14" s="14">
        <v>456</v>
      </c>
      <c r="U14" s="22">
        <v>102</v>
      </c>
      <c r="V14" s="23" t="s">
        <v>1904</v>
      </c>
      <c r="W14" s="14">
        <v>0</v>
      </c>
      <c r="X14" s="24">
        <f t="shared" si="9"/>
        <v>0</v>
      </c>
      <c r="Y14" s="25">
        <f t="shared" si="10"/>
        <v>0</v>
      </c>
      <c r="Z14" s="14">
        <v>0</v>
      </c>
      <c r="AA14" s="14" t="s">
        <v>35</v>
      </c>
      <c r="AB14" s="27">
        <f t="shared" si="11"/>
        <v>-0.69</v>
      </c>
      <c r="AC14" s="28">
        <v>8.6102430555555567E-2</v>
      </c>
      <c r="AD14" s="25">
        <f t="shared" si="12"/>
        <v>-4.7528541666666673</v>
      </c>
      <c r="AE14" s="25">
        <v>-6.18</v>
      </c>
      <c r="AF14" s="25">
        <v>-11.2866666666666</v>
      </c>
      <c r="AG14" s="25">
        <v>0</v>
      </c>
    </row>
    <row r="15" spans="1:33" ht="15.75" customHeight="1">
      <c r="A15" s="14" t="s">
        <v>36</v>
      </c>
      <c r="B15" s="14" t="s">
        <v>1905</v>
      </c>
      <c r="C15" s="15" t="str">
        <f t="shared" si="4"/>
        <v xml:space="preserve"> - </v>
      </c>
      <c r="D15" s="16">
        <v>0</v>
      </c>
      <c r="E15" s="16">
        <v>0</v>
      </c>
      <c r="F15" s="17">
        <v>0</v>
      </c>
      <c r="G15" s="29">
        <v>0</v>
      </c>
      <c r="H15" s="18" t="e">
        <f t="shared" si="1"/>
        <v>#DIV/0!</v>
      </c>
      <c r="I15" s="18" t="e">
        <f t="shared" si="2"/>
        <v>#DIV/0!</v>
      </c>
      <c r="J15" s="17">
        <f t="shared" si="5"/>
        <v>0</v>
      </c>
      <c r="K15" s="17" t="e">
        <f t="shared" si="3"/>
        <v>#DIV/0!</v>
      </c>
      <c r="L15" s="16">
        <v>0</v>
      </c>
      <c r="M15" s="19" t="str">
        <f t="shared" si="6"/>
        <v>-</v>
      </c>
      <c r="N15" s="16">
        <v>0</v>
      </c>
      <c r="O15" s="20">
        <f t="shared" ref="O15:P15" si="23">D15/7</f>
        <v>0</v>
      </c>
      <c r="P15" s="20">
        <f t="shared" si="23"/>
        <v>0</v>
      </c>
      <c r="Q15" s="16" t="e">
        <f t="shared" si="8"/>
        <v>#DIV/0!</v>
      </c>
      <c r="R15" s="16"/>
      <c r="S15" s="21">
        <v>2.6253369272237101</v>
      </c>
      <c r="T15" s="14">
        <v>456</v>
      </c>
      <c r="U15" s="22">
        <v>102</v>
      </c>
      <c r="V15" s="23" t="s">
        <v>1906</v>
      </c>
      <c r="W15" s="14">
        <v>0</v>
      </c>
      <c r="X15" s="24">
        <f t="shared" si="9"/>
        <v>0</v>
      </c>
      <c r="Y15" s="25">
        <f t="shared" si="10"/>
        <v>0</v>
      </c>
      <c r="Z15" s="14">
        <v>0</v>
      </c>
      <c r="AA15" s="14" t="e">
        <v>#N/A</v>
      </c>
      <c r="AB15" s="27" t="e">
        <f t="shared" si="11"/>
        <v>#N/A</v>
      </c>
      <c r="AC15" s="28" t="e">
        <v>#N/A</v>
      </c>
      <c r="AD15" s="25">
        <f t="shared" si="12"/>
        <v>0</v>
      </c>
      <c r="AE15" s="25">
        <v>0</v>
      </c>
      <c r="AF15" s="25">
        <v>-12.0266666666666</v>
      </c>
      <c r="AG15" s="25">
        <v>0</v>
      </c>
    </row>
    <row r="16" spans="1:33" ht="15.75" customHeight="1">
      <c r="A16" s="14" t="s">
        <v>38</v>
      </c>
      <c r="B16" s="14"/>
      <c r="C16" s="15" t="str">
        <f t="shared" si="4"/>
        <v xml:space="preserve"> - </v>
      </c>
      <c r="D16" s="16">
        <v>0</v>
      </c>
      <c r="E16" s="16">
        <v>0</v>
      </c>
      <c r="F16" s="17">
        <v>0</v>
      </c>
      <c r="G16" s="29">
        <v>0</v>
      </c>
      <c r="H16" s="18" t="e">
        <f t="shared" si="1"/>
        <v>#DIV/0!</v>
      </c>
      <c r="I16" s="18" t="e">
        <f t="shared" si="2"/>
        <v>#DIV/0!</v>
      </c>
      <c r="J16" s="17">
        <f t="shared" si="5"/>
        <v>0</v>
      </c>
      <c r="K16" s="17" t="e">
        <f t="shared" si="3"/>
        <v>#DIV/0!</v>
      </c>
      <c r="L16" s="16">
        <v>0</v>
      </c>
      <c r="M16" s="19" t="str">
        <f t="shared" si="6"/>
        <v>-</v>
      </c>
      <c r="N16" s="16">
        <v>0</v>
      </c>
      <c r="O16" s="20">
        <f t="shared" ref="O16:P16" si="24">D16/7</f>
        <v>0</v>
      </c>
      <c r="P16" s="20">
        <f t="shared" si="24"/>
        <v>0</v>
      </c>
      <c r="Q16" s="16" t="e">
        <f t="shared" si="8"/>
        <v>#DIV/0!</v>
      </c>
      <c r="R16" s="16"/>
      <c r="S16" s="21">
        <v>1.86500519210799</v>
      </c>
      <c r="T16" s="14">
        <v>456</v>
      </c>
      <c r="U16" s="22">
        <v>102</v>
      </c>
      <c r="V16" s="23" t="s">
        <v>1907</v>
      </c>
      <c r="W16" s="14">
        <v>0</v>
      </c>
      <c r="X16" s="24">
        <f t="shared" si="9"/>
        <v>0</v>
      </c>
      <c r="Y16" s="25">
        <f t="shared" si="10"/>
        <v>0</v>
      </c>
      <c r="Z16" s="14">
        <v>0</v>
      </c>
      <c r="AA16" s="14" t="e">
        <v>#N/A</v>
      </c>
      <c r="AB16" s="27" t="e">
        <f t="shared" si="11"/>
        <v>#N/A</v>
      </c>
      <c r="AC16" s="28" t="e">
        <v>#N/A</v>
      </c>
      <c r="AD16" s="25">
        <f t="shared" si="12"/>
        <v>0</v>
      </c>
      <c r="AE16" s="25">
        <v>0</v>
      </c>
      <c r="AF16" s="25">
        <v>-12.0266666666666</v>
      </c>
      <c r="AG16" s="25">
        <v>0</v>
      </c>
    </row>
    <row r="17" spans="1:33" ht="15.75" customHeight="1">
      <c r="A17" s="14" t="s">
        <v>40</v>
      </c>
      <c r="B17" s="14" t="s">
        <v>1905</v>
      </c>
      <c r="C17" s="15" t="str">
        <f t="shared" si="4"/>
        <v xml:space="preserve"> - </v>
      </c>
      <c r="D17" s="16">
        <v>0</v>
      </c>
      <c r="E17" s="16">
        <v>1</v>
      </c>
      <c r="F17" s="17">
        <v>0</v>
      </c>
      <c r="G17" s="29">
        <v>0</v>
      </c>
      <c r="H17" s="18" t="e">
        <f t="shared" si="1"/>
        <v>#DIV/0!</v>
      </c>
      <c r="I17" s="18" t="e">
        <f t="shared" si="2"/>
        <v>#DIV/0!</v>
      </c>
      <c r="J17" s="17">
        <f t="shared" si="5"/>
        <v>0</v>
      </c>
      <c r="K17" s="17" t="e">
        <f t="shared" si="3"/>
        <v>#DIV/0!</v>
      </c>
      <c r="L17" s="16">
        <v>0</v>
      </c>
      <c r="M17" s="19" t="str">
        <f t="shared" si="6"/>
        <v>-</v>
      </c>
      <c r="N17" s="16">
        <v>0</v>
      </c>
      <c r="O17" s="20">
        <f t="shared" ref="O17:P17" si="25">D17/7</f>
        <v>0</v>
      </c>
      <c r="P17" s="20">
        <f t="shared" si="25"/>
        <v>0.14285714285714285</v>
      </c>
      <c r="Q17" s="16">
        <f t="shared" si="8"/>
        <v>0</v>
      </c>
      <c r="R17" s="16"/>
      <c r="S17" s="21">
        <v>2.0095238095238002</v>
      </c>
      <c r="T17" s="14">
        <v>456</v>
      </c>
      <c r="U17" s="22">
        <v>102</v>
      </c>
      <c r="V17" s="23" t="s">
        <v>1907</v>
      </c>
      <c r="W17" s="14">
        <v>0</v>
      </c>
      <c r="X17" s="24">
        <f t="shared" si="9"/>
        <v>0</v>
      </c>
      <c r="Y17" s="25">
        <f t="shared" si="10"/>
        <v>0</v>
      </c>
      <c r="Z17" s="14">
        <v>0</v>
      </c>
      <c r="AA17" s="14" t="e">
        <v>#N/A</v>
      </c>
      <c r="AB17" s="27" t="e">
        <f t="shared" si="11"/>
        <v>#N/A</v>
      </c>
      <c r="AC17" s="28" t="e">
        <v>#N/A</v>
      </c>
      <c r="AD17" s="25">
        <f t="shared" si="12"/>
        <v>0</v>
      </c>
      <c r="AE17" s="25">
        <v>0</v>
      </c>
      <c r="AF17" s="25">
        <v>-12.0266666666666</v>
      </c>
      <c r="AG17" s="25">
        <v>0</v>
      </c>
    </row>
    <row r="18" spans="1:33" ht="15.75" customHeight="1">
      <c r="A18" s="14" t="s">
        <v>42</v>
      </c>
      <c r="B18" s="14"/>
      <c r="C18" s="15" t="str">
        <f t="shared" si="4"/>
        <v xml:space="preserve"> - </v>
      </c>
      <c r="D18" s="16">
        <v>0</v>
      </c>
      <c r="E18" s="16">
        <v>0</v>
      </c>
      <c r="F18" s="17">
        <v>0</v>
      </c>
      <c r="G18" s="29">
        <v>0</v>
      </c>
      <c r="H18" s="18" t="e">
        <f t="shared" si="1"/>
        <v>#DIV/0!</v>
      </c>
      <c r="I18" s="18" t="e">
        <f t="shared" si="2"/>
        <v>#DIV/0!</v>
      </c>
      <c r="J18" s="17">
        <f t="shared" si="5"/>
        <v>0</v>
      </c>
      <c r="K18" s="17" t="e">
        <f t="shared" si="3"/>
        <v>#DIV/0!</v>
      </c>
      <c r="L18" s="16">
        <v>0</v>
      </c>
      <c r="M18" s="19" t="str">
        <f t="shared" si="6"/>
        <v>-</v>
      </c>
      <c r="N18" s="16">
        <v>0</v>
      </c>
      <c r="O18" s="20">
        <f t="shared" ref="O18:P18" si="26">D18/7</f>
        <v>0</v>
      </c>
      <c r="P18" s="20">
        <f t="shared" si="26"/>
        <v>0</v>
      </c>
      <c r="Q18" s="16" t="e">
        <f t="shared" si="8"/>
        <v>#DIV/0!</v>
      </c>
      <c r="R18" s="16"/>
      <c r="S18" s="21">
        <v>2.0383561643835599</v>
      </c>
      <c r="T18" s="14">
        <v>114</v>
      </c>
      <c r="U18" s="22">
        <v>0</v>
      </c>
      <c r="V18" s="23" t="s">
        <v>1908</v>
      </c>
      <c r="W18" s="14">
        <v>0</v>
      </c>
      <c r="X18" s="24">
        <f t="shared" si="9"/>
        <v>0</v>
      </c>
      <c r="Y18" s="25">
        <f t="shared" si="10"/>
        <v>0</v>
      </c>
      <c r="Z18" s="14">
        <v>0</v>
      </c>
      <c r="AA18" s="14" t="e">
        <v>#N/A</v>
      </c>
      <c r="AB18" s="27" t="e">
        <f t="shared" si="11"/>
        <v>#N/A</v>
      </c>
      <c r="AC18" s="28" t="e">
        <v>#N/A</v>
      </c>
      <c r="AD18" s="25">
        <f t="shared" si="12"/>
        <v>0</v>
      </c>
      <c r="AE18" s="25">
        <v>0</v>
      </c>
      <c r="AF18" s="25">
        <v>-12.0266666666666</v>
      </c>
      <c r="AG18" s="25">
        <v>0</v>
      </c>
    </row>
    <row r="19" spans="1:33" ht="15.75" customHeight="1">
      <c r="A19" s="14" t="s">
        <v>44</v>
      </c>
      <c r="B19" s="14"/>
      <c r="C19" s="15" t="str">
        <f t="shared" si="4"/>
        <v xml:space="preserve"> - </v>
      </c>
      <c r="D19" s="16">
        <v>0</v>
      </c>
      <c r="E19" s="16">
        <v>0</v>
      </c>
      <c r="F19" s="17">
        <v>0</v>
      </c>
      <c r="G19" s="29">
        <v>0</v>
      </c>
      <c r="H19" s="18" t="e">
        <f t="shared" si="1"/>
        <v>#DIV/0!</v>
      </c>
      <c r="I19" s="18" t="e">
        <f t="shared" si="2"/>
        <v>#DIV/0!</v>
      </c>
      <c r="J19" s="17">
        <f t="shared" si="5"/>
        <v>0</v>
      </c>
      <c r="K19" s="17" t="e">
        <f t="shared" si="3"/>
        <v>#DIV/0!</v>
      </c>
      <c r="L19" s="16">
        <v>0</v>
      </c>
      <c r="M19" s="19" t="str">
        <f t="shared" si="6"/>
        <v>-</v>
      </c>
      <c r="N19" s="16">
        <v>0</v>
      </c>
      <c r="O19" s="20">
        <f t="shared" ref="O19:P19" si="27">D19/7</f>
        <v>0</v>
      </c>
      <c r="P19" s="20">
        <f t="shared" si="27"/>
        <v>0</v>
      </c>
      <c r="Q19" s="16" t="e">
        <f t="shared" si="8"/>
        <v>#DIV/0!</v>
      </c>
      <c r="R19" s="16"/>
      <c r="S19" s="21">
        <v>1.66784452296819</v>
      </c>
      <c r="T19" s="14">
        <v>0</v>
      </c>
      <c r="U19" s="22" t="s">
        <v>34</v>
      </c>
      <c r="V19" s="23" t="s">
        <v>34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14" t="e">
        <v>#N/A</v>
      </c>
      <c r="AB19" s="27" t="e">
        <f t="shared" si="11"/>
        <v>#N/A</v>
      </c>
      <c r="AC19" s="28" t="e">
        <v>#N/A</v>
      </c>
      <c r="AD19" s="25">
        <f t="shared" si="12"/>
        <v>0</v>
      </c>
      <c r="AE19" s="25">
        <v>0</v>
      </c>
      <c r="AF19" s="25">
        <v>-12.580666666666668</v>
      </c>
      <c r="AG19" s="25">
        <v>0</v>
      </c>
    </row>
    <row r="20" spans="1:33" ht="15.75" customHeight="1">
      <c r="A20" s="14" t="s">
        <v>46</v>
      </c>
      <c r="B20" s="14" t="s">
        <v>1909</v>
      </c>
      <c r="C20" s="15">
        <f t="shared" si="4"/>
        <v>33.65</v>
      </c>
      <c r="D20" s="16">
        <v>3</v>
      </c>
      <c r="E20" s="16">
        <v>1</v>
      </c>
      <c r="F20" s="17">
        <v>100.94999999999999</v>
      </c>
      <c r="G20" s="29">
        <v>0</v>
      </c>
      <c r="H20" s="18">
        <f t="shared" si="1"/>
        <v>0</v>
      </c>
      <c r="I20" s="18">
        <f t="shared" si="2"/>
        <v>0.28894537828132733</v>
      </c>
      <c r="J20" s="17">
        <f t="shared" si="5"/>
        <v>29.169035937499988</v>
      </c>
      <c r="K20" s="17">
        <f t="shared" si="3"/>
        <v>9.723011979166662</v>
      </c>
      <c r="L20" s="16">
        <v>14</v>
      </c>
      <c r="M20" s="19">
        <f t="shared" si="6"/>
        <v>0.21428571428571427</v>
      </c>
      <c r="N20" s="16">
        <v>224</v>
      </c>
      <c r="O20" s="20">
        <f t="shared" ref="O20:P20" si="28">D20/7</f>
        <v>0.42857142857142855</v>
      </c>
      <c r="P20" s="20">
        <f t="shared" si="28"/>
        <v>0.14285714285714285</v>
      </c>
      <c r="Q20" s="16">
        <f t="shared" si="8"/>
        <v>392</v>
      </c>
      <c r="R20" s="16"/>
      <c r="S20" s="21">
        <v>1.6272838002436001</v>
      </c>
      <c r="T20" s="14">
        <v>0</v>
      </c>
      <c r="U20" s="22" t="s">
        <v>34</v>
      </c>
      <c r="V20" s="23" t="s">
        <v>34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14" t="s">
        <v>35</v>
      </c>
      <c r="AB20" s="27">
        <f t="shared" si="11"/>
        <v>-0.69</v>
      </c>
      <c r="AC20" s="28">
        <v>8.6102430555555567E-2</v>
      </c>
      <c r="AD20" s="25">
        <f t="shared" si="12"/>
        <v>-0.35646406250000001</v>
      </c>
      <c r="AE20" s="25">
        <v>-6.18</v>
      </c>
      <c r="AF20" s="25">
        <v>-12.580666666666668</v>
      </c>
      <c r="AG20" s="25">
        <v>0</v>
      </c>
    </row>
    <row r="21" spans="1:33" ht="15.75" customHeight="1">
      <c r="A21" s="14" t="s">
        <v>47</v>
      </c>
      <c r="B21" s="14" t="s">
        <v>68</v>
      </c>
      <c r="C21" s="15">
        <f t="shared" si="4"/>
        <v>30.141333333333332</v>
      </c>
      <c r="D21" s="16">
        <v>15</v>
      </c>
      <c r="E21" s="16">
        <v>0</v>
      </c>
      <c r="F21" s="17">
        <v>452.12</v>
      </c>
      <c r="G21" s="29">
        <v>0</v>
      </c>
      <c r="H21" s="18">
        <f t="shared" si="1"/>
        <v>0</v>
      </c>
      <c r="I21" s="18">
        <f t="shared" si="2"/>
        <v>0.22363460958926837</v>
      </c>
      <c r="J21" s="17">
        <f t="shared" si="5"/>
        <v>101.10967968750002</v>
      </c>
      <c r="K21" s="17">
        <f t="shared" si="3"/>
        <v>6.7406453125000017</v>
      </c>
      <c r="L21" s="16">
        <v>13</v>
      </c>
      <c r="M21" s="19">
        <f t="shared" si="6"/>
        <v>1.1538461538461537</v>
      </c>
      <c r="N21" s="16">
        <v>190</v>
      </c>
      <c r="O21" s="20">
        <f t="shared" ref="O21:P21" si="29">D21/7</f>
        <v>2.1428571428571428</v>
      </c>
      <c r="P21" s="20">
        <f t="shared" si="29"/>
        <v>0</v>
      </c>
      <c r="Q21" s="16">
        <f t="shared" si="8"/>
        <v>88</v>
      </c>
      <c r="R21" s="16"/>
      <c r="S21" s="21">
        <v>1.67584097859327</v>
      </c>
      <c r="T21" s="14">
        <v>0</v>
      </c>
      <c r="U21" s="22" t="s">
        <v>34</v>
      </c>
      <c r="V21" s="23" t="s">
        <v>34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14" t="s">
        <v>35</v>
      </c>
      <c r="AB21" s="27">
        <f t="shared" si="11"/>
        <v>-0.69</v>
      </c>
      <c r="AC21" s="28">
        <v>8.6102430555555567E-2</v>
      </c>
      <c r="AD21" s="25">
        <f t="shared" si="12"/>
        <v>-1.7823203125</v>
      </c>
      <c r="AE21" s="25">
        <v>-6.18</v>
      </c>
      <c r="AF21" s="25">
        <v>-12.580666666666668</v>
      </c>
      <c r="AG21" s="25">
        <v>0</v>
      </c>
    </row>
    <row r="22" spans="1:33" ht="15.75" customHeight="1">
      <c r="A22" s="14" t="s">
        <v>48</v>
      </c>
      <c r="B22" s="14" t="s">
        <v>68</v>
      </c>
      <c r="C22" s="15">
        <f t="shared" si="4"/>
        <v>28.018695652173914</v>
      </c>
      <c r="D22" s="16">
        <v>23</v>
      </c>
      <c r="E22" s="16">
        <v>1</v>
      </c>
      <c r="F22" s="29">
        <v>644.43000000000006</v>
      </c>
      <c r="G22" s="29">
        <v>0</v>
      </c>
      <c r="H22" s="18">
        <f t="shared" si="1"/>
        <v>0</v>
      </c>
      <c r="I22" s="18">
        <f t="shared" si="2"/>
        <v>0.17618247989825644</v>
      </c>
      <c r="J22" s="17">
        <f t="shared" si="5"/>
        <v>113.5372755208334</v>
      </c>
      <c r="K22" s="17">
        <f t="shared" si="3"/>
        <v>4.9364032835144958</v>
      </c>
      <c r="L22" s="16">
        <v>28</v>
      </c>
      <c r="M22" s="19">
        <f t="shared" si="6"/>
        <v>0.8214285714285714</v>
      </c>
      <c r="N22" s="16">
        <v>157</v>
      </c>
      <c r="O22" s="20">
        <f t="shared" ref="O22:P22" si="30">D22/7</f>
        <v>3.2857142857142856</v>
      </c>
      <c r="P22" s="20">
        <f t="shared" si="30"/>
        <v>0.14285714285714285</v>
      </c>
      <c r="Q22" s="16">
        <f t="shared" si="8"/>
        <v>45</v>
      </c>
      <c r="R22" s="16"/>
      <c r="S22" s="21">
        <v>1.8411552346570299</v>
      </c>
      <c r="T22" s="14">
        <v>84</v>
      </c>
      <c r="U22" s="22">
        <v>84</v>
      </c>
      <c r="V22" s="23" t="s">
        <v>1910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35</v>
      </c>
      <c r="AB22" s="27">
        <f t="shared" si="11"/>
        <v>-0.69</v>
      </c>
      <c r="AC22" s="28">
        <v>8.6102430555555567E-2</v>
      </c>
      <c r="AD22" s="25">
        <f t="shared" si="12"/>
        <v>-2.7328911458333334</v>
      </c>
      <c r="AE22" s="25">
        <v>-6.18</v>
      </c>
      <c r="AF22" s="25">
        <v>-12.580666666666668</v>
      </c>
      <c r="AG22" s="25">
        <v>0</v>
      </c>
    </row>
    <row r="23" spans="1:33" ht="15.75" customHeight="1">
      <c r="A23" s="14" t="s">
        <v>49</v>
      </c>
      <c r="B23" s="14" t="s">
        <v>1911</v>
      </c>
      <c r="C23" s="15">
        <f t="shared" si="4"/>
        <v>27.99</v>
      </c>
      <c r="D23" s="16">
        <v>18</v>
      </c>
      <c r="E23" s="16">
        <v>1</v>
      </c>
      <c r="F23" s="17">
        <v>503.82</v>
      </c>
      <c r="G23" s="29">
        <v>0</v>
      </c>
      <c r="H23" s="18">
        <f t="shared" si="1"/>
        <v>0</v>
      </c>
      <c r="I23" s="18">
        <f t="shared" si="2"/>
        <v>0.17549167485411443</v>
      </c>
      <c r="J23" s="17">
        <f t="shared" si="5"/>
        <v>88.416215624999936</v>
      </c>
      <c r="K23" s="17">
        <f t="shared" si="3"/>
        <v>4.912011979166663</v>
      </c>
      <c r="L23" s="16">
        <v>37</v>
      </c>
      <c r="M23" s="19">
        <f t="shared" si="6"/>
        <v>0.48648648648648651</v>
      </c>
      <c r="N23" s="16">
        <v>136</v>
      </c>
      <c r="O23" s="20">
        <f t="shared" ref="O23:P23" si="31">D23/7</f>
        <v>2.5714285714285716</v>
      </c>
      <c r="P23" s="20">
        <f t="shared" si="31"/>
        <v>0.14285714285714285</v>
      </c>
      <c r="Q23" s="16">
        <f t="shared" si="8"/>
        <v>50</v>
      </c>
      <c r="R23" s="16"/>
      <c r="S23" s="21">
        <v>1.8585858585858499</v>
      </c>
      <c r="T23" s="14">
        <v>402</v>
      </c>
      <c r="U23" s="22">
        <v>84</v>
      </c>
      <c r="V23" s="23" t="s">
        <v>1910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35</v>
      </c>
      <c r="AB23" s="27">
        <f t="shared" si="11"/>
        <v>-0.69</v>
      </c>
      <c r="AC23" s="28">
        <v>8.6102430555555567E-2</v>
      </c>
      <c r="AD23" s="25">
        <f t="shared" si="12"/>
        <v>-2.1387843750000002</v>
      </c>
      <c r="AE23" s="25">
        <v>-6.18</v>
      </c>
      <c r="AF23" s="25">
        <v>-12.580666666666668</v>
      </c>
      <c r="AG23" s="25">
        <v>0</v>
      </c>
    </row>
    <row r="24" spans="1:33" ht="15.75" customHeight="1">
      <c r="A24" s="14" t="s">
        <v>50</v>
      </c>
      <c r="B24" s="14" t="s">
        <v>1912</v>
      </c>
      <c r="C24" s="15">
        <f t="shared" si="4"/>
        <v>28.008333333333336</v>
      </c>
      <c r="D24" s="16">
        <v>30</v>
      </c>
      <c r="E24" s="16">
        <v>11</v>
      </c>
      <c r="F24" s="17">
        <v>840.25000000000011</v>
      </c>
      <c r="G24" s="17">
        <v>-63.44</v>
      </c>
      <c r="H24" s="18">
        <f t="shared" si="1"/>
        <v>7.5501338887235925E-2</v>
      </c>
      <c r="I24" s="18">
        <f t="shared" si="2"/>
        <v>0.1004318469205594</v>
      </c>
      <c r="J24" s="17">
        <f t="shared" si="5"/>
        <v>84.387859375000048</v>
      </c>
      <c r="K24" s="17">
        <f t="shared" si="3"/>
        <v>2.8129286458333351</v>
      </c>
      <c r="L24" s="16">
        <v>57</v>
      </c>
      <c r="M24" s="19">
        <f t="shared" si="6"/>
        <v>0.52631578947368418</v>
      </c>
      <c r="N24" s="16">
        <v>99</v>
      </c>
      <c r="O24" s="20">
        <f t="shared" ref="O24:P24" si="32">D24/7</f>
        <v>4.2857142857142856</v>
      </c>
      <c r="P24" s="20">
        <f t="shared" si="32"/>
        <v>1.5714285714285714</v>
      </c>
      <c r="Q24" s="16">
        <f t="shared" si="8"/>
        <v>16</v>
      </c>
      <c r="R24" s="16"/>
      <c r="S24" s="21">
        <v>1.4550989345509799</v>
      </c>
      <c r="T24" s="14">
        <v>402</v>
      </c>
      <c r="U24" s="22">
        <v>84</v>
      </c>
      <c r="V24" s="23" t="s">
        <v>1913</v>
      </c>
      <c r="W24" s="14">
        <v>14</v>
      </c>
      <c r="X24" s="24">
        <f t="shared" si="9"/>
        <v>0.46666666666666667</v>
      </c>
      <c r="Y24" s="25">
        <f t="shared" si="10"/>
        <v>3.1719999999999997</v>
      </c>
      <c r="Z24" s="14">
        <v>6</v>
      </c>
      <c r="AA24" s="14" t="s">
        <v>35</v>
      </c>
      <c r="AB24" s="27">
        <f t="shared" si="11"/>
        <v>-0.69</v>
      </c>
      <c r="AC24" s="28">
        <v>8.6102430555555567E-2</v>
      </c>
      <c r="AD24" s="25">
        <f t="shared" si="12"/>
        <v>-3.564640625</v>
      </c>
      <c r="AE24" s="25">
        <v>-6.18</v>
      </c>
      <c r="AF24" s="25">
        <v>-12.580666666666668</v>
      </c>
      <c r="AG24" s="25">
        <v>0</v>
      </c>
    </row>
    <row r="25" spans="1:33" ht="15.75" customHeight="1">
      <c r="A25" s="14" t="s">
        <v>51</v>
      </c>
      <c r="B25" s="14" t="s">
        <v>1914</v>
      </c>
      <c r="C25" s="15">
        <f t="shared" si="4"/>
        <v>28.010624999999997</v>
      </c>
      <c r="D25" s="16">
        <v>32</v>
      </c>
      <c r="E25" s="16">
        <v>1</v>
      </c>
      <c r="F25" s="17">
        <v>896.33999999999992</v>
      </c>
      <c r="G25" s="17">
        <v>-18.63</v>
      </c>
      <c r="H25" s="18">
        <f t="shared" si="1"/>
        <v>2.0784523729834661E-2</v>
      </c>
      <c r="I25" s="18">
        <f t="shared" si="2"/>
        <v>0.1552276108024484</v>
      </c>
      <c r="J25" s="17">
        <f t="shared" si="5"/>
        <v>139.13671666666659</v>
      </c>
      <c r="K25" s="17">
        <f t="shared" si="3"/>
        <v>4.3480223958333308</v>
      </c>
      <c r="L25" s="16">
        <v>58</v>
      </c>
      <c r="M25" s="19">
        <f t="shared" si="6"/>
        <v>0.55172413793103448</v>
      </c>
      <c r="N25" s="16">
        <v>62</v>
      </c>
      <c r="O25" s="20">
        <f t="shared" ref="O25:P25" si="33">D25/7</f>
        <v>4.5714285714285712</v>
      </c>
      <c r="P25" s="20">
        <f t="shared" si="33"/>
        <v>0.14285714285714285</v>
      </c>
      <c r="Q25" s="16">
        <f t="shared" si="8"/>
        <v>13</v>
      </c>
      <c r="R25" s="16"/>
      <c r="S25" s="21">
        <v>1.606425702811245</v>
      </c>
      <c r="T25" s="14">
        <v>402</v>
      </c>
      <c r="U25" s="22">
        <v>84</v>
      </c>
      <c r="V25" s="23" t="s">
        <v>1915</v>
      </c>
      <c r="W25" s="30">
        <v>7</v>
      </c>
      <c r="X25" s="24">
        <f t="shared" si="9"/>
        <v>0.21875</v>
      </c>
      <c r="Y25" s="25">
        <f t="shared" si="10"/>
        <v>1.863</v>
      </c>
      <c r="Z25" s="30">
        <v>3</v>
      </c>
      <c r="AA25" s="14" t="s">
        <v>35</v>
      </c>
      <c r="AB25" s="27">
        <f t="shared" si="11"/>
        <v>-0.69</v>
      </c>
      <c r="AC25" s="28">
        <v>8.6102430555555567E-2</v>
      </c>
      <c r="AD25" s="25">
        <f t="shared" si="12"/>
        <v>-3.8022833333333335</v>
      </c>
      <c r="AE25" s="25">
        <v>-6.18</v>
      </c>
      <c r="AF25" s="25">
        <v>-12.58</v>
      </c>
      <c r="AG25" s="25">
        <v>0</v>
      </c>
    </row>
    <row r="26" spans="1:33" ht="15.75" customHeight="1">
      <c r="A26" s="14" t="s">
        <v>52</v>
      </c>
      <c r="B26" s="14" t="s">
        <v>1916</v>
      </c>
      <c r="C26" s="15">
        <f t="shared" si="4"/>
        <v>28.022000000000002</v>
      </c>
      <c r="D26" s="16">
        <v>5</v>
      </c>
      <c r="E26" s="16">
        <v>2</v>
      </c>
      <c r="F26" s="17">
        <v>140.11000000000001</v>
      </c>
      <c r="G26" s="17">
        <v>0</v>
      </c>
      <c r="H26" s="18">
        <f t="shared" si="1"/>
        <v>0</v>
      </c>
      <c r="I26" s="18">
        <f t="shared" si="2"/>
        <v>0.17269331165394095</v>
      </c>
      <c r="J26" s="17">
        <f t="shared" si="5"/>
        <v>24.196059895833667</v>
      </c>
      <c r="K26" s="17">
        <f t="shared" si="3"/>
        <v>4.8392119791667332</v>
      </c>
      <c r="L26" s="16">
        <v>38</v>
      </c>
      <c r="M26" s="19">
        <f t="shared" si="6"/>
        <v>0.13157894736842105</v>
      </c>
      <c r="N26" s="16">
        <v>56</v>
      </c>
      <c r="O26" s="20">
        <f t="shared" ref="O26:P26" si="34">D26/7</f>
        <v>0.7142857142857143</v>
      </c>
      <c r="P26" s="20">
        <f t="shared" si="34"/>
        <v>0.2857142857142857</v>
      </c>
      <c r="Q26" s="16">
        <f t="shared" si="8"/>
        <v>56</v>
      </c>
      <c r="R26" s="16"/>
      <c r="S26" s="21">
        <v>1.669565217391304</v>
      </c>
      <c r="T26" s="14">
        <v>402</v>
      </c>
      <c r="U26" s="22">
        <v>84</v>
      </c>
      <c r="V26" s="23" t="s">
        <v>1917</v>
      </c>
      <c r="W26" s="30">
        <v>0</v>
      </c>
      <c r="X26" s="24">
        <f t="shared" si="9"/>
        <v>0</v>
      </c>
      <c r="Y26" s="25">
        <f t="shared" si="10"/>
        <v>0</v>
      </c>
      <c r="Z26" s="30">
        <v>0</v>
      </c>
      <c r="AA26" s="14" t="s">
        <v>35</v>
      </c>
      <c r="AB26" s="27">
        <f t="shared" si="11"/>
        <v>-0.69</v>
      </c>
      <c r="AC26" s="28">
        <v>8.6102430555555567E-2</v>
      </c>
      <c r="AD26" s="25">
        <f t="shared" si="12"/>
        <v>-0.59410677083333341</v>
      </c>
      <c r="AE26" s="25">
        <v>-6.28</v>
      </c>
      <c r="AF26" s="25">
        <v>-12.5806666666666</v>
      </c>
      <c r="AG26" s="25">
        <v>0</v>
      </c>
    </row>
    <row r="27" spans="1:33" ht="15.75" customHeight="1">
      <c r="A27" s="14" t="s">
        <v>53</v>
      </c>
      <c r="B27" s="14" t="s">
        <v>202</v>
      </c>
      <c r="C27" s="15">
        <f t="shared" si="4"/>
        <v>30.768000000000001</v>
      </c>
      <c r="D27" s="16">
        <v>25</v>
      </c>
      <c r="E27" s="16">
        <v>0</v>
      </c>
      <c r="F27" s="17">
        <v>769.2</v>
      </c>
      <c r="G27" s="17">
        <v>-0.06</v>
      </c>
      <c r="H27" s="18">
        <f t="shared" si="1"/>
        <v>7.8003120124804979E-5</v>
      </c>
      <c r="I27" s="18">
        <f t="shared" si="2"/>
        <v>0.22162892114642932</v>
      </c>
      <c r="J27" s="17">
        <f t="shared" si="5"/>
        <v>170.47696614583344</v>
      </c>
      <c r="K27" s="17">
        <f t="shared" si="3"/>
        <v>6.8190786458333381</v>
      </c>
      <c r="L27" s="16">
        <v>24</v>
      </c>
      <c r="M27" s="19">
        <f t="shared" si="6"/>
        <v>1.0416666666666667</v>
      </c>
      <c r="N27" s="16">
        <v>39</v>
      </c>
      <c r="O27" s="20">
        <f t="shared" ref="O27:P27" si="35">D27/7</f>
        <v>3.5714285714285716</v>
      </c>
      <c r="P27" s="20">
        <f t="shared" si="35"/>
        <v>0</v>
      </c>
      <c r="Q27" s="16">
        <f t="shared" si="8"/>
        <v>10</v>
      </c>
      <c r="R27" s="16"/>
      <c r="S27" s="21">
        <v>1.7079889807162529</v>
      </c>
      <c r="T27" s="14">
        <v>402</v>
      </c>
      <c r="U27" s="22">
        <v>84</v>
      </c>
      <c r="V27" s="23" t="s">
        <v>1918</v>
      </c>
      <c r="W27" s="30">
        <v>0</v>
      </c>
      <c r="X27" s="24">
        <f t="shared" si="9"/>
        <v>0</v>
      </c>
      <c r="Y27" s="25">
        <f t="shared" si="10"/>
        <v>0</v>
      </c>
      <c r="Z27" s="30">
        <v>0</v>
      </c>
      <c r="AA27" s="14" t="s">
        <v>35</v>
      </c>
      <c r="AB27" s="27">
        <f t="shared" si="11"/>
        <v>-0.69</v>
      </c>
      <c r="AC27" s="28">
        <v>8.6102430555555567E-2</v>
      </c>
      <c r="AD27" s="25">
        <f t="shared" si="12"/>
        <v>-2.9705338541666668</v>
      </c>
      <c r="AE27" s="25">
        <v>-6.28</v>
      </c>
      <c r="AF27" s="25">
        <v>-12.932499999999999</v>
      </c>
      <c r="AG27" s="25">
        <v>0</v>
      </c>
    </row>
    <row r="28" spans="1:33" ht="15.75" customHeight="1">
      <c r="A28" s="14" t="s">
        <v>54</v>
      </c>
      <c r="B28" s="14" t="s">
        <v>1919</v>
      </c>
      <c r="C28" s="15">
        <f t="shared" si="4"/>
        <v>31.943333333333335</v>
      </c>
      <c r="D28" s="16">
        <v>9</v>
      </c>
      <c r="E28" s="16">
        <v>3</v>
      </c>
      <c r="F28" s="17">
        <v>287.49</v>
      </c>
      <c r="G28" s="17">
        <v>0</v>
      </c>
      <c r="H28" s="18">
        <f t="shared" si="1"/>
        <v>0</v>
      </c>
      <c r="I28" s="18">
        <f t="shared" si="2"/>
        <v>0.24482454281018473</v>
      </c>
      <c r="J28" s="17">
        <f t="shared" si="5"/>
        <v>70.384607812500008</v>
      </c>
      <c r="K28" s="17">
        <f t="shared" si="3"/>
        <v>7.8205119791666675</v>
      </c>
      <c r="L28" s="16">
        <v>18</v>
      </c>
      <c r="M28" s="19">
        <f t="shared" si="6"/>
        <v>0.5</v>
      </c>
      <c r="N28" s="16">
        <v>35</v>
      </c>
      <c r="O28" s="20">
        <f t="shared" ref="O28:P28" si="36">D28/7</f>
        <v>1.2857142857142858</v>
      </c>
      <c r="P28" s="20">
        <f t="shared" si="36"/>
        <v>0.42857142857142855</v>
      </c>
      <c r="Q28" s="16">
        <f t="shared" si="8"/>
        <v>20</v>
      </c>
      <c r="R28" s="16"/>
      <c r="S28" s="21">
        <v>1.458333333333333</v>
      </c>
      <c r="T28" s="14">
        <v>804</v>
      </c>
      <c r="U28" s="22">
        <v>44395</v>
      </c>
      <c r="V28" s="23" t="s">
        <v>1918</v>
      </c>
      <c r="W28" s="30">
        <v>0</v>
      </c>
      <c r="X28" s="24">
        <f t="shared" si="9"/>
        <v>0</v>
      </c>
      <c r="Y28" s="25">
        <f t="shared" si="10"/>
        <v>0</v>
      </c>
      <c r="Z28" s="30">
        <v>0</v>
      </c>
      <c r="AA28" s="14" t="s">
        <v>35</v>
      </c>
      <c r="AB28" s="27">
        <f t="shared" si="11"/>
        <v>-0.69</v>
      </c>
      <c r="AC28" s="28">
        <v>8.6102430555555567E-2</v>
      </c>
      <c r="AD28" s="25">
        <f t="shared" si="12"/>
        <v>-1.0693921875000001</v>
      </c>
      <c r="AE28" s="25">
        <v>-6.28</v>
      </c>
      <c r="AF28" s="25">
        <v>-12.932499999999999</v>
      </c>
      <c r="AG28" s="25">
        <v>0</v>
      </c>
    </row>
    <row r="29" spans="1:33" ht="15.75" customHeight="1">
      <c r="A29" s="14" t="s">
        <v>55</v>
      </c>
      <c r="B29" s="14" t="s">
        <v>1277</v>
      </c>
      <c r="C29" s="15">
        <f t="shared" si="4"/>
        <v>29.15</v>
      </c>
      <c r="D29" s="16">
        <v>11</v>
      </c>
      <c r="E29" s="16">
        <v>0</v>
      </c>
      <c r="F29" s="17">
        <v>320.64999999999998</v>
      </c>
      <c r="G29" s="17">
        <v>0</v>
      </c>
      <c r="H29" s="18">
        <f t="shared" si="1"/>
        <v>0</v>
      </c>
      <c r="I29" s="18">
        <f t="shared" si="2"/>
        <v>0.18683288664951389</v>
      </c>
      <c r="J29" s="17">
        <f t="shared" si="5"/>
        <v>59.907965104166628</v>
      </c>
      <c r="K29" s="17">
        <f t="shared" si="3"/>
        <v>5.4461786458333297</v>
      </c>
      <c r="L29" s="16">
        <v>14</v>
      </c>
      <c r="M29" s="19">
        <f t="shared" si="6"/>
        <v>0.7857142857142857</v>
      </c>
      <c r="N29" s="16">
        <v>19</v>
      </c>
      <c r="O29" s="20">
        <f t="shared" ref="O29:P29" si="37">D29/7</f>
        <v>1.5714285714285714</v>
      </c>
      <c r="P29" s="20">
        <f t="shared" si="37"/>
        <v>0</v>
      </c>
      <c r="Q29" s="16">
        <f t="shared" si="8"/>
        <v>12</v>
      </c>
      <c r="R29" s="16"/>
      <c r="S29" s="21">
        <v>1.696969696969697</v>
      </c>
      <c r="T29" s="14">
        <v>804</v>
      </c>
      <c r="U29" s="22">
        <v>44395</v>
      </c>
      <c r="V29" s="23" t="s">
        <v>1918</v>
      </c>
      <c r="W29" s="30">
        <v>0</v>
      </c>
      <c r="X29" s="24">
        <f t="shared" si="9"/>
        <v>0</v>
      </c>
      <c r="Y29" s="25">
        <f t="shared" si="10"/>
        <v>0</v>
      </c>
      <c r="Z29" s="30">
        <v>0</v>
      </c>
      <c r="AA29" s="14" t="s">
        <v>35</v>
      </c>
      <c r="AB29" s="27">
        <f t="shared" si="11"/>
        <v>-0.69</v>
      </c>
      <c r="AC29" s="28">
        <v>8.6102430555555567E-2</v>
      </c>
      <c r="AD29" s="25">
        <f t="shared" si="12"/>
        <v>-1.3070348958333333</v>
      </c>
      <c r="AE29" s="25">
        <v>-6.28</v>
      </c>
      <c r="AF29" s="25">
        <v>-12.932499999999999</v>
      </c>
      <c r="AG29" s="25">
        <v>0</v>
      </c>
    </row>
    <row r="30" spans="1:33" ht="15.75" customHeight="1">
      <c r="A30" s="14" t="s">
        <v>57</v>
      </c>
      <c r="B30" s="14" t="s">
        <v>1920</v>
      </c>
      <c r="C30" s="15">
        <f t="shared" si="4"/>
        <v>29.47</v>
      </c>
      <c r="D30" s="16">
        <v>2</v>
      </c>
      <c r="E30" s="16">
        <v>0</v>
      </c>
      <c r="F30" s="17">
        <v>58.94</v>
      </c>
      <c r="G30" s="17">
        <v>0</v>
      </c>
      <c r="H30" s="18">
        <f t="shared" si="1"/>
        <v>0</v>
      </c>
      <c r="I30" s="18">
        <f t="shared" si="2"/>
        <v>0.19935977759868787</v>
      </c>
      <c r="J30" s="17">
        <f t="shared" si="5"/>
        <v>11.750265291666663</v>
      </c>
      <c r="K30" s="17">
        <f t="shared" si="3"/>
        <v>5.8751326458333315</v>
      </c>
      <c r="L30" s="16">
        <v>17</v>
      </c>
      <c r="M30" s="19">
        <f t="shared" si="6"/>
        <v>0.11764705882352941</v>
      </c>
      <c r="N30" s="16">
        <v>24</v>
      </c>
      <c r="O30" s="20">
        <f t="shared" ref="O30:P30" si="38">D30/7</f>
        <v>0.2857142857142857</v>
      </c>
      <c r="P30" s="20">
        <f t="shared" si="38"/>
        <v>0</v>
      </c>
      <c r="Q30" s="16">
        <f t="shared" si="8"/>
        <v>84</v>
      </c>
      <c r="R30" s="16"/>
      <c r="S30" s="21">
        <v>2.1150684931506851</v>
      </c>
      <c r="T30" s="14">
        <v>402</v>
      </c>
      <c r="U30" s="22">
        <v>84</v>
      </c>
      <c r="V30" s="23" t="s">
        <v>1921</v>
      </c>
      <c r="W30" s="30">
        <v>0</v>
      </c>
      <c r="X30" s="24">
        <f t="shared" si="9"/>
        <v>0</v>
      </c>
      <c r="Y30" s="25">
        <f t="shared" si="10"/>
        <v>0</v>
      </c>
      <c r="Z30" s="30">
        <v>0</v>
      </c>
      <c r="AA30" s="14" t="s">
        <v>35</v>
      </c>
      <c r="AB30" s="27">
        <f t="shared" si="11"/>
        <v>-0.69</v>
      </c>
      <c r="AC30" s="28">
        <v>8.6102430555555567E-2</v>
      </c>
      <c r="AD30" s="25">
        <f t="shared" si="12"/>
        <v>-0.23764270833333334</v>
      </c>
      <c r="AE30" s="25">
        <v>-6.28</v>
      </c>
      <c r="AF30" s="25">
        <v>-12.775546</v>
      </c>
      <c r="AG30" s="25">
        <v>0</v>
      </c>
    </row>
    <row r="31" spans="1:33" ht="15.75" customHeight="1">
      <c r="A31" s="14" t="s">
        <v>58</v>
      </c>
      <c r="B31" s="14" t="s">
        <v>68</v>
      </c>
      <c r="C31" s="15">
        <f t="shared" si="4"/>
        <v>29.99</v>
      </c>
      <c r="D31" s="16">
        <v>6</v>
      </c>
      <c r="E31" s="16">
        <v>0</v>
      </c>
      <c r="F31" s="17">
        <v>179.94</v>
      </c>
      <c r="G31" s="17">
        <v>0</v>
      </c>
      <c r="H31" s="18">
        <f t="shared" si="1"/>
        <v>0</v>
      </c>
      <c r="I31" s="18">
        <f t="shared" si="2"/>
        <v>0.21064130196176492</v>
      </c>
      <c r="J31" s="17">
        <f t="shared" si="5"/>
        <v>37.902795874999981</v>
      </c>
      <c r="K31" s="17">
        <f t="shared" si="3"/>
        <v>6.3171326458333299</v>
      </c>
      <c r="L31" s="16">
        <v>17</v>
      </c>
      <c r="M31" s="19">
        <f t="shared" si="6"/>
        <v>0.35294117647058826</v>
      </c>
      <c r="N31" s="16">
        <v>17</v>
      </c>
      <c r="O31" s="20">
        <f t="shared" ref="O31:P31" si="39">D31/7</f>
        <v>0.8571428571428571</v>
      </c>
      <c r="P31" s="20">
        <f t="shared" si="39"/>
        <v>0</v>
      </c>
      <c r="Q31" s="16">
        <f t="shared" si="8"/>
        <v>19</v>
      </c>
      <c r="R31" s="16"/>
      <c r="S31" s="21">
        <v>2.3423423423423402</v>
      </c>
      <c r="T31" s="14">
        <v>318</v>
      </c>
      <c r="U31" s="22">
        <v>84</v>
      </c>
      <c r="V31" s="23" t="s">
        <v>1922</v>
      </c>
      <c r="W31" s="30">
        <v>0</v>
      </c>
      <c r="X31" s="24">
        <f t="shared" si="9"/>
        <v>0</v>
      </c>
      <c r="Y31" s="25">
        <f t="shared" si="10"/>
        <v>0</v>
      </c>
      <c r="Z31" s="30">
        <v>0</v>
      </c>
      <c r="AA31" s="14" t="s">
        <v>35</v>
      </c>
      <c r="AB31" s="27">
        <f t="shared" si="11"/>
        <v>-0.69</v>
      </c>
      <c r="AC31" s="28">
        <v>8.6102430555555567E-2</v>
      </c>
      <c r="AD31" s="25">
        <f t="shared" si="12"/>
        <v>-0.71292812500000002</v>
      </c>
      <c r="AE31" s="25">
        <v>-6.28</v>
      </c>
      <c r="AF31" s="25">
        <v>-12.775546</v>
      </c>
      <c r="AG31" s="25">
        <v>0</v>
      </c>
    </row>
    <row r="32" spans="1:33" ht="15.75" customHeight="1">
      <c r="A32" s="14" t="s">
        <v>60</v>
      </c>
      <c r="B32" s="14"/>
      <c r="C32" s="15">
        <f t="shared" si="4"/>
        <v>28.95</v>
      </c>
      <c r="D32" s="16">
        <v>4</v>
      </c>
      <c r="E32" s="16">
        <v>0</v>
      </c>
      <c r="F32" s="17">
        <v>115.8</v>
      </c>
      <c r="G32" s="17">
        <v>0</v>
      </c>
      <c r="H32" s="18">
        <f t="shared" si="1"/>
        <v>0</v>
      </c>
      <c r="I32" s="18">
        <f t="shared" si="2"/>
        <v>0.18767297567645358</v>
      </c>
      <c r="J32" s="17">
        <f t="shared" si="5"/>
        <v>21.732530583333325</v>
      </c>
      <c r="K32" s="17">
        <f t="shared" si="3"/>
        <v>5.4331326458333313</v>
      </c>
      <c r="L32" s="16">
        <v>22</v>
      </c>
      <c r="M32" s="19">
        <f t="shared" si="6"/>
        <v>0.18181818181818182</v>
      </c>
      <c r="N32" s="16">
        <v>67</v>
      </c>
      <c r="O32" s="20">
        <f t="shared" ref="O32:P32" si="40">D32/7</f>
        <v>0.5714285714285714</v>
      </c>
      <c r="P32" s="20">
        <f t="shared" si="40"/>
        <v>0</v>
      </c>
      <c r="Q32" s="16">
        <f t="shared" si="8"/>
        <v>117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1.731343283582089</v>
      </c>
      <c r="T32" s="14">
        <f ca="1">IFERROR(__xludf.DUMMYFUNCTION("IFERROR(VLOOKUP($B$2,IMPORTRANGE(""https://docs.google.com/spreadsheets/d/1KiWZV1ko8G7lnRucBRBd29jj3Be6ltMfljMDqzOkQmI/edit#gid=1381463014"",""Lookup!A:D""),4,FALSE),"""")"),318)</f>
        <v>318</v>
      </c>
      <c r="U32" s="22">
        <f ca="1">IFERROR(__xludf.DUMMYFUNCTION("IFERROR(VLOOKUP($B$2,IMPORTRANGE(""https://docs.google.com/spreadsheets/d/1KiWZV1ko8G7lnRucBRBd29jj3Be6ltMfljMDqzOkQmI/edit#gid=1381463014"",""Lookup!A:D""),3,FALSE),"""")"),84)</f>
        <v>84</v>
      </c>
      <c r="V32" s="23" t="str">
        <f ca="1">IFERROR(__xludf.DUMMYFUNCTION("IFERROR(VLOOKUP($B$2,IMPORTRANGE(""https://docs.google.com/spreadsheets/d/1KiWZV1ko8G7lnRucBRBd29jj3Be6ltMfljMDqzOkQmI/edit#gid=1381463014"",""Lookup!A:D""),2,FALSE),"""")"),"| 413  - 84 units 07/26")</f>
        <v>| 413  - 84 units 07/26</v>
      </c>
      <c r="W32" s="30">
        <v>0</v>
      </c>
      <c r="X32" s="24">
        <f t="shared" si="9"/>
        <v>0</v>
      </c>
      <c r="Y32" s="25">
        <f t="shared" si="10"/>
        <v>0</v>
      </c>
      <c r="Z32" s="30">
        <v>0</v>
      </c>
      <c r="AA32" s="14" t="s">
        <v>35</v>
      </c>
      <c r="AB32" s="27">
        <f t="shared" si="11"/>
        <v>-0.69</v>
      </c>
      <c r="AC32" s="28">
        <v>8.6102430555555567E-2</v>
      </c>
      <c r="AD32" s="25">
        <f t="shared" si="12"/>
        <v>-0.47528541666666668</v>
      </c>
      <c r="AE32" s="25">
        <v>-6.28</v>
      </c>
      <c r="AF32" s="25">
        <v>-12.775546</v>
      </c>
      <c r="AG32" s="25">
        <v>0</v>
      </c>
    </row>
    <row r="33" spans="1:33" ht="15.75" customHeight="1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16"/>
      <c r="S33" s="21"/>
      <c r="T33" s="31"/>
      <c r="U33" s="36"/>
      <c r="V33" s="1"/>
      <c r="W33" s="31"/>
      <c r="X33" s="31"/>
      <c r="Y33" s="31"/>
      <c r="Z33" s="31"/>
      <c r="AA33" s="2"/>
      <c r="AB33" s="31"/>
      <c r="AC33" s="31"/>
      <c r="AD33" s="31"/>
      <c r="AE33" s="37"/>
      <c r="AF33" s="37"/>
      <c r="AG33" s="37"/>
    </row>
    <row r="34" spans="1:33" ht="15.75" customHeight="1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6"/>
      <c r="V34" s="1"/>
      <c r="W34" s="31"/>
      <c r="X34" s="31"/>
      <c r="Y34" s="31"/>
      <c r="Z34" s="31"/>
      <c r="AA34" s="2"/>
      <c r="AB34" s="31"/>
      <c r="AC34" s="31"/>
      <c r="AD34" s="31"/>
      <c r="AE34" s="37"/>
      <c r="AF34" s="37"/>
      <c r="AG34" s="37"/>
    </row>
    <row r="35" spans="1:33" ht="15.75" customHeight="1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6"/>
      <c r="V35" s="1"/>
      <c r="W35" s="31"/>
      <c r="X35" s="31"/>
      <c r="Y35" s="31"/>
      <c r="Z35" s="31"/>
      <c r="AA35" s="2"/>
      <c r="AB35" s="31"/>
      <c r="AC35" s="31"/>
      <c r="AD35" s="31"/>
      <c r="AE35" s="37"/>
      <c r="AF35" s="37"/>
      <c r="AG35" s="37"/>
    </row>
    <row r="36" spans="1:33" ht="15.75" customHeight="1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6"/>
      <c r="V36" s="1"/>
      <c r="W36" s="31"/>
      <c r="X36" s="31"/>
      <c r="Y36" s="31"/>
      <c r="Z36" s="31"/>
      <c r="AA36" s="2"/>
      <c r="AB36" s="31"/>
      <c r="AC36" s="31"/>
      <c r="AD36" s="31"/>
      <c r="AE36" s="37"/>
      <c r="AF36" s="37"/>
      <c r="AG36" s="37"/>
    </row>
    <row r="37" spans="1:33" ht="15.75" customHeight="1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6"/>
      <c r="V37" s="1"/>
      <c r="W37" s="31"/>
      <c r="X37" s="31"/>
      <c r="Y37" s="31"/>
      <c r="Z37" s="31"/>
      <c r="AA37" s="2"/>
      <c r="AB37" s="31"/>
      <c r="AC37" s="31"/>
      <c r="AD37" s="31"/>
      <c r="AE37" s="37"/>
      <c r="AF37" s="37"/>
      <c r="AG37" s="37"/>
    </row>
    <row r="38" spans="1:33" ht="15.75" customHeight="1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6"/>
      <c r="V38" s="1"/>
      <c r="W38" s="31"/>
      <c r="X38" s="31"/>
      <c r="Y38" s="31"/>
      <c r="Z38" s="31"/>
      <c r="AA38" s="2"/>
      <c r="AB38" s="31"/>
      <c r="AC38" s="31"/>
      <c r="AD38" s="31"/>
      <c r="AE38" s="37"/>
      <c r="AF38" s="37"/>
      <c r="AG38" s="37"/>
    </row>
    <row r="39" spans="1:33" ht="15.75" customHeight="1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6"/>
      <c r="V39" s="1"/>
      <c r="W39" s="31"/>
      <c r="X39" s="31"/>
      <c r="Y39" s="31"/>
      <c r="Z39" s="31"/>
      <c r="AA39" s="2"/>
      <c r="AB39" s="31"/>
      <c r="AC39" s="31"/>
      <c r="AD39" s="31"/>
      <c r="AE39" s="37"/>
      <c r="AF39" s="37"/>
      <c r="AG39" s="37"/>
    </row>
    <row r="40" spans="1:33" ht="15.75" customHeight="1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6"/>
      <c r="V40" s="1"/>
      <c r="W40" s="31"/>
      <c r="X40" s="31"/>
      <c r="Y40" s="31"/>
      <c r="Z40" s="31"/>
      <c r="AA40" s="2"/>
      <c r="AB40" s="31"/>
      <c r="AC40" s="31"/>
      <c r="AD40" s="31"/>
      <c r="AE40" s="37"/>
      <c r="AF40" s="37"/>
      <c r="AG40" s="37"/>
    </row>
    <row r="41" spans="1:33" ht="15.75" customHeight="1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6"/>
      <c r="V41" s="1"/>
      <c r="W41" s="31"/>
      <c r="X41" s="31"/>
      <c r="Y41" s="31"/>
      <c r="Z41" s="31"/>
      <c r="AA41" s="2"/>
      <c r="AB41" s="31"/>
      <c r="AC41" s="31"/>
      <c r="AD41" s="31"/>
      <c r="AE41" s="37"/>
      <c r="AF41" s="37"/>
      <c r="AG41" s="37"/>
    </row>
    <row r="42" spans="1:33" ht="15.75" customHeight="1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6"/>
      <c r="V42" s="1"/>
      <c r="W42" s="31"/>
      <c r="X42" s="31"/>
      <c r="Y42" s="31"/>
      <c r="Z42" s="31"/>
      <c r="AA42" s="2"/>
      <c r="AB42" s="31"/>
      <c r="AC42" s="31"/>
      <c r="AD42" s="31"/>
      <c r="AE42" s="37"/>
      <c r="AF42" s="37"/>
      <c r="AG42" s="37"/>
    </row>
    <row r="43" spans="1:33" ht="15.75" customHeight="1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6"/>
      <c r="V43" s="1"/>
      <c r="W43" s="31"/>
      <c r="X43" s="31"/>
      <c r="Y43" s="31"/>
      <c r="Z43" s="31"/>
      <c r="AA43" s="2"/>
      <c r="AB43" s="31"/>
      <c r="AC43" s="31"/>
      <c r="AD43" s="31"/>
      <c r="AE43" s="37"/>
      <c r="AF43" s="37"/>
      <c r="AG43" s="37"/>
    </row>
    <row r="44" spans="1:33" ht="15.75" customHeight="1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6"/>
      <c r="V44" s="1"/>
      <c r="W44" s="31"/>
      <c r="X44" s="31"/>
      <c r="Y44" s="31"/>
      <c r="Z44" s="31"/>
      <c r="AA44" s="2"/>
      <c r="AB44" s="31"/>
      <c r="AC44" s="31"/>
      <c r="AD44" s="31"/>
      <c r="AE44" s="37"/>
      <c r="AF44" s="37"/>
      <c r="AG44" s="37"/>
    </row>
    <row r="45" spans="1:33" ht="15.75" customHeight="1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6"/>
      <c r="V45" s="1"/>
      <c r="W45" s="31"/>
      <c r="X45" s="31"/>
      <c r="Y45" s="31"/>
      <c r="Z45" s="31"/>
      <c r="AA45" s="2"/>
      <c r="AB45" s="31"/>
      <c r="AC45" s="31"/>
      <c r="AD45" s="31"/>
      <c r="AE45" s="37"/>
      <c r="AF45" s="37"/>
      <c r="AG45" s="37"/>
    </row>
    <row r="46" spans="1:33" ht="15.75" customHeight="1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6"/>
      <c r="V46" s="1"/>
      <c r="W46" s="31"/>
      <c r="X46" s="31"/>
      <c r="Y46" s="31"/>
      <c r="Z46" s="31"/>
      <c r="AA46" s="2"/>
      <c r="AB46" s="31"/>
      <c r="AC46" s="31"/>
      <c r="AD46" s="31"/>
      <c r="AE46" s="37"/>
      <c r="AF46" s="37"/>
      <c r="AG46" s="37"/>
    </row>
    <row r="47" spans="1:33" ht="15.75" customHeight="1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6"/>
      <c r="V47" s="1"/>
      <c r="W47" s="31"/>
      <c r="X47" s="31"/>
      <c r="Y47" s="31"/>
      <c r="Z47" s="31"/>
      <c r="AA47" s="2"/>
      <c r="AB47" s="31"/>
      <c r="AC47" s="31"/>
      <c r="AD47" s="31"/>
      <c r="AE47" s="37"/>
      <c r="AF47" s="37"/>
      <c r="AG47" s="37"/>
    </row>
    <row r="48" spans="1:33" ht="15.75" customHeight="1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6"/>
      <c r="V48" s="1"/>
      <c r="W48" s="31"/>
      <c r="X48" s="31"/>
      <c r="Y48" s="31"/>
      <c r="Z48" s="31"/>
      <c r="AA48" s="2"/>
      <c r="AB48" s="31"/>
      <c r="AC48" s="31"/>
      <c r="AD48" s="31"/>
      <c r="AE48" s="37"/>
      <c r="AF48" s="37"/>
      <c r="AG48" s="37"/>
    </row>
    <row r="49" spans="1:33" ht="15.75" customHeight="1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6"/>
      <c r="V49" s="1"/>
      <c r="W49" s="31"/>
      <c r="X49" s="31"/>
      <c r="Y49" s="31"/>
      <c r="Z49" s="31"/>
      <c r="AA49" s="2"/>
      <c r="AB49" s="31"/>
      <c r="AC49" s="31"/>
      <c r="AD49" s="31"/>
      <c r="AE49" s="37"/>
      <c r="AF49" s="37"/>
      <c r="AG49" s="37"/>
    </row>
    <row r="50" spans="1:33" ht="15.75" customHeight="1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6"/>
      <c r="V50" s="1"/>
      <c r="W50" s="31"/>
      <c r="X50" s="31"/>
      <c r="Y50" s="31"/>
      <c r="Z50" s="31"/>
      <c r="AA50" s="2"/>
      <c r="AB50" s="31"/>
      <c r="AC50" s="31"/>
      <c r="AD50" s="31"/>
      <c r="AE50" s="37"/>
      <c r="AF50" s="37"/>
      <c r="AG50" s="37"/>
    </row>
    <row r="51" spans="1:33" ht="15.75" customHeight="1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6"/>
      <c r="V51" s="1"/>
      <c r="W51" s="31"/>
      <c r="X51" s="31"/>
      <c r="Y51" s="31"/>
      <c r="Z51" s="31"/>
      <c r="AA51" s="2"/>
      <c r="AB51" s="31"/>
      <c r="AC51" s="31"/>
      <c r="AD51" s="31"/>
      <c r="AE51" s="37"/>
      <c r="AF51" s="37"/>
      <c r="AG51" s="37"/>
    </row>
    <row r="52" spans="1:33" ht="15.75" customHeight="1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6"/>
      <c r="V52" s="1"/>
      <c r="W52" s="31"/>
      <c r="X52" s="31"/>
      <c r="Y52" s="31"/>
      <c r="Z52" s="31"/>
      <c r="AA52" s="2"/>
      <c r="AB52" s="31"/>
      <c r="AC52" s="31"/>
      <c r="AD52" s="31"/>
      <c r="AE52" s="37"/>
      <c r="AF52" s="37"/>
      <c r="AG52" s="37"/>
    </row>
    <row r="53" spans="1:33" ht="15.75" customHeight="1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6"/>
      <c r="V53" s="1"/>
      <c r="W53" s="31"/>
      <c r="X53" s="31"/>
      <c r="Y53" s="31"/>
      <c r="Z53" s="31"/>
      <c r="AA53" s="2"/>
      <c r="AB53" s="31"/>
      <c r="AC53" s="31"/>
      <c r="AD53" s="31"/>
      <c r="AE53" s="37"/>
      <c r="AF53" s="37"/>
      <c r="AG53" s="37"/>
    </row>
    <row r="54" spans="1:33" ht="15.75" customHeight="1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6"/>
      <c r="V54" s="1"/>
      <c r="W54" s="31"/>
      <c r="X54" s="31"/>
      <c r="Y54" s="31"/>
      <c r="Z54" s="31"/>
      <c r="AA54" s="2"/>
      <c r="AB54" s="31"/>
      <c r="AC54" s="31"/>
      <c r="AD54" s="31"/>
      <c r="AE54" s="37"/>
      <c r="AF54" s="37"/>
      <c r="AG54" s="37"/>
    </row>
    <row r="55" spans="1:33" ht="15.75" customHeight="1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6"/>
      <c r="V55" s="1"/>
      <c r="W55" s="31"/>
      <c r="X55" s="31"/>
      <c r="Y55" s="31"/>
      <c r="Z55" s="31"/>
      <c r="AA55" s="2"/>
      <c r="AB55" s="31"/>
      <c r="AC55" s="31"/>
      <c r="AD55" s="31"/>
      <c r="AE55" s="37"/>
      <c r="AF55" s="37"/>
      <c r="AG55" s="37"/>
    </row>
    <row r="56" spans="1:33" ht="15.75" customHeight="1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6"/>
      <c r="V56" s="1"/>
      <c r="W56" s="31"/>
      <c r="X56" s="31"/>
      <c r="Y56" s="31"/>
      <c r="Z56" s="31"/>
      <c r="AA56" s="2"/>
      <c r="AB56" s="31"/>
      <c r="AC56" s="31"/>
      <c r="AD56" s="31"/>
      <c r="AE56" s="37"/>
      <c r="AF56" s="37"/>
      <c r="AG56" s="37"/>
    </row>
    <row r="57" spans="1:33" ht="15.75" customHeight="1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6"/>
      <c r="V57" s="1"/>
      <c r="W57" s="31"/>
      <c r="X57" s="31"/>
      <c r="Y57" s="31"/>
      <c r="Z57" s="31"/>
      <c r="AA57" s="2"/>
      <c r="AB57" s="31"/>
      <c r="AC57" s="31"/>
      <c r="AD57" s="31"/>
      <c r="AE57" s="37"/>
      <c r="AF57" s="37"/>
      <c r="AG57" s="37"/>
    </row>
    <row r="58" spans="1:33" ht="15.75" customHeight="1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6"/>
      <c r="V58" s="1"/>
      <c r="W58" s="31"/>
      <c r="X58" s="31"/>
      <c r="Y58" s="31"/>
      <c r="Z58" s="31"/>
      <c r="AA58" s="2"/>
      <c r="AB58" s="31"/>
      <c r="AC58" s="31"/>
      <c r="AD58" s="31"/>
      <c r="AE58" s="37"/>
      <c r="AF58" s="37"/>
      <c r="AG58" s="37"/>
    </row>
    <row r="59" spans="1:33" ht="15.75" customHeight="1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6"/>
      <c r="V59" s="1"/>
      <c r="W59" s="31"/>
      <c r="X59" s="31"/>
      <c r="Y59" s="31"/>
      <c r="Z59" s="31"/>
      <c r="AA59" s="2"/>
      <c r="AB59" s="31"/>
      <c r="AC59" s="31"/>
      <c r="AD59" s="31"/>
      <c r="AE59" s="37"/>
      <c r="AF59" s="37"/>
      <c r="AG59" s="37"/>
    </row>
    <row r="60" spans="1:33" ht="15.75" customHeight="1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6"/>
      <c r="V60" s="1"/>
      <c r="W60" s="31"/>
      <c r="X60" s="31"/>
      <c r="Y60" s="31"/>
      <c r="Z60" s="31"/>
      <c r="AA60" s="2"/>
      <c r="AB60" s="31"/>
      <c r="AC60" s="31"/>
      <c r="AD60" s="31"/>
      <c r="AE60" s="37"/>
      <c r="AF60" s="37"/>
      <c r="AG60" s="37"/>
    </row>
    <row r="61" spans="1:33" ht="15.75" customHeight="1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6"/>
      <c r="V61" s="1"/>
      <c r="W61" s="31"/>
      <c r="X61" s="31"/>
      <c r="Y61" s="31"/>
      <c r="Z61" s="31"/>
      <c r="AA61" s="2"/>
      <c r="AB61" s="31"/>
      <c r="AC61" s="31"/>
      <c r="AD61" s="31"/>
      <c r="AE61" s="37"/>
      <c r="AF61" s="37"/>
      <c r="AG61" s="37"/>
    </row>
    <row r="62" spans="1:33" ht="15.75" customHeight="1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6"/>
      <c r="V62" s="1"/>
      <c r="W62" s="31"/>
      <c r="X62" s="31"/>
      <c r="Y62" s="31"/>
      <c r="Z62" s="31"/>
      <c r="AA62" s="2"/>
      <c r="AB62" s="31"/>
      <c r="AC62" s="31"/>
      <c r="AD62" s="31"/>
      <c r="AE62" s="37"/>
      <c r="AF62" s="37"/>
      <c r="AG62" s="37"/>
    </row>
    <row r="63" spans="1:33" ht="15.75" customHeight="1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6"/>
      <c r="V63" s="1"/>
      <c r="W63" s="31"/>
      <c r="X63" s="31"/>
      <c r="Y63" s="31"/>
      <c r="Z63" s="31"/>
      <c r="AA63" s="2"/>
      <c r="AB63" s="31"/>
      <c r="AC63" s="31"/>
      <c r="AD63" s="31"/>
      <c r="AE63" s="37"/>
      <c r="AF63" s="37"/>
      <c r="AG63" s="37"/>
    </row>
    <row r="64" spans="1:33" ht="15.75" customHeight="1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6"/>
      <c r="V64" s="1"/>
      <c r="W64" s="31"/>
      <c r="X64" s="31"/>
      <c r="Y64" s="31"/>
      <c r="Z64" s="31"/>
      <c r="AA64" s="2"/>
      <c r="AB64" s="31"/>
      <c r="AC64" s="31"/>
      <c r="AD64" s="31"/>
      <c r="AE64" s="37"/>
      <c r="AF64" s="37"/>
      <c r="AG64" s="37"/>
    </row>
    <row r="65" spans="1:33" ht="15.75" customHeight="1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6"/>
      <c r="V65" s="1"/>
      <c r="W65" s="31"/>
      <c r="X65" s="31"/>
      <c r="Y65" s="31"/>
      <c r="Z65" s="31"/>
      <c r="AA65" s="2"/>
      <c r="AB65" s="31"/>
      <c r="AC65" s="31"/>
      <c r="AD65" s="31"/>
      <c r="AE65" s="37"/>
      <c r="AF65" s="37"/>
      <c r="AG65" s="37"/>
    </row>
    <row r="66" spans="1:33" ht="15.75" customHeight="1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6"/>
      <c r="V66" s="1"/>
      <c r="W66" s="31"/>
      <c r="X66" s="31"/>
      <c r="Y66" s="31"/>
      <c r="Z66" s="31"/>
      <c r="AA66" s="2"/>
      <c r="AB66" s="31"/>
      <c r="AC66" s="31"/>
      <c r="AD66" s="31"/>
      <c r="AE66" s="37"/>
      <c r="AF66" s="37"/>
      <c r="AG66" s="37"/>
    </row>
    <row r="67" spans="1:33" ht="15.75" customHeight="1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6"/>
      <c r="V67" s="1"/>
      <c r="W67" s="31"/>
      <c r="X67" s="31"/>
      <c r="Y67" s="31"/>
      <c r="Z67" s="31"/>
      <c r="AA67" s="2"/>
      <c r="AB67" s="31"/>
      <c r="AC67" s="31"/>
      <c r="AD67" s="31"/>
      <c r="AE67" s="37"/>
      <c r="AF67" s="37"/>
      <c r="AG67" s="37"/>
    </row>
    <row r="68" spans="1:33" ht="15.75" customHeight="1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6"/>
      <c r="V68" s="1"/>
      <c r="W68" s="31"/>
      <c r="X68" s="31"/>
      <c r="Y68" s="31"/>
      <c r="Z68" s="31"/>
      <c r="AA68" s="2"/>
      <c r="AB68" s="31"/>
      <c r="AC68" s="31"/>
      <c r="AD68" s="31"/>
      <c r="AE68" s="37"/>
      <c r="AF68" s="37"/>
      <c r="AG68" s="37"/>
    </row>
    <row r="69" spans="1:33" ht="15.75" customHeight="1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6"/>
      <c r="V69" s="1"/>
      <c r="W69" s="31"/>
      <c r="X69" s="31"/>
      <c r="Y69" s="31"/>
      <c r="Z69" s="31"/>
      <c r="AA69" s="2"/>
      <c r="AB69" s="31"/>
      <c r="AC69" s="31"/>
      <c r="AD69" s="31"/>
      <c r="AE69" s="37"/>
      <c r="AF69" s="37"/>
      <c r="AG69" s="37"/>
    </row>
    <row r="70" spans="1:33" ht="15.75" customHeight="1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6"/>
      <c r="V70" s="1"/>
      <c r="W70" s="31"/>
      <c r="X70" s="31"/>
      <c r="Y70" s="31"/>
      <c r="Z70" s="31"/>
      <c r="AA70" s="2"/>
      <c r="AB70" s="31"/>
      <c r="AC70" s="31"/>
      <c r="AD70" s="31"/>
      <c r="AE70" s="37"/>
      <c r="AF70" s="37"/>
      <c r="AG70" s="37"/>
    </row>
    <row r="71" spans="1:33" ht="15.75" customHeight="1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6"/>
      <c r="V71" s="1"/>
      <c r="W71" s="31"/>
      <c r="X71" s="31"/>
      <c r="Y71" s="31"/>
      <c r="Z71" s="31"/>
      <c r="AA71" s="2"/>
      <c r="AB71" s="31"/>
      <c r="AC71" s="31"/>
      <c r="AD71" s="31"/>
      <c r="AE71" s="37"/>
      <c r="AF71" s="37"/>
      <c r="AG71" s="37"/>
    </row>
    <row r="72" spans="1:33" ht="15.75" customHeight="1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6"/>
      <c r="V72" s="1"/>
      <c r="W72" s="31"/>
      <c r="X72" s="31"/>
      <c r="Y72" s="31"/>
      <c r="Z72" s="31"/>
      <c r="AA72" s="2"/>
      <c r="AB72" s="31"/>
      <c r="AC72" s="31"/>
      <c r="AD72" s="31"/>
      <c r="AE72" s="37"/>
      <c r="AF72" s="37"/>
      <c r="AG72" s="37"/>
    </row>
    <row r="73" spans="1:33" ht="15.75" customHeight="1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6"/>
      <c r="V73" s="1"/>
      <c r="W73" s="31"/>
      <c r="X73" s="31"/>
      <c r="Y73" s="31"/>
      <c r="Z73" s="31"/>
      <c r="AA73" s="2"/>
      <c r="AB73" s="31"/>
      <c r="AC73" s="31"/>
      <c r="AD73" s="31"/>
      <c r="AE73" s="37"/>
      <c r="AF73" s="37"/>
      <c r="AG73" s="37"/>
    </row>
    <row r="74" spans="1:33" ht="15.75" customHeight="1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6"/>
      <c r="V74" s="1"/>
      <c r="W74" s="31"/>
      <c r="X74" s="31"/>
      <c r="Y74" s="31"/>
      <c r="Z74" s="31"/>
      <c r="AA74" s="2"/>
      <c r="AB74" s="31"/>
      <c r="AC74" s="31"/>
      <c r="AD74" s="31"/>
      <c r="AE74" s="37"/>
      <c r="AF74" s="37"/>
      <c r="AG74" s="37"/>
    </row>
    <row r="75" spans="1:33" ht="15.75" customHeight="1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6"/>
      <c r="V75" s="1"/>
      <c r="W75" s="31"/>
      <c r="X75" s="31"/>
      <c r="Y75" s="31"/>
      <c r="Z75" s="31"/>
      <c r="AA75" s="2"/>
      <c r="AB75" s="31"/>
      <c r="AC75" s="31"/>
      <c r="AD75" s="31"/>
      <c r="AE75" s="37"/>
      <c r="AF75" s="37"/>
      <c r="AG75" s="37"/>
    </row>
    <row r="76" spans="1:33" ht="15.75" customHeight="1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6"/>
      <c r="V76" s="1"/>
      <c r="W76" s="31"/>
      <c r="X76" s="31"/>
      <c r="Y76" s="31"/>
      <c r="Z76" s="31"/>
      <c r="AA76" s="2"/>
      <c r="AB76" s="31"/>
      <c r="AC76" s="31"/>
      <c r="AD76" s="31"/>
      <c r="AE76" s="37"/>
      <c r="AF76" s="37"/>
      <c r="AG76" s="37"/>
    </row>
    <row r="77" spans="1:33" ht="15.75" customHeight="1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6"/>
      <c r="V77" s="1"/>
      <c r="W77" s="31"/>
      <c r="X77" s="31"/>
      <c r="Y77" s="31"/>
      <c r="Z77" s="31"/>
      <c r="AA77" s="2"/>
      <c r="AB77" s="31"/>
      <c r="AC77" s="31"/>
      <c r="AD77" s="31"/>
      <c r="AE77" s="37"/>
      <c r="AF77" s="37"/>
      <c r="AG77" s="37"/>
    </row>
    <row r="78" spans="1:33" ht="15.75" customHeight="1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6"/>
      <c r="V78" s="1"/>
      <c r="W78" s="31"/>
      <c r="X78" s="31"/>
      <c r="Y78" s="31"/>
      <c r="Z78" s="31"/>
      <c r="AA78" s="2"/>
      <c r="AB78" s="31"/>
      <c r="AC78" s="31"/>
      <c r="AD78" s="31"/>
      <c r="AE78" s="37"/>
      <c r="AF78" s="37"/>
      <c r="AG78" s="37"/>
    </row>
    <row r="79" spans="1:33" ht="15.75" customHeight="1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6"/>
      <c r="V79" s="1"/>
      <c r="W79" s="31"/>
      <c r="X79" s="31"/>
      <c r="Y79" s="31"/>
      <c r="Z79" s="31"/>
      <c r="AA79" s="2"/>
      <c r="AB79" s="31"/>
      <c r="AC79" s="31"/>
      <c r="AD79" s="31"/>
      <c r="AE79" s="37"/>
      <c r="AF79" s="37"/>
      <c r="AG79" s="37"/>
    </row>
    <row r="80" spans="1:33" ht="15.75" customHeight="1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6"/>
      <c r="V80" s="1"/>
      <c r="W80" s="31"/>
      <c r="X80" s="31"/>
      <c r="Y80" s="31"/>
      <c r="Z80" s="31"/>
      <c r="AA80" s="2"/>
      <c r="AB80" s="31"/>
      <c r="AC80" s="31"/>
      <c r="AD80" s="31"/>
      <c r="AE80" s="37"/>
      <c r="AF80" s="37"/>
      <c r="AG80" s="37"/>
    </row>
    <row r="81" spans="1:33" ht="15.75" customHeight="1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6"/>
      <c r="V81" s="1"/>
      <c r="W81" s="31"/>
      <c r="X81" s="31"/>
      <c r="Y81" s="31"/>
      <c r="Z81" s="31"/>
      <c r="AA81" s="2"/>
      <c r="AB81" s="31"/>
      <c r="AC81" s="31"/>
      <c r="AD81" s="31"/>
      <c r="AE81" s="37"/>
      <c r="AF81" s="37"/>
      <c r="AG81" s="37"/>
    </row>
    <row r="82" spans="1:33" ht="15.75" customHeight="1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6"/>
      <c r="V82" s="1"/>
      <c r="W82" s="31"/>
      <c r="X82" s="31"/>
      <c r="Y82" s="31"/>
      <c r="Z82" s="31"/>
      <c r="AA82" s="2"/>
      <c r="AB82" s="31"/>
      <c r="AC82" s="31"/>
      <c r="AD82" s="31"/>
      <c r="AE82" s="37"/>
      <c r="AF82" s="37"/>
      <c r="AG82" s="37"/>
    </row>
    <row r="83" spans="1:33" ht="15.75" customHeight="1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6"/>
      <c r="V83" s="1"/>
      <c r="W83" s="31"/>
      <c r="X83" s="31"/>
      <c r="Y83" s="31"/>
      <c r="Z83" s="31"/>
      <c r="AA83" s="2"/>
      <c r="AB83" s="31"/>
      <c r="AC83" s="31"/>
      <c r="AD83" s="31"/>
      <c r="AE83" s="37"/>
      <c r="AF83" s="37"/>
      <c r="AG83" s="37"/>
    </row>
    <row r="84" spans="1:33" ht="15.75" customHeight="1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6"/>
      <c r="V84" s="1"/>
      <c r="W84" s="31"/>
      <c r="X84" s="31"/>
      <c r="Y84" s="31"/>
      <c r="Z84" s="31"/>
      <c r="AA84" s="2"/>
      <c r="AB84" s="31"/>
      <c r="AC84" s="31"/>
      <c r="AD84" s="31"/>
      <c r="AE84" s="37"/>
      <c r="AF84" s="37"/>
      <c r="AG84" s="37"/>
    </row>
    <row r="85" spans="1:33" ht="15.75" customHeight="1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6"/>
      <c r="V85" s="1"/>
      <c r="W85" s="31"/>
      <c r="X85" s="31"/>
      <c r="Y85" s="31"/>
      <c r="Z85" s="31"/>
      <c r="AA85" s="2"/>
      <c r="AB85" s="31"/>
      <c r="AC85" s="31"/>
      <c r="AD85" s="31"/>
      <c r="AE85" s="37"/>
      <c r="AF85" s="37"/>
      <c r="AG85" s="37"/>
    </row>
    <row r="86" spans="1:33" ht="15.75" customHeight="1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6"/>
      <c r="V86" s="1"/>
      <c r="W86" s="31"/>
      <c r="X86" s="31"/>
      <c r="Y86" s="31"/>
      <c r="Z86" s="31"/>
      <c r="AA86" s="2"/>
      <c r="AB86" s="31"/>
      <c r="AC86" s="31"/>
      <c r="AD86" s="31"/>
      <c r="AE86" s="37"/>
      <c r="AF86" s="37"/>
      <c r="AG86" s="37"/>
    </row>
    <row r="87" spans="1:33" ht="15.75" customHeight="1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6"/>
      <c r="V87" s="1"/>
      <c r="W87" s="31"/>
      <c r="X87" s="31"/>
      <c r="Y87" s="31"/>
      <c r="Z87" s="31"/>
      <c r="AA87" s="2"/>
      <c r="AB87" s="31"/>
      <c r="AC87" s="31"/>
      <c r="AD87" s="31"/>
      <c r="AE87" s="37"/>
      <c r="AF87" s="37"/>
      <c r="AG87" s="37"/>
    </row>
    <row r="88" spans="1:33" ht="15.75" customHeight="1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6"/>
      <c r="V88" s="1"/>
      <c r="W88" s="31"/>
      <c r="X88" s="31"/>
      <c r="Y88" s="31"/>
      <c r="Z88" s="31"/>
      <c r="AA88" s="2"/>
      <c r="AB88" s="31"/>
      <c r="AC88" s="31"/>
      <c r="AD88" s="31"/>
      <c r="AE88" s="37"/>
      <c r="AF88" s="37"/>
      <c r="AG88" s="37"/>
    </row>
    <row r="89" spans="1:33" ht="15.75" customHeight="1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6"/>
      <c r="V89" s="1"/>
      <c r="W89" s="31"/>
      <c r="X89" s="31"/>
      <c r="Y89" s="31"/>
      <c r="Z89" s="31"/>
      <c r="AA89" s="2"/>
      <c r="AB89" s="31"/>
      <c r="AC89" s="31"/>
      <c r="AD89" s="31"/>
      <c r="AE89" s="37"/>
      <c r="AF89" s="37"/>
      <c r="AG89" s="37"/>
    </row>
    <row r="90" spans="1:33" ht="15.75" customHeight="1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6"/>
      <c r="V90" s="1"/>
      <c r="W90" s="31"/>
      <c r="X90" s="31"/>
      <c r="Y90" s="31"/>
      <c r="Z90" s="31"/>
      <c r="AA90" s="2"/>
      <c r="AB90" s="31"/>
      <c r="AC90" s="31"/>
      <c r="AD90" s="31"/>
      <c r="AE90" s="37"/>
      <c r="AF90" s="37"/>
      <c r="AG90" s="37"/>
    </row>
    <row r="91" spans="1:33" ht="15.75" customHeight="1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6"/>
      <c r="V91" s="1"/>
      <c r="W91" s="31"/>
      <c r="X91" s="31"/>
      <c r="Y91" s="31"/>
      <c r="Z91" s="31"/>
      <c r="AA91" s="2"/>
      <c r="AB91" s="31"/>
      <c r="AC91" s="31"/>
      <c r="AD91" s="31"/>
      <c r="AE91" s="37"/>
      <c r="AF91" s="37"/>
      <c r="AG91" s="37"/>
    </row>
    <row r="92" spans="1:33" ht="15.75" customHeight="1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6"/>
      <c r="V92" s="1"/>
      <c r="W92" s="31"/>
      <c r="X92" s="31"/>
      <c r="Y92" s="31"/>
      <c r="Z92" s="31"/>
      <c r="AA92" s="2"/>
      <c r="AB92" s="31"/>
      <c r="AC92" s="31"/>
      <c r="AD92" s="31"/>
      <c r="AE92" s="37"/>
      <c r="AF92" s="37"/>
      <c r="AG92" s="37"/>
    </row>
    <row r="93" spans="1:33" ht="15.75" customHeight="1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6"/>
      <c r="V93" s="1"/>
      <c r="W93" s="31"/>
      <c r="X93" s="31"/>
      <c r="Y93" s="31"/>
      <c r="Z93" s="31"/>
      <c r="AA93" s="2"/>
      <c r="AB93" s="31"/>
      <c r="AC93" s="31"/>
      <c r="AD93" s="31"/>
      <c r="AE93" s="37"/>
      <c r="AF93" s="37"/>
      <c r="AG93" s="37"/>
    </row>
    <row r="94" spans="1:33" ht="15.75" customHeight="1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6"/>
      <c r="V94" s="1"/>
      <c r="W94" s="31"/>
      <c r="X94" s="31"/>
      <c r="Y94" s="31"/>
      <c r="Z94" s="31"/>
      <c r="AA94" s="2"/>
      <c r="AB94" s="31"/>
      <c r="AC94" s="31"/>
      <c r="AD94" s="31"/>
      <c r="AE94" s="37"/>
      <c r="AF94" s="37"/>
      <c r="AG94" s="37"/>
    </row>
    <row r="95" spans="1:33" ht="15.75" customHeight="1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6"/>
      <c r="V95" s="1"/>
      <c r="W95" s="31"/>
      <c r="X95" s="31"/>
      <c r="Y95" s="31"/>
      <c r="Z95" s="31"/>
      <c r="AA95" s="2"/>
      <c r="AB95" s="31"/>
      <c r="AC95" s="31"/>
      <c r="AD95" s="31"/>
      <c r="AE95" s="37"/>
      <c r="AF95" s="37"/>
      <c r="AG95" s="37"/>
    </row>
    <row r="96" spans="1:33" ht="15.75" customHeight="1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6"/>
      <c r="V96" s="1"/>
      <c r="W96" s="31"/>
      <c r="X96" s="31"/>
      <c r="Y96" s="31"/>
      <c r="Z96" s="31"/>
      <c r="AA96" s="2"/>
      <c r="AB96" s="31"/>
      <c r="AC96" s="31"/>
      <c r="AD96" s="31"/>
      <c r="AE96" s="37"/>
      <c r="AF96" s="37"/>
      <c r="AG96" s="37"/>
    </row>
    <row r="97" spans="1:33" ht="15.75" customHeight="1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8"/>
      <c r="R97" s="38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8"/>
      <c r="R98" s="38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8"/>
      <c r="R99" s="38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8"/>
      <c r="R100" s="38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8"/>
      <c r="R101" s="38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8"/>
      <c r="R102" s="38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8"/>
      <c r="R103" s="38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8"/>
      <c r="R104" s="38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8"/>
      <c r="R105" s="38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8"/>
      <c r="R106" s="38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8"/>
      <c r="R107" s="38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8"/>
      <c r="R108" s="38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8"/>
      <c r="R109" s="38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8"/>
      <c r="R110" s="38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8"/>
      <c r="R111" s="38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8"/>
      <c r="R112" s="38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8"/>
      <c r="R113" s="38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8"/>
      <c r="R114" s="38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>
      <c r="A115" s="31"/>
      <c r="B115" s="31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>
      <c r="A116" s="31"/>
      <c r="B116" s="31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>
      <c r="A117" s="31"/>
      <c r="B117" s="31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>
      <c r="A118" s="31"/>
      <c r="B118" s="31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>
      <c r="A119" s="31"/>
      <c r="B119" s="31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>
      <c r="A120" s="31"/>
      <c r="B120" s="31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>
      <c r="A121" s="31"/>
      <c r="B121" s="31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>
      <c r="A122" s="31"/>
      <c r="B122" s="31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>
      <c r="A123" s="31"/>
      <c r="B123" s="31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>
      <c r="A124" s="31"/>
      <c r="B124" s="31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>
      <c r="A125" s="31"/>
      <c r="B125" s="31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>
      <c r="A126" s="31"/>
      <c r="B126" s="31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>
      <c r="A127" s="31"/>
      <c r="B127" s="31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>
      <c r="A128" s="31"/>
      <c r="B128" s="31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>
      <c r="A129" s="31"/>
      <c r="B129" s="31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>
      <c r="A130" s="31"/>
      <c r="B130" s="31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>
      <c r="A131" s="31"/>
      <c r="B131" s="31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>
      <c r="A132" s="31"/>
      <c r="B132" s="31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>
      <c r="A133" s="31"/>
      <c r="B133" s="31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>
      <c r="A134" s="31"/>
      <c r="B134" s="31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>
      <c r="A135" s="31"/>
      <c r="B135" s="31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>
      <c r="A136" s="31"/>
      <c r="B136" s="31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>
      <c r="A137" s="31"/>
      <c r="B137" s="31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>
      <c r="A138" s="31"/>
      <c r="B138" s="31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>
      <c r="A139" s="31"/>
      <c r="B139" s="31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>
      <c r="A140" s="31"/>
      <c r="B140" s="31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>
      <c r="A141" s="31"/>
      <c r="B141" s="31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2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>
      <c r="A142" s="31"/>
      <c r="B142" s="31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2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>
      <c r="A143" s="31"/>
      <c r="B143" s="31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2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>
      <c r="A144" s="31"/>
      <c r="B144" s="31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2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>
      <c r="A145" s="31"/>
      <c r="B145" s="31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2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>
      <c r="A146" s="31"/>
      <c r="B146" s="31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2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>
      <c r="A147" s="31"/>
      <c r="B147" s="31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2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>
      <c r="A148" s="31"/>
      <c r="B148" s="31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2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</row>
    <row r="149" spans="1:33" ht="15.75" customHeight="1">
      <c r="A149" s="14"/>
      <c r="B149" s="14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>
      <c r="A150" s="14"/>
      <c r="B150" s="14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>
      <c r="A151" s="14"/>
      <c r="B151" s="14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>
      <c r="A152" s="14"/>
      <c r="B152" s="14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>
      <c r="A153" s="14"/>
      <c r="B153" s="14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>
      <c r="A154" s="14"/>
      <c r="B154" s="14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>
      <c r="A155" s="14"/>
      <c r="B155" s="14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>
      <c r="A156" s="14"/>
      <c r="B156" s="14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>
      <c r="A157" s="14"/>
      <c r="B157" s="14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>
      <c r="A158" s="14"/>
      <c r="B158" s="14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>
      <c r="A159" s="14"/>
      <c r="B159" s="14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>
      <c r="A160" s="14"/>
      <c r="B160" s="14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>
      <c r="A161" s="14"/>
      <c r="B161" s="14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>
      <c r="A162" s="14"/>
      <c r="B162" s="14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>
      <c r="A163" s="14"/>
      <c r="B163" s="14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>
      <c r="A164" s="14"/>
      <c r="B164" s="14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>
      <c r="A165" s="14"/>
      <c r="B165" s="14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>
      <c r="A166" s="14"/>
      <c r="B166" s="14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>
      <c r="A167" s="14"/>
      <c r="B167" s="14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>
      <c r="A168" s="14"/>
      <c r="B168" s="14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>
      <c r="A169" s="14"/>
      <c r="B169" s="14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>
      <c r="A170" s="14"/>
      <c r="B170" s="14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>
      <c r="A171" s="14"/>
      <c r="B171" s="14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>
      <c r="A172" s="14"/>
      <c r="B172" s="14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>
      <c r="A173" s="14"/>
      <c r="B173" s="14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>
      <c r="A174" s="14"/>
      <c r="B174" s="14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>
      <c r="A175" s="14"/>
      <c r="B175" s="14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>
      <c r="A176" s="14"/>
      <c r="B176" s="14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>
      <c r="A177" s="14"/>
      <c r="B177" s="14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>
      <c r="A178" s="14"/>
      <c r="B178" s="14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>
      <c r="A179" s="14"/>
      <c r="B179" s="14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>
      <c r="A180" s="14"/>
      <c r="B180" s="14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>
      <c r="A181" s="14"/>
      <c r="B181" s="14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>
      <c r="A182" s="14"/>
      <c r="B182" s="14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>
      <c r="A183" s="14"/>
      <c r="B183" s="14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>
      <c r="A184" s="14"/>
      <c r="B184" s="14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>
      <c r="A185" s="14"/>
      <c r="B185" s="14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>
      <c r="A186" s="14"/>
      <c r="B186" s="14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>
      <c r="A187" s="14"/>
      <c r="B187" s="14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>
      <c r="A188" s="14"/>
      <c r="B188" s="14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>
      <c r="A189" s="14"/>
      <c r="B189" s="14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>
      <c r="A190" s="14"/>
      <c r="B190" s="14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>
      <c r="A191" s="14"/>
      <c r="B191" s="14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>
      <c r="A192" s="14"/>
      <c r="B192" s="14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>
      <c r="A193" s="14"/>
      <c r="B193" s="14"/>
      <c r="C193" s="39"/>
      <c r="D193" s="39"/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>
      <c r="A194" s="14"/>
      <c r="B194" s="14"/>
      <c r="C194" s="39"/>
      <c r="D194" s="39"/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>
      <c r="A195" s="14"/>
      <c r="B195" s="14"/>
      <c r="C195" s="39"/>
      <c r="D195" s="39"/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>
      <c r="A196" s="14"/>
      <c r="B196" s="14"/>
      <c r="C196" s="39"/>
      <c r="D196" s="39"/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>
      <c r="A197" s="14"/>
      <c r="B197" s="14"/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>
      <c r="A198" s="14"/>
      <c r="B198" s="14"/>
      <c r="C198" s="39"/>
      <c r="D198" s="39"/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>
      <c r="A199" s="14"/>
      <c r="B199" s="14"/>
      <c r="C199" s="39"/>
      <c r="D199" s="39"/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>
      <c r="A200" s="14"/>
      <c r="B200" s="14"/>
      <c r="C200" s="39"/>
      <c r="D200" s="39"/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>
      <c r="A201" s="14"/>
      <c r="B201" s="14"/>
      <c r="C201" s="39"/>
      <c r="D201" s="39"/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>
      <c r="A202" s="14"/>
      <c r="B202" s="14"/>
      <c r="C202" s="39"/>
      <c r="D202" s="39"/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>
      <c r="A203" s="14"/>
      <c r="B203" s="14"/>
      <c r="C203" s="39"/>
      <c r="D203" s="39"/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>
      <c r="A204" s="14"/>
      <c r="B204" s="14"/>
      <c r="C204" s="39"/>
      <c r="D204" s="39"/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>
      <c r="A205" s="14"/>
      <c r="B205" s="14"/>
      <c r="C205" s="39"/>
      <c r="D205" s="39"/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>
      <c r="A206" s="14"/>
      <c r="B206" s="14"/>
      <c r="C206" s="39"/>
      <c r="D206" s="39"/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>
      <c r="A207" s="14"/>
      <c r="B207" s="14"/>
      <c r="C207" s="39"/>
      <c r="D207" s="39"/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>
      <c r="A208" s="14"/>
      <c r="B208" s="14"/>
      <c r="C208" s="39"/>
      <c r="D208" s="39"/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>
      <c r="A209" s="14"/>
      <c r="B209" s="14"/>
      <c r="C209" s="39"/>
      <c r="D209" s="39"/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>
      <c r="A210" s="14"/>
      <c r="B210" s="14"/>
      <c r="C210" s="39"/>
      <c r="D210" s="39"/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>
      <c r="A211" s="14"/>
      <c r="B211" s="14"/>
      <c r="C211" s="39"/>
      <c r="D211" s="39"/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>
      <c r="A212" s="14"/>
      <c r="B212" s="14"/>
      <c r="C212" s="39"/>
      <c r="D212" s="39"/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>
      <c r="A213" s="14"/>
      <c r="B213" s="14"/>
      <c r="C213" s="39"/>
      <c r="D213" s="39"/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>
      <c r="A214" s="14"/>
      <c r="B214" s="14"/>
      <c r="C214" s="39"/>
      <c r="D214" s="39"/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>
      <c r="A215" s="14"/>
      <c r="B215" s="14"/>
      <c r="C215" s="39"/>
      <c r="D215" s="39"/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>
      <c r="A216" s="14"/>
      <c r="B216" s="14"/>
      <c r="C216" s="39"/>
      <c r="D216" s="39"/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>
      <c r="A217" s="14"/>
      <c r="B217" s="14"/>
      <c r="C217" s="39"/>
      <c r="D217" s="39"/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>
      <c r="A218" s="14"/>
      <c r="B218" s="14"/>
      <c r="C218" s="39"/>
      <c r="D218" s="39"/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>
      <c r="A219" s="14"/>
      <c r="B219" s="14"/>
      <c r="C219" s="39"/>
      <c r="D219" s="39"/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>
      <c r="A220" s="14"/>
      <c r="B220" s="14"/>
      <c r="C220" s="39"/>
      <c r="D220" s="39"/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>
      <c r="R221" s="30"/>
      <c r="S221" s="40"/>
    </row>
    <row r="222" spans="1:33" ht="15.75" customHeight="1">
      <c r="R222" s="30"/>
      <c r="S222" s="40"/>
    </row>
    <row r="223" spans="1:33" ht="15.75" customHeight="1">
      <c r="R223" s="30"/>
      <c r="S223" s="40"/>
    </row>
    <row r="224" spans="1:33" ht="15.75" customHeight="1">
      <c r="R224" s="30"/>
      <c r="S224" s="40"/>
    </row>
    <row r="225" spans="18:18" ht="15.75" customHeight="1">
      <c r="R225" s="30"/>
    </row>
    <row r="226" spans="18:18" ht="15.75" customHeight="1">
      <c r="R226" s="30"/>
    </row>
    <row r="227" spans="18:18" ht="15.75" customHeight="1">
      <c r="R227" s="30"/>
    </row>
    <row r="228" spans="18:18" ht="15.75" customHeight="1">
      <c r="R228" s="30"/>
    </row>
    <row r="229" spans="18:18" ht="15.75" customHeight="1">
      <c r="R229" s="30"/>
    </row>
    <row r="230" spans="18:18" ht="15.75" customHeight="1">
      <c r="R230" s="30"/>
    </row>
    <row r="231" spans="18:18" ht="15.75" customHeight="1">
      <c r="R231" s="30"/>
    </row>
    <row r="232" spans="18:18" ht="15.75" customHeight="1">
      <c r="R232" s="30"/>
    </row>
    <row r="233" spans="18:18" ht="15.75" customHeight="1">
      <c r="R233" s="30"/>
    </row>
    <row r="234" spans="18:18" ht="15.75" customHeight="1">
      <c r="R234" s="30"/>
    </row>
    <row r="235" spans="18:18" ht="15.75" customHeight="1">
      <c r="R235" s="30"/>
    </row>
    <row r="236" spans="18:18" ht="15.75" customHeight="1">
      <c r="R236" s="30"/>
    </row>
    <row r="237" spans="18:18" ht="15.75" customHeight="1">
      <c r="R237" s="30"/>
    </row>
    <row r="238" spans="18:18" ht="15.75" customHeight="1">
      <c r="R238" s="30"/>
    </row>
    <row r="239" spans="18:18" ht="15.75" customHeight="1">
      <c r="R239" s="30"/>
    </row>
    <row r="240" spans="18:18" ht="15.75" customHeight="1">
      <c r="R240" s="30"/>
    </row>
    <row r="241" spans="18:18" ht="15.75" customHeight="1">
      <c r="R241" s="30"/>
    </row>
    <row r="242" spans="18:18" ht="15.75" customHeight="1">
      <c r="R242" s="30"/>
    </row>
    <row r="243" spans="18:18" ht="15.75" customHeight="1">
      <c r="R243" s="30"/>
    </row>
    <row r="244" spans="18:18" ht="15.75" customHeight="1">
      <c r="R244" s="30"/>
    </row>
    <row r="245" spans="18:18" ht="15.75" customHeight="1">
      <c r="R245" s="30"/>
    </row>
    <row r="246" spans="18:18" ht="15.75" customHeight="1">
      <c r="R246" s="30"/>
    </row>
    <row r="247" spans="18:18" ht="15.75" customHeight="1">
      <c r="R247" s="30"/>
    </row>
    <row r="248" spans="18:18" ht="15.75" customHeight="1">
      <c r="R248" s="30"/>
    </row>
    <row r="249" spans="18:18" ht="15.75" customHeight="1">
      <c r="R249" s="30"/>
    </row>
    <row r="250" spans="18:18" ht="15.75" customHeight="1">
      <c r="R250" s="30"/>
    </row>
    <row r="251" spans="18:18" ht="15.75" customHeight="1">
      <c r="R251" s="30"/>
    </row>
    <row r="252" spans="18:18" ht="15.75" customHeight="1">
      <c r="R252" s="30"/>
    </row>
    <row r="253" spans="18:18" ht="15.75" customHeight="1">
      <c r="R253" s="30"/>
    </row>
    <row r="254" spans="18:18" ht="15.75" customHeight="1">
      <c r="R254" s="30"/>
    </row>
    <row r="255" spans="18:18" ht="15.75" customHeight="1">
      <c r="R255" s="30"/>
    </row>
    <row r="256" spans="18:18" ht="15.75" customHeight="1">
      <c r="R256" s="30"/>
    </row>
    <row r="257" spans="18:18" ht="15.75" customHeight="1">
      <c r="R257" s="30"/>
    </row>
    <row r="258" spans="18:18" ht="15.75" customHeight="1">
      <c r="R258" s="30"/>
    </row>
    <row r="259" spans="18:18" ht="15.75" customHeight="1">
      <c r="R259" s="30"/>
    </row>
    <row r="260" spans="18:18" ht="15.75" customHeight="1">
      <c r="R260" s="30"/>
    </row>
    <row r="261" spans="18:18" ht="15.75" customHeight="1">
      <c r="R261" s="30"/>
    </row>
    <row r="262" spans="18:18" ht="15.75" customHeight="1">
      <c r="R262" s="30"/>
    </row>
    <row r="263" spans="18:18" ht="15.75" customHeight="1">
      <c r="R263" s="30"/>
    </row>
    <row r="264" spans="18:18" ht="15.75" customHeight="1">
      <c r="R264" s="30"/>
    </row>
    <row r="265" spans="18:18" ht="15.75" customHeight="1">
      <c r="R265" s="30"/>
    </row>
    <row r="266" spans="18:18" ht="15.75" customHeight="1">
      <c r="R266" s="30"/>
    </row>
    <row r="267" spans="18:18" ht="15.75" customHeight="1">
      <c r="R267" s="30"/>
    </row>
    <row r="268" spans="18:18" ht="15.75" customHeight="1">
      <c r="R268" s="30"/>
    </row>
    <row r="269" spans="18:18" ht="15.75" customHeight="1">
      <c r="R269" s="30"/>
    </row>
    <row r="270" spans="18:18" ht="15.75" customHeight="1">
      <c r="R270" s="30"/>
    </row>
    <row r="271" spans="18:18" ht="15.75" customHeight="1">
      <c r="R271" s="30"/>
    </row>
    <row r="272" spans="18:18" ht="15.75" customHeight="1">
      <c r="R272" s="30"/>
    </row>
    <row r="273" spans="18:18" ht="15.75" customHeight="1">
      <c r="R273" s="30"/>
    </row>
    <row r="274" spans="18:18" ht="15.75" customHeight="1">
      <c r="R274" s="30"/>
    </row>
    <row r="275" spans="18:18" ht="15.75" customHeight="1">
      <c r="R275" s="30"/>
    </row>
    <row r="276" spans="18:18" ht="15.75" customHeight="1">
      <c r="R276" s="30"/>
    </row>
    <row r="277" spans="18:18" ht="15.75" customHeight="1">
      <c r="R277" s="30"/>
    </row>
    <row r="278" spans="18:18" ht="15.75" customHeight="1">
      <c r="R278" s="30"/>
    </row>
    <row r="279" spans="18:18" ht="15.75" customHeight="1">
      <c r="R279" s="30"/>
    </row>
    <row r="280" spans="18:18" ht="15.75" customHeight="1">
      <c r="R280" s="30"/>
    </row>
    <row r="281" spans="18:18" ht="15.75" customHeight="1">
      <c r="R281" s="30"/>
    </row>
    <row r="282" spans="18:18" ht="15.75" customHeight="1">
      <c r="R282" s="30"/>
    </row>
    <row r="283" spans="18:18" ht="15.75" customHeight="1">
      <c r="R283" s="30"/>
    </row>
    <row r="284" spans="18:18" ht="15.75" customHeight="1">
      <c r="R284" s="30"/>
    </row>
    <row r="285" spans="18:18" ht="15.75" customHeight="1">
      <c r="R285" s="30"/>
    </row>
    <row r="286" spans="18:18" ht="15.75" customHeight="1">
      <c r="R286" s="30"/>
    </row>
    <row r="287" spans="18:18" ht="15.75" customHeight="1">
      <c r="R287" s="30"/>
    </row>
    <row r="288" spans="18:18" ht="15.75" customHeight="1">
      <c r="R288" s="30"/>
    </row>
    <row r="289" spans="18:18" ht="15.75" customHeight="1">
      <c r="R289" s="30"/>
    </row>
    <row r="290" spans="18:18" ht="15.75" customHeight="1">
      <c r="R290" s="30"/>
    </row>
    <row r="291" spans="18:18" ht="15.75" customHeight="1">
      <c r="R291" s="30"/>
    </row>
    <row r="292" spans="18:18" ht="15.75" customHeight="1">
      <c r="R292" s="30"/>
    </row>
    <row r="293" spans="18:18" ht="15.75" customHeight="1">
      <c r="R293" s="30"/>
    </row>
    <row r="294" spans="18:18" ht="15.75" customHeight="1">
      <c r="R294" s="30"/>
    </row>
    <row r="295" spans="18:18" ht="15.75" customHeight="1">
      <c r="R295" s="30"/>
    </row>
    <row r="296" spans="18:18" ht="15.75" customHeight="1">
      <c r="R296" s="30"/>
    </row>
    <row r="297" spans="18:18" ht="15.75" customHeight="1">
      <c r="R297" s="30"/>
    </row>
    <row r="298" spans="18:18" ht="15.75" customHeight="1">
      <c r="R298" s="30"/>
    </row>
    <row r="299" spans="18:18" ht="15.75" customHeight="1">
      <c r="R299" s="30"/>
    </row>
    <row r="300" spans="18:18" ht="15.75" customHeight="1">
      <c r="R300" s="30"/>
    </row>
    <row r="301" spans="18:18" ht="15.75" customHeight="1">
      <c r="R301" s="30"/>
    </row>
    <row r="302" spans="18:18" ht="15.75" customHeight="1">
      <c r="R302" s="30"/>
    </row>
    <row r="303" spans="18:18" ht="15.75" customHeight="1">
      <c r="R303" s="30"/>
    </row>
    <row r="304" spans="18:18" ht="15.75" customHeight="1">
      <c r="R304" s="30"/>
    </row>
    <row r="305" spans="18:18" ht="15.75" customHeight="1">
      <c r="R305" s="30"/>
    </row>
    <row r="306" spans="18:18" ht="15.75" customHeight="1">
      <c r="R306" s="30"/>
    </row>
    <row r="307" spans="18:18" ht="15.75" customHeight="1">
      <c r="R307" s="30"/>
    </row>
    <row r="308" spans="18:18" ht="15.75" customHeight="1">
      <c r="R308" s="30"/>
    </row>
    <row r="309" spans="18:18" ht="15.75" customHeight="1">
      <c r="R309" s="30"/>
    </row>
    <row r="310" spans="18:18" ht="15.75" customHeight="1">
      <c r="R310" s="30"/>
    </row>
    <row r="311" spans="18:18" ht="15.75" customHeight="1">
      <c r="R311" s="30"/>
    </row>
    <row r="312" spans="18:18" ht="15.75" customHeight="1">
      <c r="R312" s="30"/>
    </row>
    <row r="313" spans="18:18" ht="15.75" customHeight="1">
      <c r="R313" s="30"/>
    </row>
    <row r="314" spans="18:18" ht="15.75" customHeight="1">
      <c r="R314" s="30"/>
    </row>
    <row r="315" spans="18:18" ht="15.75" customHeight="1">
      <c r="R315" s="30"/>
    </row>
    <row r="316" spans="18:18" ht="15.75" customHeight="1">
      <c r="R316" s="30"/>
    </row>
    <row r="317" spans="18:18" ht="15.75" customHeight="1">
      <c r="R317" s="30"/>
    </row>
    <row r="318" spans="18:18" ht="15.75" customHeight="1">
      <c r="R318" s="30"/>
    </row>
    <row r="319" spans="18:18" ht="15.75" customHeight="1">
      <c r="R319" s="30"/>
    </row>
    <row r="320" spans="18:18" ht="15.75" customHeight="1">
      <c r="R320" s="30"/>
    </row>
    <row r="321" spans="18:18" ht="15.75" customHeight="1">
      <c r="R321" s="30"/>
    </row>
    <row r="322" spans="18:18" ht="15.75" customHeight="1">
      <c r="R322" s="30"/>
    </row>
    <row r="323" spans="18:18" ht="15.75" customHeight="1">
      <c r="R323" s="30"/>
    </row>
    <row r="324" spans="18:18" ht="15.75" customHeight="1">
      <c r="R324" s="30"/>
    </row>
    <row r="325" spans="18:18" ht="15.75" customHeight="1">
      <c r="R325" s="30"/>
    </row>
    <row r="326" spans="18:18" ht="15.75" customHeight="1">
      <c r="R326" s="30"/>
    </row>
    <row r="327" spans="18:18" ht="15.75" customHeight="1">
      <c r="R327" s="30"/>
    </row>
    <row r="328" spans="18:18" ht="15.75" customHeight="1">
      <c r="R328" s="30"/>
    </row>
    <row r="329" spans="18:18" ht="15.75" customHeight="1">
      <c r="R329" s="30"/>
    </row>
    <row r="330" spans="18:18" ht="15.75" customHeight="1">
      <c r="R330" s="30"/>
    </row>
    <row r="331" spans="18:18" ht="15.75" customHeight="1">
      <c r="R331" s="30"/>
    </row>
    <row r="332" spans="18:18" ht="15.75" customHeight="1">
      <c r="R332" s="30"/>
    </row>
    <row r="333" spans="18:18" ht="15.75" customHeight="1">
      <c r="R333" s="30"/>
    </row>
    <row r="334" spans="18:18" ht="15.75" customHeight="1">
      <c r="R334" s="30"/>
    </row>
    <row r="335" spans="18:18" ht="15.75" customHeight="1">
      <c r="R335" s="30"/>
    </row>
    <row r="336" spans="18:18" ht="15.75" customHeight="1">
      <c r="R336" s="30"/>
    </row>
    <row r="337" spans="18:18" ht="15.75" customHeight="1">
      <c r="R337" s="30"/>
    </row>
    <row r="338" spans="18:18" ht="15.75" customHeight="1">
      <c r="R338" s="30"/>
    </row>
    <row r="339" spans="18:18" ht="15.75" customHeight="1">
      <c r="R339" s="30"/>
    </row>
    <row r="340" spans="18:18" ht="15.75" customHeight="1">
      <c r="R340" s="30"/>
    </row>
    <row r="341" spans="18:18" ht="15.75" customHeight="1">
      <c r="R341" s="30"/>
    </row>
    <row r="342" spans="18:18" ht="15.75" customHeight="1">
      <c r="R342" s="30"/>
    </row>
    <row r="343" spans="18:18" ht="15.75" customHeight="1">
      <c r="R343" s="30"/>
    </row>
    <row r="344" spans="18:18" ht="15.75" customHeight="1">
      <c r="R344" s="30"/>
    </row>
    <row r="345" spans="18:18" ht="15.75" customHeight="1">
      <c r="R345" s="30"/>
    </row>
    <row r="346" spans="18:18" ht="15.75" customHeight="1">
      <c r="R346" s="30"/>
    </row>
    <row r="347" spans="18:18" ht="15.75" customHeight="1">
      <c r="R347" s="30"/>
    </row>
    <row r="348" spans="18:18" ht="15.75" customHeight="1">
      <c r="R348" s="30"/>
    </row>
    <row r="349" spans="18:18" ht="15.75" customHeight="1">
      <c r="R349" s="30"/>
    </row>
    <row r="350" spans="18:18" ht="15.75" customHeight="1">
      <c r="R350" s="30"/>
    </row>
    <row r="351" spans="18:18" ht="15.75" customHeight="1">
      <c r="R351" s="30"/>
    </row>
    <row r="352" spans="18:18" ht="15.75" customHeight="1">
      <c r="R352" s="30"/>
    </row>
    <row r="353" spans="18:18" ht="15.75" customHeight="1">
      <c r="R353" s="30"/>
    </row>
    <row r="354" spans="18:18" ht="15.75" customHeight="1">
      <c r="R354" s="30"/>
    </row>
    <row r="355" spans="18:18" ht="15.75" customHeight="1">
      <c r="R355" s="30"/>
    </row>
    <row r="356" spans="18:18" ht="15.75" customHeight="1">
      <c r="R356" s="30"/>
    </row>
    <row r="357" spans="18:18" ht="15.75" customHeight="1">
      <c r="R357" s="30"/>
    </row>
    <row r="358" spans="18:18" ht="15.75" customHeight="1">
      <c r="R358" s="30"/>
    </row>
    <row r="359" spans="18:18" ht="15.75" customHeight="1">
      <c r="R359" s="30"/>
    </row>
    <row r="360" spans="18:18" ht="15.75" customHeight="1">
      <c r="R360" s="30"/>
    </row>
    <row r="361" spans="18:18" ht="15.75" customHeight="1">
      <c r="R361" s="30"/>
    </row>
    <row r="362" spans="18:18" ht="15.75" customHeight="1">
      <c r="R362" s="30"/>
    </row>
    <row r="363" spans="18:18" ht="15.75" customHeight="1">
      <c r="R363" s="30"/>
    </row>
    <row r="364" spans="18:18" ht="15.75" customHeight="1">
      <c r="R364" s="30"/>
    </row>
    <row r="365" spans="18:18" ht="15.75" customHeight="1">
      <c r="R365" s="30"/>
    </row>
    <row r="366" spans="18:18" ht="15.75" customHeight="1">
      <c r="R366" s="30"/>
    </row>
    <row r="367" spans="18:18" ht="15.75" customHeight="1">
      <c r="R367" s="30"/>
    </row>
    <row r="368" spans="18:18" ht="15.75" customHeight="1">
      <c r="R368" s="30"/>
    </row>
    <row r="369" spans="18:18" ht="15.75" customHeight="1">
      <c r="R369" s="30"/>
    </row>
    <row r="370" spans="18:18" ht="15.75" customHeight="1">
      <c r="R370" s="30"/>
    </row>
    <row r="371" spans="18:18" ht="15.75" customHeight="1">
      <c r="R371" s="30"/>
    </row>
    <row r="372" spans="18:18" ht="15.75" customHeight="1">
      <c r="R372" s="30"/>
    </row>
    <row r="373" spans="18:18" ht="15.75" customHeight="1">
      <c r="R373" s="30"/>
    </row>
    <row r="374" spans="18:18" ht="15.75" customHeight="1">
      <c r="R374" s="30"/>
    </row>
    <row r="375" spans="18:18" ht="15.75" customHeight="1">
      <c r="R375" s="30"/>
    </row>
    <row r="376" spans="18:18" ht="15.75" customHeight="1">
      <c r="R376" s="30"/>
    </row>
    <row r="377" spans="18:18" ht="15.75" customHeight="1">
      <c r="R377" s="30"/>
    </row>
    <row r="378" spans="18:18" ht="15.75" customHeight="1">
      <c r="R378" s="30"/>
    </row>
    <row r="379" spans="18:18" ht="15.75" customHeight="1">
      <c r="R379" s="30"/>
    </row>
    <row r="380" spans="18:18" ht="15.75" customHeight="1">
      <c r="R380" s="30"/>
    </row>
    <row r="381" spans="18:18" ht="15.75" customHeight="1">
      <c r="R381" s="30"/>
    </row>
    <row r="382" spans="18:18" ht="15.75" customHeight="1">
      <c r="R382" s="30"/>
    </row>
    <row r="383" spans="18:18" ht="15.75" customHeight="1">
      <c r="R383" s="30"/>
    </row>
    <row r="384" spans="18:18" ht="15.75" customHeight="1">
      <c r="R384" s="30"/>
    </row>
    <row r="385" spans="18:18" ht="15.75" customHeight="1">
      <c r="R385" s="30"/>
    </row>
    <row r="386" spans="18:18" ht="15.75" customHeight="1">
      <c r="R386" s="30"/>
    </row>
    <row r="387" spans="18:18" ht="15.75" customHeight="1">
      <c r="R387" s="30"/>
    </row>
    <row r="388" spans="18:18" ht="15.75" customHeight="1">
      <c r="R388" s="30"/>
    </row>
    <row r="389" spans="18:18" ht="15.75" customHeight="1">
      <c r="R389" s="30"/>
    </row>
    <row r="390" spans="18:18" ht="15.75" customHeight="1">
      <c r="R390" s="30"/>
    </row>
    <row r="391" spans="18:18" ht="15.75" customHeight="1">
      <c r="R391" s="30"/>
    </row>
    <row r="392" spans="18:18" ht="15.75" customHeight="1">
      <c r="R392" s="30"/>
    </row>
    <row r="393" spans="18:18" ht="15.75" customHeight="1">
      <c r="R393" s="30"/>
    </row>
    <row r="394" spans="18:18" ht="15.75" customHeight="1">
      <c r="R394" s="30"/>
    </row>
    <row r="395" spans="18:18" ht="15.75" customHeight="1">
      <c r="R395" s="30"/>
    </row>
    <row r="396" spans="18:18" ht="15.75" customHeight="1">
      <c r="R396" s="30"/>
    </row>
    <row r="397" spans="18:18" ht="15.75" customHeight="1">
      <c r="R397" s="30"/>
    </row>
    <row r="398" spans="18:18" ht="15.75" customHeight="1">
      <c r="R398" s="30"/>
    </row>
    <row r="399" spans="18:18" ht="15.75" customHeight="1">
      <c r="R399" s="30"/>
    </row>
    <row r="400" spans="18:18" ht="15.75" customHeight="1">
      <c r="R400" s="30"/>
    </row>
    <row r="401" spans="18:18" ht="15.75" customHeight="1">
      <c r="R401" s="30"/>
    </row>
    <row r="402" spans="18:18" ht="15.75" customHeight="1">
      <c r="R402" s="30"/>
    </row>
    <row r="403" spans="18:18" ht="15.75" customHeight="1">
      <c r="R403" s="30"/>
    </row>
    <row r="404" spans="18:18" ht="15.75" customHeight="1">
      <c r="R404" s="30"/>
    </row>
    <row r="405" spans="18:18" ht="15.75" customHeight="1">
      <c r="R405" s="30"/>
    </row>
    <row r="406" spans="18:18" ht="15.75" customHeight="1">
      <c r="R406" s="30"/>
    </row>
    <row r="407" spans="18:18" ht="15.75" customHeight="1">
      <c r="R407" s="30"/>
    </row>
    <row r="408" spans="18:18" ht="15.75" customHeight="1">
      <c r="R408" s="30"/>
    </row>
    <row r="409" spans="18:18" ht="15.75" customHeight="1">
      <c r="R409" s="30"/>
    </row>
    <row r="410" spans="18:18" ht="15.75" customHeight="1">
      <c r="R410" s="30"/>
    </row>
    <row r="411" spans="18:18" ht="15.75" customHeight="1">
      <c r="R411" s="30"/>
    </row>
    <row r="412" spans="18:18" ht="15.75" customHeight="1">
      <c r="R412" s="30"/>
    </row>
    <row r="413" spans="18:18" ht="15.75" customHeight="1">
      <c r="R413" s="30"/>
    </row>
    <row r="414" spans="18:18" ht="15.75" customHeight="1">
      <c r="R414" s="30"/>
    </row>
    <row r="415" spans="18:18" ht="15.75" customHeight="1">
      <c r="R415" s="30"/>
    </row>
    <row r="416" spans="18:18" ht="15.75" customHeight="1">
      <c r="R416" s="30"/>
    </row>
    <row r="417" spans="18:18" ht="15.75" customHeight="1">
      <c r="R417" s="30"/>
    </row>
    <row r="418" spans="18:18" ht="15.75" customHeight="1">
      <c r="R418" s="30"/>
    </row>
    <row r="419" spans="18:18" ht="15.75" customHeight="1">
      <c r="R419" s="30"/>
    </row>
    <row r="420" spans="18:18" ht="15.75" customHeight="1">
      <c r="R420" s="30"/>
    </row>
    <row r="421" spans="18:18" ht="15.75" customHeight="1">
      <c r="R421" s="30"/>
    </row>
    <row r="422" spans="18:18" ht="15.75" customHeight="1">
      <c r="R422" s="30"/>
    </row>
    <row r="423" spans="18:18" ht="15.75" customHeight="1">
      <c r="R423" s="30"/>
    </row>
    <row r="424" spans="18:18" ht="15.75" customHeight="1">
      <c r="R424" s="30"/>
    </row>
    <row r="425" spans="18:18" ht="15.75" customHeight="1">
      <c r="R425" s="30"/>
    </row>
    <row r="426" spans="18:18" ht="15.75" customHeight="1">
      <c r="R426" s="30"/>
    </row>
    <row r="427" spans="18:18" ht="15.75" customHeight="1">
      <c r="R427" s="30"/>
    </row>
    <row r="428" spans="18:18" ht="15.75" customHeight="1">
      <c r="R428" s="30"/>
    </row>
    <row r="429" spans="18:18" ht="15.75" customHeight="1">
      <c r="R429" s="30"/>
    </row>
    <row r="430" spans="18:18" ht="15.75" customHeight="1">
      <c r="R430" s="30"/>
    </row>
    <row r="431" spans="18:18" ht="15.75" customHeight="1">
      <c r="R431" s="30"/>
    </row>
    <row r="432" spans="18:18" ht="15.75" customHeight="1">
      <c r="R432" s="30"/>
    </row>
    <row r="433" spans="18:18" ht="15.75" customHeight="1">
      <c r="R433" s="30"/>
    </row>
    <row r="434" spans="18:18" ht="15.75" customHeight="1">
      <c r="R434" s="30"/>
    </row>
    <row r="435" spans="18:18" ht="15.75" customHeight="1">
      <c r="R435" s="30"/>
    </row>
    <row r="436" spans="18:18" ht="15.75" customHeight="1">
      <c r="R436" s="30"/>
    </row>
    <row r="437" spans="18:18" ht="15.75" customHeight="1">
      <c r="R437" s="30"/>
    </row>
    <row r="438" spans="18:18" ht="15.75" customHeight="1">
      <c r="R438" s="30"/>
    </row>
    <row r="439" spans="18:18" ht="15.75" customHeight="1">
      <c r="R439" s="30"/>
    </row>
    <row r="440" spans="18:18" ht="15.75" customHeight="1">
      <c r="R440" s="30"/>
    </row>
    <row r="441" spans="18:18" ht="15.75" customHeight="1">
      <c r="R441" s="30"/>
    </row>
    <row r="442" spans="18:18" ht="15.75" customHeight="1">
      <c r="R442" s="30"/>
    </row>
    <row r="443" spans="18:18" ht="15.75" customHeight="1">
      <c r="R443" s="30"/>
    </row>
    <row r="444" spans="18:18" ht="15.75" customHeight="1">
      <c r="R444" s="30"/>
    </row>
    <row r="445" spans="18:18" ht="15.75" customHeight="1">
      <c r="R445" s="30"/>
    </row>
    <row r="446" spans="18:18" ht="15.75" customHeight="1">
      <c r="R446" s="30"/>
    </row>
    <row r="447" spans="18:18" ht="15.75" customHeight="1">
      <c r="R447" s="30"/>
    </row>
    <row r="448" spans="18:18" ht="15.75" customHeight="1">
      <c r="R448" s="30"/>
    </row>
    <row r="449" spans="18:18" ht="15.75" customHeight="1">
      <c r="R449" s="30"/>
    </row>
    <row r="450" spans="18:18" ht="15.75" customHeight="1">
      <c r="R450" s="30"/>
    </row>
    <row r="451" spans="18:18" ht="15.75" customHeight="1">
      <c r="R451" s="30"/>
    </row>
    <row r="452" spans="18:18" ht="15.75" customHeight="1">
      <c r="R452" s="30"/>
    </row>
    <row r="453" spans="18:18" ht="15.75" customHeight="1">
      <c r="R453" s="30"/>
    </row>
    <row r="454" spans="18:18" ht="15.75" customHeight="1">
      <c r="R454" s="30"/>
    </row>
    <row r="455" spans="18:18" ht="15.75" customHeight="1">
      <c r="R455" s="30"/>
    </row>
    <row r="456" spans="18:18" ht="15.75" customHeight="1">
      <c r="R456" s="30"/>
    </row>
    <row r="457" spans="18:18" ht="15.75" customHeight="1">
      <c r="R457" s="30"/>
    </row>
    <row r="458" spans="18:18" ht="15.75" customHeight="1">
      <c r="R458" s="30"/>
    </row>
    <row r="459" spans="18:18" ht="15.75" customHeight="1">
      <c r="R459" s="30"/>
    </row>
    <row r="460" spans="18:18" ht="15.75" customHeight="1">
      <c r="R460" s="30"/>
    </row>
    <row r="461" spans="18:18" ht="15.75" customHeight="1">
      <c r="R461" s="30"/>
    </row>
    <row r="462" spans="18:18" ht="15.75" customHeight="1">
      <c r="R462" s="30"/>
    </row>
    <row r="463" spans="18:18" ht="15.75" customHeight="1">
      <c r="R463" s="30"/>
    </row>
    <row r="464" spans="18:18" ht="15.75" customHeight="1">
      <c r="R464" s="30"/>
    </row>
    <row r="465" spans="18:18" ht="15.75" customHeight="1">
      <c r="R465" s="30"/>
    </row>
    <row r="466" spans="18:18" ht="15.75" customHeight="1">
      <c r="R466" s="30"/>
    </row>
    <row r="467" spans="18:18" ht="15.75" customHeight="1">
      <c r="R467" s="30"/>
    </row>
    <row r="468" spans="18:18" ht="15.75" customHeight="1">
      <c r="R468" s="30"/>
    </row>
    <row r="469" spans="18:18" ht="15.75" customHeight="1">
      <c r="R469" s="30"/>
    </row>
    <row r="470" spans="18:18" ht="15.75" customHeight="1">
      <c r="R470" s="30"/>
    </row>
    <row r="471" spans="18:18" ht="15.75" customHeight="1">
      <c r="R471" s="30"/>
    </row>
    <row r="472" spans="18:18" ht="15.75" customHeight="1">
      <c r="R472" s="30"/>
    </row>
    <row r="473" spans="18:18" ht="15.75" customHeight="1">
      <c r="R473" s="30"/>
    </row>
    <row r="474" spans="18:18" ht="15.75" customHeight="1">
      <c r="R474" s="30"/>
    </row>
    <row r="475" spans="18:18" ht="15.75" customHeight="1">
      <c r="R475" s="30"/>
    </row>
    <row r="476" spans="18:18" ht="15.75" customHeight="1">
      <c r="R476" s="30"/>
    </row>
    <row r="477" spans="18:18" ht="15.75" customHeight="1">
      <c r="R477" s="30"/>
    </row>
    <row r="478" spans="18:18" ht="15.75" customHeight="1">
      <c r="R478" s="30"/>
    </row>
    <row r="479" spans="18:18" ht="15.75" customHeight="1">
      <c r="R479" s="30"/>
    </row>
    <row r="480" spans="18:18" ht="15.75" customHeight="1">
      <c r="R480" s="30"/>
    </row>
    <row r="481" spans="18:18" ht="15.75" customHeight="1">
      <c r="R481" s="30"/>
    </row>
    <row r="482" spans="18:18" ht="15.75" customHeight="1">
      <c r="R482" s="30"/>
    </row>
    <row r="483" spans="18:18" ht="15.75" customHeight="1">
      <c r="R483" s="30"/>
    </row>
    <row r="484" spans="18:18" ht="15.75" customHeight="1">
      <c r="R484" s="30"/>
    </row>
    <row r="485" spans="18:18" ht="15.75" customHeight="1">
      <c r="R485" s="30"/>
    </row>
    <row r="486" spans="18:18" ht="15.75" customHeight="1">
      <c r="R486" s="30"/>
    </row>
    <row r="487" spans="18:18" ht="15.75" customHeight="1">
      <c r="R487" s="30"/>
    </row>
    <row r="488" spans="18:18" ht="15.75" customHeight="1">
      <c r="R488" s="30"/>
    </row>
    <row r="489" spans="18:18" ht="15.75" customHeight="1">
      <c r="R489" s="30"/>
    </row>
    <row r="490" spans="18:18" ht="15.75" customHeight="1">
      <c r="R490" s="30"/>
    </row>
    <row r="491" spans="18:18" ht="15.75" customHeight="1">
      <c r="R491" s="30"/>
    </row>
    <row r="492" spans="18:18" ht="15.75" customHeight="1">
      <c r="R492" s="30"/>
    </row>
    <row r="493" spans="18:18" ht="15.75" customHeight="1">
      <c r="R493" s="30"/>
    </row>
    <row r="494" spans="18:18" ht="15.75" customHeight="1">
      <c r="R494" s="30"/>
    </row>
    <row r="495" spans="18:18" ht="15.75" customHeight="1">
      <c r="R495" s="30"/>
    </row>
    <row r="496" spans="18:18" ht="15.75" customHeight="1">
      <c r="R496" s="30"/>
    </row>
    <row r="497" spans="18:18" ht="15.75" customHeight="1">
      <c r="R497" s="30"/>
    </row>
    <row r="498" spans="18:18" ht="15.75" customHeight="1">
      <c r="R498" s="30"/>
    </row>
    <row r="499" spans="18:18" ht="15.75" customHeight="1">
      <c r="R499" s="30"/>
    </row>
    <row r="500" spans="18:18" ht="15.75" customHeight="1">
      <c r="R500" s="30"/>
    </row>
    <row r="501" spans="18:18" ht="15.75" customHeight="1">
      <c r="R501" s="30"/>
    </row>
    <row r="502" spans="18:18" ht="15.75" customHeight="1">
      <c r="R502" s="30"/>
    </row>
    <row r="503" spans="18:18" ht="15.75" customHeight="1">
      <c r="R503" s="30"/>
    </row>
    <row r="504" spans="18:18" ht="15.75" customHeight="1">
      <c r="R504" s="30"/>
    </row>
    <row r="505" spans="18:18" ht="15.75" customHeight="1">
      <c r="R505" s="30"/>
    </row>
    <row r="506" spans="18:18" ht="15.75" customHeight="1">
      <c r="R506" s="30"/>
    </row>
    <row r="507" spans="18:18" ht="15.75" customHeight="1">
      <c r="R507" s="30"/>
    </row>
    <row r="508" spans="18:18" ht="15.75" customHeight="1">
      <c r="R508" s="30"/>
    </row>
    <row r="509" spans="18:18" ht="15.75" customHeight="1">
      <c r="R509" s="30"/>
    </row>
    <row r="510" spans="18:18" ht="15.75" customHeight="1">
      <c r="R510" s="30"/>
    </row>
    <row r="511" spans="18:18" ht="15.75" customHeight="1">
      <c r="R511" s="30"/>
    </row>
    <row r="512" spans="18:18" ht="15.75" customHeight="1">
      <c r="R512" s="30"/>
    </row>
    <row r="513" spans="18:18" ht="15.75" customHeight="1">
      <c r="R513" s="30"/>
    </row>
    <row r="514" spans="18:18" ht="15.75" customHeight="1">
      <c r="R514" s="30"/>
    </row>
    <row r="515" spans="18:18" ht="15.75" customHeight="1">
      <c r="R515" s="30"/>
    </row>
    <row r="516" spans="18:18" ht="15.75" customHeight="1">
      <c r="R516" s="30"/>
    </row>
    <row r="517" spans="18:18" ht="15.75" customHeight="1">
      <c r="R517" s="30"/>
    </row>
    <row r="518" spans="18:18" ht="15.75" customHeight="1">
      <c r="R518" s="30"/>
    </row>
    <row r="519" spans="18:18" ht="15.75" customHeight="1">
      <c r="R519" s="30"/>
    </row>
    <row r="520" spans="18:18" ht="15.75" customHeight="1">
      <c r="R520" s="30"/>
    </row>
    <row r="521" spans="18:18" ht="15.75" customHeight="1">
      <c r="R521" s="30"/>
    </row>
    <row r="522" spans="18:18" ht="15.75" customHeight="1">
      <c r="R522" s="30"/>
    </row>
    <row r="523" spans="18:18" ht="15.75" customHeight="1">
      <c r="R523" s="30"/>
    </row>
    <row r="524" spans="18:18" ht="15.75" customHeight="1">
      <c r="R524" s="30"/>
    </row>
    <row r="525" spans="18:18" ht="15.75" customHeight="1">
      <c r="R525" s="30"/>
    </row>
    <row r="526" spans="18:18" ht="15.75" customHeight="1">
      <c r="R526" s="30"/>
    </row>
    <row r="527" spans="18:18" ht="15.75" customHeight="1">
      <c r="R527" s="30"/>
    </row>
    <row r="528" spans="18:18" ht="15.75" customHeight="1">
      <c r="R528" s="30"/>
    </row>
    <row r="529" spans="18:18" ht="15.75" customHeight="1">
      <c r="R529" s="30"/>
    </row>
    <row r="530" spans="18:18" ht="15.75" customHeight="1">
      <c r="R530" s="30"/>
    </row>
    <row r="531" spans="18:18" ht="15.75" customHeight="1">
      <c r="R531" s="30"/>
    </row>
    <row r="532" spans="18:18" ht="15.75" customHeight="1">
      <c r="R532" s="30"/>
    </row>
    <row r="533" spans="18:18" ht="15.75" customHeight="1">
      <c r="R533" s="30"/>
    </row>
    <row r="534" spans="18:18" ht="15.75" customHeight="1">
      <c r="R534" s="30"/>
    </row>
    <row r="535" spans="18:18" ht="15.75" customHeight="1">
      <c r="R535" s="30"/>
    </row>
    <row r="536" spans="18:18" ht="15.75" customHeight="1">
      <c r="R536" s="30"/>
    </row>
    <row r="537" spans="18:18" ht="15.75" customHeight="1">
      <c r="R537" s="30"/>
    </row>
    <row r="538" spans="18:18" ht="15.75" customHeight="1">
      <c r="R538" s="30"/>
    </row>
    <row r="539" spans="18:18" ht="15.75" customHeight="1">
      <c r="R539" s="30"/>
    </row>
    <row r="540" spans="18:18" ht="15.75" customHeight="1">
      <c r="R540" s="30"/>
    </row>
    <row r="541" spans="18:18" ht="15.75" customHeight="1">
      <c r="R541" s="30"/>
    </row>
    <row r="542" spans="18:18" ht="15.75" customHeight="1">
      <c r="R542" s="30"/>
    </row>
    <row r="543" spans="18:18" ht="15.75" customHeight="1">
      <c r="R543" s="30"/>
    </row>
    <row r="544" spans="18:18" ht="15.75" customHeight="1">
      <c r="R544" s="30"/>
    </row>
    <row r="545" spans="18:18" ht="15.75" customHeight="1">
      <c r="R545" s="30"/>
    </row>
    <row r="546" spans="18:18" ht="15.75" customHeight="1">
      <c r="R546" s="30"/>
    </row>
    <row r="547" spans="18:18" ht="15.75" customHeight="1">
      <c r="R547" s="30"/>
    </row>
    <row r="548" spans="18:18" ht="15.75" customHeight="1">
      <c r="R548" s="30"/>
    </row>
    <row r="549" spans="18:18" ht="15.75" customHeight="1">
      <c r="R549" s="30"/>
    </row>
    <row r="550" spans="18:18" ht="15.75" customHeight="1">
      <c r="R550" s="30"/>
    </row>
    <row r="551" spans="18:18" ht="15.75" customHeight="1">
      <c r="R551" s="30"/>
    </row>
    <row r="552" spans="18:18" ht="15.75" customHeight="1">
      <c r="R552" s="30"/>
    </row>
    <row r="553" spans="18:18" ht="15.75" customHeight="1">
      <c r="R553" s="30"/>
    </row>
    <row r="554" spans="18:18" ht="15.75" customHeight="1">
      <c r="R554" s="30"/>
    </row>
    <row r="555" spans="18:18" ht="15.75" customHeight="1">
      <c r="R555" s="30"/>
    </row>
    <row r="556" spans="18:18" ht="15.75" customHeight="1">
      <c r="R556" s="30"/>
    </row>
    <row r="557" spans="18:18" ht="15.75" customHeight="1">
      <c r="R557" s="30"/>
    </row>
    <row r="558" spans="18:18" ht="15.75" customHeight="1">
      <c r="R558" s="30"/>
    </row>
    <row r="559" spans="18:18" ht="15.75" customHeight="1">
      <c r="R559" s="30"/>
    </row>
    <row r="560" spans="18:18" ht="15.75" customHeight="1">
      <c r="R560" s="30"/>
    </row>
    <row r="561" spans="18:18" ht="15.75" customHeight="1">
      <c r="R561" s="30"/>
    </row>
    <row r="562" spans="18:18" ht="15.75" customHeight="1">
      <c r="R562" s="30"/>
    </row>
    <row r="563" spans="18:18" ht="15.75" customHeight="1">
      <c r="R563" s="30"/>
    </row>
    <row r="564" spans="18:18" ht="15.75" customHeight="1">
      <c r="R564" s="30"/>
    </row>
    <row r="565" spans="18:18" ht="15.75" customHeight="1">
      <c r="R565" s="30"/>
    </row>
    <row r="566" spans="18:18" ht="15.75" customHeight="1">
      <c r="R566" s="30"/>
    </row>
    <row r="567" spans="18:18" ht="15.75" customHeight="1">
      <c r="R567" s="30"/>
    </row>
    <row r="568" spans="18:18" ht="15.75" customHeight="1">
      <c r="R568" s="30"/>
    </row>
    <row r="569" spans="18:18" ht="15.75" customHeight="1">
      <c r="R569" s="30"/>
    </row>
    <row r="570" spans="18:18" ht="15.75" customHeight="1">
      <c r="R570" s="30"/>
    </row>
    <row r="571" spans="18:18" ht="15.75" customHeight="1">
      <c r="R571" s="30"/>
    </row>
    <row r="572" spans="18:18" ht="15.75" customHeight="1">
      <c r="R572" s="30"/>
    </row>
    <row r="573" spans="18:18" ht="15.75" customHeight="1">
      <c r="R573" s="30"/>
    </row>
    <row r="574" spans="18:18" ht="15.75" customHeight="1">
      <c r="R574" s="30"/>
    </row>
    <row r="575" spans="18:18" ht="15.75" customHeight="1">
      <c r="R575" s="30"/>
    </row>
    <row r="576" spans="18:18" ht="15.75" customHeight="1">
      <c r="R576" s="30"/>
    </row>
    <row r="577" spans="18:18" ht="15.75" customHeight="1">
      <c r="R577" s="30"/>
    </row>
    <row r="578" spans="18:18" ht="15.75" customHeight="1">
      <c r="R578" s="30"/>
    </row>
    <row r="579" spans="18:18" ht="15.75" customHeight="1">
      <c r="R579" s="30"/>
    </row>
    <row r="580" spans="18:18" ht="15.75" customHeight="1">
      <c r="R580" s="30"/>
    </row>
    <row r="581" spans="18:18" ht="15.75" customHeight="1">
      <c r="R581" s="30"/>
    </row>
    <row r="582" spans="18:18" ht="15.75" customHeight="1">
      <c r="R582" s="30"/>
    </row>
    <row r="583" spans="18:18" ht="15.75" customHeight="1">
      <c r="R583" s="30"/>
    </row>
    <row r="584" spans="18:18" ht="15.75" customHeight="1">
      <c r="R584" s="30"/>
    </row>
    <row r="585" spans="18:18" ht="15.75" customHeight="1">
      <c r="R585" s="30"/>
    </row>
    <row r="586" spans="18:18" ht="15.75" customHeight="1">
      <c r="R586" s="30"/>
    </row>
    <row r="587" spans="18:18" ht="15.75" customHeight="1">
      <c r="R587" s="30"/>
    </row>
    <row r="588" spans="18:18" ht="15.75" customHeight="1">
      <c r="R588" s="30"/>
    </row>
    <row r="589" spans="18:18" ht="15.75" customHeight="1">
      <c r="R589" s="30"/>
    </row>
    <row r="590" spans="18:18" ht="15.75" customHeight="1">
      <c r="R590" s="30"/>
    </row>
    <row r="591" spans="18:18" ht="15.75" customHeight="1">
      <c r="R591" s="30"/>
    </row>
    <row r="592" spans="18:18" ht="15.75" customHeight="1">
      <c r="R592" s="30"/>
    </row>
    <row r="593" spans="18:18" ht="15.75" customHeight="1">
      <c r="R593" s="30"/>
    </row>
    <row r="594" spans="18:18" ht="15.75" customHeight="1">
      <c r="R594" s="30"/>
    </row>
    <row r="595" spans="18:18" ht="15.75" customHeight="1">
      <c r="R595" s="30"/>
    </row>
    <row r="596" spans="18:18" ht="15.75" customHeight="1">
      <c r="R596" s="30"/>
    </row>
    <row r="597" spans="18:18" ht="15.75" customHeight="1">
      <c r="R597" s="30"/>
    </row>
    <row r="598" spans="18:18" ht="15.75" customHeight="1">
      <c r="R598" s="30"/>
    </row>
    <row r="599" spans="18:18" ht="15.75" customHeight="1">
      <c r="R599" s="30"/>
    </row>
    <row r="600" spans="18:18" ht="15.75" customHeight="1">
      <c r="R600" s="30"/>
    </row>
    <row r="601" spans="18:18" ht="15.75" customHeight="1">
      <c r="R601" s="30"/>
    </row>
    <row r="602" spans="18:18" ht="15.75" customHeight="1">
      <c r="R602" s="30"/>
    </row>
    <row r="603" spans="18:18" ht="15.75" customHeight="1">
      <c r="R603" s="30"/>
    </row>
    <row r="604" spans="18:18" ht="15.75" customHeight="1">
      <c r="R604" s="30"/>
    </row>
    <row r="605" spans="18:18" ht="15.75" customHeight="1">
      <c r="R605" s="30"/>
    </row>
    <row r="606" spans="18:18" ht="15.75" customHeight="1">
      <c r="R606" s="30"/>
    </row>
    <row r="607" spans="18:18" ht="15.75" customHeight="1">
      <c r="R607" s="30"/>
    </row>
    <row r="608" spans="18:18" ht="15.75" customHeight="1">
      <c r="R608" s="30"/>
    </row>
    <row r="609" spans="18:18" ht="15.75" customHeight="1">
      <c r="R609" s="30"/>
    </row>
    <row r="610" spans="18:18" ht="15.75" customHeight="1">
      <c r="R610" s="30"/>
    </row>
    <row r="611" spans="18:18" ht="15.75" customHeight="1">
      <c r="R611" s="30"/>
    </row>
    <row r="612" spans="18:18" ht="15.75" customHeight="1">
      <c r="R612" s="30"/>
    </row>
    <row r="613" spans="18:18" ht="15.75" customHeight="1">
      <c r="R613" s="30"/>
    </row>
    <row r="614" spans="18:18" ht="15.75" customHeight="1">
      <c r="R614" s="30"/>
    </row>
    <row r="615" spans="18:18" ht="15.75" customHeight="1">
      <c r="R615" s="30"/>
    </row>
    <row r="616" spans="18:18" ht="15.75" customHeight="1">
      <c r="R616" s="30"/>
    </row>
    <row r="617" spans="18:18" ht="15.75" customHeight="1">
      <c r="R617" s="30"/>
    </row>
    <row r="618" spans="18:18" ht="15.75" customHeight="1">
      <c r="R618" s="30"/>
    </row>
    <row r="619" spans="18:18" ht="15.75" customHeight="1">
      <c r="R619" s="30"/>
    </row>
    <row r="620" spans="18:18" ht="15.75" customHeight="1">
      <c r="R620" s="30"/>
    </row>
    <row r="621" spans="18:18" ht="15.75" customHeight="1">
      <c r="R621" s="30"/>
    </row>
    <row r="622" spans="18:18" ht="15.75" customHeight="1">
      <c r="R622" s="30"/>
    </row>
    <row r="623" spans="18:18" ht="15.75" customHeight="1">
      <c r="R623" s="30"/>
    </row>
    <row r="624" spans="18:18" ht="15.75" customHeight="1">
      <c r="R624" s="30"/>
    </row>
    <row r="625" spans="18:18" ht="15.75" customHeight="1">
      <c r="R625" s="30"/>
    </row>
    <row r="626" spans="18:18" ht="15.75" customHeight="1">
      <c r="R626" s="30"/>
    </row>
    <row r="627" spans="18:18" ht="15.75" customHeight="1">
      <c r="R627" s="30"/>
    </row>
    <row r="628" spans="18:18" ht="15.75" customHeight="1">
      <c r="R628" s="30"/>
    </row>
    <row r="629" spans="18:18" ht="15.75" customHeight="1">
      <c r="R629" s="30"/>
    </row>
    <row r="630" spans="18:18" ht="15.75" customHeight="1">
      <c r="R630" s="30"/>
    </row>
    <row r="631" spans="18:18" ht="15.75" customHeight="1">
      <c r="R631" s="30"/>
    </row>
    <row r="632" spans="18:18" ht="15.75" customHeight="1">
      <c r="R632" s="30"/>
    </row>
    <row r="633" spans="18:18" ht="15.75" customHeight="1">
      <c r="R633" s="30"/>
    </row>
    <row r="634" spans="18:18" ht="15.75" customHeight="1">
      <c r="R634" s="30"/>
    </row>
    <row r="635" spans="18:18" ht="15.75" customHeight="1">
      <c r="R635" s="30"/>
    </row>
    <row r="636" spans="18:18" ht="15.75" customHeight="1">
      <c r="R636" s="30"/>
    </row>
    <row r="637" spans="18:18" ht="15.75" customHeight="1">
      <c r="R637" s="30"/>
    </row>
    <row r="638" spans="18:18" ht="15.75" customHeight="1">
      <c r="R638" s="30"/>
    </row>
    <row r="639" spans="18:18" ht="15.75" customHeight="1">
      <c r="R639" s="30"/>
    </row>
    <row r="640" spans="18:18" ht="15.75" customHeight="1">
      <c r="R640" s="30"/>
    </row>
    <row r="641" spans="18:18" ht="15.75" customHeight="1">
      <c r="R641" s="30"/>
    </row>
    <row r="642" spans="18:18" ht="15.75" customHeight="1">
      <c r="R642" s="30"/>
    </row>
    <row r="643" spans="18:18" ht="15.75" customHeight="1">
      <c r="R643" s="30"/>
    </row>
    <row r="644" spans="18:18" ht="15.75" customHeight="1">
      <c r="R644" s="30"/>
    </row>
    <row r="645" spans="18:18" ht="15.75" customHeight="1">
      <c r="R645" s="30"/>
    </row>
    <row r="646" spans="18:18" ht="15.75" customHeight="1">
      <c r="R646" s="30"/>
    </row>
    <row r="647" spans="18:18" ht="15.75" customHeight="1">
      <c r="R647" s="30"/>
    </row>
    <row r="648" spans="18:18" ht="15.75" customHeight="1">
      <c r="R648" s="30"/>
    </row>
    <row r="649" spans="18:18" ht="15.75" customHeight="1">
      <c r="R649" s="30"/>
    </row>
    <row r="650" spans="18:18" ht="15.75" customHeight="1">
      <c r="R650" s="30"/>
    </row>
    <row r="651" spans="18:18" ht="15.75" customHeight="1">
      <c r="R651" s="30"/>
    </row>
    <row r="652" spans="18:18" ht="15.75" customHeight="1">
      <c r="R652" s="30"/>
    </row>
    <row r="653" spans="18:18" ht="15.75" customHeight="1">
      <c r="R653" s="30"/>
    </row>
    <row r="654" spans="18:18" ht="15.75" customHeight="1">
      <c r="R654" s="30"/>
    </row>
    <row r="655" spans="18:18" ht="15.75" customHeight="1">
      <c r="R655" s="30"/>
    </row>
    <row r="656" spans="18:18" ht="15.75" customHeight="1">
      <c r="R656" s="30"/>
    </row>
    <row r="657" spans="18:18" ht="15.75" customHeight="1">
      <c r="R657" s="30"/>
    </row>
    <row r="658" spans="18:18" ht="15.75" customHeight="1">
      <c r="R658" s="30"/>
    </row>
    <row r="659" spans="18:18" ht="15.75" customHeight="1">
      <c r="R659" s="30"/>
    </row>
    <row r="660" spans="18:18" ht="15.75" customHeight="1">
      <c r="R660" s="30"/>
    </row>
    <row r="661" spans="18:18" ht="15.75" customHeight="1">
      <c r="R661" s="30"/>
    </row>
    <row r="662" spans="18:18" ht="15.75" customHeight="1">
      <c r="R662" s="30"/>
    </row>
    <row r="663" spans="18:18" ht="15.75" customHeight="1">
      <c r="R663" s="30"/>
    </row>
    <row r="664" spans="18:18" ht="15.75" customHeight="1">
      <c r="R664" s="30"/>
    </row>
    <row r="665" spans="18:18" ht="15.75" customHeight="1">
      <c r="R665" s="30"/>
    </row>
    <row r="666" spans="18:18" ht="15.75" customHeight="1">
      <c r="R666" s="30"/>
    </row>
    <row r="667" spans="18:18" ht="15.75" customHeight="1">
      <c r="R667" s="30"/>
    </row>
    <row r="668" spans="18:18" ht="15.75" customHeight="1">
      <c r="R668" s="30"/>
    </row>
    <row r="669" spans="18:18" ht="15.75" customHeight="1">
      <c r="R669" s="30"/>
    </row>
    <row r="670" spans="18:18" ht="15.75" customHeight="1">
      <c r="R670" s="30"/>
    </row>
    <row r="671" spans="18:18" ht="15.75" customHeight="1">
      <c r="R671" s="30"/>
    </row>
    <row r="672" spans="18:18" ht="15.75" customHeight="1">
      <c r="R672" s="30"/>
    </row>
    <row r="673" spans="18:18" ht="15.75" customHeight="1">
      <c r="R673" s="30"/>
    </row>
    <row r="674" spans="18:18" ht="15.75" customHeight="1">
      <c r="R674" s="30"/>
    </row>
    <row r="675" spans="18:18" ht="15.75" customHeight="1">
      <c r="R675" s="30"/>
    </row>
    <row r="676" spans="18:18" ht="15.75" customHeight="1">
      <c r="R676" s="30"/>
    </row>
    <row r="677" spans="18:18" ht="15.75" customHeight="1">
      <c r="R677" s="30"/>
    </row>
    <row r="678" spans="18:18" ht="15.75" customHeight="1">
      <c r="R678" s="30"/>
    </row>
    <row r="679" spans="18:18" ht="15.75" customHeight="1">
      <c r="R679" s="30"/>
    </row>
    <row r="680" spans="18:18" ht="15.75" customHeight="1">
      <c r="R680" s="30"/>
    </row>
    <row r="681" spans="18:18" ht="15.75" customHeight="1">
      <c r="R681" s="30"/>
    </row>
    <row r="682" spans="18:18" ht="15.75" customHeight="1">
      <c r="R682" s="30"/>
    </row>
    <row r="683" spans="18:18" ht="15.75" customHeight="1">
      <c r="R683" s="30"/>
    </row>
    <row r="684" spans="18:18" ht="15.75" customHeight="1">
      <c r="R684" s="30"/>
    </row>
    <row r="685" spans="18:18" ht="15.75" customHeight="1">
      <c r="R685" s="30"/>
    </row>
    <row r="686" spans="18:18" ht="15.75" customHeight="1">
      <c r="R686" s="30"/>
    </row>
    <row r="687" spans="18:18" ht="15.75" customHeight="1">
      <c r="R687" s="30"/>
    </row>
    <row r="688" spans="18:18" ht="15.75" customHeight="1">
      <c r="R688" s="30"/>
    </row>
    <row r="689" spans="18:18" ht="15.75" customHeight="1">
      <c r="R689" s="30"/>
    </row>
    <row r="690" spans="18:18" ht="15.75" customHeight="1">
      <c r="R690" s="30"/>
    </row>
    <row r="691" spans="18:18" ht="15.75" customHeight="1">
      <c r="R691" s="30"/>
    </row>
    <row r="692" spans="18:18" ht="15.75" customHeight="1">
      <c r="R692" s="30"/>
    </row>
    <row r="693" spans="18:18" ht="15.75" customHeight="1">
      <c r="R693" s="30"/>
    </row>
    <row r="694" spans="18:18" ht="15.75" customHeight="1">
      <c r="R694" s="30"/>
    </row>
    <row r="695" spans="18:18" ht="15.75" customHeight="1">
      <c r="R695" s="30"/>
    </row>
    <row r="696" spans="18:18" ht="15.75" customHeight="1">
      <c r="R696" s="30"/>
    </row>
    <row r="697" spans="18:18" ht="15.75" customHeight="1">
      <c r="R697" s="30"/>
    </row>
    <row r="698" spans="18:18" ht="15.75" customHeight="1">
      <c r="R698" s="30"/>
    </row>
    <row r="699" spans="18:18" ht="15.75" customHeight="1">
      <c r="R699" s="30"/>
    </row>
    <row r="700" spans="18:18" ht="15.75" customHeight="1">
      <c r="R700" s="30"/>
    </row>
    <row r="701" spans="18:18" ht="15.75" customHeight="1">
      <c r="R701" s="30"/>
    </row>
    <row r="702" spans="18:18" ht="15.75" customHeight="1">
      <c r="R702" s="30"/>
    </row>
    <row r="703" spans="18:18" ht="15.75" customHeight="1">
      <c r="R703" s="30"/>
    </row>
    <row r="704" spans="18:18" ht="15.75" customHeight="1">
      <c r="R704" s="30"/>
    </row>
    <row r="705" spans="18:18" ht="15.75" customHeight="1">
      <c r="R705" s="30"/>
    </row>
    <row r="706" spans="18:18" ht="15.75" customHeight="1">
      <c r="R706" s="30"/>
    </row>
    <row r="707" spans="18:18" ht="15.75" customHeight="1">
      <c r="R707" s="30"/>
    </row>
    <row r="708" spans="18:18" ht="15.75" customHeight="1">
      <c r="R708" s="30"/>
    </row>
    <row r="709" spans="18:18" ht="15.75" customHeight="1">
      <c r="R709" s="30"/>
    </row>
    <row r="710" spans="18:18" ht="15.75" customHeight="1">
      <c r="R710" s="30"/>
    </row>
    <row r="711" spans="18:18" ht="15.75" customHeight="1">
      <c r="R711" s="30"/>
    </row>
    <row r="712" spans="18:18" ht="15.75" customHeight="1">
      <c r="R712" s="30"/>
    </row>
    <row r="713" spans="18:18" ht="15.75" customHeight="1">
      <c r="R713" s="30"/>
    </row>
    <row r="714" spans="18:18" ht="15.75" customHeight="1">
      <c r="R714" s="30"/>
    </row>
    <row r="715" spans="18:18" ht="15.75" customHeight="1">
      <c r="R715" s="30"/>
    </row>
    <row r="716" spans="18:18" ht="15.75" customHeight="1">
      <c r="R716" s="30"/>
    </row>
    <row r="717" spans="18:18" ht="15.75" customHeight="1">
      <c r="R717" s="30"/>
    </row>
    <row r="718" spans="18:18" ht="15.75" customHeight="1">
      <c r="R718" s="30"/>
    </row>
    <row r="719" spans="18:18" ht="15.75" customHeight="1">
      <c r="R719" s="30"/>
    </row>
    <row r="720" spans="18:18" ht="15.75" customHeight="1">
      <c r="R720" s="30"/>
    </row>
    <row r="721" spans="18:18" ht="15.75" customHeight="1">
      <c r="R721" s="30"/>
    </row>
    <row r="722" spans="18:18" ht="15.75" customHeight="1">
      <c r="R722" s="30"/>
    </row>
    <row r="723" spans="18:18" ht="15.75" customHeight="1">
      <c r="R723" s="30"/>
    </row>
    <row r="724" spans="18:18" ht="15.75" customHeight="1">
      <c r="R724" s="30"/>
    </row>
    <row r="725" spans="18:18" ht="15.75" customHeight="1">
      <c r="R725" s="30"/>
    </row>
    <row r="726" spans="18:18" ht="15.75" customHeight="1">
      <c r="R726" s="30"/>
    </row>
    <row r="727" spans="18:18" ht="15.75" customHeight="1">
      <c r="R727" s="30"/>
    </row>
    <row r="728" spans="18:18" ht="15.75" customHeight="1">
      <c r="R728" s="30"/>
    </row>
    <row r="729" spans="18:18" ht="15.75" customHeight="1">
      <c r="R729" s="30"/>
    </row>
    <row r="730" spans="18:18" ht="15.75" customHeight="1">
      <c r="R730" s="30"/>
    </row>
    <row r="731" spans="18:18" ht="15.75" customHeight="1">
      <c r="R731" s="30"/>
    </row>
    <row r="732" spans="18:18" ht="15.75" customHeight="1">
      <c r="R732" s="30"/>
    </row>
    <row r="733" spans="18:18" ht="15.75" customHeight="1">
      <c r="R733" s="30"/>
    </row>
    <row r="734" spans="18:18" ht="15.75" customHeight="1">
      <c r="R734" s="30"/>
    </row>
    <row r="735" spans="18:18" ht="15.75" customHeight="1">
      <c r="R735" s="30"/>
    </row>
    <row r="736" spans="18:18" ht="15.75" customHeight="1">
      <c r="R736" s="30"/>
    </row>
    <row r="737" spans="18:18" ht="15.75" customHeight="1">
      <c r="R737" s="30"/>
    </row>
    <row r="738" spans="18:18" ht="15.75" customHeight="1">
      <c r="R738" s="30"/>
    </row>
    <row r="739" spans="18:18" ht="15.75" customHeight="1">
      <c r="R739" s="30"/>
    </row>
    <row r="740" spans="18:18" ht="15.75" customHeight="1">
      <c r="R740" s="30"/>
    </row>
    <row r="741" spans="18:18" ht="15.75" customHeight="1">
      <c r="R741" s="30"/>
    </row>
    <row r="742" spans="18:18" ht="15.75" customHeight="1">
      <c r="R742" s="30"/>
    </row>
    <row r="743" spans="18:18" ht="15.75" customHeight="1">
      <c r="R743" s="30"/>
    </row>
    <row r="744" spans="18:18" ht="15.75" customHeight="1">
      <c r="R744" s="30"/>
    </row>
    <row r="745" spans="18:18" ht="15.75" customHeight="1">
      <c r="R745" s="30"/>
    </row>
    <row r="746" spans="18:18" ht="15.75" customHeight="1">
      <c r="R746" s="30"/>
    </row>
    <row r="747" spans="18:18" ht="15.75" customHeight="1">
      <c r="R747" s="30"/>
    </row>
    <row r="748" spans="18:18" ht="15.75" customHeight="1">
      <c r="R748" s="30"/>
    </row>
    <row r="749" spans="18:18" ht="15.75" customHeight="1">
      <c r="R749" s="30"/>
    </row>
    <row r="750" spans="18:18" ht="15.75" customHeight="1">
      <c r="R750" s="30"/>
    </row>
    <row r="751" spans="18:18" ht="15.75" customHeight="1">
      <c r="R751" s="30"/>
    </row>
    <row r="752" spans="18:18" ht="15.75" customHeight="1">
      <c r="R752" s="30"/>
    </row>
    <row r="753" spans="18:18" ht="15.75" customHeight="1">
      <c r="R753" s="30"/>
    </row>
    <row r="754" spans="18:18" ht="15.75" customHeight="1">
      <c r="R754" s="30"/>
    </row>
    <row r="755" spans="18:18" ht="15.75" customHeight="1">
      <c r="R755" s="30"/>
    </row>
    <row r="756" spans="18:18" ht="15.75" customHeight="1">
      <c r="R756" s="30"/>
    </row>
    <row r="757" spans="18:18" ht="15.75" customHeight="1">
      <c r="R757" s="30"/>
    </row>
    <row r="758" spans="18:18" ht="15.75" customHeight="1">
      <c r="R758" s="30"/>
    </row>
    <row r="759" spans="18:18" ht="15.75" customHeight="1">
      <c r="R759" s="30"/>
    </row>
    <row r="760" spans="18:18" ht="15.75" customHeight="1">
      <c r="R760" s="30"/>
    </row>
    <row r="761" spans="18:18" ht="15.75" customHeight="1">
      <c r="R761" s="30"/>
    </row>
    <row r="762" spans="18:18" ht="15.75" customHeight="1">
      <c r="R762" s="30"/>
    </row>
    <row r="763" spans="18:18" ht="15.75" customHeight="1">
      <c r="R763" s="30"/>
    </row>
    <row r="764" spans="18:18" ht="15.75" customHeight="1">
      <c r="R764" s="30"/>
    </row>
    <row r="765" spans="18:18" ht="15.75" customHeight="1">
      <c r="R765" s="30"/>
    </row>
    <row r="766" spans="18:18" ht="15.75" customHeight="1">
      <c r="R766" s="30"/>
    </row>
    <row r="767" spans="18:18" ht="15.75" customHeight="1">
      <c r="R767" s="30"/>
    </row>
    <row r="768" spans="18:18" ht="15.75" customHeight="1">
      <c r="R768" s="30"/>
    </row>
    <row r="769" spans="18:18" ht="15.75" customHeight="1">
      <c r="R769" s="30"/>
    </row>
    <row r="770" spans="18:18" ht="15.75" customHeight="1">
      <c r="R770" s="30"/>
    </row>
    <row r="771" spans="18:18" ht="15.75" customHeight="1">
      <c r="R771" s="30"/>
    </row>
    <row r="772" spans="18:18" ht="15.75" customHeight="1">
      <c r="R772" s="30"/>
    </row>
    <row r="773" spans="18:18" ht="15.75" customHeight="1">
      <c r="R773" s="30"/>
    </row>
    <row r="774" spans="18:18" ht="15.75" customHeight="1">
      <c r="R774" s="30"/>
    </row>
    <row r="775" spans="18:18" ht="15.75" customHeight="1">
      <c r="R775" s="30"/>
    </row>
    <row r="776" spans="18:18" ht="15.75" customHeight="1">
      <c r="R776" s="30"/>
    </row>
    <row r="777" spans="18:18" ht="15.75" customHeight="1">
      <c r="R777" s="30"/>
    </row>
    <row r="778" spans="18:18" ht="15.75" customHeight="1">
      <c r="R778" s="30"/>
    </row>
    <row r="779" spans="18:18" ht="15.75" customHeight="1">
      <c r="R779" s="30"/>
    </row>
    <row r="780" spans="18:18" ht="15.75" customHeight="1">
      <c r="R780" s="30"/>
    </row>
    <row r="781" spans="18:18" ht="15.75" customHeight="1">
      <c r="R781" s="30"/>
    </row>
    <row r="782" spans="18:18" ht="15.75" customHeight="1">
      <c r="R782" s="30"/>
    </row>
    <row r="783" spans="18:18" ht="15.75" customHeight="1">
      <c r="R783" s="30"/>
    </row>
    <row r="784" spans="18:18" ht="15.75" customHeight="1">
      <c r="R784" s="30"/>
    </row>
    <row r="785" spans="18:18" ht="15.75" customHeight="1">
      <c r="R785" s="30"/>
    </row>
    <row r="786" spans="18:18" ht="15.75" customHeight="1">
      <c r="R786" s="30"/>
    </row>
    <row r="787" spans="18:18" ht="15.75" customHeight="1">
      <c r="R787" s="30"/>
    </row>
    <row r="788" spans="18:18" ht="15.75" customHeight="1">
      <c r="R788" s="30"/>
    </row>
    <row r="789" spans="18:18" ht="15.75" customHeight="1">
      <c r="R789" s="30"/>
    </row>
    <row r="790" spans="18:18" ht="15.75" customHeight="1">
      <c r="R790" s="30"/>
    </row>
    <row r="791" spans="18:18" ht="15.75" customHeight="1">
      <c r="R791" s="30"/>
    </row>
    <row r="792" spans="18:18" ht="15.75" customHeight="1">
      <c r="R792" s="30"/>
    </row>
    <row r="793" spans="18:18" ht="15.75" customHeight="1">
      <c r="R793" s="30"/>
    </row>
    <row r="794" spans="18:18" ht="15.75" customHeight="1">
      <c r="R794" s="30"/>
    </row>
    <row r="795" spans="18:18" ht="15.75" customHeight="1">
      <c r="R795" s="30"/>
    </row>
    <row r="796" spans="18:18" ht="15.75" customHeight="1">
      <c r="R796" s="30"/>
    </row>
    <row r="797" spans="18:18" ht="15.75" customHeight="1">
      <c r="R797" s="30"/>
    </row>
    <row r="798" spans="18:18" ht="15.75" customHeight="1">
      <c r="R798" s="30"/>
    </row>
    <row r="799" spans="18:18" ht="15.75" customHeight="1">
      <c r="R799" s="30"/>
    </row>
    <row r="800" spans="18:18" ht="15.75" customHeight="1">
      <c r="R800" s="30"/>
    </row>
    <row r="801" spans="18:18" ht="15.75" customHeight="1">
      <c r="R801" s="30"/>
    </row>
    <row r="802" spans="18:18" ht="15.75" customHeight="1">
      <c r="R802" s="30"/>
    </row>
    <row r="803" spans="18:18" ht="15.75" customHeight="1">
      <c r="R803" s="30"/>
    </row>
    <row r="804" spans="18:18" ht="15.75" customHeight="1">
      <c r="R804" s="30"/>
    </row>
    <row r="805" spans="18:18" ht="15.75" customHeight="1">
      <c r="R805" s="30"/>
    </row>
    <row r="806" spans="18:18" ht="15.75" customHeight="1">
      <c r="R806" s="30"/>
    </row>
    <row r="807" spans="18:18" ht="15.75" customHeight="1">
      <c r="R807" s="30"/>
    </row>
    <row r="808" spans="18:18" ht="15.75" customHeight="1">
      <c r="R808" s="30"/>
    </row>
    <row r="809" spans="18:18" ht="15.75" customHeight="1">
      <c r="R809" s="30"/>
    </row>
    <row r="810" spans="18:18" ht="15.75" customHeight="1">
      <c r="R810" s="30"/>
    </row>
    <row r="811" spans="18:18" ht="15.75" customHeight="1">
      <c r="R811" s="30"/>
    </row>
    <row r="812" spans="18:18" ht="15.75" customHeight="1">
      <c r="R812" s="30"/>
    </row>
    <row r="813" spans="18:18" ht="15.75" customHeight="1">
      <c r="R813" s="30"/>
    </row>
    <row r="814" spans="18:18" ht="15.75" customHeight="1">
      <c r="R814" s="30"/>
    </row>
    <row r="815" spans="18:18" ht="15.75" customHeight="1">
      <c r="R815" s="30"/>
    </row>
    <row r="816" spans="18:18" ht="15.75" customHeight="1">
      <c r="R816" s="30"/>
    </row>
    <row r="817" spans="18:18" ht="15.75" customHeight="1">
      <c r="R817" s="30"/>
    </row>
    <row r="818" spans="18:18" ht="15.75" customHeight="1">
      <c r="R818" s="30"/>
    </row>
    <row r="819" spans="18:18" ht="15.75" customHeight="1">
      <c r="R819" s="30"/>
    </row>
    <row r="820" spans="18:18" ht="15.75" customHeight="1">
      <c r="R820" s="30"/>
    </row>
    <row r="821" spans="18:18" ht="15.75" customHeight="1">
      <c r="R821" s="30"/>
    </row>
    <row r="822" spans="18:18" ht="15.75" customHeight="1">
      <c r="R822" s="30"/>
    </row>
    <row r="823" spans="18:18" ht="15.75" customHeight="1">
      <c r="R823" s="30"/>
    </row>
    <row r="824" spans="18:18" ht="15.75" customHeight="1">
      <c r="R824" s="30"/>
    </row>
    <row r="825" spans="18:18" ht="15.75" customHeight="1">
      <c r="R825" s="30"/>
    </row>
    <row r="826" spans="18:18" ht="15.75" customHeight="1">
      <c r="R826" s="30"/>
    </row>
    <row r="827" spans="18:18" ht="15.75" customHeight="1">
      <c r="R827" s="30"/>
    </row>
    <row r="828" spans="18:18" ht="15.75" customHeight="1">
      <c r="R828" s="30"/>
    </row>
    <row r="829" spans="18:18" ht="15.75" customHeight="1">
      <c r="R829" s="30"/>
    </row>
    <row r="830" spans="18:18" ht="15.75" customHeight="1">
      <c r="R830" s="30"/>
    </row>
    <row r="831" spans="18:18" ht="15.75" customHeight="1">
      <c r="R831" s="30"/>
    </row>
    <row r="832" spans="18:18" ht="15.75" customHeight="1">
      <c r="R832" s="30"/>
    </row>
    <row r="833" spans="18:18" ht="15.75" customHeight="1">
      <c r="R833" s="30"/>
    </row>
    <row r="834" spans="18:18" ht="15.75" customHeight="1">
      <c r="R834" s="30"/>
    </row>
    <row r="835" spans="18:18" ht="15.75" customHeight="1">
      <c r="R835" s="30"/>
    </row>
    <row r="836" spans="18:18" ht="15.75" customHeight="1">
      <c r="R836" s="30"/>
    </row>
    <row r="837" spans="18:18" ht="15.75" customHeight="1">
      <c r="R837" s="30"/>
    </row>
    <row r="838" spans="18:18" ht="15.75" customHeight="1">
      <c r="R838" s="30"/>
    </row>
    <row r="839" spans="18:18" ht="15.75" customHeight="1">
      <c r="R839" s="30"/>
    </row>
    <row r="840" spans="18:18" ht="15.75" customHeight="1">
      <c r="R840" s="30"/>
    </row>
    <row r="841" spans="18:18" ht="15.75" customHeight="1">
      <c r="R841" s="30"/>
    </row>
    <row r="842" spans="18:18" ht="15.75" customHeight="1">
      <c r="R842" s="30"/>
    </row>
    <row r="843" spans="18:18" ht="15.75" customHeight="1">
      <c r="R843" s="30"/>
    </row>
    <row r="844" spans="18:18" ht="15.75" customHeight="1">
      <c r="R844" s="30"/>
    </row>
    <row r="845" spans="18:18" ht="15.75" customHeight="1">
      <c r="R845" s="30"/>
    </row>
    <row r="846" spans="18:18" ht="15.75" customHeight="1">
      <c r="R846" s="30"/>
    </row>
    <row r="847" spans="18:18" ht="15.75" customHeight="1">
      <c r="R847" s="30"/>
    </row>
    <row r="848" spans="18:18" ht="15.75" customHeight="1">
      <c r="R848" s="30"/>
    </row>
    <row r="849" spans="18:18" ht="15.75" customHeight="1">
      <c r="R849" s="30"/>
    </row>
    <row r="850" spans="18:18" ht="15.75" customHeight="1">
      <c r="R850" s="30"/>
    </row>
    <row r="851" spans="18:18" ht="15.75" customHeight="1">
      <c r="R851" s="30"/>
    </row>
    <row r="852" spans="18:18" ht="15.75" customHeight="1">
      <c r="R852" s="30"/>
    </row>
    <row r="853" spans="18:18" ht="15.75" customHeight="1">
      <c r="R853" s="30"/>
    </row>
    <row r="854" spans="18:18" ht="15.75" customHeight="1">
      <c r="R854" s="30"/>
    </row>
    <row r="855" spans="18:18" ht="15.75" customHeight="1">
      <c r="R855" s="30"/>
    </row>
    <row r="856" spans="18:18" ht="15.75" customHeight="1">
      <c r="R856" s="30"/>
    </row>
    <row r="857" spans="18:18" ht="15.75" customHeight="1">
      <c r="R857" s="30"/>
    </row>
    <row r="858" spans="18:18" ht="15.75" customHeight="1">
      <c r="R858" s="30"/>
    </row>
    <row r="859" spans="18:18" ht="15.75" customHeight="1">
      <c r="R859" s="30"/>
    </row>
    <row r="860" spans="18:18" ht="15.75" customHeight="1">
      <c r="R860" s="30"/>
    </row>
    <row r="861" spans="18:18" ht="15.75" customHeight="1">
      <c r="R861" s="30"/>
    </row>
    <row r="862" spans="18:18" ht="15.75" customHeight="1">
      <c r="R862" s="30"/>
    </row>
    <row r="863" spans="18:18" ht="15.75" customHeight="1">
      <c r="R863" s="30"/>
    </row>
    <row r="864" spans="18:18" ht="15.75" customHeight="1">
      <c r="R864" s="30"/>
    </row>
    <row r="865" spans="18:18" ht="15.75" customHeight="1">
      <c r="R865" s="30"/>
    </row>
    <row r="866" spans="18:18" ht="15.75" customHeight="1">
      <c r="R866" s="30"/>
    </row>
    <row r="867" spans="18:18" ht="15.75" customHeight="1">
      <c r="R867" s="30"/>
    </row>
    <row r="868" spans="18:18" ht="15.75" customHeight="1">
      <c r="R868" s="30"/>
    </row>
    <row r="869" spans="18:18" ht="15.75" customHeight="1">
      <c r="R869" s="30"/>
    </row>
    <row r="870" spans="18:18" ht="15.75" customHeight="1">
      <c r="R870" s="30"/>
    </row>
    <row r="871" spans="18:18" ht="15.75" customHeight="1">
      <c r="R871" s="30"/>
    </row>
    <row r="872" spans="18:18" ht="15.75" customHeight="1">
      <c r="R872" s="30"/>
    </row>
    <row r="873" spans="18:18" ht="15.75" customHeight="1">
      <c r="R873" s="30"/>
    </row>
    <row r="874" spans="18:18" ht="15.75" customHeight="1">
      <c r="R874" s="30"/>
    </row>
    <row r="875" spans="18:18" ht="15.75" customHeight="1">
      <c r="R875" s="30"/>
    </row>
    <row r="876" spans="18:18" ht="15.75" customHeight="1">
      <c r="R876" s="30"/>
    </row>
    <row r="877" spans="18:18" ht="15.75" customHeight="1">
      <c r="R877" s="30"/>
    </row>
    <row r="878" spans="18:18" ht="15.75" customHeight="1">
      <c r="R878" s="30"/>
    </row>
    <row r="879" spans="18:18" ht="15.75" customHeight="1">
      <c r="R879" s="30"/>
    </row>
    <row r="880" spans="18:18" ht="15.75" customHeight="1">
      <c r="R880" s="30"/>
    </row>
    <row r="881" spans="18:18" ht="15.75" customHeight="1">
      <c r="R881" s="30"/>
    </row>
    <row r="882" spans="18:18" ht="15.75" customHeight="1">
      <c r="R882" s="30"/>
    </row>
    <row r="883" spans="18:18" ht="15.75" customHeight="1">
      <c r="R883" s="30"/>
    </row>
    <row r="884" spans="18:18" ht="15.75" customHeight="1">
      <c r="R884" s="30"/>
    </row>
    <row r="885" spans="18:18" ht="15.75" customHeight="1">
      <c r="R885" s="30"/>
    </row>
    <row r="886" spans="18:18" ht="15.75" customHeight="1">
      <c r="R886" s="30"/>
    </row>
    <row r="887" spans="18:18" ht="15.75" customHeight="1">
      <c r="R887" s="30"/>
    </row>
    <row r="888" spans="18:18" ht="15.75" customHeight="1">
      <c r="R888" s="30"/>
    </row>
    <row r="889" spans="18:18" ht="15.75" customHeight="1">
      <c r="R889" s="30"/>
    </row>
    <row r="890" spans="18:18" ht="15.75" customHeight="1">
      <c r="R890" s="30"/>
    </row>
    <row r="891" spans="18:18" ht="15.75" customHeight="1">
      <c r="R891" s="30"/>
    </row>
    <row r="892" spans="18:18" ht="15.75" customHeight="1">
      <c r="R892" s="30"/>
    </row>
    <row r="893" spans="18:18" ht="15.75" customHeight="1">
      <c r="R893" s="30"/>
    </row>
    <row r="894" spans="18:18" ht="15.75" customHeight="1">
      <c r="R894" s="30"/>
    </row>
    <row r="895" spans="18:18" ht="15.75" customHeight="1">
      <c r="R895" s="30"/>
    </row>
    <row r="896" spans="18:18" ht="15.75" customHeight="1">
      <c r="R896" s="30"/>
    </row>
    <row r="897" spans="18:18" ht="15.75" customHeight="1">
      <c r="R897" s="30"/>
    </row>
    <row r="898" spans="18:18" ht="15.75" customHeight="1">
      <c r="R898" s="30"/>
    </row>
    <row r="899" spans="18:18" ht="15.75" customHeight="1">
      <c r="R899" s="30"/>
    </row>
    <row r="900" spans="18:18" ht="15.75" customHeight="1">
      <c r="R900" s="30"/>
    </row>
    <row r="901" spans="18:18" ht="15.75" customHeight="1">
      <c r="R901" s="30"/>
    </row>
    <row r="902" spans="18:18" ht="15.75" customHeight="1">
      <c r="R902" s="30"/>
    </row>
    <row r="903" spans="18:18" ht="15.75" customHeight="1">
      <c r="R903" s="30"/>
    </row>
    <row r="904" spans="18:18" ht="15.75" customHeight="1">
      <c r="R904" s="30"/>
    </row>
    <row r="905" spans="18:18" ht="15.75" customHeight="1">
      <c r="R905" s="30"/>
    </row>
    <row r="906" spans="18:18" ht="15.75" customHeight="1">
      <c r="R906" s="30"/>
    </row>
    <row r="907" spans="18:18" ht="15.75" customHeight="1">
      <c r="R907" s="30"/>
    </row>
    <row r="908" spans="18:18" ht="15.75" customHeight="1">
      <c r="R908" s="30"/>
    </row>
    <row r="909" spans="18:18" ht="15.75" customHeight="1">
      <c r="R909" s="30"/>
    </row>
    <row r="910" spans="18:18" ht="15.75" customHeight="1">
      <c r="R910" s="30"/>
    </row>
    <row r="911" spans="18:18" ht="15.75" customHeight="1">
      <c r="R911" s="30"/>
    </row>
    <row r="912" spans="18:18" ht="15.75" customHeight="1">
      <c r="R912" s="30"/>
    </row>
    <row r="913" spans="18:18" ht="15.75" customHeight="1">
      <c r="R913" s="30"/>
    </row>
    <row r="914" spans="18:18" ht="15.75" customHeight="1">
      <c r="R914" s="30"/>
    </row>
    <row r="915" spans="18:18" ht="15.75" customHeight="1">
      <c r="R915" s="30"/>
    </row>
    <row r="916" spans="18:18" ht="15.75" customHeight="1">
      <c r="R916" s="30"/>
    </row>
    <row r="917" spans="18:18" ht="15.75" customHeight="1">
      <c r="R917" s="30"/>
    </row>
    <row r="918" spans="18:18" ht="15.75" customHeight="1">
      <c r="R918" s="30"/>
    </row>
    <row r="919" spans="18:18" ht="15.75" customHeight="1">
      <c r="R919" s="30"/>
    </row>
    <row r="920" spans="18:18" ht="15.75" customHeight="1">
      <c r="R920" s="30"/>
    </row>
    <row r="921" spans="18:18" ht="15.75" customHeight="1">
      <c r="R921" s="30"/>
    </row>
    <row r="922" spans="18:18" ht="15.75" customHeight="1">
      <c r="R922" s="30"/>
    </row>
    <row r="923" spans="18:18" ht="15.75" customHeight="1">
      <c r="R923" s="30"/>
    </row>
    <row r="924" spans="18:18" ht="15.75" customHeight="1">
      <c r="R924" s="30"/>
    </row>
    <row r="925" spans="18:18" ht="15.75" customHeight="1">
      <c r="R925" s="30"/>
    </row>
    <row r="926" spans="18:18" ht="15.75" customHeight="1">
      <c r="R926" s="30"/>
    </row>
    <row r="927" spans="18:18" ht="15.75" customHeight="1">
      <c r="R927" s="30"/>
    </row>
    <row r="928" spans="18:18" ht="15.75" customHeight="1">
      <c r="R928" s="30"/>
    </row>
    <row r="929" spans="18:18" ht="15.75" customHeight="1">
      <c r="R929" s="30"/>
    </row>
    <row r="930" spans="18:18" ht="15.75" customHeight="1">
      <c r="R930" s="30"/>
    </row>
    <row r="931" spans="18:18" ht="15.75" customHeight="1">
      <c r="R931" s="30"/>
    </row>
    <row r="932" spans="18:18" ht="15.75" customHeight="1">
      <c r="R932" s="30"/>
    </row>
    <row r="933" spans="18:18" ht="15.75" customHeight="1">
      <c r="R933" s="30"/>
    </row>
    <row r="934" spans="18:18" ht="15.75" customHeight="1">
      <c r="R934" s="30"/>
    </row>
    <row r="935" spans="18:18" ht="15.75" customHeight="1">
      <c r="R935" s="30"/>
    </row>
    <row r="936" spans="18:18" ht="15.75" customHeight="1">
      <c r="R936" s="30"/>
    </row>
    <row r="937" spans="18:18" ht="15.75" customHeight="1">
      <c r="R937" s="30"/>
    </row>
    <row r="938" spans="18:18" ht="15.75" customHeight="1">
      <c r="R938" s="30"/>
    </row>
    <row r="939" spans="18:18" ht="15.75" customHeight="1">
      <c r="R939" s="30"/>
    </row>
    <row r="940" spans="18:18" ht="15.75" customHeight="1">
      <c r="R940" s="30"/>
    </row>
    <row r="941" spans="18:18" ht="15.75" customHeight="1">
      <c r="R941" s="30"/>
    </row>
    <row r="942" spans="18:18" ht="15.75" customHeight="1">
      <c r="R942" s="30"/>
    </row>
    <row r="943" spans="18:18" ht="15.75" customHeight="1">
      <c r="R943" s="30"/>
    </row>
    <row r="944" spans="18:18" ht="15.75" customHeight="1">
      <c r="R944" s="30"/>
    </row>
    <row r="945" spans="18:18" ht="15.75" customHeight="1">
      <c r="R945" s="30"/>
    </row>
    <row r="946" spans="18:18" ht="15.75" customHeight="1">
      <c r="R946" s="30"/>
    </row>
    <row r="947" spans="18:18" ht="15.75" customHeight="1">
      <c r="R947" s="30"/>
    </row>
    <row r="948" spans="18:18" ht="15.75" customHeight="1">
      <c r="R948" s="30"/>
    </row>
    <row r="949" spans="18:18" ht="15.75" customHeight="1">
      <c r="R949" s="30"/>
    </row>
    <row r="950" spans="18:18" ht="15.75" customHeight="1">
      <c r="R950" s="30"/>
    </row>
    <row r="951" spans="18:18" ht="15.75" customHeight="1">
      <c r="R951" s="30"/>
    </row>
    <row r="952" spans="18:18" ht="15.75" customHeight="1">
      <c r="R952" s="30"/>
    </row>
    <row r="953" spans="18:18" ht="15.75" customHeight="1">
      <c r="R953" s="30"/>
    </row>
    <row r="954" spans="18:18" ht="15.75" customHeight="1">
      <c r="R954" s="30"/>
    </row>
    <row r="955" spans="18:18" ht="15.75" customHeight="1">
      <c r="R955" s="30"/>
    </row>
    <row r="956" spans="18:18" ht="15.75" customHeight="1">
      <c r="R956" s="30"/>
    </row>
    <row r="957" spans="18:18" ht="15.75" customHeight="1">
      <c r="R957" s="30"/>
    </row>
    <row r="958" spans="18:18" ht="15.75" customHeight="1">
      <c r="R958" s="30"/>
    </row>
    <row r="959" spans="18:18" ht="15.75" customHeight="1">
      <c r="R959" s="30"/>
    </row>
    <row r="960" spans="18:18" ht="15.75" customHeight="1">
      <c r="R960" s="30"/>
    </row>
    <row r="961" spans="18:18" ht="15.75" customHeight="1">
      <c r="R961" s="30"/>
    </row>
    <row r="962" spans="18:18" ht="15.75" customHeight="1">
      <c r="R962" s="30"/>
    </row>
    <row r="963" spans="18:18" ht="15.75" customHeight="1">
      <c r="R963" s="30"/>
    </row>
    <row r="964" spans="18:18" ht="15.75" customHeight="1">
      <c r="R964" s="30"/>
    </row>
    <row r="965" spans="18:18" ht="15.75" customHeight="1">
      <c r="R965" s="30"/>
    </row>
    <row r="966" spans="18:18" ht="15.75" customHeight="1">
      <c r="R966" s="30"/>
    </row>
    <row r="967" spans="18:18" ht="15.75" customHeight="1">
      <c r="R967" s="30"/>
    </row>
    <row r="968" spans="18:18" ht="15.75" customHeight="1">
      <c r="R968" s="30"/>
    </row>
    <row r="969" spans="18:18" ht="15.75" customHeight="1">
      <c r="R969" s="30"/>
    </row>
    <row r="970" spans="18:18" ht="15.75" customHeight="1">
      <c r="R970" s="30"/>
    </row>
    <row r="971" spans="18:18" ht="15.75" customHeight="1">
      <c r="R971" s="30"/>
    </row>
    <row r="972" spans="18:18" ht="15.75" customHeight="1">
      <c r="R972" s="30"/>
    </row>
    <row r="973" spans="18:18" ht="15.75" customHeight="1">
      <c r="R973" s="30"/>
    </row>
    <row r="974" spans="18:18" ht="15.75" customHeight="1">
      <c r="R974" s="30"/>
    </row>
    <row r="975" spans="18:18" ht="15.75" customHeight="1">
      <c r="R975" s="30"/>
    </row>
    <row r="976" spans="18:18" ht="15.75" customHeight="1">
      <c r="R976" s="30"/>
    </row>
    <row r="977" spans="18:18" ht="15.75" customHeight="1">
      <c r="R977" s="30"/>
    </row>
    <row r="978" spans="18:18" ht="15.75" customHeight="1">
      <c r="R978" s="30"/>
    </row>
    <row r="979" spans="18:18" ht="15.75" customHeight="1">
      <c r="R979" s="30"/>
    </row>
    <row r="980" spans="18:18" ht="15.75" customHeight="1">
      <c r="R980" s="30"/>
    </row>
    <row r="981" spans="18:18" ht="15.75" customHeight="1">
      <c r="R981" s="30"/>
    </row>
    <row r="982" spans="18:18" ht="15.75" customHeight="1">
      <c r="R982" s="30"/>
    </row>
    <row r="983" spans="18:18" ht="15.75" customHeight="1">
      <c r="R983" s="30"/>
    </row>
    <row r="984" spans="18:18" ht="15.75" customHeight="1">
      <c r="R984" s="30"/>
    </row>
    <row r="985" spans="18:18" ht="15.75" customHeight="1">
      <c r="R985" s="30"/>
    </row>
    <row r="986" spans="18:18" ht="15.75" customHeight="1">
      <c r="R986" s="30"/>
    </row>
    <row r="987" spans="18:18" ht="15.75" customHeight="1">
      <c r="R987" s="30"/>
    </row>
    <row r="988" spans="18:18" ht="15.75" customHeight="1">
      <c r="R988" s="30"/>
    </row>
    <row r="989" spans="18:18" ht="15.75" customHeight="1">
      <c r="R989" s="30"/>
    </row>
    <row r="990" spans="18:18" ht="15.75" customHeight="1">
      <c r="R990" s="30"/>
    </row>
    <row r="991" spans="18:18" ht="15.75" customHeight="1">
      <c r="R991" s="30"/>
    </row>
    <row r="992" spans="18:18" ht="15.75" customHeight="1">
      <c r="R992" s="30"/>
    </row>
    <row r="993" spans="18:18" ht="15.75" customHeight="1">
      <c r="R993" s="30"/>
    </row>
    <row r="994" spans="18:18" ht="15.75" customHeight="1">
      <c r="R994" s="30"/>
    </row>
    <row r="995" spans="18:18" ht="15.75" customHeight="1">
      <c r="R995" s="30"/>
    </row>
    <row r="996" spans="18:18" ht="15.75" customHeight="1">
      <c r="R996" s="30"/>
    </row>
    <row r="997" spans="18:18" ht="15.75" customHeight="1">
      <c r="R997" s="30"/>
    </row>
    <row r="998" spans="18:18" ht="15.75" customHeight="1">
      <c r="R998" s="30"/>
    </row>
    <row r="999" spans="18:18" ht="15.75" customHeight="1">
      <c r="R999" s="30"/>
    </row>
    <row r="1000" spans="18:18" ht="15.75" customHeight="1">
      <c r="R1000" s="3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2.6640625" defaultRowHeight="15" customHeight="1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8.6640625" customWidth="1"/>
    <col min="6" max="6" width="9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16.33203125" customWidth="1"/>
    <col min="16" max="16" width="10" customWidth="1"/>
    <col min="17" max="18" width="7.33203125" customWidth="1"/>
    <col min="19" max="19" width="7.1640625" customWidth="1"/>
    <col min="20" max="20" width="11.1640625" customWidth="1"/>
    <col min="21" max="21" width="13.5" customWidth="1"/>
    <col min="22" max="22" width="91.664062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6640625" customWidth="1"/>
    <col min="32" max="32" width="10.1640625" customWidth="1"/>
    <col min="33" max="33" width="8.83203125" customWidth="1"/>
  </cols>
  <sheetData>
    <row r="1" spans="1:33" ht="18.75" customHeight="1">
      <c r="A1" s="46" t="str">
        <f ca="1">IFERROR(__xludf.DUMMYFUNCTION("IFERROR(VLOOKUP(B2,IMPORTRANGE(""https://docs.google.com/spreadsheets/d/1x0DhHglkXKoEBOD2MBsuK_EyIr1ouxD2ftIpqOYFa-k/edit?usp=sharing"",""Ubiquitty-SKU-Specific Info!B1:BJ5000""),3,FALSE),"""")"),"50 Ft Black Oil Resistant Extension Cord with 3 Electrical Power Outlets for Farms and Ranches - 14/3 SJTOW Heavy Duty Outdoor Cable with 3 Prong Grounded Plug for Safety")</f>
        <v>50 Ft Black Oil Resistant Extension Cord with 3 Electrical Power Outlets for Farms and Ranches - 14/3 SJTOW Heavy Duty Outdoor Cable with 3 Prong Grounded Plug for Safety</v>
      </c>
      <c r="B1" s="47"/>
      <c r="C1" s="48" t="s">
        <v>0</v>
      </c>
      <c r="D1" s="50" t="s">
        <v>1</v>
      </c>
      <c r="E1" s="50" t="s">
        <v>2</v>
      </c>
      <c r="F1" s="52" t="s">
        <v>3</v>
      </c>
      <c r="G1" s="52" t="s">
        <v>4</v>
      </c>
      <c r="H1" s="53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58" t="s">
        <v>10</v>
      </c>
      <c r="N1" s="59" t="s">
        <v>11</v>
      </c>
      <c r="O1" s="50" t="s">
        <v>12</v>
      </c>
      <c r="P1" s="50" t="s">
        <v>13</v>
      </c>
      <c r="Q1" s="57" t="s">
        <v>14</v>
      </c>
      <c r="R1" s="57" t="s">
        <v>15</v>
      </c>
      <c r="S1" s="60" t="s">
        <v>16</v>
      </c>
      <c r="T1" s="62" t="s">
        <v>2006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Info!B1:BJ5000""),2,FALSE),"""")"),"B08NFFNSP7")</f>
        <v>B08NFFNSP7</v>
      </c>
      <c r="B2" s="3" t="s">
        <v>1923</v>
      </c>
      <c r="C2" s="49"/>
      <c r="D2" s="49"/>
      <c r="E2" s="51"/>
      <c r="F2" s="49"/>
      <c r="G2" s="49"/>
      <c r="H2" s="54"/>
      <c r="I2" s="49"/>
      <c r="J2" s="49"/>
      <c r="K2" s="54"/>
      <c r="L2" s="54"/>
      <c r="M2" s="54"/>
      <c r="N2" s="49"/>
      <c r="O2" s="49"/>
      <c r="P2" s="51"/>
      <c r="Q2" s="49"/>
      <c r="R2" s="49"/>
      <c r="S2" s="61"/>
      <c r="T2" s="47"/>
      <c r="U2" s="63"/>
      <c r="V2" s="63"/>
      <c r="W2" s="47"/>
      <c r="X2" s="47"/>
      <c r="Y2" s="47"/>
      <c r="Z2" s="47"/>
      <c r="AA2" s="63"/>
      <c r="AB2" s="63"/>
      <c r="AC2" s="63"/>
      <c r="AD2" s="63"/>
      <c r="AE2" s="47"/>
      <c r="AF2" s="47"/>
      <c r="AG2" s="47"/>
    </row>
    <row r="3" spans="1:33" ht="159" customHeight="1">
      <c r="A3" s="55" t="s">
        <v>31</v>
      </c>
      <c r="B3" s="56"/>
      <c r="C3" s="4">
        <f>((AE32+AF32)/0.85)*-1</f>
        <v>24.42570743235294</v>
      </c>
      <c r="D3" s="5">
        <f>SUM(D4:D99765)</f>
        <v>323</v>
      </c>
      <c r="E3" s="5"/>
      <c r="F3" s="6">
        <f t="shared" ref="F3:G3" si="0">SUM(F4:F99765)</f>
        <v>11012.23</v>
      </c>
      <c r="G3" s="6">
        <f t="shared" si="0"/>
        <v>-193.69</v>
      </c>
      <c r="H3" s="7">
        <f>G3/F3*-1</f>
        <v>1.7588626463486506E-2</v>
      </c>
      <c r="I3" s="8">
        <f>J3/F3</f>
        <v>0.21565967607327258</v>
      </c>
      <c r="J3" s="6">
        <f>SUM(J4:J99765)</f>
        <v>2374.8939546443744</v>
      </c>
      <c r="K3" s="6">
        <f>J3/D3</f>
        <v>7.3526128626760814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2 - April
2 - May
2 - June
2 - July
2 - Aug
2 - Sept
2 - Oct
4 - Nov
2 - Dec
 - Jan
 - Feb")</f>
        <v xml:space="preserve"> - March
2 - April
2 - May
2 - June
2 - July
2 - Aug
2 - Sept
2 - Oct
4 - Nov
2 -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47</v>
      </c>
      <c r="X3" s="7">
        <f>W3/D3</f>
        <v>0.14551083591331268</v>
      </c>
      <c r="Y3" s="6"/>
      <c r="Z3" s="5"/>
      <c r="AA3" s="5"/>
      <c r="AB3" s="5"/>
      <c r="AC3" s="5"/>
      <c r="AD3" s="6">
        <f>SUM(AD4:AD99765)</f>
        <v>-91.694387255625031</v>
      </c>
      <c r="AE3" s="6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Info!B2:BZ3000""),37,FALSE)),"""")*-1"),-14.4818513175)</f>
        <v>-14.4818513175</v>
      </c>
      <c r="AG3" s="6">
        <f>SUM(AG4:AG99765)</f>
        <v>0</v>
      </c>
    </row>
    <row r="4" spans="1:33" ht="15.75" hidden="1" customHeight="1">
      <c r="A4" s="14"/>
      <c r="B4" s="14"/>
      <c r="C4" s="15"/>
      <c r="D4" s="16"/>
      <c r="E4" s="16"/>
      <c r="F4" s="17"/>
      <c r="G4" s="17"/>
      <c r="H4" s="18"/>
      <c r="I4" s="18"/>
      <c r="J4" s="17"/>
      <c r="K4" s="17"/>
      <c r="L4" s="16"/>
      <c r="M4" s="19"/>
      <c r="N4" s="16"/>
      <c r="O4" s="20"/>
      <c r="P4" s="20"/>
      <c r="Q4" s="16"/>
      <c r="R4" s="16"/>
      <c r="S4" s="21"/>
      <c r="T4" s="14"/>
      <c r="U4" s="22"/>
      <c r="V4" s="23"/>
      <c r="W4" s="14"/>
      <c r="X4" s="24"/>
      <c r="Y4" s="25"/>
      <c r="Z4" s="14"/>
      <c r="AA4" s="26"/>
      <c r="AB4" s="27"/>
      <c r="AC4" s="28"/>
      <c r="AD4" s="25"/>
      <c r="AE4" s="25"/>
      <c r="AF4" s="25"/>
      <c r="AG4" s="25"/>
    </row>
    <row r="5" spans="1:33" ht="15.75" hidden="1" customHeight="1">
      <c r="A5" s="14"/>
      <c r="B5" s="14"/>
      <c r="C5" s="15"/>
      <c r="D5" s="16"/>
      <c r="E5" s="16"/>
      <c r="F5" s="29"/>
      <c r="G5" s="29"/>
      <c r="H5" s="18"/>
      <c r="I5" s="18"/>
      <c r="J5" s="17"/>
      <c r="K5" s="17"/>
      <c r="L5" s="16"/>
      <c r="M5" s="19"/>
      <c r="N5" s="16"/>
      <c r="O5" s="20"/>
      <c r="P5" s="20"/>
      <c r="Q5" s="16"/>
      <c r="R5" s="16"/>
      <c r="S5" s="21"/>
      <c r="T5" s="14"/>
      <c r="U5" s="22"/>
      <c r="V5" s="23"/>
      <c r="W5" s="14"/>
      <c r="X5" s="24"/>
      <c r="Y5" s="25"/>
      <c r="Z5" s="14"/>
      <c r="AA5" s="14"/>
      <c r="AB5" s="27"/>
      <c r="AC5" s="28"/>
      <c r="AD5" s="25"/>
      <c r="AE5" s="25"/>
      <c r="AF5" s="25"/>
      <c r="AG5" s="25"/>
    </row>
    <row r="6" spans="1:33" ht="15.75" hidden="1" customHeight="1">
      <c r="A6" s="14"/>
      <c r="B6" s="14"/>
      <c r="C6" s="15"/>
      <c r="D6" s="16"/>
      <c r="E6" s="16"/>
      <c r="F6" s="29"/>
      <c r="G6" s="29"/>
      <c r="H6" s="18"/>
      <c r="I6" s="18"/>
      <c r="J6" s="17"/>
      <c r="K6" s="17"/>
      <c r="L6" s="16"/>
      <c r="M6" s="19"/>
      <c r="N6" s="16"/>
      <c r="O6" s="20"/>
      <c r="P6" s="20"/>
      <c r="Q6" s="16"/>
      <c r="R6" s="16"/>
      <c r="S6" s="21"/>
      <c r="T6" s="14"/>
      <c r="U6" s="22"/>
      <c r="V6" s="23"/>
      <c r="W6" s="14"/>
      <c r="X6" s="24"/>
      <c r="Y6" s="25"/>
      <c r="Z6" s="14"/>
      <c r="AA6" s="14"/>
      <c r="AB6" s="27"/>
      <c r="AC6" s="28"/>
      <c r="AD6" s="25"/>
      <c r="AE6" s="25"/>
      <c r="AF6" s="25"/>
      <c r="AG6" s="25"/>
    </row>
    <row r="7" spans="1:33" ht="15.75" hidden="1" customHeight="1">
      <c r="A7" s="14"/>
      <c r="B7" s="14"/>
      <c r="C7" s="15"/>
      <c r="D7" s="16"/>
      <c r="E7" s="16"/>
      <c r="F7" s="29"/>
      <c r="G7" s="29"/>
      <c r="H7" s="18"/>
      <c r="I7" s="18"/>
      <c r="J7" s="17"/>
      <c r="K7" s="17"/>
      <c r="L7" s="16"/>
      <c r="M7" s="19"/>
      <c r="N7" s="16"/>
      <c r="O7" s="20"/>
      <c r="P7" s="20"/>
      <c r="Q7" s="16"/>
      <c r="R7" s="16"/>
      <c r="S7" s="21"/>
      <c r="T7" s="14"/>
      <c r="U7" s="22"/>
      <c r="V7" s="23"/>
      <c r="W7" s="14"/>
      <c r="X7" s="24"/>
      <c r="Y7" s="25"/>
      <c r="Z7" s="14"/>
      <c r="AA7" s="14"/>
      <c r="AB7" s="27"/>
      <c r="AC7" s="28"/>
      <c r="AD7" s="25"/>
      <c r="AE7" s="25"/>
      <c r="AF7" s="25"/>
      <c r="AG7" s="25"/>
    </row>
    <row r="8" spans="1:33" ht="15.75" hidden="1" customHeight="1">
      <c r="A8" s="14"/>
      <c r="B8" s="14"/>
      <c r="C8" s="15"/>
      <c r="D8" s="16"/>
      <c r="E8" s="16"/>
      <c r="F8" s="29"/>
      <c r="G8" s="29"/>
      <c r="H8" s="18"/>
      <c r="I8" s="18"/>
      <c r="J8" s="17"/>
      <c r="K8" s="17"/>
      <c r="L8" s="16"/>
      <c r="M8" s="19"/>
      <c r="N8" s="16"/>
      <c r="O8" s="20"/>
      <c r="P8" s="20"/>
      <c r="Q8" s="16"/>
      <c r="R8" s="16"/>
      <c r="S8" s="21"/>
      <c r="T8" s="14"/>
      <c r="U8" s="22"/>
      <c r="V8" s="23"/>
      <c r="W8" s="14"/>
      <c r="X8" s="24"/>
      <c r="Y8" s="25"/>
      <c r="Z8" s="14"/>
      <c r="AA8" s="14"/>
      <c r="AB8" s="27"/>
      <c r="AC8" s="28"/>
      <c r="AD8" s="25"/>
      <c r="AE8" s="25"/>
      <c r="AF8" s="25"/>
      <c r="AG8" s="25"/>
    </row>
    <row r="9" spans="1:33" ht="15.75" hidden="1" customHeight="1">
      <c r="A9" s="14"/>
      <c r="B9" s="14"/>
      <c r="C9" s="15"/>
      <c r="D9" s="16"/>
      <c r="E9" s="16"/>
      <c r="F9" s="29"/>
      <c r="G9" s="29"/>
      <c r="H9" s="18"/>
      <c r="I9" s="18"/>
      <c r="J9" s="17"/>
      <c r="K9" s="17"/>
      <c r="L9" s="16"/>
      <c r="M9" s="19"/>
      <c r="N9" s="16"/>
      <c r="O9" s="20"/>
      <c r="P9" s="20"/>
      <c r="Q9" s="16"/>
      <c r="R9" s="16"/>
      <c r="S9" s="21"/>
      <c r="T9" s="14"/>
      <c r="U9" s="22"/>
      <c r="V9" s="23"/>
      <c r="W9" s="14"/>
      <c r="X9" s="24"/>
      <c r="Y9" s="25"/>
      <c r="Z9" s="14"/>
      <c r="AA9" s="14"/>
      <c r="AB9" s="27"/>
      <c r="AC9" s="28"/>
      <c r="AD9" s="25"/>
      <c r="AE9" s="25"/>
      <c r="AF9" s="25"/>
      <c r="AG9" s="25"/>
    </row>
    <row r="10" spans="1:33" ht="15.75" hidden="1" customHeight="1">
      <c r="A10" s="14"/>
      <c r="B10" s="14"/>
      <c r="C10" s="15"/>
      <c r="D10" s="16"/>
      <c r="E10" s="16"/>
      <c r="F10" s="29"/>
      <c r="G10" s="29"/>
      <c r="H10" s="18"/>
      <c r="I10" s="18"/>
      <c r="J10" s="17"/>
      <c r="K10" s="17"/>
      <c r="L10" s="16"/>
      <c r="M10" s="19"/>
      <c r="N10" s="16"/>
      <c r="O10" s="20"/>
      <c r="P10" s="20"/>
      <c r="Q10" s="16"/>
      <c r="R10" s="16"/>
      <c r="S10" s="21"/>
      <c r="T10" s="14"/>
      <c r="U10" s="22"/>
      <c r="V10" s="23"/>
      <c r="W10" s="14"/>
      <c r="X10" s="24"/>
      <c r="Y10" s="25"/>
      <c r="Z10" s="14"/>
      <c r="AA10" s="14"/>
      <c r="AB10" s="27"/>
      <c r="AC10" s="28"/>
      <c r="AD10" s="25"/>
      <c r="AE10" s="25"/>
      <c r="AF10" s="25"/>
      <c r="AG10" s="25"/>
    </row>
    <row r="11" spans="1:33" ht="15.75" hidden="1" customHeight="1">
      <c r="A11" s="14"/>
      <c r="B11" s="14"/>
      <c r="C11" s="15"/>
      <c r="D11" s="16"/>
      <c r="E11" s="16"/>
      <c r="F11" s="29"/>
      <c r="G11" s="29"/>
      <c r="H11" s="18"/>
      <c r="I11" s="18"/>
      <c r="J11" s="17"/>
      <c r="K11" s="17"/>
      <c r="L11" s="16"/>
      <c r="M11" s="19"/>
      <c r="N11" s="16"/>
      <c r="O11" s="20"/>
      <c r="P11" s="20"/>
      <c r="Q11" s="16"/>
      <c r="R11" s="16"/>
      <c r="S11" s="21"/>
      <c r="T11" s="14"/>
      <c r="U11" s="22"/>
      <c r="V11" s="23"/>
      <c r="W11" s="14"/>
      <c r="X11" s="24"/>
      <c r="Y11" s="25"/>
      <c r="Z11" s="14"/>
      <c r="AA11" s="14"/>
      <c r="AB11" s="27"/>
      <c r="AC11" s="28"/>
      <c r="AD11" s="25"/>
      <c r="AE11" s="25"/>
      <c r="AF11" s="25"/>
      <c r="AG11" s="25"/>
    </row>
    <row r="12" spans="1:33" ht="15.75" hidden="1" customHeight="1">
      <c r="A12" s="14"/>
      <c r="B12" s="14"/>
      <c r="C12" s="15"/>
      <c r="D12" s="16"/>
      <c r="E12" s="16"/>
      <c r="F12" s="29"/>
      <c r="G12" s="29"/>
      <c r="H12" s="18"/>
      <c r="I12" s="18"/>
      <c r="J12" s="17"/>
      <c r="K12" s="17"/>
      <c r="L12" s="16"/>
      <c r="M12" s="19"/>
      <c r="N12" s="16"/>
      <c r="O12" s="20"/>
      <c r="P12" s="20"/>
      <c r="Q12" s="16"/>
      <c r="R12" s="16"/>
      <c r="S12" s="21"/>
      <c r="T12" s="14"/>
      <c r="U12" s="22"/>
      <c r="V12" s="23"/>
      <c r="W12" s="14"/>
      <c r="X12" s="24"/>
      <c r="Y12" s="25"/>
      <c r="Z12" s="14"/>
      <c r="AA12" s="14"/>
      <c r="AB12" s="27"/>
      <c r="AC12" s="28"/>
      <c r="AD12" s="25"/>
      <c r="AE12" s="25"/>
      <c r="AF12" s="25"/>
      <c r="AG12" s="25"/>
    </row>
    <row r="13" spans="1:33" ht="15.75" hidden="1" customHeight="1">
      <c r="A13" s="14"/>
      <c r="B13" s="14"/>
      <c r="C13" s="15"/>
      <c r="D13" s="16"/>
      <c r="E13" s="16"/>
      <c r="F13" s="17"/>
      <c r="G13" s="29"/>
      <c r="H13" s="18"/>
      <c r="I13" s="18"/>
      <c r="J13" s="17"/>
      <c r="K13" s="17"/>
      <c r="L13" s="16"/>
      <c r="M13" s="19"/>
      <c r="N13" s="16"/>
      <c r="O13" s="20"/>
      <c r="P13" s="20"/>
      <c r="Q13" s="16"/>
      <c r="R13" s="16"/>
      <c r="S13" s="21"/>
      <c r="T13" s="14"/>
      <c r="U13" s="22"/>
      <c r="V13" s="23"/>
      <c r="W13" s="14"/>
      <c r="X13" s="24"/>
      <c r="Y13" s="25"/>
      <c r="Z13" s="14"/>
      <c r="AA13" s="14"/>
      <c r="AB13" s="27"/>
      <c r="AC13" s="28"/>
      <c r="AD13" s="25"/>
      <c r="AE13" s="25"/>
      <c r="AF13" s="25"/>
      <c r="AG13" s="25"/>
    </row>
    <row r="14" spans="1:33" ht="15.75" customHeight="1">
      <c r="A14" s="14" t="s">
        <v>32</v>
      </c>
      <c r="B14" s="14" t="s">
        <v>1924</v>
      </c>
      <c r="C14" s="15">
        <f t="shared" ref="C14:C32" si="1">IFERROR(F14/D14," - ")</f>
        <v>29.99</v>
      </c>
      <c r="D14" s="16">
        <v>2</v>
      </c>
      <c r="E14" s="16">
        <v>0</v>
      </c>
      <c r="F14" s="17">
        <v>59.98</v>
      </c>
      <c r="G14" s="29">
        <v>0</v>
      </c>
      <c r="H14" s="18">
        <f t="shared" ref="H14:H32" si="2">G14/F14*-1</f>
        <v>0</v>
      </c>
      <c r="I14" s="18">
        <f t="shared" ref="I14:I32" si="3">J14/F14</f>
        <v>0.16530898459903295</v>
      </c>
      <c r="J14" s="17">
        <f t="shared" ref="J14:J32" si="4">F14*0.85+G14+AF14*D14+D14*AE14+AG14+AD14</f>
        <v>9.9152328962499965</v>
      </c>
      <c r="K14" s="17">
        <f t="shared" ref="K14:K32" si="5">J14/D14</f>
        <v>4.9576164481249982</v>
      </c>
      <c r="L14" s="16">
        <v>4</v>
      </c>
      <c r="M14" s="19">
        <f t="shared" ref="M14:M32" si="6">IFERROR(D14/L14,"-")</f>
        <v>0.5</v>
      </c>
      <c r="N14" s="16">
        <v>197</v>
      </c>
      <c r="O14" s="20">
        <f t="shared" ref="O14:P14" si="7">D14/7</f>
        <v>0.2857142857142857</v>
      </c>
      <c r="P14" s="20">
        <f t="shared" si="7"/>
        <v>0</v>
      </c>
      <c r="Q14" s="16">
        <f t="shared" ref="Q14:Q32" si="8">ROUNDDOWN(N14/(O14+P14),0)</f>
        <v>689</v>
      </c>
      <c r="R14" s="16"/>
      <c r="S14" s="21">
        <v>1.01522842639593E-2</v>
      </c>
      <c r="T14" s="14">
        <v>204</v>
      </c>
      <c r="U14" s="22" t="s">
        <v>34</v>
      </c>
      <c r="V14" s="23" t="s">
        <v>34</v>
      </c>
      <c r="W14" s="14">
        <v>0</v>
      </c>
      <c r="X14" s="24">
        <f t="shared" ref="X14:X32" si="9">IFERROR(W14/D14,0)</f>
        <v>0</v>
      </c>
      <c r="Y14" s="25">
        <f t="shared" ref="Y14:Y32" si="10">IFERROR(G14/(W14+Z14)*-1,0)</f>
        <v>0</v>
      </c>
      <c r="Z14" s="14">
        <v>0</v>
      </c>
      <c r="AA14" s="14" t="s">
        <v>35</v>
      </c>
      <c r="AB14" s="27">
        <f t="shared" ref="AB14:AB32" si="11">IF(OR(AA14="UsLargeStandardSize",AA14="UsSmallStandardSize"),-0.69,-0.48)</f>
        <v>-0.69</v>
      </c>
      <c r="AC14" s="28">
        <v>0.20571271875000002</v>
      </c>
      <c r="AD14" s="25">
        <f t="shared" ref="AD14:AD32" si="12">IFERROR(AB14*AC14*D14*2,0)</f>
        <v>-0.56776710375000006</v>
      </c>
      <c r="AE14" s="25">
        <v>-6.18</v>
      </c>
      <c r="AF14" s="25">
        <v>-14.07</v>
      </c>
      <c r="AG14" s="25">
        <v>0</v>
      </c>
    </row>
    <row r="15" spans="1:33" ht="15.75" customHeight="1">
      <c r="A15" s="14" t="s">
        <v>36</v>
      </c>
      <c r="B15" s="14" t="s">
        <v>1925</v>
      </c>
      <c r="C15" s="15">
        <f t="shared" si="1"/>
        <v>29.99</v>
      </c>
      <c r="D15" s="16">
        <v>2</v>
      </c>
      <c r="E15" s="16">
        <v>0</v>
      </c>
      <c r="F15" s="17">
        <v>59.98</v>
      </c>
      <c r="G15" s="29">
        <v>0</v>
      </c>
      <c r="H15" s="18">
        <f t="shared" si="2"/>
        <v>0</v>
      </c>
      <c r="I15" s="18">
        <f t="shared" si="3"/>
        <v>0.16530898459903295</v>
      </c>
      <c r="J15" s="17">
        <f t="shared" si="4"/>
        <v>9.9152328962499965</v>
      </c>
      <c r="K15" s="17">
        <f t="shared" si="5"/>
        <v>4.9576164481249982</v>
      </c>
      <c r="L15" s="16">
        <v>4</v>
      </c>
      <c r="M15" s="19">
        <f t="shared" si="6"/>
        <v>0.5</v>
      </c>
      <c r="N15" s="16">
        <v>194</v>
      </c>
      <c r="O15" s="20">
        <f t="shared" ref="O15:P15" si="13">D15/7</f>
        <v>0.2857142857142857</v>
      </c>
      <c r="P15" s="20">
        <f t="shared" si="13"/>
        <v>0</v>
      </c>
      <c r="Q15" s="16">
        <f t="shared" si="8"/>
        <v>679</v>
      </c>
      <c r="R15" s="16"/>
      <c r="S15" s="21">
        <v>4.6153846153846101E-2</v>
      </c>
      <c r="T15" s="14">
        <v>204</v>
      </c>
      <c r="U15" s="22" t="s">
        <v>34</v>
      </c>
      <c r="V15" s="23" t="s">
        <v>34</v>
      </c>
      <c r="W15" s="14">
        <v>0</v>
      </c>
      <c r="X15" s="24">
        <f t="shared" si="9"/>
        <v>0</v>
      </c>
      <c r="Y15" s="25">
        <f t="shared" si="10"/>
        <v>0</v>
      </c>
      <c r="Z15" s="14">
        <v>0</v>
      </c>
      <c r="AA15" s="14" t="s">
        <v>35</v>
      </c>
      <c r="AB15" s="27">
        <f t="shared" si="11"/>
        <v>-0.69</v>
      </c>
      <c r="AC15" s="28">
        <v>0.20571271875000002</v>
      </c>
      <c r="AD15" s="25">
        <f t="shared" si="12"/>
        <v>-0.56776710375000006</v>
      </c>
      <c r="AE15" s="25">
        <v>-6.18</v>
      </c>
      <c r="AF15" s="25">
        <v>-14.07</v>
      </c>
      <c r="AG15" s="25">
        <v>0</v>
      </c>
    </row>
    <row r="16" spans="1:33" ht="15.75" customHeight="1">
      <c r="A16" s="14" t="s">
        <v>38</v>
      </c>
      <c r="B16" s="14" t="s">
        <v>260</v>
      </c>
      <c r="C16" s="15">
        <f t="shared" si="1"/>
        <v>30.422777777777785</v>
      </c>
      <c r="D16" s="16">
        <v>18</v>
      </c>
      <c r="E16" s="16">
        <v>0</v>
      </c>
      <c r="F16" s="17">
        <v>547.61000000000013</v>
      </c>
      <c r="G16" s="29">
        <v>-68.529999999999987</v>
      </c>
      <c r="H16" s="18">
        <f t="shared" si="2"/>
        <v>0.12514380672376321</v>
      </c>
      <c r="I16" s="18">
        <f t="shared" si="3"/>
        <v>4.9905217337612814E-2</v>
      </c>
      <c r="J16" s="17">
        <f t="shared" si="4"/>
        <v>27.32859606625016</v>
      </c>
      <c r="K16" s="17">
        <f t="shared" si="5"/>
        <v>1.5182553370138978</v>
      </c>
      <c r="L16" s="16">
        <v>37</v>
      </c>
      <c r="M16" s="19">
        <f t="shared" si="6"/>
        <v>0.48648648648648651</v>
      </c>
      <c r="N16" s="16">
        <v>172</v>
      </c>
      <c r="O16" s="20">
        <f t="shared" ref="O16:P16" si="14">D16/7</f>
        <v>2.5714285714285716</v>
      </c>
      <c r="P16" s="20">
        <f t="shared" si="14"/>
        <v>0</v>
      </c>
      <c r="Q16" s="16">
        <f t="shared" si="8"/>
        <v>66</v>
      </c>
      <c r="R16" s="16"/>
      <c r="S16" s="21">
        <v>0.25423728813559299</v>
      </c>
      <c r="T16" s="14">
        <v>204</v>
      </c>
      <c r="U16" s="22" t="s">
        <v>34</v>
      </c>
      <c r="V16" s="23" t="s">
        <v>34</v>
      </c>
      <c r="W16" s="14">
        <v>10</v>
      </c>
      <c r="X16" s="24">
        <f t="shared" si="9"/>
        <v>0.55555555555555558</v>
      </c>
      <c r="Y16" s="25">
        <f t="shared" si="10"/>
        <v>3.8072222222222214</v>
      </c>
      <c r="Z16" s="14">
        <v>8</v>
      </c>
      <c r="AA16" s="14" t="s">
        <v>35</v>
      </c>
      <c r="AB16" s="27">
        <f t="shared" si="11"/>
        <v>-0.69</v>
      </c>
      <c r="AC16" s="28">
        <v>0.20571271875000002</v>
      </c>
      <c r="AD16" s="25">
        <f t="shared" si="12"/>
        <v>-5.109903933750001</v>
      </c>
      <c r="AE16" s="25">
        <v>-6.18</v>
      </c>
      <c r="AF16" s="25">
        <v>-14.07</v>
      </c>
      <c r="AG16" s="25">
        <v>0</v>
      </c>
    </row>
    <row r="17" spans="1:33" ht="15.75" customHeight="1">
      <c r="A17" s="14" t="s">
        <v>40</v>
      </c>
      <c r="B17" s="14" t="s">
        <v>66</v>
      </c>
      <c r="C17" s="15">
        <f t="shared" si="1"/>
        <v>32.538695652173907</v>
      </c>
      <c r="D17" s="16">
        <v>23</v>
      </c>
      <c r="E17" s="16">
        <v>0</v>
      </c>
      <c r="F17" s="17">
        <v>748.38999999999987</v>
      </c>
      <c r="G17" s="29">
        <v>-55.680000000000007</v>
      </c>
      <c r="H17" s="18">
        <f t="shared" si="2"/>
        <v>7.4399711380430014E-2</v>
      </c>
      <c r="I17" s="18">
        <f t="shared" si="3"/>
        <v>0.1445398499537339</v>
      </c>
      <c r="J17" s="17">
        <f t="shared" si="4"/>
        <v>108.1721783068749</v>
      </c>
      <c r="K17" s="17">
        <f t="shared" si="5"/>
        <v>4.7031381872554308</v>
      </c>
      <c r="L17" s="16">
        <v>37</v>
      </c>
      <c r="M17" s="19">
        <f t="shared" si="6"/>
        <v>0.6216216216216216</v>
      </c>
      <c r="N17" s="16">
        <v>154</v>
      </c>
      <c r="O17" s="20">
        <f t="shared" ref="O17:P17" si="15">D17/7</f>
        <v>3.2857142857142856</v>
      </c>
      <c r="P17" s="20">
        <f t="shared" si="15"/>
        <v>0</v>
      </c>
      <c r="Q17" s="16">
        <f t="shared" si="8"/>
        <v>46</v>
      </c>
      <c r="R17" s="16"/>
      <c r="S17" s="21">
        <v>0.77358490566037696</v>
      </c>
      <c r="T17" s="14">
        <v>204</v>
      </c>
      <c r="U17" s="22" t="s">
        <v>34</v>
      </c>
      <c r="V17" s="23" t="s">
        <v>34</v>
      </c>
      <c r="W17" s="14">
        <v>11</v>
      </c>
      <c r="X17" s="24">
        <f t="shared" si="9"/>
        <v>0.47826086956521741</v>
      </c>
      <c r="Y17" s="25">
        <f t="shared" si="10"/>
        <v>2.9305263157894741</v>
      </c>
      <c r="Z17" s="14">
        <v>8</v>
      </c>
      <c r="AA17" s="14" t="s">
        <v>35</v>
      </c>
      <c r="AB17" s="27">
        <f t="shared" si="11"/>
        <v>-0.69</v>
      </c>
      <c r="AC17" s="28">
        <v>0.20571271875000002</v>
      </c>
      <c r="AD17" s="25">
        <f t="shared" si="12"/>
        <v>-6.5293216931250004</v>
      </c>
      <c r="AE17" s="25">
        <v>-6.18</v>
      </c>
      <c r="AF17" s="25">
        <v>-14.07</v>
      </c>
      <c r="AG17" s="25">
        <v>0</v>
      </c>
    </row>
    <row r="18" spans="1:33" ht="15.75" customHeight="1">
      <c r="A18" s="14" t="s">
        <v>42</v>
      </c>
      <c r="B18" s="14" t="s">
        <v>443</v>
      </c>
      <c r="C18" s="15">
        <f t="shared" si="1"/>
        <v>34.448181818181816</v>
      </c>
      <c r="D18" s="16">
        <v>11</v>
      </c>
      <c r="E18" s="16">
        <v>0</v>
      </c>
      <c r="F18" s="17">
        <v>378.93</v>
      </c>
      <c r="G18" s="29">
        <v>-8.83</v>
      </c>
      <c r="H18" s="18">
        <f t="shared" si="2"/>
        <v>2.3302456918164304E-2</v>
      </c>
      <c r="I18" s="18">
        <f t="shared" si="3"/>
        <v>0.23061721407482921</v>
      </c>
      <c r="J18" s="17">
        <f t="shared" si="4"/>
        <v>87.38778092937504</v>
      </c>
      <c r="K18" s="17">
        <f t="shared" si="5"/>
        <v>7.9443437208522765</v>
      </c>
      <c r="L18" s="16">
        <v>24</v>
      </c>
      <c r="M18" s="19">
        <f t="shared" si="6"/>
        <v>0.45833333333333331</v>
      </c>
      <c r="N18" s="16">
        <v>144</v>
      </c>
      <c r="O18" s="20">
        <f t="shared" ref="O18:P18" si="16">D18/7</f>
        <v>1.5714285714285714</v>
      </c>
      <c r="P18" s="20">
        <f t="shared" si="16"/>
        <v>0</v>
      </c>
      <c r="Q18" s="16">
        <f t="shared" si="8"/>
        <v>91</v>
      </c>
      <c r="R18" s="16"/>
      <c r="S18" s="21">
        <v>0.45217391304347798</v>
      </c>
      <c r="T18" s="14">
        <v>204</v>
      </c>
      <c r="U18" s="22">
        <v>0</v>
      </c>
      <c r="V18" s="23" t="s">
        <v>1926</v>
      </c>
      <c r="W18" s="14">
        <v>1</v>
      </c>
      <c r="X18" s="24">
        <f t="shared" si="9"/>
        <v>9.0909090909090912E-2</v>
      </c>
      <c r="Y18" s="25">
        <f t="shared" si="10"/>
        <v>8.83</v>
      </c>
      <c r="Z18" s="14">
        <v>0</v>
      </c>
      <c r="AA18" s="14" t="s">
        <v>35</v>
      </c>
      <c r="AB18" s="27">
        <f t="shared" si="11"/>
        <v>-0.69</v>
      </c>
      <c r="AC18" s="28">
        <v>0.20571271875000002</v>
      </c>
      <c r="AD18" s="25">
        <f t="shared" si="12"/>
        <v>-3.1227190706250001</v>
      </c>
      <c r="AE18" s="25">
        <v>-6.18</v>
      </c>
      <c r="AF18" s="25">
        <v>-14.07</v>
      </c>
      <c r="AG18" s="25">
        <v>0</v>
      </c>
    </row>
    <row r="19" spans="1:33" ht="15.75" customHeight="1">
      <c r="A19" s="14" t="s">
        <v>44</v>
      </c>
      <c r="B19" s="14" t="s">
        <v>64</v>
      </c>
      <c r="C19" s="15">
        <f t="shared" si="1"/>
        <v>34.447499999999998</v>
      </c>
      <c r="D19" s="16">
        <v>4</v>
      </c>
      <c r="E19" s="16">
        <v>0</v>
      </c>
      <c r="F19" s="17">
        <v>137.79</v>
      </c>
      <c r="G19" s="29">
        <v>0</v>
      </c>
      <c r="H19" s="18">
        <f t="shared" si="2"/>
        <v>0</v>
      </c>
      <c r="I19" s="18">
        <f t="shared" si="3"/>
        <v>0.23473376727266115</v>
      </c>
      <c r="J19" s="17">
        <f t="shared" si="4"/>
        <v>32.343965792499979</v>
      </c>
      <c r="K19" s="17">
        <f t="shared" si="5"/>
        <v>8.0859914481249948</v>
      </c>
      <c r="L19" s="16">
        <v>23</v>
      </c>
      <c r="M19" s="19">
        <f t="shared" si="6"/>
        <v>0.17391304347826086</v>
      </c>
      <c r="N19" s="16">
        <v>139</v>
      </c>
      <c r="O19" s="20">
        <f t="shared" ref="O19:P19" si="17">D19/7</f>
        <v>0.5714285714285714</v>
      </c>
      <c r="P19" s="20">
        <f t="shared" si="17"/>
        <v>0</v>
      </c>
      <c r="Q19" s="16">
        <f t="shared" si="8"/>
        <v>243</v>
      </c>
      <c r="R19" s="16"/>
      <c r="S19" s="21">
        <v>0.53731343283582</v>
      </c>
      <c r="T19" s="14">
        <v>204</v>
      </c>
      <c r="U19" s="22">
        <v>204</v>
      </c>
      <c r="V19" s="23" t="s">
        <v>1926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14" t="s">
        <v>35</v>
      </c>
      <c r="AB19" s="27">
        <f t="shared" si="11"/>
        <v>-0.69</v>
      </c>
      <c r="AC19" s="28">
        <v>0.20571271875000002</v>
      </c>
      <c r="AD19" s="25">
        <f t="shared" si="12"/>
        <v>-1.1355342075000001</v>
      </c>
      <c r="AE19" s="25">
        <v>-6.18</v>
      </c>
      <c r="AF19" s="25">
        <v>-14.730500000000001</v>
      </c>
      <c r="AG19" s="25">
        <v>0</v>
      </c>
    </row>
    <row r="20" spans="1:33" ht="15.75" customHeight="1">
      <c r="A20" s="14" t="s">
        <v>46</v>
      </c>
      <c r="B20" s="14" t="s">
        <v>66</v>
      </c>
      <c r="C20" s="15">
        <f t="shared" si="1"/>
        <v>30.369250000000001</v>
      </c>
      <c r="D20" s="16">
        <v>40</v>
      </c>
      <c r="E20" s="16">
        <v>0</v>
      </c>
      <c r="F20" s="17">
        <v>1214.77</v>
      </c>
      <c r="G20" s="29">
        <v>-50.960000000000008</v>
      </c>
      <c r="H20" s="18">
        <f t="shared" si="2"/>
        <v>4.1950328045638273E-2</v>
      </c>
      <c r="I20" s="18">
        <f t="shared" si="3"/>
        <v>0.11016007797772409</v>
      </c>
      <c r="J20" s="17">
        <f t="shared" si="4"/>
        <v>133.8191579249999</v>
      </c>
      <c r="K20" s="17">
        <f t="shared" si="5"/>
        <v>3.3454789481249976</v>
      </c>
      <c r="L20" s="16">
        <v>40</v>
      </c>
      <c r="M20" s="19">
        <f t="shared" si="6"/>
        <v>1</v>
      </c>
      <c r="N20" s="16">
        <v>101</v>
      </c>
      <c r="O20" s="20">
        <f t="shared" ref="O20:P20" si="18">D20/7</f>
        <v>5.7142857142857144</v>
      </c>
      <c r="P20" s="20">
        <f t="shared" si="18"/>
        <v>0</v>
      </c>
      <c r="Q20" s="16">
        <f t="shared" si="8"/>
        <v>17</v>
      </c>
      <c r="R20" s="16"/>
      <c r="S20" s="21">
        <v>0.875</v>
      </c>
      <c r="T20" s="14">
        <v>204</v>
      </c>
      <c r="U20" s="22">
        <v>204</v>
      </c>
      <c r="V20" s="23" t="s">
        <v>1926</v>
      </c>
      <c r="W20" s="14">
        <v>22</v>
      </c>
      <c r="X20" s="24">
        <f t="shared" si="9"/>
        <v>0.55000000000000004</v>
      </c>
      <c r="Y20" s="25">
        <f t="shared" si="10"/>
        <v>1.7572413793103452</v>
      </c>
      <c r="Z20" s="14">
        <v>7</v>
      </c>
      <c r="AA20" s="14" t="s">
        <v>35</v>
      </c>
      <c r="AB20" s="27">
        <f t="shared" si="11"/>
        <v>-0.69</v>
      </c>
      <c r="AC20" s="28">
        <v>0.20571271875000002</v>
      </c>
      <c r="AD20" s="25">
        <f t="shared" si="12"/>
        <v>-11.355342075000001</v>
      </c>
      <c r="AE20" s="25">
        <v>-6.18</v>
      </c>
      <c r="AF20" s="25">
        <v>-14.730500000000001</v>
      </c>
      <c r="AG20" s="25">
        <v>0</v>
      </c>
    </row>
    <row r="21" spans="1:33" ht="15.75" customHeight="1">
      <c r="A21" s="14" t="s">
        <v>47</v>
      </c>
      <c r="B21" s="14" t="s">
        <v>1927</v>
      </c>
      <c r="C21" s="15">
        <f t="shared" si="1"/>
        <v>30.817249999999994</v>
      </c>
      <c r="D21" s="16">
        <v>40</v>
      </c>
      <c r="E21" s="16">
        <v>0</v>
      </c>
      <c r="F21" s="17">
        <v>1232.6899999999998</v>
      </c>
      <c r="G21" s="29">
        <v>-9.6900000000000013</v>
      </c>
      <c r="H21" s="18">
        <f t="shared" si="2"/>
        <v>7.8608571498105795E-3</v>
      </c>
      <c r="I21" s="18">
        <f t="shared" si="3"/>
        <v>0.15439498813570313</v>
      </c>
      <c r="J21" s="17">
        <f t="shared" si="4"/>
        <v>190.32115792499985</v>
      </c>
      <c r="K21" s="17">
        <f t="shared" si="5"/>
        <v>4.7580289481249967</v>
      </c>
      <c r="L21" s="16">
        <v>25</v>
      </c>
      <c r="M21" s="19">
        <f t="shared" si="6"/>
        <v>1.6</v>
      </c>
      <c r="N21" s="16">
        <v>60</v>
      </c>
      <c r="O21" s="20">
        <f t="shared" ref="O21:P21" si="19">D21/7</f>
        <v>5.7142857142857144</v>
      </c>
      <c r="P21" s="20">
        <f t="shared" si="19"/>
        <v>0</v>
      </c>
      <c r="Q21" s="16">
        <f t="shared" si="8"/>
        <v>10</v>
      </c>
      <c r="R21" s="16"/>
      <c r="S21" s="21">
        <v>2.1106382978723399</v>
      </c>
      <c r="T21" s="14">
        <v>204</v>
      </c>
      <c r="U21" s="22">
        <v>204</v>
      </c>
      <c r="V21" s="23" t="s">
        <v>1928</v>
      </c>
      <c r="W21" s="14">
        <v>3</v>
      </c>
      <c r="X21" s="24">
        <f t="shared" si="9"/>
        <v>7.4999999999999997E-2</v>
      </c>
      <c r="Y21" s="25">
        <f t="shared" si="10"/>
        <v>1.9380000000000002</v>
      </c>
      <c r="Z21" s="14">
        <v>2</v>
      </c>
      <c r="AA21" s="14" t="s">
        <v>35</v>
      </c>
      <c r="AB21" s="27">
        <f t="shared" si="11"/>
        <v>-0.69</v>
      </c>
      <c r="AC21" s="28">
        <v>0.20571271875000002</v>
      </c>
      <c r="AD21" s="25">
        <f t="shared" si="12"/>
        <v>-11.355342075000001</v>
      </c>
      <c r="AE21" s="25">
        <v>-6.18</v>
      </c>
      <c r="AF21" s="25">
        <v>-14.730500000000001</v>
      </c>
      <c r="AG21" s="25">
        <v>0</v>
      </c>
    </row>
    <row r="22" spans="1:33" ht="15.75" customHeight="1">
      <c r="A22" s="14" t="s">
        <v>48</v>
      </c>
      <c r="B22" s="14" t="s">
        <v>68</v>
      </c>
      <c r="C22" s="15">
        <f t="shared" si="1"/>
        <v>33.927500000000009</v>
      </c>
      <c r="D22" s="16">
        <v>16</v>
      </c>
      <c r="E22" s="16">
        <v>1</v>
      </c>
      <c r="F22" s="29">
        <v>542.84000000000015</v>
      </c>
      <c r="G22" s="29">
        <v>0</v>
      </c>
      <c r="H22" s="18">
        <f t="shared" si="2"/>
        <v>0</v>
      </c>
      <c r="I22" s="18">
        <f t="shared" si="3"/>
        <v>0.22530370490383916</v>
      </c>
      <c r="J22" s="17">
        <f t="shared" si="4"/>
        <v>122.30386317000008</v>
      </c>
      <c r="K22" s="17">
        <f t="shared" si="5"/>
        <v>7.6439914481250053</v>
      </c>
      <c r="L22" s="16">
        <v>34</v>
      </c>
      <c r="M22" s="19">
        <f t="shared" si="6"/>
        <v>0.47058823529411764</v>
      </c>
      <c r="N22" s="16">
        <v>44</v>
      </c>
      <c r="O22" s="20">
        <f t="shared" ref="O22:P22" si="20">D22/7</f>
        <v>2.2857142857142856</v>
      </c>
      <c r="P22" s="20">
        <f t="shared" si="20"/>
        <v>0.14285714285714285</v>
      </c>
      <c r="Q22" s="16">
        <f t="shared" si="8"/>
        <v>18</v>
      </c>
      <c r="R22" s="16"/>
      <c r="S22" s="21">
        <v>3.0505050505050502</v>
      </c>
      <c r="T22" s="14">
        <v>204</v>
      </c>
      <c r="U22" s="22">
        <v>204</v>
      </c>
      <c r="V22" s="23" t="s">
        <v>1928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35</v>
      </c>
      <c r="AB22" s="27">
        <f t="shared" si="11"/>
        <v>-0.69</v>
      </c>
      <c r="AC22" s="28">
        <v>0.20571271875000002</v>
      </c>
      <c r="AD22" s="25">
        <f t="shared" si="12"/>
        <v>-4.5421368300000005</v>
      </c>
      <c r="AE22" s="25">
        <v>-6.18</v>
      </c>
      <c r="AF22" s="25">
        <v>-14.730500000000001</v>
      </c>
      <c r="AG22" s="25">
        <v>0</v>
      </c>
    </row>
    <row r="23" spans="1:33" ht="15.75" customHeight="1">
      <c r="A23" s="14" t="s">
        <v>49</v>
      </c>
      <c r="B23" s="14" t="s">
        <v>1929</v>
      </c>
      <c r="C23" s="15">
        <f t="shared" si="1"/>
        <v>34.910909090909087</v>
      </c>
      <c r="D23" s="16">
        <v>11</v>
      </c>
      <c r="E23" s="16">
        <v>0</v>
      </c>
      <c r="F23" s="17">
        <v>384.02</v>
      </c>
      <c r="G23" s="29">
        <v>0</v>
      </c>
      <c r="H23" s="18">
        <f t="shared" si="2"/>
        <v>0</v>
      </c>
      <c r="I23" s="18">
        <f t="shared" si="3"/>
        <v>0.2429008409181162</v>
      </c>
      <c r="J23" s="17">
        <f t="shared" si="4"/>
        <v>93.278780929374975</v>
      </c>
      <c r="K23" s="17">
        <f t="shared" si="5"/>
        <v>8.4798891753977248</v>
      </c>
      <c r="L23" s="16">
        <v>18</v>
      </c>
      <c r="M23" s="19">
        <f t="shared" si="6"/>
        <v>0.61111111111111116</v>
      </c>
      <c r="N23" s="16">
        <v>31</v>
      </c>
      <c r="O23" s="20">
        <f t="shared" ref="O23:P23" si="21">D23/7</f>
        <v>1.5714285714285714</v>
      </c>
      <c r="P23" s="20">
        <f t="shared" si="21"/>
        <v>0</v>
      </c>
      <c r="Q23" s="16">
        <f t="shared" si="8"/>
        <v>19</v>
      </c>
      <c r="R23" s="16"/>
      <c r="S23" s="21">
        <v>1.7386666666666599</v>
      </c>
      <c r="T23" s="14">
        <v>204</v>
      </c>
      <c r="U23" s="22">
        <v>204</v>
      </c>
      <c r="V23" s="23" t="s">
        <v>1930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35</v>
      </c>
      <c r="AB23" s="27">
        <f t="shared" si="11"/>
        <v>-0.69</v>
      </c>
      <c r="AC23" s="28">
        <v>0.20571271875000002</v>
      </c>
      <c r="AD23" s="25">
        <f t="shared" si="12"/>
        <v>-3.1227190706250001</v>
      </c>
      <c r="AE23" s="25">
        <v>-6.18</v>
      </c>
      <c r="AF23" s="25">
        <v>-14.730500000000001</v>
      </c>
      <c r="AG23" s="25">
        <v>0</v>
      </c>
    </row>
    <row r="24" spans="1:33" ht="15.75" customHeight="1">
      <c r="A24" s="14" t="s">
        <v>50</v>
      </c>
      <c r="B24" s="14" t="s">
        <v>1931</v>
      </c>
      <c r="C24" s="15">
        <f t="shared" si="1"/>
        <v>34.263529411764701</v>
      </c>
      <c r="D24" s="16">
        <v>17</v>
      </c>
      <c r="E24" s="16">
        <v>0</v>
      </c>
      <c r="F24" s="17">
        <v>582.4799999999999</v>
      </c>
      <c r="G24" s="17">
        <v>0</v>
      </c>
      <c r="H24" s="18">
        <f t="shared" si="2"/>
        <v>0</v>
      </c>
      <c r="I24" s="18">
        <f t="shared" si="3"/>
        <v>0.23143022870849625</v>
      </c>
      <c r="J24" s="17">
        <f t="shared" si="4"/>
        <v>134.80347961812487</v>
      </c>
      <c r="K24" s="17">
        <f t="shared" si="5"/>
        <v>7.9296164481249924</v>
      </c>
      <c r="L24" s="16">
        <v>23</v>
      </c>
      <c r="M24" s="19">
        <f t="shared" si="6"/>
        <v>0.73913043478260865</v>
      </c>
      <c r="N24" s="16">
        <v>17</v>
      </c>
      <c r="O24" s="20">
        <f t="shared" ref="O24:P24" si="22">D24/7</f>
        <v>2.4285714285714284</v>
      </c>
      <c r="P24" s="20">
        <f t="shared" si="22"/>
        <v>0</v>
      </c>
      <c r="Q24" s="16">
        <f t="shared" si="8"/>
        <v>7</v>
      </c>
      <c r="R24" s="16"/>
      <c r="S24" s="21">
        <v>1.9275766016713001</v>
      </c>
      <c r="T24" s="14">
        <v>204</v>
      </c>
      <c r="U24" s="22">
        <v>204</v>
      </c>
      <c r="V24" s="23" t="s">
        <v>1930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14" t="s">
        <v>35</v>
      </c>
      <c r="AB24" s="27">
        <f t="shared" si="11"/>
        <v>-0.69</v>
      </c>
      <c r="AC24" s="28">
        <v>0.20571271875000002</v>
      </c>
      <c r="AD24" s="25">
        <f t="shared" si="12"/>
        <v>-4.8260203818750007</v>
      </c>
      <c r="AE24" s="25">
        <v>-6.18</v>
      </c>
      <c r="AF24" s="25">
        <v>-14.730500000000001</v>
      </c>
      <c r="AG24" s="25">
        <v>0</v>
      </c>
    </row>
    <row r="25" spans="1:33" ht="15.75" customHeight="1">
      <c r="A25" s="14" t="s">
        <v>51</v>
      </c>
      <c r="B25" s="14"/>
      <c r="C25" s="15">
        <f t="shared" si="1"/>
        <v>33.5</v>
      </c>
      <c r="D25" s="16">
        <v>13</v>
      </c>
      <c r="E25" s="16">
        <v>0</v>
      </c>
      <c r="F25" s="17">
        <v>435.5</v>
      </c>
      <c r="G25" s="17">
        <v>0</v>
      </c>
      <c r="H25" s="18">
        <f t="shared" si="2"/>
        <v>0</v>
      </c>
      <c r="I25" s="18">
        <f t="shared" si="3"/>
        <v>0.21734675964552239</v>
      </c>
      <c r="J25" s="17">
        <f t="shared" si="4"/>
        <v>94.654513825625003</v>
      </c>
      <c r="K25" s="17">
        <f t="shared" si="5"/>
        <v>7.2811164481250001</v>
      </c>
      <c r="L25" s="16">
        <v>9</v>
      </c>
      <c r="M25" s="19">
        <f t="shared" si="6"/>
        <v>1.4444444444444444</v>
      </c>
      <c r="N25" s="16">
        <v>0</v>
      </c>
      <c r="O25" s="20">
        <f t="shared" ref="O25:P25" si="23">D25/7</f>
        <v>1.8571428571428572</v>
      </c>
      <c r="P25" s="20">
        <f t="shared" si="23"/>
        <v>0</v>
      </c>
      <c r="Q25" s="16">
        <f t="shared" si="8"/>
        <v>0</v>
      </c>
      <c r="R25" s="16"/>
      <c r="S25" s="21">
        <v>3.1181102362204718</v>
      </c>
      <c r="T25" s="14">
        <v>408</v>
      </c>
      <c r="U25" s="22">
        <v>204</v>
      </c>
      <c r="V25" s="23" t="s">
        <v>1930</v>
      </c>
      <c r="W25" s="30">
        <v>0</v>
      </c>
      <c r="X25" s="24">
        <f t="shared" si="9"/>
        <v>0</v>
      </c>
      <c r="Y25" s="25">
        <f t="shared" si="10"/>
        <v>0</v>
      </c>
      <c r="Z25" s="30">
        <v>0</v>
      </c>
      <c r="AA25" s="14" t="s">
        <v>35</v>
      </c>
      <c r="AB25" s="27">
        <f t="shared" si="11"/>
        <v>-0.69</v>
      </c>
      <c r="AC25" s="28">
        <v>0.20571271875000002</v>
      </c>
      <c r="AD25" s="25">
        <f t="shared" si="12"/>
        <v>-3.6904861743750006</v>
      </c>
      <c r="AE25" s="25">
        <v>-6.18</v>
      </c>
      <c r="AF25" s="25">
        <v>-14.73</v>
      </c>
      <c r="AG25" s="25">
        <v>0</v>
      </c>
    </row>
    <row r="26" spans="1:33" ht="15.75" customHeight="1">
      <c r="A26" s="14" t="s">
        <v>52</v>
      </c>
      <c r="B26" s="14" t="s">
        <v>45</v>
      </c>
      <c r="C26" s="15" t="str">
        <f t="shared" si="1"/>
        <v xml:space="preserve"> - </v>
      </c>
      <c r="D26" s="16">
        <v>0</v>
      </c>
      <c r="E26" s="16">
        <v>0</v>
      </c>
      <c r="F26" s="17">
        <v>0</v>
      </c>
      <c r="G26" s="17">
        <v>0</v>
      </c>
      <c r="H26" s="18" t="e">
        <f t="shared" si="2"/>
        <v>#DIV/0!</v>
      </c>
      <c r="I26" s="18" t="e">
        <f t="shared" si="3"/>
        <v>#DIV/0!</v>
      </c>
      <c r="J26" s="17">
        <f t="shared" si="4"/>
        <v>0</v>
      </c>
      <c r="K26" s="17" t="e">
        <f t="shared" si="5"/>
        <v>#DIV/0!</v>
      </c>
      <c r="L26" s="16">
        <v>0</v>
      </c>
      <c r="M26" s="19" t="str">
        <f t="shared" si="6"/>
        <v>-</v>
      </c>
      <c r="N26" s="16">
        <v>0</v>
      </c>
      <c r="O26" s="20">
        <f t="shared" ref="O26:P26" si="24">D26/7</f>
        <v>0</v>
      </c>
      <c r="P26" s="20">
        <f t="shared" si="24"/>
        <v>0</v>
      </c>
      <c r="Q26" s="16" t="e">
        <f t="shared" si="8"/>
        <v>#DIV/0!</v>
      </c>
      <c r="R26" s="16"/>
      <c r="S26" s="21">
        <v>3.71830985915493</v>
      </c>
      <c r="T26" s="14">
        <v>408</v>
      </c>
      <c r="U26" s="22">
        <v>204</v>
      </c>
      <c r="V26" s="23" t="s">
        <v>1932</v>
      </c>
      <c r="W26" s="30">
        <v>0</v>
      </c>
      <c r="X26" s="24">
        <f t="shared" si="9"/>
        <v>0</v>
      </c>
      <c r="Y26" s="25">
        <f t="shared" si="10"/>
        <v>0</v>
      </c>
      <c r="Z26" s="30">
        <v>0</v>
      </c>
      <c r="AA26" s="14" t="s">
        <v>35</v>
      </c>
      <c r="AB26" s="27">
        <f t="shared" si="11"/>
        <v>-0.69</v>
      </c>
      <c r="AC26" s="28">
        <v>0.20571271875000002</v>
      </c>
      <c r="AD26" s="25">
        <f t="shared" si="12"/>
        <v>0</v>
      </c>
      <c r="AE26" s="25">
        <v>-6.18</v>
      </c>
      <c r="AF26" s="25">
        <v>-14.730499999999999</v>
      </c>
      <c r="AG26" s="25">
        <v>0</v>
      </c>
    </row>
    <row r="27" spans="1:33" ht="15.75" customHeight="1">
      <c r="A27" s="14" t="s">
        <v>53</v>
      </c>
      <c r="B27" s="14"/>
      <c r="C27" s="15" t="str">
        <f t="shared" si="1"/>
        <v xml:space="preserve"> - </v>
      </c>
      <c r="D27" s="16">
        <v>0</v>
      </c>
      <c r="E27" s="16">
        <v>0</v>
      </c>
      <c r="F27" s="17">
        <v>0</v>
      </c>
      <c r="G27" s="17">
        <v>0</v>
      </c>
      <c r="H27" s="18" t="e">
        <f t="shared" si="2"/>
        <v>#DIV/0!</v>
      </c>
      <c r="I27" s="18" t="e">
        <f t="shared" si="3"/>
        <v>#DIV/0!</v>
      </c>
      <c r="J27" s="17">
        <f t="shared" si="4"/>
        <v>0</v>
      </c>
      <c r="K27" s="17" t="e">
        <f t="shared" si="5"/>
        <v>#DIV/0!</v>
      </c>
      <c r="L27" s="16">
        <v>0</v>
      </c>
      <c r="M27" s="19" t="str">
        <f t="shared" si="6"/>
        <v>-</v>
      </c>
      <c r="N27" s="16">
        <v>0</v>
      </c>
      <c r="O27" s="20">
        <f t="shared" ref="O27:P27" si="25">D27/7</f>
        <v>0</v>
      </c>
      <c r="P27" s="20">
        <f t="shared" si="25"/>
        <v>0</v>
      </c>
      <c r="Q27" s="16" t="e">
        <f t="shared" si="8"/>
        <v>#DIV/0!</v>
      </c>
      <c r="R27" s="16"/>
      <c r="S27" s="21">
        <v>2.0957446808510638</v>
      </c>
      <c r="T27" s="14">
        <v>408</v>
      </c>
      <c r="U27" s="22">
        <v>204</v>
      </c>
      <c r="V27" s="23" t="s">
        <v>1933</v>
      </c>
      <c r="W27" s="30">
        <v>0</v>
      </c>
      <c r="X27" s="24">
        <f t="shared" si="9"/>
        <v>0</v>
      </c>
      <c r="Y27" s="25">
        <f t="shared" si="10"/>
        <v>0</v>
      </c>
      <c r="Z27" s="30">
        <v>0</v>
      </c>
      <c r="AA27" s="14" t="s">
        <v>35</v>
      </c>
      <c r="AB27" s="27">
        <f t="shared" si="11"/>
        <v>-0.69</v>
      </c>
      <c r="AC27" s="28">
        <v>0.20571271875000002</v>
      </c>
      <c r="AD27" s="25">
        <f t="shared" si="12"/>
        <v>0</v>
      </c>
      <c r="AE27" s="25">
        <v>-6.18</v>
      </c>
      <c r="AF27" s="25">
        <v>-14.7735</v>
      </c>
      <c r="AG27" s="25">
        <v>0</v>
      </c>
    </row>
    <row r="28" spans="1:33" ht="15.75" customHeight="1">
      <c r="A28" s="14" t="s">
        <v>54</v>
      </c>
      <c r="B28" s="14"/>
      <c r="C28" s="15" t="str">
        <f t="shared" si="1"/>
        <v xml:space="preserve"> - </v>
      </c>
      <c r="D28" s="16">
        <v>0</v>
      </c>
      <c r="E28" s="16">
        <v>0</v>
      </c>
      <c r="F28" s="17">
        <v>0</v>
      </c>
      <c r="G28" s="17">
        <v>0</v>
      </c>
      <c r="H28" s="18" t="e">
        <f t="shared" si="2"/>
        <v>#DIV/0!</v>
      </c>
      <c r="I28" s="18" t="e">
        <f t="shared" si="3"/>
        <v>#DIV/0!</v>
      </c>
      <c r="J28" s="17">
        <f t="shared" si="4"/>
        <v>0</v>
      </c>
      <c r="K28" s="17" t="e">
        <f t="shared" si="5"/>
        <v>#DIV/0!</v>
      </c>
      <c r="L28" s="16">
        <v>0</v>
      </c>
      <c r="M28" s="19" t="str">
        <f t="shared" si="6"/>
        <v>-</v>
      </c>
      <c r="N28" s="16">
        <v>0</v>
      </c>
      <c r="O28" s="20">
        <f t="shared" ref="O28:P28" si="26">D28/7</f>
        <v>0</v>
      </c>
      <c r="P28" s="20">
        <f t="shared" si="26"/>
        <v>0</v>
      </c>
      <c r="Q28" s="16" t="e">
        <f t="shared" si="8"/>
        <v>#DIV/0!</v>
      </c>
      <c r="R28" s="16"/>
      <c r="S28" s="21">
        <v>2.1428571428571428</v>
      </c>
      <c r="T28" s="14">
        <v>204</v>
      </c>
      <c r="U28" s="22" t="s">
        <v>34</v>
      </c>
      <c r="V28" s="23" t="s">
        <v>34</v>
      </c>
      <c r="W28" s="30">
        <v>0</v>
      </c>
      <c r="X28" s="24">
        <f t="shared" si="9"/>
        <v>0</v>
      </c>
      <c r="Y28" s="25">
        <f t="shared" si="10"/>
        <v>0</v>
      </c>
      <c r="Z28" s="30">
        <v>0</v>
      </c>
      <c r="AA28" s="14" t="s">
        <v>35</v>
      </c>
      <c r="AB28" s="27">
        <f t="shared" si="11"/>
        <v>-0.69</v>
      </c>
      <c r="AC28" s="28">
        <v>0.20571271875000002</v>
      </c>
      <c r="AD28" s="25">
        <f t="shared" si="12"/>
        <v>0</v>
      </c>
      <c r="AE28" s="25">
        <v>-6.18</v>
      </c>
      <c r="AF28" s="25">
        <v>-14.7735</v>
      </c>
      <c r="AG28" s="25">
        <v>0</v>
      </c>
    </row>
    <row r="29" spans="1:33" ht="15.75" customHeight="1">
      <c r="A29" s="14" t="s">
        <v>55</v>
      </c>
      <c r="B29" s="14" t="s">
        <v>1934</v>
      </c>
      <c r="C29" s="15">
        <f t="shared" si="1"/>
        <v>34.550000000000004</v>
      </c>
      <c r="D29" s="16">
        <v>6</v>
      </c>
      <c r="E29" s="16">
        <v>0</v>
      </c>
      <c r="F29" s="17">
        <v>207.3</v>
      </c>
      <c r="G29" s="17">
        <v>0</v>
      </c>
      <c r="H29" s="18">
        <f t="shared" si="2"/>
        <v>0</v>
      </c>
      <c r="I29" s="18">
        <f t="shared" si="3"/>
        <v>0.23242015768813315</v>
      </c>
      <c r="J29" s="17">
        <f t="shared" si="4"/>
        <v>48.180698688750006</v>
      </c>
      <c r="K29" s="17">
        <f t="shared" si="5"/>
        <v>8.0301164481250016</v>
      </c>
      <c r="L29" s="16">
        <v>8</v>
      </c>
      <c r="M29" s="19">
        <f t="shared" si="6"/>
        <v>0.75</v>
      </c>
      <c r="N29" s="16">
        <v>201</v>
      </c>
      <c r="O29" s="20">
        <f t="shared" ref="O29:P29" si="27">D29/7</f>
        <v>0.8571428571428571</v>
      </c>
      <c r="P29" s="20">
        <f t="shared" si="27"/>
        <v>0</v>
      </c>
      <c r="Q29" s="16">
        <f t="shared" si="8"/>
        <v>234</v>
      </c>
      <c r="R29" s="16"/>
      <c r="S29" s="21">
        <v>1.524210526315789</v>
      </c>
      <c r="T29" s="14">
        <v>204</v>
      </c>
      <c r="U29" s="22" t="s">
        <v>34</v>
      </c>
      <c r="V29" s="23" t="s">
        <v>34</v>
      </c>
      <c r="W29" s="30">
        <v>0</v>
      </c>
      <c r="X29" s="24">
        <f t="shared" si="9"/>
        <v>0</v>
      </c>
      <c r="Y29" s="25">
        <f t="shared" si="10"/>
        <v>0</v>
      </c>
      <c r="Z29" s="30">
        <v>0</v>
      </c>
      <c r="AA29" s="14" t="s">
        <v>35</v>
      </c>
      <c r="AB29" s="27">
        <f t="shared" si="11"/>
        <v>-0.69</v>
      </c>
      <c r="AC29" s="28">
        <v>0.20571271875000002</v>
      </c>
      <c r="AD29" s="25">
        <f t="shared" si="12"/>
        <v>-1.7033013112500002</v>
      </c>
      <c r="AE29" s="25">
        <v>-6.28</v>
      </c>
      <c r="AF29" s="25">
        <v>-14.7735</v>
      </c>
      <c r="AG29" s="25">
        <v>0</v>
      </c>
    </row>
    <row r="30" spans="1:33" ht="15.75" customHeight="1">
      <c r="A30" s="14" t="s">
        <v>57</v>
      </c>
      <c r="B30" s="14" t="s">
        <v>1935</v>
      </c>
      <c r="C30" s="15">
        <f t="shared" si="1"/>
        <v>33.69913043478261</v>
      </c>
      <c r="D30" s="16">
        <v>23</v>
      </c>
      <c r="E30" s="16">
        <v>0</v>
      </c>
      <c r="F30" s="17">
        <v>775.08</v>
      </c>
      <c r="G30" s="17">
        <v>0</v>
      </c>
      <c r="H30" s="18">
        <f t="shared" si="2"/>
        <v>0</v>
      </c>
      <c r="I30" s="18">
        <f t="shared" si="3"/>
        <v>0.22548136709033256</v>
      </c>
      <c r="J30" s="17">
        <f t="shared" si="4"/>
        <v>174.76609800437498</v>
      </c>
      <c r="K30" s="17">
        <f t="shared" si="5"/>
        <v>7.5985260001902164</v>
      </c>
      <c r="L30" s="16">
        <v>17</v>
      </c>
      <c r="M30" s="19">
        <f t="shared" si="6"/>
        <v>1.3529411764705883</v>
      </c>
      <c r="N30" s="16">
        <v>178</v>
      </c>
      <c r="O30" s="20">
        <f t="shared" ref="O30:P30" si="28">D30/7</f>
        <v>3.2857142857142856</v>
      </c>
      <c r="P30" s="20">
        <f t="shared" si="28"/>
        <v>0</v>
      </c>
      <c r="Q30" s="16">
        <f t="shared" si="8"/>
        <v>54</v>
      </c>
      <c r="R30" s="16"/>
      <c r="S30" s="21">
        <v>1.5887850467289719</v>
      </c>
      <c r="T30" s="14">
        <v>0</v>
      </c>
      <c r="U30" s="22" t="s">
        <v>34</v>
      </c>
      <c r="V30" s="23" t="s">
        <v>34</v>
      </c>
      <c r="W30" s="30">
        <v>0</v>
      </c>
      <c r="X30" s="24">
        <f t="shared" si="9"/>
        <v>0</v>
      </c>
      <c r="Y30" s="25">
        <f t="shared" si="10"/>
        <v>0</v>
      </c>
      <c r="Z30" s="30">
        <v>0</v>
      </c>
      <c r="AA30" s="14" t="s">
        <v>35</v>
      </c>
      <c r="AB30" s="27">
        <f t="shared" si="11"/>
        <v>-0.69</v>
      </c>
      <c r="AC30" s="28">
        <v>0.20571271875000002</v>
      </c>
      <c r="AD30" s="25">
        <f t="shared" si="12"/>
        <v>-6.5293216931250004</v>
      </c>
      <c r="AE30" s="25">
        <v>-6.28</v>
      </c>
      <c r="AF30" s="25">
        <v>-14.4818513175</v>
      </c>
      <c r="AG30" s="25">
        <v>0</v>
      </c>
    </row>
    <row r="31" spans="1:33" ht="15.75" customHeight="1">
      <c r="A31" s="14" t="s">
        <v>58</v>
      </c>
      <c r="B31" s="14" t="s">
        <v>1936</v>
      </c>
      <c r="C31" s="15">
        <f t="shared" si="1"/>
        <v>33.919230769230772</v>
      </c>
      <c r="D31" s="16">
        <v>39</v>
      </c>
      <c r="E31" s="16">
        <v>0</v>
      </c>
      <c r="F31" s="17">
        <v>1322.8500000000001</v>
      </c>
      <c r="G31" s="17">
        <v>0</v>
      </c>
      <c r="H31" s="18">
        <f t="shared" si="2"/>
        <v>0</v>
      </c>
      <c r="I31" s="18">
        <f t="shared" si="3"/>
        <v>0.22953383988689199</v>
      </c>
      <c r="J31" s="17">
        <f t="shared" si="4"/>
        <v>303.6388400943751</v>
      </c>
      <c r="K31" s="17">
        <f t="shared" si="5"/>
        <v>7.7856112844711562</v>
      </c>
      <c r="L31" s="16">
        <v>27</v>
      </c>
      <c r="M31" s="19">
        <f t="shared" si="6"/>
        <v>1.4444444444444444</v>
      </c>
      <c r="N31" s="16">
        <v>131</v>
      </c>
      <c r="O31" s="20">
        <f t="shared" ref="O31:P31" si="29">D31/7</f>
        <v>5.5714285714285712</v>
      </c>
      <c r="P31" s="20">
        <f t="shared" si="29"/>
        <v>0</v>
      </c>
      <c r="Q31" s="16">
        <f t="shared" si="8"/>
        <v>23</v>
      </c>
      <c r="R31" s="16"/>
      <c r="S31" s="21">
        <v>2.5189873417721498</v>
      </c>
      <c r="T31" s="14" t="s">
        <v>34</v>
      </c>
      <c r="U31" s="22" t="s">
        <v>34</v>
      </c>
      <c r="V31" s="23" t="s">
        <v>1937</v>
      </c>
      <c r="W31" s="30">
        <v>0</v>
      </c>
      <c r="X31" s="24">
        <f t="shared" si="9"/>
        <v>0</v>
      </c>
      <c r="Y31" s="25">
        <f t="shared" si="10"/>
        <v>0</v>
      </c>
      <c r="Z31" s="30">
        <v>0</v>
      </c>
      <c r="AA31" s="14" t="s">
        <v>35</v>
      </c>
      <c r="AB31" s="27">
        <f t="shared" si="11"/>
        <v>-0.69</v>
      </c>
      <c r="AC31" s="28">
        <v>0.20571271875000002</v>
      </c>
      <c r="AD31" s="25">
        <f t="shared" si="12"/>
        <v>-11.071458523125001</v>
      </c>
      <c r="AE31" s="25">
        <v>-6.28</v>
      </c>
      <c r="AF31" s="25">
        <v>-14.481851317500002</v>
      </c>
      <c r="AG31" s="25">
        <v>0</v>
      </c>
    </row>
    <row r="32" spans="1:33" ht="15.75" customHeight="1">
      <c r="A32" s="14" t="s">
        <v>60</v>
      </c>
      <c r="B32" s="14"/>
      <c r="C32" s="15">
        <f t="shared" si="1"/>
        <v>41.069310344827585</v>
      </c>
      <c r="D32" s="16">
        <v>58</v>
      </c>
      <c r="E32" s="16">
        <v>0</v>
      </c>
      <c r="F32" s="17">
        <v>2382.02</v>
      </c>
      <c r="G32" s="17">
        <v>0</v>
      </c>
      <c r="H32" s="18">
        <f t="shared" si="2"/>
        <v>0</v>
      </c>
      <c r="I32" s="18">
        <f t="shared" si="3"/>
        <v>0.33755567861573366</v>
      </c>
      <c r="J32" s="17">
        <f t="shared" si="4"/>
        <v>804.06437757624985</v>
      </c>
      <c r="K32" s="17">
        <f t="shared" si="5"/>
        <v>13.863178923728446</v>
      </c>
      <c r="L32" s="16">
        <v>35</v>
      </c>
      <c r="M32" s="19">
        <f t="shared" si="6"/>
        <v>1.6571428571428573</v>
      </c>
      <c r="N32" s="16">
        <v>77</v>
      </c>
      <c r="O32" s="20">
        <f t="shared" ref="O32:P32" si="30">D32/7</f>
        <v>8.2857142857142865</v>
      </c>
      <c r="P32" s="20">
        <f t="shared" si="30"/>
        <v>0</v>
      </c>
      <c r="Q32" s="16">
        <f t="shared" si="8"/>
        <v>9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3.568773234200743</v>
      </c>
      <c r="T32" s="14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23" t="str">
        <f ca="1">IFERROR(__xludf.DUMMYFUNCTION("IFERROR(VLOOKUP($B$2,IMPORTRANGE(""https://docs.google.com/spreadsheets/d/1KiWZV1ko8G7lnRucBRBd29jj3Be6ltMfljMDqzOkQmI/edit#gid=1381463014"",""Lookup!A:D""),2,FALSE),"""")"),"No Transit or Factory Storage, 504 In Production 60-100 days from Earliest Arrival")</f>
        <v>No Transit or Factory Storage, 504 In Production 60-100 days from Earliest Arrival</v>
      </c>
      <c r="W32" s="30">
        <v>0</v>
      </c>
      <c r="X32" s="24">
        <f t="shared" si="9"/>
        <v>0</v>
      </c>
      <c r="Y32" s="25">
        <f t="shared" si="10"/>
        <v>0</v>
      </c>
      <c r="Z32" s="30">
        <v>0</v>
      </c>
      <c r="AA32" s="14" t="s">
        <v>35</v>
      </c>
      <c r="AB32" s="27">
        <f t="shared" si="11"/>
        <v>-0.69</v>
      </c>
      <c r="AC32" s="28">
        <v>0.20571271875000002</v>
      </c>
      <c r="AD32" s="25">
        <f t="shared" si="12"/>
        <v>-16.46524600875</v>
      </c>
      <c r="AE32" s="25">
        <v>-6.28</v>
      </c>
      <c r="AF32" s="25">
        <v>-14.4818513175</v>
      </c>
      <c r="AG32" s="25">
        <v>0</v>
      </c>
    </row>
    <row r="33" spans="1:33" ht="15.75" customHeight="1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16"/>
      <c r="S33" s="21"/>
      <c r="T33" s="31"/>
      <c r="U33" s="36"/>
      <c r="V33" s="1"/>
      <c r="W33" s="31"/>
      <c r="X33" s="31"/>
      <c r="Y33" s="31"/>
      <c r="Z33" s="31"/>
      <c r="AA33" s="2"/>
      <c r="AB33" s="31"/>
      <c r="AC33" s="31"/>
      <c r="AD33" s="31"/>
      <c r="AE33" s="37"/>
      <c r="AF33" s="37"/>
      <c r="AG33" s="37"/>
    </row>
    <row r="34" spans="1:33" ht="15.75" customHeight="1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6"/>
      <c r="V34" s="1"/>
      <c r="W34" s="31"/>
      <c r="X34" s="31"/>
      <c r="Y34" s="31"/>
      <c r="Z34" s="31"/>
      <c r="AA34" s="2"/>
      <c r="AB34" s="31"/>
      <c r="AC34" s="31"/>
      <c r="AD34" s="31"/>
      <c r="AE34" s="37"/>
      <c r="AF34" s="37"/>
      <c r="AG34" s="37"/>
    </row>
    <row r="35" spans="1:33" ht="15.75" customHeight="1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6"/>
      <c r="V35" s="1"/>
      <c r="W35" s="31"/>
      <c r="X35" s="31"/>
      <c r="Y35" s="31"/>
      <c r="Z35" s="31"/>
      <c r="AA35" s="2"/>
      <c r="AB35" s="31"/>
      <c r="AC35" s="31"/>
      <c r="AD35" s="31"/>
      <c r="AE35" s="37"/>
      <c r="AF35" s="37"/>
      <c r="AG35" s="37"/>
    </row>
    <row r="36" spans="1:33" ht="15.75" customHeight="1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6"/>
      <c r="V36" s="1"/>
      <c r="W36" s="31"/>
      <c r="X36" s="31"/>
      <c r="Y36" s="31"/>
      <c r="Z36" s="31"/>
      <c r="AA36" s="2"/>
      <c r="AB36" s="31"/>
      <c r="AC36" s="31"/>
      <c r="AD36" s="31"/>
      <c r="AE36" s="37"/>
      <c r="AF36" s="37"/>
      <c r="AG36" s="37"/>
    </row>
    <row r="37" spans="1:33" ht="15.75" customHeight="1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6"/>
      <c r="V37" s="1"/>
      <c r="W37" s="31"/>
      <c r="X37" s="31"/>
      <c r="Y37" s="31"/>
      <c r="Z37" s="31"/>
      <c r="AA37" s="2"/>
      <c r="AB37" s="31"/>
      <c r="AC37" s="31"/>
      <c r="AD37" s="31"/>
      <c r="AE37" s="37"/>
      <c r="AF37" s="37"/>
      <c r="AG37" s="37"/>
    </row>
    <row r="38" spans="1:33" ht="15.75" customHeight="1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6"/>
      <c r="V38" s="1"/>
      <c r="W38" s="31"/>
      <c r="X38" s="31"/>
      <c r="Y38" s="31"/>
      <c r="Z38" s="31"/>
      <c r="AA38" s="2"/>
      <c r="AB38" s="31"/>
      <c r="AC38" s="31"/>
      <c r="AD38" s="31"/>
      <c r="AE38" s="37"/>
      <c r="AF38" s="37"/>
      <c r="AG38" s="37"/>
    </row>
    <row r="39" spans="1:33" ht="15.75" customHeight="1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6"/>
      <c r="V39" s="1"/>
      <c r="W39" s="31"/>
      <c r="X39" s="31"/>
      <c r="Y39" s="31"/>
      <c r="Z39" s="31"/>
      <c r="AA39" s="2"/>
      <c r="AB39" s="31"/>
      <c r="AC39" s="31"/>
      <c r="AD39" s="31"/>
      <c r="AE39" s="37"/>
      <c r="AF39" s="37"/>
      <c r="AG39" s="37"/>
    </row>
    <row r="40" spans="1:33" ht="15.75" customHeight="1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6"/>
      <c r="V40" s="1"/>
      <c r="W40" s="31"/>
      <c r="X40" s="31"/>
      <c r="Y40" s="31"/>
      <c r="Z40" s="31"/>
      <c r="AA40" s="2"/>
      <c r="AB40" s="31"/>
      <c r="AC40" s="31"/>
      <c r="AD40" s="31"/>
      <c r="AE40" s="37"/>
      <c r="AF40" s="37"/>
      <c r="AG40" s="37"/>
    </row>
    <row r="41" spans="1:33" ht="15.75" customHeight="1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6"/>
      <c r="V41" s="1"/>
      <c r="W41" s="31"/>
      <c r="X41" s="31"/>
      <c r="Y41" s="31"/>
      <c r="Z41" s="31"/>
      <c r="AA41" s="2"/>
      <c r="AB41" s="31"/>
      <c r="AC41" s="31"/>
      <c r="AD41" s="31"/>
      <c r="AE41" s="37"/>
      <c r="AF41" s="37"/>
      <c r="AG41" s="37"/>
    </row>
    <row r="42" spans="1:33" ht="15.75" customHeight="1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6"/>
      <c r="V42" s="1"/>
      <c r="W42" s="31"/>
      <c r="X42" s="31"/>
      <c r="Y42" s="31"/>
      <c r="Z42" s="31"/>
      <c r="AA42" s="2"/>
      <c r="AB42" s="31"/>
      <c r="AC42" s="31"/>
      <c r="AD42" s="31"/>
      <c r="AE42" s="37"/>
      <c r="AF42" s="37"/>
      <c r="AG42" s="37"/>
    </row>
    <row r="43" spans="1:33" ht="15.75" customHeight="1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6"/>
      <c r="V43" s="1"/>
      <c r="W43" s="31"/>
      <c r="X43" s="31"/>
      <c r="Y43" s="31"/>
      <c r="Z43" s="31"/>
      <c r="AA43" s="2"/>
      <c r="AB43" s="31"/>
      <c r="AC43" s="31"/>
      <c r="AD43" s="31"/>
      <c r="AE43" s="37"/>
      <c r="AF43" s="37"/>
      <c r="AG43" s="37"/>
    </row>
    <row r="44" spans="1:33" ht="15.75" customHeight="1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6"/>
      <c r="V44" s="1"/>
      <c r="W44" s="31"/>
      <c r="X44" s="31"/>
      <c r="Y44" s="31"/>
      <c r="Z44" s="31"/>
      <c r="AA44" s="2"/>
      <c r="AB44" s="31"/>
      <c r="AC44" s="31"/>
      <c r="AD44" s="31"/>
      <c r="AE44" s="37"/>
      <c r="AF44" s="37"/>
      <c r="AG44" s="37"/>
    </row>
    <row r="45" spans="1:33" ht="15.75" customHeight="1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6"/>
      <c r="V45" s="1"/>
      <c r="W45" s="31"/>
      <c r="X45" s="31"/>
      <c r="Y45" s="31"/>
      <c r="Z45" s="31"/>
      <c r="AA45" s="2"/>
      <c r="AB45" s="31"/>
      <c r="AC45" s="31"/>
      <c r="AD45" s="31"/>
      <c r="AE45" s="37"/>
      <c r="AF45" s="37"/>
      <c r="AG45" s="37"/>
    </row>
    <row r="46" spans="1:33" ht="15.75" customHeight="1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6"/>
      <c r="V46" s="1"/>
      <c r="W46" s="31"/>
      <c r="X46" s="31"/>
      <c r="Y46" s="31"/>
      <c r="Z46" s="31"/>
      <c r="AA46" s="2"/>
      <c r="AB46" s="31"/>
      <c r="AC46" s="31"/>
      <c r="AD46" s="31"/>
      <c r="AE46" s="37"/>
      <c r="AF46" s="37"/>
      <c r="AG46" s="37"/>
    </row>
    <row r="47" spans="1:33" ht="15.75" customHeight="1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6"/>
      <c r="V47" s="1"/>
      <c r="W47" s="31"/>
      <c r="X47" s="31"/>
      <c r="Y47" s="31"/>
      <c r="Z47" s="31"/>
      <c r="AA47" s="2"/>
      <c r="AB47" s="31"/>
      <c r="AC47" s="31"/>
      <c r="AD47" s="31"/>
      <c r="AE47" s="37"/>
      <c r="AF47" s="37"/>
      <c r="AG47" s="37"/>
    </row>
    <row r="48" spans="1:33" ht="15.75" customHeight="1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6"/>
      <c r="V48" s="1"/>
      <c r="W48" s="31"/>
      <c r="X48" s="31"/>
      <c r="Y48" s="31"/>
      <c r="Z48" s="31"/>
      <c r="AA48" s="2"/>
      <c r="AB48" s="31"/>
      <c r="AC48" s="31"/>
      <c r="AD48" s="31"/>
      <c r="AE48" s="37"/>
      <c r="AF48" s="37"/>
      <c r="AG48" s="37"/>
    </row>
    <row r="49" spans="1:33" ht="15.75" customHeight="1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6"/>
      <c r="V49" s="1"/>
      <c r="W49" s="31"/>
      <c r="X49" s="31"/>
      <c r="Y49" s="31"/>
      <c r="Z49" s="31"/>
      <c r="AA49" s="2"/>
      <c r="AB49" s="31"/>
      <c r="AC49" s="31"/>
      <c r="AD49" s="31"/>
      <c r="AE49" s="37"/>
      <c r="AF49" s="37"/>
      <c r="AG49" s="37"/>
    </row>
    <row r="50" spans="1:33" ht="15.75" customHeight="1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6"/>
      <c r="V50" s="1"/>
      <c r="W50" s="31"/>
      <c r="X50" s="31"/>
      <c r="Y50" s="31"/>
      <c r="Z50" s="31"/>
      <c r="AA50" s="2"/>
      <c r="AB50" s="31"/>
      <c r="AC50" s="31"/>
      <c r="AD50" s="31"/>
      <c r="AE50" s="37"/>
      <c r="AF50" s="37"/>
      <c r="AG50" s="37"/>
    </row>
    <row r="51" spans="1:33" ht="15.75" customHeight="1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6"/>
      <c r="V51" s="1"/>
      <c r="W51" s="31"/>
      <c r="X51" s="31"/>
      <c r="Y51" s="31"/>
      <c r="Z51" s="31"/>
      <c r="AA51" s="2"/>
      <c r="AB51" s="31"/>
      <c r="AC51" s="31"/>
      <c r="AD51" s="31"/>
      <c r="AE51" s="37"/>
      <c r="AF51" s="37"/>
      <c r="AG51" s="37"/>
    </row>
    <row r="52" spans="1:33" ht="15.75" customHeight="1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6"/>
      <c r="V52" s="1"/>
      <c r="W52" s="31"/>
      <c r="X52" s="31"/>
      <c r="Y52" s="31"/>
      <c r="Z52" s="31"/>
      <c r="AA52" s="2"/>
      <c r="AB52" s="31"/>
      <c r="AC52" s="31"/>
      <c r="AD52" s="31"/>
      <c r="AE52" s="37"/>
      <c r="AF52" s="37"/>
      <c r="AG52" s="37"/>
    </row>
    <row r="53" spans="1:33" ht="15.75" customHeight="1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6"/>
      <c r="V53" s="1"/>
      <c r="W53" s="31"/>
      <c r="X53" s="31"/>
      <c r="Y53" s="31"/>
      <c r="Z53" s="31"/>
      <c r="AA53" s="2"/>
      <c r="AB53" s="31"/>
      <c r="AC53" s="31"/>
      <c r="AD53" s="31"/>
      <c r="AE53" s="37"/>
      <c r="AF53" s="37"/>
      <c r="AG53" s="37"/>
    </row>
    <row r="54" spans="1:33" ht="15.75" customHeight="1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6"/>
      <c r="V54" s="1"/>
      <c r="W54" s="31"/>
      <c r="X54" s="31"/>
      <c r="Y54" s="31"/>
      <c r="Z54" s="31"/>
      <c r="AA54" s="2"/>
      <c r="AB54" s="31"/>
      <c r="AC54" s="31"/>
      <c r="AD54" s="31"/>
      <c r="AE54" s="37"/>
      <c r="AF54" s="37"/>
      <c r="AG54" s="37"/>
    </row>
    <row r="55" spans="1:33" ht="15.75" customHeight="1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6"/>
      <c r="V55" s="1"/>
      <c r="W55" s="31"/>
      <c r="X55" s="31"/>
      <c r="Y55" s="31"/>
      <c r="Z55" s="31"/>
      <c r="AA55" s="2"/>
      <c r="AB55" s="31"/>
      <c r="AC55" s="31"/>
      <c r="AD55" s="31"/>
      <c r="AE55" s="37"/>
      <c r="AF55" s="37"/>
      <c r="AG55" s="37"/>
    </row>
    <row r="56" spans="1:33" ht="15.75" customHeight="1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6"/>
      <c r="V56" s="1"/>
      <c r="W56" s="31"/>
      <c r="X56" s="31"/>
      <c r="Y56" s="31"/>
      <c r="Z56" s="31"/>
      <c r="AA56" s="2"/>
      <c r="AB56" s="31"/>
      <c r="AC56" s="31"/>
      <c r="AD56" s="31"/>
      <c r="AE56" s="37"/>
      <c r="AF56" s="37"/>
      <c r="AG56" s="37"/>
    </row>
    <row r="57" spans="1:33" ht="15.75" customHeight="1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6"/>
      <c r="V57" s="1"/>
      <c r="W57" s="31"/>
      <c r="X57" s="31"/>
      <c r="Y57" s="31"/>
      <c r="Z57" s="31"/>
      <c r="AA57" s="2"/>
      <c r="AB57" s="31"/>
      <c r="AC57" s="31"/>
      <c r="AD57" s="31"/>
      <c r="AE57" s="37"/>
      <c r="AF57" s="37"/>
      <c r="AG57" s="37"/>
    </row>
    <row r="58" spans="1:33" ht="15.75" customHeight="1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6"/>
      <c r="V58" s="1"/>
      <c r="W58" s="31"/>
      <c r="X58" s="31"/>
      <c r="Y58" s="31"/>
      <c r="Z58" s="31"/>
      <c r="AA58" s="2"/>
      <c r="AB58" s="31"/>
      <c r="AC58" s="31"/>
      <c r="AD58" s="31"/>
      <c r="AE58" s="37"/>
      <c r="AF58" s="37"/>
      <c r="AG58" s="37"/>
    </row>
    <row r="59" spans="1:33" ht="15.75" customHeight="1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6"/>
      <c r="V59" s="1"/>
      <c r="W59" s="31"/>
      <c r="X59" s="31"/>
      <c r="Y59" s="31"/>
      <c r="Z59" s="31"/>
      <c r="AA59" s="2"/>
      <c r="AB59" s="31"/>
      <c r="AC59" s="31"/>
      <c r="AD59" s="31"/>
      <c r="AE59" s="37"/>
      <c r="AF59" s="37"/>
      <c r="AG59" s="37"/>
    </row>
    <row r="60" spans="1:33" ht="15.75" customHeight="1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6"/>
      <c r="V60" s="1"/>
      <c r="W60" s="31"/>
      <c r="X60" s="31"/>
      <c r="Y60" s="31"/>
      <c r="Z60" s="31"/>
      <c r="AA60" s="2"/>
      <c r="AB60" s="31"/>
      <c r="AC60" s="31"/>
      <c r="AD60" s="31"/>
      <c r="AE60" s="37"/>
      <c r="AF60" s="37"/>
      <c r="AG60" s="37"/>
    </row>
    <row r="61" spans="1:33" ht="15.75" customHeight="1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6"/>
      <c r="V61" s="1"/>
      <c r="W61" s="31"/>
      <c r="X61" s="31"/>
      <c r="Y61" s="31"/>
      <c r="Z61" s="31"/>
      <c r="AA61" s="2"/>
      <c r="AB61" s="31"/>
      <c r="AC61" s="31"/>
      <c r="AD61" s="31"/>
      <c r="AE61" s="37"/>
      <c r="AF61" s="37"/>
      <c r="AG61" s="37"/>
    </row>
    <row r="62" spans="1:33" ht="15.75" customHeight="1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6"/>
      <c r="V62" s="1"/>
      <c r="W62" s="31"/>
      <c r="X62" s="31"/>
      <c r="Y62" s="31"/>
      <c r="Z62" s="31"/>
      <c r="AA62" s="2"/>
      <c r="AB62" s="31"/>
      <c r="AC62" s="31"/>
      <c r="AD62" s="31"/>
      <c r="AE62" s="37"/>
      <c r="AF62" s="37"/>
      <c r="AG62" s="37"/>
    </row>
    <row r="63" spans="1:33" ht="15.75" customHeight="1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6"/>
      <c r="V63" s="1"/>
      <c r="W63" s="31"/>
      <c r="X63" s="31"/>
      <c r="Y63" s="31"/>
      <c r="Z63" s="31"/>
      <c r="AA63" s="2"/>
      <c r="AB63" s="31"/>
      <c r="AC63" s="31"/>
      <c r="AD63" s="31"/>
      <c r="AE63" s="37"/>
      <c r="AF63" s="37"/>
      <c r="AG63" s="37"/>
    </row>
    <row r="64" spans="1:33" ht="15.75" customHeight="1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6"/>
      <c r="V64" s="1"/>
      <c r="W64" s="31"/>
      <c r="X64" s="31"/>
      <c r="Y64" s="31"/>
      <c r="Z64" s="31"/>
      <c r="AA64" s="2"/>
      <c r="AB64" s="31"/>
      <c r="AC64" s="31"/>
      <c r="AD64" s="31"/>
      <c r="AE64" s="37"/>
      <c r="AF64" s="37"/>
      <c r="AG64" s="37"/>
    </row>
    <row r="65" spans="1:33" ht="15.75" customHeight="1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6"/>
      <c r="V65" s="1"/>
      <c r="W65" s="31"/>
      <c r="X65" s="31"/>
      <c r="Y65" s="31"/>
      <c r="Z65" s="31"/>
      <c r="AA65" s="2"/>
      <c r="AB65" s="31"/>
      <c r="AC65" s="31"/>
      <c r="AD65" s="31"/>
      <c r="AE65" s="37"/>
      <c r="AF65" s="37"/>
      <c r="AG65" s="37"/>
    </row>
    <row r="66" spans="1:33" ht="15.75" customHeight="1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6"/>
      <c r="V66" s="1"/>
      <c r="W66" s="31"/>
      <c r="X66" s="31"/>
      <c r="Y66" s="31"/>
      <c r="Z66" s="31"/>
      <c r="AA66" s="2"/>
      <c r="AB66" s="31"/>
      <c r="AC66" s="31"/>
      <c r="AD66" s="31"/>
      <c r="AE66" s="37"/>
      <c r="AF66" s="37"/>
      <c r="AG66" s="37"/>
    </row>
    <row r="67" spans="1:33" ht="15.75" customHeight="1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6"/>
      <c r="V67" s="1"/>
      <c r="W67" s="31"/>
      <c r="X67" s="31"/>
      <c r="Y67" s="31"/>
      <c r="Z67" s="31"/>
      <c r="AA67" s="2"/>
      <c r="AB67" s="31"/>
      <c r="AC67" s="31"/>
      <c r="AD67" s="31"/>
      <c r="AE67" s="37"/>
      <c r="AF67" s="37"/>
      <c r="AG67" s="37"/>
    </row>
    <row r="68" spans="1:33" ht="15.75" customHeight="1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6"/>
      <c r="V68" s="1"/>
      <c r="W68" s="31"/>
      <c r="X68" s="31"/>
      <c r="Y68" s="31"/>
      <c r="Z68" s="31"/>
      <c r="AA68" s="2"/>
      <c r="AB68" s="31"/>
      <c r="AC68" s="31"/>
      <c r="AD68" s="31"/>
      <c r="AE68" s="37"/>
      <c r="AF68" s="37"/>
      <c r="AG68" s="37"/>
    </row>
    <row r="69" spans="1:33" ht="15.75" customHeight="1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6"/>
      <c r="V69" s="1"/>
      <c r="W69" s="31"/>
      <c r="X69" s="31"/>
      <c r="Y69" s="31"/>
      <c r="Z69" s="31"/>
      <c r="AA69" s="2"/>
      <c r="AB69" s="31"/>
      <c r="AC69" s="31"/>
      <c r="AD69" s="31"/>
      <c r="AE69" s="37"/>
      <c r="AF69" s="37"/>
      <c r="AG69" s="37"/>
    </row>
    <row r="70" spans="1:33" ht="15.75" customHeight="1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6"/>
      <c r="V70" s="1"/>
      <c r="W70" s="31"/>
      <c r="X70" s="31"/>
      <c r="Y70" s="31"/>
      <c r="Z70" s="31"/>
      <c r="AA70" s="2"/>
      <c r="AB70" s="31"/>
      <c r="AC70" s="31"/>
      <c r="AD70" s="31"/>
      <c r="AE70" s="37"/>
      <c r="AF70" s="37"/>
      <c r="AG70" s="37"/>
    </row>
    <row r="71" spans="1:33" ht="15.75" customHeight="1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6"/>
      <c r="V71" s="1"/>
      <c r="W71" s="31"/>
      <c r="X71" s="31"/>
      <c r="Y71" s="31"/>
      <c r="Z71" s="31"/>
      <c r="AA71" s="2"/>
      <c r="AB71" s="31"/>
      <c r="AC71" s="31"/>
      <c r="AD71" s="31"/>
      <c r="AE71" s="37"/>
      <c r="AF71" s="37"/>
      <c r="AG71" s="37"/>
    </row>
    <row r="72" spans="1:33" ht="15.75" customHeight="1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6"/>
      <c r="V72" s="1"/>
      <c r="W72" s="31"/>
      <c r="X72" s="31"/>
      <c r="Y72" s="31"/>
      <c r="Z72" s="31"/>
      <c r="AA72" s="2"/>
      <c r="AB72" s="31"/>
      <c r="AC72" s="31"/>
      <c r="AD72" s="31"/>
      <c r="AE72" s="37"/>
      <c r="AF72" s="37"/>
      <c r="AG72" s="37"/>
    </row>
    <row r="73" spans="1:33" ht="15.75" customHeight="1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6"/>
      <c r="V73" s="1"/>
      <c r="W73" s="31"/>
      <c r="X73" s="31"/>
      <c r="Y73" s="31"/>
      <c r="Z73" s="31"/>
      <c r="AA73" s="2"/>
      <c r="AB73" s="31"/>
      <c r="AC73" s="31"/>
      <c r="AD73" s="31"/>
      <c r="AE73" s="37"/>
      <c r="AF73" s="37"/>
      <c r="AG73" s="37"/>
    </row>
    <row r="74" spans="1:33" ht="15.75" customHeight="1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6"/>
      <c r="V74" s="1"/>
      <c r="W74" s="31"/>
      <c r="X74" s="31"/>
      <c r="Y74" s="31"/>
      <c r="Z74" s="31"/>
      <c r="AA74" s="2"/>
      <c r="AB74" s="31"/>
      <c r="AC74" s="31"/>
      <c r="AD74" s="31"/>
      <c r="AE74" s="37"/>
      <c r="AF74" s="37"/>
      <c r="AG74" s="37"/>
    </row>
    <row r="75" spans="1:33" ht="15.75" customHeight="1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6"/>
      <c r="V75" s="1"/>
      <c r="W75" s="31"/>
      <c r="X75" s="31"/>
      <c r="Y75" s="31"/>
      <c r="Z75" s="31"/>
      <c r="AA75" s="2"/>
      <c r="AB75" s="31"/>
      <c r="AC75" s="31"/>
      <c r="AD75" s="31"/>
      <c r="AE75" s="37"/>
      <c r="AF75" s="37"/>
      <c r="AG75" s="37"/>
    </row>
    <row r="76" spans="1:33" ht="15.75" customHeight="1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6"/>
      <c r="V76" s="1"/>
      <c r="W76" s="31"/>
      <c r="X76" s="31"/>
      <c r="Y76" s="31"/>
      <c r="Z76" s="31"/>
      <c r="AA76" s="2"/>
      <c r="AB76" s="31"/>
      <c r="AC76" s="31"/>
      <c r="AD76" s="31"/>
      <c r="AE76" s="37"/>
      <c r="AF76" s="37"/>
      <c r="AG76" s="37"/>
    </row>
    <row r="77" spans="1:33" ht="15.75" customHeight="1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6"/>
      <c r="V77" s="1"/>
      <c r="W77" s="31"/>
      <c r="X77" s="31"/>
      <c r="Y77" s="31"/>
      <c r="Z77" s="31"/>
      <c r="AA77" s="2"/>
      <c r="AB77" s="31"/>
      <c r="AC77" s="31"/>
      <c r="AD77" s="31"/>
      <c r="AE77" s="37"/>
      <c r="AF77" s="37"/>
      <c r="AG77" s="37"/>
    </row>
    <row r="78" spans="1:33" ht="15.75" customHeight="1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6"/>
      <c r="V78" s="1"/>
      <c r="W78" s="31"/>
      <c r="X78" s="31"/>
      <c r="Y78" s="31"/>
      <c r="Z78" s="31"/>
      <c r="AA78" s="2"/>
      <c r="AB78" s="31"/>
      <c r="AC78" s="31"/>
      <c r="AD78" s="31"/>
      <c r="AE78" s="37"/>
      <c r="AF78" s="37"/>
      <c r="AG78" s="37"/>
    </row>
    <row r="79" spans="1:33" ht="15.75" customHeight="1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6"/>
      <c r="V79" s="1"/>
      <c r="W79" s="31"/>
      <c r="X79" s="31"/>
      <c r="Y79" s="31"/>
      <c r="Z79" s="31"/>
      <c r="AA79" s="2"/>
      <c r="AB79" s="31"/>
      <c r="AC79" s="31"/>
      <c r="AD79" s="31"/>
      <c r="AE79" s="37"/>
      <c r="AF79" s="37"/>
      <c r="AG79" s="37"/>
    </row>
    <row r="80" spans="1:33" ht="15.75" customHeight="1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6"/>
      <c r="V80" s="1"/>
      <c r="W80" s="31"/>
      <c r="X80" s="31"/>
      <c r="Y80" s="31"/>
      <c r="Z80" s="31"/>
      <c r="AA80" s="2"/>
      <c r="AB80" s="31"/>
      <c r="AC80" s="31"/>
      <c r="AD80" s="31"/>
      <c r="AE80" s="37"/>
      <c r="AF80" s="37"/>
      <c r="AG80" s="37"/>
    </row>
    <row r="81" spans="1:33" ht="15.75" customHeight="1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6"/>
      <c r="V81" s="1"/>
      <c r="W81" s="31"/>
      <c r="X81" s="31"/>
      <c r="Y81" s="31"/>
      <c r="Z81" s="31"/>
      <c r="AA81" s="2"/>
      <c r="AB81" s="31"/>
      <c r="AC81" s="31"/>
      <c r="AD81" s="31"/>
      <c r="AE81" s="37"/>
      <c r="AF81" s="37"/>
      <c r="AG81" s="37"/>
    </row>
    <row r="82" spans="1:33" ht="15.75" customHeight="1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6"/>
      <c r="V82" s="1"/>
      <c r="W82" s="31"/>
      <c r="X82" s="31"/>
      <c r="Y82" s="31"/>
      <c r="Z82" s="31"/>
      <c r="AA82" s="2"/>
      <c r="AB82" s="31"/>
      <c r="AC82" s="31"/>
      <c r="AD82" s="31"/>
      <c r="AE82" s="37"/>
      <c r="AF82" s="37"/>
      <c r="AG82" s="37"/>
    </row>
    <row r="83" spans="1:33" ht="15.75" customHeight="1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6"/>
      <c r="V83" s="1"/>
      <c r="W83" s="31"/>
      <c r="X83" s="31"/>
      <c r="Y83" s="31"/>
      <c r="Z83" s="31"/>
      <c r="AA83" s="2"/>
      <c r="AB83" s="31"/>
      <c r="AC83" s="31"/>
      <c r="AD83" s="31"/>
      <c r="AE83" s="37"/>
      <c r="AF83" s="37"/>
      <c r="AG83" s="37"/>
    </row>
    <row r="84" spans="1:33" ht="15.75" customHeight="1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6"/>
      <c r="V84" s="1"/>
      <c r="W84" s="31"/>
      <c r="X84" s="31"/>
      <c r="Y84" s="31"/>
      <c r="Z84" s="31"/>
      <c r="AA84" s="2"/>
      <c r="AB84" s="31"/>
      <c r="AC84" s="31"/>
      <c r="AD84" s="31"/>
      <c r="AE84" s="37"/>
      <c r="AF84" s="37"/>
      <c r="AG84" s="37"/>
    </row>
    <row r="85" spans="1:33" ht="15.75" customHeight="1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6"/>
      <c r="V85" s="1"/>
      <c r="W85" s="31"/>
      <c r="X85" s="31"/>
      <c r="Y85" s="31"/>
      <c r="Z85" s="31"/>
      <c r="AA85" s="2"/>
      <c r="AB85" s="31"/>
      <c r="AC85" s="31"/>
      <c r="AD85" s="31"/>
      <c r="AE85" s="37"/>
      <c r="AF85" s="37"/>
      <c r="AG85" s="37"/>
    </row>
    <row r="86" spans="1:33" ht="15.75" customHeight="1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6"/>
      <c r="V86" s="1"/>
      <c r="W86" s="31"/>
      <c r="X86" s="31"/>
      <c r="Y86" s="31"/>
      <c r="Z86" s="31"/>
      <c r="AA86" s="2"/>
      <c r="AB86" s="31"/>
      <c r="AC86" s="31"/>
      <c r="AD86" s="31"/>
      <c r="AE86" s="37"/>
      <c r="AF86" s="37"/>
      <c r="AG86" s="37"/>
    </row>
    <row r="87" spans="1:33" ht="15.75" customHeight="1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6"/>
      <c r="V87" s="1"/>
      <c r="W87" s="31"/>
      <c r="X87" s="31"/>
      <c r="Y87" s="31"/>
      <c r="Z87" s="31"/>
      <c r="AA87" s="2"/>
      <c r="AB87" s="31"/>
      <c r="AC87" s="31"/>
      <c r="AD87" s="31"/>
      <c r="AE87" s="37"/>
      <c r="AF87" s="37"/>
      <c r="AG87" s="37"/>
    </row>
    <row r="88" spans="1:33" ht="15.75" customHeight="1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6"/>
      <c r="V88" s="1"/>
      <c r="W88" s="31"/>
      <c r="X88" s="31"/>
      <c r="Y88" s="31"/>
      <c r="Z88" s="31"/>
      <c r="AA88" s="2"/>
      <c r="AB88" s="31"/>
      <c r="AC88" s="31"/>
      <c r="AD88" s="31"/>
      <c r="AE88" s="37"/>
      <c r="AF88" s="37"/>
      <c r="AG88" s="37"/>
    </row>
    <row r="89" spans="1:33" ht="15.75" customHeight="1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6"/>
      <c r="V89" s="1"/>
      <c r="W89" s="31"/>
      <c r="X89" s="31"/>
      <c r="Y89" s="31"/>
      <c r="Z89" s="31"/>
      <c r="AA89" s="2"/>
      <c r="AB89" s="31"/>
      <c r="AC89" s="31"/>
      <c r="AD89" s="31"/>
      <c r="AE89" s="37"/>
      <c r="AF89" s="37"/>
      <c r="AG89" s="37"/>
    </row>
    <row r="90" spans="1:33" ht="15.75" customHeight="1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6"/>
      <c r="V90" s="1"/>
      <c r="W90" s="31"/>
      <c r="X90" s="31"/>
      <c r="Y90" s="31"/>
      <c r="Z90" s="31"/>
      <c r="AA90" s="2"/>
      <c r="AB90" s="31"/>
      <c r="AC90" s="31"/>
      <c r="AD90" s="31"/>
      <c r="AE90" s="37"/>
      <c r="AF90" s="37"/>
      <c r="AG90" s="37"/>
    </row>
    <row r="91" spans="1:33" ht="15.75" customHeight="1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6"/>
      <c r="V91" s="1"/>
      <c r="W91" s="31"/>
      <c r="X91" s="31"/>
      <c r="Y91" s="31"/>
      <c r="Z91" s="31"/>
      <c r="AA91" s="2"/>
      <c r="AB91" s="31"/>
      <c r="AC91" s="31"/>
      <c r="AD91" s="31"/>
      <c r="AE91" s="37"/>
      <c r="AF91" s="37"/>
      <c r="AG91" s="37"/>
    </row>
    <row r="92" spans="1:33" ht="15.75" customHeight="1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6"/>
      <c r="V92" s="1"/>
      <c r="W92" s="31"/>
      <c r="X92" s="31"/>
      <c r="Y92" s="31"/>
      <c r="Z92" s="31"/>
      <c r="AA92" s="2"/>
      <c r="AB92" s="31"/>
      <c r="AC92" s="31"/>
      <c r="AD92" s="31"/>
      <c r="AE92" s="37"/>
      <c r="AF92" s="37"/>
      <c r="AG92" s="37"/>
    </row>
    <row r="93" spans="1:33" ht="15.75" customHeight="1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6"/>
      <c r="V93" s="1"/>
      <c r="W93" s="31"/>
      <c r="X93" s="31"/>
      <c r="Y93" s="31"/>
      <c r="Z93" s="31"/>
      <c r="AA93" s="2"/>
      <c r="AB93" s="31"/>
      <c r="AC93" s="31"/>
      <c r="AD93" s="31"/>
      <c r="AE93" s="37"/>
      <c r="AF93" s="37"/>
      <c r="AG93" s="37"/>
    </row>
    <row r="94" spans="1:33" ht="15.75" customHeight="1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6"/>
      <c r="V94" s="1"/>
      <c r="W94" s="31"/>
      <c r="X94" s="31"/>
      <c r="Y94" s="31"/>
      <c r="Z94" s="31"/>
      <c r="AA94" s="2"/>
      <c r="AB94" s="31"/>
      <c r="AC94" s="31"/>
      <c r="AD94" s="31"/>
      <c r="AE94" s="37"/>
      <c r="AF94" s="37"/>
      <c r="AG94" s="37"/>
    </row>
    <row r="95" spans="1:33" ht="15.75" customHeight="1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6"/>
      <c r="V95" s="1"/>
      <c r="W95" s="31"/>
      <c r="X95" s="31"/>
      <c r="Y95" s="31"/>
      <c r="Z95" s="31"/>
      <c r="AA95" s="2"/>
      <c r="AB95" s="31"/>
      <c r="AC95" s="31"/>
      <c r="AD95" s="31"/>
      <c r="AE95" s="37"/>
      <c r="AF95" s="37"/>
      <c r="AG95" s="37"/>
    </row>
    <row r="96" spans="1:33" ht="15.75" customHeight="1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6"/>
      <c r="V96" s="1"/>
      <c r="W96" s="31"/>
      <c r="X96" s="31"/>
      <c r="Y96" s="31"/>
      <c r="Z96" s="31"/>
      <c r="AA96" s="2"/>
      <c r="AB96" s="31"/>
      <c r="AC96" s="31"/>
      <c r="AD96" s="31"/>
      <c r="AE96" s="37"/>
      <c r="AF96" s="37"/>
      <c r="AG96" s="37"/>
    </row>
    <row r="97" spans="1:33" ht="15.75" customHeight="1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8"/>
      <c r="R97" s="38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8"/>
      <c r="R98" s="38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8"/>
      <c r="R99" s="38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8"/>
      <c r="R100" s="38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8"/>
      <c r="R101" s="38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8"/>
      <c r="R102" s="38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8"/>
      <c r="R103" s="38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8"/>
      <c r="R104" s="38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8"/>
      <c r="R105" s="38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8"/>
      <c r="R106" s="38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8"/>
      <c r="R107" s="38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8"/>
      <c r="R108" s="38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8"/>
      <c r="R109" s="38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8"/>
      <c r="R110" s="38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8"/>
      <c r="R111" s="38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8"/>
      <c r="R112" s="38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8"/>
      <c r="R113" s="38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8"/>
      <c r="R114" s="38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>
      <c r="A115" s="31"/>
      <c r="B115" s="31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>
      <c r="A116" s="31"/>
      <c r="B116" s="31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>
      <c r="A117" s="31"/>
      <c r="B117" s="31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>
      <c r="A118" s="31"/>
      <c r="B118" s="31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>
      <c r="A119" s="31"/>
      <c r="B119" s="31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>
      <c r="A120" s="31"/>
      <c r="B120" s="31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>
      <c r="A121" s="31"/>
      <c r="B121" s="31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>
      <c r="A122" s="31"/>
      <c r="B122" s="31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>
      <c r="A123" s="31"/>
      <c r="B123" s="31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>
      <c r="A124" s="31"/>
      <c r="B124" s="31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>
      <c r="A125" s="31"/>
      <c r="B125" s="31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>
      <c r="A126" s="31"/>
      <c r="B126" s="31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>
      <c r="A127" s="31"/>
      <c r="B127" s="31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>
      <c r="A128" s="31"/>
      <c r="B128" s="31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>
      <c r="A129" s="31"/>
      <c r="B129" s="31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>
      <c r="A130" s="31"/>
      <c r="B130" s="31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>
      <c r="A131" s="31"/>
      <c r="B131" s="31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>
      <c r="A132" s="31"/>
      <c r="B132" s="31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>
      <c r="A133" s="31"/>
      <c r="B133" s="31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>
      <c r="A134" s="31"/>
      <c r="B134" s="31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>
      <c r="A135" s="31"/>
      <c r="B135" s="31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>
      <c r="A136" s="31"/>
      <c r="B136" s="31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>
      <c r="A137" s="31"/>
      <c r="B137" s="31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>
      <c r="A138" s="31"/>
      <c r="B138" s="31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>
      <c r="A139" s="31"/>
      <c r="B139" s="31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>
      <c r="A140" s="31"/>
      <c r="B140" s="31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>
      <c r="A141" s="31"/>
      <c r="B141" s="31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2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>
      <c r="A142" s="31"/>
      <c r="B142" s="31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2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>
      <c r="A143" s="31"/>
      <c r="B143" s="31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2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>
      <c r="A144" s="31"/>
      <c r="B144" s="31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2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>
      <c r="A145" s="31"/>
      <c r="B145" s="31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2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>
      <c r="A146" s="31"/>
      <c r="B146" s="31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2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>
      <c r="A147" s="31"/>
      <c r="B147" s="31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2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>
      <c r="A148" s="31"/>
      <c r="B148" s="31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2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</row>
    <row r="149" spans="1:33" ht="15.75" customHeight="1">
      <c r="A149" s="14"/>
      <c r="B149" s="14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>
      <c r="A150" s="14"/>
      <c r="B150" s="14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>
      <c r="A151" s="14"/>
      <c r="B151" s="14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>
      <c r="A152" s="14"/>
      <c r="B152" s="14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>
      <c r="A153" s="14"/>
      <c r="B153" s="14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>
      <c r="A154" s="14"/>
      <c r="B154" s="14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>
      <c r="A155" s="14"/>
      <c r="B155" s="14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>
      <c r="A156" s="14"/>
      <c r="B156" s="14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>
      <c r="A157" s="14"/>
      <c r="B157" s="14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>
      <c r="A158" s="14"/>
      <c r="B158" s="14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>
      <c r="A159" s="14"/>
      <c r="B159" s="14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>
      <c r="A160" s="14"/>
      <c r="B160" s="14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>
      <c r="A161" s="14"/>
      <c r="B161" s="14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>
      <c r="A162" s="14"/>
      <c r="B162" s="14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>
      <c r="A163" s="14"/>
      <c r="B163" s="14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>
      <c r="A164" s="14"/>
      <c r="B164" s="14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>
      <c r="A165" s="14"/>
      <c r="B165" s="14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>
      <c r="A166" s="14"/>
      <c r="B166" s="14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>
      <c r="A167" s="14"/>
      <c r="B167" s="14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>
      <c r="A168" s="14"/>
      <c r="B168" s="14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>
      <c r="A169" s="14"/>
      <c r="B169" s="14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>
      <c r="A170" s="14"/>
      <c r="B170" s="14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>
      <c r="A171" s="14"/>
      <c r="B171" s="14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>
      <c r="A172" s="14"/>
      <c r="B172" s="14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>
      <c r="A173" s="14"/>
      <c r="B173" s="14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>
      <c r="A174" s="14"/>
      <c r="B174" s="14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>
      <c r="A175" s="14"/>
      <c r="B175" s="14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>
      <c r="A176" s="14"/>
      <c r="B176" s="14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>
      <c r="A177" s="14"/>
      <c r="B177" s="14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>
      <c r="A178" s="14"/>
      <c r="B178" s="14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>
      <c r="A179" s="14"/>
      <c r="B179" s="14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>
      <c r="A180" s="14"/>
      <c r="B180" s="14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>
      <c r="A181" s="14"/>
      <c r="B181" s="14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>
      <c r="A182" s="14"/>
      <c r="B182" s="14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>
      <c r="A183" s="14"/>
      <c r="B183" s="14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>
      <c r="A184" s="14"/>
      <c r="B184" s="14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>
      <c r="A185" s="14"/>
      <c r="B185" s="14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>
      <c r="A186" s="14"/>
      <c r="B186" s="14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>
      <c r="A187" s="14"/>
      <c r="B187" s="14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>
      <c r="A188" s="14"/>
      <c r="B188" s="14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>
      <c r="A189" s="14"/>
      <c r="B189" s="14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>
      <c r="A190" s="14"/>
      <c r="B190" s="14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>
      <c r="A191" s="14"/>
      <c r="B191" s="14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>
      <c r="A192" s="14"/>
      <c r="B192" s="14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>
      <c r="A193" s="14"/>
      <c r="B193" s="14"/>
      <c r="C193" s="39"/>
      <c r="D193" s="39"/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>
      <c r="A194" s="14"/>
      <c r="B194" s="14"/>
      <c r="C194" s="39"/>
      <c r="D194" s="39"/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>
      <c r="A195" s="14"/>
      <c r="B195" s="14"/>
      <c r="C195" s="39"/>
      <c r="D195" s="39"/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>
      <c r="A196" s="14"/>
      <c r="B196" s="14"/>
      <c r="C196" s="39"/>
      <c r="D196" s="39"/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>
      <c r="A197" s="14"/>
      <c r="B197" s="14"/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>
      <c r="A198" s="14"/>
      <c r="B198" s="14"/>
      <c r="C198" s="39"/>
      <c r="D198" s="39"/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>
      <c r="A199" s="14"/>
      <c r="B199" s="14"/>
      <c r="C199" s="39"/>
      <c r="D199" s="39"/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>
      <c r="A200" s="14"/>
      <c r="B200" s="14"/>
      <c r="C200" s="39"/>
      <c r="D200" s="39"/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>
      <c r="A201" s="14"/>
      <c r="B201" s="14"/>
      <c r="C201" s="39"/>
      <c r="D201" s="39"/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>
      <c r="A202" s="14"/>
      <c r="B202" s="14"/>
      <c r="C202" s="39"/>
      <c r="D202" s="39"/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>
      <c r="A203" s="14"/>
      <c r="B203" s="14"/>
      <c r="C203" s="39"/>
      <c r="D203" s="39"/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>
      <c r="A204" s="14"/>
      <c r="B204" s="14"/>
      <c r="C204" s="39"/>
      <c r="D204" s="39"/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>
      <c r="A205" s="14"/>
      <c r="B205" s="14"/>
      <c r="C205" s="39"/>
      <c r="D205" s="39"/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>
      <c r="A206" s="14"/>
      <c r="B206" s="14"/>
      <c r="C206" s="39"/>
      <c r="D206" s="39"/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>
      <c r="A207" s="14"/>
      <c r="B207" s="14"/>
      <c r="C207" s="39"/>
      <c r="D207" s="39"/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>
      <c r="A208" s="14"/>
      <c r="B208" s="14"/>
      <c r="C208" s="39"/>
      <c r="D208" s="39"/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>
      <c r="A209" s="14"/>
      <c r="B209" s="14"/>
      <c r="C209" s="39"/>
      <c r="D209" s="39"/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>
      <c r="A210" s="14"/>
      <c r="B210" s="14"/>
      <c r="C210" s="39"/>
      <c r="D210" s="39"/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>
      <c r="A211" s="14"/>
      <c r="B211" s="14"/>
      <c r="C211" s="39"/>
      <c r="D211" s="39"/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>
      <c r="A212" s="14"/>
      <c r="B212" s="14"/>
      <c r="C212" s="39"/>
      <c r="D212" s="39"/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>
      <c r="A213" s="14"/>
      <c r="B213" s="14"/>
      <c r="C213" s="39"/>
      <c r="D213" s="39"/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>
      <c r="A214" s="14"/>
      <c r="B214" s="14"/>
      <c r="C214" s="39"/>
      <c r="D214" s="39"/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>
      <c r="A215" s="14"/>
      <c r="B215" s="14"/>
      <c r="C215" s="39"/>
      <c r="D215" s="39"/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>
      <c r="A216" s="14"/>
      <c r="B216" s="14"/>
      <c r="C216" s="39"/>
      <c r="D216" s="39"/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>
      <c r="A217" s="14"/>
      <c r="B217" s="14"/>
      <c r="C217" s="39"/>
      <c r="D217" s="39"/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>
      <c r="A218" s="14"/>
      <c r="B218" s="14"/>
      <c r="C218" s="39"/>
      <c r="D218" s="39"/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>
      <c r="A219" s="14"/>
      <c r="B219" s="14"/>
      <c r="C219" s="39"/>
      <c r="D219" s="39"/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>
      <c r="A220" s="14"/>
      <c r="B220" s="14"/>
      <c r="C220" s="39"/>
      <c r="D220" s="39"/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>
      <c r="R221" s="30"/>
      <c r="S221" s="40"/>
    </row>
    <row r="222" spans="1:33" ht="15.75" customHeight="1">
      <c r="R222" s="30"/>
      <c r="S222" s="40"/>
    </row>
    <row r="223" spans="1:33" ht="15.75" customHeight="1">
      <c r="R223" s="30"/>
      <c r="S223" s="40"/>
    </row>
    <row r="224" spans="1:33" ht="15.75" customHeight="1">
      <c r="R224" s="30"/>
      <c r="S224" s="40"/>
    </row>
    <row r="225" spans="18:18" ht="15.75" customHeight="1">
      <c r="R225" s="30"/>
    </row>
    <row r="226" spans="18:18" ht="15.75" customHeight="1">
      <c r="R226" s="30"/>
    </row>
    <row r="227" spans="18:18" ht="15.75" customHeight="1">
      <c r="R227" s="30"/>
    </row>
    <row r="228" spans="18:18" ht="15.75" customHeight="1">
      <c r="R228" s="30"/>
    </row>
    <row r="229" spans="18:18" ht="15.75" customHeight="1">
      <c r="R229" s="30"/>
    </row>
    <row r="230" spans="18:18" ht="15.75" customHeight="1">
      <c r="R230" s="30"/>
    </row>
    <row r="231" spans="18:18" ht="15.75" customHeight="1">
      <c r="R231" s="30"/>
    </row>
    <row r="232" spans="18:18" ht="15.75" customHeight="1">
      <c r="R232" s="30"/>
    </row>
    <row r="233" spans="18:18" ht="15.75" customHeight="1">
      <c r="R233" s="30"/>
    </row>
    <row r="234" spans="18:18" ht="15.75" customHeight="1">
      <c r="R234" s="30"/>
    </row>
    <row r="235" spans="18:18" ht="15.75" customHeight="1">
      <c r="R235" s="30"/>
    </row>
    <row r="236" spans="18:18" ht="15.75" customHeight="1">
      <c r="R236" s="30"/>
    </row>
    <row r="237" spans="18:18" ht="15.75" customHeight="1">
      <c r="R237" s="30"/>
    </row>
    <row r="238" spans="18:18" ht="15.75" customHeight="1">
      <c r="R238" s="30"/>
    </row>
    <row r="239" spans="18:18" ht="15.75" customHeight="1">
      <c r="R239" s="30"/>
    </row>
    <row r="240" spans="18:18" ht="15.75" customHeight="1">
      <c r="R240" s="30"/>
    </row>
    <row r="241" spans="18:18" ht="15.75" customHeight="1">
      <c r="R241" s="30"/>
    </row>
    <row r="242" spans="18:18" ht="15.75" customHeight="1">
      <c r="R242" s="30"/>
    </row>
    <row r="243" spans="18:18" ht="15.75" customHeight="1">
      <c r="R243" s="30"/>
    </row>
    <row r="244" spans="18:18" ht="15.75" customHeight="1">
      <c r="R244" s="30"/>
    </row>
    <row r="245" spans="18:18" ht="15.75" customHeight="1">
      <c r="R245" s="30"/>
    </row>
    <row r="246" spans="18:18" ht="15.75" customHeight="1">
      <c r="R246" s="30"/>
    </row>
    <row r="247" spans="18:18" ht="15.75" customHeight="1">
      <c r="R247" s="30"/>
    </row>
    <row r="248" spans="18:18" ht="15.75" customHeight="1">
      <c r="R248" s="30"/>
    </row>
    <row r="249" spans="18:18" ht="15.75" customHeight="1">
      <c r="R249" s="30"/>
    </row>
    <row r="250" spans="18:18" ht="15.75" customHeight="1">
      <c r="R250" s="30"/>
    </row>
    <row r="251" spans="18:18" ht="15.75" customHeight="1">
      <c r="R251" s="30"/>
    </row>
    <row r="252" spans="18:18" ht="15.75" customHeight="1">
      <c r="R252" s="30"/>
    </row>
    <row r="253" spans="18:18" ht="15.75" customHeight="1">
      <c r="R253" s="30"/>
    </row>
    <row r="254" spans="18:18" ht="15.75" customHeight="1">
      <c r="R254" s="30"/>
    </row>
    <row r="255" spans="18:18" ht="15.75" customHeight="1">
      <c r="R255" s="30"/>
    </row>
    <row r="256" spans="18:18" ht="15.75" customHeight="1">
      <c r="R256" s="30"/>
    </row>
    <row r="257" spans="18:18" ht="15.75" customHeight="1">
      <c r="R257" s="30"/>
    </row>
    <row r="258" spans="18:18" ht="15.75" customHeight="1">
      <c r="R258" s="30"/>
    </row>
    <row r="259" spans="18:18" ht="15.75" customHeight="1">
      <c r="R259" s="30"/>
    </row>
    <row r="260" spans="18:18" ht="15.75" customHeight="1">
      <c r="R260" s="30"/>
    </row>
    <row r="261" spans="18:18" ht="15.75" customHeight="1">
      <c r="R261" s="30"/>
    </row>
    <row r="262" spans="18:18" ht="15.75" customHeight="1">
      <c r="R262" s="30"/>
    </row>
    <row r="263" spans="18:18" ht="15.75" customHeight="1">
      <c r="R263" s="30"/>
    </row>
    <row r="264" spans="18:18" ht="15.75" customHeight="1">
      <c r="R264" s="30"/>
    </row>
    <row r="265" spans="18:18" ht="15.75" customHeight="1">
      <c r="R265" s="30"/>
    </row>
    <row r="266" spans="18:18" ht="15.75" customHeight="1">
      <c r="R266" s="30"/>
    </row>
    <row r="267" spans="18:18" ht="15.75" customHeight="1">
      <c r="R267" s="30"/>
    </row>
    <row r="268" spans="18:18" ht="15.75" customHeight="1">
      <c r="R268" s="30"/>
    </row>
    <row r="269" spans="18:18" ht="15.75" customHeight="1">
      <c r="R269" s="30"/>
    </row>
    <row r="270" spans="18:18" ht="15.75" customHeight="1">
      <c r="R270" s="30"/>
    </row>
    <row r="271" spans="18:18" ht="15.75" customHeight="1">
      <c r="R271" s="30"/>
    </row>
    <row r="272" spans="18:18" ht="15.75" customHeight="1">
      <c r="R272" s="30"/>
    </row>
    <row r="273" spans="18:18" ht="15.75" customHeight="1">
      <c r="R273" s="30"/>
    </row>
    <row r="274" spans="18:18" ht="15.75" customHeight="1">
      <c r="R274" s="30"/>
    </row>
    <row r="275" spans="18:18" ht="15.75" customHeight="1">
      <c r="R275" s="30"/>
    </row>
    <row r="276" spans="18:18" ht="15.75" customHeight="1">
      <c r="R276" s="30"/>
    </row>
    <row r="277" spans="18:18" ht="15.75" customHeight="1">
      <c r="R277" s="30"/>
    </row>
    <row r="278" spans="18:18" ht="15.75" customHeight="1">
      <c r="R278" s="30"/>
    </row>
    <row r="279" spans="18:18" ht="15.75" customHeight="1">
      <c r="R279" s="30"/>
    </row>
    <row r="280" spans="18:18" ht="15.75" customHeight="1">
      <c r="R280" s="30"/>
    </row>
    <row r="281" spans="18:18" ht="15.75" customHeight="1">
      <c r="R281" s="30"/>
    </row>
    <row r="282" spans="18:18" ht="15.75" customHeight="1">
      <c r="R282" s="30"/>
    </row>
    <row r="283" spans="18:18" ht="15.75" customHeight="1">
      <c r="R283" s="30"/>
    </row>
    <row r="284" spans="18:18" ht="15.75" customHeight="1">
      <c r="R284" s="30"/>
    </row>
    <row r="285" spans="18:18" ht="15.75" customHeight="1">
      <c r="R285" s="30"/>
    </row>
    <row r="286" spans="18:18" ht="15.75" customHeight="1">
      <c r="R286" s="30"/>
    </row>
    <row r="287" spans="18:18" ht="15.75" customHeight="1">
      <c r="R287" s="30"/>
    </row>
    <row r="288" spans="18:18" ht="15.75" customHeight="1">
      <c r="R288" s="30"/>
    </row>
    <row r="289" spans="18:18" ht="15.75" customHeight="1">
      <c r="R289" s="30"/>
    </row>
    <row r="290" spans="18:18" ht="15.75" customHeight="1">
      <c r="R290" s="30"/>
    </row>
    <row r="291" spans="18:18" ht="15.75" customHeight="1">
      <c r="R291" s="30"/>
    </row>
    <row r="292" spans="18:18" ht="15.75" customHeight="1">
      <c r="R292" s="30"/>
    </row>
    <row r="293" spans="18:18" ht="15.75" customHeight="1">
      <c r="R293" s="30"/>
    </row>
    <row r="294" spans="18:18" ht="15.75" customHeight="1">
      <c r="R294" s="30"/>
    </row>
    <row r="295" spans="18:18" ht="15.75" customHeight="1">
      <c r="R295" s="30"/>
    </row>
    <row r="296" spans="18:18" ht="15.75" customHeight="1">
      <c r="R296" s="30"/>
    </row>
    <row r="297" spans="18:18" ht="15.75" customHeight="1">
      <c r="R297" s="30"/>
    </row>
    <row r="298" spans="18:18" ht="15.75" customHeight="1">
      <c r="R298" s="30"/>
    </row>
    <row r="299" spans="18:18" ht="15.75" customHeight="1">
      <c r="R299" s="30"/>
    </row>
    <row r="300" spans="18:18" ht="15.75" customHeight="1">
      <c r="R300" s="30"/>
    </row>
    <row r="301" spans="18:18" ht="15.75" customHeight="1">
      <c r="R301" s="30"/>
    </row>
    <row r="302" spans="18:18" ht="15.75" customHeight="1">
      <c r="R302" s="30"/>
    </row>
    <row r="303" spans="18:18" ht="15.75" customHeight="1">
      <c r="R303" s="30"/>
    </row>
    <row r="304" spans="18:18" ht="15.75" customHeight="1">
      <c r="R304" s="30"/>
    </row>
    <row r="305" spans="18:18" ht="15.75" customHeight="1">
      <c r="R305" s="30"/>
    </row>
    <row r="306" spans="18:18" ht="15.75" customHeight="1">
      <c r="R306" s="30"/>
    </row>
    <row r="307" spans="18:18" ht="15.75" customHeight="1">
      <c r="R307" s="30"/>
    </row>
    <row r="308" spans="18:18" ht="15.75" customHeight="1">
      <c r="R308" s="30"/>
    </row>
    <row r="309" spans="18:18" ht="15.75" customHeight="1">
      <c r="R309" s="30"/>
    </row>
    <row r="310" spans="18:18" ht="15.75" customHeight="1">
      <c r="R310" s="30"/>
    </row>
    <row r="311" spans="18:18" ht="15.75" customHeight="1">
      <c r="R311" s="30"/>
    </row>
    <row r="312" spans="18:18" ht="15.75" customHeight="1">
      <c r="R312" s="30"/>
    </row>
    <row r="313" spans="18:18" ht="15.75" customHeight="1">
      <c r="R313" s="30"/>
    </row>
    <row r="314" spans="18:18" ht="15.75" customHeight="1">
      <c r="R314" s="30"/>
    </row>
    <row r="315" spans="18:18" ht="15.75" customHeight="1">
      <c r="R315" s="30"/>
    </row>
    <row r="316" spans="18:18" ht="15.75" customHeight="1">
      <c r="R316" s="30"/>
    </row>
    <row r="317" spans="18:18" ht="15.75" customHeight="1">
      <c r="R317" s="30"/>
    </row>
    <row r="318" spans="18:18" ht="15.75" customHeight="1">
      <c r="R318" s="30"/>
    </row>
    <row r="319" spans="18:18" ht="15.75" customHeight="1">
      <c r="R319" s="30"/>
    </row>
    <row r="320" spans="18:18" ht="15.75" customHeight="1">
      <c r="R320" s="30"/>
    </row>
    <row r="321" spans="18:18" ht="15.75" customHeight="1">
      <c r="R321" s="30"/>
    </row>
    <row r="322" spans="18:18" ht="15.75" customHeight="1">
      <c r="R322" s="30"/>
    </row>
    <row r="323" spans="18:18" ht="15.75" customHeight="1">
      <c r="R323" s="30"/>
    </row>
    <row r="324" spans="18:18" ht="15.75" customHeight="1">
      <c r="R324" s="30"/>
    </row>
    <row r="325" spans="18:18" ht="15.75" customHeight="1">
      <c r="R325" s="30"/>
    </row>
    <row r="326" spans="18:18" ht="15.75" customHeight="1">
      <c r="R326" s="30"/>
    </row>
    <row r="327" spans="18:18" ht="15.75" customHeight="1">
      <c r="R327" s="30"/>
    </row>
    <row r="328" spans="18:18" ht="15.75" customHeight="1">
      <c r="R328" s="30"/>
    </row>
    <row r="329" spans="18:18" ht="15.75" customHeight="1">
      <c r="R329" s="30"/>
    </row>
    <row r="330" spans="18:18" ht="15.75" customHeight="1">
      <c r="R330" s="30"/>
    </row>
    <row r="331" spans="18:18" ht="15.75" customHeight="1">
      <c r="R331" s="30"/>
    </row>
    <row r="332" spans="18:18" ht="15.75" customHeight="1">
      <c r="R332" s="30"/>
    </row>
    <row r="333" spans="18:18" ht="15.75" customHeight="1">
      <c r="R333" s="30"/>
    </row>
    <row r="334" spans="18:18" ht="15.75" customHeight="1">
      <c r="R334" s="30"/>
    </row>
    <row r="335" spans="18:18" ht="15.75" customHeight="1">
      <c r="R335" s="30"/>
    </row>
    <row r="336" spans="18:18" ht="15.75" customHeight="1">
      <c r="R336" s="30"/>
    </row>
    <row r="337" spans="18:18" ht="15.75" customHeight="1">
      <c r="R337" s="30"/>
    </row>
    <row r="338" spans="18:18" ht="15.75" customHeight="1">
      <c r="R338" s="30"/>
    </row>
    <row r="339" spans="18:18" ht="15.75" customHeight="1">
      <c r="R339" s="30"/>
    </row>
    <row r="340" spans="18:18" ht="15.75" customHeight="1">
      <c r="R340" s="30"/>
    </row>
    <row r="341" spans="18:18" ht="15.75" customHeight="1">
      <c r="R341" s="30"/>
    </row>
    <row r="342" spans="18:18" ht="15.75" customHeight="1">
      <c r="R342" s="30"/>
    </row>
    <row r="343" spans="18:18" ht="15.75" customHeight="1">
      <c r="R343" s="30"/>
    </row>
    <row r="344" spans="18:18" ht="15.75" customHeight="1">
      <c r="R344" s="30"/>
    </row>
    <row r="345" spans="18:18" ht="15.75" customHeight="1">
      <c r="R345" s="30"/>
    </row>
    <row r="346" spans="18:18" ht="15.75" customHeight="1">
      <c r="R346" s="30"/>
    </row>
    <row r="347" spans="18:18" ht="15.75" customHeight="1">
      <c r="R347" s="30"/>
    </row>
    <row r="348" spans="18:18" ht="15.75" customHeight="1">
      <c r="R348" s="30"/>
    </row>
    <row r="349" spans="18:18" ht="15.75" customHeight="1">
      <c r="R349" s="30"/>
    </row>
    <row r="350" spans="18:18" ht="15.75" customHeight="1">
      <c r="R350" s="30"/>
    </row>
    <row r="351" spans="18:18" ht="15.75" customHeight="1">
      <c r="R351" s="30"/>
    </row>
    <row r="352" spans="18:18" ht="15.75" customHeight="1">
      <c r="R352" s="30"/>
    </row>
    <row r="353" spans="18:18" ht="15.75" customHeight="1">
      <c r="R353" s="30"/>
    </row>
    <row r="354" spans="18:18" ht="15.75" customHeight="1">
      <c r="R354" s="30"/>
    </row>
    <row r="355" spans="18:18" ht="15.75" customHeight="1">
      <c r="R355" s="30"/>
    </row>
    <row r="356" spans="18:18" ht="15.75" customHeight="1">
      <c r="R356" s="30"/>
    </row>
    <row r="357" spans="18:18" ht="15.75" customHeight="1">
      <c r="R357" s="30"/>
    </row>
    <row r="358" spans="18:18" ht="15.75" customHeight="1">
      <c r="R358" s="30"/>
    </row>
    <row r="359" spans="18:18" ht="15.75" customHeight="1">
      <c r="R359" s="30"/>
    </row>
    <row r="360" spans="18:18" ht="15.75" customHeight="1">
      <c r="R360" s="30"/>
    </row>
    <row r="361" spans="18:18" ht="15.75" customHeight="1">
      <c r="R361" s="30"/>
    </row>
    <row r="362" spans="18:18" ht="15.75" customHeight="1">
      <c r="R362" s="30"/>
    </row>
    <row r="363" spans="18:18" ht="15.75" customHeight="1">
      <c r="R363" s="30"/>
    </row>
    <row r="364" spans="18:18" ht="15.75" customHeight="1">
      <c r="R364" s="30"/>
    </row>
    <row r="365" spans="18:18" ht="15.75" customHeight="1">
      <c r="R365" s="30"/>
    </row>
    <row r="366" spans="18:18" ht="15.75" customHeight="1">
      <c r="R366" s="30"/>
    </row>
    <row r="367" spans="18:18" ht="15.75" customHeight="1">
      <c r="R367" s="30"/>
    </row>
    <row r="368" spans="18:18" ht="15.75" customHeight="1">
      <c r="R368" s="30"/>
    </row>
    <row r="369" spans="18:18" ht="15.75" customHeight="1">
      <c r="R369" s="30"/>
    </row>
    <row r="370" spans="18:18" ht="15.75" customHeight="1">
      <c r="R370" s="30"/>
    </row>
    <row r="371" spans="18:18" ht="15.75" customHeight="1">
      <c r="R371" s="30"/>
    </row>
    <row r="372" spans="18:18" ht="15.75" customHeight="1">
      <c r="R372" s="30"/>
    </row>
    <row r="373" spans="18:18" ht="15.75" customHeight="1">
      <c r="R373" s="30"/>
    </row>
    <row r="374" spans="18:18" ht="15.75" customHeight="1">
      <c r="R374" s="30"/>
    </row>
    <row r="375" spans="18:18" ht="15.75" customHeight="1">
      <c r="R375" s="30"/>
    </row>
    <row r="376" spans="18:18" ht="15.75" customHeight="1">
      <c r="R376" s="30"/>
    </row>
    <row r="377" spans="18:18" ht="15.75" customHeight="1">
      <c r="R377" s="30"/>
    </row>
    <row r="378" spans="18:18" ht="15.75" customHeight="1">
      <c r="R378" s="30"/>
    </row>
    <row r="379" spans="18:18" ht="15.75" customHeight="1">
      <c r="R379" s="30"/>
    </row>
    <row r="380" spans="18:18" ht="15.75" customHeight="1">
      <c r="R380" s="30"/>
    </row>
    <row r="381" spans="18:18" ht="15.75" customHeight="1">
      <c r="R381" s="30"/>
    </row>
    <row r="382" spans="18:18" ht="15.75" customHeight="1">
      <c r="R382" s="30"/>
    </row>
    <row r="383" spans="18:18" ht="15.75" customHeight="1">
      <c r="R383" s="30"/>
    </row>
    <row r="384" spans="18:18" ht="15.75" customHeight="1">
      <c r="R384" s="30"/>
    </row>
    <row r="385" spans="18:18" ht="15.75" customHeight="1">
      <c r="R385" s="30"/>
    </row>
    <row r="386" spans="18:18" ht="15.75" customHeight="1">
      <c r="R386" s="30"/>
    </row>
    <row r="387" spans="18:18" ht="15.75" customHeight="1">
      <c r="R387" s="30"/>
    </row>
    <row r="388" spans="18:18" ht="15.75" customHeight="1">
      <c r="R388" s="30"/>
    </row>
    <row r="389" spans="18:18" ht="15.75" customHeight="1">
      <c r="R389" s="30"/>
    </row>
    <row r="390" spans="18:18" ht="15.75" customHeight="1">
      <c r="R390" s="30"/>
    </row>
    <row r="391" spans="18:18" ht="15.75" customHeight="1">
      <c r="R391" s="30"/>
    </row>
    <row r="392" spans="18:18" ht="15.75" customHeight="1">
      <c r="R392" s="30"/>
    </row>
    <row r="393" spans="18:18" ht="15.75" customHeight="1">
      <c r="R393" s="30"/>
    </row>
    <row r="394" spans="18:18" ht="15.75" customHeight="1">
      <c r="R394" s="30"/>
    </row>
    <row r="395" spans="18:18" ht="15.75" customHeight="1">
      <c r="R395" s="30"/>
    </row>
    <row r="396" spans="18:18" ht="15.75" customHeight="1">
      <c r="R396" s="30"/>
    </row>
    <row r="397" spans="18:18" ht="15.75" customHeight="1">
      <c r="R397" s="30"/>
    </row>
    <row r="398" spans="18:18" ht="15.75" customHeight="1">
      <c r="R398" s="30"/>
    </row>
    <row r="399" spans="18:18" ht="15.75" customHeight="1">
      <c r="R399" s="30"/>
    </row>
    <row r="400" spans="18:18" ht="15.75" customHeight="1">
      <c r="R400" s="30"/>
    </row>
    <row r="401" spans="18:18" ht="15.75" customHeight="1">
      <c r="R401" s="30"/>
    </row>
    <row r="402" spans="18:18" ht="15.75" customHeight="1">
      <c r="R402" s="30"/>
    </row>
    <row r="403" spans="18:18" ht="15.75" customHeight="1">
      <c r="R403" s="30"/>
    </row>
    <row r="404" spans="18:18" ht="15.75" customHeight="1">
      <c r="R404" s="30"/>
    </row>
    <row r="405" spans="18:18" ht="15.75" customHeight="1">
      <c r="R405" s="30"/>
    </row>
    <row r="406" spans="18:18" ht="15.75" customHeight="1">
      <c r="R406" s="30"/>
    </row>
    <row r="407" spans="18:18" ht="15.75" customHeight="1">
      <c r="R407" s="30"/>
    </row>
    <row r="408" spans="18:18" ht="15.75" customHeight="1">
      <c r="R408" s="30"/>
    </row>
    <row r="409" spans="18:18" ht="15.75" customHeight="1">
      <c r="R409" s="30"/>
    </row>
    <row r="410" spans="18:18" ht="15.75" customHeight="1">
      <c r="R410" s="30"/>
    </row>
    <row r="411" spans="18:18" ht="15.75" customHeight="1">
      <c r="R411" s="30"/>
    </row>
    <row r="412" spans="18:18" ht="15.75" customHeight="1">
      <c r="R412" s="30"/>
    </row>
    <row r="413" spans="18:18" ht="15.75" customHeight="1">
      <c r="R413" s="30"/>
    </row>
    <row r="414" spans="18:18" ht="15.75" customHeight="1">
      <c r="R414" s="30"/>
    </row>
    <row r="415" spans="18:18" ht="15.75" customHeight="1">
      <c r="R415" s="30"/>
    </row>
    <row r="416" spans="18:18" ht="15.75" customHeight="1">
      <c r="R416" s="30"/>
    </row>
    <row r="417" spans="18:18" ht="15.75" customHeight="1">
      <c r="R417" s="30"/>
    </row>
    <row r="418" spans="18:18" ht="15.75" customHeight="1">
      <c r="R418" s="30"/>
    </row>
    <row r="419" spans="18:18" ht="15.75" customHeight="1">
      <c r="R419" s="30"/>
    </row>
    <row r="420" spans="18:18" ht="15.75" customHeight="1">
      <c r="R420" s="30"/>
    </row>
    <row r="421" spans="18:18" ht="15.75" customHeight="1">
      <c r="R421" s="30"/>
    </row>
    <row r="422" spans="18:18" ht="15.75" customHeight="1">
      <c r="R422" s="30"/>
    </row>
    <row r="423" spans="18:18" ht="15.75" customHeight="1">
      <c r="R423" s="30"/>
    </row>
    <row r="424" spans="18:18" ht="15.75" customHeight="1">
      <c r="R424" s="30"/>
    </row>
    <row r="425" spans="18:18" ht="15.75" customHeight="1">
      <c r="R425" s="30"/>
    </row>
    <row r="426" spans="18:18" ht="15.75" customHeight="1">
      <c r="R426" s="30"/>
    </row>
    <row r="427" spans="18:18" ht="15.75" customHeight="1">
      <c r="R427" s="30"/>
    </row>
    <row r="428" spans="18:18" ht="15.75" customHeight="1">
      <c r="R428" s="30"/>
    </row>
    <row r="429" spans="18:18" ht="15.75" customHeight="1">
      <c r="R429" s="30"/>
    </row>
    <row r="430" spans="18:18" ht="15.75" customHeight="1">
      <c r="R430" s="30"/>
    </row>
    <row r="431" spans="18:18" ht="15.75" customHeight="1">
      <c r="R431" s="30"/>
    </row>
    <row r="432" spans="18:18" ht="15.75" customHeight="1">
      <c r="R432" s="30"/>
    </row>
    <row r="433" spans="18:18" ht="15.75" customHeight="1">
      <c r="R433" s="30"/>
    </row>
    <row r="434" spans="18:18" ht="15.75" customHeight="1">
      <c r="R434" s="30"/>
    </row>
    <row r="435" spans="18:18" ht="15.75" customHeight="1">
      <c r="R435" s="30"/>
    </row>
    <row r="436" spans="18:18" ht="15.75" customHeight="1">
      <c r="R436" s="30"/>
    </row>
    <row r="437" spans="18:18" ht="15.75" customHeight="1">
      <c r="R437" s="30"/>
    </row>
    <row r="438" spans="18:18" ht="15.75" customHeight="1">
      <c r="R438" s="30"/>
    </row>
    <row r="439" spans="18:18" ht="15.75" customHeight="1">
      <c r="R439" s="30"/>
    </row>
    <row r="440" spans="18:18" ht="15.75" customHeight="1">
      <c r="R440" s="30"/>
    </row>
    <row r="441" spans="18:18" ht="15.75" customHeight="1">
      <c r="R441" s="30"/>
    </row>
    <row r="442" spans="18:18" ht="15.75" customHeight="1">
      <c r="R442" s="30"/>
    </row>
    <row r="443" spans="18:18" ht="15.75" customHeight="1">
      <c r="R443" s="30"/>
    </row>
    <row r="444" spans="18:18" ht="15.75" customHeight="1">
      <c r="R444" s="30"/>
    </row>
    <row r="445" spans="18:18" ht="15.75" customHeight="1">
      <c r="R445" s="30"/>
    </row>
    <row r="446" spans="18:18" ht="15.75" customHeight="1">
      <c r="R446" s="30"/>
    </row>
    <row r="447" spans="18:18" ht="15.75" customHeight="1">
      <c r="R447" s="30"/>
    </row>
    <row r="448" spans="18:18" ht="15.75" customHeight="1">
      <c r="R448" s="30"/>
    </row>
    <row r="449" spans="18:18" ht="15.75" customHeight="1">
      <c r="R449" s="30"/>
    </row>
    <row r="450" spans="18:18" ht="15.75" customHeight="1">
      <c r="R450" s="30"/>
    </row>
    <row r="451" spans="18:18" ht="15.75" customHeight="1">
      <c r="R451" s="30"/>
    </row>
    <row r="452" spans="18:18" ht="15.75" customHeight="1">
      <c r="R452" s="30"/>
    </row>
    <row r="453" spans="18:18" ht="15.75" customHeight="1">
      <c r="R453" s="30"/>
    </row>
    <row r="454" spans="18:18" ht="15.75" customHeight="1">
      <c r="R454" s="30"/>
    </row>
    <row r="455" spans="18:18" ht="15.75" customHeight="1">
      <c r="R455" s="30"/>
    </row>
    <row r="456" spans="18:18" ht="15.75" customHeight="1">
      <c r="R456" s="30"/>
    </row>
    <row r="457" spans="18:18" ht="15.75" customHeight="1">
      <c r="R457" s="30"/>
    </row>
    <row r="458" spans="18:18" ht="15.75" customHeight="1">
      <c r="R458" s="30"/>
    </row>
    <row r="459" spans="18:18" ht="15.75" customHeight="1">
      <c r="R459" s="30"/>
    </row>
    <row r="460" spans="18:18" ht="15.75" customHeight="1">
      <c r="R460" s="30"/>
    </row>
    <row r="461" spans="18:18" ht="15.75" customHeight="1">
      <c r="R461" s="30"/>
    </row>
    <row r="462" spans="18:18" ht="15.75" customHeight="1">
      <c r="R462" s="30"/>
    </row>
    <row r="463" spans="18:18" ht="15.75" customHeight="1">
      <c r="R463" s="30"/>
    </row>
    <row r="464" spans="18:18" ht="15.75" customHeight="1">
      <c r="R464" s="30"/>
    </row>
    <row r="465" spans="18:18" ht="15.75" customHeight="1">
      <c r="R465" s="30"/>
    </row>
    <row r="466" spans="18:18" ht="15.75" customHeight="1">
      <c r="R466" s="30"/>
    </row>
    <row r="467" spans="18:18" ht="15.75" customHeight="1">
      <c r="R467" s="30"/>
    </row>
    <row r="468" spans="18:18" ht="15.75" customHeight="1">
      <c r="R468" s="30"/>
    </row>
    <row r="469" spans="18:18" ht="15.75" customHeight="1">
      <c r="R469" s="30"/>
    </row>
    <row r="470" spans="18:18" ht="15.75" customHeight="1">
      <c r="R470" s="30"/>
    </row>
    <row r="471" spans="18:18" ht="15.75" customHeight="1">
      <c r="R471" s="30"/>
    </row>
    <row r="472" spans="18:18" ht="15.75" customHeight="1">
      <c r="R472" s="30"/>
    </row>
    <row r="473" spans="18:18" ht="15.75" customHeight="1">
      <c r="R473" s="30"/>
    </row>
    <row r="474" spans="18:18" ht="15.75" customHeight="1">
      <c r="R474" s="30"/>
    </row>
    <row r="475" spans="18:18" ht="15.75" customHeight="1">
      <c r="R475" s="30"/>
    </row>
    <row r="476" spans="18:18" ht="15.75" customHeight="1">
      <c r="R476" s="30"/>
    </row>
    <row r="477" spans="18:18" ht="15.75" customHeight="1">
      <c r="R477" s="30"/>
    </row>
    <row r="478" spans="18:18" ht="15.75" customHeight="1">
      <c r="R478" s="30"/>
    </row>
    <row r="479" spans="18:18" ht="15.75" customHeight="1">
      <c r="R479" s="30"/>
    </row>
    <row r="480" spans="18:18" ht="15.75" customHeight="1">
      <c r="R480" s="30"/>
    </row>
    <row r="481" spans="18:18" ht="15.75" customHeight="1">
      <c r="R481" s="30"/>
    </row>
    <row r="482" spans="18:18" ht="15.75" customHeight="1">
      <c r="R482" s="30"/>
    </row>
    <row r="483" spans="18:18" ht="15.75" customHeight="1">
      <c r="R483" s="30"/>
    </row>
    <row r="484" spans="18:18" ht="15.75" customHeight="1">
      <c r="R484" s="30"/>
    </row>
    <row r="485" spans="18:18" ht="15.75" customHeight="1">
      <c r="R485" s="30"/>
    </row>
    <row r="486" spans="18:18" ht="15.75" customHeight="1">
      <c r="R486" s="30"/>
    </row>
    <row r="487" spans="18:18" ht="15.75" customHeight="1">
      <c r="R487" s="30"/>
    </row>
    <row r="488" spans="18:18" ht="15.75" customHeight="1">
      <c r="R488" s="30"/>
    </row>
    <row r="489" spans="18:18" ht="15.75" customHeight="1">
      <c r="R489" s="30"/>
    </row>
    <row r="490" spans="18:18" ht="15.75" customHeight="1">
      <c r="R490" s="30"/>
    </row>
    <row r="491" spans="18:18" ht="15.75" customHeight="1">
      <c r="R491" s="30"/>
    </row>
    <row r="492" spans="18:18" ht="15.75" customHeight="1">
      <c r="R492" s="30"/>
    </row>
    <row r="493" spans="18:18" ht="15.75" customHeight="1">
      <c r="R493" s="30"/>
    </row>
    <row r="494" spans="18:18" ht="15.75" customHeight="1">
      <c r="R494" s="30"/>
    </row>
    <row r="495" spans="18:18" ht="15.75" customHeight="1">
      <c r="R495" s="30"/>
    </row>
    <row r="496" spans="18:18" ht="15.75" customHeight="1">
      <c r="R496" s="30"/>
    </row>
    <row r="497" spans="18:18" ht="15.75" customHeight="1">
      <c r="R497" s="30"/>
    </row>
    <row r="498" spans="18:18" ht="15.75" customHeight="1">
      <c r="R498" s="30"/>
    </row>
    <row r="499" spans="18:18" ht="15.75" customHeight="1">
      <c r="R499" s="30"/>
    </row>
    <row r="500" spans="18:18" ht="15.75" customHeight="1">
      <c r="R500" s="30"/>
    </row>
    <row r="501" spans="18:18" ht="15.75" customHeight="1">
      <c r="R501" s="30"/>
    </row>
    <row r="502" spans="18:18" ht="15.75" customHeight="1">
      <c r="R502" s="30"/>
    </row>
    <row r="503" spans="18:18" ht="15.75" customHeight="1">
      <c r="R503" s="30"/>
    </row>
    <row r="504" spans="18:18" ht="15.75" customHeight="1">
      <c r="R504" s="30"/>
    </row>
    <row r="505" spans="18:18" ht="15.75" customHeight="1">
      <c r="R505" s="30"/>
    </row>
    <row r="506" spans="18:18" ht="15.75" customHeight="1">
      <c r="R506" s="30"/>
    </row>
    <row r="507" spans="18:18" ht="15.75" customHeight="1">
      <c r="R507" s="30"/>
    </row>
    <row r="508" spans="18:18" ht="15.75" customHeight="1">
      <c r="R508" s="30"/>
    </row>
    <row r="509" spans="18:18" ht="15.75" customHeight="1">
      <c r="R509" s="30"/>
    </row>
    <row r="510" spans="18:18" ht="15.75" customHeight="1">
      <c r="R510" s="30"/>
    </row>
    <row r="511" spans="18:18" ht="15.75" customHeight="1">
      <c r="R511" s="30"/>
    </row>
    <row r="512" spans="18:18" ht="15.75" customHeight="1">
      <c r="R512" s="30"/>
    </row>
    <row r="513" spans="18:18" ht="15.75" customHeight="1">
      <c r="R513" s="30"/>
    </row>
    <row r="514" spans="18:18" ht="15.75" customHeight="1">
      <c r="R514" s="30"/>
    </row>
    <row r="515" spans="18:18" ht="15.75" customHeight="1">
      <c r="R515" s="30"/>
    </row>
    <row r="516" spans="18:18" ht="15.75" customHeight="1">
      <c r="R516" s="30"/>
    </row>
    <row r="517" spans="18:18" ht="15.75" customHeight="1">
      <c r="R517" s="30"/>
    </row>
    <row r="518" spans="18:18" ht="15.75" customHeight="1">
      <c r="R518" s="30"/>
    </row>
    <row r="519" spans="18:18" ht="15.75" customHeight="1">
      <c r="R519" s="30"/>
    </row>
    <row r="520" spans="18:18" ht="15.75" customHeight="1">
      <c r="R520" s="30"/>
    </row>
    <row r="521" spans="18:18" ht="15.75" customHeight="1">
      <c r="R521" s="30"/>
    </row>
    <row r="522" spans="18:18" ht="15.75" customHeight="1">
      <c r="R522" s="30"/>
    </row>
    <row r="523" spans="18:18" ht="15.75" customHeight="1">
      <c r="R523" s="30"/>
    </row>
    <row r="524" spans="18:18" ht="15.75" customHeight="1">
      <c r="R524" s="30"/>
    </row>
    <row r="525" spans="18:18" ht="15.75" customHeight="1">
      <c r="R525" s="30"/>
    </row>
    <row r="526" spans="18:18" ht="15.75" customHeight="1">
      <c r="R526" s="30"/>
    </row>
    <row r="527" spans="18:18" ht="15.75" customHeight="1">
      <c r="R527" s="30"/>
    </row>
    <row r="528" spans="18:18" ht="15.75" customHeight="1">
      <c r="R528" s="30"/>
    </row>
    <row r="529" spans="18:18" ht="15.75" customHeight="1">
      <c r="R529" s="30"/>
    </row>
    <row r="530" spans="18:18" ht="15.75" customHeight="1">
      <c r="R530" s="30"/>
    </row>
    <row r="531" spans="18:18" ht="15.75" customHeight="1">
      <c r="R531" s="30"/>
    </row>
    <row r="532" spans="18:18" ht="15.75" customHeight="1">
      <c r="R532" s="30"/>
    </row>
    <row r="533" spans="18:18" ht="15.75" customHeight="1">
      <c r="R533" s="30"/>
    </row>
    <row r="534" spans="18:18" ht="15.75" customHeight="1">
      <c r="R534" s="30"/>
    </row>
    <row r="535" spans="18:18" ht="15.75" customHeight="1">
      <c r="R535" s="30"/>
    </row>
    <row r="536" spans="18:18" ht="15.75" customHeight="1">
      <c r="R536" s="30"/>
    </row>
    <row r="537" spans="18:18" ht="15.75" customHeight="1">
      <c r="R537" s="30"/>
    </row>
    <row r="538" spans="18:18" ht="15.75" customHeight="1">
      <c r="R538" s="30"/>
    </row>
    <row r="539" spans="18:18" ht="15.75" customHeight="1">
      <c r="R539" s="30"/>
    </row>
    <row r="540" spans="18:18" ht="15.75" customHeight="1">
      <c r="R540" s="30"/>
    </row>
    <row r="541" spans="18:18" ht="15.75" customHeight="1">
      <c r="R541" s="30"/>
    </row>
    <row r="542" spans="18:18" ht="15.75" customHeight="1">
      <c r="R542" s="30"/>
    </row>
    <row r="543" spans="18:18" ht="15.75" customHeight="1">
      <c r="R543" s="30"/>
    </row>
    <row r="544" spans="18:18" ht="15.75" customHeight="1">
      <c r="R544" s="30"/>
    </row>
    <row r="545" spans="18:18" ht="15.75" customHeight="1">
      <c r="R545" s="30"/>
    </row>
    <row r="546" spans="18:18" ht="15.75" customHeight="1">
      <c r="R546" s="30"/>
    </row>
    <row r="547" spans="18:18" ht="15.75" customHeight="1">
      <c r="R547" s="30"/>
    </row>
    <row r="548" spans="18:18" ht="15.75" customHeight="1">
      <c r="R548" s="30"/>
    </row>
    <row r="549" spans="18:18" ht="15.75" customHeight="1">
      <c r="R549" s="30"/>
    </row>
    <row r="550" spans="18:18" ht="15.75" customHeight="1">
      <c r="R550" s="30"/>
    </row>
    <row r="551" spans="18:18" ht="15.75" customHeight="1">
      <c r="R551" s="30"/>
    </row>
    <row r="552" spans="18:18" ht="15.75" customHeight="1">
      <c r="R552" s="30"/>
    </row>
    <row r="553" spans="18:18" ht="15.75" customHeight="1">
      <c r="R553" s="30"/>
    </row>
    <row r="554" spans="18:18" ht="15.75" customHeight="1">
      <c r="R554" s="30"/>
    </row>
    <row r="555" spans="18:18" ht="15.75" customHeight="1">
      <c r="R555" s="30"/>
    </row>
    <row r="556" spans="18:18" ht="15.75" customHeight="1">
      <c r="R556" s="30"/>
    </row>
    <row r="557" spans="18:18" ht="15.75" customHeight="1">
      <c r="R557" s="30"/>
    </row>
    <row r="558" spans="18:18" ht="15.75" customHeight="1">
      <c r="R558" s="30"/>
    </row>
    <row r="559" spans="18:18" ht="15.75" customHeight="1">
      <c r="R559" s="30"/>
    </row>
    <row r="560" spans="18:18" ht="15.75" customHeight="1">
      <c r="R560" s="30"/>
    </row>
    <row r="561" spans="18:18" ht="15.75" customHeight="1">
      <c r="R561" s="30"/>
    </row>
    <row r="562" spans="18:18" ht="15.75" customHeight="1">
      <c r="R562" s="30"/>
    </row>
    <row r="563" spans="18:18" ht="15.75" customHeight="1">
      <c r="R563" s="30"/>
    </row>
    <row r="564" spans="18:18" ht="15.75" customHeight="1">
      <c r="R564" s="30"/>
    </row>
    <row r="565" spans="18:18" ht="15.75" customHeight="1">
      <c r="R565" s="30"/>
    </row>
    <row r="566" spans="18:18" ht="15.75" customHeight="1">
      <c r="R566" s="30"/>
    </row>
    <row r="567" spans="18:18" ht="15.75" customHeight="1">
      <c r="R567" s="30"/>
    </row>
    <row r="568" spans="18:18" ht="15.75" customHeight="1">
      <c r="R568" s="30"/>
    </row>
    <row r="569" spans="18:18" ht="15.75" customHeight="1">
      <c r="R569" s="30"/>
    </row>
    <row r="570" spans="18:18" ht="15.75" customHeight="1">
      <c r="R570" s="30"/>
    </row>
    <row r="571" spans="18:18" ht="15.75" customHeight="1">
      <c r="R571" s="30"/>
    </row>
    <row r="572" spans="18:18" ht="15.75" customHeight="1">
      <c r="R572" s="30"/>
    </row>
    <row r="573" spans="18:18" ht="15.75" customHeight="1">
      <c r="R573" s="30"/>
    </row>
    <row r="574" spans="18:18" ht="15.75" customHeight="1">
      <c r="R574" s="30"/>
    </row>
    <row r="575" spans="18:18" ht="15.75" customHeight="1">
      <c r="R575" s="30"/>
    </row>
    <row r="576" spans="18:18" ht="15.75" customHeight="1">
      <c r="R576" s="30"/>
    </row>
    <row r="577" spans="18:18" ht="15.75" customHeight="1">
      <c r="R577" s="30"/>
    </row>
    <row r="578" spans="18:18" ht="15.75" customHeight="1">
      <c r="R578" s="30"/>
    </row>
    <row r="579" spans="18:18" ht="15.75" customHeight="1">
      <c r="R579" s="30"/>
    </row>
    <row r="580" spans="18:18" ht="15.75" customHeight="1">
      <c r="R580" s="30"/>
    </row>
    <row r="581" spans="18:18" ht="15.75" customHeight="1">
      <c r="R581" s="30"/>
    </row>
    <row r="582" spans="18:18" ht="15.75" customHeight="1">
      <c r="R582" s="30"/>
    </row>
    <row r="583" spans="18:18" ht="15.75" customHeight="1">
      <c r="R583" s="30"/>
    </row>
    <row r="584" spans="18:18" ht="15.75" customHeight="1">
      <c r="R584" s="30"/>
    </row>
    <row r="585" spans="18:18" ht="15.75" customHeight="1">
      <c r="R585" s="30"/>
    </row>
    <row r="586" spans="18:18" ht="15.75" customHeight="1">
      <c r="R586" s="30"/>
    </row>
    <row r="587" spans="18:18" ht="15.75" customHeight="1">
      <c r="R587" s="30"/>
    </row>
    <row r="588" spans="18:18" ht="15.75" customHeight="1">
      <c r="R588" s="30"/>
    </row>
    <row r="589" spans="18:18" ht="15.75" customHeight="1">
      <c r="R589" s="30"/>
    </row>
    <row r="590" spans="18:18" ht="15.75" customHeight="1">
      <c r="R590" s="30"/>
    </row>
    <row r="591" spans="18:18" ht="15.75" customHeight="1">
      <c r="R591" s="30"/>
    </row>
    <row r="592" spans="18:18" ht="15.75" customHeight="1">
      <c r="R592" s="30"/>
    </row>
    <row r="593" spans="18:18" ht="15.75" customHeight="1">
      <c r="R593" s="30"/>
    </row>
    <row r="594" spans="18:18" ht="15.75" customHeight="1">
      <c r="R594" s="30"/>
    </row>
    <row r="595" spans="18:18" ht="15.75" customHeight="1">
      <c r="R595" s="30"/>
    </row>
    <row r="596" spans="18:18" ht="15.75" customHeight="1">
      <c r="R596" s="30"/>
    </row>
    <row r="597" spans="18:18" ht="15.75" customHeight="1">
      <c r="R597" s="30"/>
    </row>
    <row r="598" spans="18:18" ht="15.75" customHeight="1">
      <c r="R598" s="30"/>
    </row>
    <row r="599" spans="18:18" ht="15.75" customHeight="1">
      <c r="R599" s="30"/>
    </row>
    <row r="600" spans="18:18" ht="15.75" customHeight="1">
      <c r="R600" s="30"/>
    </row>
    <row r="601" spans="18:18" ht="15.75" customHeight="1">
      <c r="R601" s="30"/>
    </row>
    <row r="602" spans="18:18" ht="15.75" customHeight="1">
      <c r="R602" s="30"/>
    </row>
    <row r="603" spans="18:18" ht="15.75" customHeight="1">
      <c r="R603" s="30"/>
    </row>
    <row r="604" spans="18:18" ht="15.75" customHeight="1">
      <c r="R604" s="30"/>
    </row>
    <row r="605" spans="18:18" ht="15.75" customHeight="1">
      <c r="R605" s="30"/>
    </row>
    <row r="606" spans="18:18" ht="15.75" customHeight="1">
      <c r="R606" s="30"/>
    </row>
    <row r="607" spans="18:18" ht="15.75" customHeight="1">
      <c r="R607" s="30"/>
    </row>
    <row r="608" spans="18:18" ht="15.75" customHeight="1">
      <c r="R608" s="30"/>
    </row>
    <row r="609" spans="18:18" ht="15.75" customHeight="1">
      <c r="R609" s="30"/>
    </row>
    <row r="610" spans="18:18" ht="15.75" customHeight="1">
      <c r="R610" s="30"/>
    </row>
    <row r="611" spans="18:18" ht="15.75" customHeight="1">
      <c r="R611" s="30"/>
    </row>
    <row r="612" spans="18:18" ht="15.75" customHeight="1">
      <c r="R612" s="30"/>
    </row>
    <row r="613" spans="18:18" ht="15.75" customHeight="1">
      <c r="R613" s="30"/>
    </row>
    <row r="614" spans="18:18" ht="15.75" customHeight="1">
      <c r="R614" s="30"/>
    </row>
    <row r="615" spans="18:18" ht="15.75" customHeight="1">
      <c r="R615" s="30"/>
    </row>
    <row r="616" spans="18:18" ht="15.75" customHeight="1">
      <c r="R616" s="30"/>
    </row>
    <row r="617" spans="18:18" ht="15.75" customHeight="1">
      <c r="R617" s="30"/>
    </row>
    <row r="618" spans="18:18" ht="15.75" customHeight="1">
      <c r="R618" s="30"/>
    </row>
    <row r="619" spans="18:18" ht="15.75" customHeight="1">
      <c r="R619" s="30"/>
    </row>
    <row r="620" spans="18:18" ht="15.75" customHeight="1">
      <c r="R620" s="30"/>
    </row>
    <row r="621" spans="18:18" ht="15.75" customHeight="1">
      <c r="R621" s="30"/>
    </row>
    <row r="622" spans="18:18" ht="15.75" customHeight="1">
      <c r="R622" s="30"/>
    </row>
    <row r="623" spans="18:18" ht="15.75" customHeight="1">
      <c r="R623" s="30"/>
    </row>
    <row r="624" spans="18:18" ht="15.75" customHeight="1">
      <c r="R624" s="30"/>
    </row>
    <row r="625" spans="18:18" ht="15.75" customHeight="1">
      <c r="R625" s="30"/>
    </row>
    <row r="626" spans="18:18" ht="15.75" customHeight="1">
      <c r="R626" s="30"/>
    </row>
    <row r="627" spans="18:18" ht="15.75" customHeight="1">
      <c r="R627" s="30"/>
    </row>
    <row r="628" spans="18:18" ht="15.75" customHeight="1">
      <c r="R628" s="30"/>
    </row>
    <row r="629" spans="18:18" ht="15.75" customHeight="1">
      <c r="R629" s="30"/>
    </row>
    <row r="630" spans="18:18" ht="15.75" customHeight="1">
      <c r="R630" s="30"/>
    </row>
    <row r="631" spans="18:18" ht="15.75" customHeight="1">
      <c r="R631" s="30"/>
    </row>
    <row r="632" spans="18:18" ht="15.75" customHeight="1">
      <c r="R632" s="30"/>
    </row>
    <row r="633" spans="18:18" ht="15.75" customHeight="1">
      <c r="R633" s="30"/>
    </row>
    <row r="634" spans="18:18" ht="15.75" customHeight="1">
      <c r="R634" s="30"/>
    </row>
    <row r="635" spans="18:18" ht="15.75" customHeight="1">
      <c r="R635" s="30"/>
    </row>
    <row r="636" spans="18:18" ht="15.75" customHeight="1">
      <c r="R636" s="30"/>
    </row>
    <row r="637" spans="18:18" ht="15.75" customHeight="1">
      <c r="R637" s="30"/>
    </row>
    <row r="638" spans="18:18" ht="15.75" customHeight="1">
      <c r="R638" s="30"/>
    </row>
    <row r="639" spans="18:18" ht="15.75" customHeight="1">
      <c r="R639" s="30"/>
    </row>
    <row r="640" spans="18:18" ht="15.75" customHeight="1">
      <c r="R640" s="30"/>
    </row>
    <row r="641" spans="18:18" ht="15.75" customHeight="1">
      <c r="R641" s="30"/>
    </row>
    <row r="642" spans="18:18" ht="15.75" customHeight="1">
      <c r="R642" s="30"/>
    </row>
    <row r="643" spans="18:18" ht="15.75" customHeight="1">
      <c r="R643" s="30"/>
    </row>
    <row r="644" spans="18:18" ht="15.75" customHeight="1">
      <c r="R644" s="30"/>
    </row>
    <row r="645" spans="18:18" ht="15.75" customHeight="1">
      <c r="R645" s="30"/>
    </row>
    <row r="646" spans="18:18" ht="15.75" customHeight="1">
      <c r="R646" s="30"/>
    </row>
    <row r="647" spans="18:18" ht="15.75" customHeight="1">
      <c r="R647" s="30"/>
    </row>
    <row r="648" spans="18:18" ht="15.75" customHeight="1">
      <c r="R648" s="30"/>
    </row>
    <row r="649" spans="18:18" ht="15.75" customHeight="1">
      <c r="R649" s="30"/>
    </row>
    <row r="650" spans="18:18" ht="15.75" customHeight="1">
      <c r="R650" s="30"/>
    </row>
    <row r="651" spans="18:18" ht="15.75" customHeight="1">
      <c r="R651" s="30"/>
    </row>
    <row r="652" spans="18:18" ht="15.75" customHeight="1">
      <c r="R652" s="30"/>
    </row>
    <row r="653" spans="18:18" ht="15.75" customHeight="1">
      <c r="R653" s="30"/>
    </row>
    <row r="654" spans="18:18" ht="15.75" customHeight="1">
      <c r="R654" s="30"/>
    </row>
    <row r="655" spans="18:18" ht="15.75" customHeight="1">
      <c r="R655" s="30"/>
    </row>
    <row r="656" spans="18:18" ht="15.75" customHeight="1">
      <c r="R656" s="30"/>
    </row>
    <row r="657" spans="18:18" ht="15.75" customHeight="1">
      <c r="R657" s="30"/>
    </row>
    <row r="658" spans="18:18" ht="15.75" customHeight="1">
      <c r="R658" s="30"/>
    </row>
    <row r="659" spans="18:18" ht="15.75" customHeight="1">
      <c r="R659" s="30"/>
    </row>
    <row r="660" spans="18:18" ht="15.75" customHeight="1">
      <c r="R660" s="30"/>
    </row>
    <row r="661" spans="18:18" ht="15.75" customHeight="1">
      <c r="R661" s="30"/>
    </row>
    <row r="662" spans="18:18" ht="15.75" customHeight="1">
      <c r="R662" s="30"/>
    </row>
    <row r="663" spans="18:18" ht="15.75" customHeight="1">
      <c r="R663" s="30"/>
    </row>
    <row r="664" spans="18:18" ht="15.75" customHeight="1">
      <c r="R664" s="30"/>
    </row>
    <row r="665" spans="18:18" ht="15.75" customHeight="1">
      <c r="R665" s="30"/>
    </row>
    <row r="666" spans="18:18" ht="15.75" customHeight="1">
      <c r="R666" s="30"/>
    </row>
    <row r="667" spans="18:18" ht="15.75" customHeight="1">
      <c r="R667" s="30"/>
    </row>
    <row r="668" spans="18:18" ht="15.75" customHeight="1">
      <c r="R668" s="30"/>
    </row>
    <row r="669" spans="18:18" ht="15.75" customHeight="1">
      <c r="R669" s="30"/>
    </row>
    <row r="670" spans="18:18" ht="15.75" customHeight="1">
      <c r="R670" s="30"/>
    </row>
    <row r="671" spans="18:18" ht="15.75" customHeight="1">
      <c r="R671" s="30"/>
    </row>
    <row r="672" spans="18:18" ht="15.75" customHeight="1">
      <c r="R672" s="30"/>
    </row>
    <row r="673" spans="18:18" ht="15.75" customHeight="1">
      <c r="R673" s="30"/>
    </row>
    <row r="674" spans="18:18" ht="15.75" customHeight="1">
      <c r="R674" s="30"/>
    </row>
    <row r="675" spans="18:18" ht="15.75" customHeight="1">
      <c r="R675" s="30"/>
    </row>
    <row r="676" spans="18:18" ht="15.75" customHeight="1">
      <c r="R676" s="30"/>
    </row>
    <row r="677" spans="18:18" ht="15.75" customHeight="1">
      <c r="R677" s="30"/>
    </row>
    <row r="678" spans="18:18" ht="15.75" customHeight="1">
      <c r="R678" s="30"/>
    </row>
    <row r="679" spans="18:18" ht="15.75" customHeight="1">
      <c r="R679" s="30"/>
    </row>
    <row r="680" spans="18:18" ht="15.75" customHeight="1">
      <c r="R680" s="30"/>
    </row>
    <row r="681" spans="18:18" ht="15.75" customHeight="1">
      <c r="R681" s="30"/>
    </row>
    <row r="682" spans="18:18" ht="15.75" customHeight="1">
      <c r="R682" s="30"/>
    </row>
    <row r="683" spans="18:18" ht="15.75" customHeight="1">
      <c r="R683" s="30"/>
    </row>
    <row r="684" spans="18:18" ht="15.75" customHeight="1">
      <c r="R684" s="30"/>
    </row>
    <row r="685" spans="18:18" ht="15.75" customHeight="1">
      <c r="R685" s="30"/>
    </row>
    <row r="686" spans="18:18" ht="15.75" customHeight="1">
      <c r="R686" s="30"/>
    </row>
    <row r="687" spans="18:18" ht="15.75" customHeight="1">
      <c r="R687" s="30"/>
    </row>
    <row r="688" spans="18:18" ht="15.75" customHeight="1">
      <c r="R688" s="30"/>
    </row>
    <row r="689" spans="18:18" ht="15.75" customHeight="1">
      <c r="R689" s="30"/>
    </row>
    <row r="690" spans="18:18" ht="15.75" customHeight="1">
      <c r="R690" s="30"/>
    </row>
    <row r="691" spans="18:18" ht="15.75" customHeight="1">
      <c r="R691" s="30"/>
    </row>
    <row r="692" spans="18:18" ht="15.75" customHeight="1">
      <c r="R692" s="30"/>
    </row>
    <row r="693" spans="18:18" ht="15.75" customHeight="1">
      <c r="R693" s="30"/>
    </row>
    <row r="694" spans="18:18" ht="15.75" customHeight="1">
      <c r="R694" s="30"/>
    </row>
    <row r="695" spans="18:18" ht="15.75" customHeight="1">
      <c r="R695" s="30"/>
    </row>
    <row r="696" spans="18:18" ht="15.75" customHeight="1">
      <c r="R696" s="30"/>
    </row>
    <row r="697" spans="18:18" ht="15.75" customHeight="1">
      <c r="R697" s="30"/>
    </row>
    <row r="698" spans="18:18" ht="15.75" customHeight="1">
      <c r="R698" s="30"/>
    </row>
    <row r="699" spans="18:18" ht="15.75" customHeight="1">
      <c r="R699" s="30"/>
    </row>
    <row r="700" spans="18:18" ht="15.75" customHeight="1">
      <c r="R700" s="30"/>
    </row>
    <row r="701" spans="18:18" ht="15.75" customHeight="1">
      <c r="R701" s="30"/>
    </row>
    <row r="702" spans="18:18" ht="15.75" customHeight="1">
      <c r="R702" s="30"/>
    </row>
    <row r="703" spans="18:18" ht="15.75" customHeight="1">
      <c r="R703" s="30"/>
    </row>
    <row r="704" spans="18:18" ht="15.75" customHeight="1">
      <c r="R704" s="30"/>
    </row>
    <row r="705" spans="18:18" ht="15.75" customHeight="1">
      <c r="R705" s="30"/>
    </row>
    <row r="706" spans="18:18" ht="15.75" customHeight="1">
      <c r="R706" s="30"/>
    </row>
    <row r="707" spans="18:18" ht="15.75" customHeight="1">
      <c r="R707" s="30"/>
    </row>
    <row r="708" spans="18:18" ht="15.75" customHeight="1">
      <c r="R708" s="30"/>
    </row>
    <row r="709" spans="18:18" ht="15.75" customHeight="1">
      <c r="R709" s="30"/>
    </row>
    <row r="710" spans="18:18" ht="15.75" customHeight="1">
      <c r="R710" s="30"/>
    </row>
    <row r="711" spans="18:18" ht="15.75" customHeight="1">
      <c r="R711" s="30"/>
    </row>
    <row r="712" spans="18:18" ht="15.75" customHeight="1">
      <c r="R712" s="30"/>
    </row>
    <row r="713" spans="18:18" ht="15.75" customHeight="1">
      <c r="R713" s="30"/>
    </row>
    <row r="714" spans="18:18" ht="15.75" customHeight="1">
      <c r="R714" s="30"/>
    </row>
    <row r="715" spans="18:18" ht="15.75" customHeight="1">
      <c r="R715" s="30"/>
    </row>
    <row r="716" spans="18:18" ht="15.75" customHeight="1">
      <c r="R716" s="30"/>
    </row>
    <row r="717" spans="18:18" ht="15.75" customHeight="1">
      <c r="R717" s="30"/>
    </row>
    <row r="718" spans="18:18" ht="15.75" customHeight="1">
      <c r="R718" s="30"/>
    </row>
    <row r="719" spans="18:18" ht="15.75" customHeight="1">
      <c r="R719" s="30"/>
    </row>
    <row r="720" spans="18:18" ht="15.75" customHeight="1">
      <c r="R720" s="30"/>
    </row>
    <row r="721" spans="18:18" ht="15.75" customHeight="1">
      <c r="R721" s="30"/>
    </row>
    <row r="722" spans="18:18" ht="15.75" customHeight="1">
      <c r="R722" s="30"/>
    </row>
    <row r="723" spans="18:18" ht="15.75" customHeight="1">
      <c r="R723" s="30"/>
    </row>
    <row r="724" spans="18:18" ht="15.75" customHeight="1">
      <c r="R724" s="30"/>
    </row>
    <row r="725" spans="18:18" ht="15.75" customHeight="1">
      <c r="R725" s="30"/>
    </row>
    <row r="726" spans="18:18" ht="15.75" customHeight="1">
      <c r="R726" s="30"/>
    </row>
    <row r="727" spans="18:18" ht="15.75" customHeight="1">
      <c r="R727" s="30"/>
    </row>
    <row r="728" spans="18:18" ht="15.75" customHeight="1">
      <c r="R728" s="30"/>
    </row>
    <row r="729" spans="18:18" ht="15.75" customHeight="1">
      <c r="R729" s="30"/>
    </row>
    <row r="730" spans="18:18" ht="15.75" customHeight="1">
      <c r="R730" s="30"/>
    </row>
    <row r="731" spans="18:18" ht="15.75" customHeight="1">
      <c r="R731" s="30"/>
    </row>
    <row r="732" spans="18:18" ht="15.75" customHeight="1">
      <c r="R732" s="30"/>
    </row>
    <row r="733" spans="18:18" ht="15.75" customHeight="1">
      <c r="R733" s="30"/>
    </row>
    <row r="734" spans="18:18" ht="15.75" customHeight="1">
      <c r="R734" s="30"/>
    </row>
    <row r="735" spans="18:18" ht="15.75" customHeight="1">
      <c r="R735" s="30"/>
    </row>
    <row r="736" spans="18:18" ht="15.75" customHeight="1">
      <c r="R736" s="30"/>
    </row>
    <row r="737" spans="18:18" ht="15.75" customHeight="1">
      <c r="R737" s="30"/>
    </row>
    <row r="738" spans="18:18" ht="15.75" customHeight="1">
      <c r="R738" s="30"/>
    </row>
    <row r="739" spans="18:18" ht="15.75" customHeight="1">
      <c r="R739" s="30"/>
    </row>
    <row r="740" spans="18:18" ht="15.75" customHeight="1">
      <c r="R740" s="30"/>
    </row>
    <row r="741" spans="18:18" ht="15.75" customHeight="1">
      <c r="R741" s="30"/>
    </row>
    <row r="742" spans="18:18" ht="15.75" customHeight="1">
      <c r="R742" s="30"/>
    </row>
    <row r="743" spans="18:18" ht="15.75" customHeight="1">
      <c r="R743" s="30"/>
    </row>
    <row r="744" spans="18:18" ht="15.75" customHeight="1">
      <c r="R744" s="30"/>
    </row>
    <row r="745" spans="18:18" ht="15.75" customHeight="1">
      <c r="R745" s="30"/>
    </row>
    <row r="746" spans="18:18" ht="15.75" customHeight="1">
      <c r="R746" s="30"/>
    </row>
    <row r="747" spans="18:18" ht="15.75" customHeight="1">
      <c r="R747" s="30"/>
    </row>
    <row r="748" spans="18:18" ht="15.75" customHeight="1">
      <c r="R748" s="30"/>
    </row>
    <row r="749" spans="18:18" ht="15.75" customHeight="1">
      <c r="R749" s="30"/>
    </row>
    <row r="750" spans="18:18" ht="15.75" customHeight="1">
      <c r="R750" s="30"/>
    </row>
    <row r="751" spans="18:18" ht="15.75" customHeight="1">
      <c r="R751" s="30"/>
    </row>
    <row r="752" spans="18:18" ht="15.75" customHeight="1">
      <c r="R752" s="30"/>
    </row>
    <row r="753" spans="18:18" ht="15.75" customHeight="1">
      <c r="R753" s="30"/>
    </row>
    <row r="754" spans="18:18" ht="15.75" customHeight="1">
      <c r="R754" s="30"/>
    </row>
    <row r="755" spans="18:18" ht="15.75" customHeight="1">
      <c r="R755" s="30"/>
    </row>
    <row r="756" spans="18:18" ht="15.75" customHeight="1">
      <c r="R756" s="30"/>
    </row>
    <row r="757" spans="18:18" ht="15.75" customHeight="1">
      <c r="R757" s="30"/>
    </row>
    <row r="758" spans="18:18" ht="15.75" customHeight="1">
      <c r="R758" s="30"/>
    </row>
    <row r="759" spans="18:18" ht="15.75" customHeight="1">
      <c r="R759" s="30"/>
    </row>
    <row r="760" spans="18:18" ht="15.75" customHeight="1">
      <c r="R760" s="30"/>
    </row>
    <row r="761" spans="18:18" ht="15.75" customHeight="1">
      <c r="R761" s="30"/>
    </row>
    <row r="762" spans="18:18" ht="15.75" customHeight="1">
      <c r="R762" s="30"/>
    </row>
    <row r="763" spans="18:18" ht="15.75" customHeight="1">
      <c r="R763" s="30"/>
    </row>
    <row r="764" spans="18:18" ht="15.75" customHeight="1">
      <c r="R764" s="30"/>
    </row>
    <row r="765" spans="18:18" ht="15.75" customHeight="1">
      <c r="R765" s="30"/>
    </row>
    <row r="766" spans="18:18" ht="15.75" customHeight="1">
      <c r="R766" s="30"/>
    </row>
    <row r="767" spans="18:18" ht="15.75" customHeight="1">
      <c r="R767" s="30"/>
    </row>
    <row r="768" spans="18:18" ht="15.75" customHeight="1">
      <c r="R768" s="30"/>
    </row>
    <row r="769" spans="18:18" ht="15.75" customHeight="1">
      <c r="R769" s="30"/>
    </row>
    <row r="770" spans="18:18" ht="15.75" customHeight="1">
      <c r="R770" s="30"/>
    </row>
    <row r="771" spans="18:18" ht="15.75" customHeight="1">
      <c r="R771" s="30"/>
    </row>
    <row r="772" spans="18:18" ht="15.75" customHeight="1">
      <c r="R772" s="30"/>
    </row>
    <row r="773" spans="18:18" ht="15.75" customHeight="1">
      <c r="R773" s="30"/>
    </row>
    <row r="774" spans="18:18" ht="15.75" customHeight="1">
      <c r="R774" s="30"/>
    </row>
    <row r="775" spans="18:18" ht="15.75" customHeight="1">
      <c r="R775" s="30"/>
    </row>
    <row r="776" spans="18:18" ht="15.75" customHeight="1">
      <c r="R776" s="30"/>
    </row>
    <row r="777" spans="18:18" ht="15.75" customHeight="1">
      <c r="R777" s="30"/>
    </row>
    <row r="778" spans="18:18" ht="15.75" customHeight="1">
      <c r="R778" s="30"/>
    </row>
    <row r="779" spans="18:18" ht="15.75" customHeight="1">
      <c r="R779" s="30"/>
    </row>
    <row r="780" spans="18:18" ht="15.75" customHeight="1">
      <c r="R780" s="30"/>
    </row>
    <row r="781" spans="18:18" ht="15.75" customHeight="1">
      <c r="R781" s="30"/>
    </row>
    <row r="782" spans="18:18" ht="15.75" customHeight="1">
      <c r="R782" s="30"/>
    </row>
    <row r="783" spans="18:18" ht="15.75" customHeight="1">
      <c r="R783" s="30"/>
    </row>
    <row r="784" spans="18:18" ht="15.75" customHeight="1">
      <c r="R784" s="30"/>
    </row>
    <row r="785" spans="18:18" ht="15.75" customHeight="1">
      <c r="R785" s="30"/>
    </row>
    <row r="786" spans="18:18" ht="15.75" customHeight="1">
      <c r="R786" s="30"/>
    </row>
    <row r="787" spans="18:18" ht="15.75" customHeight="1">
      <c r="R787" s="30"/>
    </row>
    <row r="788" spans="18:18" ht="15.75" customHeight="1">
      <c r="R788" s="30"/>
    </row>
    <row r="789" spans="18:18" ht="15.75" customHeight="1">
      <c r="R789" s="30"/>
    </row>
    <row r="790" spans="18:18" ht="15.75" customHeight="1">
      <c r="R790" s="30"/>
    </row>
    <row r="791" spans="18:18" ht="15.75" customHeight="1">
      <c r="R791" s="30"/>
    </row>
    <row r="792" spans="18:18" ht="15.75" customHeight="1">
      <c r="R792" s="30"/>
    </row>
    <row r="793" spans="18:18" ht="15.75" customHeight="1">
      <c r="R793" s="30"/>
    </row>
    <row r="794" spans="18:18" ht="15.75" customHeight="1">
      <c r="R794" s="30"/>
    </row>
    <row r="795" spans="18:18" ht="15.75" customHeight="1">
      <c r="R795" s="30"/>
    </row>
    <row r="796" spans="18:18" ht="15.75" customHeight="1">
      <c r="R796" s="30"/>
    </row>
    <row r="797" spans="18:18" ht="15.75" customHeight="1">
      <c r="R797" s="30"/>
    </row>
    <row r="798" spans="18:18" ht="15.75" customHeight="1">
      <c r="R798" s="30"/>
    </row>
    <row r="799" spans="18:18" ht="15.75" customHeight="1">
      <c r="R799" s="30"/>
    </row>
    <row r="800" spans="18:18" ht="15.75" customHeight="1">
      <c r="R800" s="30"/>
    </row>
    <row r="801" spans="18:18" ht="15.75" customHeight="1">
      <c r="R801" s="30"/>
    </row>
    <row r="802" spans="18:18" ht="15.75" customHeight="1">
      <c r="R802" s="30"/>
    </row>
    <row r="803" spans="18:18" ht="15.75" customHeight="1">
      <c r="R803" s="30"/>
    </row>
    <row r="804" spans="18:18" ht="15.75" customHeight="1">
      <c r="R804" s="30"/>
    </row>
    <row r="805" spans="18:18" ht="15.75" customHeight="1">
      <c r="R805" s="30"/>
    </row>
    <row r="806" spans="18:18" ht="15.75" customHeight="1">
      <c r="R806" s="30"/>
    </row>
    <row r="807" spans="18:18" ht="15.75" customHeight="1">
      <c r="R807" s="30"/>
    </row>
    <row r="808" spans="18:18" ht="15.75" customHeight="1">
      <c r="R808" s="30"/>
    </row>
    <row r="809" spans="18:18" ht="15.75" customHeight="1">
      <c r="R809" s="30"/>
    </row>
    <row r="810" spans="18:18" ht="15.75" customHeight="1">
      <c r="R810" s="30"/>
    </row>
    <row r="811" spans="18:18" ht="15.75" customHeight="1">
      <c r="R811" s="30"/>
    </row>
    <row r="812" spans="18:18" ht="15.75" customHeight="1">
      <c r="R812" s="30"/>
    </row>
    <row r="813" spans="18:18" ht="15.75" customHeight="1">
      <c r="R813" s="30"/>
    </row>
    <row r="814" spans="18:18" ht="15.75" customHeight="1">
      <c r="R814" s="30"/>
    </row>
    <row r="815" spans="18:18" ht="15.75" customHeight="1">
      <c r="R815" s="30"/>
    </row>
    <row r="816" spans="18:18" ht="15.75" customHeight="1">
      <c r="R816" s="30"/>
    </row>
    <row r="817" spans="18:18" ht="15.75" customHeight="1">
      <c r="R817" s="30"/>
    </row>
    <row r="818" spans="18:18" ht="15.75" customHeight="1">
      <c r="R818" s="30"/>
    </row>
    <row r="819" spans="18:18" ht="15.75" customHeight="1">
      <c r="R819" s="30"/>
    </row>
    <row r="820" spans="18:18" ht="15.75" customHeight="1">
      <c r="R820" s="30"/>
    </row>
    <row r="821" spans="18:18" ht="15.75" customHeight="1">
      <c r="R821" s="30"/>
    </row>
    <row r="822" spans="18:18" ht="15.75" customHeight="1">
      <c r="R822" s="30"/>
    </row>
    <row r="823" spans="18:18" ht="15.75" customHeight="1">
      <c r="R823" s="30"/>
    </row>
    <row r="824" spans="18:18" ht="15.75" customHeight="1">
      <c r="R824" s="30"/>
    </row>
    <row r="825" spans="18:18" ht="15.75" customHeight="1">
      <c r="R825" s="30"/>
    </row>
    <row r="826" spans="18:18" ht="15.75" customHeight="1">
      <c r="R826" s="30"/>
    </row>
    <row r="827" spans="18:18" ht="15.75" customHeight="1">
      <c r="R827" s="30"/>
    </row>
    <row r="828" spans="18:18" ht="15.75" customHeight="1">
      <c r="R828" s="30"/>
    </row>
    <row r="829" spans="18:18" ht="15.75" customHeight="1">
      <c r="R829" s="30"/>
    </row>
    <row r="830" spans="18:18" ht="15.75" customHeight="1">
      <c r="R830" s="30"/>
    </row>
    <row r="831" spans="18:18" ht="15.75" customHeight="1">
      <c r="R831" s="30"/>
    </row>
    <row r="832" spans="18:18" ht="15.75" customHeight="1">
      <c r="R832" s="30"/>
    </row>
    <row r="833" spans="18:18" ht="15.75" customHeight="1">
      <c r="R833" s="30"/>
    </row>
    <row r="834" spans="18:18" ht="15.75" customHeight="1">
      <c r="R834" s="30"/>
    </row>
    <row r="835" spans="18:18" ht="15.75" customHeight="1">
      <c r="R835" s="30"/>
    </row>
    <row r="836" spans="18:18" ht="15.75" customHeight="1">
      <c r="R836" s="30"/>
    </row>
    <row r="837" spans="18:18" ht="15.75" customHeight="1">
      <c r="R837" s="30"/>
    </row>
    <row r="838" spans="18:18" ht="15.75" customHeight="1">
      <c r="R838" s="30"/>
    </row>
    <row r="839" spans="18:18" ht="15.75" customHeight="1">
      <c r="R839" s="30"/>
    </row>
    <row r="840" spans="18:18" ht="15.75" customHeight="1">
      <c r="R840" s="30"/>
    </row>
    <row r="841" spans="18:18" ht="15.75" customHeight="1">
      <c r="R841" s="30"/>
    </row>
    <row r="842" spans="18:18" ht="15.75" customHeight="1">
      <c r="R842" s="30"/>
    </row>
    <row r="843" spans="18:18" ht="15.75" customHeight="1">
      <c r="R843" s="30"/>
    </row>
    <row r="844" spans="18:18" ht="15.75" customHeight="1">
      <c r="R844" s="30"/>
    </row>
    <row r="845" spans="18:18" ht="15.75" customHeight="1">
      <c r="R845" s="30"/>
    </row>
    <row r="846" spans="18:18" ht="15.75" customHeight="1">
      <c r="R846" s="30"/>
    </row>
    <row r="847" spans="18:18" ht="15.75" customHeight="1">
      <c r="R847" s="30"/>
    </row>
    <row r="848" spans="18:18" ht="15.75" customHeight="1">
      <c r="R848" s="30"/>
    </row>
    <row r="849" spans="18:18" ht="15.75" customHeight="1">
      <c r="R849" s="30"/>
    </row>
    <row r="850" spans="18:18" ht="15.75" customHeight="1">
      <c r="R850" s="30"/>
    </row>
    <row r="851" spans="18:18" ht="15.75" customHeight="1">
      <c r="R851" s="30"/>
    </row>
    <row r="852" spans="18:18" ht="15.75" customHeight="1">
      <c r="R852" s="30"/>
    </row>
    <row r="853" spans="18:18" ht="15.75" customHeight="1">
      <c r="R853" s="30"/>
    </row>
    <row r="854" spans="18:18" ht="15.75" customHeight="1">
      <c r="R854" s="30"/>
    </row>
    <row r="855" spans="18:18" ht="15.75" customHeight="1">
      <c r="R855" s="30"/>
    </row>
    <row r="856" spans="18:18" ht="15.75" customHeight="1">
      <c r="R856" s="30"/>
    </row>
    <row r="857" spans="18:18" ht="15.75" customHeight="1">
      <c r="R857" s="30"/>
    </row>
    <row r="858" spans="18:18" ht="15.75" customHeight="1">
      <c r="R858" s="30"/>
    </row>
    <row r="859" spans="18:18" ht="15.75" customHeight="1">
      <c r="R859" s="30"/>
    </row>
    <row r="860" spans="18:18" ht="15.75" customHeight="1">
      <c r="R860" s="30"/>
    </row>
    <row r="861" spans="18:18" ht="15.75" customHeight="1">
      <c r="R861" s="30"/>
    </row>
    <row r="862" spans="18:18" ht="15.75" customHeight="1">
      <c r="R862" s="30"/>
    </row>
    <row r="863" spans="18:18" ht="15.75" customHeight="1">
      <c r="R863" s="30"/>
    </row>
    <row r="864" spans="18:18" ht="15.75" customHeight="1">
      <c r="R864" s="30"/>
    </row>
    <row r="865" spans="18:18" ht="15.75" customHeight="1">
      <c r="R865" s="30"/>
    </row>
    <row r="866" spans="18:18" ht="15.75" customHeight="1">
      <c r="R866" s="30"/>
    </row>
    <row r="867" spans="18:18" ht="15.75" customHeight="1">
      <c r="R867" s="30"/>
    </row>
    <row r="868" spans="18:18" ht="15.75" customHeight="1">
      <c r="R868" s="30"/>
    </row>
    <row r="869" spans="18:18" ht="15.75" customHeight="1">
      <c r="R869" s="30"/>
    </row>
    <row r="870" spans="18:18" ht="15.75" customHeight="1">
      <c r="R870" s="30"/>
    </row>
    <row r="871" spans="18:18" ht="15.75" customHeight="1">
      <c r="R871" s="30"/>
    </row>
    <row r="872" spans="18:18" ht="15.75" customHeight="1">
      <c r="R872" s="30"/>
    </row>
    <row r="873" spans="18:18" ht="15.75" customHeight="1">
      <c r="R873" s="30"/>
    </row>
    <row r="874" spans="18:18" ht="15.75" customHeight="1">
      <c r="R874" s="30"/>
    </row>
    <row r="875" spans="18:18" ht="15.75" customHeight="1">
      <c r="R875" s="30"/>
    </row>
    <row r="876" spans="18:18" ht="15.75" customHeight="1">
      <c r="R876" s="30"/>
    </row>
    <row r="877" spans="18:18" ht="15.75" customHeight="1">
      <c r="R877" s="30"/>
    </row>
    <row r="878" spans="18:18" ht="15.75" customHeight="1">
      <c r="R878" s="30"/>
    </row>
    <row r="879" spans="18:18" ht="15.75" customHeight="1">
      <c r="R879" s="30"/>
    </row>
    <row r="880" spans="18:18" ht="15.75" customHeight="1">
      <c r="R880" s="30"/>
    </row>
    <row r="881" spans="18:18" ht="15.75" customHeight="1">
      <c r="R881" s="30"/>
    </row>
    <row r="882" spans="18:18" ht="15.75" customHeight="1">
      <c r="R882" s="30"/>
    </row>
    <row r="883" spans="18:18" ht="15.75" customHeight="1">
      <c r="R883" s="30"/>
    </row>
    <row r="884" spans="18:18" ht="15.75" customHeight="1">
      <c r="R884" s="30"/>
    </row>
    <row r="885" spans="18:18" ht="15.75" customHeight="1">
      <c r="R885" s="30"/>
    </row>
    <row r="886" spans="18:18" ht="15.75" customHeight="1">
      <c r="R886" s="30"/>
    </row>
    <row r="887" spans="18:18" ht="15.75" customHeight="1">
      <c r="R887" s="30"/>
    </row>
    <row r="888" spans="18:18" ht="15.75" customHeight="1">
      <c r="R888" s="30"/>
    </row>
    <row r="889" spans="18:18" ht="15.75" customHeight="1">
      <c r="R889" s="30"/>
    </row>
    <row r="890" spans="18:18" ht="15.75" customHeight="1">
      <c r="R890" s="30"/>
    </row>
    <row r="891" spans="18:18" ht="15.75" customHeight="1">
      <c r="R891" s="30"/>
    </row>
    <row r="892" spans="18:18" ht="15.75" customHeight="1">
      <c r="R892" s="30"/>
    </row>
    <row r="893" spans="18:18" ht="15.75" customHeight="1">
      <c r="R893" s="30"/>
    </row>
    <row r="894" spans="18:18" ht="15.75" customHeight="1">
      <c r="R894" s="30"/>
    </row>
    <row r="895" spans="18:18" ht="15.75" customHeight="1">
      <c r="R895" s="30"/>
    </row>
    <row r="896" spans="18:18" ht="15.75" customHeight="1">
      <c r="R896" s="30"/>
    </row>
    <row r="897" spans="18:18" ht="15.75" customHeight="1">
      <c r="R897" s="30"/>
    </row>
    <row r="898" spans="18:18" ht="15.75" customHeight="1">
      <c r="R898" s="30"/>
    </row>
    <row r="899" spans="18:18" ht="15.75" customHeight="1">
      <c r="R899" s="30"/>
    </row>
    <row r="900" spans="18:18" ht="15.75" customHeight="1">
      <c r="R900" s="30"/>
    </row>
    <row r="901" spans="18:18" ht="15.75" customHeight="1">
      <c r="R901" s="30"/>
    </row>
    <row r="902" spans="18:18" ht="15.75" customHeight="1">
      <c r="R902" s="30"/>
    </row>
    <row r="903" spans="18:18" ht="15.75" customHeight="1">
      <c r="R903" s="30"/>
    </row>
    <row r="904" spans="18:18" ht="15.75" customHeight="1">
      <c r="R904" s="30"/>
    </row>
    <row r="905" spans="18:18" ht="15.75" customHeight="1">
      <c r="R905" s="30"/>
    </row>
    <row r="906" spans="18:18" ht="15.75" customHeight="1">
      <c r="R906" s="30"/>
    </row>
    <row r="907" spans="18:18" ht="15.75" customHeight="1">
      <c r="R907" s="30"/>
    </row>
    <row r="908" spans="18:18" ht="15.75" customHeight="1">
      <c r="R908" s="30"/>
    </row>
    <row r="909" spans="18:18" ht="15.75" customHeight="1">
      <c r="R909" s="30"/>
    </row>
    <row r="910" spans="18:18" ht="15.75" customHeight="1">
      <c r="R910" s="30"/>
    </row>
    <row r="911" spans="18:18" ht="15.75" customHeight="1">
      <c r="R911" s="30"/>
    </row>
    <row r="912" spans="18:18" ht="15.75" customHeight="1">
      <c r="R912" s="30"/>
    </row>
    <row r="913" spans="18:18" ht="15.75" customHeight="1">
      <c r="R913" s="30"/>
    </row>
    <row r="914" spans="18:18" ht="15.75" customHeight="1">
      <c r="R914" s="30"/>
    </row>
    <row r="915" spans="18:18" ht="15.75" customHeight="1">
      <c r="R915" s="30"/>
    </row>
    <row r="916" spans="18:18" ht="15.75" customHeight="1">
      <c r="R916" s="30"/>
    </row>
    <row r="917" spans="18:18" ht="15.75" customHeight="1">
      <c r="R917" s="30"/>
    </row>
    <row r="918" spans="18:18" ht="15.75" customHeight="1">
      <c r="R918" s="30"/>
    </row>
    <row r="919" spans="18:18" ht="15.75" customHeight="1">
      <c r="R919" s="30"/>
    </row>
    <row r="920" spans="18:18" ht="15.75" customHeight="1">
      <c r="R920" s="30"/>
    </row>
    <row r="921" spans="18:18" ht="15.75" customHeight="1">
      <c r="R921" s="30"/>
    </row>
    <row r="922" spans="18:18" ht="15.75" customHeight="1">
      <c r="R922" s="30"/>
    </row>
    <row r="923" spans="18:18" ht="15.75" customHeight="1">
      <c r="R923" s="30"/>
    </row>
    <row r="924" spans="18:18" ht="15.75" customHeight="1">
      <c r="R924" s="30"/>
    </row>
    <row r="925" spans="18:18" ht="15.75" customHeight="1">
      <c r="R925" s="30"/>
    </row>
    <row r="926" spans="18:18" ht="15.75" customHeight="1">
      <c r="R926" s="30"/>
    </row>
    <row r="927" spans="18:18" ht="15.75" customHeight="1">
      <c r="R927" s="30"/>
    </row>
    <row r="928" spans="18:18" ht="15.75" customHeight="1">
      <c r="R928" s="30"/>
    </row>
    <row r="929" spans="18:18" ht="15.75" customHeight="1">
      <c r="R929" s="30"/>
    </row>
    <row r="930" spans="18:18" ht="15.75" customHeight="1">
      <c r="R930" s="30"/>
    </row>
    <row r="931" spans="18:18" ht="15.75" customHeight="1">
      <c r="R931" s="30"/>
    </row>
    <row r="932" spans="18:18" ht="15.75" customHeight="1">
      <c r="R932" s="30"/>
    </row>
    <row r="933" spans="18:18" ht="15.75" customHeight="1">
      <c r="R933" s="30"/>
    </row>
    <row r="934" spans="18:18" ht="15.75" customHeight="1">
      <c r="R934" s="30"/>
    </row>
    <row r="935" spans="18:18" ht="15.75" customHeight="1">
      <c r="R935" s="30"/>
    </row>
    <row r="936" spans="18:18" ht="15.75" customHeight="1">
      <c r="R936" s="30"/>
    </row>
    <row r="937" spans="18:18" ht="15.75" customHeight="1">
      <c r="R937" s="30"/>
    </row>
    <row r="938" spans="18:18" ht="15.75" customHeight="1">
      <c r="R938" s="30"/>
    </row>
    <row r="939" spans="18:18" ht="15.75" customHeight="1">
      <c r="R939" s="30"/>
    </row>
    <row r="940" spans="18:18" ht="15.75" customHeight="1">
      <c r="R940" s="30"/>
    </row>
    <row r="941" spans="18:18" ht="15.75" customHeight="1">
      <c r="R941" s="30"/>
    </row>
    <row r="942" spans="18:18" ht="15.75" customHeight="1">
      <c r="R942" s="30"/>
    </row>
    <row r="943" spans="18:18" ht="15.75" customHeight="1">
      <c r="R943" s="30"/>
    </row>
    <row r="944" spans="18:18" ht="15.75" customHeight="1">
      <c r="R944" s="30"/>
    </row>
    <row r="945" spans="18:18" ht="15.75" customHeight="1">
      <c r="R945" s="30"/>
    </row>
    <row r="946" spans="18:18" ht="15.75" customHeight="1">
      <c r="R946" s="30"/>
    </row>
    <row r="947" spans="18:18" ht="15.75" customHeight="1">
      <c r="R947" s="30"/>
    </row>
    <row r="948" spans="18:18" ht="15.75" customHeight="1">
      <c r="R948" s="30"/>
    </row>
    <row r="949" spans="18:18" ht="15.75" customHeight="1">
      <c r="R949" s="30"/>
    </row>
    <row r="950" spans="18:18" ht="15.75" customHeight="1">
      <c r="R950" s="30"/>
    </row>
    <row r="951" spans="18:18" ht="15.75" customHeight="1">
      <c r="R951" s="30"/>
    </row>
    <row r="952" spans="18:18" ht="15.75" customHeight="1">
      <c r="R952" s="30"/>
    </row>
    <row r="953" spans="18:18" ht="15.75" customHeight="1">
      <c r="R953" s="30"/>
    </row>
    <row r="954" spans="18:18" ht="15.75" customHeight="1">
      <c r="R954" s="30"/>
    </row>
    <row r="955" spans="18:18" ht="15.75" customHeight="1">
      <c r="R955" s="30"/>
    </row>
    <row r="956" spans="18:18" ht="15.75" customHeight="1">
      <c r="R956" s="30"/>
    </row>
    <row r="957" spans="18:18" ht="15.75" customHeight="1">
      <c r="R957" s="30"/>
    </row>
    <row r="958" spans="18:18" ht="15.75" customHeight="1">
      <c r="R958" s="30"/>
    </row>
    <row r="959" spans="18:18" ht="15.75" customHeight="1">
      <c r="R959" s="30"/>
    </row>
    <row r="960" spans="18:18" ht="15.75" customHeight="1">
      <c r="R960" s="30"/>
    </row>
    <row r="961" spans="18:18" ht="15.75" customHeight="1">
      <c r="R961" s="30"/>
    </row>
    <row r="962" spans="18:18" ht="15.75" customHeight="1">
      <c r="R962" s="30"/>
    </row>
    <row r="963" spans="18:18" ht="15.75" customHeight="1">
      <c r="R963" s="30"/>
    </row>
    <row r="964" spans="18:18" ht="15.75" customHeight="1">
      <c r="R964" s="30"/>
    </row>
    <row r="965" spans="18:18" ht="15.75" customHeight="1">
      <c r="R965" s="30"/>
    </row>
    <row r="966" spans="18:18" ht="15.75" customHeight="1">
      <c r="R966" s="30"/>
    </row>
    <row r="967" spans="18:18" ht="15.75" customHeight="1">
      <c r="R967" s="30"/>
    </row>
    <row r="968" spans="18:18" ht="15.75" customHeight="1">
      <c r="R968" s="30"/>
    </row>
    <row r="969" spans="18:18" ht="15.75" customHeight="1">
      <c r="R969" s="30"/>
    </row>
    <row r="970" spans="18:18" ht="15.75" customHeight="1">
      <c r="R970" s="30"/>
    </row>
    <row r="971" spans="18:18" ht="15.75" customHeight="1">
      <c r="R971" s="30"/>
    </row>
    <row r="972" spans="18:18" ht="15.75" customHeight="1">
      <c r="R972" s="30"/>
    </row>
    <row r="973" spans="18:18" ht="15.75" customHeight="1">
      <c r="R973" s="30"/>
    </row>
    <row r="974" spans="18:18" ht="15.75" customHeight="1">
      <c r="R974" s="30"/>
    </row>
    <row r="975" spans="18:18" ht="15.75" customHeight="1">
      <c r="R975" s="30"/>
    </row>
    <row r="976" spans="18:18" ht="15.75" customHeight="1">
      <c r="R976" s="30"/>
    </row>
    <row r="977" spans="18:18" ht="15.75" customHeight="1">
      <c r="R977" s="30"/>
    </row>
    <row r="978" spans="18:18" ht="15.75" customHeight="1">
      <c r="R978" s="30"/>
    </row>
    <row r="979" spans="18:18" ht="15.75" customHeight="1">
      <c r="R979" s="30"/>
    </row>
    <row r="980" spans="18:18" ht="15.75" customHeight="1">
      <c r="R980" s="30"/>
    </row>
    <row r="981" spans="18:18" ht="15.75" customHeight="1">
      <c r="R981" s="30"/>
    </row>
    <row r="982" spans="18:18" ht="15.75" customHeight="1">
      <c r="R982" s="30"/>
    </row>
    <row r="983" spans="18:18" ht="15.75" customHeight="1">
      <c r="R983" s="30"/>
    </row>
    <row r="984" spans="18:18" ht="15.75" customHeight="1">
      <c r="R984" s="30"/>
    </row>
    <row r="985" spans="18:18" ht="15.75" customHeight="1">
      <c r="R985" s="30"/>
    </row>
    <row r="986" spans="18:18" ht="15.75" customHeight="1">
      <c r="R986" s="30"/>
    </row>
    <row r="987" spans="18:18" ht="15.75" customHeight="1">
      <c r="R987" s="30"/>
    </row>
    <row r="988" spans="18:18" ht="15.75" customHeight="1">
      <c r="R988" s="30"/>
    </row>
    <row r="989" spans="18:18" ht="15.75" customHeight="1">
      <c r="R989" s="30"/>
    </row>
    <row r="990" spans="18:18" ht="15.75" customHeight="1">
      <c r="R990" s="30"/>
    </row>
    <row r="991" spans="18:18" ht="15.75" customHeight="1">
      <c r="R991" s="30"/>
    </row>
    <row r="992" spans="18:18" ht="15.75" customHeight="1">
      <c r="R992" s="30"/>
    </row>
    <row r="993" spans="18:18" ht="15.75" customHeight="1">
      <c r="R993" s="30"/>
    </row>
    <row r="994" spans="18:18" ht="15.75" customHeight="1">
      <c r="R994" s="30"/>
    </row>
    <row r="995" spans="18:18" ht="15.75" customHeight="1">
      <c r="R995" s="30"/>
    </row>
    <row r="996" spans="18:18" ht="15.75" customHeight="1">
      <c r="R996" s="30"/>
    </row>
    <row r="997" spans="18:18" ht="15.75" customHeight="1">
      <c r="R997" s="30"/>
    </row>
    <row r="998" spans="18:18" ht="15.75" customHeight="1">
      <c r="R998" s="30"/>
    </row>
    <row r="999" spans="18:18" ht="15.75" customHeight="1">
      <c r="R999" s="30"/>
    </row>
    <row r="1000" spans="18:18" ht="15.75" customHeight="1">
      <c r="R1000" s="3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2.6640625" defaultRowHeight="15" customHeight="1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8.6640625" customWidth="1"/>
    <col min="6" max="6" width="9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16.33203125" customWidth="1"/>
    <col min="16" max="16" width="10" customWidth="1"/>
    <col min="17" max="18" width="7.33203125" customWidth="1"/>
    <col min="19" max="19" width="7.1640625" customWidth="1"/>
    <col min="20" max="20" width="11.1640625" customWidth="1"/>
    <col min="21" max="21" width="13.5" customWidth="1"/>
    <col min="22" max="22" width="91.664062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6640625" customWidth="1"/>
    <col min="32" max="32" width="10.1640625" customWidth="1"/>
    <col min="33" max="33" width="8.83203125" customWidth="1"/>
  </cols>
  <sheetData>
    <row r="1" spans="1:33" ht="18.75" customHeight="1">
      <c r="A1" s="46" t="str">
        <f ca="1">IFERROR(__xludf.DUMMYFUNCTION("IFERROR(VLOOKUP(B2,IMPORTRANGE(""https://docs.google.com/spreadsheets/d/1x0DhHglkXKoEBOD2MBsuK_EyIr1ouxD2ftIpqOYFa-k/edit?usp=sharing"",""Ubiquitty-SKU-Specific Info!B1:BJ5000""),3,FALSE),"""")"),"Yellow Extension Cord - 14/3 Gauge, 100ft")</f>
        <v>Yellow Extension Cord - 14/3 Gauge, 100ft</v>
      </c>
      <c r="B1" s="47"/>
      <c r="C1" s="48" t="s">
        <v>0</v>
      </c>
      <c r="D1" s="50" t="s">
        <v>1</v>
      </c>
      <c r="E1" s="50" t="s">
        <v>2</v>
      </c>
      <c r="F1" s="52" t="s">
        <v>3</v>
      </c>
      <c r="G1" s="52" t="s">
        <v>4</v>
      </c>
      <c r="H1" s="53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58" t="s">
        <v>10</v>
      </c>
      <c r="N1" s="59" t="s">
        <v>11</v>
      </c>
      <c r="O1" s="50" t="s">
        <v>12</v>
      </c>
      <c r="P1" s="50" t="s">
        <v>13</v>
      </c>
      <c r="Q1" s="57" t="s">
        <v>14</v>
      </c>
      <c r="R1" s="57" t="s">
        <v>15</v>
      </c>
      <c r="S1" s="60" t="s">
        <v>16</v>
      </c>
      <c r="T1" s="62" t="s">
        <v>2006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Info!B1:BJ5000""),2,FALSE),"""")"),"B073ZNVCXG")</f>
        <v>B073ZNVCXG</v>
      </c>
      <c r="B2" s="3" t="s">
        <v>1938</v>
      </c>
      <c r="C2" s="49"/>
      <c r="D2" s="49"/>
      <c r="E2" s="51"/>
      <c r="F2" s="49"/>
      <c r="G2" s="49"/>
      <c r="H2" s="54"/>
      <c r="I2" s="49"/>
      <c r="J2" s="49"/>
      <c r="K2" s="54"/>
      <c r="L2" s="54"/>
      <c r="M2" s="54"/>
      <c r="N2" s="49"/>
      <c r="O2" s="49"/>
      <c r="P2" s="51"/>
      <c r="Q2" s="49"/>
      <c r="R2" s="49"/>
      <c r="S2" s="61"/>
      <c r="T2" s="47"/>
      <c r="U2" s="63"/>
      <c r="V2" s="63"/>
      <c r="W2" s="47"/>
      <c r="X2" s="47"/>
      <c r="Y2" s="47"/>
      <c r="Z2" s="47"/>
      <c r="AA2" s="63"/>
      <c r="AB2" s="63"/>
      <c r="AC2" s="63"/>
      <c r="AD2" s="63"/>
      <c r="AE2" s="47"/>
      <c r="AF2" s="47"/>
      <c r="AG2" s="47"/>
    </row>
    <row r="3" spans="1:33" ht="159" customHeight="1">
      <c r="A3" s="55" t="s">
        <v>31</v>
      </c>
      <c r="B3" s="56"/>
      <c r="C3" s="4">
        <f>((AE32+AF32)/0.85)*-1</f>
        <v>41.521050627647064</v>
      </c>
      <c r="D3" s="5">
        <f>SUM(D4:D99765)</f>
        <v>1140</v>
      </c>
      <c r="E3" s="5"/>
      <c r="F3" s="6">
        <f t="shared" ref="F3:G3" si="0">SUM(F4:F99765)</f>
        <v>61633.290000000008</v>
      </c>
      <c r="G3" s="6">
        <f t="shared" si="0"/>
        <v>-1.3300000000000003</v>
      </c>
      <c r="H3" s="7">
        <f t="shared" ref="H3:H32" si="1">G3/F3*-1</f>
        <v>2.1579247189303055E-5</v>
      </c>
      <c r="I3" s="8">
        <f t="shared" ref="I3:I32" si="2">J3/F3</f>
        <v>0.24399757469104566</v>
      </c>
      <c r="J3" s="6">
        <f>SUM(J4:J99765)</f>
        <v>15038.37328022988</v>
      </c>
      <c r="K3" s="6">
        <f t="shared" ref="K3:K32" si="3">J3/D3</f>
        <v>13.191555508973579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Sheet!a1:g5000""),2,FALSE),"""")"),"7.5 - March
11 - April
10 - May
10 - June
10 - July
10 - Aug
9 - Sept
8 - Oct
6 - Nov
5.5 - Dec
7.5 - Jan
7.5 - Feb")</f>
        <v>7.5 - March
11 - April
10 - May
10 - June
10 - July
10 - Aug
9 - Sept
8 - Oct
6 - Nov
5.5 - Dec
7.5 - Jan
7.5 -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QTY-0")</f>
        <v>US QTY-0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0</v>
      </c>
      <c r="X3" s="7">
        <f>W3/D3</f>
        <v>0</v>
      </c>
      <c r="Y3" s="6"/>
      <c r="Z3" s="5"/>
      <c r="AA3" s="5"/>
      <c r="AB3" s="5"/>
      <c r="AC3" s="5"/>
      <c r="AD3" s="6">
        <f>SUM(AD4:AD99765)</f>
        <v>-327.57554748093855</v>
      </c>
      <c r="AE3" s="6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Info!B2:BZ3000""),37,FALSE)),"""")*-1"),-27.5128930335)</f>
        <v>-27.512893033499999</v>
      </c>
      <c r="AG3" s="6">
        <f>SUM(AG4:AG99765)</f>
        <v>0</v>
      </c>
    </row>
    <row r="4" spans="1:33" ht="15.75" customHeight="1">
      <c r="A4" s="14" t="s">
        <v>181</v>
      </c>
      <c r="B4" s="14" t="s">
        <v>1939</v>
      </c>
      <c r="C4" s="15">
        <f t="shared" ref="C4:C32" si="4">IFERROR(F4/D4," - ")</f>
        <v>49.669811320754697</v>
      </c>
      <c r="D4" s="16">
        <v>53</v>
      </c>
      <c r="E4" s="16">
        <v>0</v>
      </c>
      <c r="F4" s="17">
        <v>2632.4999999999991</v>
      </c>
      <c r="G4" s="17">
        <v>-0.21000000000000002</v>
      </c>
      <c r="H4" s="18">
        <f t="shared" si="1"/>
        <v>7.9772079772079805E-5</v>
      </c>
      <c r="I4" s="18">
        <f t="shared" si="2"/>
        <v>0.2947977789523003</v>
      </c>
      <c r="J4" s="17">
        <f t="shared" ref="J4:J32" si="5">F4*0.85+G4+AF4*D4+D4*AE4+AG4+AD4</f>
        <v>776.05515309193026</v>
      </c>
      <c r="K4" s="17">
        <f t="shared" si="3"/>
        <v>14.642550058338307</v>
      </c>
      <c r="L4" s="16">
        <v>118</v>
      </c>
      <c r="M4" s="19">
        <f t="shared" ref="M4:M32" si="6">IFERROR(D4/L4,"-")</f>
        <v>0.44915254237288138</v>
      </c>
      <c r="N4" s="16">
        <v>72</v>
      </c>
      <c r="O4" s="20">
        <f t="shared" ref="O4:P4" si="7">D4/7</f>
        <v>7.5714285714285712</v>
      </c>
      <c r="P4" s="20">
        <f t="shared" si="7"/>
        <v>0</v>
      </c>
      <c r="Q4" s="16">
        <f t="shared" ref="Q4:Q32" si="8">ROUNDDOWN(N4/(O4+P4),0)</f>
        <v>9</v>
      </c>
      <c r="R4" s="16"/>
      <c r="S4" s="21">
        <v>2.6524520255863502</v>
      </c>
      <c r="T4" s="14">
        <v>800</v>
      </c>
      <c r="U4" s="22">
        <v>92</v>
      </c>
      <c r="V4" s="23" t="s">
        <v>1940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26" t="s">
        <v>35</v>
      </c>
      <c r="AB4" s="27">
        <f t="shared" ref="AB4:AB32" si="11">IF(OR(AA4="UsLargeStandardSize",AA4="UsSmallStandardSize"),-0.69,-0.48)</f>
        <v>-0.69</v>
      </c>
      <c r="AC4" s="28">
        <v>0.18181465451388881</v>
      </c>
      <c r="AD4" s="25">
        <f t="shared" ref="AD4:AD32" si="12">IFERROR(AB4*AC4*D4*2,0)</f>
        <v>-13.297923831145827</v>
      </c>
      <c r="AE4" s="25">
        <v>-8.08</v>
      </c>
      <c r="AF4" s="25">
        <v>-19.241923076923076</v>
      </c>
      <c r="AG4" s="25">
        <v>0</v>
      </c>
    </row>
    <row r="5" spans="1:33" ht="15.75" customHeight="1">
      <c r="A5" s="14" t="s">
        <v>183</v>
      </c>
      <c r="B5" s="14" t="s">
        <v>1941</v>
      </c>
      <c r="C5" s="15">
        <f t="shared" si="4"/>
        <v>51.965405405405406</v>
      </c>
      <c r="D5" s="16">
        <v>37</v>
      </c>
      <c r="E5" s="16">
        <v>0</v>
      </c>
      <c r="F5" s="29">
        <v>1922.72</v>
      </c>
      <c r="G5" s="29">
        <v>-0.05</v>
      </c>
      <c r="H5" s="18">
        <f t="shared" si="1"/>
        <v>2.600482649579762E-5</v>
      </c>
      <c r="I5" s="18">
        <f t="shared" si="2"/>
        <v>0.31936872384063864</v>
      </c>
      <c r="J5" s="17">
        <f t="shared" si="5"/>
        <v>614.05663270287278</v>
      </c>
      <c r="K5" s="17">
        <f t="shared" si="3"/>
        <v>16.59612520818575</v>
      </c>
      <c r="L5" s="16">
        <v>113</v>
      </c>
      <c r="M5" s="19">
        <f t="shared" si="6"/>
        <v>0.32743362831858408</v>
      </c>
      <c r="N5" s="16">
        <v>11</v>
      </c>
      <c r="O5" s="20">
        <f t="shared" ref="O5:P5" si="13">D5/7</f>
        <v>5.2857142857142856</v>
      </c>
      <c r="P5" s="20">
        <f t="shared" si="13"/>
        <v>0</v>
      </c>
      <c r="Q5" s="16">
        <f t="shared" si="8"/>
        <v>2</v>
      </c>
      <c r="R5" s="16"/>
      <c r="S5" s="21">
        <v>3.8826979472140701</v>
      </c>
      <c r="T5" s="14">
        <v>800</v>
      </c>
      <c r="U5" s="22">
        <v>92</v>
      </c>
      <c r="V5" s="23" t="s">
        <v>1942</v>
      </c>
      <c r="W5" s="14">
        <v>0</v>
      </c>
      <c r="X5" s="24">
        <f t="shared" si="9"/>
        <v>0</v>
      </c>
      <c r="Y5" s="25">
        <f t="shared" si="10"/>
        <v>0</v>
      </c>
      <c r="Z5" s="14">
        <v>0</v>
      </c>
      <c r="AA5" s="14" t="s">
        <v>35</v>
      </c>
      <c r="AB5" s="27">
        <f t="shared" si="11"/>
        <v>-0.69</v>
      </c>
      <c r="AC5" s="28">
        <v>0.18202533198145995</v>
      </c>
      <c r="AD5" s="25">
        <f t="shared" si="12"/>
        <v>-9.2942134509733449</v>
      </c>
      <c r="AE5" s="25">
        <v>-8.08</v>
      </c>
      <c r="AF5" s="25">
        <v>-19.241923076923076</v>
      </c>
      <c r="AG5" s="25">
        <v>0</v>
      </c>
    </row>
    <row r="6" spans="1:33" ht="15.75" customHeight="1">
      <c r="A6" s="14" t="s">
        <v>185</v>
      </c>
      <c r="B6" s="14" t="s">
        <v>278</v>
      </c>
      <c r="C6" s="15">
        <f t="shared" si="4"/>
        <v>56.172666666666665</v>
      </c>
      <c r="D6" s="16">
        <v>15</v>
      </c>
      <c r="E6" s="16">
        <v>0</v>
      </c>
      <c r="F6" s="29">
        <v>842.58999999999992</v>
      </c>
      <c r="G6" s="29">
        <v>0</v>
      </c>
      <c r="H6" s="18">
        <f t="shared" si="1"/>
        <v>0</v>
      </c>
      <c r="I6" s="18">
        <f t="shared" si="2"/>
        <v>0.35914156410320114</v>
      </c>
      <c r="J6" s="17">
        <f t="shared" si="5"/>
        <v>302.60909049771624</v>
      </c>
      <c r="K6" s="17">
        <f t="shared" si="3"/>
        <v>20.173939366514414</v>
      </c>
      <c r="L6" s="16">
        <v>46</v>
      </c>
      <c r="M6" s="19">
        <f t="shared" si="6"/>
        <v>0.32608695652173914</v>
      </c>
      <c r="N6" s="16">
        <v>1</v>
      </c>
      <c r="O6" s="20">
        <f t="shared" ref="O6:P6" si="14">D6/7</f>
        <v>2.1428571428571428</v>
      </c>
      <c r="P6" s="20">
        <f t="shared" si="14"/>
        <v>0</v>
      </c>
      <c r="Q6" s="16">
        <f t="shared" si="8"/>
        <v>0</v>
      </c>
      <c r="R6" s="16"/>
      <c r="S6" s="21">
        <v>3.9083094555873901</v>
      </c>
      <c r="T6" s="14">
        <v>1144</v>
      </c>
      <c r="U6" s="22">
        <v>92</v>
      </c>
      <c r="V6" s="23" t="s">
        <v>1943</v>
      </c>
      <c r="W6" s="14">
        <v>0</v>
      </c>
      <c r="X6" s="24">
        <f t="shared" si="9"/>
        <v>0</v>
      </c>
      <c r="Y6" s="25">
        <f t="shared" si="10"/>
        <v>0</v>
      </c>
      <c r="Z6" s="14">
        <v>0</v>
      </c>
      <c r="AA6" s="14" t="s">
        <v>35</v>
      </c>
      <c r="AB6" s="27">
        <f t="shared" si="11"/>
        <v>-0.69</v>
      </c>
      <c r="AC6" s="28">
        <v>0.18181465451388881</v>
      </c>
      <c r="AD6" s="25">
        <f t="shared" si="12"/>
        <v>-3.7635633484374984</v>
      </c>
      <c r="AE6" s="25">
        <v>-8.08</v>
      </c>
      <c r="AF6" s="25">
        <v>-19.241923076923076</v>
      </c>
      <c r="AG6" s="25">
        <v>0</v>
      </c>
    </row>
    <row r="7" spans="1:33" ht="15.75" customHeight="1">
      <c r="A7" s="14" t="s">
        <v>187</v>
      </c>
      <c r="B7" s="14" t="s">
        <v>1944</v>
      </c>
      <c r="C7" s="15">
        <f t="shared" si="4"/>
        <v>60.335833333333341</v>
      </c>
      <c r="D7" s="16">
        <v>12</v>
      </c>
      <c r="E7" s="16">
        <v>0</v>
      </c>
      <c r="F7" s="29">
        <v>724.03000000000009</v>
      </c>
      <c r="G7" s="29">
        <v>0</v>
      </c>
      <c r="H7" s="18">
        <f t="shared" si="1"/>
        <v>0</v>
      </c>
      <c r="I7" s="18">
        <f t="shared" si="2"/>
        <v>0.39301074872335823</v>
      </c>
      <c r="J7" s="17">
        <f t="shared" si="5"/>
        <v>284.55157239817311</v>
      </c>
      <c r="K7" s="17">
        <f t="shared" si="3"/>
        <v>23.712631033181093</v>
      </c>
      <c r="L7" s="16">
        <v>35</v>
      </c>
      <c r="M7" s="19">
        <f t="shared" si="6"/>
        <v>0.34285714285714286</v>
      </c>
      <c r="N7" s="16">
        <v>3</v>
      </c>
      <c r="O7" s="20">
        <f t="shared" ref="O7:P7" si="15">D7/7</f>
        <v>1.7142857142857142</v>
      </c>
      <c r="P7" s="20">
        <f t="shared" si="15"/>
        <v>0</v>
      </c>
      <c r="Q7" s="16">
        <f t="shared" si="8"/>
        <v>1</v>
      </c>
      <c r="R7" s="16"/>
      <c r="S7" s="21">
        <v>3.6864864864864799</v>
      </c>
      <c r="T7" s="14">
        <v>1144</v>
      </c>
      <c r="U7" s="22">
        <v>92</v>
      </c>
      <c r="V7" s="23" t="s">
        <v>1945</v>
      </c>
      <c r="W7" s="14">
        <v>0</v>
      </c>
      <c r="X7" s="24">
        <f t="shared" si="9"/>
        <v>0</v>
      </c>
      <c r="Y7" s="25">
        <f t="shared" si="10"/>
        <v>0</v>
      </c>
      <c r="Z7" s="14">
        <v>0</v>
      </c>
      <c r="AA7" s="14" t="s">
        <v>35</v>
      </c>
      <c r="AB7" s="27">
        <f t="shared" si="11"/>
        <v>-0.69</v>
      </c>
      <c r="AC7" s="28">
        <v>0.18181465451388881</v>
      </c>
      <c r="AD7" s="25">
        <f t="shared" si="12"/>
        <v>-3.0108506787499989</v>
      </c>
      <c r="AE7" s="25">
        <v>-8.08</v>
      </c>
      <c r="AF7" s="25">
        <v>-19.241923076923076</v>
      </c>
      <c r="AG7" s="25">
        <v>0</v>
      </c>
    </row>
    <row r="8" spans="1:33" ht="15.75" customHeight="1">
      <c r="A8" s="14" t="s">
        <v>189</v>
      </c>
      <c r="B8" s="14" t="s">
        <v>1946</v>
      </c>
      <c r="C8" s="15">
        <f t="shared" si="4"/>
        <v>60.857142857142854</v>
      </c>
      <c r="D8" s="16">
        <v>7</v>
      </c>
      <c r="E8" s="16">
        <v>0</v>
      </c>
      <c r="F8" s="29">
        <v>426</v>
      </c>
      <c r="G8" s="29">
        <v>0</v>
      </c>
      <c r="H8" s="18">
        <f t="shared" si="1"/>
        <v>0</v>
      </c>
      <c r="I8" s="18">
        <f t="shared" si="2"/>
        <v>0.39695697285773662</v>
      </c>
      <c r="J8" s="17">
        <f t="shared" si="5"/>
        <v>169.10367043739581</v>
      </c>
      <c r="K8" s="17">
        <f t="shared" si="3"/>
        <v>24.157667205342257</v>
      </c>
      <c r="L8" s="16">
        <v>12</v>
      </c>
      <c r="M8" s="19">
        <f t="shared" si="6"/>
        <v>0.58333333333333337</v>
      </c>
      <c r="N8" s="16">
        <v>86</v>
      </c>
      <c r="O8" s="20">
        <f t="shared" ref="O8:P8" si="16">D8/7</f>
        <v>1</v>
      </c>
      <c r="P8" s="20">
        <f t="shared" si="16"/>
        <v>0</v>
      </c>
      <c r="Q8" s="16">
        <f t="shared" si="8"/>
        <v>86</v>
      </c>
      <c r="R8" s="16"/>
      <c r="S8" s="21">
        <v>3.8265895953757201</v>
      </c>
      <c r="T8" s="14">
        <v>1308</v>
      </c>
      <c r="U8" s="22">
        <v>288</v>
      </c>
      <c r="V8" s="23" t="s">
        <v>1947</v>
      </c>
      <c r="W8" s="14">
        <v>0</v>
      </c>
      <c r="X8" s="24">
        <f t="shared" si="9"/>
        <v>0</v>
      </c>
      <c r="Y8" s="25">
        <f t="shared" si="10"/>
        <v>0</v>
      </c>
      <c r="Z8" s="14">
        <v>0</v>
      </c>
      <c r="AA8" s="14" t="s">
        <v>35</v>
      </c>
      <c r="AB8" s="27">
        <f t="shared" si="11"/>
        <v>-0.69</v>
      </c>
      <c r="AC8" s="28">
        <v>0.18181465451388881</v>
      </c>
      <c r="AD8" s="25">
        <f t="shared" si="12"/>
        <v>-1.756329562604166</v>
      </c>
      <c r="AE8" s="25">
        <v>-8.08</v>
      </c>
      <c r="AF8" s="25">
        <v>-19.239999999999998</v>
      </c>
      <c r="AG8" s="25">
        <v>0</v>
      </c>
    </row>
    <row r="9" spans="1:33" ht="15.75" customHeight="1">
      <c r="A9" s="14" t="s">
        <v>191</v>
      </c>
      <c r="B9" s="14" t="s">
        <v>363</v>
      </c>
      <c r="C9" s="15">
        <f t="shared" si="4"/>
        <v>49.954594594594589</v>
      </c>
      <c r="D9" s="16">
        <v>37</v>
      </c>
      <c r="E9" s="16">
        <v>0</v>
      </c>
      <c r="F9" s="29">
        <v>1848.3199999999997</v>
      </c>
      <c r="G9" s="29">
        <v>-0.28000000000000003</v>
      </c>
      <c r="H9" s="18">
        <f t="shared" si="1"/>
        <v>1.5148891966759007E-4</v>
      </c>
      <c r="I9" s="18">
        <f t="shared" si="2"/>
        <v>0.28925981301218145</v>
      </c>
      <c r="J9" s="17">
        <f t="shared" si="5"/>
        <v>534.64469758667519</v>
      </c>
      <c r="K9" s="17">
        <f t="shared" si="3"/>
        <v>14.449856691531762</v>
      </c>
      <c r="L9" s="16">
        <v>90</v>
      </c>
      <c r="M9" s="19">
        <f t="shared" si="6"/>
        <v>0.41111111111111109</v>
      </c>
      <c r="N9" s="16">
        <v>48</v>
      </c>
      <c r="O9" s="20">
        <f t="shared" ref="O9:P9" si="17">D9/7</f>
        <v>5.2857142857142856</v>
      </c>
      <c r="P9" s="20">
        <f t="shared" si="17"/>
        <v>0</v>
      </c>
      <c r="Q9" s="16">
        <f t="shared" si="8"/>
        <v>9</v>
      </c>
      <c r="R9" s="16"/>
      <c r="S9" s="21">
        <v>6.4072398190045199</v>
      </c>
      <c r="T9" s="14">
        <v>1308</v>
      </c>
      <c r="U9" s="22">
        <v>288</v>
      </c>
      <c r="V9" s="23" t="s">
        <v>1948</v>
      </c>
      <c r="W9" s="14">
        <v>0</v>
      </c>
      <c r="X9" s="24">
        <f t="shared" si="9"/>
        <v>0</v>
      </c>
      <c r="Y9" s="25">
        <f t="shared" si="10"/>
        <v>0</v>
      </c>
      <c r="Z9" s="14">
        <v>0</v>
      </c>
      <c r="AA9" s="14" t="s">
        <v>35</v>
      </c>
      <c r="AB9" s="27">
        <f t="shared" si="11"/>
        <v>-0.69</v>
      </c>
      <c r="AC9" s="28">
        <v>0.18181465451388881</v>
      </c>
      <c r="AD9" s="25">
        <f t="shared" si="12"/>
        <v>-9.2834562594791628</v>
      </c>
      <c r="AE9" s="25">
        <v>-8.08</v>
      </c>
      <c r="AF9" s="25">
        <v>-19.673076923076898</v>
      </c>
      <c r="AG9" s="25">
        <v>0</v>
      </c>
    </row>
    <row r="10" spans="1:33" ht="15.75" customHeight="1">
      <c r="A10" s="14" t="s">
        <v>192</v>
      </c>
      <c r="B10" s="14" t="s">
        <v>343</v>
      </c>
      <c r="C10" s="15">
        <f t="shared" si="4"/>
        <v>49.583846153846153</v>
      </c>
      <c r="D10" s="16">
        <v>26</v>
      </c>
      <c r="E10" s="16">
        <v>0</v>
      </c>
      <c r="F10" s="29">
        <v>1289.18</v>
      </c>
      <c r="G10" s="29">
        <v>-0.09</v>
      </c>
      <c r="H10" s="18">
        <f t="shared" si="1"/>
        <v>6.9811818365162352E-5</v>
      </c>
      <c r="I10" s="18">
        <f t="shared" si="2"/>
        <v>0.28514985509862273</v>
      </c>
      <c r="J10" s="17">
        <f t="shared" si="5"/>
        <v>367.60949019604249</v>
      </c>
      <c r="K10" s="17">
        <f t="shared" si="3"/>
        <v>14.138826546001635</v>
      </c>
      <c r="L10" s="16">
        <v>68</v>
      </c>
      <c r="M10" s="19">
        <f t="shared" si="6"/>
        <v>0.38235294117647056</v>
      </c>
      <c r="N10" s="16">
        <v>7</v>
      </c>
      <c r="O10" s="20">
        <f t="shared" ref="O10:P10" si="18">D10/7</f>
        <v>3.7142857142857144</v>
      </c>
      <c r="P10" s="20">
        <f t="shared" si="18"/>
        <v>0</v>
      </c>
      <c r="Q10" s="16">
        <f t="shared" si="8"/>
        <v>1</v>
      </c>
      <c r="R10" s="16"/>
      <c r="S10" s="21">
        <v>6.5420560747663501</v>
      </c>
      <c r="T10" s="14">
        <v>708</v>
      </c>
      <c r="U10" s="22">
        <v>256</v>
      </c>
      <c r="V10" s="23" t="s">
        <v>1949</v>
      </c>
      <c r="W10" s="14">
        <v>0</v>
      </c>
      <c r="X10" s="24">
        <f t="shared" si="9"/>
        <v>0</v>
      </c>
      <c r="Y10" s="25">
        <f t="shared" si="10"/>
        <v>0</v>
      </c>
      <c r="Z10" s="14">
        <v>0</v>
      </c>
      <c r="AA10" s="14" t="s">
        <v>35</v>
      </c>
      <c r="AB10" s="27">
        <f t="shared" si="11"/>
        <v>-0.69</v>
      </c>
      <c r="AC10" s="28">
        <v>0.18181465451388881</v>
      </c>
      <c r="AD10" s="25">
        <f t="shared" si="12"/>
        <v>-6.5235098039583308</v>
      </c>
      <c r="AE10" s="25">
        <v>-8.08</v>
      </c>
      <c r="AF10" s="25">
        <v>-19.673076923076898</v>
      </c>
      <c r="AG10" s="25">
        <v>0</v>
      </c>
    </row>
    <row r="11" spans="1:33" ht="15.75" customHeight="1">
      <c r="A11" s="14" t="s">
        <v>193</v>
      </c>
      <c r="B11" s="14" t="s">
        <v>45</v>
      </c>
      <c r="C11" s="15">
        <f t="shared" si="4"/>
        <v>49.99</v>
      </c>
      <c r="D11" s="16">
        <v>19</v>
      </c>
      <c r="E11" s="16">
        <v>0</v>
      </c>
      <c r="F11" s="29">
        <v>949.81000000000006</v>
      </c>
      <c r="G11" s="29">
        <v>-0.22</v>
      </c>
      <c r="H11" s="18">
        <f t="shared" si="1"/>
        <v>2.3162527242290561E-4</v>
      </c>
      <c r="I11" s="18">
        <f t="shared" si="2"/>
        <v>0.28957671346920416</v>
      </c>
      <c r="J11" s="17">
        <f t="shared" si="5"/>
        <v>275.04285822018483</v>
      </c>
      <c r="K11" s="17">
        <f t="shared" si="3"/>
        <v>14.475939906325516</v>
      </c>
      <c r="L11" s="16">
        <v>55</v>
      </c>
      <c r="M11" s="19">
        <f t="shared" si="6"/>
        <v>0.34545454545454546</v>
      </c>
      <c r="N11" s="16">
        <v>6</v>
      </c>
      <c r="O11" s="20">
        <f t="shared" ref="O11:P11" si="19">D11/7</f>
        <v>2.7142857142857144</v>
      </c>
      <c r="P11" s="20">
        <f t="shared" si="19"/>
        <v>0</v>
      </c>
      <c r="Q11" s="16">
        <f t="shared" si="8"/>
        <v>2</v>
      </c>
      <c r="R11" s="16"/>
      <c r="S11" s="21">
        <v>9.27536231884058</v>
      </c>
      <c r="T11" s="14">
        <v>1008</v>
      </c>
      <c r="U11" s="22">
        <v>256</v>
      </c>
      <c r="V11" s="23" t="s">
        <v>1950</v>
      </c>
      <c r="W11" s="14">
        <v>0</v>
      </c>
      <c r="X11" s="24">
        <f t="shared" si="9"/>
        <v>0</v>
      </c>
      <c r="Y11" s="25">
        <f t="shared" si="10"/>
        <v>0</v>
      </c>
      <c r="Z11" s="14">
        <v>0</v>
      </c>
      <c r="AA11" s="14" t="s">
        <v>35</v>
      </c>
      <c r="AB11" s="27">
        <f t="shared" si="11"/>
        <v>-0.69</v>
      </c>
      <c r="AC11" s="28">
        <v>0.18181465451388881</v>
      </c>
      <c r="AD11" s="25">
        <f t="shared" si="12"/>
        <v>-4.7671802413541648</v>
      </c>
      <c r="AE11" s="25">
        <v>-8.08</v>
      </c>
      <c r="AF11" s="25">
        <v>-19.673076923076898</v>
      </c>
      <c r="AG11" s="25">
        <v>0</v>
      </c>
    </row>
    <row r="12" spans="1:33" ht="15.75" customHeight="1">
      <c r="A12" s="14" t="s">
        <v>195</v>
      </c>
      <c r="B12" s="14" t="s">
        <v>343</v>
      </c>
      <c r="C12" s="15">
        <f t="shared" si="4"/>
        <v>49.989999999999995</v>
      </c>
      <c r="D12" s="16">
        <v>5</v>
      </c>
      <c r="E12" s="16">
        <v>0</v>
      </c>
      <c r="F12" s="29">
        <v>249.95</v>
      </c>
      <c r="G12" s="29">
        <v>0</v>
      </c>
      <c r="H12" s="18">
        <f t="shared" si="1"/>
        <v>0</v>
      </c>
      <c r="I12" s="18">
        <f t="shared" si="2"/>
        <v>0.28980833874162687</v>
      </c>
      <c r="J12" s="17">
        <f t="shared" si="5"/>
        <v>72.437594268469638</v>
      </c>
      <c r="K12" s="17">
        <f t="shared" si="3"/>
        <v>14.487518853693928</v>
      </c>
      <c r="L12" s="16">
        <v>6</v>
      </c>
      <c r="M12" s="19">
        <f t="shared" si="6"/>
        <v>0.83333333333333337</v>
      </c>
      <c r="N12" s="16">
        <v>0</v>
      </c>
      <c r="O12" s="20">
        <f t="shared" ref="O12:P12" si="20">D12/7</f>
        <v>0.7142857142857143</v>
      </c>
      <c r="P12" s="20">
        <f t="shared" si="20"/>
        <v>0</v>
      </c>
      <c r="Q12" s="16">
        <f t="shared" si="8"/>
        <v>0</v>
      </c>
      <c r="R12" s="16"/>
      <c r="S12" s="21" t="e">
        <v>#N/A</v>
      </c>
      <c r="T12" s="14">
        <v>1008</v>
      </c>
      <c r="U12" s="22">
        <v>256</v>
      </c>
      <c r="V12" s="23" t="s">
        <v>1951</v>
      </c>
      <c r="W12" s="14">
        <v>0</v>
      </c>
      <c r="X12" s="24">
        <f t="shared" si="9"/>
        <v>0</v>
      </c>
      <c r="Y12" s="25">
        <f t="shared" si="10"/>
        <v>0</v>
      </c>
      <c r="Z12" s="14">
        <v>0</v>
      </c>
      <c r="AA12" s="14" t="s">
        <v>35</v>
      </c>
      <c r="AB12" s="27">
        <f t="shared" si="11"/>
        <v>-0.69</v>
      </c>
      <c r="AC12" s="28">
        <v>0.18181465451388881</v>
      </c>
      <c r="AD12" s="25">
        <f t="shared" si="12"/>
        <v>-1.2545211161458327</v>
      </c>
      <c r="AE12" s="25">
        <v>-8.08</v>
      </c>
      <c r="AF12" s="25">
        <v>-19.673076923076898</v>
      </c>
      <c r="AG12" s="25">
        <v>0</v>
      </c>
    </row>
    <row r="13" spans="1:33" ht="15.75" customHeight="1">
      <c r="A13" s="14" t="s">
        <v>197</v>
      </c>
      <c r="B13" s="14"/>
      <c r="C13" s="15">
        <f t="shared" si="4"/>
        <v>49.99</v>
      </c>
      <c r="D13" s="16">
        <v>3</v>
      </c>
      <c r="E13" s="16">
        <v>0</v>
      </c>
      <c r="F13" s="17">
        <v>149.97</v>
      </c>
      <c r="G13" s="29">
        <v>0</v>
      </c>
      <c r="H13" s="18">
        <f t="shared" si="1"/>
        <v>0</v>
      </c>
      <c r="I13" s="18">
        <f t="shared" si="2"/>
        <v>0.28526896932928247</v>
      </c>
      <c r="J13" s="17">
        <f t="shared" si="5"/>
        <v>42.78178733031249</v>
      </c>
      <c r="K13" s="17">
        <f t="shared" si="3"/>
        <v>14.260595776770829</v>
      </c>
      <c r="L13" s="16">
        <v>15</v>
      </c>
      <c r="M13" s="19">
        <f t="shared" si="6"/>
        <v>0.2</v>
      </c>
      <c r="N13" s="16">
        <v>0</v>
      </c>
      <c r="O13" s="20">
        <f t="shared" ref="O13:P13" si="21">D13/7</f>
        <v>0.42857142857142855</v>
      </c>
      <c r="P13" s="20">
        <f t="shared" si="21"/>
        <v>0</v>
      </c>
      <c r="Q13" s="16">
        <f t="shared" si="8"/>
        <v>0</v>
      </c>
      <c r="R13" s="16"/>
      <c r="S13" s="21">
        <v>5.52112676056338</v>
      </c>
      <c r="T13" s="14">
        <v>1008</v>
      </c>
      <c r="U13" s="22">
        <v>256</v>
      </c>
      <c r="V13" s="23" t="s">
        <v>1951</v>
      </c>
      <c r="W13" s="14">
        <v>0</v>
      </c>
      <c r="X13" s="24">
        <f t="shared" si="9"/>
        <v>0</v>
      </c>
      <c r="Y13" s="25">
        <f t="shared" si="10"/>
        <v>0</v>
      </c>
      <c r="Z13" s="14">
        <v>0</v>
      </c>
      <c r="AA13" s="14" t="s">
        <v>35</v>
      </c>
      <c r="AB13" s="27">
        <f t="shared" si="11"/>
        <v>-0.69</v>
      </c>
      <c r="AC13" s="28">
        <v>0.18181465451388881</v>
      </c>
      <c r="AD13" s="25">
        <f t="shared" si="12"/>
        <v>-0.75271266968749972</v>
      </c>
      <c r="AE13" s="25">
        <v>-8.08</v>
      </c>
      <c r="AF13" s="25">
        <v>-19.899999999999999</v>
      </c>
      <c r="AG13" s="25">
        <v>0</v>
      </c>
    </row>
    <row r="14" spans="1:33" ht="15.75" customHeight="1">
      <c r="A14" s="14" t="s">
        <v>32</v>
      </c>
      <c r="B14" s="14" t="s">
        <v>83</v>
      </c>
      <c r="C14" s="15" t="str">
        <f t="shared" si="4"/>
        <v xml:space="preserve"> - </v>
      </c>
      <c r="D14" s="16">
        <v>0</v>
      </c>
      <c r="E14" s="16">
        <v>0</v>
      </c>
      <c r="F14" s="17">
        <v>0</v>
      </c>
      <c r="G14" s="29">
        <v>-0.08</v>
      </c>
      <c r="H14" s="18" t="e">
        <f t="shared" si="1"/>
        <v>#DIV/0!</v>
      </c>
      <c r="I14" s="18" t="e">
        <f t="shared" si="2"/>
        <v>#DIV/0!</v>
      </c>
      <c r="J14" s="17">
        <f t="shared" si="5"/>
        <v>-0.08</v>
      </c>
      <c r="K14" s="17" t="e">
        <f t="shared" si="3"/>
        <v>#DIV/0!</v>
      </c>
      <c r="L14" s="16">
        <v>0</v>
      </c>
      <c r="M14" s="19" t="str">
        <f t="shared" si="6"/>
        <v>-</v>
      </c>
      <c r="N14" s="16">
        <v>1</v>
      </c>
      <c r="O14" s="20">
        <f t="shared" ref="O14:P14" si="22">D14/7</f>
        <v>0</v>
      </c>
      <c r="P14" s="20">
        <f t="shared" si="22"/>
        <v>0</v>
      </c>
      <c r="Q14" s="16" t="e">
        <f t="shared" si="8"/>
        <v>#DIV/0!</v>
      </c>
      <c r="R14" s="16"/>
      <c r="S14" s="21" t="e">
        <v>#N/A</v>
      </c>
      <c r="T14" s="14">
        <v>1008</v>
      </c>
      <c r="U14" s="22">
        <v>256</v>
      </c>
      <c r="V14" s="23" t="s">
        <v>1951</v>
      </c>
      <c r="W14" s="14">
        <v>0</v>
      </c>
      <c r="X14" s="24">
        <f t="shared" si="9"/>
        <v>0</v>
      </c>
      <c r="Y14" s="25">
        <f t="shared" si="10"/>
        <v>0</v>
      </c>
      <c r="Z14" s="14">
        <v>0</v>
      </c>
      <c r="AA14" s="14" t="s">
        <v>35</v>
      </c>
      <c r="AB14" s="27">
        <f t="shared" si="11"/>
        <v>-0.69</v>
      </c>
      <c r="AC14" s="28">
        <v>0.18181465451388881</v>
      </c>
      <c r="AD14" s="25">
        <f t="shared" si="12"/>
        <v>0</v>
      </c>
      <c r="AE14" s="25">
        <v>-8.08</v>
      </c>
      <c r="AF14" s="25">
        <v>-19.899999999999999</v>
      </c>
      <c r="AG14" s="25">
        <v>0</v>
      </c>
    </row>
    <row r="15" spans="1:33" ht="15.75" customHeight="1">
      <c r="A15" s="14" t="s">
        <v>36</v>
      </c>
      <c r="B15" s="14" t="s">
        <v>343</v>
      </c>
      <c r="C15" s="15">
        <f t="shared" si="4"/>
        <v>49.99</v>
      </c>
      <c r="D15" s="16">
        <v>1</v>
      </c>
      <c r="E15" s="16">
        <v>0</v>
      </c>
      <c r="F15" s="17">
        <v>49.99</v>
      </c>
      <c r="G15" s="29">
        <v>0</v>
      </c>
      <c r="H15" s="18">
        <f t="shared" si="1"/>
        <v>0</v>
      </c>
      <c r="I15" s="18">
        <f t="shared" si="2"/>
        <v>0.21985588671276127</v>
      </c>
      <c r="J15" s="17">
        <f t="shared" si="5"/>
        <v>10.990595776770936</v>
      </c>
      <c r="K15" s="17">
        <f t="shared" si="3"/>
        <v>10.990595776770936</v>
      </c>
      <c r="L15" s="16">
        <v>1</v>
      </c>
      <c r="M15" s="19">
        <f t="shared" si="6"/>
        <v>1</v>
      </c>
      <c r="N15" s="16">
        <v>0</v>
      </c>
      <c r="O15" s="20">
        <f t="shared" ref="O15:P15" si="23">D15/7</f>
        <v>0.14285714285714285</v>
      </c>
      <c r="P15" s="20">
        <f t="shared" si="23"/>
        <v>0</v>
      </c>
      <c r="Q15" s="16">
        <f t="shared" si="8"/>
        <v>0</v>
      </c>
      <c r="R15" s="16"/>
      <c r="S15" s="21" t="e">
        <v>#N/A</v>
      </c>
      <c r="T15" s="14">
        <v>1008</v>
      </c>
      <c r="U15" s="22">
        <v>256</v>
      </c>
      <c r="V15" s="23" t="s">
        <v>1951</v>
      </c>
      <c r="W15" s="14">
        <v>0</v>
      </c>
      <c r="X15" s="24">
        <f t="shared" si="9"/>
        <v>0</v>
      </c>
      <c r="Y15" s="25">
        <f t="shared" si="10"/>
        <v>0</v>
      </c>
      <c r="Z15" s="14">
        <v>0</v>
      </c>
      <c r="AA15" s="14" t="s">
        <v>35</v>
      </c>
      <c r="AB15" s="27">
        <f t="shared" si="11"/>
        <v>-0.69</v>
      </c>
      <c r="AC15" s="28">
        <v>0.18181465451388881</v>
      </c>
      <c r="AD15" s="25">
        <f t="shared" si="12"/>
        <v>-0.25090422322916656</v>
      </c>
      <c r="AE15" s="25">
        <v>-8.08</v>
      </c>
      <c r="AF15" s="25">
        <v>-23.169999999999899</v>
      </c>
      <c r="AG15" s="25">
        <v>0</v>
      </c>
    </row>
    <row r="16" spans="1:33" ht="15.75" customHeight="1">
      <c r="A16" s="14" t="s">
        <v>38</v>
      </c>
      <c r="B16" s="14" t="s">
        <v>45</v>
      </c>
      <c r="C16" s="15">
        <f t="shared" si="4"/>
        <v>49.99</v>
      </c>
      <c r="D16" s="16">
        <v>1</v>
      </c>
      <c r="E16" s="16">
        <v>0</v>
      </c>
      <c r="F16" s="17">
        <v>49.99</v>
      </c>
      <c r="G16" s="29">
        <v>0</v>
      </c>
      <c r="H16" s="18">
        <f t="shared" si="1"/>
        <v>0</v>
      </c>
      <c r="I16" s="18">
        <f t="shared" si="2"/>
        <v>0.21985588671276127</v>
      </c>
      <c r="J16" s="17">
        <f t="shared" si="5"/>
        <v>10.990595776770936</v>
      </c>
      <c r="K16" s="17">
        <f t="shared" si="3"/>
        <v>10.990595776770936</v>
      </c>
      <c r="L16" s="16">
        <v>7</v>
      </c>
      <c r="M16" s="19">
        <f t="shared" si="6"/>
        <v>0.14285714285714285</v>
      </c>
      <c r="N16" s="16">
        <v>0</v>
      </c>
      <c r="O16" s="20">
        <f t="shared" ref="O16:P16" si="24">D16/7</f>
        <v>0.14285714285714285</v>
      </c>
      <c r="P16" s="20">
        <f t="shared" si="24"/>
        <v>0</v>
      </c>
      <c r="Q16" s="16">
        <f t="shared" si="8"/>
        <v>0</v>
      </c>
      <c r="R16" s="16"/>
      <c r="S16" s="21" t="e">
        <v>#N/A</v>
      </c>
      <c r="T16" s="14">
        <v>1008</v>
      </c>
      <c r="U16" s="22">
        <v>256</v>
      </c>
      <c r="V16" s="23" t="s">
        <v>1952</v>
      </c>
      <c r="W16" s="14">
        <v>0</v>
      </c>
      <c r="X16" s="24">
        <f t="shared" si="9"/>
        <v>0</v>
      </c>
      <c r="Y16" s="25">
        <f t="shared" si="10"/>
        <v>0</v>
      </c>
      <c r="Z16" s="14">
        <v>0</v>
      </c>
      <c r="AA16" s="14" t="s">
        <v>35</v>
      </c>
      <c r="AB16" s="27">
        <f t="shared" si="11"/>
        <v>-0.69</v>
      </c>
      <c r="AC16" s="28">
        <v>0.18181465451388881</v>
      </c>
      <c r="AD16" s="25">
        <f t="shared" si="12"/>
        <v>-0.25090422322916656</v>
      </c>
      <c r="AE16" s="25">
        <v>-8.08</v>
      </c>
      <c r="AF16" s="25">
        <v>-23.169999999999899</v>
      </c>
      <c r="AG16" s="25">
        <v>0</v>
      </c>
    </row>
    <row r="17" spans="1:33" ht="15.75" customHeight="1">
      <c r="A17" s="14" t="s">
        <v>40</v>
      </c>
      <c r="B17" s="14" t="s">
        <v>387</v>
      </c>
      <c r="C17" s="15">
        <f t="shared" si="4"/>
        <v>49.99</v>
      </c>
      <c r="D17" s="16">
        <v>2</v>
      </c>
      <c r="E17" s="16">
        <v>0</v>
      </c>
      <c r="F17" s="17">
        <v>99.98</v>
      </c>
      <c r="G17" s="29">
        <v>0</v>
      </c>
      <c r="H17" s="18">
        <f t="shared" si="1"/>
        <v>0</v>
      </c>
      <c r="I17" s="18">
        <f t="shared" si="2"/>
        <v>0.21905905243548918</v>
      </c>
      <c r="J17" s="17">
        <f t="shared" si="5"/>
        <v>21.901524062500208</v>
      </c>
      <c r="K17" s="17">
        <f t="shared" si="3"/>
        <v>10.950762031250104</v>
      </c>
      <c r="L17" s="16">
        <v>22</v>
      </c>
      <c r="M17" s="19">
        <f t="shared" si="6"/>
        <v>9.0909090909090912E-2</v>
      </c>
      <c r="N17" s="16">
        <v>1</v>
      </c>
      <c r="O17" s="20">
        <f t="shared" ref="O17:P17" si="25">D17/7</f>
        <v>0.2857142857142857</v>
      </c>
      <c r="P17" s="20">
        <f t="shared" si="25"/>
        <v>0</v>
      </c>
      <c r="Q17" s="16">
        <f t="shared" si="8"/>
        <v>3</v>
      </c>
      <c r="R17" s="16"/>
      <c r="S17" s="21">
        <v>3.8578680203045601</v>
      </c>
      <c r="T17" s="14">
        <v>720</v>
      </c>
      <c r="U17" s="22">
        <v>256</v>
      </c>
      <c r="V17" s="23" t="s">
        <v>1953</v>
      </c>
      <c r="W17" s="14">
        <v>0</v>
      </c>
      <c r="X17" s="24">
        <f t="shared" si="9"/>
        <v>0</v>
      </c>
      <c r="Y17" s="25">
        <f t="shared" si="10"/>
        <v>0</v>
      </c>
      <c r="Z17" s="14">
        <v>0</v>
      </c>
      <c r="AA17" s="14" t="s">
        <v>35</v>
      </c>
      <c r="AB17" s="27">
        <f t="shared" si="11"/>
        <v>-0.69</v>
      </c>
      <c r="AC17" s="28">
        <v>0.21067968750000002</v>
      </c>
      <c r="AD17" s="25">
        <f t="shared" si="12"/>
        <v>-0.58147593750000004</v>
      </c>
      <c r="AE17" s="25">
        <v>-8.08</v>
      </c>
      <c r="AF17" s="25">
        <v>-23.169999999999899</v>
      </c>
      <c r="AG17" s="25">
        <v>0</v>
      </c>
    </row>
    <row r="18" spans="1:33" ht="15.75" customHeight="1">
      <c r="A18" s="14" t="s">
        <v>42</v>
      </c>
      <c r="B18" s="14" t="s">
        <v>68</v>
      </c>
      <c r="C18" s="15">
        <f t="shared" si="4"/>
        <v>49.114637681159415</v>
      </c>
      <c r="D18" s="16">
        <v>69</v>
      </c>
      <c r="E18" s="16">
        <v>0</v>
      </c>
      <c r="F18" s="17">
        <v>3388.91</v>
      </c>
      <c r="G18" s="29">
        <v>-0.08</v>
      </c>
      <c r="H18" s="18">
        <f t="shared" si="1"/>
        <v>2.3606410320722594E-5</v>
      </c>
      <c r="I18" s="18">
        <f t="shared" si="2"/>
        <v>0.20779028659842166</v>
      </c>
      <c r="J18" s="17">
        <f t="shared" si="5"/>
        <v>704.18258015625713</v>
      </c>
      <c r="K18" s="17">
        <f t="shared" si="3"/>
        <v>10.205544639945755</v>
      </c>
      <c r="L18" s="16">
        <v>101</v>
      </c>
      <c r="M18" s="19">
        <f t="shared" si="6"/>
        <v>0.68316831683168322</v>
      </c>
      <c r="N18" s="16">
        <v>240</v>
      </c>
      <c r="O18" s="20">
        <f t="shared" ref="O18:P18" si="26">D18/7</f>
        <v>9.8571428571428577</v>
      </c>
      <c r="P18" s="20">
        <f t="shared" si="26"/>
        <v>0</v>
      </c>
      <c r="Q18" s="16">
        <f t="shared" si="8"/>
        <v>24</v>
      </c>
      <c r="R18" s="16"/>
      <c r="S18" s="21">
        <v>1.77391304347826</v>
      </c>
      <c r="T18" s="14">
        <v>300</v>
      </c>
      <c r="U18" s="22">
        <v>0</v>
      </c>
      <c r="V18" s="23" t="s">
        <v>1954</v>
      </c>
      <c r="W18" s="14">
        <v>0</v>
      </c>
      <c r="X18" s="24">
        <f t="shared" si="9"/>
        <v>0</v>
      </c>
      <c r="Y18" s="25">
        <f t="shared" si="10"/>
        <v>0</v>
      </c>
      <c r="Z18" s="14">
        <v>0</v>
      </c>
      <c r="AA18" s="14" t="s">
        <v>35</v>
      </c>
      <c r="AB18" s="27">
        <f t="shared" si="11"/>
        <v>-0.69</v>
      </c>
      <c r="AC18" s="28">
        <v>0.21067968750000002</v>
      </c>
      <c r="AD18" s="25">
        <f t="shared" si="12"/>
        <v>-20.06091984375</v>
      </c>
      <c r="AE18" s="25">
        <v>-8.08</v>
      </c>
      <c r="AF18" s="25">
        <v>-23.169999999999899</v>
      </c>
      <c r="AG18" s="25">
        <v>0</v>
      </c>
    </row>
    <row r="19" spans="1:33" ht="15.75" customHeight="1">
      <c r="A19" s="14" t="s">
        <v>44</v>
      </c>
      <c r="B19" s="14" t="s">
        <v>1955</v>
      </c>
      <c r="C19" s="15">
        <f t="shared" si="4"/>
        <v>50.322941176470579</v>
      </c>
      <c r="D19" s="16">
        <v>85</v>
      </c>
      <c r="E19" s="16">
        <v>2</v>
      </c>
      <c r="F19" s="17">
        <v>4277.4499999999989</v>
      </c>
      <c r="G19" s="29">
        <v>-0.08</v>
      </c>
      <c r="H19" s="18">
        <f t="shared" si="1"/>
        <v>1.8702731767758833E-5</v>
      </c>
      <c r="I19" s="18">
        <f t="shared" si="2"/>
        <v>0.20195204447889498</v>
      </c>
      <c r="J19" s="17">
        <f t="shared" si="5"/>
        <v>863.83977265624912</v>
      </c>
      <c r="K19" s="17">
        <f t="shared" si="3"/>
        <v>10.162820854779401</v>
      </c>
      <c r="L19" s="16">
        <v>173</v>
      </c>
      <c r="M19" s="19">
        <f t="shared" si="6"/>
        <v>0.4913294797687861</v>
      </c>
      <c r="N19" s="16">
        <v>400</v>
      </c>
      <c r="O19" s="20">
        <f t="shared" ref="O19:P19" si="27">D19/7</f>
        <v>12.142857142857142</v>
      </c>
      <c r="P19" s="20">
        <f t="shared" si="27"/>
        <v>0.2857142857142857</v>
      </c>
      <c r="Q19" s="16">
        <f t="shared" si="8"/>
        <v>32</v>
      </c>
      <c r="R19" s="16"/>
      <c r="S19" s="21">
        <v>1.5804480651731101</v>
      </c>
      <c r="T19" s="14">
        <v>300</v>
      </c>
      <c r="U19" s="22">
        <v>300</v>
      </c>
      <c r="V19" s="23" t="s">
        <v>1014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14" t="s">
        <v>35</v>
      </c>
      <c r="AB19" s="27">
        <f t="shared" si="11"/>
        <v>-0.69</v>
      </c>
      <c r="AC19" s="28">
        <v>0.21067968750000002</v>
      </c>
      <c r="AD19" s="25">
        <f t="shared" si="12"/>
        <v>-24.71272734375</v>
      </c>
      <c r="AE19" s="25">
        <v>-8.08</v>
      </c>
      <c r="AF19" s="25">
        <v>-24.24</v>
      </c>
      <c r="AG19" s="25">
        <v>0</v>
      </c>
    </row>
    <row r="20" spans="1:33" ht="15.75" customHeight="1">
      <c r="A20" s="14" t="s">
        <v>46</v>
      </c>
      <c r="B20" s="14" t="s">
        <v>1956</v>
      </c>
      <c r="C20" s="15">
        <f t="shared" si="4"/>
        <v>54.615402298850618</v>
      </c>
      <c r="D20" s="16">
        <v>87</v>
      </c>
      <c r="E20" s="16">
        <v>8</v>
      </c>
      <c r="F20" s="17">
        <v>4751.5400000000036</v>
      </c>
      <c r="G20" s="29">
        <v>0</v>
      </c>
      <c r="H20" s="18">
        <f t="shared" si="1"/>
        <v>0</v>
      </c>
      <c r="I20" s="18">
        <f t="shared" si="2"/>
        <v>0.25257918325194795</v>
      </c>
      <c r="J20" s="17">
        <f t="shared" si="5"/>
        <v>1200.1400923889616</v>
      </c>
      <c r="K20" s="17">
        <f t="shared" si="3"/>
        <v>13.794713705620248</v>
      </c>
      <c r="L20" s="16">
        <v>136</v>
      </c>
      <c r="M20" s="19">
        <f t="shared" si="6"/>
        <v>0.63970588235294112</v>
      </c>
      <c r="N20" s="16">
        <v>353</v>
      </c>
      <c r="O20" s="20">
        <f t="shared" ref="O20:P20" si="28">D20/7</f>
        <v>12.428571428571429</v>
      </c>
      <c r="P20" s="20">
        <f t="shared" si="28"/>
        <v>1.1428571428571428</v>
      </c>
      <c r="Q20" s="16">
        <f t="shared" si="8"/>
        <v>26</v>
      </c>
      <c r="R20" s="16"/>
      <c r="S20" s="21">
        <v>3.3919999999999999</v>
      </c>
      <c r="T20" s="14">
        <v>300</v>
      </c>
      <c r="U20" s="22">
        <v>300</v>
      </c>
      <c r="V20" s="23" t="s">
        <v>1016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14" t="s">
        <v>35</v>
      </c>
      <c r="AB20" s="27">
        <f t="shared" si="11"/>
        <v>-0.69</v>
      </c>
      <c r="AC20" s="28">
        <v>0.22346249884259256</v>
      </c>
      <c r="AD20" s="25">
        <f t="shared" si="12"/>
        <v>-26.828907611041661</v>
      </c>
      <c r="AE20" s="25">
        <v>-8.08</v>
      </c>
      <c r="AF20" s="25">
        <v>-24.24</v>
      </c>
      <c r="AG20" s="25">
        <v>0</v>
      </c>
    </row>
    <row r="21" spans="1:33" ht="15.75" customHeight="1">
      <c r="A21" s="14" t="s">
        <v>47</v>
      </c>
      <c r="B21" s="14" t="s">
        <v>1474</v>
      </c>
      <c r="C21" s="15">
        <f t="shared" si="4"/>
        <v>61.029999999999994</v>
      </c>
      <c r="D21" s="16">
        <v>44</v>
      </c>
      <c r="E21" s="16">
        <v>5</v>
      </c>
      <c r="F21" s="17">
        <v>2685.3199999999997</v>
      </c>
      <c r="G21" s="29">
        <v>0</v>
      </c>
      <c r="H21" s="18">
        <f t="shared" si="1"/>
        <v>0</v>
      </c>
      <c r="I21" s="18">
        <f t="shared" si="2"/>
        <v>0.31537148536125204</v>
      </c>
      <c r="J21" s="17">
        <f t="shared" si="5"/>
        <v>846.87335707027728</v>
      </c>
      <c r="K21" s="17">
        <f t="shared" si="3"/>
        <v>19.247121751597209</v>
      </c>
      <c r="L21" s="16">
        <v>56</v>
      </c>
      <c r="M21" s="19">
        <f t="shared" si="6"/>
        <v>0.7857142857142857</v>
      </c>
      <c r="N21" s="16">
        <v>413</v>
      </c>
      <c r="O21" s="20">
        <f t="shared" ref="O21:P21" si="29">D21/7</f>
        <v>6.2857142857142856</v>
      </c>
      <c r="P21" s="20">
        <f t="shared" si="29"/>
        <v>0.7142857142857143</v>
      </c>
      <c r="Q21" s="16">
        <f t="shared" si="8"/>
        <v>59</v>
      </c>
      <c r="R21" s="16"/>
      <c r="S21" s="21">
        <v>3.1120000000000001</v>
      </c>
      <c r="T21" s="14">
        <v>300</v>
      </c>
      <c r="U21" s="22">
        <v>300</v>
      </c>
      <c r="V21" s="23" t="s">
        <v>1018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14" t="s">
        <v>35</v>
      </c>
      <c r="AB21" s="27">
        <f t="shared" si="11"/>
        <v>-0.69</v>
      </c>
      <c r="AC21" s="28">
        <v>0.22346249884259256</v>
      </c>
      <c r="AD21" s="25">
        <f t="shared" si="12"/>
        <v>-13.56864292972222</v>
      </c>
      <c r="AE21" s="25">
        <v>-8.08</v>
      </c>
      <c r="AF21" s="25">
        <v>-24.24</v>
      </c>
      <c r="AG21" s="25">
        <v>0</v>
      </c>
    </row>
    <row r="22" spans="1:33" ht="15.75" customHeight="1">
      <c r="A22" s="14" t="s">
        <v>48</v>
      </c>
      <c r="B22" s="14" t="s">
        <v>1957</v>
      </c>
      <c r="C22" s="15">
        <f t="shared" si="4"/>
        <v>58.224444444444444</v>
      </c>
      <c r="D22" s="16">
        <v>18</v>
      </c>
      <c r="E22" s="16">
        <v>1</v>
      </c>
      <c r="F22" s="29">
        <v>1048.04</v>
      </c>
      <c r="G22" s="29">
        <v>-0.02</v>
      </c>
      <c r="H22" s="18">
        <f t="shared" si="1"/>
        <v>1.9083241097668028E-5</v>
      </c>
      <c r="I22" s="18">
        <f t="shared" si="2"/>
        <v>0.28959122889274264</v>
      </c>
      <c r="J22" s="17">
        <f t="shared" si="5"/>
        <v>303.50319152874999</v>
      </c>
      <c r="K22" s="17">
        <f t="shared" si="3"/>
        <v>16.861288418263889</v>
      </c>
      <c r="L22" s="16">
        <v>72</v>
      </c>
      <c r="M22" s="19">
        <f t="shared" si="6"/>
        <v>0.25</v>
      </c>
      <c r="N22" s="16">
        <v>394</v>
      </c>
      <c r="O22" s="20">
        <f t="shared" ref="O22:P22" si="30">D22/7</f>
        <v>2.5714285714285716</v>
      </c>
      <c r="P22" s="20">
        <f t="shared" si="30"/>
        <v>0.14285714285714285</v>
      </c>
      <c r="Q22" s="16">
        <f t="shared" si="8"/>
        <v>145</v>
      </c>
      <c r="R22" s="16"/>
      <c r="S22" s="21">
        <v>2.0188933873144399</v>
      </c>
      <c r="T22" s="14">
        <v>600</v>
      </c>
      <c r="U22" s="22">
        <v>300</v>
      </c>
      <c r="V22" s="23" t="s">
        <v>1958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35</v>
      </c>
      <c r="AB22" s="27">
        <f t="shared" si="11"/>
        <v>-0.69</v>
      </c>
      <c r="AC22" s="28">
        <v>0.22346249884259256</v>
      </c>
      <c r="AD22" s="25">
        <f t="shared" si="12"/>
        <v>-5.550808471249999</v>
      </c>
      <c r="AE22" s="25">
        <v>-8.08</v>
      </c>
      <c r="AF22" s="25">
        <v>-24.24</v>
      </c>
      <c r="AG22" s="25">
        <v>0</v>
      </c>
    </row>
    <row r="23" spans="1:33" ht="15.75" customHeight="1">
      <c r="A23" s="14" t="s">
        <v>49</v>
      </c>
      <c r="B23" s="14" t="s">
        <v>1959</v>
      </c>
      <c r="C23" s="15">
        <f t="shared" si="4"/>
        <v>57.82068181818186</v>
      </c>
      <c r="D23" s="16">
        <v>44</v>
      </c>
      <c r="E23" s="16">
        <v>3</v>
      </c>
      <c r="F23" s="17">
        <v>2544.1100000000019</v>
      </c>
      <c r="G23" s="29">
        <v>0</v>
      </c>
      <c r="H23" s="18">
        <f t="shared" si="1"/>
        <v>0</v>
      </c>
      <c r="I23" s="18">
        <f t="shared" si="2"/>
        <v>0.28569710314030394</v>
      </c>
      <c r="J23" s="17">
        <f t="shared" si="5"/>
        <v>726.8448570702792</v>
      </c>
      <c r="K23" s="17">
        <f t="shared" si="3"/>
        <v>16.519201297051801</v>
      </c>
      <c r="L23" s="16">
        <v>77</v>
      </c>
      <c r="M23" s="19">
        <f t="shared" si="6"/>
        <v>0.5714285714285714</v>
      </c>
      <c r="N23" s="16">
        <v>355</v>
      </c>
      <c r="O23" s="20">
        <f t="shared" ref="O23:P23" si="31">D23/7</f>
        <v>6.2857142857142856</v>
      </c>
      <c r="P23" s="20">
        <f t="shared" si="31"/>
        <v>0.42857142857142855</v>
      </c>
      <c r="Q23" s="16">
        <f t="shared" si="8"/>
        <v>52</v>
      </c>
      <c r="R23" s="16"/>
      <c r="S23" s="21">
        <v>1.6798245614034999</v>
      </c>
      <c r="T23" s="14">
        <v>600</v>
      </c>
      <c r="U23" s="22">
        <v>300</v>
      </c>
      <c r="V23" s="23" t="s">
        <v>1958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35</v>
      </c>
      <c r="AB23" s="27">
        <f t="shared" si="11"/>
        <v>-0.69</v>
      </c>
      <c r="AC23" s="28">
        <v>0.22346249884259256</v>
      </c>
      <c r="AD23" s="25">
        <f t="shared" si="12"/>
        <v>-13.56864292972222</v>
      </c>
      <c r="AE23" s="25">
        <v>-8.08</v>
      </c>
      <c r="AF23" s="25">
        <v>-24.24</v>
      </c>
      <c r="AG23" s="25">
        <v>0</v>
      </c>
    </row>
    <row r="24" spans="1:33" ht="15.75" customHeight="1">
      <c r="A24" s="14" t="s">
        <v>50</v>
      </c>
      <c r="B24" s="14" t="s">
        <v>1960</v>
      </c>
      <c r="C24" s="15">
        <f t="shared" si="4"/>
        <v>52.087599999999966</v>
      </c>
      <c r="D24" s="16">
        <v>75</v>
      </c>
      <c r="E24" s="16">
        <v>2</v>
      </c>
      <c r="F24" s="17">
        <v>3906.5699999999974</v>
      </c>
      <c r="G24" s="17">
        <v>-0.08</v>
      </c>
      <c r="H24" s="18">
        <f t="shared" si="1"/>
        <v>2.0478322415827709E-5</v>
      </c>
      <c r="I24" s="18">
        <f t="shared" si="2"/>
        <v>0.22356597510598561</v>
      </c>
      <c r="J24" s="17">
        <f t="shared" si="5"/>
        <v>873.37613136978962</v>
      </c>
      <c r="K24" s="17">
        <f t="shared" si="3"/>
        <v>11.645015084930527</v>
      </c>
      <c r="L24" s="16">
        <v>137</v>
      </c>
      <c r="M24" s="19">
        <f t="shared" si="6"/>
        <v>0.54744525547445255</v>
      </c>
      <c r="N24" s="16">
        <v>280</v>
      </c>
      <c r="O24" s="20">
        <f t="shared" ref="O24:P24" si="32">D24/7</f>
        <v>10.714285714285714</v>
      </c>
      <c r="P24" s="20">
        <f t="shared" si="32"/>
        <v>0.2857142857142857</v>
      </c>
      <c r="Q24" s="16">
        <f t="shared" si="8"/>
        <v>25</v>
      </c>
      <c r="R24" s="16"/>
      <c r="S24" s="21">
        <v>2.4034090909090899</v>
      </c>
      <c r="T24" s="14">
        <v>900</v>
      </c>
      <c r="U24" s="22">
        <v>300</v>
      </c>
      <c r="V24" s="23" t="s">
        <v>1961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14" t="s">
        <v>35</v>
      </c>
      <c r="AB24" s="27">
        <f t="shared" si="11"/>
        <v>-0.69</v>
      </c>
      <c r="AC24" s="28">
        <v>0.22346249884259256</v>
      </c>
      <c r="AD24" s="25">
        <f t="shared" si="12"/>
        <v>-23.128368630208328</v>
      </c>
      <c r="AE24" s="25">
        <v>-8.08</v>
      </c>
      <c r="AF24" s="25">
        <v>-24.24</v>
      </c>
      <c r="AG24" s="25">
        <v>0</v>
      </c>
    </row>
    <row r="25" spans="1:33" ht="15.75" customHeight="1">
      <c r="A25" s="14" t="s">
        <v>51</v>
      </c>
      <c r="B25" s="14" t="s">
        <v>68</v>
      </c>
      <c r="C25" s="15">
        <f t="shared" si="4"/>
        <v>52.704230769230776</v>
      </c>
      <c r="D25" s="16">
        <v>78</v>
      </c>
      <c r="E25" s="16">
        <v>3</v>
      </c>
      <c r="F25" s="17">
        <v>4110.93</v>
      </c>
      <c r="G25" s="17">
        <v>0</v>
      </c>
      <c r="H25" s="18">
        <f t="shared" si="1"/>
        <v>0</v>
      </c>
      <c r="I25" s="18">
        <f t="shared" si="2"/>
        <v>0.23125009144828546</v>
      </c>
      <c r="J25" s="17">
        <f t="shared" si="5"/>
        <v>950.65293843750021</v>
      </c>
      <c r="K25" s="17">
        <f t="shared" si="3"/>
        <v>12.187858185096157</v>
      </c>
      <c r="L25" s="16">
        <v>173</v>
      </c>
      <c r="M25" s="19">
        <f t="shared" si="6"/>
        <v>0.45086705202312138</v>
      </c>
      <c r="N25" s="16">
        <v>186</v>
      </c>
      <c r="O25" s="20">
        <f t="shared" ref="O25:P25" si="33">D25/7</f>
        <v>11.142857142857142</v>
      </c>
      <c r="P25" s="20">
        <f t="shared" si="33"/>
        <v>0.42857142857142855</v>
      </c>
      <c r="Q25" s="16">
        <f t="shared" si="8"/>
        <v>16</v>
      </c>
      <c r="R25" s="16"/>
      <c r="S25" s="21">
        <v>3.3902847571189278</v>
      </c>
      <c r="T25" s="14">
        <v>900</v>
      </c>
      <c r="U25" s="22">
        <v>300</v>
      </c>
      <c r="V25" s="23" t="s">
        <v>1962</v>
      </c>
      <c r="W25" s="30">
        <v>0</v>
      </c>
      <c r="X25" s="24">
        <f t="shared" si="9"/>
        <v>0</v>
      </c>
      <c r="Y25" s="25">
        <f t="shared" si="10"/>
        <v>0</v>
      </c>
      <c r="Z25" s="30">
        <v>0</v>
      </c>
      <c r="AA25" s="14" t="s">
        <v>35</v>
      </c>
      <c r="AB25" s="27">
        <f t="shared" si="11"/>
        <v>-0.69</v>
      </c>
      <c r="AC25" s="28">
        <v>0.21067968750000002</v>
      </c>
      <c r="AD25" s="25">
        <f t="shared" si="12"/>
        <v>-22.677561562500003</v>
      </c>
      <c r="AE25" s="25">
        <v>-8.08</v>
      </c>
      <c r="AF25" s="25">
        <v>-24.24</v>
      </c>
      <c r="AG25" s="25">
        <v>0</v>
      </c>
    </row>
    <row r="26" spans="1:33" ht="15.75" customHeight="1">
      <c r="A26" s="14" t="s">
        <v>52</v>
      </c>
      <c r="B26" s="14" t="s">
        <v>68</v>
      </c>
      <c r="C26" s="15">
        <f t="shared" si="4"/>
        <v>54.502794117647056</v>
      </c>
      <c r="D26" s="16">
        <v>68</v>
      </c>
      <c r="E26" s="16">
        <v>11</v>
      </c>
      <c r="F26" s="17">
        <v>3706.19</v>
      </c>
      <c r="G26" s="17">
        <v>-0.02</v>
      </c>
      <c r="H26" s="18">
        <f t="shared" si="1"/>
        <v>5.3963774118434297E-6</v>
      </c>
      <c r="I26" s="18">
        <f t="shared" si="2"/>
        <v>0.2571674194051034</v>
      </c>
      <c r="J26" s="17">
        <f t="shared" si="5"/>
        <v>953.11131812500014</v>
      </c>
      <c r="K26" s="17">
        <f t="shared" si="3"/>
        <v>14.016342913602942</v>
      </c>
      <c r="L26" s="16">
        <v>138</v>
      </c>
      <c r="M26" s="19">
        <f t="shared" si="6"/>
        <v>0.49275362318840582</v>
      </c>
      <c r="N26" s="16">
        <v>118</v>
      </c>
      <c r="O26" s="20">
        <f t="shared" ref="O26:P26" si="34">D26/7</f>
        <v>9.7142857142857135</v>
      </c>
      <c r="P26" s="20">
        <f t="shared" si="34"/>
        <v>1.5714285714285714</v>
      </c>
      <c r="Q26" s="16">
        <f t="shared" si="8"/>
        <v>10</v>
      </c>
      <c r="R26" s="16"/>
      <c r="S26" s="21">
        <v>2.7240143369175631</v>
      </c>
      <c r="T26" s="14">
        <v>900</v>
      </c>
      <c r="U26" s="22">
        <v>300</v>
      </c>
      <c r="V26" s="23" t="s">
        <v>1963</v>
      </c>
      <c r="W26" s="30">
        <v>0</v>
      </c>
      <c r="X26" s="24">
        <f t="shared" si="9"/>
        <v>0</v>
      </c>
      <c r="Y26" s="25">
        <f t="shared" si="10"/>
        <v>0</v>
      </c>
      <c r="Z26" s="30">
        <v>0</v>
      </c>
      <c r="AA26" s="14" t="s">
        <v>35</v>
      </c>
      <c r="AB26" s="27">
        <f t="shared" si="11"/>
        <v>-0.69</v>
      </c>
      <c r="AC26" s="28">
        <v>0.21067968750000002</v>
      </c>
      <c r="AD26" s="25">
        <f t="shared" si="12"/>
        <v>-19.770181875000002</v>
      </c>
      <c r="AE26" s="25">
        <v>-7.78</v>
      </c>
      <c r="AF26" s="25">
        <v>-24.24</v>
      </c>
      <c r="AG26" s="25">
        <v>0</v>
      </c>
    </row>
    <row r="27" spans="1:33" ht="15.75" customHeight="1">
      <c r="A27" s="14" t="s">
        <v>53</v>
      </c>
      <c r="B27" s="14" t="s">
        <v>1964</v>
      </c>
      <c r="C27" s="15">
        <f t="shared" si="4"/>
        <v>54.927941176470583</v>
      </c>
      <c r="D27" s="16">
        <v>102</v>
      </c>
      <c r="E27" s="16">
        <v>6</v>
      </c>
      <c r="F27" s="17">
        <v>5602.65</v>
      </c>
      <c r="G27" s="17">
        <v>-0.08</v>
      </c>
      <c r="H27" s="18">
        <f t="shared" si="1"/>
        <v>1.4278957279144692E-5</v>
      </c>
      <c r="I27" s="18">
        <f t="shared" si="2"/>
        <v>0.18481901014475294</v>
      </c>
      <c r="J27" s="17">
        <f t="shared" si="5"/>
        <v>1035.4762271874999</v>
      </c>
      <c r="K27" s="17">
        <f t="shared" si="3"/>
        <v>10.151727717524508</v>
      </c>
      <c r="L27" s="16">
        <v>177</v>
      </c>
      <c r="M27" s="19">
        <f t="shared" si="6"/>
        <v>0.57627118644067798</v>
      </c>
      <c r="N27" s="16">
        <v>318</v>
      </c>
      <c r="O27" s="20">
        <f t="shared" ref="O27:P27" si="35">D27/7</f>
        <v>14.571428571428571</v>
      </c>
      <c r="P27" s="20">
        <f t="shared" si="35"/>
        <v>0.8571428571428571</v>
      </c>
      <c r="Q27" s="16">
        <f t="shared" si="8"/>
        <v>20</v>
      </c>
      <c r="R27" s="16"/>
      <c r="S27" s="21">
        <v>2.212345679012345</v>
      </c>
      <c r="T27" s="14">
        <v>600</v>
      </c>
      <c r="U27" s="22">
        <v>200</v>
      </c>
      <c r="V27" s="23" t="s">
        <v>1965</v>
      </c>
      <c r="W27" s="30">
        <v>0</v>
      </c>
      <c r="X27" s="24">
        <f t="shared" si="9"/>
        <v>0</v>
      </c>
      <c r="Y27" s="25">
        <f t="shared" si="10"/>
        <v>0</v>
      </c>
      <c r="Z27" s="30">
        <v>0</v>
      </c>
      <c r="AA27" s="14" t="s">
        <v>35</v>
      </c>
      <c r="AB27" s="27">
        <f t="shared" si="11"/>
        <v>-0.69</v>
      </c>
      <c r="AC27" s="28">
        <v>0.21067968750000002</v>
      </c>
      <c r="AD27" s="25">
        <f t="shared" si="12"/>
        <v>-29.655272812500002</v>
      </c>
      <c r="AE27" s="25">
        <v>-7.78</v>
      </c>
      <c r="AF27" s="25">
        <v>-28.465499999999999</v>
      </c>
      <c r="AG27" s="25">
        <v>0</v>
      </c>
    </row>
    <row r="28" spans="1:33" ht="15.75" customHeight="1">
      <c r="A28" s="14" t="s">
        <v>54</v>
      </c>
      <c r="B28" s="14" t="s">
        <v>1966</v>
      </c>
      <c r="C28" s="15">
        <f t="shared" si="4"/>
        <v>54.362638888888888</v>
      </c>
      <c r="D28" s="16">
        <v>72</v>
      </c>
      <c r="E28" s="16">
        <v>3</v>
      </c>
      <c r="F28" s="17">
        <v>3914.11</v>
      </c>
      <c r="G28" s="17">
        <v>0</v>
      </c>
      <c r="H28" s="18">
        <f t="shared" si="1"/>
        <v>0</v>
      </c>
      <c r="I28" s="18">
        <f t="shared" si="2"/>
        <v>0.17791640149357069</v>
      </c>
      <c r="J28" s="17">
        <f t="shared" si="5"/>
        <v>696.38436624999997</v>
      </c>
      <c r="K28" s="17">
        <f t="shared" si="3"/>
        <v>9.6720050868055552</v>
      </c>
      <c r="L28" s="16">
        <v>140</v>
      </c>
      <c r="M28" s="19">
        <f t="shared" si="6"/>
        <v>0.51428571428571423</v>
      </c>
      <c r="N28" s="16">
        <v>231</v>
      </c>
      <c r="O28" s="20">
        <f t="shared" ref="O28:P28" si="36">D28/7</f>
        <v>10.285714285714286</v>
      </c>
      <c r="P28" s="20">
        <f t="shared" si="36"/>
        <v>0.42857142857142855</v>
      </c>
      <c r="Q28" s="16">
        <f t="shared" si="8"/>
        <v>21</v>
      </c>
      <c r="R28" s="16"/>
      <c r="S28" s="21">
        <v>2.8621022179363549</v>
      </c>
      <c r="T28" s="14">
        <v>1300</v>
      </c>
      <c r="U28" s="22">
        <v>44395</v>
      </c>
      <c r="V28" s="23" t="s">
        <v>1967</v>
      </c>
      <c r="W28" s="30">
        <v>0</v>
      </c>
      <c r="X28" s="24">
        <f t="shared" si="9"/>
        <v>0</v>
      </c>
      <c r="Y28" s="25">
        <f t="shared" si="10"/>
        <v>0</v>
      </c>
      <c r="Z28" s="30">
        <v>0</v>
      </c>
      <c r="AA28" s="14" t="s">
        <v>35</v>
      </c>
      <c r="AB28" s="27">
        <f t="shared" si="11"/>
        <v>-0.69</v>
      </c>
      <c r="AC28" s="28">
        <v>0.21067968750000002</v>
      </c>
      <c r="AD28" s="25">
        <f t="shared" si="12"/>
        <v>-20.933133750000003</v>
      </c>
      <c r="AE28" s="25">
        <v>-7.78</v>
      </c>
      <c r="AF28" s="25">
        <v>-28.465499999999999</v>
      </c>
      <c r="AG28" s="25">
        <v>0</v>
      </c>
    </row>
    <row r="29" spans="1:33" ht="15.75" customHeight="1">
      <c r="A29" s="14" t="s">
        <v>55</v>
      </c>
      <c r="B29" s="14" t="s">
        <v>1968</v>
      </c>
      <c r="C29" s="15">
        <f t="shared" si="4"/>
        <v>55.845384615384617</v>
      </c>
      <c r="D29" s="16">
        <v>91</v>
      </c>
      <c r="E29" s="16">
        <v>9</v>
      </c>
      <c r="F29" s="17">
        <v>5081.93</v>
      </c>
      <c r="G29" s="17">
        <v>-0.04</v>
      </c>
      <c r="H29" s="18">
        <f t="shared" si="1"/>
        <v>7.8710253781535748E-6</v>
      </c>
      <c r="I29" s="18">
        <f t="shared" si="2"/>
        <v>0.19575296095061337</v>
      </c>
      <c r="J29" s="17">
        <f t="shared" si="5"/>
        <v>994.80284484375068</v>
      </c>
      <c r="K29" s="17">
        <f t="shared" si="3"/>
        <v>10.93189939388737</v>
      </c>
      <c r="L29" s="16">
        <v>146</v>
      </c>
      <c r="M29" s="19">
        <f t="shared" si="6"/>
        <v>0.62328767123287676</v>
      </c>
      <c r="N29" s="16">
        <v>118</v>
      </c>
      <c r="O29" s="20">
        <f t="shared" ref="O29:P29" si="37">D29/7</f>
        <v>13</v>
      </c>
      <c r="P29" s="20">
        <f t="shared" si="37"/>
        <v>1.2857142857142858</v>
      </c>
      <c r="Q29" s="16">
        <f t="shared" si="8"/>
        <v>8</v>
      </c>
      <c r="R29" s="16"/>
      <c r="S29" s="21">
        <v>4.1643835616438354</v>
      </c>
      <c r="T29" s="14">
        <v>1700</v>
      </c>
      <c r="U29" s="22">
        <v>44395</v>
      </c>
      <c r="V29" s="23" t="s">
        <v>1969</v>
      </c>
      <c r="W29" s="30">
        <v>0</v>
      </c>
      <c r="X29" s="24">
        <f t="shared" si="9"/>
        <v>0</v>
      </c>
      <c r="Y29" s="25">
        <f t="shared" si="10"/>
        <v>0</v>
      </c>
      <c r="Z29" s="30">
        <v>0</v>
      </c>
      <c r="AA29" s="14" t="s">
        <v>35</v>
      </c>
      <c r="AB29" s="27">
        <f t="shared" si="11"/>
        <v>-0.69</v>
      </c>
      <c r="AC29" s="28">
        <v>0.21067968750000002</v>
      </c>
      <c r="AD29" s="25">
        <f t="shared" si="12"/>
        <v>-26.457155156250003</v>
      </c>
      <c r="AE29" s="25">
        <v>-7.78</v>
      </c>
      <c r="AF29" s="25">
        <v>-28.465499999999999</v>
      </c>
      <c r="AG29" s="25">
        <v>0</v>
      </c>
    </row>
    <row r="30" spans="1:33" ht="15.75" customHeight="1">
      <c r="A30" s="14" t="s">
        <v>57</v>
      </c>
      <c r="B30" s="14" t="s">
        <v>83</v>
      </c>
      <c r="C30" s="15">
        <f t="shared" si="4"/>
        <v>58.258571428571443</v>
      </c>
      <c r="D30" s="16">
        <v>35</v>
      </c>
      <c r="E30" s="16">
        <v>3</v>
      </c>
      <c r="F30" s="17">
        <v>2039.0500000000004</v>
      </c>
      <c r="G30" s="17">
        <v>0</v>
      </c>
      <c r="H30" s="18">
        <f t="shared" si="1"/>
        <v>0</v>
      </c>
      <c r="I30" s="18">
        <f t="shared" si="2"/>
        <v>0.23921209137649901</v>
      </c>
      <c r="J30" s="17">
        <f t="shared" si="5"/>
        <v>487.7654149212504</v>
      </c>
      <c r="K30" s="17">
        <f t="shared" si="3"/>
        <v>13.936154712035725</v>
      </c>
      <c r="L30" s="16">
        <v>73</v>
      </c>
      <c r="M30" s="19">
        <f t="shared" si="6"/>
        <v>0.47945205479452052</v>
      </c>
      <c r="N30" s="16">
        <v>84</v>
      </c>
      <c r="O30" s="20">
        <f t="shared" ref="O30:P30" si="38">D30/7</f>
        <v>5</v>
      </c>
      <c r="P30" s="20">
        <f t="shared" si="38"/>
        <v>0.42857142857142855</v>
      </c>
      <c r="Q30" s="16">
        <f t="shared" si="8"/>
        <v>15</v>
      </c>
      <c r="R30" s="16"/>
      <c r="S30" s="21">
        <v>5.023909985935302</v>
      </c>
      <c r="T30" s="14">
        <v>600</v>
      </c>
      <c r="U30" s="22">
        <v>200</v>
      </c>
      <c r="V30" s="23" t="s">
        <v>1970</v>
      </c>
      <c r="W30" s="30">
        <v>0</v>
      </c>
      <c r="X30" s="24">
        <f t="shared" si="9"/>
        <v>0</v>
      </c>
      <c r="Y30" s="25">
        <f t="shared" si="10"/>
        <v>0</v>
      </c>
      <c r="Z30" s="30">
        <v>0</v>
      </c>
      <c r="AA30" s="14" t="s">
        <v>35</v>
      </c>
      <c r="AB30" s="27">
        <f t="shared" si="11"/>
        <v>-0.69</v>
      </c>
      <c r="AC30" s="28">
        <v>0.21067968750000002</v>
      </c>
      <c r="AD30" s="25">
        <f t="shared" si="12"/>
        <v>-10.17582890625</v>
      </c>
      <c r="AE30" s="25">
        <v>-7.78</v>
      </c>
      <c r="AF30" s="25">
        <v>-27.512893033499999</v>
      </c>
      <c r="AG30" s="25">
        <v>0</v>
      </c>
    </row>
    <row r="31" spans="1:33" ht="15.75" customHeight="1">
      <c r="A31" s="14" t="s">
        <v>58</v>
      </c>
      <c r="B31" s="14" t="s">
        <v>1971</v>
      </c>
      <c r="C31" s="15">
        <f t="shared" si="4"/>
        <v>59.99</v>
      </c>
      <c r="D31" s="16">
        <v>35</v>
      </c>
      <c r="E31" s="16">
        <v>0</v>
      </c>
      <c r="F31" s="17">
        <v>2099.65</v>
      </c>
      <c r="G31" s="17">
        <v>0</v>
      </c>
      <c r="H31" s="18">
        <f t="shared" si="1"/>
        <v>0</v>
      </c>
      <c r="I31" s="18">
        <f t="shared" si="2"/>
        <v>0.25684062339973335</v>
      </c>
      <c r="J31" s="17">
        <f t="shared" si="5"/>
        <v>539.2754149212501</v>
      </c>
      <c r="K31" s="17">
        <f t="shared" si="3"/>
        <v>15.407868997750002</v>
      </c>
      <c r="L31" s="16">
        <v>73</v>
      </c>
      <c r="M31" s="19">
        <f t="shared" si="6"/>
        <v>0.47945205479452052</v>
      </c>
      <c r="N31" s="16">
        <v>63</v>
      </c>
      <c r="O31" s="20">
        <f t="shared" ref="O31:P31" si="39">D31/7</f>
        <v>5</v>
      </c>
      <c r="P31" s="20">
        <f t="shared" si="39"/>
        <v>0</v>
      </c>
      <c r="Q31" s="16">
        <f t="shared" si="8"/>
        <v>12</v>
      </c>
      <c r="R31" s="16"/>
      <c r="S31" s="21">
        <v>4.3278688524590097</v>
      </c>
      <c r="T31" s="14" t="s">
        <v>34</v>
      </c>
      <c r="U31" s="22">
        <v>600</v>
      </c>
      <c r="V31" s="23" t="s">
        <v>1972</v>
      </c>
      <c r="W31" s="30">
        <v>0</v>
      </c>
      <c r="X31" s="24">
        <f t="shared" si="9"/>
        <v>0</v>
      </c>
      <c r="Y31" s="25">
        <f t="shared" si="10"/>
        <v>0</v>
      </c>
      <c r="Z31" s="30">
        <v>0</v>
      </c>
      <c r="AA31" s="14" t="s">
        <v>35</v>
      </c>
      <c r="AB31" s="27">
        <f t="shared" si="11"/>
        <v>-0.69</v>
      </c>
      <c r="AC31" s="28">
        <v>0.21067968750000002</v>
      </c>
      <c r="AD31" s="25">
        <f t="shared" si="12"/>
        <v>-10.17582890625</v>
      </c>
      <c r="AE31" s="25">
        <v>-7.78</v>
      </c>
      <c r="AF31" s="25">
        <v>-27.512893033500003</v>
      </c>
      <c r="AG31" s="25">
        <v>0</v>
      </c>
    </row>
    <row r="32" spans="1:33" ht="15.75" customHeight="1">
      <c r="A32" s="14" t="s">
        <v>60</v>
      </c>
      <c r="B32" s="14"/>
      <c r="C32" s="15">
        <f t="shared" si="4"/>
        <v>65.35842105263157</v>
      </c>
      <c r="D32" s="16">
        <v>19</v>
      </c>
      <c r="E32" s="16">
        <v>0</v>
      </c>
      <c r="F32" s="17">
        <v>1241.81</v>
      </c>
      <c r="G32" s="17">
        <v>0</v>
      </c>
      <c r="H32" s="18">
        <f t="shared" si="1"/>
        <v>0</v>
      </c>
      <c r="I32" s="18">
        <f t="shared" si="2"/>
        <v>0.30556164868800373</v>
      </c>
      <c r="J32" s="17">
        <f t="shared" si="5"/>
        <v>379.44951095724991</v>
      </c>
      <c r="K32" s="17">
        <f t="shared" si="3"/>
        <v>19.971026892486837</v>
      </c>
      <c r="L32" s="16">
        <v>83</v>
      </c>
      <c r="M32" s="19">
        <f t="shared" si="6"/>
        <v>0.2289156626506024</v>
      </c>
      <c r="N32" s="16">
        <v>45</v>
      </c>
      <c r="O32" s="20">
        <f t="shared" ref="O32:P32" si="40">D32/7</f>
        <v>2.7142857142857144</v>
      </c>
      <c r="P32" s="20">
        <f t="shared" si="40"/>
        <v>0</v>
      </c>
      <c r="Q32" s="16">
        <f t="shared" si="8"/>
        <v>16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3.1243042671614099</v>
      </c>
      <c r="T32" s="14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2" s="22">
        <f ca="1">IFERROR(__xludf.DUMMYFUNCTION("IFERROR(VLOOKUP($B$2,IMPORTRANGE(""https://docs.google.com/spreadsheets/d/1KiWZV1ko8G7lnRucBRBd29jj3Be6ltMfljMDqzOkQmI/edit#gid=1381463014"",""Lookup!A:D""),3,FALSE),"""")"),600)</f>
        <v>600</v>
      </c>
      <c r="V32" s="23" t="str">
        <f ca="1">IFERROR(__xludf.DUMMYFUNCTION("IFERROR(VLOOKUP($B$2,IMPORTRANGE(""https://docs.google.com/spreadsheets/d/1KiWZV1ko8G7lnRucBRBd29jj3Be6ltMfljMDqzOkQmI/edit#gid=1381463014"",""Lookup!A:D""),2,FALSE),"""")"),"| 413  - 200 units 07/26| 417  - 300 units 08/14| 415  - 100 units 08/21")</f>
        <v>| 413  - 200 units 07/26| 417  - 300 units 08/14| 415  - 100 units 08/21</v>
      </c>
      <c r="W32" s="30">
        <v>0</v>
      </c>
      <c r="X32" s="24">
        <f t="shared" si="9"/>
        <v>0</v>
      </c>
      <c r="Y32" s="25">
        <f t="shared" si="10"/>
        <v>0</v>
      </c>
      <c r="Z32" s="30">
        <v>0</v>
      </c>
      <c r="AA32" s="14" t="s">
        <v>35</v>
      </c>
      <c r="AB32" s="27">
        <f t="shared" si="11"/>
        <v>-0.69</v>
      </c>
      <c r="AC32" s="28">
        <v>0.21067968750000002</v>
      </c>
      <c r="AD32" s="25">
        <f t="shared" si="12"/>
        <v>-5.5240214062500002</v>
      </c>
      <c r="AE32" s="25">
        <v>-7.78</v>
      </c>
      <c r="AF32" s="25">
        <v>-27.512893033499999</v>
      </c>
      <c r="AG32" s="25">
        <v>0</v>
      </c>
    </row>
    <row r="33" spans="1:33" ht="15.75" customHeight="1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16"/>
      <c r="S33" s="21"/>
      <c r="T33" s="31"/>
      <c r="U33" s="36"/>
      <c r="V33" s="1"/>
      <c r="W33" s="31"/>
      <c r="X33" s="31"/>
      <c r="Y33" s="31"/>
      <c r="Z33" s="31"/>
      <c r="AA33" s="2"/>
      <c r="AB33" s="31"/>
      <c r="AC33" s="31"/>
      <c r="AD33" s="31"/>
      <c r="AE33" s="37"/>
      <c r="AF33" s="37"/>
      <c r="AG33" s="37"/>
    </row>
    <row r="34" spans="1:33" ht="15.75" customHeight="1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6"/>
      <c r="V34" s="1"/>
      <c r="W34" s="31"/>
      <c r="X34" s="31"/>
      <c r="Y34" s="31"/>
      <c r="Z34" s="31"/>
      <c r="AA34" s="2"/>
      <c r="AB34" s="31"/>
      <c r="AC34" s="31"/>
      <c r="AD34" s="31"/>
      <c r="AE34" s="37"/>
      <c r="AF34" s="37"/>
      <c r="AG34" s="37"/>
    </row>
    <row r="35" spans="1:33" ht="15.75" customHeight="1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6"/>
      <c r="V35" s="1"/>
      <c r="W35" s="31"/>
      <c r="X35" s="31"/>
      <c r="Y35" s="31"/>
      <c r="Z35" s="31"/>
      <c r="AA35" s="2"/>
      <c r="AB35" s="31"/>
      <c r="AC35" s="31"/>
      <c r="AD35" s="31"/>
      <c r="AE35" s="37"/>
      <c r="AF35" s="37"/>
      <c r="AG35" s="37"/>
    </row>
    <row r="36" spans="1:33" ht="15.75" customHeight="1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6"/>
      <c r="V36" s="1"/>
      <c r="W36" s="31"/>
      <c r="X36" s="31"/>
      <c r="Y36" s="31"/>
      <c r="Z36" s="31"/>
      <c r="AA36" s="2"/>
      <c r="AB36" s="31"/>
      <c r="AC36" s="31"/>
      <c r="AD36" s="31"/>
      <c r="AE36" s="37"/>
      <c r="AF36" s="37"/>
      <c r="AG36" s="37"/>
    </row>
    <row r="37" spans="1:33" ht="15.75" customHeight="1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6"/>
      <c r="V37" s="1"/>
      <c r="W37" s="31"/>
      <c r="X37" s="31"/>
      <c r="Y37" s="31"/>
      <c r="Z37" s="31"/>
      <c r="AA37" s="2"/>
      <c r="AB37" s="31"/>
      <c r="AC37" s="31"/>
      <c r="AD37" s="31"/>
      <c r="AE37" s="37"/>
      <c r="AF37" s="37"/>
      <c r="AG37" s="37"/>
    </row>
    <row r="38" spans="1:33" ht="15.75" customHeight="1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6"/>
      <c r="V38" s="1"/>
      <c r="W38" s="31"/>
      <c r="X38" s="31"/>
      <c r="Y38" s="31"/>
      <c r="Z38" s="31"/>
      <c r="AA38" s="2"/>
      <c r="AB38" s="31"/>
      <c r="AC38" s="31"/>
      <c r="AD38" s="31"/>
      <c r="AE38" s="37"/>
      <c r="AF38" s="37"/>
      <c r="AG38" s="37"/>
    </row>
    <row r="39" spans="1:33" ht="15.75" customHeight="1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6"/>
      <c r="V39" s="1"/>
      <c r="W39" s="31"/>
      <c r="X39" s="31"/>
      <c r="Y39" s="31"/>
      <c r="Z39" s="31"/>
      <c r="AA39" s="2"/>
      <c r="AB39" s="31"/>
      <c r="AC39" s="31"/>
      <c r="AD39" s="31"/>
      <c r="AE39" s="37"/>
      <c r="AF39" s="37"/>
      <c r="AG39" s="37"/>
    </row>
    <row r="40" spans="1:33" ht="15.75" customHeight="1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6"/>
      <c r="V40" s="1"/>
      <c r="W40" s="31"/>
      <c r="X40" s="31"/>
      <c r="Y40" s="31"/>
      <c r="Z40" s="31"/>
      <c r="AA40" s="2"/>
      <c r="AB40" s="31"/>
      <c r="AC40" s="31"/>
      <c r="AD40" s="31"/>
      <c r="AE40" s="37"/>
      <c r="AF40" s="37"/>
      <c r="AG40" s="37"/>
    </row>
    <row r="41" spans="1:33" ht="15.75" customHeight="1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6"/>
      <c r="V41" s="1"/>
      <c r="W41" s="31"/>
      <c r="X41" s="31"/>
      <c r="Y41" s="31"/>
      <c r="Z41" s="31"/>
      <c r="AA41" s="2"/>
      <c r="AB41" s="31"/>
      <c r="AC41" s="31"/>
      <c r="AD41" s="31"/>
      <c r="AE41" s="37"/>
      <c r="AF41" s="37"/>
      <c r="AG41" s="37"/>
    </row>
    <row r="42" spans="1:33" ht="15.75" customHeight="1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6"/>
      <c r="V42" s="1"/>
      <c r="W42" s="31"/>
      <c r="X42" s="31"/>
      <c r="Y42" s="31"/>
      <c r="Z42" s="31"/>
      <c r="AA42" s="2"/>
      <c r="AB42" s="31"/>
      <c r="AC42" s="31"/>
      <c r="AD42" s="31"/>
      <c r="AE42" s="37"/>
      <c r="AF42" s="37"/>
      <c r="AG42" s="37"/>
    </row>
    <row r="43" spans="1:33" ht="15.75" customHeight="1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6"/>
      <c r="V43" s="1"/>
      <c r="W43" s="31"/>
      <c r="X43" s="31"/>
      <c r="Y43" s="31"/>
      <c r="Z43" s="31"/>
      <c r="AA43" s="2"/>
      <c r="AB43" s="31"/>
      <c r="AC43" s="31"/>
      <c r="AD43" s="31"/>
      <c r="AE43" s="37"/>
      <c r="AF43" s="37"/>
      <c r="AG43" s="37"/>
    </row>
    <row r="44" spans="1:33" ht="15.75" customHeight="1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6"/>
      <c r="V44" s="1"/>
      <c r="W44" s="31"/>
      <c r="X44" s="31"/>
      <c r="Y44" s="31"/>
      <c r="Z44" s="31"/>
      <c r="AA44" s="2"/>
      <c r="AB44" s="31"/>
      <c r="AC44" s="31"/>
      <c r="AD44" s="31"/>
      <c r="AE44" s="37"/>
      <c r="AF44" s="37"/>
      <c r="AG44" s="37"/>
    </row>
    <row r="45" spans="1:33" ht="15.75" customHeight="1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6"/>
      <c r="V45" s="1"/>
      <c r="W45" s="31"/>
      <c r="X45" s="31"/>
      <c r="Y45" s="31"/>
      <c r="Z45" s="31"/>
      <c r="AA45" s="2"/>
      <c r="AB45" s="31"/>
      <c r="AC45" s="31"/>
      <c r="AD45" s="31"/>
      <c r="AE45" s="37"/>
      <c r="AF45" s="37"/>
      <c r="AG45" s="37"/>
    </row>
    <row r="46" spans="1:33" ht="15.75" customHeight="1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6"/>
      <c r="V46" s="1"/>
      <c r="W46" s="31"/>
      <c r="X46" s="31"/>
      <c r="Y46" s="31"/>
      <c r="Z46" s="31"/>
      <c r="AA46" s="2"/>
      <c r="AB46" s="31"/>
      <c r="AC46" s="31"/>
      <c r="AD46" s="31"/>
      <c r="AE46" s="37"/>
      <c r="AF46" s="37"/>
      <c r="AG46" s="37"/>
    </row>
    <row r="47" spans="1:33" ht="15.75" customHeight="1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6"/>
      <c r="V47" s="1"/>
      <c r="W47" s="31"/>
      <c r="X47" s="31"/>
      <c r="Y47" s="31"/>
      <c r="Z47" s="31"/>
      <c r="AA47" s="2"/>
      <c r="AB47" s="31"/>
      <c r="AC47" s="31"/>
      <c r="AD47" s="31"/>
      <c r="AE47" s="37"/>
      <c r="AF47" s="37"/>
      <c r="AG47" s="37"/>
    </row>
    <row r="48" spans="1:33" ht="15.75" customHeight="1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6"/>
      <c r="V48" s="1"/>
      <c r="W48" s="31"/>
      <c r="X48" s="31"/>
      <c r="Y48" s="31"/>
      <c r="Z48" s="31"/>
      <c r="AA48" s="2"/>
      <c r="AB48" s="31"/>
      <c r="AC48" s="31"/>
      <c r="AD48" s="31"/>
      <c r="AE48" s="37"/>
      <c r="AF48" s="37"/>
      <c r="AG48" s="37"/>
    </row>
    <row r="49" spans="1:33" ht="15.75" customHeight="1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6"/>
      <c r="V49" s="1"/>
      <c r="W49" s="31"/>
      <c r="X49" s="31"/>
      <c r="Y49" s="31"/>
      <c r="Z49" s="31"/>
      <c r="AA49" s="2"/>
      <c r="AB49" s="31"/>
      <c r="AC49" s="31"/>
      <c r="AD49" s="31"/>
      <c r="AE49" s="37"/>
      <c r="AF49" s="37"/>
      <c r="AG49" s="37"/>
    </row>
    <row r="50" spans="1:33" ht="15.75" customHeight="1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6"/>
      <c r="V50" s="1"/>
      <c r="W50" s="31"/>
      <c r="X50" s="31"/>
      <c r="Y50" s="31"/>
      <c r="Z50" s="31"/>
      <c r="AA50" s="2"/>
      <c r="AB50" s="31"/>
      <c r="AC50" s="31"/>
      <c r="AD50" s="31"/>
      <c r="AE50" s="37"/>
      <c r="AF50" s="37"/>
      <c r="AG50" s="37"/>
    </row>
    <row r="51" spans="1:33" ht="15.75" customHeight="1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6"/>
      <c r="V51" s="1"/>
      <c r="W51" s="31"/>
      <c r="X51" s="31"/>
      <c r="Y51" s="31"/>
      <c r="Z51" s="31"/>
      <c r="AA51" s="2"/>
      <c r="AB51" s="31"/>
      <c r="AC51" s="31"/>
      <c r="AD51" s="31"/>
      <c r="AE51" s="37"/>
      <c r="AF51" s="37"/>
      <c r="AG51" s="37"/>
    </row>
    <row r="52" spans="1:33" ht="15.75" customHeight="1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6"/>
      <c r="V52" s="1"/>
      <c r="W52" s="31"/>
      <c r="X52" s="31"/>
      <c r="Y52" s="31"/>
      <c r="Z52" s="31"/>
      <c r="AA52" s="2"/>
      <c r="AB52" s="31"/>
      <c r="AC52" s="31"/>
      <c r="AD52" s="31"/>
      <c r="AE52" s="37"/>
      <c r="AF52" s="37"/>
      <c r="AG52" s="37"/>
    </row>
    <row r="53" spans="1:33" ht="15.75" customHeight="1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6"/>
      <c r="V53" s="1"/>
      <c r="W53" s="31"/>
      <c r="X53" s="31"/>
      <c r="Y53" s="31"/>
      <c r="Z53" s="31"/>
      <c r="AA53" s="2"/>
      <c r="AB53" s="31"/>
      <c r="AC53" s="31"/>
      <c r="AD53" s="31"/>
      <c r="AE53" s="37"/>
      <c r="AF53" s="37"/>
      <c r="AG53" s="37"/>
    </row>
    <row r="54" spans="1:33" ht="15.75" customHeight="1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6"/>
      <c r="V54" s="1"/>
      <c r="W54" s="31"/>
      <c r="X54" s="31"/>
      <c r="Y54" s="31"/>
      <c r="Z54" s="31"/>
      <c r="AA54" s="2"/>
      <c r="AB54" s="31"/>
      <c r="AC54" s="31"/>
      <c r="AD54" s="31"/>
      <c r="AE54" s="37"/>
      <c r="AF54" s="37"/>
      <c r="AG54" s="37"/>
    </row>
    <row r="55" spans="1:33" ht="15.75" customHeight="1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6"/>
      <c r="V55" s="1"/>
      <c r="W55" s="31"/>
      <c r="X55" s="31"/>
      <c r="Y55" s="31"/>
      <c r="Z55" s="31"/>
      <c r="AA55" s="2"/>
      <c r="AB55" s="31"/>
      <c r="AC55" s="31"/>
      <c r="AD55" s="31"/>
      <c r="AE55" s="37"/>
      <c r="AF55" s="37"/>
      <c r="AG55" s="37"/>
    </row>
    <row r="56" spans="1:33" ht="15.75" customHeight="1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6"/>
      <c r="V56" s="1"/>
      <c r="W56" s="31"/>
      <c r="X56" s="31"/>
      <c r="Y56" s="31"/>
      <c r="Z56" s="31"/>
      <c r="AA56" s="2"/>
      <c r="AB56" s="31"/>
      <c r="AC56" s="31"/>
      <c r="AD56" s="31"/>
      <c r="AE56" s="37"/>
      <c r="AF56" s="37"/>
      <c r="AG56" s="37"/>
    </row>
    <row r="57" spans="1:33" ht="15.75" customHeight="1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6"/>
      <c r="V57" s="1"/>
      <c r="W57" s="31"/>
      <c r="X57" s="31"/>
      <c r="Y57" s="31"/>
      <c r="Z57" s="31"/>
      <c r="AA57" s="2"/>
      <c r="AB57" s="31"/>
      <c r="AC57" s="31"/>
      <c r="AD57" s="31"/>
      <c r="AE57" s="37"/>
      <c r="AF57" s="37"/>
      <c r="AG57" s="37"/>
    </row>
    <row r="58" spans="1:33" ht="15.75" customHeight="1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6"/>
      <c r="V58" s="1"/>
      <c r="W58" s="31"/>
      <c r="X58" s="31"/>
      <c r="Y58" s="31"/>
      <c r="Z58" s="31"/>
      <c r="AA58" s="2"/>
      <c r="AB58" s="31"/>
      <c r="AC58" s="31"/>
      <c r="AD58" s="31"/>
      <c r="AE58" s="37"/>
      <c r="AF58" s="37"/>
      <c r="AG58" s="37"/>
    </row>
    <row r="59" spans="1:33" ht="15.75" customHeight="1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6"/>
      <c r="V59" s="1"/>
      <c r="W59" s="31"/>
      <c r="X59" s="31"/>
      <c r="Y59" s="31"/>
      <c r="Z59" s="31"/>
      <c r="AA59" s="2"/>
      <c r="AB59" s="31"/>
      <c r="AC59" s="31"/>
      <c r="AD59" s="31"/>
      <c r="AE59" s="37"/>
      <c r="AF59" s="37"/>
      <c r="AG59" s="37"/>
    </row>
    <row r="60" spans="1:33" ht="15.75" customHeight="1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6"/>
      <c r="V60" s="1"/>
      <c r="W60" s="31"/>
      <c r="X60" s="31"/>
      <c r="Y60" s="31"/>
      <c r="Z60" s="31"/>
      <c r="AA60" s="2"/>
      <c r="AB60" s="31"/>
      <c r="AC60" s="31"/>
      <c r="AD60" s="31"/>
      <c r="AE60" s="37"/>
      <c r="AF60" s="37"/>
      <c r="AG60" s="37"/>
    </row>
    <row r="61" spans="1:33" ht="15.75" customHeight="1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6"/>
      <c r="V61" s="1"/>
      <c r="W61" s="31"/>
      <c r="X61" s="31"/>
      <c r="Y61" s="31"/>
      <c r="Z61" s="31"/>
      <c r="AA61" s="2"/>
      <c r="AB61" s="31"/>
      <c r="AC61" s="31"/>
      <c r="AD61" s="31"/>
      <c r="AE61" s="37"/>
      <c r="AF61" s="37"/>
      <c r="AG61" s="37"/>
    </row>
    <row r="62" spans="1:33" ht="15.75" customHeight="1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6"/>
      <c r="V62" s="1"/>
      <c r="W62" s="31"/>
      <c r="X62" s="31"/>
      <c r="Y62" s="31"/>
      <c r="Z62" s="31"/>
      <c r="AA62" s="2"/>
      <c r="AB62" s="31"/>
      <c r="AC62" s="31"/>
      <c r="AD62" s="31"/>
      <c r="AE62" s="37"/>
      <c r="AF62" s="37"/>
      <c r="AG62" s="37"/>
    </row>
    <row r="63" spans="1:33" ht="15.75" customHeight="1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6"/>
      <c r="V63" s="1"/>
      <c r="W63" s="31"/>
      <c r="X63" s="31"/>
      <c r="Y63" s="31"/>
      <c r="Z63" s="31"/>
      <c r="AA63" s="2"/>
      <c r="AB63" s="31"/>
      <c r="AC63" s="31"/>
      <c r="AD63" s="31"/>
      <c r="AE63" s="37"/>
      <c r="AF63" s="37"/>
      <c r="AG63" s="37"/>
    </row>
    <row r="64" spans="1:33" ht="15.75" customHeight="1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6"/>
      <c r="V64" s="1"/>
      <c r="W64" s="31"/>
      <c r="X64" s="31"/>
      <c r="Y64" s="31"/>
      <c r="Z64" s="31"/>
      <c r="AA64" s="2"/>
      <c r="AB64" s="31"/>
      <c r="AC64" s="31"/>
      <c r="AD64" s="31"/>
      <c r="AE64" s="37"/>
      <c r="AF64" s="37"/>
      <c r="AG64" s="37"/>
    </row>
    <row r="65" spans="1:33" ht="15.75" customHeight="1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6"/>
      <c r="V65" s="1"/>
      <c r="W65" s="31"/>
      <c r="X65" s="31"/>
      <c r="Y65" s="31"/>
      <c r="Z65" s="31"/>
      <c r="AA65" s="2"/>
      <c r="AB65" s="31"/>
      <c r="AC65" s="31"/>
      <c r="AD65" s="31"/>
      <c r="AE65" s="37"/>
      <c r="AF65" s="37"/>
      <c r="AG65" s="37"/>
    </row>
    <row r="66" spans="1:33" ht="15.75" customHeight="1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6"/>
      <c r="V66" s="1"/>
      <c r="W66" s="31"/>
      <c r="X66" s="31"/>
      <c r="Y66" s="31"/>
      <c r="Z66" s="31"/>
      <c r="AA66" s="2"/>
      <c r="AB66" s="31"/>
      <c r="AC66" s="31"/>
      <c r="AD66" s="31"/>
      <c r="AE66" s="37"/>
      <c r="AF66" s="37"/>
      <c r="AG66" s="37"/>
    </row>
    <row r="67" spans="1:33" ht="15.75" customHeight="1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6"/>
      <c r="V67" s="1"/>
      <c r="W67" s="31"/>
      <c r="X67" s="31"/>
      <c r="Y67" s="31"/>
      <c r="Z67" s="31"/>
      <c r="AA67" s="2"/>
      <c r="AB67" s="31"/>
      <c r="AC67" s="31"/>
      <c r="AD67" s="31"/>
      <c r="AE67" s="37"/>
      <c r="AF67" s="37"/>
      <c r="AG67" s="37"/>
    </row>
    <row r="68" spans="1:33" ht="15.75" customHeight="1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6"/>
      <c r="V68" s="1"/>
      <c r="W68" s="31"/>
      <c r="X68" s="31"/>
      <c r="Y68" s="31"/>
      <c r="Z68" s="31"/>
      <c r="AA68" s="2"/>
      <c r="AB68" s="31"/>
      <c r="AC68" s="31"/>
      <c r="AD68" s="31"/>
      <c r="AE68" s="37"/>
      <c r="AF68" s="37"/>
      <c r="AG68" s="37"/>
    </row>
    <row r="69" spans="1:33" ht="15.75" customHeight="1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6"/>
      <c r="V69" s="1"/>
      <c r="W69" s="31"/>
      <c r="X69" s="31"/>
      <c r="Y69" s="31"/>
      <c r="Z69" s="31"/>
      <c r="AA69" s="2"/>
      <c r="AB69" s="31"/>
      <c r="AC69" s="31"/>
      <c r="AD69" s="31"/>
      <c r="AE69" s="37"/>
      <c r="AF69" s="37"/>
      <c r="AG69" s="37"/>
    </row>
    <row r="70" spans="1:33" ht="15.75" customHeight="1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6"/>
      <c r="V70" s="1"/>
      <c r="W70" s="31"/>
      <c r="X70" s="31"/>
      <c r="Y70" s="31"/>
      <c r="Z70" s="31"/>
      <c r="AA70" s="2"/>
      <c r="AB70" s="31"/>
      <c r="AC70" s="31"/>
      <c r="AD70" s="31"/>
      <c r="AE70" s="37"/>
      <c r="AF70" s="37"/>
      <c r="AG70" s="37"/>
    </row>
    <row r="71" spans="1:33" ht="15.75" customHeight="1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6"/>
      <c r="V71" s="1"/>
      <c r="W71" s="31"/>
      <c r="X71" s="31"/>
      <c r="Y71" s="31"/>
      <c r="Z71" s="31"/>
      <c r="AA71" s="2"/>
      <c r="AB71" s="31"/>
      <c r="AC71" s="31"/>
      <c r="AD71" s="31"/>
      <c r="AE71" s="37"/>
      <c r="AF71" s="37"/>
      <c r="AG71" s="37"/>
    </row>
    <row r="72" spans="1:33" ht="15.75" customHeight="1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6"/>
      <c r="V72" s="1"/>
      <c r="W72" s="31"/>
      <c r="X72" s="31"/>
      <c r="Y72" s="31"/>
      <c r="Z72" s="31"/>
      <c r="AA72" s="2"/>
      <c r="AB72" s="31"/>
      <c r="AC72" s="31"/>
      <c r="AD72" s="31"/>
      <c r="AE72" s="37"/>
      <c r="AF72" s="37"/>
      <c r="AG72" s="37"/>
    </row>
    <row r="73" spans="1:33" ht="15.75" customHeight="1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6"/>
      <c r="V73" s="1"/>
      <c r="W73" s="31"/>
      <c r="X73" s="31"/>
      <c r="Y73" s="31"/>
      <c r="Z73" s="31"/>
      <c r="AA73" s="2"/>
      <c r="AB73" s="31"/>
      <c r="AC73" s="31"/>
      <c r="AD73" s="31"/>
      <c r="AE73" s="37"/>
      <c r="AF73" s="37"/>
      <c r="AG73" s="37"/>
    </row>
    <row r="74" spans="1:33" ht="15.75" customHeight="1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6"/>
      <c r="V74" s="1"/>
      <c r="W74" s="31"/>
      <c r="X74" s="31"/>
      <c r="Y74" s="31"/>
      <c r="Z74" s="31"/>
      <c r="AA74" s="2"/>
      <c r="AB74" s="31"/>
      <c r="AC74" s="31"/>
      <c r="AD74" s="31"/>
      <c r="AE74" s="37"/>
      <c r="AF74" s="37"/>
      <c r="AG74" s="37"/>
    </row>
    <row r="75" spans="1:33" ht="15.75" customHeight="1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6"/>
      <c r="V75" s="1"/>
      <c r="W75" s="31"/>
      <c r="X75" s="31"/>
      <c r="Y75" s="31"/>
      <c r="Z75" s="31"/>
      <c r="AA75" s="2"/>
      <c r="AB75" s="31"/>
      <c r="AC75" s="31"/>
      <c r="AD75" s="31"/>
      <c r="AE75" s="37"/>
      <c r="AF75" s="37"/>
      <c r="AG75" s="37"/>
    </row>
    <row r="76" spans="1:33" ht="15.75" customHeight="1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6"/>
      <c r="V76" s="1"/>
      <c r="W76" s="31"/>
      <c r="X76" s="31"/>
      <c r="Y76" s="31"/>
      <c r="Z76" s="31"/>
      <c r="AA76" s="2"/>
      <c r="AB76" s="31"/>
      <c r="AC76" s="31"/>
      <c r="AD76" s="31"/>
      <c r="AE76" s="37"/>
      <c r="AF76" s="37"/>
      <c r="AG76" s="37"/>
    </row>
    <row r="77" spans="1:33" ht="15.75" customHeight="1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6"/>
      <c r="V77" s="1"/>
      <c r="W77" s="31"/>
      <c r="X77" s="31"/>
      <c r="Y77" s="31"/>
      <c r="Z77" s="31"/>
      <c r="AA77" s="2"/>
      <c r="AB77" s="31"/>
      <c r="AC77" s="31"/>
      <c r="AD77" s="31"/>
      <c r="AE77" s="37"/>
      <c r="AF77" s="37"/>
      <c r="AG77" s="37"/>
    </row>
    <row r="78" spans="1:33" ht="15.75" customHeight="1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6"/>
      <c r="V78" s="1"/>
      <c r="W78" s="31"/>
      <c r="X78" s="31"/>
      <c r="Y78" s="31"/>
      <c r="Z78" s="31"/>
      <c r="AA78" s="2"/>
      <c r="AB78" s="31"/>
      <c r="AC78" s="31"/>
      <c r="AD78" s="31"/>
      <c r="AE78" s="37"/>
      <c r="AF78" s="37"/>
      <c r="AG78" s="37"/>
    </row>
    <row r="79" spans="1:33" ht="15.75" customHeight="1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6"/>
      <c r="V79" s="1"/>
      <c r="W79" s="31"/>
      <c r="X79" s="31"/>
      <c r="Y79" s="31"/>
      <c r="Z79" s="31"/>
      <c r="AA79" s="2"/>
      <c r="AB79" s="31"/>
      <c r="AC79" s="31"/>
      <c r="AD79" s="31"/>
      <c r="AE79" s="37"/>
      <c r="AF79" s="37"/>
      <c r="AG79" s="37"/>
    </row>
    <row r="80" spans="1:33" ht="15.75" customHeight="1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6"/>
      <c r="V80" s="1"/>
      <c r="W80" s="31"/>
      <c r="X80" s="31"/>
      <c r="Y80" s="31"/>
      <c r="Z80" s="31"/>
      <c r="AA80" s="2"/>
      <c r="AB80" s="31"/>
      <c r="AC80" s="31"/>
      <c r="AD80" s="31"/>
      <c r="AE80" s="37"/>
      <c r="AF80" s="37"/>
      <c r="AG80" s="37"/>
    </row>
    <row r="81" spans="1:33" ht="15.75" customHeight="1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6"/>
      <c r="V81" s="1"/>
      <c r="W81" s="31"/>
      <c r="X81" s="31"/>
      <c r="Y81" s="31"/>
      <c r="Z81" s="31"/>
      <c r="AA81" s="2"/>
      <c r="AB81" s="31"/>
      <c r="AC81" s="31"/>
      <c r="AD81" s="31"/>
      <c r="AE81" s="37"/>
      <c r="AF81" s="37"/>
      <c r="AG81" s="37"/>
    </row>
    <row r="82" spans="1:33" ht="15.75" customHeight="1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6"/>
      <c r="V82" s="1"/>
      <c r="W82" s="31"/>
      <c r="X82" s="31"/>
      <c r="Y82" s="31"/>
      <c r="Z82" s="31"/>
      <c r="AA82" s="2"/>
      <c r="AB82" s="31"/>
      <c r="AC82" s="31"/>
      <c r="AD82" s="31"/>
      <c r="AE82" s="37"/>
      <c r="AF82" s="37"/>
      <c r="AG82" s="37"/>
    </row>
    <row r="83" spans="1:33" ht="15.75" customHeight="1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6"/>
      <c r="V83" s="1"/>
      <c r="W83" s="31"/>
      <c r="X83" s="31"/>
      <c r="Y83" s="31"/>
      <c r="Z83" s="31"/>
      <c r="AA83" s="2"/>
      <c r="AB83" s="31"/>
      <c r="AC83" s="31"/>
      <c r="AD83" s="31"/>
      <c r="AE83" s="37"/>
      <c r="AF83" s="37"/>
      <c r="AG83" s="37"/>
    </row>
    <row r="84" spans="1:33" ht="15.75" customHeight="1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6"/>
      <c r="V84" s="1"/>
      <c r="W84" s="31"/>
      <c r="X84" s="31"/>
      <c r="Y84" s="31"/>
      <c r="Z84" s="31"/>
      <c r="AA84" s="2"/>
      <c r="AB84" s="31"/>
      <c r="AC84" s="31"/>
      <c r="AD84" s="31"/>
      <c r="AE84" s="37"/>
      <c r="AF84" s="37"/>
      <c r="AG84" s="37"/>
    </row>
    <row r="85" spans="1:33" ht="15.75" customHeight="1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6"/>
      <c r="V85" s="1"/>
      <c r="W85" s="31"/>
      <c r="X85" s="31"/>
      <c r="Y85" s="31"/>
      <c r="Z85" s="31"/>
      <c r="AA85" s="2"/>
      <c r="AB85" s="31"/>
      <c r="AC85" s="31"/>
      <c r="AD85" s="31"/>
      <c r="AE85" s="37"/>
      <c r="AF85" s="37"/>
      <c r="AG85" s="37"/>
    </row>
    <row r="86" spans="1:33" ht="15.75" customHeight="1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6"/>
      <c r="V86" s="1"/>
      <c r="W86" s="31"/>
      <c r="X86" s="31"/>
      <c r="Y86" s="31"/>
      <c r="Z86" s="31"/>
      <c r="AA86" s="2"/>
      <c r="AB86" s="31"/>
      <c r="AC86" s="31"/>
      <c r="AD86" s="31"/>
      <c r="AE86" s="37"/>
      <c r="AF86" s="37"/>
      <c r="AG86" s="37"/>
    </row>
    <row r="87" spans="1:33" ht="15.75" customHeight="1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6"/>
      <c r="V87" s="1"/>
      <c r="W87" s="31"/>
      <c r="X87" s="31"/>
      <c r="Y87" s="31"/>
      <c r="Z87" s="31"/>
      <c r="AA87" s="2"/>
      <c r="AB87" s="31"/>
      <c r="AC87" s="31"/>
      <c r="AD87" s="31"/>
      <c r="AE87" s="37"/>
      <c r="AF87" s="37"/>
      <c r="AG87" s="37"/>
    </row>
    <row r="88" spans="1:33" ht="15.75" customHeight="1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6"/>
      <c r="V88" s="1"/>
      <c r="W88" s="31"/>
      <c r="X88" s="31"/>
      <c r="Y88" s="31"/>
      <c r="Z88" s="31"/>
      <c r="AA88" s="2"/>
      <c r="AB88" s="31"/>
      <c r="AC88" s="31"/>
      <c r="AD88" s="31"/>
      <c r="AE88" s="37"/>
      <c r="AF88" s="37"/>
      <c r="AG88" s="37"/>
    </row>
    <row r="89" spans="1:33" ht="15.75" customHeight="1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6"/>
      <c r="V89" s="1"/>
      <c r="W89" s="31"/>
      <c r="X89" s="31"/>
      <c r="Y89" s="31"/>
      <c r="Z89" s="31"/>
      <c r="AA89" s="2"/>
      <c r="AB89" s="31"/>
      <c r="AC89" s="31"/>
      <c r="AD89" s="31"/>
      <c r="AE89" s="37"/>
      <c r="AF89" s="37"/>
      <c r="AG89" s="37"/>
    </row>
    <row r="90" spans="1:33" ht="15.75" customHeight="1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6"/>
      <c r="V90" s="1"/>
      <c r="W90" s="31"/>
      <c r="X90" s="31"/>
      <c r="Y90" s="31"/>
      <c r="Z90" s="31"/>
      <c r="AA90" s="2"/>
      <c r="AB90" s="31"/>
      <c r="AC90" s="31"/>
      <c r="AD90" s="31"/>
      <c r="AE90" s="37"/>
      <c r="AF90" s="37"/>
      <c r="AG90" s="37"/>
    </row>
    <row r="91" spans="1:33" ht="15.75" customHeight="1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6"/>
      <c r="V91" s="1"/>
      <c r="W91" s="31"/>
      <c r="X91" s="31"/>
      <c r="Y91" s="31"/>
      <c r="Z91" s="31"/>
      <c r="AA91" s="2"/>
      <c r="AB91" s="31"/>
      <c r="AC91" s="31"/>
      <c r="AD91" s="31"/>
      <c r="AE91" s="37"/>
      <c r="AF91" s="37"/>
      <c r="AG91" s="37"/>
    </row>
    <row r="92" spans="1:33" ht="15.75" customHeight="1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6"/>
      <c r="V92" s="1"/>
      <c r="W92" s="31"/>
      <c r="X92" s="31"/>
      <c r="Y92" s="31"/>
      <c r="Z92" s="31"/>
      <c r="AA92" s="2"/>
      <c r="AB92" s="31"/>
      <c r="AC92" s="31"/>
      <c r="AD92" s="31"/>
      <c r="AE92" s="37"/>
      <c r="AF92" s="37"/>
      <c r="AG92" s="37"/>
    </row>
    <row r="93" spans="1:33" ht="15.75" customHeight="1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6"/>
      <c r="V93" s="1"/>
      <c r="W93" s="31"/>
      <c r="X93" s="31"/>
      <c r="Y93" s="31"/>
      <c r="Z93" s="31"/>
      <c r="AA93" s="2"/>
      <c r="AB93" s="31"/>
      <c r="AC93" s="31"/>
      <c r="AD93" s="31"/>
      <c r="AE93" s="37"/>
      <c r="AF93" s="37"/>
      <c r="AG93" s="37"/>
    </row>
    <row r="94" spans="1:33" ht="15.75" customHeight="1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6"/>
      <c r="V94" s="1"/>
      <c r="W94" s="31"/>
      <c r="X94" s="31"/>
      <c r="Y94" s="31"/>
      <c r="Z94" s="31"/>
      <c r="AA94" s="2"/>
      <c r="AB94" s="31"/>
      <c r="AC94" s="31"/>
      <c r="AD94" s="31"/>
      <c r="AE94" s="37"/>
      <c r="AF94" s="37"/>
      <c r="AG94" s="37"/>
    </row>
    <row r="95" spans="1:33" ht="15.75" customHeight="1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6"/>
      <c r="V95" s="1"/>
      <c r="W95" s="31"/>
      <c r="X95" s="31"/>
      <c r="Y95" s="31"/>
      <c r="Z95" s="31"/>
      <c r="AA95" s="2"/>
      <c r="AB95" s="31"/>
      <c r="AC95" s="31"/>
      <c r="AD95" s="31"/>
      <c r="AE95" s="37"/>
      <c r="AF95" s="37"/>
      <c r="AG95" s="37"/>
    </row>
    <row r="96" spans="1:33" ht="15.75" customHeight="1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6"/>
      <c r="V96" s="1"/>
      <c r="W96" s="31"/>
      <c r="X96" s="31"/>
      <c r="Y96" s="31"/>
      <c r="Z96" s="31"/>
      <c r="AA96" s="2"/>
      <c r="AB96" s="31"/>
      <c r="AC96" s="31"/>
      <c r="AD96" s="31"/>
      <c r="AE96" s="37"/>
      <c r="AF96" s="37"/>
      <c r="AG96" s="37"/>
    </row>
    <row r="97" spans="1:33" ht="15.75" customHeight="1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8"/>
      <c r="R97" s="38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8"/>
      <c r="R98" s="38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8"/>
      <c r="R99" s="38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8"/>
      <c r="R100" s="38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8"/>
      <c r="R101" s="38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8"/>
      <c r="R102" s="38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8"/>
      <c r="R103" s="38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8"/>
      <c r="R104" s="38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8"/>
      <c r="R105" s="38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8"/>
      <c r="R106" s="38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8"/>
      <c r="R107" s="38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8"/>
      <c r="R108" s="38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8"/>
      <c r="R109" s="38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8"/>
      <c r="R110" s="38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8"/>
      <c r="R111" s="38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8"/>
      <c r="R112" s="38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8"/>
      <c r="R113" s="38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8"/>
      <c r="R114" s="38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>
      <c r="A115" s="31"/>
      <c r="B115" s="31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>
      <c r="A116" s="31"/>
      <c r="B116" s="31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>
      <c r="A117" s="31"/>
      <c r="B117" s="31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>
      <c r="A118" s="31"/>
      <c r="B118" s="31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>
      <c r="A119" s="31"/>
      <c r="B119" s="31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>
      <c r="A120" s="31"/>
      <c r="B120" s="31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>
      <c r="A121" s="31"/>
      <c r="B121" s="31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>
      <c r="A122" s="31"/>
      <c r="B122" s="31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>
      <c r="A123" s="31"/>
      <c r="B123" s="31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>
      <c r="A124" s="31"/>
      <c r="B124" s="31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>
      <c r="A125" s="31"/>
      <c r="B125" s="31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>
      <c r="A126" s="31"/>
      <c r="B126" s="31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>
      <c r="A127" s="31"/>
      <c r="B127" s="31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>
      <c r="A128" s="31"/>
      <c r="B128" s="31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>
      <c r="A129" s="31"/>
      <c r="B129" s="31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>
      <c r="A130" s="31"/>
      <c r="B130" s="31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>
      <c r="A131" s="31"/>
      <c r="B131" s="31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>
      <c r="A132" s="31"/>
      <c r="B132" s="31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>
      <c r="A133" s="31"/>
      <c r="B133" s="31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>
      <c r="A134" s="31"/>
      <c r="B134" s="31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>
      <c r="A135" s="31"/>
      <c r="B135" s="31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>
      <c r="A136" s="31"/>
      <c r="B136" s="31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>
      <c r="A137" s="31"/>
      <c r="B137" s="31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>
      <c r="A138" s="31"/>
      <c r="B138" s="31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>
      <c r="A139" s="31"/>
      <c r="B139" s="31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>
      <c r="A140" s="31"/>
      <c r="B140" s="31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>
      <c r="A141" s="31"/>
      <c r="B141" s="31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2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>
      <c r="A142" s="31"/>
      <c r="B142" s="31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2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>
      <c r="A143" s="31"/>
      <c r="B143" s="31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2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>
      <c r="A144" s="31"/>
      <c r="B144" s="31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2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>
      <c r="A145" s="31"/>
      <c r="B145" s="31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2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>
      <c r="A146" s="31"/>
      <c r="B146" s="31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2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>
      <c r="A147" s="31"/>
      <c r="B147" s="31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2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>
      <c r="A148" s="31"/>
      <c r="B148" s="31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2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</row>
    <row r="149" spans="1:33" ht="15.75" customHeight="1">
      <c r="A149" s="14"/>
      <c r="B149" s="14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>
      <c r="A150" s="14"/>
      <c r="B150" s="14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>
      <c r="A151" s="14"/>
      <c r="B151" s="14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>
      <c r="A152" s="14"/>
      <c r="B152" s="14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>
      <c r="A153" s="14"/>
      <c r="B153" s="14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>
      <c r="A154" s="14"/>
      <c r="B154" s="14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>
      <c r="A155" s="14"/>
      <c r="B155" s="14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>
      <c r="A156" s="14"/>
      <c r="B156" s="14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>
      <c r="A157" s="14"/>
      <c r="B157" s="14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>
      <c r="A158" s="14"/>
      <c r="B158" s="14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>
      <c r="A159" s="14"/>
      <c r="B159" s="14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>
      <c r="A160" s="14"/>
      <c r="B160" s="14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>
      <c r="A161" s="14"/>
      <c r="B161" s="14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>
      <c r="A162" s="14"/>
      <c r="B162" s="14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>
      <c r="A163" s="14"/>
      <c r="B163" s="14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>
      <c r="A164" s="14"/>
      <c r="B164" s="14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>
      <c r="A165" s="14"/>
      <c r="B165" s="14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>
      <c r="A166" s="14"/>
      <c r="B166" s="14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>
      <c r="A167" s="14"/>
      <c r="B167" s="14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>
      <c r="A168" s="14"/>
      <c r="B168" s="14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>
      <c r="A169" s="14"/>
      <c r="B169" s="14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>
      <c r="A170" s="14"/>
      <c r="B170" s="14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>
      <c r="A171" s="14"/>
      <c r="B171" s="14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>
      <c r="A172" s="14"/>
      <c r="B172" s="14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>
      <c r="A173" s="14"/>
      <c r="B173" s="14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>
      <c r="A174" s="14"/>
      <c r="B174" s="14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>
      <c r="A175" s="14"/>
      <c r="B175" s="14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>
      <c r="A176" s="14"/>
      <c r="B176" s="14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>
      <c r="A177" s="14"/>
      <c r="B177" s="14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>
      <c r="A178" s="14"/>
      <c r="B178" s="14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>
      <c r="A179" s="14"/>
      <c r="B179" s="14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>
      <c r="A180" s="14"/>
      <c r="B180" s="14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>
      <c r="A181" s="14"/>
      <c r="B181" s="14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>
      <c r="A182" s="14"/>
      <c r="B182" s="14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>
      <c r="A183" s="14"/>
      <c r="B183" s="14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>
      <c r="A184" s="14"/>
      <c r="B184" s="14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>
      <c r="A185" s="14"/>
      <c r="B185" s="14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>
      <c r="A186" s="14"/>
      <c r="B186" s="14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>
      <c r="A187" s="14"/>
      <c r="B187" s="14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>
      <c r="A188" s="14"/>
      <c r="B188" s="14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>
      <c r="A189" s="14"/>
      <c r="B189" s="14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>
      <c r="A190" s="14"/>
      <c r="B190" s="14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>
      <c r="A191" s="14"/>
      <c r="B191" s="14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>
      <c r="A192" s="14"/>
      <c r="B192" s="14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>
      <c r="A193" s="14"/>
      <c r="B193" s="14"/>
      <c r="C193" s="39"/>
      <c r="D193" s="39"/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>
      <c r="A194" s="14"/>
      <c r="B194" s="14"/>
      <c r="C194" s="39"/>
      <c r="D194" s="39"/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>
      <c r="A195" s="14"/>
      <c r="B195" s="14"/>
      <c r="C195" s="39"/>
      <c r="D195" s="39"/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>
      <c r="A196" s="14"/>
      <c r="B196" s="14"/>
      <c r="C196" s="39"/>
      <c r="D196" s="39"/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>
      <c r="A197" s="14"/>
      <c r="B197" s="14"/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>
      <c r="A198" s="14"/>
      <c r="B198" s="14"/>
      <c r="C198" s="39"/>
      <c r="D198" s="39"/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>
      <c r="A199" s="14"/>
      <c r="B199" s="14"/>
      <c r="C199" s="39"/>
      <c r="D199" s="39"/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>
      <c r="A200" s="14"/>
      <c r="B200" s="14"/>
      <c r="C200" s="39"/>
      <c r="D200" s="39"/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>
      <c r="A201" s="14"/>
      <c r="B201" s="14"/>
      <c r="C201" s="39"/>
      <c r="D201" s="39"/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>
      <c r="A202" s="14"/>
      <c r="B202" s="14"/>
      <c r="C202" s="39"/>
      <c r="D202" s="39"/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>
      <c r="A203" s="14"/>
      <c r="B203" s="14"/>
      <c r="C203" s="39"/>
      <c r="D203" s="39"/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>
      <c r="A204" s="14"/>
      <c r="B204" s="14"/>
      <c r="C204" s="39"/>
      <c r="D204" s="39"/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>
      <c r="A205" s="14"/>
      <c r="B205" s="14"/>
      <c r="C205" s="39"/>
      <c r="D205" s="39"/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>
      <c r="A206" s="14"/>
      <c r="B206" s="14"/>
      <c r="C206" s="39"/>
      <c r="D206" s="39"/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>
      <c r="A207" s="14"/>
      <c r="B207" s="14"/>
      <c r="C207" s="39"/>
      <c r="D207" s="39"/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>
      <c r="A208" s="14"/>
      <c r="B208" s="14"/>
      <c r="C208" s="39"/>
      <c r="D208" s="39"/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>
      <c r="A209" s="14"/>
      <c r="B209" s="14"/>
      <c r="C209" s="39"/>
      <c r="D209" s="39"/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>
      <c r="A210" s="14"/>
      <c r="B210" s="14"/>
      <c r="C210" s="39"/>
      <c r="D210" s="39"/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>
      <c r="A211" s="14"/>
      <c r="B211" s="14"/>
      <c r="C211" s="39"/>
      <c r="D211" s="39"/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>
      <c r="A212" s="14"/>
      <c r="B212" s="14"/>
      <c r="C212" s="39"/>
      <c r="D212" s="39"/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>
      <c r="A213" s="14"/>
      <c r="B213" s="14"/>
      <c r="C213" s="39"/>
      <c r="D213" s="39"/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>
      <c r="A214" s="14"/>
      <c r="B214" s="14"/>
      <c r="C214" s="39"/>
      <c r="D214" s="39"/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>
      <c r="A215" s="14"/>
      <c r="B215" s="14"/>
      <c r="C215" s="39"/>
      <c r="D215" s="39"/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>
      <c r="A216" s="14"/>
      <c r="B216" s="14"/>
      <c r="C216" s="39"/>
      <c r="D216" s="39"/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>
      <c r="A217" s="14"/>
      <c r="B217" s="14"/>
      <c r="C217" s="39"/>
      <c r="D217" s="39"/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>
      <c r="A218" s="14"/>
      <c r="B218" s="14"/>
      <c r="C218" s="39"/>
      <c r="D218" s="39"/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>
      <c r="A219" s="14"/>
      <c r="B219" s="14"/>
      <c r="C219" s="39"/>
      <c r="D219" s="39"/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>
      <c r="A220" s="14"/>
      <c r="B220" s="14"/>
      <c r="C220" s="39"/>
      <c r="D220" s="39"/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>
      <c r="R221" s="30"/>
      <c r="S221" s="40"/>
    </row>
    <row r="222" spans="1:33" ht="15.75" customHeight="1">
      <c r="R222" s="30"/>
      <c r="S222" s="40"/>
    </row>
    <row r="223" spans="1:33" ht="15.75" customHeight="1">
      <c r="R223" s="30"/>
      <c r="S223" s="40"/>
    </row>
    <row r="224" spans="1:33" ht="15.75" customHeight="1">
      <c r="R224" s="30"/>
      <c r="S224" s="40"/>
    </row>
    <row r="225" spans="18:18" ht="15.75" customHeight="1">
      <c r="R225" s="30"/>
    </row>
    <row r="226" spans="18:18" ht="15.75" customHeight="1">
      <c r="R226" s="30"/>
    </row>
    <row r="227" spans="18:18" ht="15.75" customHeight="1">
      <c r="R227" s="30"/>
    </row>
    <row r="228" spans="18:18" ht="15.75" customHeight="1">
      <c r="R228" s="30"/>
    </row>
    <row r="229" spans="18:18" ht="15.75" customHeight="1">
      <c r="R229" s="30"/>
    </row>
    <row r="230" spans="18:18" ht="15.75" customHeight="1">
      <c r="R230" s="30"/>
    </row>
    <row r="231" spans="18:18" ht="15.75" customHeight="1">
      <c r="R231" s="30"/>
    </row>
    <row r="232" spans="18:18" ht="15.75" customHeight="1">
      <c r="R232" s="30"/>
    </row>
    <row r="233" spans="18:18" ht="15.75" customHeight="1">
      <c r="R233" s="30"/>
    </row>
    <row r="234" spans="18:18" ht="15.75" customHeight="1">
      <c r="R234" s="30"/>
    </row>
    <row r="235" spans="18:18" ht="15.75" customHeight="1">
      <c r="R235" s="30"/>
    </row>
    <row r="236" spans="18:18" ht="15.75" customHeight="1">
      <c r="R236" s="30"/>
    </row>
    <row r="237" spans="18:18" ht="15.75" customHeight="1">
      <c r="R237" s="30"/>
    </row>
    <row r="238" spans="18:18" ht="15.75" customHeight="1">
      <c r="R238" s="30"/>
    </row>
    <row r="239" spans="18:18" ht="15.75" customHeight="1">
      <c r="R239" s="30"/>
    </row>
    <row r="240" spans="18:18" ht="15.75" customHeight="1">
      <c r="R240" s="30"/>
    </row>
    <row r="241" spans="18:18" ht="15.75" customHeight="1">
      <c r="R241" s="30"/>
    </row>
    <row r="242" spans="18:18" ht="15.75" customHeight="1">
      <c r="R242" s="30"/>
    </row>
    <row r="243" spans="18:18" ht="15.75" customHeight="1">
      <c r="R243" s="30"/>
    </row>
    <row r="244" spans="18:18" ht="15.75" customHeight="1">
      <c r="R244" s="30"/>
    </row>
    <row r="245" spans="18:18" ht="15.75" customHeight="1">
      <c r="R245" s="30"/>
    </row>
    <row r="246" spans="18:18" ht="15.75" customHeight="1">
      <c r="R246" s="30"/>
    </row>
    <row r="247" spans="18:18" ht="15.75" customHeight="1">
      <c r="R247" s="30"/>
    </row>
    <row r="248" spans="18:18" ht="15.75" customHeight="1">
      <c r="R248" s="30"/>
    </row>
    <row r="249" spans="18:18" ht="15.75" customHeight="1">
      <c r="R249" s="30"/>
    </row>
    <row r="250" spans="18:18" ht="15.75" customHeight="1">
      <c r="R250" s="30"/>
    </row>
    <row r="251" spans="18:18" ht="15.75" customHeight="1">
      <c r="R251" s="30"/>
    </row>
    <row r="252" spans="18:18" ht="15.75" customHeight="1">
      <c r="R252" s="30"/>
    </row>
    <row r="253" spans="18:18" ht="15.75" customHeight="1">
      <c r="R253" s="30"/>
    </row>
    <row r="254" spans="18:18" ht="15.75" customHeight="1">
      <c r="R254" s="30"/>
    </row>
    <row r="255" spans="18:18" ht="15.75" customHeight="1">
      <c r="R255" s="30"/>
    </row>
    <row r="256" spans="18:18" ht="15.75" customHeight="1">
      <c r="R256" s="30"/>
    </row>
    <row r="257" spans="18:18" ht="15.75" customHeight="1">
      <c r="R257" s="30"/>
    </row>
    <row r="258" spans="18:18" ht="15.75" customHeight="1">
      <c r="R258" s="30"/>
    </row>
    <row r="259" spans="18:18" ht="15.75" customHeight="1">
      <c r="R259" s="30"/>
    </row>
    <row r="260" spans="18:18" ht="15.75" customHeight="1">
      <c r="R260" s="30"/>
    </row>
    <row r="261" spans="18:18" ht="15.75" customHeight="1">
      <c r="R261" s="30"/>
    </row>
    <row r="262" spans="18:18" ht="15.75" customHeight="1">
      <c r="R262" s="30"/>
    </row>
    <row r="263" spans="18:18" ht="15.75" customHeight="1">
      <c r="R263" s="30"/>
    </row>
    <row r="264" spans="18:18" ht="15.75" customHeight="1">
      <c r="R264" s="30"/>
    </row>
    <row r="265" spans="18:18" ht="15.75" customHeight="1">
      <c r="R265" s="30"/>
    </row>
    <row r="266" spans="18:18" ht="15.75" customHeight="1">
      <c r="R266" s="30"/>
    </row>
    <row r="267" spans="18:18" ht="15.75" customHeight="1">
      <c r="R267" s="30"/>
    </row>
    <row r="268" spans="18:18" ht="15.75" customHeight="1">
      <c r="R268" s="30"/>
    </row>
    <row r="269" spans="18:18" ht="15.75" customHeight="1">
      <c r="R269" s="30"/>
    </row>
    <row r="270" spans="18:18" ht="15.75" customHeight="1">
      <c r="R270" s="30"/>
    </row>
    <row r="271" spans="18:18" ht="15.75" customHeight="1">
      <c r="R271" s="30"/>
    </row>
    <row r="272" spans="18:18" ht="15.75" customHeight="1">
      <c r="R272" s="30"/>
    </row>
    <row r="273" spans="18:18" ht="15.75" customHeight="1">
      <c r="R273" s="30"/>
    </row>
    <row r="274" spans="18:18" ht="15.75" customHeight="1">
      <c r="R274" s="30"/>
    </row>
    <row r="275" spans="18:18" ht="15.75" customHeight="1">
      <c r="R275" s="30"/>
    </row>
    <row r="276" spans="18:18" ht="15.75" customHeight="1">
      <c r="R276" s="30"/>
    </row>
    <row r="277" spans="18:18" ht="15.75" customHeight="1">
      <c r="R277" s="30"/>
    </row>
    <row r="278" spans="18:18" ht="15.75" customHeight="1">
      <c r="R278" s="30"/>
    </row>
    <row r="279" spans="18:18" ht="15.75" customHeight="1">
      <c r="R279" s="30"/>
    </row>
    <row r="280" spans="18:18" ht="15.75" customHeight="1">
      <c r="R280" s="30"/>
    </row>
    <row r="281" spans="18:18" ht="15.75" customHeight="1">
      <c r="R281" s="30"/>
    </row>
    <row r="282" spans="18:18" ht="15.75" customHeight="1">
      <c r="R282" s="30"/>
    </row>
    <row r="283" spans="18:18" ht="15.75" customHeight="1">
      <c r="R283" s="30"/>
    </row>
    <row r="284" spans="18:18" ht="15.75" customHeight="1">
      <c r="R284" s="30"/>
    </row>
    <row r="285" spans="18:18" ht="15.75" customHeight="1">
      <c r="R285" s="30"/>
    </row>
    <row r="286" spans="18:18" ht="15.75" customHeight="1">
      <c r="R286" s="30"/>
    </row>
    <row r="287" spans="18:18" ht="15.75" customHeight="1">
      <c r="R287" s="30"/>
    </row>
    <row r="288" spans="18:18" ht="15.75" customHeight="1">
      <c r="R288" s="30"/>
    </row>
    <row r="289" spans="18:18" ht="15.75" customHeight="1">
      <c r="R289" s="30"/>
    </row>
    <row r="290" spans="18:18" ht="15.75" customHeight="1">
      <c r="R290" s="30"/>
    </row>
    <row r="291" spans="18:18" ht="15.75" customHeight="1">
      <c r="R291" s="30"/>
    </row>
    <row r="292" spans="18:18" ht="15.75" customHeight="1">
      <c r="R292" s="30"/>
    </row>
    <row r="293" spans="18:18" ht="15.75" customHeight="1">
      <c r="R293" s="30"/>
    </row>
    <row r="294" spans="18:18" ht="15.75" customHeight="1">
      <c r="R294" s="30"/>
    </row>
    <row r="295" spans="18:18" ht="15.75" customHeight="1">
      <c r="R295" s="30"/>
    </row>
    <row r="296" spans="18:18" ht="15.75" customHeight="1">
      <c r="R296" s="30"/>
    </row>
    <row r="297" spans="18:18" ht="15.75" customHeight="1">
      <c r="R297" s="30"/>
    </row>
    <row r="298" spans="18:18" ht="15.75" customHeight="1">
      <c r="R298" s="30"/>
    </row>
    <row r="299" spans="18:18" ht="15.75" customHeight="1">
      <c r="R299" s="30"/>
    </row>
    <row r="300" spans="18:18" ht="15.75" customHeight="1">
      <c r="R300" s="30"/>
    </row>
    <row r="301" spans="18:18" ht="15.75" customHeight="1">
      <c r="R301" s="30"/>
    </row>
    <row r="302" spans="18:18" ht="15.75" customHeight="1">
      <c r="R302" s="30"/>
    </row>
    <row r="303" spans="18:18" ht="15.75" customHeight="1">
      <c r="R303" s="30"/>
    </row>
    <row r="304" spans="18:18" ht="15.75" customHeight="1">
      <c r="R304" s="30"/>
    </row>
    <row r="305" spans="18:18" ht="15.75" customHeight="1">
      <c r="R305" s="30"/>
    </row>
    <row r="306" spans="18:18" ht="15.75" customHeight="1">
      <c r="R306" s="30"/>
    </row>
    <row r="307" spans="18:18" ht="15.75" customHeight="1">
      <c r="R307" s="30"/>
    </row>
    <row r="308" spans="18:18" ht="15.75" customHeight="1">
      <c r="R308" s="30"/>
    </row>
    <row r="309" spans="18:18" ht="15.75" customHeight="1">
      <c r="R309" s="30"/>
    </row>
    <row r="310" spans="18:18" ht="15.75" customHeight="1">
      <c r="R310" s="30"/>
    </row>
    <row r="311" spans="18:18" ht="15.75" customHeight="1">
      <c r="R311" s="30"/>
    </row>
    <row r="312" spans="18:18" ht="15.75" customHeight="1">
      <c r="R312" s="30"/>
    </row>
    <row r="313" spans="18:18" ht="15.75" customHeight="1">
      <c r="R313" s="30"/>
    </row>
    <row r="314" spans="18:18" ht="15.75" customHeight="1">
      <c r="R314" s="30"/>
    </row>
    <row r="315" spans="18:18" ht="15.75" customHeight="1">
      <c r="R315" s="30"/>
    </row>
    <row r="316" spans="18:18" ht="15.75" customHeight="1">
      <c r="R316" s="30"/>
    </row>
    <row r="317" spans="18:18" ht="15.75" customHeight="1">
      <c r="R317" s="30"/>
    </row>
    <row r="318" spans="18:18" ht="15.75" customHeight="1">
      <c r="R318" s="30"/>
    </row>
    <row r="319" spans="18:18" ht="15.75" customHeight="1">
      <c r="R319" s="30"/>
    </row>
    <row r="320" spans="18:18" ht="15.75" customHeight="1">
      <c r="R320" s="30"/>
    </row>
    <row r="321" spans="18:18" ht="15.75" customHeight="1">
      <c r="R321" s="30"/>
    </row>
    <row r="322" spans="18:18" ht="15.75" customHeight="1">
      <c r="R322" s="30"/>
    </row>
    <row r="323" spans="18:18" ht="15.75" customHeight="1">
      <c r="R323" s="30"/>
    </row>
    <row r="324" spans="18:18" ht="15.75" customHeight="1">
      <c r="R324" s="30"/>
    </row>
    <row r="325" spans="18:18" ht="15.75" customHeight="1">
      <c r="R325" s="30"/>
    </row>
    <row r="326" spans="18:18" ht="15.75" customHeight="1">
      <c r="R326" s="30"/>
    </row>
    <row r="327" spans="18:18" ht="15.75" customHeight="1">
      <c r="R327" s="30"/>
    </row>
    <row r="328" spans="18:18" ht="15.75" customHeight="1">
      <c r="R328" s="30"/>
    </row>
    <row r="329" spans="18:18" ht="15.75" customHeight="1">
      <c r="R329" s="30"/>
    </row>
    <row r="330" spans="18:18" ht="15.75" customHeight="1">
      <c r="R330" s="30"/>
    </row>
    <row r="331" spans="18:18" ht="15.75" customHeight="1">
      <c r="R331" s="30"/>
    </row>
    <row r="332" spans="18:18" ht="15.75" customHeight="1">
      <c r="R332" s="30"/>
    </row>
    <row r="333" spans="18:18" ht="15.75" customHeight="1">
      <c r="R333" s="30"/>
    </row>
    <row r="334" spans="18:18" ht="15.75" customHeight="1">
      <c r="R334" s="30"/>
    </row>
    <row r="335" spans="18:18" ht="15.75" customHeight="1">
      <c r="R335" s="30"/>
    </row>
    <row r="336" spans="18:18" ht="15.75" customHeight="1">
      <c r="R336" s="30"/>
    </row>
    <row r="337" spans="18:18" ht="15.75" customHeight="1">
      <c r="R337" s="30"/>
    </row>
    <row r="338" spans="18:18" ht="15.75" customHeight="1">
      <c r="R338" s="30"/>
    </row>
    <row r="339" spans="18:18" ht="15.75" customHeight="1">
      <c r="R339" s="30"/>
    </row>
    <row r="340" spans="18:18" ht="15.75" customHeight="1">
      <c r="R340" s="30"/>
    </row>
    <row r="341" spans="18:18" ht="15.75" customHeight="1">
      <c r="R341" s="30"/>
    </row>
    <row r="342" spans="18:18" ht="15.75" customHeight="1">
      <c r="R342" s="30"/>
    </row>
    <row r="343" spans="18:18" ht="15.75" customHeight="1">
      <c r="R343" s="30"/>
    </row>
    <row r="344" spans="18:18" ht="15.75" customHeight="1">
      <c r="R344" s="30"/>
    </row>
    <row r="345" spans="18:18" ht="15.75" customHeight="1">
      <c r="R345" s="30"/>
    </row>
    <row r="346" spans="18:18" ht="15.75" customHeight="1">
      <c r="R346" s="30"/>
    </row>
    <row r="347" spans="18:18" ht="15.75" customHeight="1">
      <c r="R347" s="30"/>
    </row>
    <row r="348" spans="18:18" ht="15.75" customHeight="1">
      <c r="R348" s="30"/>
    </row>
    <row r="349" spans="18:18" ht="15.75" customHeight="1">
      <c r="R349" s="30"/>
    </row>
    <row r="350" spans="18:18" ht="15.75" customHeight="1">
      <c r="R350" s="30"/>
    </row>
    <row r="351" spans="18:18" ht="15.75" customHeight="1">
      <c r="R351" s="30"/>
    </row>
    <row r="352" spans="18:18" ht="15.75" customHeight="1">
      <c r="R352" s="30"/>
    </row>
    <row r="353" spans="18:18" ht="15.75" customHeight="1">
      <c r="R353" s="30"/>
    </row>
    <row r="354" spans="18:18" ht="15.75" customHeight="1">
      <c r="R354" s="30"/>
    </row>
    <row r="355" spans="18:18" ht="15.75" customHeight="1">
      <c r="R355" s="30"/>
    </row>
    <row r="356" spans="18:18" ht="15.75" customHeight="1">
      <c r="R356" s="30"/>
    </row>
    <row r="357" spans="18:18" ht="15.75" customHeight="1">
      <c r="R357" s="30"/>
    </row>
    <row r="358" spans="18:18" ht="15.75" customHeight="1">
      <c r="R358" s="30"/>
    </row>
    <row r="359" spans="18:18" ht="15.75" customHeight="1">
      <c r="R359" s="30"/>
    </row>
    <row r="360" spans="18:18" ht="15.75" customHeight="1">
      <c r="R360" s="30"/>
    </row>
    <row r="361" spans="18:18" ht="15.75" customHeight="1">
      <c r="R361" s="30"/>
    </row>
    <row r="362" spans="18:18" ht="15.75" customHeight="1">
      <c r="R362" s="30"/>
    </row>
    <row r="363" spans="18:18" ht="15.75" customHeight="1">
      <c r="R363" s="30"/>
    </row>
    <row r="364" spans="18:18" ht="15.75" customHeight="1">
      <c r="R364" s="30"/>
    </row>
    <row r="365" spans="18:18" ht="15.75" customHeight="1">
      <c r="R365" s="30"/>
    </row>
    <row r="366" spans="18:18" ht="15.75" customHeight="1">
      <c r="R366" s="30"/>
    </row>
    <row r="367" spans="18:18" ht="15.75" customHeight="1">
      <c r="R367" s="30"/>
    </row>
    <row r="368" spans="18:18" ht="15.75" customHeight="1">
      <c r="R368" s="30"/>
    </row>
    <row r="369" spans="18:18" ht="15.75" customHeight="1">
      <c r="R369" s="30"/>
    </row>
    <row r="370" spans="18:18" ht="15.75" customHeight="1">
      <c r="R370" s="30"/>
    </row>
    <row r="371" spans="18:18" ht="15.75" customHeight="1">
      <c r="R371" s="30"/>
    </row>
    <row r="372" spans="18:18" ht="15.75" customHeight="1">
      <c r="R372" s="30"/>
    </row>
    <row r="373" spans="18:18" ht="15.75" customHeight="1">
      <c r="R373" s="30"/>
    </row>
    <row r="374" spans="18:18" ht="15.75" customHeight="1">
      <c r="R374" s="30"/>
    </row>
    <row r="375" spans="18:18" ht="15.75" customHeight="1">
      <c r="R375" s="30"/>
    </row>
    <row r="376" spans="18:18" ht="15.75" customHeight="1">
      <c r="R376" s="30"/>
    </row>
    <row r="377" spans="18:18" ht="15.75" customHeight="1">
      <c r="R377" s="30"/>
    </row>
    <row r="378" spans="18:18" ht="15.75" customHeight="1">
      <c r="R378" s="30"/>
    </row>
    <row r="379" spans="18:18" ht="15.75" customHeight="1">
      <c r="R379" s="30"/>
    </row>
    <row r="380" spans="18:18" ht="15.75" customHeight="1">
      <c r="R380" s="30"/>
    </row>
    <row r="381" spans="18:18" ht="15.75" customHeight="1">
      <c r="R381" s="30"/>
    </row>
    <row r="382" spans="18:18" ht="15.75" customHeight="1">
      <c r="R382" s="30"/>
    </row>
    <row r="383" spans="18:18" ht="15.75" customHeight="1">
      <c r="R383" s="30"/>
    </row>
    <row r="384" spans="18:18" ht="15.75" customHeight="1">
      <c r="R384" s="30"/>
    </row>
    <row r="385" spans="18:18" ht="15.75" customHeight="1">
      <c r="R385" s="30"/>
    </row>
    <row r="386" spans="18:18" ht="15.75" customHeight="1">
      <c r="R386" s="30"/>
    </row>
    <row r="387" spans="18:18" ht="15.75" customHeight="1">
      <c r="R387" s="30"/>
    </row>
    <row r="388" spans="18:18" ht="15.75" customHeight="1">
      <c r="R388" s="30"/>
    </row>
    <row r="389" spans="18:18" ht="15.75" customHeight="1">
      <c r="R389" s="30"/>
    </row>
    <row r="390" spans="18:18" ht="15.75" customHeight="1">
      <c r="R390" s="30"/>
    </row>
    <row r="391" spans="18:18" ht="15.75" customHeight="1">
      <c r="R391" s="30"/>
    </row>
    <row r="392" spans="18:18" ht="15.75" customHeight="1">
      <c r="R392" s="30"/>
    </row>
    <row r="393" spans="18:18" ht="15.75" customHeight="1">
      <c r="R393" s="30"/>
    </row>
    <row r="394" spans="18:18" ht="15.75" customHeight="1">
      <c r="R394" s="30"/>
    </row>
    <row r="395" spans="18:18" ht="15.75" customHeight="1">
      <c r="R395" s="30"/>
    </row>
    <row r="396" spans="18:18" ht="15.75" customHeight="1">
      <c r="R396" s="30"/>
    </row>
    <row r="397" spans="18:18" ht="15.75" customHeight="1">
      <c r="R397" s="30"/>
    </row>
    <row r="398" spans="18:18" ht="15.75" customHeight="1">
      <c r="R398" s="30"/>
    </row>
    <row r="399" spans="18:18" ht="15.75" customHeight="1">
      <c r="R399" s="30"/>
    </row>
    <row r="400" spans="18:18" ht="15.75" customHeight="1">
      <c r="R400" s="30"/>
    </row>
    <row r="401" spans="18:18" ht="15.75" customHeight="1">
      <c r="R401" s="30"/>
    </row>
    <row r="402" spans="18:18" ht="15.75" customHeight="1">
      <c r="R402" s="30"/>
    </row>
    <row r="403" spans="18:18" ht="15.75" customHeight="1">
      <c r="R403" s="30"/>
    </row>
    <row r="404" spans="18:18" ht="15.75" customHeight="1">
      <c r="R404" s="30"/>
    </row>
    <row r="405" spans="18:18" ht="15.75" customHeight="1">
      <c r="R405" s="30"/>
    </row>
    <row r="406" spans="18:18" ht="15.75" customHeight="1">
      <c r="R406" s="30"/>
    </row>
    <row r="407" spans="18:18" ht="15.75" customHeight="1">
      <c r="R407" s="30"/>
    </row>
    <row r="408" spans="18:18" ht="15.75" customHeight="1">
      <c r="R408" s="30"/>
    </row>
    <row r="409" spans="18:18" ht="15.75" customHeight="1">
      <c r="R409" s="30"/>
    </row>
    <row r="410" spans="18:18" ht="15.75" customHeight="1">
      <c r="R410" s="30"/>
    </row>
    <row r="411" spans="18:18" ht="15.75" customHeight="1">
      <c r="R411" s="30"/>
    </row>
    <row r="412" spans="18:18" ht="15.75" customHeight="1">
      <c r="R412" s="30"/>
    </row>
    <row r="413" spans="18:18" ht="15.75" customHeight="1">
      <c r="R413" s="30"/>
    </row>
    <row r="414" spans="18:18" ht="15.75" customHeight="1">
      <c r="R414" s="30"/>
    </row>
    <row r="415" spans="18:18" ht="15.75" customHeight="1">
      <c r="R415" s="30"/>
    </row>
    <row r="416" spans="18:18" ht="15.75" customHeight="1">
      <c r="R416" s="30"/>
    </row>
    <row r="417" spans="18:18" ht="15.75" customHeight="1">
      <c r="R417" s="30"/>
    </row>
    <row r="418" spans="18:18" ht="15.75" customHeight="1">
      <c r="R418" s="30"/>
    </row>
    <row r="419" spans="18:18" ht="15.75" customHeight="1">
      <c r="R419" s="30"/>
    </row>
    <row r="420" spans="18:18" ht="15.75" customHeight="1">
      <c r="R420" s="30"/>
    </row>
    <row r="421" spans="18:18" ht="15.75" customHeight="1">
      <c r="R421" s="30"/>
    </row>
    <row r="422" spans="18:18" ht="15.75" customHeight="1">
      <c r="R422" s="30"/>
    </row>
    <row r="423" spans="18:18" ht="15.75" customHeight="1">
      <c r="R423" s="30"/>
    </row>
    <row r="424" spans="18:18" ht="15.75" customHeight="1">
      <c r="R424" s="30"/>
    </row>
    <row r="425" spans="18:18" ht="15.75" customHeight="1">
      <c r="R425" s="30"/>
    </row>
    <row r="426" spans="18:18" ht="15.75" customHeight="1">
      <c r="R426" s="30"/>
    </row>
    <row r="427" spans="18:18" ht="15.75" customHeight="1">
      <c r="R427" s="30"/>
    </row>
    <row r="428" spans="18:18" ht="15.75" customHeight="1">
      <c r="R428" s="30"/>
    </row>
    <row r="429" spans="18:18" ht="15.75" customHeight="1">
      <c r="R429" s="30"/>
    </row>
    <row r="430" spans="18:18" ht="15.75" customHeight="1">
      <c r="R430" s="30"/>
    </row>
    <row r="431" spans="18:18" ht="15.75" customHeight="1">
      <c r="R431" s="30"/>
    </row>
    <row r="432" spans="18:18" ht="15.75" customHeight="1">
      <c r="R432" s="30"/>
    </row>
    <row r="433" spans="18:18" ht="15.75" customHeight="1">
      <c r="R433" s="30"/>
    </row>
    <row r="434" spans="18:18" ht="15.75" customHeight="1">
      <c r="R434" s="30"/>
    </row>
    <row r="435" spans="18:18" ht="15.75" customHeight="1">
      <c r="R435" s="30"/>
    </row>
    <row r="436" spans="18:18" ht="15.75" customHeight="1">
      <c r="R436" s="30"/>
    </row>
    <row r="437" spans="18:18" ht="15.75" customHeight="1">
      <c r="R437" s="30"/>
    </row>
    <row r="438" spans="18:18" ht="15.75" customHeight="1">
      <c r="R438" s="30"/>
    </row>
    <row r="439" spans="18:18" ht="15.75" customHeight="1">
      <c r="R439" s="30"/>
    </row>
    <row r="440" spans="18:18" ht="15.75" customHeight="1">
      <c r="R440" s="30"/>
    </row>
    <row r="441" spans="18:18" ht="15.75" customHeight="1">
      <c r="R441" s="30"/>
    </row>
    <row r="442" spans="18:18" ht="15.75" customHeight="1">
      <c r="R442" s="30"/>
    </row>
    <row r="443" spans="18:18" ht="15.75" customHeight="1">
      <c r="R443" s="30"/>
    </row>
    <row r="444" spans="18:18" ht="15.75" customHeight="1">
      <c r="R444" s="30"/>
    </row>
    <row r="445" spans="18:18" ht="15.75" customHeight="1">
      <c r="R445" s="30"/>
    </row>
    <row r="446" spans="18:18" ht="15.75" customHeight="1">
      <c r="R446" s="30"/>
    </row>
    <row r="447" spans="18:18" ht="15.75" customHeight="1">
      <c r="R447" s="30"/>
    </row>
    <row r="448" spans="18:18" ht="15.75" customHeight="1">
      <c r="R448" s="30"/>
    </row>
    <row r="449" spans="18:18" ht="15.75" customHeight="1">
      <c r="R449" s="30"/>
    </row>
    <row r="450" spans="18:18" ht="15.75" customHeight="1">
      <c r="R450" s="30"/>
    </row>
    <row r="451" spans="18:18" ht="15.75" customHeight="1">
      <c r="R451" s="30"/>
    </row>
    <row r="452" spans="18:18" ht="15.75" customHeight="1">
      <c r="R452" s="30"/>
    </row>
    <row r="453" spans="18:18" ht="15.75" customHeight="1">
      <c r="R453" s="30"/>
    </row>
    <row r="454" spans="18:18" ht="15.75" customHeight="1">
      <c r="R454" s="30"/>
    </row>
    <row r="455" spans="18:18" ht="15.75" customHeight="1">
      <c r="R455" s="30"/>
    </row>
    <row r="456" spans="18:18" ht="15.75" customHeight="1">
      <c r="R456" s="30"/>
    </row>
    <row r="457" spans="18:18" ht="15.75" customHeight="1">
      <c r="R457" s="30"/>
    </row>
    <row r="458" spans="18:18" ht="15.75" customHeight="1">
      <c r="R458" s="30"/>
    </row>
    <row r="459" spans="18:18" ht="15.75" customHeight="1">
      <c r="R459" s="30"/>
    </row>
    <row r="460" spans="18:18" ht="15.75" customHeight="1">
      <c r="R460" s="30"/>
    </row>
    <row r="461" spans="18:18" ht="15.75" customHeight="1">
      <c r="R461" s="30"/>
    </row>
    <row r="462" spans="18:18" ht="15.75" customHeight="1">
      <c r="R462" s="30"/>
    </row>
    <row r="463" spans="18:18" ht="15.75" customHeight="1">
      <c r="R463" s="30"/>
    </row>
    <row r="464" spans="18:18" ht="15.75" customHeight="1">
      <c r="R464" s="30"/>
    </row>
    <row r="465" spans="18:18" ht="15.75" customHeight="1">
      <c r="R465" s="30"/>
    </row>
    <row r="466" spans="18:18" ht="15.75" customHeight="1">
      <c r="R466" s="30"/>
    </row>
    <row r="467" spans="18:18" ht="15.75" customHeight="1">
      <c r="R467" s="30"/>
    </row>
    <row r="468" spans="18:18" ht="15.75" customHeight="1">
      <c r="R468" s="30"/>
    </row>
    <row r="469" spans="18:18" ht="15.75" customHeight="1">
      <c r="R469" s="30"/>
    </row>
    <row r="470" spans="18:18" ht="15.75" customHeight="1">
      <c r="R470" s="30"/>
    </row>
    <row r="471" spans="18:18" ht="15.75" customHeight="1">
      <c r="R471" s="30"/>
    </row>
    <row r="472" spans="18:18" ht="15.75" customHeight="1">
      <c r="R472" s="30"/>
    </row>
    <row r="473" spans="18:18" ht="15.75" customHeight="1">
      <c r="R473" s="30"/>
    </row>
    <row r="474" spans="18:18" ht="15.75" customHeight="1">
      <c r="R474" s="30"/>
    </row>
    <row r="475" spans="18:18" ht="15.75" customHeight="1">
      <c r="R475" s="30"/>
    </row>
    <row r="476" spans="18:18" ht="15.75" customHeight="1">
      <c r="R476" s="30"/>
    </row>
    <row r="477" spans="18:18" ht="15.75" customHeight="1">
      <c r="R477" s="30"/>
    </row>
    <row r="478" spans="18:18" ht="15.75" customHeight="1">
      <c r="R478" s="30"/>
    </row>
    <row r="479" spans="18:18" ht="15.75" customHeight="1">
      <c r="R479" s="30"/>
    </row>
    <row r="480" spans="18:18" ht="15.75" customHeight="1">
      <c r="R480" s="30"/>
    </row>
    <row r="481" spans="18:18" ht="15.75" customHeight="1">
      <c r="R481" s="30"/>
    </row>
    <row r="482" spans="18:18" ht="15.75" customHeight="1">
      <c r="R482" s="30"/>
    </row>
    <row r="483" spans="18:18" ht="15.75" customHeight="1">
      <c r="R483" s="30"/>
    </row>
    <row r="484" spans="18:18" ht="15.75" customHeight="1">
      <c r="R484" s="30"/>
    </row>
    <row r="485" spans="18:18" ht="15.75" customHeight="1">
      <c r="R485" s="30"/>
    </row>
    <row r="486" spans="18:18" ht="15.75" customHeight="1">
      <c r="R486" s="30"/>
    </row>
    <row r="487" spans="18:18" ht="15.75" customHeight="1">
      <c r="R487" s="30"/>
    </row>
    <row r="488" spans="18:18" ht="15.75" customHeight="1">
      <c r="R488" s="30"/>
    </row>
    <row r="489" spans="18:18" ht="15.75" customHeight="1">
      <c r="R489" s="30"/>
    </row>
    <row r="490" spans="18:18" ht="15.75" customHeight="1">
      <c r="R490" s="30"/>
    </row>
    <row r="491" spans="18:18" ht="15.75" customHeight="1">
      <c r="R491" s="30"/>
    </row>
    <row r="492" spans="18:18" ht="15.75" customHeight="1">
      <c r="R492" s="30"/>
    </row>
    <row r="493" spans="18:18" ht="15.75" customHeight="1">
      <c r="R493" s="30"/>
    </row>
    <row r="494" spans="18:18" ht="15.75" customHeight="1">
      <c r="R494" s="30"/>
    </row>
    <row r="495" spans="18:18" ht="15.75" customHeight="1">
      <c r="R495" s="30"/>
    </row>
    <row r="496" spans="18:18" ht="15.75" customHeight="1">
      <c r="R496" s="30"/>
    </row>
    <row r="497" spans="18:18" ht="15.75" customHeight="1">
      <c r="R497" s="30"/>
    </row>
    <row r="498" spans="18:18" ht="15.75" customHeight="1">
      <c r="R498" s="30"/>
    </row>
    <row r="499" spans="18:18" ht="15.75" customHeight="1">
      <c r="R499" s="30"/>
    </row>
    <row r="500" spans="18:18" ht="15.75" customHeight="1">
      <c r="R500" s="30"/>
    </row>
    <row r="501" spans="18:18" ht="15.75" customHeight="1">
      <c r="R501" s="30"/>
    </row>
    <row r="502" spans="18:18" ht="15.75" customHeight="1">
      <c r="R502" s="30"/>
    </row>
    <row r="503" spans="18:18" ht="15.75" customHeight="1">
      <c r="R503" s="30"/>
    </row>
    <row r="504" spans="18:18" ht="15.75" customHeight="1">
      <c r="R504" s="30"/>
    </row>
    <row r="505" spans="18:18" ht="15.75" customHeight="1">
      <c r="R505" s="30"/>
    </row>
    <row r="506" spans="18:18" ht="15.75" customHeight="1">
      <c r="R506" s="30"/>
    </row>
    <row r="507" spans="18:18" ht="15.75" customHeight="1">
      <c r="R507" s="30"/>
    </row>
    <row r="508" spans="18:18" ht="15.75" customHeight="1">
      <c r="R508" s="30"/>
    </row>
    <row r="509" spans="18:18" ht="15.75" customHeight="1">
      <c r="R509" s="30"/>
    </row>
    <row r="510" spans="18:18" ht="15.75" customHeight="1">
      <c r="R510" s="30"/>
    </row>
    <row r="511" spans="18:18" ht="15.75" customHeight="1">
      <c r="R511" s="30"/>
    </row>
    <row r="512" spans="18:18" ht="15.75" customHeight="1">
      <c r="R512" s="30"/>
    </row>
    <row r="513" spans="18:18" ht="15.75" customHeight="1">
      <c r="R513" s="30"/>
    </row>
    <row r="514" spans="18:18" ht="15.75" customHeight="1">
      <c r="R514" s="30"/>
    </row>
    <row r="515" spans="18:18" ht="15.75" customHeight="1">
      <c r="R515" s="30"/>
    </row>
    <row r="516" spans="18:18" ht="15.75" customHeight="1">
      <c r="R516" s="30"/>
    </row>
    <row r="517" spans="18:18" ht="15.75" customHeight="1">
      <c r="R517" s="30"/>
    </row>
    <row r="518" spans="18:18" ht="15.75" customHeight="1">
      <c r="R518" s="30"/>
    </row>
    <row r="519" spans="18:18" ht="15.75" customHeight="1">
      <c r="R519" s="30"/>
    </row>
    <row r="520" spans="18:18" ht="15.75" customHeight="1">
      <c r="R520" s="30"/>
    </row>
    <row r="521" spans="18:18" ht="15.75" customHeight="1">
      <c r="R521" s="30"/>
    </row>
    <row r="522" spans="18:18" ht="15.75" customHeight="1">
      <c r="R522" s="30"/>
    </row>
    <row r="523" spans="18:18" ht="15.75" customHeight="1">
      <c r="R523" s="30"/>
    </row>
    <row r="524" spans="18:18" ht="15.75" customHeight="1">
      <c r="R524" s="30"/>
    </row>
    <row r="525" spans="18:18" ht="15.75" customHeight="1">
      <c r="R525" s="30"/>
    </row>
    <row r="526" spans="18:18" ht="15.75" customHeight="1">
      <c r="R526" s="30"/>
    </row>
    <row r="527" spans="18:18" ht="15.75" customHeight="1">
      <c r="R527" s="30"/>
    </row>
    <row r="528" spans="18:18" ht="15.75" customHeight="1">
      <c r="R528" s="30"/>
    </row>
    <row r="529" spans="18:18" ht="15.75" customHeight="1">
      <c r="R529" s="30"/>
    </row>
    <row r="530" spans="18:18" ht="15.75" customHeight="1">
      <c r="R530" s="30"/>
    </row>
    <row r="531" spans="18:18" ht="15.75" customHeight="1">
      <c r="R531" s="30"/>
    </row>
    <row r="532" spans="18:18" ht="15.75" customHeight="1">
      <c r="R532" s="30"/>
    </row>
    <row r="533" spans="18:18" ht="15.75" customHeight="1">
      <c r="R533" s="30"/>
    </row>
    <row r="534" spans="18:18" ht="15.75" customHeight="1">
      <c r="R534" s="30"/>
    </row>
    <row r="535" spans="18:18" ht="15.75" customHeight="1">
      <c r="R535" s="30"/>
    </row>
    <row r="536" spans="18:18" ht="15.75" customHeight="1">
      <c r="R536" s="30"/>
    </row>
    <row r="537" spans="18:18" ht="15.75" customHeight="1">
      <c r="R537" s="30"/>
    </row>
    <row r="538" spans="18:18" ht="15.75" customHeight="1">
      <c r="R538" s="30"/>
    </row>
    <row r="539" spans="18:18" ht="15.75" customHeight="1">
      <c r="R539" s="30"/>
    </row>
    <row r="540" spans="18:18" ht="15.75" customHeight="1">
      <c r="R540" s="30"/>
    </row>
    <row r="541" spans="18:18" ht="15.75" customHeight="1">
      <c r="R541" s="30"/>
    </row>
    <row r="542" spans="18:18" ht="15.75" customHeight="1">
      <c r="R542" s="30"/>
    </row>
    <row r="543" spans="18:18" ht="15.75" customHeight="1">
      <c r="R543" s="30"/>
    </row>
    <row r="544" spans="18:18" ht="15.75" customHeight="1">
      <c r="R544" s="30"/>
    </row>
    <row r="545" spans="18:18" ht="15.75" customHeight="1">
      <c r="R545" s="30"/>
    </row>
    <row r="546" spans="18:18" ht="15.75" customHeight="1">
      <c r="R546" s="30"/>
    </row>
    <row r="547" spans="18:18" ht="15.75" customHeight="1">
      <c r="R547" s="30"/>
    </row>
    <row r="548" spans="18:18" ht="15.75" customHeight="1">
      <c r="R548" s="30"/>
    </row>
    <row r="549" spans="18:18" ht="15.75" customHeight="1">
      <c r="R549" s="30"/>
    </row>
    <row r="550" spans="18:18" ht="15.75" customHeight="1">
      <c r="R550" s="30"/>
    </row>
    <row r="551" spans="18:18" ht="15.75" customHeight="1">
      <c r="R551" s="30"/>
    </row>
    <row r="552" spans="18:18" ht="15.75" customHeight="1">
      <c r="R552" s="30"/>
    </row>
    <row r="553" spans="18:18" ht="15.75" customHeight="1">
      <c r="R553" s="30"/>
    </row>
    <row r="554" spans="18:18" ht="15.75" customHeight="1">
      <c r="R554" s="30"/>
    </row>
    <row r="555" spans="18:18" ht="15.75" customHeight="1">
      <c r="R555" s="30"/>
    </row>
    <row r="556" spans="18:18" ht="15.75" customHeight="1">
      <c r="R556" s="30"/>
    </row>
    <row r="557" spans="18:18" ht="15.75" customHeight="1">
      <c r="R557" s="30"/>
    </row>
    <row r="558" spans="18:18" ht="15.75" customHeight="1">
      <c r="R558" s="30"/>
    </row>
    <row r="559" spans="18:18" ht="15.75" customHeight="1">
      <c r="R559" s="30"/>
    </row>
    <row r="560" spans="18:18" ht="15.75" customHeight="1">
      <c r="R560" s="30"/>
    </row>
    <row r="561" spans="18:18" ht="15.75" customHeight="1">
      <c r="R561" s="30"/>
    </row>
    <row r="562" spans="18:18" ht="15.75" customHeight="1">
      <c r="R562" s="30"/>
    </row>
    <row r="563" spans="18:18" ht="15.75" customHeight="1">
      <c r="R563" s="30"/>
    </row>
    <row r="564" spans="18:18" ht="15.75" customHeight="1">
      <c r="R564" s="30"/>
    </row>
    <row r="565" spans="18:18" ht="15.75" customHeight="1">
      <c r="R565" s="30"/>
    </row>
    <row r="566" spans="18:18" ht="15.75" customHeight="1">
      <c r="R566" s="30"/>
    </row>
    <row r="567" spans="18:18" ht="15.75" customHeight="1">
      <c r="R567" s="30"/>
    </row>
    <row r="568" spans="18:18" ht="15.75" customHeight="1">
      <c r="R568" s="30"/>
    </row>
    <row r="569" spans="18:18" ht="15.75" customHeight="1">
      <c r="R569" s="30"/>
    </row>
    <row r="570" spans="18:18" ht="15.75" customHeight="1">
      <c r="R570" s="30"/>
    </row>
    <row r="571" spans="18:18" ht="15.75" customHeight="1">
      <c r="R571" s="30"/>
    </row>
    <row r="572" spans="18:18" ht="15.75" customHeight="1">
      <c r="R572" s="30"/>
    </row>
    <row r="573" spans="18:18" ht="15.75" customHeight="1">
      <c r="R573" s="30"/>
    </row>
    <row r="574" spans="18:18" ht="15.75" customHeight="1">
      <c r="R574" s="30"/>
    </row>
    <row r="575" spans="18:18" ht="15.75" customHeight="1">
      <c r="R575" s="30"/>
    </row>
    <row r="576" spans="18:18" ht="15.75" customHeight="1">
      <c r="R576" s="30"/>
    </row>
    <row r="577" spans="18:18" ht="15.75" customHeight="1">
      <c r="R577" s="30"/>
    </row>
    <row r="578" spans="18:18" ht="15.75" customHeight="1">
      <c r="R578" s="30"/>
    </row>
    <row r="579" spans="18:18" ht="15.75" customHeight="1">
      <c r="R579" s="30"/>
    </row>
    <row r="580" spans="18:18" ht="15.75" customHeight="1">
      <c r="R580" s="30"/>
    </row>
    <row r="581" spans="18:18" ht="15.75" customHeight="1">
      <c r="R581" s="30"/>
    </row>
    <row r="582" spans="18:18" ht="15.75" customHeight="1">
      <c r="R582" s="30"/>
    </row>
    <row r="583" spans="18:18" ht="15.75" customHeight="1">
      <c r="R583" s="30"/>
    </row>
    <row r="584" spans="18:18" ht="15.75" customHeight="1">
      <c r="R584" s="30"/>
    </row>
    <row r="585" spans="18:18" ht="15.75" customHeight="1">
      <c r="R585" s="30"/>
    </row>
    <row r="586" spans="18:18" ht="15.75" customHeight="1">
      <c r="R586" s="30"/>
    </row>
    <row r="587" spans="18:18" ht="15.75" customHeight="1">
      <c r="R587" s="30"/>
    </row>
    <row r="588" spans="18:18" ht="15.75" customHeight="1">
      <c r="R588" s="30"/>
    </row>
    <row r="589" spans="18:18" ht="15.75" customHeight="1">
      <c r="R589" s="30"/>
    </row>
    <row r="590" spans="18:18" ht="15.75" customHeight="1">
      <c r="R590" s="30"/>
    </row>
    <row r="591" spans="18:18" ht="15.75" customHeight="1">
      <c r="R591" s="30"/>
    </row>
    <row r="592" spans="18:18" ht="15.75" customHeight="1">
      <c r="R592" s="30"/>
    </row>
    <row r="593" spans="18:18" ht="15.75" customHeight="1">
      <c r="R593" s="30"/>
    </row>
    <row r="594" spans="18:18" ht="15.75" customHeight="1">
      <c r="R594" s="30"/>
    </row>
    <row r="595" spans="18:18" ht="15.75" customHeight="1">
      <c r="R595" s="30"/>
    </row>
    <row r="596" spans="18:18" ht="15.75" customHeight="1">
      <c r="R596" s="30"/>
    </row>
    <row r="597" spans="18:18" ht="15.75" customHeight="1">
      <c r="R597" s="30"/>
    </row>
    <row r="598" spans="18:18" ht="15.75" customHeight="1">
      <c r="R598" s="30"/>
    </row>
    <row r="599" spans="18:18" ht="15.75" customHeight="1">
      <c r="R599" s="30"/>
    </row>
    <row r="600" spans="18:18" ht="15.75" customHeight="1">
      <c r="R600" s="30"/>
    </row>
    <row r="601" spans="18:18" ht="15.75" customHeight="1">
      <c r="R601" s="30"/>
    </row>
    <row r="602" spans="18:18" ht="15.75" customHeight="1">
      <c r="R602" s="30"/>
    </row>
    <row r="603" spans="18:18" ht="15.75" customHeight="1">
      <c r="R603" s="30"/>
    </row>
    <row r="604" spans="18:18" ht="15.75" customHeight="1">
      <c r="R604" s="30"/>
    </row>
    <row r="605" spans="18:18" ht="15.75" customHeight="1">
      <c r="R605" s="30"/>
    </row>
    <row r="606" spans="18:18" ht="15.75" customHeight="1">
      <c r="R606" s="30"/>
    </row>
    <row r="607" spans="18:18" ht="15.75" customHeight="1">
      <c r="R607" s="30"/>
    </row>
    <row r="608" spans="18:18" ht="15.75" customHeight="1">
      <c r="R608" s="30"/>
    </row>
    <row r="609" spans="18:18" ht="15.75" customHeight="1">
      <c r="R609" s="30"/>
    </row>
    <row r="610" spans="18:18" ht="15.75" customHeight="1">
      <c r="R610" s="30"/>
    </row>
    <row r="611" spans="18:18" ht="15.75" customHeight="1">
      <c r="R611" s="30"/>
    </row>
    <row r="612" spans="18:18" ht="15.75" customHeight="1">
      <c r="R612" s="30"/>
    </row>
    <row r="613" spans="18:18" ht="15.75" customHeight="1">
      <c r="R613" s="30"/>
    </row>
    <row r="614" spans="18:18" ht="15.75" customHeight="1">
      <c r="R614" s="30"/>
    </row>
    <row r="615" spans="18:18" ht="15.75" customHeight="1">
      <c r="R615" s="30"/>
    </row>
    <row r="616" spans="18:18" ht="15.75" customHeight="1">
      <c r="R616" s="30"/>
    </row>
    <row r="617" spans="18:18" ht="15.75" customHeight="1">
      <c r="R617" s="30"/>
    </row>
    <row r="618" spans="18:18" ht="15.75" customHeight="1">
      <c r="R618" s="30"/>
    </row>
    <row r="619" spans="18:18" ht="15.75" customHeight="1">
      <c r="R619" s="30"/>
    </row>
    <row r="620" spans="18:18" ht="15.75" customHeight="1">
      <c r="R620" s="30"/>
    </row>
    <row r="621" spans="18:18" ht="15.75" customHeight="1">
      <c r="R621" s="30"/>
    </row>
    <row r="622" spans="18:18" ht="15.75" customHeight="1">
      <c r="R622" s="30"/>
    </row>
    <row r="623" spans="18:18" ht="15.75" customHeight="1">
      <c r="R623" s="30"/>
    </row>
    <row r="624" spans="18:18" ht="15.75" customHeight="1">
      <c r="R624" s="30"/>
    </row>
    <row r="625" spans="18:18" ht="15.75" customHeight="1">
      <c r="R625" s="30"/>
    </row>
    <row r="626" spans="18:18" ht="15.75" customHeight="1">
      <c r="R626" s="30"/>
    </row>
    <row r="627" spans="18:18" ht="15.75" customHeight="1">
      <c r="R627" s="30"/>
    </row>
    <row r="628" spans="18:18" ht="15.75" customHeight="1">
      <c r="R628" s="30"/>
    </row>
    <row r="629" spans="18:18" ht="15.75" customHeight="1">
      <c r="R629" s="30"/>
    </row>
    <row r="630" spans="18:18" ht="15.75" customHeight="1">
      <c r="R630" s="30"/>
    </row>
    <row r="631" spans="18:18" ht="15.75" customHeight="1">
      <c r="R631" s="30"/>
    </row>
    <row r="632" spans="18:18" ht="15.75" customHeight="1">
      <c r="R632" s="30"/>
    </row>
    <row r="633" spans="18:18" ht="15.75" customHeight="1">
      <c r="R633" s="30"/>
    </row>
    <row r="634" spans="18:18" ht="15.75" customHeight="1">
      <c r="R634" s="30"/>
    </row>
    <row r="635" spans="18:18" ht="15.75" customHeight="1">
      <c r="R635" s="30"/>
    </row>
    <row r="636" spans="18:18" ht="15.75" customHeight="1">
      <c r="R636" s="30"/>
    </row>
    <row r="637" spans="18:18" ht="15.75" customHeight="1">
      <c r="R637" s="30"/>
    </row>
    <row r="638" spans="18:18" ht="15.75" customHeight="1">
      <c r="R638" s="30"/>
    </row>
    <row r="639" spans="18:18" ht="15.75" customHeight="1">
      <c r="R639" s="30"/>
    </row>
    <row r="640" spans="18:18" ht="15.75" customHeight="1">
      <c r="R640" s="30"/>
    </row>
    <row r="641" spans="18:18" ht="15.75" customHeight="1">
      <c r="R641" s="30"/>
    </row>
    <row r="642" spans="18:18" ht="15.75" customHeight="1">
      <c r="R642" s="30"/>
    </row>
    <row r="643" spans="18:18" ht="15.75" customHeight="1">
      <c r="R643" s="30"/>
    </row>
    <row r="644" spans="18:18" ht="15.75" customHeight="1">
      <c r="R644" s="30"/>
    </row>
    <row r="645" spans="18:18" ht="15.75" customHeight="1">
      <c r="R645" s="30"/>
    </row>
    <row r="646" spans="18:18" ht="15.75" customHeight="1">
      <c r="R646" s="30"/>
    </row>
    <row r="647" spans="18:18" ht="15.75" customHeight="1">
      <c r="R647" s="30"/>
    </row>
    <row r="648" spans="18:18" ht="15.75" customHeight="1">
      <c r="R648" s="30"/>
    </row>
    <row r="649" spans="18:18" ht="15.75" customHeight="1">
      <c r="R649" s="30"/>
    </row>
    <row r="650" spans="18:18" ht="15.75" customHeight="1">
      <c r="R650" s="30"/>
    </row>
    <row r="651" spans="18:18" ht="15.75" customHeight="1">
      <c r="R651" s="30"/>
    </row>
    <row r="652" spans="18:18" ht="15.75" customHeight="1">
      <c r="R652" s="30"/>
    </row>
    <row r="653" spans="18:18" ht="15.75" customHeight="1">
      <c r="R653" s="30"/>
    </row>
    <row r="654" spans="18:18" ht="15.75" customHeight="1">
      <c r="R654" s="30"/>
    </row>
    <row r="655" spans="18:18" ht="15.75" customHeight="1">
      <c r="R655" s="30"/>
    </row>
    <row r="656" spans="18:18" ht="15.75" customHeight="1">
      <c r="R656" s="30"/>
    </row>
    <row r="657" spans="18:18" ht="15.75" customHeight="1">
      <c r="R657" s="30"/>
    </row>
    <row r="658" spans="18:18" ht="15.75" customHeight="1">
      <c r="R658" s="30"/>
    </row>
    <row r="659" spans="18:18" ht="15.75" customHeight="1">
      <c r="R659" s="30"/>
    </row>
    <row r="660" spans="18:18" ht="15.75" customHeight="1">
      <c r="R660" s="30"/>
    </row>
    <row r="661" spans="18:18" ht="15.75" customHeight="1">
      <c r="R661" s="30"/>
    </row>
    <row r="662" spans="18:18" ht="15.75" customHeight="1">
      <c r="R662" s="30"/>
    </row>
    <row r="663" spans="18:18" ht="15.75" customHeight="1">
      <c r="R663" s="30"/>
    </row>
    <row r="664" spans="18:18" ht="15.75" customHeight="1">
      <c r="R664" s="30"/>
    </row>
    <row r="665" spans="18:18" ht="15.75" customHeight="1">
      <c r="R665" s="30"/>
    </row>
    <row r="666" spans="18:18" ht="15.75" customHeight="1">
      <c r="R666" s="30"/>
    </row>
    <row r="667" spans="18:18" ht="15.75" customHeight="1">
      <c r="R667" s="30"/>
    </row>
    <row r="668" spans="18:18" ht="15.75" customHeight="1">
      <c r="R668" s="30"/>
    </row>
    <row r="669" spans="18:18" ht="15.75" customHeight="1">
      <c r="R669" s="30"/>
    </row>
    <row r="670" spans="18:18" ht="15.75" customHeight="1">
      <c r="R670" s="30"/>
    </row>
    <row r="671" spans="18:18" ht="15.75" customHeight="1">
      <c r="R671" s="30"/>
    </row>
    <row r="672" spans="18:18" ht="15.75" customHeight="1">
      <c r="R672" s="30"/>
    </row>
    <row r="673" spans="18:18" ht="15.75" customHeight="1">
      <c r="R673" s="30"/>
    </row>
    <row r="674" spans="18:18" ht="15.75" customHeight="1">
      <c r="R674" s="30"/>
    </row>
    <row r="675" spans="18:18" ht="15.75" customHeight="1">
      <c r="R675" s="30"/>
    </row>
    <row r="676" spans="18:18" ht="15.75" customHeight="1">
      <c r="R676" s="30"/>
    </row>
    <row r="677" spans="18:18" ht="15.75" customHeight="1">
      <c r="R677" s="30"/>
    </row>
    <row r="678" spans="18:18" ht="15.75" customHeight="1">
      <c r="R678" s="30"/>
    </row>
    <row r="679" spans="18:18" ht="15.75" customHeight="1">
      <c r="R679" s="30"/>
    </row>
    <row r="680" spans="18:18" ht="15.75" customHeight="1">
      <c r="R680" s="30"/>
    </row>
    <row r="681" spans="18:18" ht="15.75" customHeight="1">
      <c r="R681" s="30"/>
    </row>
    <row r="682" spans="18:18" ht="15.75" customHeight="1">
      <c r="R682" s="30"/>
    </row>
    <row r="683" spans="18:18" ht="15.75" customHeight="1">
      <c r="R683" s="30"/>
    </row>
    <row r="684" spans="18:18" ht="15.75" customHeight="1">
      <c r="R684" s="30"/>
    </row>
    <row r="685" spans="18:18" ht="15.75" customHeight="1">
      <c r="R685" s="30"/>
    </row>
    <row r="686" spans="18:18" ht="15.75" customHeight="1">
      <c r="R686" s="30"/>
    </row>
    <row r="687" spans="18:18" ht="15.75" customHeight="1">
      <c r="R687" s="30"/>
    </row>
    <row r="688" spans="18:18" ht="15.75" customHeight="1">
      <c r="R688" s="30"/>
    </row>
    <row r="689" spans="18:18" ht="15.75" customHeight="1">
      <c r="R689" s="30"/>
    </row>
    <row r="690" spans="18:18" ht="15.75" customHeight="1">
      <c r="R690" s="30"/>
    </row>
    <row r="691" spans="18:18" ht="15.75" customHeight="1">
      <c r="R691" s="30"/>
    </row>
    <row r="692" spans="18:18" ht="15.75" customHeight="1">
      <c r="R692" s="30"/>
    </row>
    <row r="693" spans="18:18" ht="15.75" customHeight="1">
      <c r="R693" s="30"/>
    </row>
    <row r="694" spans="18:18" ht="15.75" customHeight="1">
      <c r="R694" s="30"/>
    </row>
    <row r="695" spans="18:18" ht="15.75" customHeight="1">
      <c r="R695" s="30"/>
    </row>
    <row r="696" spans="18:18" ht="15.75" customHeight="1">
      <c r="R696" s="30"/>
    </row>
    <row r="697" spans="18:18" ht="15.75" customHeight="1">
      <c r="R697" s="30"/>
    </row>
    <row r="698" spans="18:18" ht="15.75" customHeight="1">
      <c r="R698" s="30"/>
    </row>
    <row r="699" spans="18:18" ht="15.75" customHeight="1">
      <c r="R699" s="30"/>
    </row>
    <row r="700" spans="18:18" ht="15.75" customHeight="1">
      <c r="R700" s="30"/>
    </row>
    <row r="701" spans="18:18" ht="15.75" customHeight="1">
      <c r="R701" s="30"/>
    </row>
    <row r="702" spans="18:18" ht="15.75" customHeight="1">
      <c r="R702" s="30"/>
    </row>
    <row r="703" spans="18:18" ht="15.75" customHeight="1">
      <c r="R703" s="30"/>
    </row>
    <row r="704" spans="18:18" ht="15.75" customHeight="1">
      <c r="R704" s="30"/>
    </row>
    <row r="705" spans="18:18" ht="15.75" customHeight="1">
      <c r="R705" s="30"/>
    </row>
    <row r="706" spans="18:18" ht="15.75" customHeight="1">
      <c r="R706" s="30"/>
    </row>
    <row r="707" spans="18:18" ht="15.75" customHeight="1">
      <c r="R707" s="30"/>
    </row>
    <row r="708" spans="18:18" ht="15.75" customHeight="1">
      <c r="R708" s="30"/>
    </row>
    <row r="709" spans="18:18" ht="15.75" customHeight="1">
      <c r="R709" s="30"/>
    </row>
    <row r="710" spans="18:18" ht="15.75" customHeight="1">
      <c r="R710" s="30"/>
    </row>
    <row r="711" spans="18:18" ht="15.75" customHeight="1">
      <c r="R711" s="30"/>
    </row>
    <row r="712" spans="18:18" ht="15.75" customHeight="1">
      <c r="R712" s="30"/>
    </row>
    <row r="713" spans="18:18" ht="15.75" customHeight="1">
      <c r="R713" s="30"/>
    </row>
    <row r="714" spans="18:18" ht="15.75" customHeight="1">
      <c r="R714" s="30"/>
    </row>
    <row r="715" spans="18:18" ht="15.75" customHeight="1">
      <c r="R715" s="30"/>
    </row>
    <row r="716" spans="18:18" ht="15.75" customHeight="1">
      <c r="R716" s="30"/>
    </row>
    <row r="717" spans="18:18" ht="15.75" customHeight="1">
      <c r="R717" s="30"/>
    </row>
    <row r="718" spans="18:18" ht="15.75" customHeight="1">
      <c r="R718" s="30"/>
    </row>
    <row r="719" spans="18:18" ht="15.75" customHeight="1">
      <c r="R719" s="30"/>
    </row>
    <row r="720" spans="18:18" ht="15.75" customHeight="1">
      <c r="R720" s="30"/>
    </row>
    <row r="721" spans="18:18" ht="15.75" customHeight="1">
      <c r="R721" s="30"/>
    </row>
    <row r="722" spans="18:18" ht="15.75" customHeight="1">
      <c r="R722" s="30"/>
    </row>
    <row r="723" spans="18:18" ht="15.75" customHeight="1">
      <c r="R723" s="30"/>
    </row>
    <row r="724" spans="18:18" ht="15.75" customHeight="1">
      <c r="R724" s="30"/>
    </row>
    <row r="725" spans="18:18" ht="15.75" customHeight="1">
      <c r="R725" s="30"/>
    </row>
    <row r="726" spans="18:18" ht="15.75" customHeight="1">
      <c r="R726" s="30"/>
    </row>
    <row r="727" spans="18:18" ht="15.75" customHeight="1">
      <c r="R727" s="30"/>
    </row>
    <row r="728" spans="18:18" ht="15.75" customHeight="1">
      <c r="R728" s="30"/>
    </row>
    <row r="729" spans="18:18" ht="15.75" customHeight="1">
      <c r="R729" s="30"/>
    </row>
    <row r="730" spans="18:18" ht="15.75" customHeight="1">
      <c r="R730" s="30"/>
    </row>
    <row r="731" spans="18:18" ht="15.75" customHeight="1">
      <c r="R731" s="30"/>
    </row>
    <row r="732" spans="18:18" ht="15.75" customHeight="1">
      <c r="R732" s="30"/>
    </row>
    <row r="733" spans="18:18" ht="15.75" customHeight="1">
      <c r="R733" s="30"/>
    </row>
    <row r="734" spans="18:18" ht="15.75" customHeight="1">
      <c r="R734" s="30"/>
    </row>
    <row r="735" spans="18:18" ht="15.75" customHeight="1">
      <c r="R735" s="30"/>
    </row>
    <row r="736" spans="18:18" ht="15.75" customHeight="1">
      <c r="R736" s="30"/>
    </row>
    <row r="737" spans="18:18" ht="15.75" customHeight="1">
      <c r="R737" s="30"/>
    </row>
    <row r="738" spans="18:18" ht="15.75" customHeight="1">
      <c r="R738" s="30"/>
    </row>
    <row r="739" spans="18:18" ht="15.75" customHeight="1">
      <c r="R739" s="30"/>
    </row>
    <row r="740" spans="18:18" ht="15.75" customHeight="1">
      <c r="R740" s="30"/>
    </row>
    <row r="741" spans="18:18" ht="15.75" customHeight="1">
      <c r="R741" s="30"/>
    </row>
    <row r="742" spans="18:18" ht="15.75" customHeight="1">
      <c r="R742" s="30"/>
    </row>
    <row r="743" spans="18:18" ht="15.75" customHeight="1">
      <c r="R743" s="30"/>
    </row>
    <row r="744" spans="18:18" ht="15.75" customHeight="1">
      <c r="R744" s="30"/>
    </row>
    <row r="745" spans="18:18" ht="15.75" customHeight="1">
      <c r="R745" s="30"/>
    </row>
    <row r="746" spans="18:18" ht="15.75" customHeight="1">
      <c r="R746" s="30"/>
    </row>
    <row r="747" spans="18:18" ht="15.75" customHeight="1">
      <c r="R747" s="30"/>
    </row>
    <row r="748" spans="18:18" ht="15.75" customHeight="1">
      <c r="R748" s="30"/>
    </row>
    <row r="749" spans="18:18" ht="15.75" customHeight="1">
      <c r="R749" s="30"/>
    </row>
    <row r="750" spans="18:18" ht="15.75" customHeight="1">
      <c r="R750" s="30"/>
    </row>
    <row r="751" spans="18:18" ht="15.75" customHeight="1">
      <c r="R751" s="30"/>
    </row>
    <row r="752" spans="18:18" ht="15.75" customHeight="1">
      <c r="R752" s="30"/>
    </row>
    <row r="753" spans="18:18" ht="15.75" customHeight="1">
      <c r="R753" s="30"/>
    </row>
    <row r="754" spans="18:18" ht="15.75" customHeight="1">
      <c r="R754" s="30"/>
    </row>
    <row r="755" spans="18:18" ht="15.75" customHeight="1">
      <c r="R755" s="30"/>
    </row>
    <row r="756" spans="18:18" ht="15.75" customHeight="1">
      <c r="R756" s="30"/>
    </row>
    <row r="757" spans="18:18" ht="15.75" customHeight="1">
      <c r="R757" s="30"/>
    </row>
    <row r="758" spans="18:18" ht="15.75" customHeight="1">
      <c r="R758" s="30"/>
    </row>
    <row r="759" spans="18:18" ht="15.75" customHeight="1">
      <c r="R759" s="30"/>
    </row>
    <row r="760" spans="18:18" ht="15.75" customHeight="1">
      <c r="R760" s="30"/>
    </row>
    <row r="761" spans="18:18" ht="15.75" customHeight="1">
      <c r="R761" s="30"/>
    </row>
    <row r="762" spans="18:18" ht="15.75" customHeight="1">
      <c r="R762" s="30"/>
    </row>
    <row r="763" spans="18:18" ht="15.75" customHeight="1">
      <c r="R763" s="30"/>
    </row>
    <row r="764" spans="18:18" ht="15.75" customHeight="1">
      <c r="R764" s="30"/>
    </row>
    <row r="765" spans="18:18" ht="15.75" customHeight="1">
      <c r="R765" s="30"/>
    </row>
    <row r="766" spans="18:18" ht="15.75" customHeight="1">
      <c r="R766" s="30"/>
    </row>
    <row r="767" spans="18:18" ht="15.75" customHeight="1">
      <c r="R767" s="30"/>
    </row>
    <row r="768" spans="18:18" ht="15.75" customHeight="1">
      <c r="R768" s="30"/>
    </row>
    <row r="769" spans="18:18" ht="15.75" customHeight="1">
      <c r="R769" s="30"/>
    </row>
    <row r="770" spans="18:18" ht="15.75" customHeight="1">
      <c r="R770" s="30"/>
    </row>
    <row r="771" spans="18:18" ht="15.75" customHeight="1">
      <c r="R771" s="30"/>
    </row>
    <row r="772" spans="18:18" ht="15.75" customHeight="1">
      <c r="R772" s="30"/>
    </row>
    <row r="773" spans="18:18" ht="15.75" customHeight="1">
      <c r="R773" s="30"/>
    </row>
    <row r="774" spans="18:18" ht="15.75" customHeight="1">
      <c r="R774" s="30"/>
    </row>
    <row r="775" spans="18:18" ht="15.75" customHeight="1">
      <c r="R775" s="30"/>
    </row>
    <row r="776" spans="18:18" ht="15.75" customHeight="1">
      <c r="R776" s="30"/>
    </row>
    <row r="777" spans="18:18" ht="15.75" customHeight="1">
      <c r="R777" s="30"/>
    </row>
    <row r="778" spans="18:18" ht="15.75" customHeight="1">
      <c r="R778" s="30"/>
    </row>
    <row r="779" spans="18:18" ht="15.75" customHeight="1">
      <c r="R779" s="30"/>
    </row>
    <row r="780" spans="18:18" ht="15.75" customHeight="1">
      <c r="R780" s="30"/>
    </row>
    <row r="781" spans="18:18" ht="15.75" customHeight="1">
      <c r="R781" s="30"/>
    </row>
    <row r="782" spans="18:18" ht="15.75" customHeight="1">
      <c r="R782" s="30"/>
    </row>
    <row r="783" spans="18:18" ht="15.75" customHeight="1">
      <c r="R783" s="30"/>
    </row>
    <row r="784" spans="18:18" ht="15.75" customHeight="1">
      <c r="R784" s="30"/>
    </row>
    <row r="785" spans="18:18" ht="15.75" customHeight="1">
      <c r="R785" s="30"/>
    </row>
    <row r="786" spans="18:18" ht="15.75" customHeight="1">
      <c r="R786" s="30"/>
    </row>
    <row r="787" spans="18:18" ht="15.75" customHeight="1">
      <c r="R787" s="30"/>
    </row>
    <row r="788" spans="18:18" ht="15.75" customHeight="1">
      <c r="R788" s="30"/>
    </row>
    <row r="789" spans="18:18" ht="15.75" customHeight="1">
      <c r="R789" s="30"/>
    </row>
    <row r="790" spans="18:18" ht="15.75" customHeight="1">
      <c r="R790" s="30"/>
    </row>
    <row r="791" spans="18:18" ht="15.75" customHeight="1">
      <c r="R791" s="30"/>
    </row>
    <row r="792" spans="18:18" ht="15.75" customHeight="1">
      <c r="R792" s="30"/>
    </row>
    <row r="793" spans="18:18" ht="15.75" customHeight="1">
      <c r="R793" s="30"/>
    </row>
    <row r="794" spans="18:18" ht="15.75" customHeight="1">
      <c r="R794" s="30"/>
    </row>
    <row r="795" spans="18:18" ht="15.75" customHeight="1">
      <c r="R795" s="30"/>
    </row>
    <row r="796" spans="18:18" ht="15.75" customHeight="1">
      <c r="R796" s="30"/>
    </row>
    <row r="797" spans="18:18" ht="15.75" customHeight="1">
      <c r="R797" s="30"/>
    </row>
    <row r="798" spans="18:18" ht="15.75" customHeight="1">
      <c r="R798" s="30"/>
    </row>
    <row r="799" spans="18:18" ht="15.75" customHeight="1">
      <c r="R799" s="30"/>
    </row>
    <row r="800" spans="18:18" ht="15.75" customHeight="1">
      <c r="R800" s="30"/>
    </row>
    <row r="801" spans="18:18" ht="15.75" customHeight="1">
      <c r="R801" s="30"/>
    </row>
    <row r="802" spans="18:18" ht="15.75" customHeight="1">
      <c r="R802" s="30"/>
    </row>
    <row r="803" spans="18:18" ht="15.75" customHeight="1">
      <c r="R803" s="30"/>
    </row>
    <row r="804" spans="18:18" ht="15.75" customHeight="1">
      <c r="R804" s="30"/>
    </row>
    <row r="805" spans="18:18" ht="15.75" customHeight="1">
      <c r="R805" s="30"/>
    </row>
    <row r="806" spans="18:18" ht="15.75" customHeight="1">
      <c r="R806" s="30"/>
    </row>
    <row r="807" spans="18:18" ht="15.75" customHeight="1">
      <c r="R807" s="30"/>
    </row>
    <row r="808" spans="18:18" ht="15.75" customHeight="1">
      <c r="R808" s="30"/>
    </row>
    <row r="809" spans="18:18" ht="15.75" customHeight="1">
      <c r="R809" s="30"/>
    </row>
    <row r="810" spans="18:18" ht="15.75" customHeight="1">
      <c r="R810" s="30"/>
    </row>
    <row r="811" spans="18:18" ht="15.75" customHeight="1">
      <c r="R811" s="30"/>
    </row>
    <row r="812" spans="18:18" ht="15.75" customHeight="1">
      <c r="R812" s="30"/>
    </row>
    <row r="813" spans="18:18" ht="15.75" customHeight="1">
      <c r="R813" s="30"/>
    </row>
    <row r="814" spans="18:18" ht="15.75" customHeight="1">
      <c r="R814" s="30"/>
    </row>
    <row r="815" spans="18:18" ht="15.75" customHeight="1">
      <c r="R815" s="30"/>
    </row>
    <row r="816" spans="18:18" ht="15.75" customHeight="1">
      <c r="R816" s="30"/>
    </row>
    <row r="817" spans="18:18" ht="15.75" customHeight="1">
      <c r="R817" s="30"/>
    </row>
    <row r="818" spans="18:18" ht="15.75" customHeight="1">
      <c r="R818" s="30"/>
    </row>
    <row r="819" spans="18:18" ht="15.75" customHeight="1">
      <c r="R819" s="30"/>
    </row>
    <row r="820" spans="18:18" ht="15.75" customHeight="1">
      <c r="R820" s="30"/>
    </row>
    <row r="821" spans="18:18" ht="15.75" customHeight="1">
      <c r="R821" s="30"/>
    </row>
    <row r="822" spans="18:18" ht="15.75" customHeight="1">
      <c r="R822" s="30"/>
    </row>
    <row r="823" spans="18:18" ht="15.75" customHeight="1">
      <c r="R823" s="30"/>
    </row>
    <row r="824" spans="18:18" ht="15.75" customHeight="1">
      <c r="R824" s="30"/>
    </row>
    <row r="825" spans="18:18" ht="15.75" customHeight="1">
      <c r="R825" s="30"/>
    </row>
    <row r="826" spans="18:18" ht="15.75" customHeight="1">
      <c r="R826" s="30"/>
    </row>
    <row r="827" spans="18:18" ht="15.75" customHeight="1">
      <c r="R827" s="30"/>
    </row>
    <row r="828" spans="18:18" ht="15.75" customHeight="1">
      <c r="R828" s="30"/>
    </row>
    <row r="829" spans="18:18" ht="15.75" customHeight="1">
      <c r="R829" s="30"/>
    </row>
    <row r="830" spans="18:18" ht="15.75" customHeight="1">
      <c r="R830" s="30"/>
    </row>
    <row r="831" spans="18:18" ht="15.75" customHeight="1">
      <c r="R831" s="30"/>
    </row>
    <row r="832" spans="18:18" ht="15.75" customHeight="1">
      <c r="R832" s="30"/>
    </row>
    <row r="833" spans="18:18" ht="15.75" customHeight="1">
      <c r="R833" s="30"/>
    </row>
    <row r="834" spans="18:18" ht="15.75" customHeight="1">
      <c r="R834" s="30"/>
    </row>
    <row r="835" spans="18:18" ht="15.75" customHeight="1">
      <c r="R835" s="30"/>
    </row>
    <row r="836" spans="18:18" ht="15.75" customHeight="1">
      <c r="R836" s="30"/>
    </row>
    <row r="837" spans="18:18" ht="15.75" customHeight="1">
      <c r="R837" s="30"/>
    </row>
    <row r="838" spans="18:18" ht="15.75" customHeight="1">
      <c r="R838" s="30"/>
    </row>
    <row r="839" spans="18:18" ht="15.75" customHeight="1">
      <c r="R839" s="30"/>
    </row>
    <row r="840" spans="18:18" ht="15.75" customHeight="1">
      <c r="R840" s="30"/>
    </row>
    <row r="841" spans="18:18" ht="15.75" customHeight="1">
      <c r="R841" s="30"/>
    </row>
    <row r="842" spans="18:18" ht="15.75" customHeight="1">
      <c r="R842" s="30"/>
    </row>
    <row r="843" spans="18:18" ht="15.75" customHeight="1">
      <c r="R843" s="30"/>
    </row>
    <row r="844" spans="18:18" ht="15.75" customHeight="1">
      <c r="R844" s="30"/>
    </row>
    <row r="845" spans="18:18" ht="15.75" customHeight="1">
      <c r="R845" s="30"/>
    </row>
    <row r="846" spans="18:18" ht="15.75" customHeight="1">
      <c r="R846" s="30"/>
    </row>
    <row r="847" spans="18:18" ht="15.75" customHeight="1">
      <c r="R847" s="30"/>
    </row>
    <row r="848" spans="18:18" ht="15.75" customHeight="1">
      <c r="R848" s="30"/>
    </row>
    <row r="849" spans="18:18" ht="15.75" customHeight="1">
      <c r="R849" s="30"/>
    </row>
    <row r="850" spans="18:18" ht="15.75" customHeight="1">
      <c r="R850" s="30"/>
    </row>
    <row r="851" spans="18:18" ht="15.75" customHeight="1">
      <c r="R851" s="30"/>
    </row>
    <row r="852" spans="18:18" ht="15.75" customHeight="1">
      <c r="R852" s="30"/>
    </row>
    <row r="853" spans="18:18" ht="15.75" customHeight="1">
      <c r="R853" s="30"/>
    </row>
    <row r="854" spans="18:18" ht="15.75" customHeight="1">
      <c r="R854" s="30"/>
    </row>
    <row r="855" spans="18:18" ht="15.75" customHeight="1">
      <c r="R855" s="30"/>
    </row>
    <row r="856" spans="18:18" ht="15.75" customHeight="1">
      <c r="R856" s="30"/>
    </row>
    <row r="857" spans="18:18" ht="15.75" customHeight="1">
      <c r="R857" s="30"/>
    </row>
    <row r="858" spans="18:18" ht="15.75" customHeight="1">
      <c r="R858" s="30"/>
    </row>
    <row r="859" spans="18:18" ht="15.75" customHeight="1">
      <c r="R859" s="30"/>
    </row>
    <row r="860" spans="18:18" ht="15.75" customHeight="1">
      <c r="R860" s="30"/>
    </row>
    <row r="861" spans="18:18" ht="15.75" customHeight="1">
      <c r="R861" s="30"/>
    </row>
    <row r="862" spans="18:18" ht="15.75" customHeight="1">
      <c r="R862" s="30"/>
    </row>
    <row r="863" spans="18:18" ht="15.75" customHeight="1">
      <c r="R863" s="30"/>
    </row>
    <row r="864" spans="18:18" ht="15.75" customHeight="1">
      <c r="R864" s="30"/>
    </row>
    <row r="865" spans="18:18" ht="15.75" customHeight="1">
      <c r="R865" s="30"/>
    </row>
    <row r="866" spans="18:18" ht="15.75" customHeight="1">
      <c r="R866" s="30"/>
    </row>
    <row r="867" spans="18:18" ht="15.75" customHeight="1">
      <c r="R867" s="30"/>
    </row>
    <row r="868" spans="18:18" ht="15.75" customHeight="1">
      <c r="R868" s="30"/>
    </row>
    <row r="869" spans="18:18" ht="15.75" customHeight="1">
      <c r="R869" s="30"/>
    </row>
    <row r="870" spans="18:18" ht="15.75" customHeight="1">
      <c r="R870" s="30"/>
    </row>
    <row r="871" spans="18:18" ht="15.75" customHeight="1">
      <c r="R871" s="30"/>
    </row>
    <row r="872" spans="18:18" ht="15.75" customHeight="1">
      <c r="R872" s="30"/>
    </row>
    <row r="873" spans="18:18" ht="15.75" customHeight="1">
      <c r="R873" s="30"/>
    </row>
    <row r="874" spans="18:18" ht="15.75" customHeight="1">
      <c r="R874" s="30"/>
    </row>
    <row r="875" spans="18:18" ht="15.75" customHeight="1">
      <c r="R875" s="30"/>
    </row>
    <row r="876" spans="18:18" ht="15.75" customHeight="1">
      <c r="R876" s="30"/>
    </row>
    <row r="877" spans="18:18" ht="15.75" customHeight="1">
      <c r="R877" s="30"/>
    </row>
    <row r="878" spans="18:18" ht="15.75" customHeight="1">
      <c r="R878" s="30"/>
    </row>
    <row r="879" spans="18:18" ht="15.75" customHeight="1">
      <c r="R879" s="30"/>
    </row>
    <row r="880" spans="18:18" ht="15.75" customHeight="1">
      <c r="R880" s="30"/>
    </row>
    <row r="881" spans="18:18" ht="15.75" customHeight="1">
      <c r="R881" s="30"/>
    </row>
    <row r="882" spans="18:18" ht="15.75" customHeight="1">
      <c r="R882" s="30"/>
    </row>
    <row r="883" spans="18:18" ht="15.75" customHeight="1">
      <c r="R883" s="30"/>
    </row>
    <row r="884" spans="18:18" ht="15.75" customHeight="1">
      <c r="R884" s="30"/>
    </row>
    <row r="885" spans="18:18" ht="15.75" customHeight="1">
      <c r="R885" s="30"/>
    </row>
    <row r="886" spans="18:18" ht="15.75" customHeight="1">
      <c r="R886" s="30"/>
    </row>
    <row r="887" spans="18:18" ht="15.75" customHeight="1">
      <c r="R887" s="30"/>
    </row>
    <row r="888" spans="18:18" ht="15.75" customHeight="1">
      <c r="R888" s="30"/>
    </row>
    <row r="889" spans="18:18" ht="15.75" customHeight="1">
      <c r="R889" s="30"/>
    </row>
    <row r="890" spans="18:18" ht="15.75" customHeight="1">
      <c r="R890" s="30"/>
    </row>
    <row r="891" spans="18:18" ht="15.75" customHeight="1">
      <c r="R891" s="30"/>
    </row>
    <row r="892" spans="18:18" ht="15.75" customHeight="1">
      <c r="R892" s="30"/>
    </row>
    <row r="893" spans="18:18" ht="15.75" customHeight="1">
      <c r="R893" s="30"/>
    </row>
    <row r="894" spans="18:18" ht="15.75" customHeight="1">
      <c r="R894" s="30"/>
    </row>
    <row r="895" spans="18:18" ht="15.75" customHeight="1">
      <c r="R895" s="30"/>
    </row>
    <row r="896" spans="18:18" ht="15.75" customHeight="1">
      <c r="R896" s="30"/>
    </row>
    <row r="897" spans="18:18" ht="15.75" customHeight="1">
      <c r="R897" s="30"/>
    </row>
    <row r="898" spans="18:18" ht="15.75" customHeight="1">
      <c r="R898" s="30"/>
    </row>
    <row r="899" spans="18:18" ht="15.75" customHeight="1">
      <c r="R899" s="30"/>
    </row>
    <row r="900" spans="18:18" ht="15.75" customHeight="1">
      <c r="R900" s="30"/>
    </row>
    <row r="901" spans="18:18" ht="15.75" customHeight="1">
      <c r="R901" s="30"/>
    </row>
    <row r="902" spans="18:18" ht="15.75" customHeight="1">
      <c r="R902" s="30"/>
    </row>
    <row r="903" spans="18:18" ht="15.75" customHeight="1">
      <c r="R903" s="30"/>
    </row>
    <row r="904" spans="18:18" ht="15.75" customHeight="1">
      <c r="R904" s="30"/>
    </row>
    <row r="905" spans="18:18" ht="15.75" customHeight="1">
      <c r="R905" s="30"/>
    </row>
    <row r="906" spans="18:18" ht="15.75" customHeight="1">
      <c r="R906" s="30"/>
    </row>
    <row r="907" spans="18:18" ht="15.75" customHeight="1">
      <c r="R907" s="30"/>
    </row>
    <row r="908" spans="18:18" ht="15.75" customHeight="1">
      <c r="R908" s="30"/>
    </row>
    <row r="909" spans="18:18" ht="15.75" customHeight="1">
      <c r="R909" s="30"/>
    </row>
    <row r="910" spans="18:18" ht="15.75" customHeight="1">
      <c r="R910" s="30"/>
    </row>
    <row r="911" spans="18:18" ht="15.75" customHeight="1">
      <c r="R911" s="30"/>
    </row>
    <row r="912" spans="18:18" ht="15.75" customHeight="1">
      <c r="R912" s="30"/>
    </row>
    <row r="913" spans="18:18" ht="15.75" customHeight="1">
      <c r="R913" s="30"/>
    </row>
    <row r="914" spans="18:18" ht="15.75" customHeight="1">
      <c r="R914" s="30"/>
    </row>
    <row r="915" spans="18:18" ht="15.75" customHeight="1">
      <c r="R915" s="30"/>
    </row>
    <row r="916" spans="18:18" ht="15.75" customHeight="1">
      <c r="R916" s="30"/>
    </row>
    <row r="917" spans="18:18" ht="15.75" customHeight="1">
      <c r="R917" s="30"/>
    </row>
    <row r="918" spans="18:18" ht="15.75" customHeight="1">
      <c r="R918" s="30"/>
    </row>
    <row r="919" spans="18:18" ht="15.75" customHeight="1">
      <c r="R919" s="30"/>
    </row>
    <row r="920" spans="18:18" ht="15.75" customHeight="1">
      <c r="R920" s="30"/>
    </row>
    <row r="921" spans="18:18" ht="15.75" customHeight="1">
      <c r="R921" s="30"/>
    </row>
    <row r="922" spans="18:18" ht="15.75" customHeight="1">
      <c r="R922" s="30"/>
    </row>
    <row r="923" spans="18:18" ht="15.75" customHeight="1">
      <c r="R923" s="30"/>
    </row>
    <row r="924" spans="18:18" ht="15.75" customHeight="1">
      <c r="R924" s="30"/>
    </row>
    <row r="925" spans="18:18" ht="15.75" customHeight="1">
      <c r="R925" s="30"/>
    </row>
    <row r="926" spans="18:18" ht="15.75" customHeight="1">
      <c r="R926" s="30"/>
    </row>
    <row r="927" spans="18:18" ht="15.75" customHeight="1">
      <c r="R927" s="30"/>
    </row>
    <row r="928" spans="18:18" ht="15.75" customHeight="1">
      <c r="R928" s="30"/>
    </row>
    <row r="929" spans="18:18" ht="15.75" customHeight="1">
      <c r="R929" s="30"/>
    </row>
    <row r="930" spans="18:18" ht="15.75" customHeight="1">
      <c r="R930" s="30"/>
    </row>
    <row r="931" spans="18:18" ht="15.75" customHeight="1">
      <c r="R931" s="30"/>
    </row>
    <row r="932" spans="18:18" ht="15.75" customHeight="1">
      <c r="R932" s="30"/>
    </row>
    <row r="933" spans="18:18" ht="15.75" customHeight="1">
      <c r="R933" s="30"/>
    </row>
    <row r="934" spans="18:18" ht="15.75" customHeight="1">
      <c r="R934" s="30"/>
    </row>
    <row r="935" spans="18:18" ht="15.75" customHeight="1">
      <c r="R935" s="30"/>
    </row>
    <row r="936" spans="18:18" ht="15.75" customHeight="1">
      <c r="R936" s="30"/>
    </row>
    <row r="937" spans="18:18" ht="15.75" customHeight="1">
      <c r="R937" s="30"/>
    </row>
    <row r="938" spans="18:18" ht="15.75" customHeight="1">
      <c r="R938" s="30"/>
    </row>
    <row r="939" spans="18:18" ht="15.75" customHeight="1">
      <c r="R939" s="30"/>
    </row>
    <row r="940" spans="18:18" ht="15.75" customHeight="1">
      <c r="R940" s="30"/>
    </row>
    <row r="941" spans="18:18" ht="15.75" customHeight="1">
      <c r="R941" s="30"/>
    </row>
    <row r="942" spans="18:18" ht="15.75" customHeight="1">
      <c r="R942" s="30"/>
    </row>
    <row r="943" spans="18:18" ht="15.75" customHeight="1">
      <c r="R943" s="30"/>
    </row>
    <row r="944" spans="18:18" ht="15.75" customHeight="1">
      <c r="R944" s="30"/>
    </row>
    <row r="945" spans="18:18" ht="15.75" customHeight="1">
      <c r="R945" s="30"/>
    </row>
    <row r="946" spans="18:18" ht="15.75" customHeight="1">
      <c r="R946" s="30"/>
    </row>
    <row r="947" spans="18:18" ht="15.75" customHeight="1">
      <c r="R947" s="30"/>
    </row>
    <row r="948" spans="18:18" ht="15.75" customHeight="1">
      <c r="R948" s="30"/>
    </row>
    <row r="949" spans="18:18" ht="15.75" customHeight="1">
      <c r="R949" s="30"/>
    </row>
    <row r="950" spans="18:18" ht="15.75" customHeight="1">
      <c r="R950" s="30"/>
    </row>
    <row r="951" spans="18:18" ht="15.75" customHeight="1">
      <c r="R951" s="30"/>
    </row>
    <row r="952" spans="18:18" ht="15.75" customHeight="1">
      <c r="R952" s="30"/>
    </row>
    <row r="953" spans="18:18" ht="15.75" customHeight="1">
      <c r="R953" s="30"/>
    </row>
    <row r="954" spans="18:18" ht="15.75" customHeight="1">
      <c r="R954" s="30"/>
    </row>
    <row r="955" spans="18:18" ht="15.75" customHeight="1">
      <c r="R955" s="30"/>
    </row>
    <row r="956" spans="18:18" ht="15.75" customHeight="1">
      <c r="R956" s="30"/>
    </row>
    <row r="957" spans="18:18" ht="15.75" customHeight="1">
      <c r="R957" s="30"/>
    </row>
    <row r="958" spans="18:18" ht="15.75" customHeight="1">
      <c r="R958" s="30"/>
    </row>
    <row r="959" spans="18:18" ht="15.75" customHeight="1">
      <c r="R959" s="30"/>
    </row>
    <row r="960" spans="18:18" ht="15.75" customHeight="1">
      <c r="R960" s="30"/>
    </row>
    <row r="961" spans="18:18" ht="15.75" customHeight="1">
      <c r="R961" s="30"/>
    </row>
    <row r="962" spans="18:18" ht="15.75" customHeight="1">
      <c r="R962" s="30"/>
    </row>
    <row r="963" spans="18:18" ht="15.75" customHeight="1">
      <c r="R963" s="30"/>
    </row>
    <row r="964" spans="18:18" ht="15.75" customHeight="1">
      <c r="R964" s="30"/>
    </row>
    <row r="965" spans="18:18" ht="15.75" customHeight="1">
      <c r="R965" s="30"/>
    </row>
    <row r="966" spans="18:18" ht="15.75" customHeight="1">
      <c r="R966" s="30"/>
    </row>
    <row r="967" spans="18:18" ht="15.75" customHeight="1">
      <c r="R967" s="30"/>
    </row>
    <row r="968" spans="18:18" ht="15.75" customHeight="1">
      <c r="R968" s="30"/>
    </row>
    <row r="969" spans="18:18" ht="15.75" customHeight="1">
      <c r="R969" s="30"/>
    </row>
    <row r="970" spans="18:18" ht="15.75" customHeight="1">
      <c r="R970" s="30"/>
    </row>
    <row r="971" spans="18:18" ht="15.75" customHeight="1">
      <c r="R971" s="30"/>
    </row>
    <row r="972" spans="18:18" ht="15.75" customHeight="1">
      <c r="R972" s="30"/>
    </row>
    <row r="973" spans="18:18" ht="15.75" customHeight="1">
      <c r="R973" s="30"/>
    </row>
    <row r="974" spans="18:18" ht="15.75" customHeight="1">
      <c r="R974" s="30"/>
    </row>
    <row r="975" spans="18:18" ht="15.75" customHeight="1">
      <c r="R975" s="30"/>
    </row>
    <row r="976" spans="18:18" ht="15.75" customHeight="1">
      <c r="R976" s="30"/>
    </row>
    <row r="977" spans="18:18" ht="15.75" customHeight="1">
      <c r="R977" s="30"/>
    </row>
    <row r="978" spans="18:18" ht="15.75" customHeight="1">
      <c r="R978" s="30"/>
    </row>
    <row r="979" spans="18:18" ht="15.75" customHeight="1">
      <c r="R979" s="30"/>
    </row>
    <row r="980" spans="18:18" ht="15.75" customHeight="1">
      <c r="R980" s="30"/>
    </row>
    <row r="981" spans="18:18" ht="15.75" customHeight="1">
      <c r="R981" s="30"/>
    </row>
    <row r="982" spans="18:18" ht="15.75" customHeight="1">
      <c r="R982" s="30"/>
    </row>
    <row r="983" spans="18:18" ht="15.75" customHeight="1">
      <c r="R983" s="30"/>
    </row>
    <row r="984" spans="18:18" ht="15.75" customHeight="1">
      <c r="R984" s="30"/>
    </row>
    <row r="985" spans="18:18" ht="15.75" customHeight="1">
      <c r="R985" s="30"/>
    </row>
    <row r="986" spans="18:18" ht="15.75" customHeight="1">
      <c r="R986" s="30"/>
    </row>
    <row r="987" spans="18:18" ht="15.75" customHeight="1">
      <c r="R987" s="30"/>
    </row>
    <row r="988" spans="18:18" ht="15.75" customHeight="1">
      <c r="R988" s="30"/>
    </row>
    <row r="989" spans="18:18" ht="15.75" customHeight="1">
      <c r="R989" s="30"/>
    </row>
    <row r="990" spans="18:18" ht="15.75" customHeight="1">
      <c r="R990" s="30"/>
    </row>
    <row r="991" spans="18:18" ht="15.75" customHeight="1">
      <c r="R991" s="30"/>
    </row>
    <row r="992" spans="18:18" ht="15.75" customHeight="1">
      <c r="R992" s="30"/>
    </row>
    <row r="993" spans="18:18" ht="15.75" customHeight="1">
      <c r="R993" s="30"/>
    </row>
    <row r="994" spans="18:18" ht="15.75" customHeight="1">
      <c r="R994" s="30"/>
    </row>
    <row r="995" spans="18:18" ht="15.75" customHeight="1">
      <c r="R995" s="30"/>
    </row>
    <row r="996" spans="18:18" ht="15.75" customHeight="1">
      <c r="R996" s="30"/>
    </row>
    <row r="997" spans="18:18" ht="15.75" customHeight="1">
      <c r="R997" s="30"/>
    </row>
    <row r="998" spans="18:18" ht="15.75" customHeight="1">
      <c r="R998" s="30"/>
    </row>
    <row r="999" spans="18:18" ht="15.75" customHeight="1">
      <c r="R999" s="30"/>
    </row>
    <row r="1000" spans="18:18" ht="15.75" customHeight="1">
      <c r="R1000" s="3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2.6640625" defaultRowHeight="15" customHeight="1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8.6640625" customWidth="1"/>
    <col min="6" max="6" width="9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16.33203125" customWidth="1"/>
    <col min="16" max="16" width="10" customWidth="1"/>
    <col min="17" max="18" width="7.33203125" customWidth="1"/>
    <col min="19" max="19" width="7.1640625" customWidth="1"/>
    <col min="20" max="20" width="15.83203125" customWidth="1"/>
    <col min="21" max="21" width="18" customWidth="1"/>
    <col min="22" max="22" width="86.3320312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6640625" customWidth="1"/>
    <col min="32" max="32" width="10.1640625" customWidth="1"/>
    <col min="33" max="33" width="8.83203125" customWidth="1"/>
  </cols>
  <sheetData>
    <row r="1" spans="1:33" ht="18.75" customHeight="1">
      <c r="A1" s="46" t="str">
        <f ca="1">IFERROR(__xludf.DUMMYFUNCTION("IFERROR(VLOOKUP(B2,IMPORTRANGE(""https://docs.google.com/spreadsheets/d/1x0DhHglkXKoEBOD2MBsuK_EyIr1ouxD2ftIpqOYFa-k/edit?usp=sharing"",""Ubiquitty-SKU-Specific Info!B1:BJ5000""),3,FALSE),"""")"),"Yellow Extension Cord - 14/3 Gauge, 25ft")</f>
        <v>Yellow Extension Cord - 14/3 Gauge, 25ft</v>
      </c>
      <c r="B1" s="47"/>
      <c r="C1" s="48" t="s">
        <v>0</v>
      </c>
      <c r="D1" s="50" t="s">
        <v>1</v>
      </c>
      <c r="E1" s="50" t="s">
        <v>2</v>
      </c>
      <c r="F1" s="52" t="s">
        <v>3</v>
      </c>
      <c r="G1" s="52" t="s">
        <v>4</v>
      </c>
      <c r="H1" s="53" t="s">
        <v>5</v>
      </c>
      <c r="I1" s="57" t="s">
        <v>6</v>
      </c>
      <c r="J1" s="57" t="s">
        <v>7</v>
      </c>
      <c r="K1" s="57" t="s">
        <v>8</v>
      </c>
      <c r="L1" s="57" t="s">
        <v>9</v>
      </c>
      <c r="M1" s="58" t="s">
        <v>10</v>
      </c>
      <c r="N1" s="59" t="s">
        <v>11</v>
      </c>
      <c r="O1" s="50" t="s">
        <v>12</v>
      </c>
      <c r="P1" s="50" t="s">
        <v>13</v>
      </c>
      <c r="Q1" s="57" t="s">
        <v>14</v>
      </c>
      <c r="R1" s="57" t="s">
        <v>15</v>
      </c>
      <c r="S1" s="60" t="s">
        <v>16</v>
      </c>
      <c r="T1" s="62" t="s">
        <v>2006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Info!B1:BJ5000""),2,FALSE),"""")"),"B073ZMYFRB")</f>
        <v>B073ZMYFRB</v>
      </c>
      <c r="B2" s="3" t="s">
        <v>1973</v>
      </c>
      <c r="C2" s="49"/>
      <c r="D2" s="49"/>
      <c r="E2" s="51"/>
      <c r="F2" s="49"/>
      <c r="G2" s="49"/>
      <c r="H2" s="54"/>
      <c r="I2" s="49"/>
      <c r="J2" s="49"/>
      <c r="K2" s="54"/>
      <c r="L2" s="54"/>
      <c r="M2" s="54"/>
      <c r="N2" s="49"/>
      <c r="O2" s="49"/>
      <c r="P2" s="51"/>
      <c r="Q2" s="49"/>
      <c r="R2" s="49"/>
      <c r="S2" s="61"/>
      <c r="T2" s="47"/>
      <c r="U2" s="63"/>
      <c r="V2" s="63"/>
      <c r="W2" s="47"/>
      <c r="X2" s="47"/>
      <c r="Y2" s="47"/>
      <c r="Z2" s="47"/>
      <c r="AA2" s="63"/>
      <c r="AB2" s="63"/>
      <c r="AC2" s="63"/>
      <c r="AD2" s="63"/>
      <c r="AE2" s="47"/>
      <c r="AF2" s="47"/>
      <c r="AG2" s="47"/>
    </row>
    <row r="3" spans="1:33" ht="127.5" customHeight="1">
      <c r="A3" s="55" t="s">
        <v>31</v>
      </c>
      <c r="B3" s="56"/>
      <c r="C3" s="4">
        <f>((AE32+AF32)/0.85)*-1</f>
        <v>14.679398114117635</v>
      </c>
      <c r="D3" s="5">
        <f>SUM(D4:D99765)</f>
        <v>1405</v>
      </c>
      <c r="E3" s="5"/>
      <c r="F3" s="6">
        <f t="shared" ref="F3:G3" si="0">SUM(F4:F99765)</f>
        <v>31012.199999999997</v>
      </c>
      <c r="G3" s="6">
        <f t="shared" si="0"/>
        <v>-233.58999999999997</v>
      </c>
      <c r="H3" s="7">
        <f t="shared" ref="H3:H32" si="1">G3/F3*-1</f>
        <v>7.5321970063394403E-3</v>
      </c>
      <c r="I3" s="8">
        <f t="shared" ref="I3:I32" si="2">J3/F3</f>
        <v>0.29517135029891578</v>
      </c>
      <c r="J3" s="6">
        <f>SUM(J4:J99765)</f>
        <v>9153.9129497400354</v>
      </c>
      <c r="K3" s="6">
        <f t="shared" ref="K3:K32" si="3">J3/D3</f>
        <v>6.5152405336228014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Sheet!a1:g5000""),2,FALSE),"""")"),"11 - March
4 - April
7 - May
11.5 - June
13.5 - July
12 - Aug
9 - Sept
8.5 - Oct
8.5 - Nov
8 - Dec
10 - Jan
11 - Feb")</f>
        <v>11 - March
4 - April
7 - May
11.5 - June
13.5 - July
12 - Aug
9 - Sept
8.5 - Oct
8.5 - Nov
8 - Dec
10 - Jan
11 -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QTY-3")</f>
        <v>Del QTY-3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QTY-312")</f>
        <v>US QTY-312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108</v>
      </c>
      <c r="X3" s="7">
        <f>W3/D3</f>
        <v>7.6868327402135228E-2</v>
      </c>
      <c r="Y3" s="6"/>
      <c r="Z3" s="5"/>
      <c r="AA3" s="5"/>
      <c r="AB3" s="5"/>
      <c r="AC3" s="5"/>
      <c r="AD3" s="6">
        <f>SUM(AD4:AD99765)</f>
        <v>-150.0880287110129</v>
      </c>
      <c r="AE3" s="6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Info!B2:BZ3000""),37,FALSE)),"""")*-1"),-6.79748839699999)</f>
        <v>-6.7974883969999897</v>
      </c>
      <c r="AG3" s="6">
        <f>SUM(AG4:AG99765)</f>
        <v>0</v>
      </c>
    </row>
    <row r="4" spans="1:33" ht="15.75" customHeight="1">
      <c r="A4" s="14" t="s">
        <v>181</v>
      </c>
      <c r="B4" s="14" t="s">
        <v>1974</v>
      </c>
      <c r="C4" s="15">
        <f t="shared" ref="C4:C32" si="4">IFERROR(F4/D4," - ")</f>
        <v>21.099841269841274</v>
      </c>
      <c r="D4" s="16">
        <v>63</v>
      </c>
      <c r="E4" s="16">
        <v>2</v>
      </c>
      <c r="F4" s="17">
        <v>1329.2900000000002</v>
      </c>
      <c r="G4" s="17">
        <v>-0.08</v>
      </c>
      <c r="H4" s="18">
        <f t="shared" si="1"/>
        <v>6.0182503441686906E-5</v>
      </c>
      <c r="I4" s="18">
        <f t="shared" si="2"/>
        <v>0.31316835825675027</v>
      </c>
      <c r="J4" s="17">
        <f t="shared" ref="J4:J32" si="5">F4*0.85+G4+AF4*D4+D4*AE4+AG4+AD4</f>
        <v>416.2915669471156</v>
      </c>
      <c r="K4" s="17">
        <f t="shared" si="3"/>
        <v>6.6078026499542162</v>
      </c>
      <c r="L4" s="16">
        <v>71</v>
      </c>
      <c r="M4" s="19">
        <f t="shared" ref="M4:M32" si="6">IFERROR(D4/L4,"-")</f>
        <v>0.88732394366197187</v>
      </c>
      <c r="N4" s="16">
        <v>181</v>
      </c>
      <c r="O4" s="20">
        <f t="shared" ref="O4:P4" si="7">D4/7</f>
        <v>9</v>
      </c>
      <c r="P4" s="20">
        <f t="shared" si="7"/>
        <v>0.2857142857142857</v>
      </c>
      <c r="Q4" s="16">
        <f t="shared" ref="Q4:Q32" si="8">ROUNDDOWN(N4/(O4+P4),0)</f>
        <v>19</v>
      </c>
      <c r="R4" s="16"/>
      <c r="S4" s="21">
        <v>3.4838709677419302</v>
      </c>
      <c r="T4" s="14" t="s">
        <v>34</v>
      </c>
      <c r="U4" s="22" t="s">
        <v>34</v>
      </c>
      <c r="V4" s="23" t="s">
        <v>34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26" t="s">
        <v>35</v>
      </c>
      <c r="AB4" s="27">
        <f t="shared" ref="AB4:AB32" si="11">IF(OR(AA4="UsLargeStandardSize",AA4="UsSmallStandardSize"),-0.69,-0.48)</f>
        <v>-0.69</v>
      </c>
      <c r="AC4" s="28">
        <v>7.7404513888888887E-2</v>
      </c>
      <c r="AD4" s="25">
        <f t="shared" ref="AD4:AD32" si="12">IFERROR(AB4*AC4*D4*2,0)</f>
        <v>-6.7295484374999992</v>
      </c>
      <c r="AE4" s="25">
        <v>-5.42</v>
      </c>
      <c r="AF4" s="25">
        <v>-5.798974358974359</v>
      </c>
      <c r="AG4" s="25">
        <v>0</v>
      </c>
    </row>
    <row r="5" spans="1:33" ht="15.75" customHeight="1">
      <c r="A5" s="14" t="s">
        <v>183</v>
      </c>
      <c r="B5" s="14" t="s">
        <v>1975</v>
      </c>
      <c r="C5" s="15">
        <f t="shared" si="4"/>
        <v>24.387058823529429</v>
      </c>
      <c r="D5" s="16">
        <v>68</v>
      </c>
      <c r="E5" s="16">
        <v>0</v>
      </c>
      <c r="F5" s="29">
        <v>1658.3200000000011</v>
      </c>
      <c r="G5" s="29">
        <v>0</v>
      </c>
      <c r="H5" s="18">
        <f t="shared" si="1"/>
        <v>0</v>
      </c>
      <c r="I5" s="18">
        <f t="shared" si="2"/>
        <v>0.38557678088340275</v>
      </c>
      <c r="J5" s="17">
        <f t="shared" si="5"/>
        <v>639.40968727456482</v>
      </c>
      <c r="K5" s="17">
        <f t="shared" si="3"/>
        <v>9.4030836363906598</v>
      </c>
      <c r="L5" s="16">
        <v>91</v>
      </c>
      <c r="M5" s="19">
        <f t="shared" si="6"/>
        <v>0.74725274725274726</v>
      </c>
      <c r="N5" s="16">
        <v>216</v>
      </c>
      <c r="O5" s="20">
        <f t="shared" ref="O5:P5" si="13">D5/7</f>
        <v>9.7142857142857135</v>
      </c>
      <c r="P5" s="20">
        <f t="shared" si="13"/>
        <v>0</v>
      </c>
      <c r="Q5" s="16">
        <f t="shared" si="8"/>
        <v>22</v>
      </c>
      <c r="R5" s="16"/>
      <c r="S5" s="21">
        <v>4.4571428571428502</v>
      </c>
      <c r="T5" s="14" t="s">
        <v>34</v>
      </c>
      <c r="U5" s="22" t="s">
        <v>34</v>
      </c>
      <c r="V5" s="23" t="s">
        <v>34</v>
      </c>
      <c r="W5" s="14">
        <v>0</v>
      </c>
      <c r="X5" s="24">
        <f t="shared" si="9"/>
        <v>0</v>
      </c>
      <c r="Y5" s="25">
        <f t="shared" si="10"/>
        <v>0</v>
      </c>
      <c r="Z5" s="14">
        <v>0</v>
      </c>
      <c r="AA5" s="14" t="s">
        <v>35</v>
      </c>
      <c r="AB5" s="27">
        <f t="shared" si="11"/>
        <v>-0.69</v>
      </c>
      <c r="AC5" s="28">
        <v>7.7494206257242182E-2</v>
      </c>
      <c r="AD5" s="25">
        <f t="shared" si="12"/>
        <v>-7.272056315179606</v>
      </c>
      <c r="AE5" s="25">
        <v>-5.42</v>
      </c>
      <c r="AF5" s="25">
        <v>-5.798974358974359</v>
      </c>
      <c r="AG5" s="25">
        <v>0</v>
      </c>
    </row>
    <row r="6" spans="1:33" ht="15.75" customHeight="1">
      <c r="A6" s="14" t="s">
        <v>185</v>
      </c>
      <c r="B6" s="14" t="s">
        <v>918</v>
      </c>
      <c r="C6" s="15">
        <f t="shared" si="4"/>
        <v>26.423157894736843</v>
      </c>
      <c r="D6" s="16">
        <v>38</v>
      </c>
      <c r="E6" s="16">
        <v>0</v>
      </c>
      <c r="F6" s="29">
        <v>1004.08</v>
      </c>
      <c r="G6" s="29">
        <v>-0.02</v>
      </c>
      <c r="H6" s="18">
        <f t="shared" si="1"/>
        <v>1.9918731575173292E-5</v>
      </c>
      <c r="I6" s="18">
        <f t="shared" si="2"/>
        <v>0.42134877863381498</v>
      </c>
      <c r="J6" s="17">
        <f t="shared" si="5"/>
        <v>423.06788165064097</v>
      </c>
      <c r="K6" s="17">
        <f t="shared" si="3"/>
        <v>11.133365306595815</v>
      </c>
      <c r="L6" s="16">
        <v>74</v>
      </c>
      <c r="M6" s="19">
        <f t="shared" si="6"/>
        <v>0.51351351351351349</v>
      </c>
      <c r="N6" s="16">
        <v>188</v>
      </c>
      <c r="O6" s="20">
        <f t="shared" ref="O6:P6" si="14">D6/7</f>
        <v>5.4285714285714288</v>
      </c>
      <c r="P6" s="20">
        <f t="shared" si="14"/>
        <v>0</v>
      </c>
      <c r="Q6" s="16">
        <f t="shared" si="8"/>
        <v>34</v>
      </c>
      <c r="R6" s="16"/>
      <c r="S6" s="21">
        <v>3.9854809437386498</v>
      </c>
      <c r="T6" s="14">
        <v>1524</v>
      </c>
      <c r="U6" s="22">
        <v>120</v>
      </c>
      <c r="V6" s="23" t="s">
        <v>1976</v>
      </c>
      <c r="W6" s="14">
        <v>0</v>
      </c>
      <c r="X6" s="24">
        <f t="shared" si="9"/>
        <v>0</v>
      </c>
      <c r="Y6" s="25">
        <f t="shared" si="10"/>
        <v>0</v>
      </c>
      <c r="Z6" s="14">
        <v>0</v>
      </c>
      <c r="AA6" s="14" t="s">
        <v>35</v>
      </c>
      <c r="AB6" s="27">
        <f t="shared" si="11"/>
        <v>-0.69</v>
      </c>
      <c r="AC6" s="28">
        <v>7.7404513888888887E-2</v>
      </c>
      <c r="AD6" s="25">
        <f t="shared" si="12"/>
        <v>-4.059092708333333</v>
      </c>
      <c r="AE6" s="25">
        <v>-5.42</v>
      </c>
      <c r="AF6" s="25">
        <v>-5.798974358974359</v>
      </c>
      <c r="AG6" s="25">
        <v>0</v>
      </c>
    </row>
    <row r="7" spans="1:33" ht="15.75" customHeight="1">
      <c r="A7" s="14" t="s">
        <v>187</v>
      </c>
      <c r="B7" s="14" t="s">
        <v>1977</v>
      </c>
      <c r="C7" s="15">
        <f t="shared" si="4"/>
        <v>26.017526881720421</v>
      </c>
      <c r="D7" s="16">
        <v>93</v>
      </c>
      <c r="E7" s="16">
        <v>0</v>
      </c>
      <c r="F7" s="29">
        <v>2419.6299999999992</v>
      </c>
      <c r="G7" s="29">
        <v>-0.05</v>
      </c>
      <c r="H7" s="18">
        <f t="shared" si="1"/>
        <v>2.066431644507632E-5</v>
      </c>
      <c r="I7" s="18">
        <f t="shared" si="2"/>
        <v>0.41466537830283312</v>
      </c>
      <c r="J7" s="17">
        <f t="shared" si="5"/>
        <v>1003.3367893028837</v>
      </c>
      <c r="K7" s="17">
        <f t="shared" si="3"/>
        <v>10.788567626912728</v>
      </c>
      <c r="L7" s="16">
        <v>77</v>
      </c>
      <c r="M7" s="19">
        <f t="shared" si="6"/>
        <v>1.2077922077922079</v>
      </c>
      <c r="N7" s="16">
        <v>142</v>
      </c>
      <c r="O7" s="20">
        <f t="shared" ref="O7:P7" si="15">D7/7</f>
        <v>13.285714285714286</v>
      </c>
      <c r="P7" s="20">
        <f t="shared" si="15"/>
        <v>0</v>
      </c>
      <c r="Q7" s="16">
        <f t="shared" si="8"/>
        <v>10</v>
      </c>
      <c r="R7" s="16"/>
      <c r="S7" s="21">
        <v>3.4227405247813398</v>
      </c>
      <c r="T7" s="14">
        <v>2412</v>
      </c>
      <c r="U7" s="22">
        <v>120</v>
      </c>
      <c r="V7" s="23" t="s">
        <v>1978</v>
      </c>
      <c r="W7" s="14">
        <v>0</v>
      </c>
      <c r="X7" s="24">
        <f t="shared" si="9"/>
        <v>0</v>
      </c>
      <c r="Y7" s="25">
        <f t="shared" si="10"/>
        <v>0</v>
      </c>
      <c r="Z7" s="14">
        <v>0</v>
      </c>
      <c r="AA7" s="14" t="s">
        <v>35</v>
      </c>
      <c r="AB7" s="27">
        <f t="shared" si="11"/>
        <v>-0.69</v>
      </c>
      <c r="AC7" s="28">
        <v>7.7404513888888887E-2</v>
      </c>
      <c r="AD7" s="25">
        <f t="shared" si="12"/>
        <v>-9.9340953124999984</v>
      </c>
      <c r="AE7" s="25">
        <v>-5.42</v>
      </c>
      <c r="AF7" s="25">
        <v>-5.798974358974359</v>
      </c>
      <c r="AG7" s="25">
        <v>0</v>
      </c>
    </row>
    <row r="8" spans="1:33" ht="15.75" customHeight="1">
      <c r="A8" s="14" t="s">
        <v>189</v>
      </c>
      <c r="B8" s="14" t="s">
        <v>1979</v>
      </c>
      <c r="C8" s="15">
        <f t="shared" si="4"/>
        <v>29.193783783783786</v>
      </c>
      <c r="D8" s="16">
        <v>37</v>
      </c>
      <c r="E8" s="16">
        <v>0</v>
      </c>
      <c r="F8" s="29">
        <v>1080.17</v>
      </c>
      <c r="G8" s="29">
        <v>0</v>
      </c>
      <c r="H8" s="18">
        <f t="shared" si="1"/>
        <v>0</v>
      </c>
      <c r="I8" s="18">
        <f t="shared" si="2"/>
        <v>0.4620126697842315</v>
      </c>
      <c r="J8" s="17">
        <f t="shared" si="5"/>
        <v>499.05222552083336</v>
      </c>
      <c r="K8" s="17">
        <f t="shared" si="3"/>
        <v>13.48789798704955</v>
      </c>
      <c r="L8" s="16">
        <v>54</v>
      </c>
      <c r="M8" s="19">
        <f t="shared" si="6"/>
        <v>0.68518518518518523</v>
      </c>
      <c r="N8" s="16">
        <v>199</v>
      </c>
      <c r="O8" s="20">
        <f t="shared" ref="O8:P8" si="16">D8/7</f>
        <v>5.2857142857142856</v>
      </c>
      <c r="P8" s="20">
        <f t="shared" si="16"/>
        <v>0</v>
      </c>
      <c r="Q8" s="16">
        <f t="shared" si="8"/>
        <v>37</v>
      </c>
      <c r="R8" s="16"/>
      <c r="S8" s="21">
        <v>3.7478005865102602</v>
      </c>
      <c r="T8" s="14">
        <v>3072</v>
      </c>
      <c r="U8" s="22">
        <v>120</v>
      </c>
      <c r="V8" s="23" t="s">
        <v>1980</v>
      </c>
      <c r="W8" s="14">
        <v>0</v>
      </c>
      <c r="X8" s="24">
        <f t="shared" si="9"/>
        <v>0</v>
      </c>
      <c r="Y8" s="25">
        <f t="shared" si="10"/>
        <v>0</v>
      </c>
      <c r="Z8" s="14">
        <v>0</v>
      </c>
      <c r="AA8" s="14" t="s">
        <v>35</v>
      </c>
      <c r="AB8" s="27">
        <f t="shared" si="11"/>
        <v>-0.69</v>
      </c>
      <c r="AC8" s="28">
        <v>7.7404513888888887E-2</v>
      </c>
      <c r="AD8" s="25">
        <f t="shared" si="12"/>
        <v>-3.952274479166666</v>
      </c>
      <c r="AE8" s="25">
        <v>-5.42</v>
      </c>
      <c r="AF8" s="25">
        <v>-5.8</v>
      </c>
      <c r="AG8" s="25">
        <v>0</v>
      </c>
    </row>
    <row r="9" spans="1:33" ht="15.75" customHeight="1">
      <c r="A9" s="14" t="s">
        <v>191</v>
      </c>
      <c r="B9" s="14" t="s">
        <v>1304</v>
      </c>
      <c r="C9" s="15">
        <f t="shared" si="4"/>
        <v>26.984687500000003</v>
      </c>
      <c r="D9" s="16">
        <v>32</v>
      </c>
      <c r="E9" s="16">
        <v>2</v>
      </c>
      <c r="F9" s="29">
        <v>863.5100000000001</v>
      </c>
      <c r="G9" s="29">
        <v>0</v>
      </c>
      <c r="H9" s="18">
        <f t="shared" si="1"/>
        <v>0</v>
      </c>
      <c r="I9" s="18">
        <f t="shared" si="2"/>
        <v>0.42613576699036054</v>
      </c>
      <c r="J9" s="17">
        <f t="shared" si="5"/>
        <v>367.97249615384629</v>
      </c>
      <c r="K9" s="17">
        <f t="shared" si="3"/>
        <v>11.499140504807697</v>
      </c>
      <c r="L9" s="16">
        <v>67</v>
      </c>
      <c r="M9" s="19">
        <f t="shared" si="6"/>
        <v>0.47761194029850745</v>
      </c>
      <c r="N9" s="16">
        <v>163</v>
      </c>
      <c r="O9" s="20">
        <f t="shared" ref="O9:P9" si="17">D9/7</f>
        <v>4.5714285714285712</v>
      </c>
      <c r="P9" s="20">
        <f t="shared" si="17"/>
        <v>0.2857142857142857</v>
      </c>
      <c r="Q9" s="16">
        <f t="shared" si="8"/>
        <v>33</v>
      </c>
      <c r="R9" s="16"/>
      <c r="S9" s="21">
        <v>4.0064308681672003</v>
      </c>
      <c r="T9" s="14">
        <v>3072</v>
      </c>
      <c r="U9" s="22">
        <v>120</v>
      </c>
      <c r="V9" s="23" t="s">
        <v>1981</v>
      </c>
      <c r="W9" s="14">
        <v>0</v>
      </c>
      <c r="X9" s="24">
        <f t="shared" si="9"/>
        <v>0</v>
      </c>
      <c r="Y9" s="25">
        <f t="shared" si="10"/>
        <v>0</v>
      </c>
      <c r="Z9" s="14">
        <v>0</v>
      </c>
      <c r="AA9" s="14" t="s">
        <v>35</v>
      </c>
      <c r="AB9" s="27">
        <f t="shared" si="11"/>
        <v>-0.69</v>
      </c>
      <c r="AC9" s="28">
        <v>7.7404513888888887E-2</v>
      </c>
      <c r="AD9" s="25">
        <f t="shared" si="12"/>
        <v>-3.4181833333333329</v>
      </c>
      <c r="AE9" s="25">
        <v>-5.42</v>
      </c>
      <c r="AF9" s="25">
        <v>-5.9110256410256401</v>
      </c>
      <c r="AG9" s="25">
        <v>0</v>
      </c>
    </row>
    <row r="10" spans="1:33" ht="15.75" customHeight="1">
      <c r="A10" s="14" t="s">
        <v>192</v>
      </c>
      <c r="B10" s="14" t="s">
        <v>1982</v>
      </c>
      <c r="C10" s="15">
        <f t="shared" si="4"/>
        <v>25.300217391304361</v>
      </c>
      <c r="D10" s="16">
        <v>46</v>
      </c>
      <c r="E10" s="16">
        <v>1</v>
      </c>
      <c r="F10" s="29">
        <v>1163.8100000000006</v>
      </c>
      <c r="G10" s="29">
        <v>0</v>
      </c>
      <c r="H10" s="18">
        <f t="shared" si="1"/>
        <v>0</v>
      </c>
      <c r="I10" s="18">
        <f t="shared" si="2"/>
        <v>0.39791519403610054</v>
      </c>
      <c r="J10" s="17">
        <f t="shared" si="5"/>
        <v>463.09768197115443</v>
      </c>
      <c r="K10" s="17">
        <f t="shared" si="3"/>
        <v>10.0673409124164</v>
      </c>
      <c r="L10" s="16">
        <v>86</v>
      </c>
      <c r="M10" s="19">
        <f t="shared" si="6"/>
        <v>0.53488372093023251</v>
      </c>
      <c r="N10" s="16">
        <v>125</v>
      </c>
      <c r="O10" s="20">
        <f t="shared" ref="O10:P10" si="18">D10/7</f>
        <v>6.5714285714285712</v>
      </c>
      <c r="P10" s="20">
        <f t="shared" si="18"/>
        <v>0.14285714285714285</v>
      </c>
      <c r="Q10" s="16">
        <f t="shared" si="8"/>
        <v>18</v>
      </c>
      <c r="R10" s="16"/>
      <c r="S10" s="21">
        <v>3.84233576642335</v>
      </c>
      <c r="T10" s="14">
        <v>2064</v>
      </c>
      <c r="U10" s="22">
        <v>660</v>
      </c>
      <c r="V10" s="23" t="s">
        <v>1983</v>
      </c>
      <c r="W10" s="14">
        <v>0</v>
      </c>
      <c r="X10" s="24">
        <f t="shared" si="9"/>
        <v>0</v>
      </c>
      <c r="Y10" s="25">
        <f t="shared" si="10"/>
        <v>0</v>
      </c>
      <c r="Z10" s="14">
        <v>0</v>
      </c>
      <c r="AA10" s="14" t="s">
        <v>35</v>
      </c>
      <c r="AB10" s="27">
        <f t="shared" si="11"/>
        <v>-0.69</v>
      </c>
      <c r="AC10" s="28">
        <v>7.7404513888888887E-2</v>
      </c>
      <c r="AD10" s="25">
        <f t="shared" si="12"/>
        <v>-4.9136385416666659</v>
      </c>
      <c r="AE10" s="25">
        <v>-5.42</v>
      </c>
      <c r="AF10" s="25">
        <v>-5.9110256410256401</v>
      </c>
      <c r="AG10" s="25">
        <v>0</v>
      </c>
    </row>
    <row r="11" spans="1:33" ht="15.75" customHeight="1">
      <c r="A11" s="14" t="s">
        <v>193</v>
      </c>
      <c r="B11" s="14" t="s">
        <v>68</v>
      </c>
      <c r="C11" s="15">
        <f t="shared" si="4"/>
        <v>25.490769230769235</v>
      </c>
      <c r="D11" s="16">
        <v>26</v>
      </c>
      <c r="E11" s="16">
        <v>0</v>
      </c>
      <c r="F11" s="29">
        <v>662.7600000000001</v>
      </c>
      <c r="G11" s="29">
        <v>-0.1</v>
      </c>
      <c r="H11" s="18">
        <f t="shared" si="1"/>
        <v>1.5088418130243224E-4</v>
      </c>
      <c r="I11" s="18">
        <f t="shared" si="2"/>
        <v>0.40114379168175529</v>
      </c>
      <c r="J11" s="17">
        <f t="shared" si="5"/>
        <v>265.86205937500017</v>
      </c>
      <c r="K11" s="17">
        <f t="shared" si="3"/>
        <v>10.22546382211539</v>
      </c>
      <c r="L11" s="16">
        <v>73</v>
      </c>
      <c r="M11" s="19">
        <f t="shared" si="6"/>
        <v>0.35616438356164382</v>
      </c>
      <c r="N11" s="16">
        <v>89</v>
      </c>
      <c r="O11" s="20">
        <f t="shared" ref="O11:P11" si="19">D11/7</f>
        <v>3.7142857142857144</v>
      </c>
      <c r="P11" s="20">
        <f t="shared" si="19"/>
        <v>0</v>
      </c>
      <c r="Q11" s="16">
        <f t="shared" si="8"/>
        <v>23</v>
      </c>
      <c r="R11" s="16"/>
      <c r="S11" s="21">
        <v>3.9577677224736001</v>
      </c>
      <c r="T11" s="14">
        <v>2783</v>
      </c>
      <c r="U11" s="22">
        <v>660</v>
      </c>
      <c r="V11" s="23" t="s">
        <v>1984</v>
      </c>
      <c r="W11" s="14">
        <v>0</v>
      </c>
      <c r="X11" s="24">
        <f t="shared" si="9"/>
        <v>0</v>
      </c>
      <c r="Y11" s="25">
        <f t="shared" si="10"/>
        <v>0</v>
      </c>
      <c r="Z11" s="14">
        <v>0</v>
      </c>
      <c r="AA11" s="14" t="s">
        <v>35</v>
      </c>
      <c r="AB11" s="27">
        <f t="shared" si="11"/>
        <v>-0.69</v>
      </c>
      <c r="AC11" s="28">
        <v>7.7404513888888887E-2</v>
      </c>
      <c r="AD11" s="25">
        <f t="shared" si="12"/>
        <v>-2.7772739583333328</v>
      </c>
      <c r="AE11" s="25">
        <v>-5.42</v>
      </c>
      <c r="AF11" s="25">
        <v>-5.9110256410256401</v>
      </c>
      <c r="AG11" s="25">
        <v>0</v>
      </c>
    </row>
    <row r="12" spans="1:33" ht="15.75" customHeight="1">
      <c r="A12" s="14" t="s">
        <v>195</v>
      </c>
      <c r="B12" s="14" t="s">
        <v>1985</v>
      </c>
      <c r="C12" s="15">
        <f t="shared" si="4"/>
        <v>26.052307692307693</v>
      </c>
      <c r="D12" s="16">
        <v>39</v>
      </c>
      <c r="E12" s="16">
        <v>1</v>
      </c>
      <c r="F12" s="29">
        <v>1016.0400000000001</v>
      </c>
      <c r="G12" s="29">
        <v>0</v>
      </c>
      <c r="H12" s="18">
        <f t="shared" si="1"/>
        <v>0</v>
      </c>
      <c r="I12" s="18">
        <f t="shared" si="2"/>
        <v>0.41096619135319479</v>
      </c>
      <c r="J12" s="17">
        <f t="shared" si="5"/>
        <v>417.55808906250007</v>
      </c>
      <c r="K12" s="17">
        <f t="shared" si="3"/>
        <v>10.706617668269233</v>
      </c>
      <c r="L12" s="16">
        <v>71</v>
      </c>
      <c r="M12" s="19">
        <f t="shared" si="6"/>
        <v>0.54929577464788737</v>
      </c>
      <c r="N12" s="16">
        <v>49</v>
      </c>
      <c r="O12" s="20">
        <f t="shared" ref="O12:P12" si="20">D12/7</f>
        <v>5.5714285714285712</v>
      </c>
      <c r="P12" s="20">
        <f t="shared" si="20"/>
        <v>0.14285714285714285</v>
      </c>
      <c r="Q12" s="16">
        <f t="shared" si="8"/>
        <v>8</v>
      </c>
      <c r="R12" s="16"/>
      <c r="S12" s="21">
        <v>5.6277056277056197</v>
      </c>
      <c r="T12" s="14">
        <v>2304</v>
      </c>
      <c r="U12" s="22">
        <v>660</v>
      </c>
      <c r="V12" s="23" t="s">
        <v>1986</v>
      </c>
      <c r="W12" s="14">
        <v>0</v>
      </c>
      <c r="X12" s="24">
        <f t="shared" si="9"/>
        <v>0</v>
      </c>
      <c r="Y12" s="25">
        <f t="shared" si="10"/>
        <v>0</v>
      </c>
      <c r="Z12" s="14">
        <v>0</v>
      </c>
      <c r="AA12" s="14" t="s">
        <v>35</v>
      </c>
      <c r="AB12" s="27">
        <f t="shared" si="11"/>
        <v>-0.69</v>
      </c>
      <c r="AC12" s="28">
        <v>7.7404513888888887E-2</v>
      </c>
      <c r="AD12" s="25">
        <f t="shared" si="12"/>
        <v>-4.1659109374999996</v>
      </c>
      <c r="AE12" s="25">
        <v>-5.42</v>
      </c>
      <c r="AF12" s="25">
        <v>-5.9110256410256401</v>
      </c>
      <c r="AG12" s="25">
        <v>0</v>
      </c>
    </row>
    <row r="13" spans="1:33" ht="15.75" customHeight="1">
      <c r="A13" s="14" t="s">
        <v>197</v>
      </c>
      <c r="B13" s="14" t="s">
        <v>1987</v>
      </c>
      <c r="C13" s="15">
        <f t="shared" si="4"/>
        <v>28.607241379310349</v>
      </c>
      <c r="D13" s="16">
        <v>29</v>
      </c>
      <c r="E13" s="16">
        <v>0</v>
      </c>
      <c r="F13" s="17">
        <v>829.61000000000013</v>
      </c>
      <c r="G13" s="29">
        <v>-0.08</v>
      </c>
      <c r="H13" s="18">
        <f t="shared" si="1"/>
        <v>9.6430853051433796E-5</v>
      </c>
      <c r="I13" s="18">
        <f t="shared" si="2"/>
        <v>0.44801867305621518</v>
      </c>
      <c r="J13" s="17">
        <f t="shared" si="5"/>
        <v>371.68077135416672</v>
      </c>
      <c r="K13" s="17">
        <f t="shared" si="3"/>
        <v>12.816578322557474</v>
      </c>
      <c r="L13" s="16">
        <v>37</v>
      </c>
      <c r="M13" s="19">
        <f t="shared" si="6"/>
        <v>0.78378378378378377</v>
      </c>
      <c r="N13" s="16">
        <v>22</v>
      </c>
      <c r="O13" s="20">
        <f t="shared" ref="O13:P13" si="21">D13/7</f>
        <v>4.1428571428571432</v>
      </c>
      <c r="P13" s="20">
        <f t="shared" si="21"/>
        <v>0</v>
      </c>
      <c r="Q13" s="16">
        <f t="shared" si="8"/>
        <v>5</v>
      </c>
      <c r="R13" s="16"/>
      <c r="S13" s="21">
        <v>4.7622789783889896</v>
      </c>
      <c r="T13" s="14">
        <v>2064</v>
      </c>
      <c r="U13" s="22">
        <v>660</v>
      </c>
      <c r="V13" s="23" t="s">
        <v>1988</v>
      </c>
      <c r="W13" s="14">
        <v>0</v>
      </c>
      <c r="X13" s="24">
        <f t="shared" si="9"/>
        <v>0</v>
      </c>
      <c r="Y13" s="25">
        <f t="shared" si="10"/>
        <v>0</v>
      </c>
      <c r="Z13" s="14">
        <v>0</v>
      </c>
      <c r="AA13" s="14" t="s">
        <v>35</v>
      </c>
      <c r="AB13" s="27">
        <f t="shared" si="11"/>
        <v>-0.69</v>
      </c>
      <c r="AC13" s="28">
        <v>7.7404513888888887E-2</v>
      </c>
      <c r="AD13" s="25">
        <f t="shared" si="12"/>
        <v>-3.0977286458333331</v>
      </c>
      <c r="AE13" s="25">
        <v>-5.42</v>
      </c>
      <c r="AF13" s="25">
        <v>-5.97</v>
      </c>
      <c r="AG13" s="25">
        <v>0</v>
      </c>
    </row>
    <row r="14" spans="1:33" ht="15.75" customHeight="1">
      <c r="A14" s="14" t="s">
        <v>32</v>
      </c>
      <c r="B14" s="14" t="s">
        <v>120</v>
      </c>
      <c r="C14" s="15">
        <f t="shared" si="4"/>
        <v>24.003999999999998</v>
      </c>
      <c r="D14" s="16">
        <v>5</v>
      </c>
      <c r="E14" s="16">
        <v>0</v>
      </c>
      <c r="F14" s="17">
        <v>120.02</v>
      </c>
      <c r="G14" s="29">
        <v>0</v>
      </c>
      <c r="H14" s="18">
        <f t="shared" si="1"/>
        <v>0</v>
      </c>
      <c r="I14" s="18">
        <f t="shared" si="2"/>
        <v>0.37104573282925069</v>
      </c>
      <c r="J14" s="17">
        <f t="shared" si="5"/>
        <v>44.532908854166664</v>
      </c>
      <c r="K14" s="17">
        <f t="shared" si="3"/>
        <v>8.9065817708333324</v>
      </c>
      <c r="L14" s="16">
        <v>42</v>
      </c>
      <c r="M14" s="19">
        <f t="shared" si="6"/>
        <v>0.11904761904761904</v>
      </c>
      <c r="N14" s="16">
        <v>16</v>
      </c>
      <c r="O14" s="20">
        <f t="shared" ref="O14:P14" si="22">D14/7</f>
        <v>0.7142857142857143</v>
      </c>
      <c r="P14" s="20">
        <f t="shared" si="22"/>
        <v>0</v>
      </c>
      <c r="Q14" s="16">
        <f t="shared" si="8"/>
        <v>22</v>
      </c>
      <c r="R14" s="16"/>
      <c r="S14" s="21">
        <v>4.5833333333333304</v>
      </c>
      <c r="T14" s="14">
        <v>1404</v>
      </c>
      <c r="U14" s="22">
        <v>660</v>
      </c>
      <c r="V14" s="23" t="s">
        <v>1988</v>
      </c>
      <c r="W14" s="14">
        <v>0</v>
      </c>
      <c r="X14" s="24">
        <f t="shared" si="9"/>
        <v>0</v>
      </c>
      <c r="Y14" s="25">
        <f t="shared" si="10"/>
        <v>0</v>
      </c>
      <c r="Z14" s="14">
        <v>0</v>
      </c>
      <c r="AA14" s="14" t="s">
        <v>35</v>
      </c>
      <c r="AB14" s="27">
        <f t="shared" si="11"/>
        <v>-0.69</v>
      </c>
      <c r="AC14" s="28">
        <v>7.7404513888888887E-2</v>
      </c>
      <c r="AD14" s="25">
        <f t="shared" si="12"/>
        <v>-0.53409114583333328</v>
      </c>
      <c r="AE14" s="25">
        <v>-5.42</v>
      </c>
      <c r="AF14" s="25">
        <v>-5.97</v>
      </c>
      <c r="AG14" s="25">
        <v>0</v>
      </c>
    </row>
    <row r="15" spans="1:33" ht="15.75" customHeight="1">
      <c r="A15" s="14" t="s">
        <v>36</v>
      </c>
      <c r="B15" s="14" t="s">
        <v>214</v>
      </c>
      <c r="C15" s="15">
        <f t="shared" si="4"/>
        <v>30.30142857142857</v>
      </c>
      <c r="D15" s="16">
        <v>7</v>
      </c>
      <c r="E15" s="16">
        <v>0</v>
      </c>
      <c r="F15" s="17">
        <v>212.10999999999999</v>
      </c>
      <c r="G15" s="29">
        <v>0</v>
      </c>
      <c r="H15" s="18">
        <f t="shared" si="1"/>
        <v>0</v>
      </c>
      <c r="I15" s="18">
        <f t="shared" si="2"/>
        <v>0.45243398423380959</v>
      </c>
      <c r="J15" s="17">
        <f t="shared" si="5"/>
        <v>95.965772395833341</v>
      </c>
      <c r="K15" s="17">
        <f t="shared" si="3"/>
        <v>13.70939605654762</v>
      </c>
      <c r="L15" s="16">
        <v>26</v>
      </c>
      <c r="M15" s="19">
        <f t="shared" si="6"/>
        <v>0.26923076923076922</v>
      </c>
      <c r="N15" s="16">
        <v>13</v>
      </c>
      <c r="O15" s="20">
        <f t="shared" ref="O15:P15" si="23">D15/7</f>
        <v>1</v>
      </c>
      <c r="P15" s="20">
        <f t="shared" si="23"/>
        <v>0</v>
      </c>
      <c r="Q15" s="16">
        <f t="shared" si="8"/>
        <v>13</v>
      </c>
      <c r="R15" s="16"/>
      <c r="S15" s="21">
        <v>4.1904761904761898</v>
      </c>
      <c r="T15" s="14">
        <v>1404</v>
      </c>
      <c r="U15" s="22">
        <v>660</v>
      </c>
      <c r="V15" s="23" t="s">
        <v>1989</v>
      </c>
      <c r="W15" s="14">
        <v>0</v>
      </c>
      <c r="X15" s="24">
        <f t="shared" si="9"/>
        <v>0</v>
      </c>
      <c r="Y15" s="25">
        <f t="shared" si="10"/>
        <v>0</v>
      </c>
      <c r="Z15" s="14">
        <v>0</v>
      </c>
      <c r="AA15" s="14" t="s">
        <v>35</v>
      </c>
      <c r="AB15" s="27">
        <f t="shared" si="11"/>
        <v>-0.69</v>
      </c>
      <c r="AC15" s="28">
        <v>7.7404513888888887E-2</v>
      </c>
      <c r="AD15" s="25">
        <f t="shared" si="12"/>
        <v>-0.74772760416666662</v>
      </c>
      <c r="AE15" s="25">
        <v>-5.42</v>
      </c>
      <c r="AF15" s="25">
        <v>-6.52</v>
      </c>
      <c r="AG15" s="25">
        <v>0</v>
      </c>
    </row>
    <row r="16" spans="1:33" ht="15.75" customHeight="1">
      <c r="A16" s="14" t="s">
        <v>38</v>
      </c>
      <c r="B16" s="14" t="s">
        <v>45</v>
      </c>
      <c r="C16" s="15">
        <f t="shared" si="4"/>
        <v>30.616666666666664</v>
      </c>
      <c r="D16" s="16">
        <v>12</v>
      </c>
      <c r="E16" s="16">
        <v>0</v>
      </c>
      <c r="F16" s="17">
        <v>367.4</v>
      </c>
      <c r="G16" s="29">
        <v>0</v>
      </c>
      <c r="H16" s="18">
        <f t="shared" si="1"/>
        <v>0</v>
      </c>
      <c r="I16" s="18">
        <f t="shared" si="2"/>
        <v>0.45652743943930313</v>
      </c>
      <c r="J16" s="17">
        <f t="shared" si="5"/>
        <v>167.72818124999995</v>
      </c>
      <c r="K16" s="17">
        <f t="shared" si="3"/>
        <v>13.977348437499996</v>
      </c>
      <c r="L16" s="16">
        <v>37</v>
      </c>
      <c r="M16" s="19">
        <f t="shared" si="6"/>
        <v>0.32432432432432434</v>
      </c>
      <c r="N16" s="16">
        <v>0</v>
      </c>
      <c r="O16" s="20">
        <f t="shared" ref="O16:P16" si="24">D16/7</f>
        <v>1.7142857142857142</v>
      </c>
      <c r="P16" s="20">
        <f t="shared" si="24"/>
        <v>0</v>
      </c>
      <c r="Q16" s="16">
        <f t="shared" si="8"/>
        <v>0</v>
      </c>
      <c r="R16" s="16"/>
      <c r="S16" s="21">
        <v>4.9440389294403797</v>
      </c>
      <c r="T16" s="14">
        <v>1404</v>
      </c>
      <c r="U16" s="22">
        <v>660</v>
      </c>
      <c r="V16" s="23" t="s">
        <v>1990</v>
      </c>
      <c r="W16" s="14">
        <v>0</v>
      </c>
      <c r="X16" s="24">
        <f t="shared" si="9"/>
        <v>0</v>
      </c>
      <c r="Y16" s="25">
        <f t="shared" si="10"/>
        <v>0</v>
      </c>
      <c r="Z16" s="14">
        <v>0</v>
      </c>
      <c r="AA16" s="14" t="s">
        <v>35</v>
      </c>
      <c r="AB16" s="27">
        <f t="shared" si="11"/>
        <v>-0.69</v>
      </c>
      <c r="AC16" s="28">
        <v>7.7404513888888887E-2</v>
      </c>
      <c r="AD16" s="25">
        <f t="shared" si="12"/>
        <v>-1.2818187499999998</v>
      </c>
      <c r="AE16" s="25">
        <v>-5.42</v>
      </c>
      <c r="AF16" s="25">
        <v>-6.52</v>
      </c>
      <c r="AG16" s="25">
        <v>0</v>
      </c>
    </row>
    <row r="17" spans="1:33" ht="15.75" customHeight="1">
      <c r="A17" s="14" t="s">
        <v>40</v>
      </c>
      <c r="B17" s="14" t="s">
        <v>1991</v>
      </c>
      <c r="C17" s="15" t="str">
        <f t="shared" si="4"/>
        <v xml:space="preserve"> - </v>
      </c>
      <c r="D17" s="16">
        <v>0</v>
      </c>
      <c r="E17" s="16">
        <v>0</v>
      </c>
      <c r="F17" s="17">
        <v>0</v>
      </c>
      <c r="G17" s="29">
        <v>0</v>
      </c>
      <c r="H17" s="18" t="e">
        <f t="shared" si="1"/>
        <v>#DIV/0!</v>
      </c>
      <c r="I17" s="18" t="e">
        <f t="shared" si="2"/>
        <v>#DIV/0!</v>
      </c>
      <c r="J17" s="17">
        <f t="shared" si="5"/>
        <v>0</v>
      </c>
      <c r="K17" s="17" t="e">
        <f t="shared" si="3"/>
        <v>#DIV/0!</v>
      </c>
      <c r="L17" s="16">
        <v>0</v>
      </c>
      <c r="M17" s="19" t="str">
        <f t="shared" si="6"/>
        <v>-</v>
      </c>
      <c r="N17" s="16">
        <v>1</v>
      </c>
      <c r="O17" s="20">
        <f t="shared" ref="O17:P17" si="25">D17/7</f>
        <v>0</v>
      </c>
      <c r="P17" s="20">
        <f t="shared" si="25"/>
        <v>0</v>
      </c>
      <c r="Q17" s="16" t="e">
        <f t="shared" si="8"/>
        <v>#DIV/0!</v>
      </c>
      <c r="R17" s="16"/>
      <c r="S17" s="21">
        <v>4.3425925925925899</v>
      </c>
      <c r="T17" s="14">
        <v>1044</v>
      </c>
      <c r="U17" s="22">
        <v>660</v>
      </c>
      <c r="V17" s="23" t="s">
        <v>1992</v>
      </c>
      <c r="W17" s="14">
        <v>0</v>
      </c>
      <c r="X17" s="24">
        <f t="shared" si="9"/>
        <v>0</v>
      </c>
      <c r="Y17" s="25">
        <f t="shared" si="10"/>
        <v>0</v>
      </c>
      <c r="Z17" s="14">
        <v>0</v>
      </c>
      <c r="AA17" s="14" t="s">
        <v>35</v>
      </c>
      <c r="AB17" s="27">
        <f t="shared" si="11"/>
        <v>-0.69</v>
      </c>
      <c r="AC17" s="28">
        <v>7.7404513888888887E-2</v>
      </c>
      <c r="AD17" s="25">
        <f t="shared" si="12"/>
        <v>0</v>
      </c>
      <c r="AE17" s="25">
        <v>-5.42</v>
      </c>
      <c r="AF17" s="25">
        <v>-6.52</v>
      </c>
      <c r="AG17" s="25">
        <v>0</v>
      </c>
    </row>
    <row r="18" spans="1:33" ht="15.75" customHeight="1">
      <c r="A18" s="14" t="s">
        <v>42</v>
      </c>
      <c r="B18" s="14" t="s">
        <v>1993</v>
      </c>
      <c r="C18" s="15">
        <f t="shared" si="4"/>
        <v>27.438888888888886</v>
      </c>
      <c r="D18" s="16">
        <v>9</v>
      </c>
      <c r="E18" s="16">
        <v>0</v>
      </c>
      <c r="F18" s="17">
        <v>246.95</v>
      </c>
      <c r="G18" s="29">
        <v>-0.05</v>
      </c>
      <c r="H18" s="18">
        <f t="shared" si="1"/>
        <v>2.0247013565499091E-4</v>
      </c>
      <c r="I18" s="18">
        <f t="shared" si="2"/>
        <v>0.41075576407167452</v>
      </c>
      <c r="J18" s="17">
        <f t="shared" si="5"/>
        <v>101.43613593750001</v>
      </c>
      <c r="K18" s="17">
        <f t="shared" si="3"/>
        <v>11.270681770833335</v>
      </c>
      <c r="L18" s="16">
        <v>26</v>
      </c>
      <c r="M18" s="19">
        <f t="shared" si="6"/>
        <v>0.34615384615384615</v>
      </c>
      <c r="N18" s="16">
        <v>595</v>
      </c>
      <c r="O18" s="20">
        <f t="shared" ref="O18:P18" si="26">D18/7</f>
        <v>1.2857142857142858</v>
      </c>
      <c r="P18" s="20">
        <f t="shared" si="26"/>
        <v>0</v>
      </c>
      <c r="Q18" s="16">
        <f t="shared" si="8"/>
        <v>462</v>
      </c>
      <c r="R18" s="16"/>
      <c r="S18" s="21">
        <v>1.99735099337748</v>
      </c>
      <c r="T18" s="14">
        <v>384</v>
      </c>
      <c r="U18" s="22">
        <v>0</v>
      </c>
      <c r="V18" s="23" t="s">
        <v>1994</v>
      </c>
      <c r="W18" s="14">
        <v>0</v>
      </c>
      <c r="X18" s="24">
        <f t="shared" si="9"/>
        <v>0</v>
      </c>
      <c r="Y18" s="25">
        <f t="shared" si="10"/>
        <v>0</v>
      </c>
      <c r="Z18" s="14">
        <v>0</v>
      </c>
      <c r="AA18" s="14" t="s">
        <v>35</v>
      </c>
      <c r="AB18" s="27">
        <f t="shared" si="11"/>
        <v>-0.69</v>
      </c>
      <c r="AC18" s="28">
        <v>7.7404513888888887E-2</v>
      </c>
      <c r="AD18" s="25">
        <f t="shared" si="12"/>
        <v>-0.96136406249999984</v>
      </c>
      <c r="AE18" s="25">
        <v>-5.42</v>
      </c>
      <c r="AF18" s="25">
        <v>-6.52</v>
      </c>
      <c r="AG18" s="25">
        <v>0</v>
      </c>
    </row>
    <row r="19" spans="1:33" ht="15.75" customHeight="1">
      <c r="A19" s="14" t="s">
        <v>44</v>
      </c>
      <c r="B19" s="14" t="s">
        <v>64</v>
      </c>
      <c r="C19" s="15">
        <f t="shared" si="4"/>
        <v>21.24259259259259</v>
      </c>
      <c r="D19" s="16">
        <v>27</v>
      </c>
      <c r="E19" s="16">
        <v>0</v>
      </c>
      <c r="F19" s="17">
        <v>573.54999999999995</v>
      </c>
      <c r="G19" s="29">
        <v>0</v>
      </c>
      <c r="H19" s="18">
        <f t="shared" si="1"/>
        <v>0</v>
      </c>
      <c r="I19" s="18">
        <f t="shared" si="2"/>
        <v>0.26862942692441799</v>
      </c>
      <c r="J19" s="17">
        <f t="shared" si="5"/>
        <v>154.07240781249993</v>
      </c>
      <c r="K19" s="17">
        <f t="shared" si="3"/>
        <v>5.7063854745370346</v>
      </c>
      <c r="L19" s="16">
        <v>57</v>
      </c>
      <c r="M19" s="19">
        <f t="shared" si="6"/>
        <v>0.47368421052631576</v>
      </c>
      <c r="N19" s="16">
        <v>868</v>
      </c>
      <c r="O19" s="20">
        <f t="shared" ref="O19:P19" si="27">D19/7</f>
        <v>3.8571428571428572</v>
      </c>
      <c r="P19" s="20">
        <f t="shared" si="27"/>
        <v>0</v>
      </c>
      <c r="Q19" s="16">
        <f t="shared" si="8"/>
        <v>225</v>
      </c>
      <c r="R19" s="16"/>
      <c r="S19" s="21">
        <v>1.22080136402387</v>
      </c>
      <c r="T19" s="14">
        <v>156</v>
      </c>
      <c r="U19" s="22">
        <v>156</v>
      </c>
      <c r="V19" s="23" t="s">
        <v>1995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14" t="s">
        <v>35</v>
      </c>
      <c r="AB19" s="27">
        <f t="shared" si="11"/>
        <v>-0.69</v>
      </c>
      <c r="AC19" s="28">
        <v>7.7404513888888887E-2</v>
      </c>
      <c r="AD19" s="25">
        <f t="shared" si="12"/>
        <v>-2.8840921874999998</v>
      </c>
      <c r="AE19" s="25">
        <v>-5.42</v>
      </c>
      <c r="AF19" s="25">
        <v>-6.8229999999999995</v>
      </c>
      <c r="AG19" s="25">
        <v>0</v>
      </c>
    </row>
    <row r="20" spans="1:33" ht="15.75" customHeight="1">
      <c r="A20" s="14" t="s">
        <v>46</v>
      </c>
      <c r="B20" s="14" t="s">
        <v>66</v>
      </c>
      <c r="C20" s="15">
        <f t="shared" si="4"/>
        <v>18.200944881889757</v>
      </c>
      <c r="D20" s="16">
        <v>127</v>
      </c>
      <c r="E20" s="16">
        <v>0</v>
      </c>
      <c r="F20" s="17">
        <v>2311.5199999999991</v>
      </c>
      <c r="G20" s="29">
        <v>-173.45999999999998</v>
      </c>
      <c r="H20" s="18">
        <f t="shared" si="1"/>
        <v>7.5041531113726051E-2</v>
      </c>
      <c r="I20" s="18">
        <f t="shared" si="2"/>
        <v>9.64322544887488E-2</v>
      </c>
      <c r="J20" s="17">
        <f t="shared" si="5"/>
        <v>222.90508489583254</v>
      </c>
      <c r="K20" s="17">
        <f t="shared" si="3"/>
        <v>1.755158148786083</v>
      </c>
      <c r="L20" s="16">
        <v>172</v>
      </c>
      <c r="M20" s="19">
        <f t="shared" si="6"/>
        <v>0.73837209302325579</v>
      </c>
      <c r="N20" s="16">
        <v>686</v>
      </c>
      <c r="O20" s="20">
        <f t="shared" ref="O20:P20" si="28">D20/7</f>
        <v>18.142857142857142</v>
      </c>
      <c r="P20" s="20">
        <f t="shared" si="28"/>
        <v>0</v>
      </c>
      <c r="Q20" s="16">
        <f t="shared" si="8"/>
        <v>37</v>
      </c>
      <c r="R20" s="16"/>
      <c r="S20" s="21">
        <v>1.58383838383838</v>
      </c>
      <c r="T20" s="14">
        <v>156</v>
      </c>
      <c r="U20" s="22">
        <v>156</v>
      </c>
      <c r="V20" s="23" t="s">
        <v>1995</v>
      </c>
      <c r="W20" s="14">
        <v>46</v>
      </c>
      <c r="X20" s="24">
        <f t="shared" si="9"/>
        <v>0.36220472440944884</v>
      </c>
      <c r="Y20" s="25">
        <f t="shared" si="10"/>
        <v>2.5508823529411764</v>
      </c>
      <c r="Z20" s="14">
        <v>22</v>
      </c>
      <c r="AA20" s="14" t="s">
        <v>35</v>
      </c>
      <c r="AB20" s="27">
        <f t="shared" si="11"/>
        <v>-0.69</v>
      </c>
      <c r="AC20" s="28">
        <v>7.7404513888888887E-2</v>
      </c>
      <c r="AD20" s="25">
        <f t="shared" si="12"/>
        <v>-13.565915104166665</v>
      </c>
      <c r="AE20" s="25">
        <v>-5.42</v>
      </c>
      <c r="AF20" s="25">
        <v>-6.8229999999999995</v>
      </c>
      <c r="AG20" s="25">
        <v>0</v>
      </c>
    </row>
    <row r="21" spans="1:33" ht="15.75" customHeight="1">
      <c r="A21" s="14" t="s">
        <v>47</v>
      </c>
      <c r="B21" s="14" t="s">
        <v>991</v>
      </c>
      <c r="C21" s="15">
        <f t="shared" si="4"/>
        <v>18.806932515337408</v>
      </c>
      <c r="D21" s="16">
        <v>163</v>
      </c>
      <c r="E21" s="16">
        <v>0</v>
      </c>
      <c r="F21" s="17">
        <v>3065.5299999999975</v>
      </c>
      <c r="G21" s="29">
        <v>-59.519999999999989</v>
      </c>
      <c r="H21" s="18">
        <f t="shared" si="1"/>
        <v>1.9415892194824397E-2</v>
      </c>
      <c r="I21" s="18">
        <f t="shared" si="2"/>
        <v>0.17392102789593691</v>
      </c>
      <c r="J21" s="17">
        <f t="shared" si="5"/>
        <v>533.16012864583104</v>
      </c>
      <c r="K21" s="17">
        <f t="shared" si="3"/>
        <v>3.2709210346370003</v>
      </c>
      <c r="L21" s="16">
        <v>116</v>
      </c>
      <c r="M21" s="19">
        <f t="shared" si="6"/>
        <v>1.4051724137931034</v>
      </c>
      <c r="N21" s="16">
        <v>501</v>
      </c>
      <c r="O21" s="20">
        <f t="shared" ref="O21:P21" si="29">D21/7</f>
        <v>23.285714285714285</v>
      </c>
      <c r="P21" s="20">
        <f t="shared" si="29"/>
        <v>0</v>
      </c>
      <c r="Q21" s="16">
        <f t="shared" si="8"/>
        <v>21</v>
      </c>
      <c r="R21" s="16"/>
      <c r="S21" s="21">
        <v>2.6841415465268601</v>
      </c>
      <c r="T21" s="14">
        <v>156</v>
      </c>
      <c r="U21" s="22">
        <v>156</v>
      </c>
      <c r="V21" s="23" t="s">
        <v>1996</v>
      </c>
      <c r="W21" s="14">
        <v>62</v>
      </c>
      <c r="X21" s="24">
        <f t="shared" si="9"/>
        <v>0.38036809815950923</v>
      </c>
      <c r="Y21" s="25">
        <f t="shared" si="10"/>
        <v>0.85028571428571409</v>
      </c>
      <c r="Z21" s="14">
        <v>8</v>
      </c>
      <c r="AA21" s="14" t="s">
        <v>35</v>
      </c>
      <c r="AB21" s="27">
        <f t="shared" si="11"/>
        <v>-0.69</v>
      </c>
      <c r="AC21" s="28">
        <v>7.7404513888888887E-2</v>
      </c>
      <c r="AD21" s="25">
        <f t="shared" si="12"/>
        <v>-17.411371354166665</v>
      </c>
      <c r="AE21" s="25">
        <v>-5.42</v>
      </c>
      <c r="AF21" s="25">
        <v>-6.8229999999999995</v>
      </c>
      <c r="AG21" s="25">
        <v>0</v>
      </c>
    </row>
    <row r="22" spans="1:33" ht="15.75" customHeight="1">
      <c r="A22" s="14" t="s">
        <v>48</v>
      </c>
      <c r="B22" s="14" t="s">
        <v>68</v>
      </c>
      <c r="C22" s="15">
        <f t="shared" si="4"/>
        <v>18.915647058823527</v>
      </c>
      <c r="D22" s="16">
        <v>85</v>
      </c>
      <c r="E22" s="16">
        <v>4</v>
      </c>
      <c r="F22" s="29">
        <v>1607.8299999999997</v>
      </c>
      <c r="G22" s="29">
        <v>0</v>
      </c>
      <c r="H22" s="18">
        <f t="shared" si="1"/>
        <v>0</v>
      </c>
      <c r="I22" s="18">
        <f t="shared" si="2"/>
        <v>0.19711098220634837</v>
      </c>
      <c r="J22" s="17">
        <f t="shared" si="5"/>
        <v>316.92095052083306</v>
      </c>
      <c r="K22" s="17">
        <f t="shared" si="3"/>
        <v>3.72848177083333</v>
      </c>
      <c r="L22" s="16">
        <v>121</v>
      </c>
      <c r="M22" s="19">
        <f t="shared" si="6"/>
        <v>0.7024793388429752</v>
      </c>
      <c r="N22" s="16">
        <v>436</v>
      </c>
      <c r="O22" s="20">
        <f t="shared" ref="O22:P22" si="30">D22/7</f>
        <v>12.142857142857142</v>
      </c>
      <c r="P22" s="20">
        <f t="shared" si="30"/>
        <v>0.5714285714285714</v>
      </c>
      <c r="Q22" s="16">
        <f t="shared" si="8"/>
        <v>34</v>
      </c>
      <c r="R22" s="16"/>
      <c r="S22" s="21">
        <v>2.21605550049554</v>
      </c>
      <c r="T22" s="14">
        <v>360</v>
      </c>
      <c r="U22" s="22">
        <v>156</v>
      </c>
      <c r="V22" s="23" t="s">
        <v>1996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35</v>
      </c>
      <c r="AB22" s="27">
        <f t="shared" si="11"/>
        <v>-0.69</v>
      </c>
      <c r="AC22" s="28">
        <v>7.7404513888888887E-2</v>
      </c>
      <c r="AD22" s="25">
        <f t="shared" si="12"/>
        <v>-9.0795494791666655</v>
      </c>
      <c r="AE22" s="25">
        <v>-5.42</v>
      </c>
      <c r="AF22" s="25">
        <v>-6.8229999999999995</v>
      </c>
      <c r="AG22" s="25">
        <v>0</v>
      </c>
    </row>
    <row r="23" spans="1:33" ht="15.75" customHeight="1">
      <c r="A23" s="14" t="s">
        <v>49</v>
      </c>
      <c r="B23" s="14" t="s">
        <v>68</v>
      </c>
      <c r="C23" s="15">
        <f t="shared" si="4"/>
        <v>19.06296296296297</v>
      </c>
      <c r="D23" s="16">
        <v>54</v>
      </c>
      <c r="E23" s="16">
        <v>5</v>
      </c>
      <c r="F23" s="17">
        <v>1029.4000000000003</v>
      </c>
      <c r="G23" s="29">
        <v>0</v>
      </c>
      <c r="H23" s="18">
        <f t="shared" si="1"/>
        <v>0</v>
      </c>
      <c r="I23" s="18">
        <f t="shared" si="2"/>
        <v>0.2021564169661941</v>
      </c>
      <c r="J23" s="17">
        <f t="shared" si="5"/>
        <v>208.09981562500028</v>
      </c>
      <c r="K23" s="17">
        <f t="shared" si="3"/>
        <v>3.853700289351857</v>
      </c>
      <c r="L23" s="16">
        <v>117</v>
      </c>
      <c r="M23" s="19">
        <f t="shared" si="6"/>
        <v>0.46153846153846156</v>
      </c>
      <c r="N23" s="16">
        <v>363</v>
      </c>
      <c r="O23" s="20">
        <f t="shared" ref="O23:P23" si="31">D23/7</f>
        <v>7.7142857142857144</v>
      </c>
      <c r="P23" s="20">
        <f t="shared" si="31"/>
        <v>0.7142857142857143</v>
      </c>
      <c r="Q23" s="16">
        <f t="shared" si="8"/>
        <v>43</v>
      </c>
      <c r="R23" s="16"/>
      <c r="S23" s="21">
        <v>1.98954703832752</v>
      </c>
      <c r="T23" s="14">
        <v>468</v>
      </c>
      <c r="U23" s="22">
        <v>156</v>
      </c>
      <c r="V23" s="23" t="s">
        <v>1997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35</v>
      </c>
      <c r="AB23" s="27">
        <f t="shared" si="11"/>
        <v>-0.69</v>
      </c>
      <c r="AC23" s="28">
        <v>7.7404513888888887E-2</v>
      </c>
      <c r="AD23" s="25">
        <f t="shared" si="12"/>
        <v>-5.7681843749999997</v>
      </c>
      <c r="AE23" s="25">
        <v>-5.42</v>
      </c>
      <c r="AF23" s="25">
        <v>-6.8229999999999995</v>
      </c>
      <c r="AG23" s="25">
        <v>0</v>
      </c>
    </row>
    <row r="24" spans="1:33" ht="15.75" customHeight="1">
      <c r="A24" s="14" t="s">
        <v>50</v>
      </c>
      <c r="B24" s="14" t="s">
        <v>1998</v>
      </c>
      <c r="C24" s="15">
        <f t="shared" si="4"/>
        <v>19.227894736842114</v>
      </c>
      <c r="D24" s="16">
        <v>76</v>
      </c>
      <c r="E24" s="16">
        <v>6</v>
      </c>
      <c r="F24" s="17">
        <v>1461.3200000000006</v>
      </c>
      <c r="G24" s="17">
        <v>0</v>
      </c>
      <c r="H24" s="18">
        <f t="shared" si="1"/>
        <v>0</v>
      </c>
      <c r="I24" s="18">
        <f t="shared" si="2"/>
        <v>0.2077134471459596</v>
      </c>
      <c r="J24" s="17">
        <f t="shared" si="5"/>
        <v>303.53581458333383</v>
      </c>
      <c r="K24" s="17">
        <f t="shared" si="3"/>
        <v>3.9938922971491295</v>
      </c>
      <c r="L24" s="16">
        <v>113</v>
      </c>
      <c r="M24" s="19">
        <f t="shared" si="6"/>
        <v>0.67256637168141598</v>
      </c>
      <c r="N24" s="16">
        <v>299</v>
      </c>
      <c r="O24" s="20">
        <f t="shared" ref="O24:P24" si="32">D24/7</f>
        <v>10.857142857142858</v>
      </c>
      <c r="P24" s="20">
        <f t="shared" si="32"/>
        <v>0.8571428571428571</v>
      </c>
      <c r="Q24" s="16">
        <f t="shared" si="8"/>
        <v>25</v>
      </c>
      <c r="R24" s="16"/>
      <c r="S24" s="21">
        <v>1.8814352574102899</v>
      </c>
      <c r="T24" s="14">
        <v>468</v>
      </c>
      <c r="U24" s="22">
        <v>156</v>
      </c>
      <c r="V24" s="23" t="s">
        <v>1997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14" t="s">
        <v>35</v>
      </c>
      <c r="AB24" s="27">
        <f t="shared" si="11"/>
        <v>-0.69</v>
      </c>
      <c r="AC24" s="28">
        <v>7.7404513888888887E-2</v>
      </c>
      <c r="AD24" s="25">
        <f t="shared" si="12"/>
        <v>-8.118185416666666</v>
      </c>
      <c r="AE24" s="25">
        <v>-5.42</v>
      </c>
      <c r="AF24" s="25">
        <v>-6.8229999999999995</v>
      </c>
      <c r="AG24" s="25">
        <v>0</v>
      </c>
    </row>
    <row r="25" spans="1:33" ht="15.75" customHeight="1">
      <c r="A25" s="14" t="s">
        <v>51</v>
      </c>
      <c r="B25" s="14" t="s">
        <v>68</v>
      </c>
      <c r="C25" s="15">
        <f t="shared" si="4"/>
        <v>21.556862745098041</v>
      </c>
      <c r="D25" s="16">
        <v>51</v>
      </c>
      <c r="E25" s="16">
        <v>3</v>
      </c>
      <c r="F25" s="17">
        <v>1099.4000000000001</v>
      </c>
      <c r="G25" s="17">
        <v>0</v>
      </c>
      <c r="H25" s="18">
        <f t="shared" si="1"/>
        <v>0</v>
      </c>
      <c r="I25" s="18">
        <f t="shared" si="2"/>
        <v>0.2772441971188831</v>
      </c>
      <c r="J25" s="17">
        <f t="shared" si="5"/>
        <v>304.80227031250007</v>
      </c>
      <c r="K25" s="17">
        <f t="shared" si="3"/>
        <v>5.9765151041666682</v>
      </c>
      <c r="L25" s="16">
        <v>106</v>
      </c>
      <c r="M25" s="19">
        <f t="shared" si="6"/>
        <v>0.48113207547169812</v>
      </c>
      <c r="N25" s="16">
        <v>220</v>
      </c>
      <c r="O25" s="20">
        <f t="shared" ref="O25:P25" si="33">D25/7</f>
        <v>7.2857142857142856</v>
      </c>
      <c r="P25" s="20">
        <f t="shared" si="33"/>
        <v>0.42857142857142855</v>
      </c>
      <c r="Q25" s="16">
        <f t="shared" si="8"/>
        <v>28</v>
      </c>
      <c r="R25" s="16"/>
      <c r="S25" s="21">
        <v>2.9769585253456219</v>
      </c>
      <c r="T25" s="14">
        <v>1080</v>
      </c>
      <c r="U25" s="22">
        <v>156</v>
      </c>
      <c r="V25" s="23" t="s">
        <v>1997</v>
      </c>
      <c r="W25" s="30">
        <v>0</v>
      </c>
      <c r="X25" s="24">
        <f t="shared" si="9"/>
        <v>0</v>
      </c>
      <c r="Y25" s="25">
        <f t="shared" si="10"/>
        <v>0</v>
      </c>
      <c r="Z25" s="30">
        <v>0</v>
      </c>
      <c r="AA25" s="14" t="s">
        <v>35</v>
      </c>
      <c r="AB25" s="27">
        <f t="shared" si="11"/>
        <v>-0.69</v>
      </c>
      <c r="AC25" s="28">
        <v>7.7404513888888887E-2</v>
      </c>
      <c r="AD25" s="25">
        <f t="shared" si="12"/>
        <v>-5.447729687499999</v>
      </c>
      <c r="AE25" s="25">
        <v>-5.42</v>
      </c>
      <c r="AF25" s="25">
        <v>-6.82</v>
      </c>
      <c r="AG25" s="25">
        <v>0</v>
      </c>
    </row>
    <row r="26" spans="1:33" ht="15.75" customHeight="1">
      <c r="A26" s="14" t="s">
        <v>52</v>
      </c>
      <c r="B26" s="14" t="s">
        <v>1999</v>
      </c>
      <c r="C26" s="15">
        <f t="shared" si="4"/>
        <v>22.28</v>
      </c>
      <c r="D26" s="16">
        <v>29</v>
      </c>
      <c r="E26" s="16">
        <v>3</v>
      </c>
      <c r="F26" s="17">
        <v>646.12</v>
      </c>
      <c r="G26" s="17">
        <v>-0.06</v>
      </c>
      <c r="H26" s="18">
        <f t="shared" si="1"/>
        <v>9.2862007057512526E-5</v>
      </c>
      <c r="I26" s="18">
        <f t="shared" si="2"/>
        <v>0.2839368404540441</v>
      </c>
      <c r="J26" s="17">
        <f t="shared" si="5"/>
        <v>183.45727135416698</v>
      </c>
      <c r="K26" s="17">
        <f t="shared" si="3"/>
        <v>6.3261128053161029</v>
      </c>
      <c r="L26" s="16">
        <v>77</v>
      </c>
      <c r="M26" s="19">
        <f t="shared" si="6"/>
        <v>0.37662337662337664</v>
      </c>
      <c r="N26" s="16">
        <v>191</v>
      </c>
      <c r="O26" s="20">
        <f t="shared" ref="O26:P26" si="34">D26/7</f>
        <v>4.1428571428571432</v>
      </c>
      <c r="P26" s="20">
        <f t="shared" si="34"/>
        <v>0.42857142857142855</v>
      </c>
      <c r="Q26" s="16">
        <f t="shared" si="8"/>
        <v>41</v>
      </c>
      <c r="R26" s="16"/>
      <c r="S26" s="21">
        <v>3.2057761732851979</v>
      </c>
      <c r="T26" s="14">
        <v>1080</v>
      </c>
      <c r="U26" s="22">
        <v>156</v>
      </c>
      <c r="V26" s="23" t="s">
        <v>2000</v>
      </c>
      <c r="W26" s="30">
        <v>0</v>
      </c>
      <c r="X26" s="24">
        <f t="shared" si="9"/>
        <v>0</v>
      </c>
      <c r="Y26" s="25">
        <f t="shared" si="10"/>
        <v>0</v>
      </c>
      <c r="Z26" s="30">
        <v>0</v>
      </c>
      <c r="AA26" s="14" t="s">
        <v>35</v>
      </c>
      <c r="AB26" s="27">
        <f t="shared" si="11"/>
        <v>-0.69</v>
      </c>
      <c r="AC26" s="28">
        <v>7.7404513888888887E-2</v>
      </c>
      <c r="AD26" s="25">
        <f t="shared" si="12"/>
        <v>-3.0977286458333331</v>
      </c>
      <c r="AE26" s="25">
        <v>-5.68</v>
      </c>
      <c r="AF26" s="25">
        <v>-6.8229999999999897</v>
      </c>
      <c r="AG26" s="25">
        <v>0</v>
      </c>
    </row>
    <row r="27" spans="1:33" ht="15.75" customHeight="1">
      <c r="A27" s="14" t="s">
        <v>53</v>
      </c>
      <c r="B27" s="14" t="s">
        <v>1875</v>
      </c>
      <c r="C27" s="15">
        <f t="shared" si="4"/>
        <v>21.803749999999997</v>
      </c>
      <c r="D27" s="16">
        <v>48</v>
      </c>
      <c r="E27" s="16">
        <v>2</v>
      </c>
      <c r="F27" s="17">
        <v>1046.58</v>
      </c>
      <c r="G27" s="17">
        <v>-9.0000000000000011E-2</v>
      </c>
      <c r="H27" s="18">
        <f t="shared" si="1"/>
        <v>8.5994381700395592E-5</v>
      </c>
      <c r="I27" s="18">
        <f t="shared" si="2"/>
        <v>0.26715561638861818</v>
      </c>
      <c r="J27" s="17">
        <f t="shared" si="5"/>
        <v>279.59972499999998</v>
      </c>
      <c r="K27" s="17">
        <f t="shared" si="3"/>
        <v>5.8249942708333329</v>
      </c>
      <c r="L27" s="16">
        <v>63</v>
      </c>
      <c r="M27" s="19">
        <f t="shared" si="6"/>
        <v>0.76190476190476186</v>
      </c>
      <c r="N27" s="16">
        <v>145</v>
      </c>
      <c r="O27" s="20">
        <f t="shared" ref="O27:P27" si="35">D27/7</f>
        <v>6.8571428571428568</v>
      </c>
      <c r="P27" s="20">
        <f t="shared" si="35"/>
        <v>0.2857142857142857</v>
      </c>
      <c r="Q27" s="16">
        <f t="shared" si="8"/>
        <v>20</v>
      </c>
      <c r="R27" s="16"/>
      <c r="S27" s="21">
        <v>2.3856041131105399</v>
      </c>
      <c r="T27" s="14">
        <v>1080</v>
      </c>
      <c r="U27" s="22">
        <v>156</v>
      </c>
      <c r="V27" s="23" t="s">
        <v>2001</v>
      </c>
      <c r="W27" s="30">
        <v>0</v>
      </c>
      <c r="X27" s="24">
        <f t="shared" si="9"/>
        <v>0</v>
      </c>
      <c r="Y27" s="25">
        <f t="shared" si="10"/>
        <v>0</v>
      </c>
      <c r="Z27" s="30">
        <v>0</v>
      </c>
      <c r="AA27" s="14" t="s">
        <v>35</v>
      </c>
      <c r="AB27" s="27">
        <f t="shared" si="11"/>
        <v>-0.69</v>
      </c>
      <c r="AC27" s="28">
        <v>7.7404513888888887E-2</v>
      </c>
      <c r="AD27" s="25">
        <f t="shared" si="12"/>
        <v>-5.1272749999999991</v>
      </c>
      <c r="AE27" s="25">
        <v>-5.68</v>
      </c>
      <c r="AF27" s="25">
        <v>-6.9195000000000002</v>
      </c>
      <c r="AG27" s="25">
        <v>0</v>
      </c>
    </row>
    <row r="28" spans="1:33" ht="15.75" customHeight="1">
      <c r="A28" s="14" t="s">
        <v>54</v>
      </c>
      <c r="B28" s="14" t="s">
        <v>174</v>
      </c>
      <c r="C28" s="15">
        <f t="shared" si="4"/>
        <v>21.855263157894736</v>
      </c>
      <c r="D28" s="16">
        <v>38</v>
      </c>
      <c r="E28" s="16">
        <v>2</v>
      </c>
      <c r="F28" s="17">
        <v>830.5</v>
      </c>
      <c r="G28" s="17">
        <v>0</v>
      </c>
      <c r="H28" s="18">
        <f t="shared" si="1"/>
        <v>0</v>
      </c>
      <c r="I28" s="18">
        <f t="shared" si="2"/>
        <v>0.26861518036323495</v>
      </c>
      <c r="J28" s="17">
        <f t="shared" si="5"/>
        <v>223.08490729166661</v>
      </c>
      <c r="K28" s="17">
        <f t="shared" si="3"/>
        <v>5.8706554550438579</v>
      </c>
      <c r="L28" s="16">
        <v>69</v>
      </c>
      <c r="M28" s="19">
        <f t="shared" si="6"/>
        <v>0.55072463768115942</v>
      </c>
      <c r="N28" s="16">
        <v>110</v>
      </c>
      <c r="O28" s="20">
        <f t="shared" ref="O28:P28" si="36">D28/7</f>
        <v>5.4285714285714288</v>
      </c>
      <c r="P28" s="20">
        <f t="shared" si="36"/>
        <v>0.2857142857142857</v>
      </c>
      <c r="Q28" s="16">
        <f t="shared" si="8"/>
        <v>19</v>
      </c>
      <c r="R28" s="16"/>
      <c r="S28" s="21">
        <v>2.165680473372781</v>
      </c>
      <c r="T28" s="14">
        <v>1524</v>
      </c>
      <c r="U28" s="22" t="s">
        <v>34</v>
      </c>
      <c r="V28" s="23" t="s">
        <v>34</v>
      </c>
      <c r="W28" s="30">
        <v>0</v>
      </c>
      <c r="X28" s="24">
        <f t="shared" si="9"/>
        <v>0</v>
      </c>
      <c r="Y28" s="25">
        <f t="shared" si="10"/>
        <v>0</v>
      </c>
      <c r="Z28" s="30">
        <v>0</v>
      </c>
      <c r="AA28" s="14" t="s">
        <v>35</v>
      </c>
      <c r="AB28" s="27">
        <f t="shared" si="11"/>
        <v>-0.69</v>
      </c>
      <c r="AC28" s="28">
        <v>7.7404513888888887E-2</v>
      </c>
      <c r="AD28" s="25">
        <f t="shared" si="12"/>
        <v>-4.059092708333333</v>
      </c>
      <c r="AE28" s="25">
        <v>-5.68</v>
      </c>
      <c r="AF28" s="25">
        <v>-6.9195000000000002</v>
      </c>
      <c r="AG28" s="25">
        <v>0</v>
      </c>
    </row>
    <row r="29" spans="1:33" ht="15.75" customHeight="1">
      <c r="A29" s="14" t="s">
        <v>55</v>
      </c>
      <c r="B29" s="14" t="s">
        <v>2002</v>
      </c>
      <c r="C29" s="15">
        <f t="shared" si="4"/>
        <v>21.81175</v>
      </c>
      <c r="D29" s="16">
        <v>80</v>
      </c>
      <c r="E29" s="16">
        <v>2</v>
      </c>
      <c r="F29" s="17">
        <v>1744.94</v>
      </c>
      <c r="G29" s="17">
        <v>-0.08</v>
      </c>
      <c r="H29" s="18">
        <f t="shared" si="1"/>
        <v>4.5846848602244201E-5</v>
      </c>
      <c r="I29" s="18">
        <f t="shared" si="2"/>
        <v>0.26740950500685801</v>
      </c>
      <c r="J29" s="17">
        <f t="shared" si="5"/>
        <v>466.61354166666678</v>
      </c>
      <c r="K29" s="17">
        <f t="shared" si="3"/>
        <v>5.8326692708333345</v>
      </c>
      <c r="L29" s="16">
        <v>79</v>
      </c>
      <c r="M29" s="19">
        <f t="shared" si="6"/>
        <v>1.0126582278481013</v>
      </c>
      <c r="N29" s="16">
        <v>184</v>
      </c>
      <c r="O29" s="20">
        <f t="shared" ref="O29:P29" si="37">D29/7</f>
        <v>11.428571428571429</v>
      </c>
      <c r="P29" s="20">
        <f t="shared" si="37"/>
        <v>0.2857142857142857</v>
      </c>
      <c r="Q29" s="16">
        <f t="shared" si="8"/>
        <v>15</v>
      </c>
      <c r="R29" s="16"/>
      <c r="S29" s="21">
        <v>3.159533073929961</v>
      </c>
      <c r="T29" s="14">
        <v>1836</v>
      </c>
      <c r="U29" s="22">
        <v>44409</v>
      </c>
      <c r="V29" s="23" t="s">
        <v>2003</v>
      </c>
      <c r="W29" s="30">
        <v>0</v>
      </c>
      <c r="X29" s="24">
        <f t="shared" si="9"/>
        <v>0</v>
      </c>
      <c r="Y29" s="25">
        <f t="shared" si="10"/>
        <v>0</v>
      </c>
      <c r="Z29" s="30">
        <v>0</v>
      </c>
      <c r="AA29" s="14" t="s">
        <v>35</v>
      </c>
      <c r="AB29" s="27">
        <f t="shared" si="11"/>
        <v>-0.69</v>
      </c>
      <c r="AC29" s="28">
        <v>7.7404513888888887E-2</v>
      </c>
      <c r="AD29" s="25">
        <f t="shared" si="12"/>
        <v>-8.5454583333333325</v>
      </c>
      <c r="AE29" s="25">
        <v>-5.68</v>
      </c>
      <c r="AF29" s="25">
        <v>-6.9195000000000002</v>
      </c>
      <c r="AG29" s="25">
        <v>0</v>
      </c>
    </row>
    <row r="30" spans="1:33" ht="15.75" customHeight="1">
      <c r="A30" s="14" t="s">
        <v>57</v>
      </c>
      <c r="B30" s="14" t="s">
        <v>2004</v>
      </c>
      <c r="C30" s="15">
        <f t="shared" si="4"/>
        <v>21.212857142857143</v>
      </c>
      <c r="D30" s="16">
        <v>21</v>
      </c>
      <c r="E30" s="16">
        <v>5</v>
      </c>
      <c r="F30" s="17">
        <v>445.46999999999997</v>
      </c>
      <c r="G30" s="17">
        <v>0</v>
      </c>
      <c r="H30" s="18">
        <f t="shared" si="1"/>
        <v>0</v>
      </c>
      <c r="I30" s="18">
        <f t="shared" si="2"/>
        <v>0.25676041226233015</v>
      </c>
      <c r="J30" s="17">
        <f t="shared" si="5"/>
        <v>114.37906085050021</v>
      </c>
      <c r="K30" s="17">
        <f t="shared" si="3"/>
        <v>5.4466219452619145</v>
      </c>
      <c r="L30" s="16">
        <v>58</v>
      </c>
      <c r="M30" s="19">
        <f t="shared" si="6"/>
        <v>0.36206896551724138</v>
      </c>
      <c r="N30" s="16">
        <v>159</v>
      </c>
      <c r="O30" s="20">
        <f t="shared" ref="O30:P30" si="38">D30/7</f>
        <v>3</v>
      </c>
      <c r="P30" s="20">
        <f t="shared" si="38"/>
        <v>0.7142857142857143</v>
      </c>
      <c r="Q30" s="16">
        <f t="shared" si="8"/>
        <v>42</v>
      </c>
      <c r="R30" s="16"/>
      <c r="S30" s="21">
        <v>3.55700325732899</v>
      </c>
      <c r="T30" s="14">
        <v>420</v>
      </c>
      <c r="U30" s="22">
        <v>108</v>
      </c>
      <c r="V30" s="23" t="s">
        <v>2003</v>
      </c>
      <c r="W30" s="30">
        <v>0</v>
      </c>
      <c r="X30" s="24">
        <f t="shared" si="9"/>
        <v>0</v>
      </c>
      <c r="Y30" s="25">
        <f t="shared" si="10"/>
        <v>0</v>
      </c>
      <c r="Z30" s="30">
        <v>0</v>
      </c>
      <c r="AA30" s="14" t="s">
        <v>35</v>
      </c>
      <c r="AB30" s="27">
        <f t="shared" si="11"/>
        <v>-0.69</v>
      </c>
      <c r="AC30" s="28">
        <v>7.7404513888888887E-2</v>
      </c>
      <c r="AD30" s="25">
        <f t="shared" si="12"/>
        <v>-2.2431828124999997</v>
      </c>
      <c r="AE30" s="25">
        <v>-5.68</v>
      </c>
      <c r="AF30" s="25">
        <v>-6.7974883969999897</v>
      </c>
      <c r="AG30" s="25">
        <v>0</v>
      </c>
    </row>
    <row r="31" spans="1:33" ht="15.75" customHeight="1">
      <c r="A31" s="14" t="s">
        <v>58</v>
      </c>
      <c r="B31" s="14" t="s">
        <v>1156</v>
      </c>
      <c r="C31" s="15">
        <f t="shared" si="4"/>
        <v>21.135490196078418</v>
      </c>
      <c r="D31" s="16">
        <v>51</v>
      </c>
      <c r="E31" s="16">
        <v>0</v>
      </c>
      <c r="F31" s="17">
        <v>1077.9099999999994</v>
      </c>
      <c r="G31" s="17">
        <v>0</v>
      </c>
      <c r="H31" s="18">
        <f t="shared" si="1"/>
        <v>0</v>
      </c>
      <c r="I31" s="18">
        <f t="shared" si="2"/>
        <v>0.25458884514059582</v>
      </c>
      <c r="J31" s="17">
        <f t="shared" si="5"/>
        <v>274.42386206549946</v>
      </c>
      <c r="K31" s="17">
        <f t="shared" si="3"/>
        <v>5.3808600404999893</v>
      </c>
      <c r="L31" s="16">
        <v>61</v>
      </c>
      <c r="M31" s="19">
        <f t="shared" si="6"/>
        <v>0.83606557377049184</v>
      </c>
      <c r="N31" s="16">
        <v>109</v>
      </c>
      <c r="O31" s="20">
        <f t="shared" ref="O31:P31" si="39">D31/7</f>
        <v>7.2857142857142856</v>
      </c>
      <c r="P31" s="20">
        <f t="shared" si="39"/>
        <v>0</v>
      </c>
      <c r="Q31" s="16">
        <f t="shared" si="8"/>
        <v>14</v>
      </c>
      <c r="R31" s="16"/>
      <c r="S31" s="21">
        <v>3.1071107110710998</v>
      </c>
      <c r="T31" s="14" t="s">
        <v>34</v>
      </c>
      <c r="U31" s="22">
        <v>312</v>
      </c>
      <c r="V31" s="23" t="s">
        <v>2005</v>
      </c>
      <c r="W31" s="30">
        <v>0</v>
      </c>
      <c r="X31" s="24">
        <f t="shared" si="9"/>
        <v>0</v>
      </c>
      <c r="Y31" s="25">
        <f t="shared" si="10"/>
        <v>0</v>
      </c>
      <c r="Z31" s="30">
        <v>0</v>
      </c>
      <c r="AA31" s="14" t="s">
        <v>35</v>
      </c>
      <c r="AB31" s="27">
        <f t="shared" si="11"/>
        <v>-0.69</v>
      </c>
      <c r="AC31" s="28">
        <v>7.7404513888888887E-2</v>
      </c>
      <c r="AD31" s="25">
        <f t="shared" si="12"/>
        <v>-5.447729687499999</v>
      </c>
      <c r="AE31" s="25">
        <v>-5.68</v>
      </c>
      <c r="AF31" s="25">
        <v>-6.7974883969999995</v>
      </c>
      <c r="AG31" s="25">
        <v>0</v>
      </c>
    </row>
    <row r="32" spans="1:33" ht="15.75" customHeight="1">
      <c r="A32" s="14" t="s">
        <v>60</v>
      </c>
      <c r="B32" s="14"/>
      <c r="C32" s="15">
        <f t="shared" si="4"/>
        <v>21.537843137254903</v>
      </c>
      <c r="D32" s="16">
        <v>51</v>
      </c>
      <c r="E32" s="16">
        <v>0</v>
      </c>
      <c r="F32" s="17">
        <v>1098.43</v>
      </c>
      <c r="G32" s="17">
        <v>0</v>
      </c>
      <c r="H32" s="18">
        <f t="shared" si="1"/>
        <v>0</v>
      </c>
      <c r="I32" s="18">
        <f t="shared" si="2"/>
        <v>0.26571184514762031</v>
      </c>
      <c r="J32" s="17">
        <f t="shared" si="5"/>
        <v>291.86586206550061</v>
      </c>
      <c r="K32" s="17">
        <f t="shared" si="3"/>
        <v>5.7228600405000121</v>
      </c>
      <c r="L32" s="16">
        <v>77</v>
      </c>
      <c r="M32" s="19">
        <f t="shared" si="6"/>
        <v>0.66233766233766234</v>
      </c>
      <c r="N32" s="16">
        <v>62</v>
      </c>
      <c r="O32" s="20">
        <f t="shared" ref="O32:P32" si="40">D32/7</f>
        <v>7.2857142857142856</v>
      </c>
      <c r="P32" s="20">
        <f t="shared" si="40"/>
        <v>0</v>
      </c>
      <c r="Q32" s="16">
        <f t="shared" si="8"/>
        <v>8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2.4433768016472199</v>
      </c>
      <c r="T32" s="14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2" s="22">
        <f ca="1">IFERROR(__xludf.DUMMYFUNCTION("IFERROR(VLOOKUP($B$2,IMPORTRANGE(""https://docs.google.com/spreadsheets/d/1KiWZV1ko8G7lnRucBRBd29jj3Be6ltMfljMDqzOkQmI/edit#gid=1381463014"",""Lookup!A:D""),3,FALSE),"""")"),312)</f>
        <v>312</v>
      </c>
      <c r="V32" s="23" t="str">
        <f ca="1">IFERROR(__xludf.DUMMYFUNCTION("IFERROR(VLOOKUP($B$2,IMPORTRANGE(""https://docs.google.com/spreadsheets/d/1KiWZV1ko8G7lnRucBRBd29jj3Be6ltMfljMDqzOkQmI/edit#gid=1381463014"",""Lookup!A:D""),2,FALSE),"""")"),"| 417  - 108 units 08/14| 415  - 204 units 08/21")</f>
        <v>| 417  - 108 units 08/14| 415  - 204 units 08/21</v>
      </c>
      <c r="W32" s="30">
        <v>0</v>
      </c>
      <c r="X32" s="24">
        <f t="shared" si="9"/>
        <v>0</v>
      </c>
      <c r="Y32" s="25">
        <f t="shared" si="10"/>
        <v>0</v>
      </c>
      <c r="Z32" s="30">
        <v>0</v>
      </c>
      <c r="AA32" s="14" t="s">
        <v>35</v>
      </c>
      <c r="AB32" s="27">
        <f t="shared" si="11"/>
        <v>-0.69</v>
      </c>
      <c r="AC32" s="28">
        <v>7.7404513888888887E-2</v>
      </c>
      <c r="AD32" s="25">
        <f t="shared" si="12"/>
        <v>-5.447729687499999</v>
      </c>
      <c r="AE32" s="25">
        <v>-5.68</v>
      </c>
      <c r="AF32" s="25">
        <v>-6.7974883969999897</v>
      </c>
      <c r="AG32" s="25">
        <v>0</v>
      </c>
    </row>
    <row r="33" spans="1:33" ht="15.75" customHeight="1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16"/>
      <c r="S33" s="21"/>
      <c r="T33" s="31"/>
      <c r="U33" s="36"/>
      <c r="V33" s="1"/>
      <c r="W33" s="31"/>
      <c r="X33" s="31"/>
      <c r="Y33" s="31"/>
      <c r="Z33" s="31"/>
      <c r="AA33" s="2"/>
      <c r="AB33" s="31"/>
      <c r="AC33" s="31"/>
      <c r="AD33" s="31"/>
      <c r="AE33" s="37"/>
      <c r="AF33" s="37"/>
      <c r="AG33" s="37"/>
    </row>
    <row r="34" spans="1:33" ht="15.75" customHeight="1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6"/>
      <c r="V34" s="1"/>
      <c r="W34" s="31"/>
      <c r="X34" s="31"/>
      <c r="Y34" s="31"/>
      <c r="Z34" s="31"/>
      <c r="AA34" s="2"/>
      <c r="AB34" s="31"/>
      <c r="AC34" s="31"/>
      <c r="AD34" s="31"/>
      <c r="AE34" s="37"/>
      <c r="AF34" s="37"/>
      <c r="AG34" s="37"/>
    </row>
    <row r="35" spans="1:33" ht="15.75" customHeight="1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6"/>
      <c r="V35" s="1"/>
      <c r="W35" s="31"/>
      <c r="X35" s="31"/>
      <c r="Y35" s="31"/>
      <c r="Z35" s="31"/>
      <c r="AA35" s="2"/>
      <c r="AB35" s="31"/>
      <c r="AC35" s="31"/>
      <c r="AD35" s="31"/>
      <c r="AE35" s="37"/>
      <c r="AF35" s="37"/>
      <c r="AG35" s="37"/>
    </row>
    <row r="36" spans="1:33" ht="15.75" customHeight="1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6"/>
      <c r="V36" s="1"/>
      <c r="W36" s="31"/>
      <c r="X36" s="31"/>
      <c r="Y36" s="31"/>
      <c r="Z36" s="31"/>
      <c r="AA36" s="2"/>
      <c r="AB36" s="31"/>
      <c r="AC36" s="31"/>
      <c r="AD36" s="31"/>
      <c r="AE36" s="37"/>
      <c r="AF36" s="37"/>
      <c r="AG36" s="37"/>
    </row>
    <row r="37" spans="1:33" ht="15.75" customHeight="1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6"/>
      <c r="V37" s="1"/>
      <c r="W37" s="31"/>
      <c r="X37" s="31"/>
      <c r="Y37" s="31"/>
      <c r="Z37" s="31"/>
      <c r="AA37" s="2"/>
      <c r="AB37" s="31"/>
      <c r="AC37" s="31"/>
      <c r="AD37" s="31"/>
      <c r="AE37" s="37"/>
      <c r="AF37" s="37"/>
      <c r="AG37" s="37"/>
    </row>
    <row r="38" spans="1:33" ht="15.75" customHeight="1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6"/>
      <c r="V38" s="1"/>
      <c r="W38" s="31"/>
      <c r="X38" s="31"/>
      <c r="Y38" s="31"/>
      <c r="Z38" s="31"/>
      <c r="AA38" s="2"/>
      <c r="AB38" s="31"/>
      <c r="AC38" s="31"/>
      <c r="AD38" s="31"/>
      <c r="AE38" s="37"/>
      <c r="AF38" s="37"/>
      <c r="AG38" s="37"/>
    </row>
    <row r="39" spans="1:33" ht="15.75" customHeight="1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6"/>
      <c r="V39" s="1"/>
      <c r="W39" s="31"/>
      <c r="X39" s="31"/>
      <c r="Y39" s="31"/>
      <c r="Z39" s="31"/>
      <c r="AA39" s="2"/>
      <c r="AB39" s="31"/>
      <c r="AC39" s="31"/>
      <c r="AD39" s="31"/>
      <c r="AE39" s="37"/>
      <c r="AF39" s="37"/>
      <c r="AG39" s="37"/>
    </row>
    <row r="40" spans="1:33" ht="15.75" customHeight="1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6"/>
      <c r="V40" s="1"/>
      <c r="W40" s="31"/>
      <c r="X40" s="31"/>
      <c r="Y40" s="31"/>
      <c r="Z40" s="31"/>
      <c r="AA40" s="2"/>
      <c r="AB40" s="31"/>
      <c r="AC40" s="31"/>
      <c r="AD40" s="31"/>
      <c r="AE40" s="37"/>
      <c r="AF40" s="37"/>
      <c r="AG40" s="37"/>
    </row>
    <row r="41" spans="1:33" ht="15.75" customHeight="1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6"/>
      <c r="V41" s="1"/>
      <c r="W41" s="31"/>
      <c r="X41" s="31"/>
      <c r="Y41" s="31"/>
      <c r="Z41" s="31"/>
      <c r="AA41" s="2"/>
      <c r="AB41" s="31"/>
      <c r="AC41" s="31"/>
      <c r="AD41" s="31"/>
      <c r="AE41" s="37"/>
      <c r="AF41" s="37"/>
      <c r="AG41" s="37"/>
    </row>
    <row r="42" spans="1:33" ht="15.75" customHeight="1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6"/>
      <c r="V42" s="1"/>
      <c r="W42" s="31"/>
      <c r="X42" s="31"/>
      <c r="Y42" s="31"/>
      <c r="Z42" s="31"/>
      <c r="AA42" s="2"/>
      <c r="AB42" s="31"/>
      <c r="AC42" s="31"/>
      <c r="AD42" s="31"/>
      <c r="AE42" s="37"/>
      <c r="AF42" s="37"/>
      <c r="AG42" s="37"/>
    </row>
    <row r="43" spans="1:33" ht="15.75" customHeight="1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6"/>
      <c r="V43" s="1"/>
      <c r="W43" s="31"/>
      <c r="X43" s="31"/>
      <c r="Y43" s="31"/>
      <c r="Z43" s="31"/>
      <c r="AA43" s="2"/>
      <c r="AB43" s="31"/>
      <c r="AC43" s="31"/>
      <c r="AD43" s="31"/>
      <c r="AE43" s="37"/>
      <c r="AF43" s="37"/>
      <c r="AG43" s="37"/>
    </row>
    <row r="44" spans="1:33" ht="15.75" customHeight="1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6"/>
      <c r="V44" s="1"/>
      <c r="W44" s="31"/>
      <c r="X44" s="31"/>
      <c r="Y44" s="31"/>
      <c r="Z44" s="31"/>
      <c r="AA44" s="2"/>
      <c r="AB44" s="31"/>
      <c r="AC44" s="31"/>
      <c r="AD44" s="31"/>
      <c r="AE44" s="37"/>
      <c r="AF44" s="37"/>
      <c r="AG44" s="37"/>
    </row>
    <row r="45" spans="1:33" ht="15.75" customHeight="1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6"/>
      <c r="V45" s="1"/>
      <c r="W45" s="31"/>
      <c r="X45" s="31"/>
      <c r="Y45" s="31"/>
      <c r="Z45" s="31"/>
      <c r="AA45" s="2"/>
      <c r="AB45" s="31"/>
      <c r="AC45" s="31"/>
      <c r="AD45" s="31"/>
      <c r="AE45" s="37"/>
      <c r="AF45" s="37"/>
      <c r="AG45" s="37"/>
    </row>
    <row r="46" spans="1:33" ht="15.75" customHeight="1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6"/>
      <c r="V46" s="1"/>
      <c r="W46" s="31"/>
      <c r="X46" s="31"/>
      <c r="Y46" s="31"/>
      <c r="Z46" s="31"/>
      <c r="AA46" s="2"/>
      <c r="AB46" s="31"/>
      <c r="AC46" s="31"/>
      <c r="AD46" s="31"/>
      <c r="AE46" s="37"/>
      <c r="AF46" s="37"/>
      <c r="AG46" s="37"/>
    </row>
    <row r="47" spans="1:33" ht="15.75" customHeight="1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6"/>
      <c r="V47" s="1"/>
      <c r="W47" s="31"/>
      <c r="X47" s="31"/>
      <c r="Y47" s="31"/>
      <c r="Z47" s="31"/>
      <c r="AA47" s="2"/>
      <c r="AB47" s="31"/>
      <c r="AC47" s="31"/>
      <c r="AD47" s="31"/>
      <c r="AE47" s="37"/>
      <c r="AF47" s="37"/>
      <c r="AG47" s="37"/>
    </row>
    <row r="48" spans="1:33" ht="15.75" customHeight="1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6"/>
      <c r="V48" s="1"/>
      <c r="W48" s="31"/>
      <c r="X48" s="31"/>
      <c r="Y48" s="31"/>
      <c r="Z48" s="31"/>
      <c r="AA48" s="2"/>
      <c r="AB48" s="31"/>
      <c r="AC48" s="31"/>
      <c r="AD48" s="31"/>
      <c r="AE48" s="37"/>
      <c r="AF48" s="37"/>
      <c r="AG48" s="37"/>
    </row>
    <row r="49" spans="1:33" ht="15.75" customHeight="1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6"/>
      <c r="V49" s="1"/>
      <c r="W49" s="31"/>
      <c r="X49" s="31"/>
      <c r="Y49" s="31"/>
      <c r="Z49" s="31"/>
      <c r="AA49" s="2"/>
      <c r="AB49" s="31"/>
      <c r="AC49" s="31"/>
      <c r="AD49" s="31"/>
      <c r="AE49" s="37"/>
      <c r="AF49" s="37"/>
      <c r="AG49" s="37"/>
    </row>
    <row r="50" spans="1:33" ht="15.75" customHeight="1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6"/>
      <c r="V50" s="1"/>
      <c r="W50" s="31"/>
      <c r="X50" s="31"/>
      <c r="Y50" s="31"/>
      <c r="Z50" s="31"/>
      <c r="AA50" s="2"/>
      <c r="AB50" s="31"/>
      <c r="AC50" s="31"/>
      <c r="AD50" s="31"/>
      <c r="AE50" s="37"/>
      <c r="AF50" s="37"/>
      <c r="AG50" s="37"/>
    </row>
    <row r="51" spans="1:33" ht="15.75" customHeight="1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6"/>
      <c r="V51" s="1"/>
      <c r="W51" s="31"/>
      <c r="X51" s="31"/>
      <c r="Y51" s="31"/>
      <c r="Z51" s="31"/>
      <c r="AA51" s="2"/>
      <c r="AB51" s="31"/>
      <c r="AC51" s="31"/>
      <c r="AD51" s="31"/>
      <c r="AE51" s="37"/>
      <c r="AF51" s="37"/>
      <c r="AG51" s="37"/>
    </row>
    <row r="52" spans="1:33" ht="15.75" customHeight="1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6"/>
      <c r="V52" s="1"/>
      <c r="W52" s="31"/>
      <c r="X52" s="31"/>
      <c r="Y52" s="31"/>
      <c r="Z52" s="31"/>
      <c r="AA52" s="2"/>
      <c r="AB52" s="31"/>
      <c r="AC52" s="31"/>
      <c r="AD52" s="31"/>
      <c r="AE52" s="37"/>
      <c r="AF52" s="37"/>
      <c r="AG52" s="37"/>
    </row>
    <row r="53" spans="1:33" ht="15.75" customHeight="1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6"/>
      <c r="V53" s="1"/>
      <c r="W53" s="31"/>
      <c r="X53" s="31"/>
      <c r="Y53" s="31"/>
      <c r="Z53" s="31"/>
      <c r="AA53" s="2"/>
      <c r="AB53" s="31"/>
      <c r="AC53" s="31"/>
      <c r="AD53" s="31"/>
      <c r="AE53" s="37"/>
      <c r="AF53" s="37"/>
      <c r="AG53" s="37"/>
    </row>
    <row r="54" spans="1:33" ht="15.75" customHeight="1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6"/>
      <c r="V54" s="1"/>
      <c r="W54" s="31"/>
      <c r="X54" s="31"/>
      <c r="Y54" s="31"/>
      <c r="Z54" s="31"/>
      <c r="AA54" s="2"/>
      <c r="AB54" s="31"/>
      <c r="AC54" s="31"/>
      <c r="AD54" s="31"/>
      <c r="AE54" s="37"/>
      <c r="AF54" s="37"/>
      <c r="AG54" s="37"/>
    </row>
    <row r="55" spans="1:33" ht="15.75" customHeight="1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6"/>
      <c r="V55" s="1"/>
      <c r="W55" s="31"/>
      <c r="X55" s="31"/>
      <c r="Y55" s="31"/>
      <c r="Z55" s="31"/>
      <c r="AA55" s="2"/>
      <c r="AB55" s="31"/>
      <c r="AC55" s="31"/>
      <c r="AD55" s="31"/>
      <c r="AE55" s="37"/>
      <c r="AF55" s="37"/>
      <c r="AG55" s="37"/>
    </row>
    <row r="56" spans="1:33" ht="15.75" customHeight="1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6"/>
      <c r="V56" s="1"/>
      <c r="W56" s="31"/>
      <c r="X56" s="31"/>
      <c r="Y56" s="31"/>
      <c r="Z56" s="31"/>
      <c r="AA56" s="2"/>
      <c r="AB56" s="31"/>
      <c r="AC56" s="31"/>
      <c r="AD56" s="31"/>
      <c r="AE56" s="37"/>
      <c r="AF56" s="37"/>
      <c r="AG56" s="37"/>
    </row>
    <row r="57" spans="1:33" ht="15.75" customHeight="1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6"/>
      <c r="V57" s="1"/>
      <c r="W57" s="31"/>
      <c r="X57" s="31"/>
      <c r="Y57" s="31"/>
      <c r="Z57" s="31"/>
      <c r="AA57" s="2"/>
      <c r="AB57" s="31"/>
      <c r="AC57" s="31"/>
      <c r="AD57" s="31"/>
      <c r="AE57" s="37"/>
      <c r="AF57" s="37"/>
      <c r="AG57" s="37"/>
    </row>
    <row r="58" spans="1:33" ht="15.75" customHeight="1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6"/>
      <c r="V58" s="1"/>
      <c r="W58" s="31"/>
      <c r="X58" s="31"/>
      <c r="Y58" s="31"/>
      <c r="Z58" s="31"/>
      <c r="AA58" s="2"/>
      <c r="AB58" s="31"/>
      <c r="AC58" s="31"/>
      <c r="AD58" s="31"/>
      <c r="AE58" s="37"/>
      <c r="AF58" s="37"/>
      <c r="AG58" s="37"/>
    </row>
    <row r="59" spans="1:33" ht="15.75" customHeight="1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6"/>
      <c r="V59" s="1"/>
      <c r="W59" s="31"/>
      <c r="X59" s="31"/>
      <c r="Y59" s="31"/>
      <c r="Z59" s="31"/>
      <c r="AA59" s="2"/>
      <c r="AB59" s="31"/>
      <c r="AC59" s="31"/>
      <c r="AD59" s="31"/>
      <c r="AE59" s="37"/>
      <c r="AF59" s="37"/>
      <c r="AG59" s="37"/>
    </row>
    <row r="60" spans="1:33" ht="15.75" customHeight="1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6"/>
      <c r="V60" s="1"/>
      <c r="W60" s="31"/>
      <c r="X60" s="31"/>
      <c r="Y60" s="31"/>
      <c r="Z60" s="31"/>
      <c r="AA60" s="2"/>
      <c r="AB60" s="31"/>
      <c r="AC60" s="31"/>
      <c r="AD60" s="31"/>
      <c r="AE60" s="37"/>
      <c r="AF60" s="37"/>
      <c r="AG60" s="37"/>
    </row>
    <row r="61" spans="1:33" ht="15.75" customHeight="1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6"/>
      <c r="V61" s="1"/>
      <c r="W61" s="31"/>
      <c r="X61" s="31"/>
      <c r="Y61" s="31"/>
      <c r="Z61" s="31"/>
      <c r="AA61" s="2"/>
      <c r="AB61" s="31"/>
      <c r="AC61" s="31"/>
      <c r="AD61" s="31"/>
      <c r="AE61" s="37"/>
      <c r="AF61" s="37"/>
      <c r="AG61" s="37"/>
    </row>
    <row r="62" spans="1:33" ht="15.75" customHeight="1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6"/>
      <c r="V62" s="1"/>
      <c r="W62" s="31"/>
      <c r="X62" s="31"/>
      <c r="Y62" s="31"/>
      <c r="Z62" s="31"/>
      <c r="AA62" s="2"/>
      <c r="AB62" s="31"/>
      <c r="AC62" s="31"/>
      <c r="AD62" s="31"/>
      <c r="AE62" s="37"/>
      <c r="AF62" s="37"/>
      <c r="AG62" s="37"/>
    </row>
    <row r="63" spans="1:33" ht="15.75" customHeight="1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6"/>
      <c r="V63" s="1"/>
      <c r="W63" s="31"/>
      <c r="X63" s="31"/>
      <c r="Y63" s="31"/>
      <c r="Z63" s="31"/>
      <c r="AA63" s="2"/>
      <c r="AB63" s="31"/>
      <c r="AC63" s="31"/>
      <c r="AD63" s="31"/>
      <c r="AE63" s="37"/>
      <c r="AF63" s="37"/>
      <c r="AG63" s="37"/>
    </row>
    <row r="64" spans="1:33" ht="15.75" customHeight="1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6"/>
      <c r="V64" s="1"/>
      <c r="W64" s="31"/>
      <c r="X64" s="31"/>
      <c r="Y64" s="31"/>
      <c r="Z64" s="31"/>
      <c r="AA64" s="2"/>
      <c r="AB64" s="31"/>
      <c r="AC64" s="31"/>
      <c r="AD64" s="31"/>
      <c r="AE64" s="37"/>
      <c r="AF64" s="37"/>
      <c r="AG64" s="37"/>
    </row>
    <row r="65" spans="1:33" ht="15.75" customHeight="1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6"/>
      <c r="V65" s="1"/>
      <c r="W65" s="31"/>
      <c r="X65" s="31"/>
      <c r="Y65" s="31"/>
      <c r="Z65" s="31"/>
      <c r="AA65" s="2"/>
      <c r="AB65" s="31"/>
      <c r="AC65" s="31"/>
      <c r="AD65" s="31"/>
      <c r="AE65" s="37"/>
      <c r="AF65" s="37"/>
      <c r="AG65" s="37"/>
    </row>
    <row r="66" spans="1:33" ht="15.75" customHeight="1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6"/>
      <c r="V66" s="1"/>
      <c r="W66" s="31"/>
      <c r="X66" s="31"/>
      <c r="Y66" s="31"/>
      <c r="Z66" s="31"/>
      <c r="AA66" s="2"/>
      <c r="AB66" s="31"/>
      <c r="AC66" s="31"/>
      <c r="AD66" s="31"/>
      <c r="AE66" s="37"/>
      <c r="AF66" s="37"/>
      <c r="AG66" s="37"/>
    </row>
    <row r="67" spans="1:33" ht="15.75" customHeight="1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6"/>
      <c r="V67" s="1"/>
      <c r="W67" s="31"/>
      <c r="X67" s="31"/>
      <c r="Y67" s="31"/>
      <c r="Z67" s="31"/>
      <c r="AA67" s="2"/>
      <c r="AB67" s="31"/>
      <c r="AC67" s="31"/>
      <c r="AD67" s="31"/>
      <c r="AE67" s="37"/>
      <c r="AF67" s="37"/>
      <c r="AG67" s="37"/>
    </row>
    <row r="68" spans="1:33" ht="15.75" customHeight="1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6"/>
      <c r="V68" s="1"/>
      <c r="W68" s="31"/>
      <c r="X68" s="31"/>
      <c r="Y68" s="31"/>
      <c r="Z68" s="31"/>
      <c r="AA68" s="2"/>
      <c r="AB68" s="31"/>
      <c r="AC68" s="31"/>
      <c r="AD68" s="31"/>
      <c r="AE68" s="37"/>
      <c r="AF68" s="37"/>
      <c r="AG68" s="37"/>
    </row>
    <row r="69" spans="1:33" ht="15.75" customHeight="1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6"/>
      <c r="V69" s="1"/>
      <c r="W69" s="31"/>
      <c r="X69" s="31"/>
      <c r="Y69" s="31"/>
      <c r="Z69" s="31"/>
      <c r="AA69" s="2"/>
      <c r="AB69" s="31"/>
      <c r="AC69" s="31"/>
      <c r="AD69" s="31"/>
      <c r="AE69" s="37"/>
      <c r="AF69" s="37"/>
      <c r="AG69" s="37"/>
    </row>
    <row r="70" spans="1:33" ht="15.75" customHeight="1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6"/>
      <c r="V70" s="1"/>
      <c r="W70" s="31"/>
      <c r="X70" s="31"/>
      <c r="Y70" s="31"/>
      <c r="Z70" s="31"/>
      <c r="AA70" s="2"/>
      <c r="AB70" s="31"/>
      <c r="AC70" s="31"/>
      <c r="AD70" s="31"/>
      <c r="AE70" s="37"/>
      <c r="AF70" s="37"/>
      <c r="AG70" s="37"/>
    </row>
    <row r="71" spans="1:33" ht="15.75" customHeight="1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6"/>
      <c r="V71" s="1"/>
      <c r="W71" s="31"/>
      <c r="X71" s="31"/>
      <c r="Y71" s="31"/>
      <c r="Z71" s="31"/>
      <c r="AA71" s="2"/>
      <c r="AB71" s="31"/>
      <c r="AC71" s="31"/>
      <c r="AD71" s="31"/>
      <c r="AE71" s="37"/>
      <c r="AF71" s="37"/>
      <c r="AG71" s="37"/>
    </row>
    <row r="72" spans="1:33" ht="15.75" customHeight="1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6"/>
      <c r="V72" s="1"/>
      <c r="W72" s="31"/>
      <c r="X72" s="31"/>
      <c r="Y72" s="31"/>
      <c r="Z72" s="31"/>
      <c r="AA72" s="2"/>
      <c r="AB72" s="31"/>
      <c r="AC72" s="31"/>
      <c r="AD72" s="31"/>
      <c r="AE72" s="37"/>
      <c r="AF72" s="37"/>
      <c r="AG72" s="37"/>
    </row>
    <row r="73" spans="1:33" ht="15.75" customHeight="1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6"/>
      <c r="V73" s="1"/>
      <c r="W73" s="31"/>
      <c r="X73" s="31"/>
      <c r="Y73" s="31"/>
      <c r="Z73" s="31"/>
      <c r="AA73" s="2"/>
      <c r="AB73" s="31"/>
      <c r="AC73" s="31"/>
      <c r="AD73" s="31"/>
      <c r="AE73" s="37"/>
      <c r="AF73" s="37"/>
      <c r="AG73" s="37"/>
    </row>
    <row r="74" spans="1:33" ht="15.75" customHeight="1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6"/>
      <c r="V74" s="1"/>
      <c r="W74" s="31"/>
      <c r="X74" s="31"/>
      <c r="Y74" s="31"/>
      <c r="Z74" s="31"/>
      <c r="AA74" s="2"/>
      <c r="AB74" s="31"/>
      <c r="AC74" s="31"/>
      <c r="AD74" s="31"/>
      <c r="AE74" s="37"/>
      <c r="AF74" s="37"/>
      <c r="AG74" s="37"/>
    </row>
    <row r="75" spans="1:33" ht="15.75" customHeight="1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6"/>
      <c r="V75" s="1"/>
      <c r="W75" s="31"/>
      <c r="X75" s="31"/>
      <c r="Y75" s="31"/>
      <c r="Z75" s="31"/>
      <c r="AA75" s="2"/>
      <c r="AB75" s="31"/>
      <c r="AC75" s="31"/>
      <c r="AD75" s="31"/>
      <c r="AE75" s="37"/>
      <c r="AF75" s="37"/>
      <c r="AG75" s="37"/>
    </row>
    <row r="76" spans="1:33" ht="15.75" customHeight="1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6"/>
      <c r="V76" s="1"/>
      <c r="W76" s="31"/>
      <c r="X76" s="31"/>
      <c r="Y76" s="31"/>
      <c r="Z76" s="31"/>
      <c r="AA76" s="2"/>
      <c r="AB76" s="31"/>
      <c r="AC76" s="31"/>
      <c r="AD76" s="31"/>
      <c r="AE76" s="37"/>
      <c r="AF76" s="37"/>
      <c r="AG76" s="37"/>
    </row>
    <row r="77" spans="1:33" ht="15.75" customHeight="1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6"/>
      <c r="V77" s="1"/>
      <c r="W77" s="31"/>
      <c r="X77" s="31"/>
      <c r="Y77" s="31"/>
      <c r="Z77" s="31"/>
      <c r="AA77" s="2"/>
      <c r="AB77" s="31"/>
      <c r="AC77" s="31"/>
      <c r="AD77" s="31"/>
      <c r="AE77" s="37"/>
      <c r="AF77" s="37"/>
      <c r="AG77" s="37"/>
    </row>
    <row r="78" spans="1:33" ht="15.75" customHeight="1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6"/>
      <c r="V78" s="1"/>
      <c r="W78" s="31"/>
      <c r="X78" s="31"/>
      <c r="Y78" s="31"/>
      <c r="Z78" s="31"/>
      <c r="AA78" s="2"/>
      <c r="AB78" s="31"/>
      <c r="AC78" s="31"/>
      <c r="AD78" s="31"/>
      <c r="AE78" s="37"/>
      <c r="AF78" s="37"/>
      <c r="AG78" s="37"/>
    </row>
    <row r="79" spans="1:33" ht="15.75" customHeight="1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6"/>
      <c r="V79" s="1"/>
      <c r="W79" s="31"/>
      <c r="X79" s="31"/>
      <c r="Y79" s="31"/>
      <c r="Z79" s="31"/>
      <c r="AA79" s="2"/>
      <c r="AB79" s="31"/>
      <c r="AC79" s="31"/>
      <c r="AD79" s="31"/>
      <c r="AE79" s="37"/>
      <c r="AF79" s="37"/>
      <c r="AG79" s="37"/>
    </row>
    <row r="80" spans="1:33" ht="15.75" customHeight="1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6"/>
      <c r="V80" s="1"/>
      <c r="W80" s="31"/>
      <c r="X80" s="31"/>
      <c r="Y80" s="31"/>
      <c r="Z80" s="31"/>
      <c r="AA80" s="2"/>
      <c r="AB80" s="31"/>
      <c r="AC80" s="31"/>
      <c r="AD80" s="31"/>
      <c r="AE80" s="37"/>
      <c r="AF80" s="37"/>
      <c r="AG80" s="37"/>
    </row>
    <row r="81" spans="1:33" ht="15.75" customHeight="1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6"/>
      <c r="V81" s="1"/>
      <c r="W81" s="31"/>
      <c r="X81" s="31"/>
      <c r="Y81" s="31"/>
      <c r="Z81" s="31"/>
      <c r="AA81" s="2"/>
      <c r="AB81" s="31"/>
      <c r="AC81" s="31"/>
      <c r="AD81" s="31"/>
      <c r="AE81" s="37"/>
      <c r="AF81" s="37"/>
      <c r="AG81" s="37"/>
    </row>
    <row r="82" spans="1:33" ht="15.75" customHeight="1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6"/>
      <c r="V82" s="1"/>
      <c r="W82" s="31"/>
      <c r="X82" s="31"/>
      <c r="Y82" s="31"/>
      <c r="Z82" s="31"/>
      <c r="AA82" s="2"/>
      <c r="AB82" s="31"/>
      <c r="AC82" s="31"/>
      <c r="AD82" s="31"/>
      <c r="AE82" s="37"/>
      <c r="AF82" s="37"/>
      <c r="AG82" s="37"/>
    </row>
    <row r="83" spans="1:33" ht="15.75" customHeight="1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6"/>
      <c r="V83" s="1"/>
      <c r="W83" s="31"/>
      <c r="X83" s="31"/>
      <c r="Y83" s="31"/>
      <c r="Z83" s="31"/>
      <c r="AA83" s="2"/>
      <c r="AB83" s="31"/>
      <c r="AC83" s="31"/>
      <c r="AD83" s="31"/>
      <c r="AE83" s="37"/>
      <c r="AF83" s="37"/>
      <c r="AG83" s="37"/>
    </row>
    <row r="84" spans="1:33" ht="15.75" customHeight="1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6"/>
      <c r="V84" s="1"/>
      <c r="W84" s="31"/>
      <c r="X84" s="31"/>
      <c r="Y84" s="31"/>
      <c r="Z84" s="31"/>
      <c r="AA84" s="2"/>
      <c r="AB84" s="31"/>
      <c r="AC84" s="31"/>
      <c r="AD84" s="31"/>
      <c r="AE84" s="37"/>
      <c r="AF84" s="37"/>
      <c r="AG84" s="37"/>
    </row>
    <row r="85" spans="1:33" ht="15.75" customHeight="1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6"/>
      <c r="V85" s="1"/>
      <c r="W85" s="31"/>
      <c r="X85" s="31"/>
      <c r="Y85" s="31"/>
      <c r="Z85" s="31"/>
      <c r="AA85" s="2"/>
      <c r="AB85" s="31"/>
      <c r="AC85" s="31"/>
      <c r="AD85" s="31"/>
      <c r="AE85" s="37"/>
      <c r="AF85" s="37"/>
      <c r="AG85" s="37"/>
    </row>
    <row r="86" spans="1:33" ht="15.75" customHeight="1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6"/>
      <c r="V86" s="1"/>
      <c r="W86" s="31"/>
      <c r="X86" s="31"/>
      <c r="Y86" s="31"/>
      <c r="Z86" s="31"/>
      <c r="AA86" s="2"/>
      <c r="AB86" s="31"/>
      <c r="AC86" s="31"/>
      <c r="AD86" s="31"/>
      <c r="AE86" s="37"/>
      <c r="AF86" s="37"/>
      <c r="AG86" s="37"/>
    </row>
    <row r="87" spans="1:33" ht="15.75" customHeight="1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6"/>
      <c r="V87" s="1"/>
      <c r="W87" s="31"/>
      <c r="X87" s="31"/>
      <c r="Y87" s="31"/>
      <c r="Z87" s="31"/>
      <c r="AA87" s="2"/>
      <c r="AB87" s="31"/>
      <c r="AC87" s="31"/>
      <c r="AD87" s="31"/>
      <c r="AE87" s="37"/>
      <c r="AF87" s="37"/>
      <c r="AG87" s="37"/>
    </row>
    <row r="88" spans="1:33" ht="15.75" customHeight="1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6"/>
      <c r="V88" s="1"/>
      <c r="W88" s="31"/>
      <c r="X88" s="31"/>
      <c r="Y88" s="31"/>
      <c r="Z88" s="31"/>
      <c r="AA88" s="2"/>
      <c r="AB88" s="31"/>
      <c r="AC88" s="31"/>
      <c r="AD88" s="31"/>
      <c r="AE88" s="37"/>
      <c r="AF88" s="37"/>
      <c r="AG88" s="37"/>
    </row>
    <row r="89" spans="1:33" ht="15.75" customHeight="1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6"/>
      <c r="V89" s="1"/>
      <c r="W89" s="31"/>
      <c r="X89" s="31"/>
      <c r="Y89" s="31"/>
      <c r="Z89" s="31"/>
      <c r="AA89" s="2"/>
      <c r="AB89" s="31"/>
      <c r="AC89" s="31"/>
      <c r="AD89" s="31"/>
      <c r="AE89" s="37"/>
      <c r="AF89" s="37"/>
      <c r="AG89" s="37"/>
    </row>
    <row r="90" spans="1:33" ht="15.75" customHeight="1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6"/>
      <c r="V90" s="1"/>
      <c r="W90" s="31"/>
      <c r="X90" s="31"/>
      <c r="Y90" s="31"/>
      <c r="Z90" s="31"/>
      <c r="AA90" s="2"/>
      <c r="AB90" s="31"/>
      <c r="AC90" s="31"/>
      <c r="AD90" s="31"/>
      <c r="AE90" s="37"/>
      <c r="AF90" s="37"/>
      <c r="AG90" s="37"/>
    </row>
    <row r="91" spans="1:33" ht="15.75" customHeight="1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6"/>
      <c r="V91" s="1"/>
      <c r="W91" s="31"/>
      <c r="X91" s="31"/>
      <c r="Y91" s="31"/>
      <c r="Z91" s="31"/>
      <c r="AA91" s="2"/>
      <c r="AB91" s="31"/>
      <c r="AC91" s="31"/>
      <c r="AD91" s="31"/>
      <c r="AE91" s="37"/>
      <c r="AF91" s="37"/>
      <c r="AG91" s="37"/>
    </row>
    <row r="92" spans="1:33" ht="15.75" customHeight="1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6"/>
      <c r="V92" s="1"/>
      <c r="W92" s="31"/>
      <c r="X92" s="31"/>
      <c r="Y92" s="31"/>
      <c r="Z92" s="31"/>
      <c r="AA92" s="2"/>
      <c r="AB92" s="31"/>
      <c r="AC92" s="31"/>
      <c r="AD92" s="31"/>
      <c r="AE92" s="37"/>
      <c r="AF92" s="37"/>
      <c r="AG92" s="37"/>
    </row>
    <row r="93" spans="1:33" ht="15.75" customHeight="1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6"/>
      <c r="V93" s="1"/>
      <c r="W93" s="31"/>
      <c r="X93" s="31"/>
      <c r="Y93" s="31"/>
      <c r="Z93" s="31"/>
      <c r="AA93" s="2"/>
      <c r="AB93" s="31"/>
      <c r="AC93" s="31"/>
      <c r="AD93" s="31"/>
      <c r="AE93" s="37"/>
      <c r="AF93" s="37"/>
      <c r="AG93" s="37"/>
    </row>
    <row r="94" spans="1:33" ht="15.75" customHeight="1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6"/>
      <c r="V94" s="1"/>
      <c r="W94" s="31"/>
      <c r="X94" s="31"/>
      <c r="Y94" s="31"/>
      <c r="Z94" s="31"/>
      <c r="AA94" s="2"/>
      <c r="AB94" s="31"/>
      <c r="AC94" s="31"/>
      <c r="AD94" s="31"/>
      <c r="AE94" s="37"/>
      <c r="AF94" s="37"/>
      <c r="AG94" s="37"/>
    </row>
    <row r="95" spans="1:33" ht="15.75" customHeight="1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6"/>
      <c r="V95" s="1"/>
      <c r="W95" s="31"/>
      <c r="X95" s="31"/>
      <c r="Y95" s="31"/>
      <c r="Z95" s="31"/>
      <c r="AA95" s="2"/>
      <c r="AB95" s="31"/>
      <c r="AC95" s="31"/>
      <c r="AD95" s="31"/>
      <c r="AE95" s="37"/>
      <c r="AF95" s="37"/>
      <c r="AG95" s="37"/>
    </row>
    <row r="96" spans="1:33" ht="15.75" customHeight="1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6"/>
      <c r="V96" s="1"/>
      <c r="W96" s="31"/>
      <c r="X96" s="31"/>
      <c r="Y96" s="31"/>
      <c r="Z96" s="31"/>
      <c r="AA96" s="2"/>
      <c r="AB96" s="31"/>
      <c r="AC96" s="31"/>
      <c r="AD96" s="31"/>
      <c r="AE96" s="37"/>
      <c r="AF96" s="37"/>
      <c r="AG96" s="37"/>
    </row>
    <row r="97" spans="1:33" ht="15.75" customHeight="1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8"/>
      <c r="R97" s="38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8"/>
      <c r="R98" s="38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8"/>
      <c r="R99" s="38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8"/>
      <c r="R100" s="38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8"/>
      <c r="R101" s="38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8"/>
      <c r="R102" s="38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8"/>
      <c r="R103" s="38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8"/>
      <c r="R104" s="38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8"/>
      <c r="R105" s="38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8"/>
      <c r="R106" s="38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8"/>
      <c r="R107" s="38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8"/>
      <c r="R108" s="38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8"/>
      <c r="R109" s="38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8"/>
      <c r="R110" s="38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8"/>
      <c r="R111" s="38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8"/>
      <c r="R112" s="38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8"/>
      <c r="R113" s="38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8"/>
      <c r="R114" s="38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>
      <c r="A115" s="31"/>
      <c r="B115" s="31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>
      <c r="A116" s="31"/>
      <c r="B116" s="31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>
      <c r="A117" s="31"/>
      <c r="B117" s="31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>
      <c r="A118" s="31"/>
      <c r="B118" s="31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>
      <c r="A119" s="31"/>
      <c r="B119" s="31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>
      <c r="A120" s="31"/>
      <c r="B120" s="31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>
      <c r="A121" s="31"/>
      <c r="B121" s="31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>
      <c r="A122" s="31"/>
      <c r="B122" s="31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>
      <c r="A123" s="31"/>
      <c r="B123" s="31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>
      <c r="A124" s="31"/>
      <c r="B124" s="31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>
      <c r="A125" s="31"/>
      <c r="B125" s="31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>
      <c r="A126" s="31"/>
      <c r="B126" s="31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>
      <c r="A127" s="31"/>
      <c r="B127" s="31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>
      <c r="A128" s="31"/>
      <c r="B128" s="31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>
      <c r="A129" s="31"/>
      <c r="B129" s="31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>
      <c r="A130" s="31"/>
      <c r="B130" s="31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>
      <c r="A131" s="31"/>
      <c r="B131" s="31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>
      <c r="A132" s="31"/>
      <c r="B132" s="31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>
      <c r="A133" s="31"/>
      <c r="B133" s="31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>
      <c r="A134" s="31"/>
      <c r="B134" s="31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>
      <c r="A135" s="31"/>
      <c r="B135" s="31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>
      <c r="A136" s="31"/>
      <c r="B136" s="31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>
      <c r="A137" s="31"/>
      <c r="B137" s="31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>
      <c r="A138" s="31"/>
      <c r="B138" s="31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>
      <c r="A139" s="31"/>
      <c r="B139" s="31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>
      <c r="A140" s="31"/>
      <c r="B140" s="31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>
      <c r="A141" s="31"/>
      <c r="B141" s="31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2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>
      <c r="A142" s="31"/>
      <c r="B142" s="31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2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>
      <c r="A143" s="31"/>
      <c r="B143" s="31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2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>
      <c r="A144" s="31"/>
      <c r="B144" s="31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2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>
      <c r="A145" s="31"/>
      <c r="B145" s="31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2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>
      <c r="A146" s="31"/>
      <c r="B146" s="31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2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>
      <c r="A147" s="31"/>
      <c r="B147" s="31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2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>
      <c r="A148" s="31"/>
      <c r="B148" s="31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2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</row>
    <row r="149" spans="1:33" ht="15.75" customHeight="1">
      <c r="A149" s="14"/>
      <c r="B149" s="14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>
      <c r="A150" s="14"/>
      <c r="B150" s="14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>
      <c r="A151" s="14"/>
      <c r="B151" s="14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>
      <c r="A152" s="14"/>
      <c r="B152" s="14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>
      <c r="A153" s="14"/>
      <c r="B153" s="14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>
      <c r="A154" s="14"/>
      <c r="B154" s="14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>
      <c r="A155" s="14"/>
      <c r="B155" s="14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>
      <c r="A156" s="14"/>
      <c r="B156" s="14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>
      <c r="A157" s="14"/>
      <c r="B157" s="14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>
      <c r="A158" s="14"/>
      <c r="B158" s="14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>
      <c r="A159" s="14"/>
      <c r="B159" s="14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>
      <c r="A160" s="14"/>
      <c r="B160" s="14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>
      <c r="A161" s="14"/>
      <c r="B161" s="14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>
      <c r="A162" s="14"/>
      <c r="B162" s="14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>
      <c r="A163" s="14"/>
      <c r="B163" s="14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>
      <c r="A164" s="14"/>
      <c r="B164" s="14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>
      <c r="A165" s="14"/>
      <c r="B165" s="14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>
      <c r="A166" s="14"/>
      <c r="B166" s="14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>
      <c r="A167" s="14"/>
      <c r="B167" s="14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>
      <c r="A168" s="14"/>
      <c r="B168" s="14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>
      <c r="A169" s="14"/>
      <c r="B169" s="14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>
      <c r="A170" s="14"/>
      <c r="B170" s="14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>
      <c r="A171" s="14"/>
      <c r="B171" s="14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>
      <c r="A172" s="14"/>
      <c r="B172" s="14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>
      <c r="A173" s="14"/>
      <c r="B173" s="14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>
      <c r="A174" s="14"/>
      <c r="B174" s="14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>
      <c r="A175" s="14"/>
      <c r="B175" s="14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>
      <c r="A176" s="14"/>
      <c r="B176" s="14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>
      <c r="A177" s="14"/>
      <c r="B177" s="14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>
      <c r="A178" s="14"/>
      <c r="B178" s="14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>
      <c r="A179" s="14"/>
      <c r="B179" s="14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>
      <c r="A180" s="14"/>
      <c r="B180" s="14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>
      <c r="A181" s="14"/>
      <c r="B181" s="14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>
      <c r="A182" s="14"/>
      <c r="B182" s="14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>
      <c r="A183" s="14"/>
      <c r="B183" s="14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>
      <c r="A184" s="14"/>
      <c r="B184" s="14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>
      <c r="A185" s="14"/>
      <c r="B185" s="14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>
      <c r="A186" s="14"/>
      <c r="B186" s="14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>
      <c r="A187" s="14"/>
      <c r="B187" s="14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>
      <c r="A188" s="14"/>
      <c r="B188" s="14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>
      <c r="A189" s="14"/>
      <c r="B189" s="14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>
      <c r="A190" s="14"/>
      <c r="B190" s="14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>
      <c r="A191" s="14"/>
      <c r="B191" s="14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>
      <c r="A192" s="14"/>
      <c r="B192" s="14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>
      <c r="A193" s="14"/>
      <c r="B193" s="14"/>
      <c r="C193" s="39"/>
      <c r="D193" s="39"/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>
      <c r="A194" s="14"/>
      <c r="B194" s="14"/>
      <c r="C194" s="39"/>
      <c r="D194" s="39"/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>
      <c r="A195" s="14"/>
      <c r="B195" s="14"/>
      <c r="C195" s="39"/>
      <c r="D195" s="39"/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>
      <c r="A196" s="14"/>
      <c r="B196" s="14"/>
      <c r="C196" s="39"/>
      <c r="D196" s="39"/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>
      <c r="A197" s="14"/>
      <c r="B197" s="14"/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>
      <c r="A198" s="14"/>
      <c r="B198" s="14"/>
      <c r="C198" s="39"/>
      <c r="D198" s="39"/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>
      <c r="A199" s="14"/>
      <c r="B199" s="14"/>
      <c r="C199" s="39"/>
      <c r="D199" s="39"/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>
      <c r="A200" s="14"/>
      <c r="B200" s="14"/>
      <c r="C200" s="39"/>
      <c r="D200" s="39"/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>
      <c r="A201" s="14"/>
      <c r="B201" s="14"/>
      <c r="C201" s="39"/>
      <c r="D201" s="39"/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>
      <c r="A202" s="14"/>
      <c r="B202" s="14"/>
      <c r="C202" s="39"/>
      <c r="D202" s="39"/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>
      <c r="A203" s="14"/>
      <c r="B203" s="14"/>
      <c r="C203" s="39"/>
      <c r="D203" s="39"/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>
      <c r="A204" s="14"/>
      <c r="B204" s="14"/>
      <c r="C204" s="39"/>
      <c r="D204" s="39"/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>
      <c r="A205" s="14"/>
      <c r="B205" s="14"/>
      <c r="C205" s="39"/>
      <c r="D205" s="39"/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>
      <c r="A206" s="14"/>
      <c r="B206" s="14"/>
      <c r="C206" s="39"/>
      <c r="D206" s="39"/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>
      <c r="A207" s="14"/>
      <c r="B207" s="14"/>
      <c r="C207" s="39"/>
      <c r="D207" s="39"/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>
      <c r="A208" s="14"/>
      <c r="B208" s="14"/>
      <c r="C208" s="39"/>
      <c r="D208" s="39"/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>
      <c r="A209" s="14"/>
      <c r="B209" s="14"/>
      <c r="C209" s="39"/>
      <c r="D209" s="39"/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>
      <c r="A210" s="14"/>
      <c r="B210" s="14"/>
      <c r="C210" s="39"/>
      <c r="D210" s="39"/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>
      <c r="A211" s="14"/>
      <c r="B211" s="14"/>
      <c r="C211" s="39"/>
      <c r="D211" s="39"/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>
      <c r="A212" s="14"/>
      <c r="B212" s="14"/>
      <c r="C212" s="39"/>
      <c r="D212" s="39"/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>
      <c r="A213" s="14"/>
      <c r="B213" s="14"/>
      <c r="C213" s="39"/>
      <c r="D213" s="39"/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>
      <c r="A214" s="14"/>
      <c r="B214" s="14"/>
      <c r="C214" s="39"/>
      <c r="D214" s="39"/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>
      <c r="A215" s="14"/>
      <c r="B215" s="14"/>
      <c r="C215" s="39"/>
      <c r="D215" s="39"/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>
      <c r="A216" s="14"/>
      <c r="B216" s="14"/>
      <c r="C216" s="39"/>
      <c r="D216" s="39"/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>
      <c r="A217" s="14"/>
      <c r="B217" s="14"/>
      <c r="C217" s="39"/>
      <c r="D217" s="39"/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>
      <c r="A218" s="14"/>
      <c r="B218" s="14"/>
      <c r="C218" s="39"/>
      <c r="D218" s="39"/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>
      <c r="A219" s="14"/>
      <c r="B219" s="14"/>
      <c r="C219" s="39"/>
      <c r="D219" s="39"/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>
      <c r="A220" s="14"/>
      <c r="B220" s="14"/>
      <c r="C220" s="39"/>
      <c r="D220" s="39"/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>
      <c r="R221" s="30"/>
      <c r="S221" s="40"/>
    </row>
    <row r="222" spans="1:33" ht="15.75" customHeight="1">
      <c r="R222" s="30"/>
      <c r="S222" s="40"/>
    </row>
    <row r="223" spans="1:33" ht="15.75" customHeight="1">
      <c r="R223" s="30"/>
      <c r="S223" s="40"/>
    </row>
    <row r="224" spans="1:33" ht="15.75" customHeight="1">
      <c r="R224" s="30"/>
      <c r="S224" s="40"/>
    </row>
    <row r="225" spans="18:18" ht="15.75" customHeight="1">
      <c r="R225" s="30"/>
    </row>
    <row r="226" spans="18:18" ht="15.75" customHeight="1">
      <c r="R226" s="30"/>
    </row>
    <row r="227" spans="18:18" ht="15.75" customHeight="1">
      <c r="R227" s="30"/>
    </row>
    <row r="228" spans="18:18" ht="15.75" customHeight="1">
      <c r="R228" s="30"/>
    </row>
    <row r="229" spans="18:18" ht="15.75" customHeight="1">
      <c r="R229" s="30"/>
    </row>
    <row r="230" spans="18:18" ht="15.75" customHeight="1">
      <c r="R230" s="30"/>
    </row>
    <row r="231" spans="18:18" ht="15.75" customHeight="1">
      <c r="R231" s="30"/>
    </row>
    <row r="232" spans="18:18" ht="15.75" customHeight="1">
      <c r="R232" s="30"/>
    </row>
    <row r="233" spans="18:18" ht="15.75" customHeight="1">
      <c r="R233" s="30"/>
    </row>
    <row r="234" spans="18:18" ht="15.75" customHeight="1">
      <c r="R234" s="30"/>
    </row>
    <row r="235" spans="18:18" ht="15.75" customHeight="1">
      <c r="R235" s="30"/>
    </row>
    <row r="236" spans="18:18" ht="15.75" customHeight="1">
      <c r="R236" s="30"/>
    </row>
    <row r="237" spans="18:18" ht="15.75" customHeight="1">
      <c r="R237" s="30"/>
    </row>
    <row r="238" spans="18:18" ht="15.75" customHeight="1">
      <c r="R238" s="30"/>
    </row>
    <row r="239" spans="18:18" ht="15.75" customHeight="1">
      <c r="R239" s="30"/>
    </row>
    <row r="240" spans="18:18" ht="15.75" customHeight="1">
      <c r="R240" s="30"/>
    </row>
    <row r="241" spans="18:18" ht="15.75" customHeight="1">
      <c r="R241" s="30"/>
    </row>
    <row r="242" spans="18:18" ht="15.75" customHeight="1">
      <c r="R242" s="30"/>
    </row>
    <row r="243" spans="18:18" ht="15.75" customHeight="1">
      <c r="R243" s="30"/>
    </row>
    <row r="244" spans="18:18" ht="15.75" customHeight="1">
      <c r="R244" s="30"/>
    </row>
    <row r="245" spans="18:18" ht="15.75" customHeight="1">
      <c r="R245" s="30"/>
    </row>
    <row r="246" spans="18:18" ht="15.75" customHeight="1">
      <c r="R246" s="30"/>
    </row>
    <row r="247" spans="18:18" ht="15.75" customHeight="1">
      <c r="R247" s="30"/>
    </row>
    <row r="248" spans="18:18" ht="15.75" customHeight="1">
      <c r="R248" s="30"/>
    </row>
    <row r="249" spans="18:18" ht="15.75" customHeight="1">
      <c r="R249" s="30"/>
    </row>
    <row r="250" spans="18:18" ht="15.75" customHeight="1">
      <c r="R250" s="30"/>
    </row>
    <row r="251" spans="18:18" ht="15.75" customHeight="1">
      <c r="R251" s="30"/>
    </row>
    <row r="252" spans="18:18" ht="15.75" customHeight="1">
      <c r="R252" s="30"/>
    </row>
    <row r="253" spans="18:18" ht="15.75" customHeight="1">
      <c r="R253" s="30"/>
    </row>
    <row r="254" spans="18:18" ht="15.75" customHeight="1">
      <c r="R254" s="30"/>
    </row>
    <row r="255" spans="18:18" ht="15.75" customHeight="1">
      <c r="R255" s="30"/>
    </row>
    <row r="256" spans="18:18" ht="15.75" customHeight="1">
      <c r="R256" s="30"/>
    </row>
    <row r="257" spans="18:18" ht="15.75" customHeight="1">
      <c r="R257" s="30"/>
    </row>
    <row r="258" spans="18:18" ht="15.75" customHeight="1">
      <c r="R258" s="30"/>
    </row>
    <row r="259" spans="18:18" ht="15.75" customHeight="1">
      <c r="R259" s="30"/>
    </row>
    <row r="260" spans="18:18" ht="15.75" customHeight="1">
      <c r="R260" s="30"/>
    </row>
    <row r="261" spans="18:18" ht="15.75" customHeight="1">
      <c r="R261" s="30"/>
    </row>
    <row r="262" spans="18:18" ht="15.75" customHeight="1">
      <c r="R262" s="30"/>
    </row>
    <row r="263" spans="18:18" ht="15.75" customHeight="1">
      <c r="R263" s="30"/>
    </row>
    <row r="264" spans="18:18" ht="15.75" customHeight="1">
      <c r="R264" s="30"/>
    </row>
    <row r="265" spans="18:18" ht="15.75" customHeight="1">
      <c r="R265" s="30"/>
    </row>
    <row r="266" spans="18:18" ht="15.75" customHeight="1">
      <c r="R266" s="30"/>
    </row>
    <row r="267" spans="18:18" ht="15.75" customHeight="1">
      <c r="R267" s="30"/>
    </row>
    <row r="268" spans="18:18" ht="15.75" customHeight="1">
      <c r="R268" s="30"/>
    </row>
    <row r="269" spans="18:18" ht="15.75" customHeight="1">
      <c r="R269" s="30"/>
    </row>
    <row r="270" spans="18:18" ht="15.75" customHeight="1">
      <c r="R270" s="30"/>
    </row>
    <row r="271" spans="18:18" ht="15.75" customHeight="1">
      <c r="R271" s="30"/>
    </row>
    <row r="272" spans="18:18" ht="15.75" customHeight="1">
      <c r="R272" s="30"/>
    </row>
    <row r="273" spans="18:18" ht="15.75" customHeight="1">
      <c r="R273" s="30"/>
    </row>
    <row r="274" spans="18:18" ht="15.75" customHeight="1">
      <c r="R274" s="30"/>
    </row>
    <row r="275" spans="18:18" ht="15.75" customHeight="1">
      <c r="R275" s="30"/>
    </row>
    <row r="276" spans="18:18" ht="15.75" customHeight="1">
      <c r="R276" s="30"/>
    </row>
    <row r="277" spans="18:18" ht="15.75" customHeight="1">
      <c r="R277" s="30"/>
    </row>
    <row r="278" spans="18:18" ht="15.75" customHeight="1">
      <c r="R278" s="30"/>
    </row>
    <row r="279" spans="18:18" ht="15.75" customHeight="1">
      <c r="R279" s="30"/>
    </row>
    <row r="280" spans="18:18" ht="15.75" customHeight="1">
      <c r="R280" s="30"/>
    </row>
    <row r="281" spans="18:18" ht="15.75" customHeight="1">
      <c r="R281" s="30"/>
    </row>
    <row r="282" spans="18:18" ht="15.75" customHeight="1">
      <c r="R282" s="30"/>
    </row>
    <row r="283" spans="18:18" ht="15.75" customHeight="1">
      <c r="R283" s="30"/>
    </row>
    <row r="284" spans="18:18" ht="15.75" customHeight="1">
      <c r="R284" s="30"/>
    </row>
    <row r="285" spans="18:18" ht="15.75" customHeight="1">
      <c r="R285" s="30"/>
    </row>
    <row r="286" spans="18:18" ht="15.75" customHeight="1">
      <c r="R286" s="30"/>
    </row>
    <row r="287" spans="18:18" ht="15.75" customHeight="1">
      <c r="R287" s="30"/>
    </row>
    <row r="288" spans="18:18" ht="15.75" customHeight="1">
      <c r="R288" s="30"/>
    </row>
    <row r="289" spans="18:18" ht="15.75" customHeight="1">
      <c r="R289" s="30"/>
    </row>
    <row r="290" spans="18:18" ht="15.75" customHeight="1">
      <c r="R290" s="30"/>
    </row>
    <row r="291" spans="18:18" ht="15.75" customHeight="1">
      <c r="R291" s="30"/>
    </row>
    <row r="292" spans="18:18" ht="15.75" customHeight="1">
      <c r="R292" s="30"/>
    </row>
    <row r="293" spans="18:18" ht="15.75" customHeight="1">
      <c r="R293" s="30"/>
    </row>
    <row r="294" spans="18:18" ht="15.75" customHeight="1">
      <c r="R294" s="30"/>
    </row>
    <row r="295" spans="18:18" ht="15.75" customHeight="1">
      <c r="R295" s="30"/>
    </row>
    <row r="296" spans="18:18" ht="15.75" customHeight="1">
      <c r="R296" s="30"/>
    </row>
    <row r="297" spans="18:18" ht="15.75" customHeight="1">
      <c r="R297" s="30"/>
    </row>
    <row r="298" spans="18:18" ht="15.75" customHeight="1">
      <c r="R298" s="30"/>
    </row>
    <row r="299" spans="18:18" ht="15.75" customHeight="1">
      <c r="R299" s="30"/>
    </row>
    <row r="300" spans="18:18" ht="15.75" customHeight="1">
      <c r="R300" s="30"/>
    </row>
    <row r="301" spans="18:18" ht="15.75" customHeight="1">
      <c r="R301" s="30"/>
    </row>
    <row r="302" spans="18:18" ht="15.75" customHeight="1">
      <c r="R302" s="30"/>
    </row>
    <row r="303" spans="18:18" ht="15.75" customHeight="1">
      <c r="R303" s="30"/>
    </row>
    <row r="304" spans="18:18" ht="15.75" customHeight="1">
      <c r="R304" s="30"/>
    </row>
    <row r="305" spans="18:18" ht="15.75" customHeight="1">
      <c r="R305" s="30"/>
    </row>
    <row r="306" spans="18:18" ht="15.75" customHeight="1">
      <c r="R306" s="30"/>
    </row>
    <row r="307" spans="18:18" ht="15.75" customHeight="1">
      <c r="R307" s="30"/>
    </row>
    <row r="308" spans="18:18" ht="15.75" customHeight="1">
      <c r="R308" s="30"/>
    </row>
    <row r="309" spans="18:18" ht="15.75" customHeight="1">
      <c r="R309" s="30"/>
    </row>
    <row r="310" spans="18:18" ht="15.75" customHeight="1">
      <c r="R310" s="30"/>
    </row>
    <row r="311" spans="18:18" ht="15.75" customHeight="1">
      <c r="R311" s="30"/>
    </row>
    <row r="312" spans="18:18" ht="15.75" customHeight="1">
      <c r="R312" s="30"/>
    </row>
    <row r="313" spans="18:18" ht="15.75" customHeight="1">
      <c r="R313" s="30"/>
    </row>
    <row r="314" spans="18:18" ht="15.75" customHeight="1">
      <c r="R314" s="30"/>
    </row>
    <row r="315" spans="18:18" ht="15.75" customHeight="1">
      <c r="R315" s="30"/>
    </row>
    <row r="316" spans="18:18" ht="15.75" customHeight="1">
      <c r="R316" s="30"/>
    </row>
    <row r="317" spans="18:18" ht="15.75" customHeight="1">
      <c r="R317" s="30"/>
    </row>
    <row r="318" spans="18:18" ht="15.75" customHeight="1">
      <c r="R318" s="30"/>
    </row>
    <row r="319" spans="18:18" ht="15.75" customHeight="1">
      <c r="R319" s="30"/>
    </row>
    <row r="320" spans="18:18" ht="15.75" customHeight="1">
      <c r="R320" s="30"/>
    </row>
    <row r="321" spans="18:18" ht="15.75" customHeight="1">
      <c r="R321" s="30"/>
    </row>
    <row r="322" spans="18:18" ht="15.75" customHeight="1">
      <c r="R322" s="30"/>
    </row>
    <row r="323" spans="18:18" ht="15.75" customHeight="1">
      <c r="R323" s="30"/>
    </row>
    <row r="324" spans="18:18" ht="15.75" customHeight="1">
      <c r="R324" s="30"/>
    </row>
    <row r="325" spans="18:18" ht="15.75" customHeight="1">
      <c r="R325" s="30"/>
    </row>
    <row r="326" spans="18:18" ht="15.75" customHeight="1">
      <c r="R326" s="30"/>
    </row>
    <row r="327" spans="18:18" ht="15.75" customHeight="1">
      <c r="R327" s="30"/>
    </row>
    <row r="328" spans="18:18" ht="15.75" customHeight="1">
      <c r="R328" s="30"/>
    </row>
    <row r="329" spans="18:18" ht="15.75" customHeight="1">
      <c r="R329" s="30"/>
    </row>
    <row r="330" spans="18:18" ht="15.75" customHeight="1">
      <c r="R330" s="30"/>
    </row>
    <row r="331" spans="18:18" ht="15.75" customHeight="1">
      <c r="R331" s="30"/>
    </row>
    <row r="332" spans="18:18" ht="15.75" customHeight="1">
      <c r="R332" s="30"/>
    </row>
    <row r="333" spans="18:18" ht="15.75" customHeight="1">
      <c r="R333" s="30"/>
    </row>
    <row r="334" spans="18:18" ht="15.75" customHeight="1">
      <c r="R334" s="30"/>
    </row>
    <row r="335" spans="18:18" ht="15.75" customHeight="1">
      <c r="R335" s="30"/>
    </row>
    <row r="336" spans="18:18" ht="15.75" customHeight="1">
      <c r="R336" s="30"/>
    </row>
    <row r="337" spans="18:18" ht="15.75" customHeight="1">
      <c r="R337" s="30"/>
    </row>
    <row r="338" spans="18:18" ht="15.75" customHeight="1">
      <c r="R338" s="30"/>
    </row>
    <row r="339" spans="18:18" ht="15.75" customHeight="1">
      <c r="R339" s="30"/>
    </row>
    <row r="340" spans="18:18" ht="15.75" customHeight="1">
      <c r="R340" s="30"/>
    </row>
    <row r="341" spans="18:18" ht="15.75" customHeight="1">
      <c r="R341" s="30"/>
    </row>
    <row r="342" spans="18:18" ht="15.75" customHeight="1">
      <c r="R342" s="30"/>
    </row>
    <row r="343" spans="18:18" ht="15.75" customHeight="1">
      <c r="R343" s="30"/>
    </row>
    <row r="344" spans="18:18" ht="15.75" customHeight="1">
      <c r="R344" s="30"/>
    </row>
    <row r="345" spans="18:18" ht="15.75" customHeight="1">
      <c r="R345" s="30"/>
    </row>
    <row r="346" spans="18:18" ht="15.75" customHeight="1">
      <c r="R346" s="30"/>
    </row>
    <row r="347" spans="18:18" ht="15.75" customHeight="1">
      <c r="R347" s="30"/>
    </row>
    <row r="348" spans="18:18" ht="15.75" customHeight="1">
      <c r="R348" s="30"/>
    </row>
    <row r="349" spans="18:18" ht="15.75" customHeight="1">
      <c r="R349" s="30"/>
    </row>
    <row r="350" spans="18:18" ht="15.75" customHeight="1">
      <c r="R350" s="30"/>
    </row>
    <row r="351" spans="18:18" ht="15.75" customHeight="1">
      <c r="R351" s="30"/>
    </row>
    <row r="352" spans="18:18" ht="15.75" customHeight="1">
      <c r="R352" s="30"/>
    </row>
    <row r="353" spans="18:18" ht="15.75" customHeight="1">
      <c r="R353" s="30"/>
    </row>
    <row r="354" spans="18:18" ht="15.75" customHeight="1">
      <c r="R354" s="30"/>
    </row>
    <row r="355" spans="18:18" ht="15.75" customHeight="1">
      <c r="R355" s="30"/>
    </row>
    <row r="356" spans="18:18" ht="15.75" customHeight="1">
      <c r="R356" s="30"/>
    </row>
    <row r="357" spans="18:18" ht="15.75" customHeight="1">
      <c r="R357" s="30"/>
    </row>
    <row r="358" spans="18:18" ht="15.75" customHeight="1">
      <c r="R358" s="30"/>
    </row>
    <row r="359" spans="18:18" ht="15.75" customHeight="1">
      <c r="R359" s="30"/>
    </row>
    <row r="360" spans="18:18" ht="15.75" customHeight="1">
      <c r="R360" s="30"/>
    </row>
    <row r="361" spans="18:18" ht="15.75" customHeight="1">
      <c r="R361" s="30"/>
    </row>
    <row r="362" spans="18:18" ht="15.75" customHeight="1">
      <c r="R362" s="30"/>
    </row>
    <row r="363" spans="18:18" ht="15.75" customHeight="1">
      <c r="R363" s="30"/>
    </row>
    <row r="364" spans="18:18" ht="15.75" customHeight="1">
      <c r="R364" s="30"/>
    </row>
    <row r="365" spans="18:18" ht="15.75" customHeight="1">
      <c r="R365" s="30"/>
    </row>
    <row r="366" spans="18:18" ht="15.75" customHeight="1">
      <c r="R366" s="30"/>
    </row>
    <row r="367" spans="18:18" ht="15.75" customHeight="1">
      <c r="R367" s="30"/>
    </row>
    <row r="368" spans="18:18" ht="15.75" customHeight="1">
      <c r="R368" s="30"/>
    </row>
    <row r="369" spans="18:18" ht="15.75" customHeight="1">
      <c r="R369" s="30"/>
    </row>
    <row r="370" spans="18:18" ht="15.75" customHeight="1">
      <c r="R370" s="30"/>
    </row>
    <row r="371" spans="18:18" ht="15.75" customHeight="1">
      <c r="R371" s="30"/>
    </row>
    <row r="372" spans="18:18" ht="15.75" customHeight="1">
      <c r="R372" s="30"/>
    </row>
    <row r="373" spans="18:18" ht="15.75" customHeight="1">
      <c r="R373" s="30"/>
    </row>
    <row r="374" spans="18:18" ht="15.75" customHeight="1">
      <c r="R374" s="30"/>
    </row>
    <row r="375" spans="18:18" ht="15.75" customHeight="1">
      <c r="R375" s="30"/>
    </row>
    <row r="376" spans="18:18" ht="15.75" customHeight="1">
      <c r="R376" s="30"/>
    </row>
    <row r="377" spans="18:18" ht="15.75" customHeight="1">
      <c r="R377" s="30"/>
    </row>
    <row r="378" spans="18:18" ht="15.75" customHeight="1">
      <c r="R378" s="30"/>
    </row>
    <row r="379" spans="18:18" ht="15.75" customHeight="1">
      <c r="R379" s="30"/>
    </row>
    <row r="380" spans="18:18" ht="15.75" customHeight="1">
      <c r="R380" s="30"/>
    </row>
    <row r="381" spans="18:18" ht="15.75" customHeight="1">
      <c r="R381" s="30"/>
    </row>
    <row r="382" spans="18:18" ht="15.75" customHeight="1">
      <c r="R382" s="30"/>
    </row>
    <row r="383" spans="18:18" ht="15.75" customHeight="1">
      <c r="R383" s="30"/>
    </row>
    <row r="384" spans="18:18" ht="15.75" customHeight="1">
      <c r="R384" s="30"/>
    </row>
    <row r="385" spans="18:18" ht="15.75" customHeight="1">
      <c r="R385" s="30"/>
    </row>
    <row r="386" spans="18:18" ht="15.75" customHeight="1">
      <c r="R386" s="30"/>
    </row>
    <row r="387" spans="18:18" ht="15.75" customHeight="1">
      <c r="R387" s="30"/>
    </row>
    <row r="388" spans="18:18" ht="15.75" customHeight="1">
      <c r="R388" s="30"/>
    </row>
    <row r="389" spans="18:18" ht="15.75" customHeight="1">
      <c r="R389" s="30"/>
    </row>
    <row r="390" spans="18:18" ht="15.75" customHeight="1">
      <c r="R390" s="30"/>
    </row>
    <row r="391" spans="18:18" ht="15.75" customHeight="1">
      <c r="R391" s="30"/>
    </row>
    <row r="392" spans="18:18" ht="15.75" customHeight="1">
      <c r="R392" s="30"/>
    </row>
    <row r="393" spans="18:18" ht="15.75" customHeight="1">
      <c r="R393" s="30"/>
    </row>
    <row r="394" spans="18:18" ht="15.75" customHeight="1">
      <c r="R394" s="30"/>
    </row>
    <row r="395" spans="18:18" ht="15.75" customHeight="1">
      <c r="R395" s="30"/>
    </row>
    <row r="396" spans="18:18" ht="15.75" customHeight="1">
      <c r="R396" s="30"/>
    </row>
    <row r="397" spans="18:18" ht="15.75" customHeight="1">
      <c r="R397" s="30"/>
    </row>
    <row r="398" spans="18:18" ht="15.75" customHeight="1">
      <c r="R398" s="30"/>
    </row>
    <row r="399" spans="18:18" ht="15.75" customHeight="1">
      <c r="R399" s="30"/>
    </row>
    <row r="400" spans="18:18" ht="15.75" customHeight="1">
      <c r="R400" s="30"/>
    </row>
    <row r="401" spans="18:18" ht="15.75" customHeight="1">
      <c r="R401" s="30"/>
    </row>
    <row r="402" spans="18:18" ht="15.75" customHeight="1">
      <c r="R402" s="30"/>
    </row>
    <row r="403" spans="18:18" ht="15.75" customHeight="1">
      <c r="R403" s="30"/>
    </row>
    <row r="404" spans="18:18" ht="15.75" customHeight="1">
      <c r="R404" s="30"/>
    </row>
    <row r="405" spans="18:18" ht="15.75" customHeight="1">
      <c r="R405" s="30"/>
    </row>
    <row r="406" spans="18:18" ht="15.75" customHeight="1">
      <c r="R406" s="30"/>
    </row>
    <row r="407" spans="18:18" ht="15.75" customHeight="1">
      <c r="R407" s="30"/>
    </row>
    <row r="408" spans="18:18" ht="15.75" customHeight="1">
      <c r="R408" s="30"/>
    </row>
    <row r="409" spans="18:18" ht="15.75" customHeight="1">
      <c r="R409" s="30"/>
    </row>
    <row r="410" spans="18:18" ht="15.75" customHeight="1">
      <c r="R410" s="30"/>
    </row>
    <row r="411" spans="18:18" ht="15.75" customHeight="1">
      <c r="R411" s="30"/>
    </row>
    <row r="412" spans="18:18" ht="15.75" customHeight="1">
      <c r="R412" s="30"/>
    </row>
    <row r="413" spans="18:18" ht="15.75" customHeight="1">
      <c r="R413" s="30"/>
    </row>
    <row r="414" spans="18:18" ht="15.75" customHeight="1">
      <c r="R414" s="30"/>
    </row>
    <row r="415" spans="18:18" ht="15.75" customHeight="1">
      <c r="R415" s="30"/>
    </row>
    <row r="416" spans="18:18" ht="15.75" customHeight="1">
      <c r="R416" s="30"/>
    </row>
    <row r="417" spans="18:18" ht="15.75" customHeight="1">
      <c r="R417" s="30"/>
    </row>
    <row r="418" spans="18:18" ht="15.75" customHeight="1">
      <c r="R418" s="30"/>
    </row>
    <row r="419" spans="18:18" ht="15.75" customHeight="1">
      <c r="R419" s="30"/>
    </row>
    <row r="420" spans="18:18" ht="15.75" customHeight="1">
      <c r="R420" s="30"/>
    </row>
    <row r="421" spans="18:18" ht="15.75" customHeight="1">
      <c r="R421" s="30"/>
    </row>
    <row r="422" spans="18:18" ht="15.75" customHeight="1">
      <c r="R422" s="30"/>
    </row>
    <row r="423" spans="18:18" ht="15.75" customHeight="1">
      <c r="R423" s="30"/>
    </row>
    <row r="424" spans="18:18" ht="15.75" customHeight="1">
      <c r="R424" s="30"/>
    </row>
    <row r="425" spans="18:18" ht="15.75" customHeight="1">
      <c r="R425" s="30"/>
    </row>
    <row r="426" spans="18:18" ht="15.75" customHeight="1">
      <c r="R426" s="30"/>
    </row>
    <row r="427" spans="18:18" ht="15.75" customHeight="1">
      <c r="R427" s="30"/>
    </row>
    <row r="428" spans="18:18" ht="15.75" customHeight="1">
      <c r="R428" s="30"/>
    </row>
    <row r="429" spans="18:18" ht="15.75" customHeight="1">
      <c r="R429" s="30"/>
    </row>
    <row r="430" spans="18:18" ht="15.75" customHeight="1">
      <c r="R430" s="30"/>
    </row>
    <row r="431" spans="18:18" ht="15.75" customHeight="1">
      <c r="R431" s="30"/>
    </row>
    <row r="432" spans="18:18" ht="15.75" customHeight="1">
      <c r="R432" s="30"/>
    </row>
    <row r="433" spans="18:18" ht="15.75" customHeight="1">
      <c r="R433" s="30"/>
    </row>
    <row r="434" spans="18:18" ht="15.75" customHeight="1">
      <c r="R434" s="30"/>
    </row>
    <row r="435" spans="18:18" ht="15.75" customHeight="1">
      <c r="R435" s="30"/>
    </row>
    <row r="436" spans="18:18" ht="15.75" customHeight="1">
      <c r="R436" s="30"/>
    </row>
    <row r="437" spans="18:18" ht="15.75" customHeight="1">
      <c r="R437" s="30"/>
    </row>
    <row r="438" spans="18:18" ht="15.75" customHeight="1">
      <c r="R438" s="30"/>
    </row>
    <row r="439" spans="18:18" ht="15.75" customHeight="1">
      <c r="R439" s="30"/>
    </row>
    <row r="440" spans="18:18" ht="15.75" customHeight="1">
      <c r="R440" s="30"/>
    </row>
    <row r="441" spans="18:18" ht="15.75" customHeight="1">
      <c r="R441" s="30"/>
    </row>
    <row r="442" spans="18:18" ht="15.75" customHeight="1">
      <c r="R442" s="30"/>
    </row>
    <row r="443" spans="18:18" ht="15.75" customHeight="1">
      <c r="R443" s="30"/>
    </row>
    <row r="444" spans="18:18" ht="15.75" customHeight="1">
      <c r="R444" s="30"/>
    </row>
    <row r="445" spans="18:18" ht="15.75" customHeight="1">
      <c r="R445" s="30"/>
    </row>
    <row r="446" spans="18:18" ht="15.75" customHeight="1">
      <c r="R446" s="30"/>
    </row>
    <row r="447" spans="18:18" ht="15.75" customHeight="1">
      <c r="R447" s="30"/>
    </row>
    <row r="448" spans="18:18" ht="15.75" customHeight="1">
      <c r="R448" s="30"/>
    </row>
    <row r="449" spans="18:18" ht="15.75" customHeight="1">
      <c r="R449" s="30"/>
    </row>
    <row r="450" spans="18:18" ht="15.75" customHeight="1">
      <c r="R450" s="30"/>
    </row>
    <row r="451" spans="18:18" ht="15.75" customHeight="1">
      <c r="R451" s="30"/>
    </row>
    <row r="452" spans="18:18" ht="15.75" customHeight="1">
      <c r="R452" s="30"/>
    </row>
    <row r="453" spans="18:18" ht="15.75" customHeight="1">
      <c r="R453" s="30"/>
    </row>
    <row r="454" spans="18:18" ht="15.75" customHeight="1">
      <c r="R454" s="30"/>
    </row>
    <row r="455" spans="18:18" ht="15.75" customHeight="1">
      <c r="R455" s="30"/>
    </row>
    <row r="456" spans="18:18" ht="15.75" customHeight="1">
      <c r="R456" s="30"/>
    </row>
    <row r="457" spans="18:18" ht="15.75" customHeight="1">
      <c r="R457" s="30"/>
    </row>
    <row r="458" spans="18:18" ht="15.75" customHeight="1">
      <c r="R458" s="30"/>
    </row>
    <row r="459" spans="18:18" ht="15.75" customHeight="1">
      <c r="R459" s="30"/>
    </row>
    <row r="460" spans="18:18" ht="15.75" customHeight="1">
      <c r="R460" s="30"/>
    </row>
    <row r="461" spans="18:18" ht="15.75" customHeight="1">
      <c r="R461" s="30"/>
    </row>
    <row r="462" spans="18:18" ht="15.75" customHeight="1">
      <c r="R462" s="30"/>
    </row>
    <row r="463" spans="18:18" ht="15.75" customHeight="1">
      <c r="R463" s="30"/>
    </row>
    <row r="464" spans="18:18" ht="15.75" customHeight="1">
      <c r="R464" s="30"/>
    </row>
    <row r="465" spans="18:18" ht="15.75" customHeight="1">
      <c r="R465" s="30"/>
    </row>
    <row r="466" spans="18:18" ht="15.75" customHeight="1">
      <c r="R466" s="30"/>
    </row>
    <row r="467" spans="18:18" ht="15.75" customHeight="1">
      <c r="R467" s="30"/>
    </row>
    <row r="468" spans="18:18" ht="15.75" customHeight="1">
      <c r="R468" s="30"/>
    </row>
    <row r="469" spans="18:18" ht="15.75" customHeight="1">
      <c r="R469" s="30"/>
    </row>
    <row r="470" spans="18:18" ht="15.75" customHeight="1">
      <c r="R470" s="30"/>
    </row>
    <row r="471" spans="18:18" ht="15.75" customHeight="1">
      <c r="R471" s="30"/>
    </row>
    <row r="472" spans="18:18" ht="15.75" customHeight="1">
      <c r="R472" s="30"/>
    </row>
    <row r="473" spans="18:18" ht="15.75" customHeight="1">
      <c r="R473" s="30"/>
    </row>
    <row r="474" spans="18:18" ht="15.75" customHeight="1">
      <c r="R474" s="30"/>
    </row>
    <row r="475" spans="18:18" ht="15.75" customHeight="1">
      <c r="R475" s="30"/>
    </row>
    <row r="476" spans="18:18" ht="15.75" customHeight="1">
      <c r="R476" s="30"/>
    </row>
    <row r="477" spans="18:18" ht="15.75" customHeight="1">
      <c r="R477" s="30"/>
    </row>
    <row r="478" spans="18:18" ht="15.75" customHeight="1">
      <c r="R478" s="30"/>
    </row>
    <row r="479" spans="18:18" ht="15.75" customHeight="1">
      <c r="R479" s="30"/>
    </row>
    <row r="480" spans="18:18" ht="15.75" customHeight="1">
      <c r="R480" s="30"/>
    </row>
    <row r="481" spans="18:18" ht="15.75" customHeight="1">
      <c r="R481" s="30"/>
    </row>
    <row r="482" spans="18:18" ht="15.75" customHeight="1">
      <c r="R482" s="30"/>
    </row>
    <row r="483" spans="18:18" ht="15.75" customHeight="1">
      <c r="R483" s="30"/>
    </row>
    <row r="484" spans="18:18" ht="15.75" customHeight="1">
      <c r="R484" s="30"/>
    </row>
    <row r="485" spans="18:18" ht="15.75" customHeight="1">
      <c r="R485" s="30"/>
    </row>
    <row r="486" spans="18:18" ht="15.75" customHeight="1">
      <c r="R486" s="30"/>
    </row>
    <row r="487" spans="18:18" ht="15.75" customHeight="1">
      <c r="R487" s="30"/>
    </row>
    <row r="488" spans="18:18" ht="15.75" customHeight="1">
      <c r="R488" s="30"/>
    </row>
    <row r="489" spans="18:18" ht="15.75" customHeight="1">
      <c r="R489" s="30"/>
    </row>
    <row r="490" spans="18:18" ht="15.75" customHeight="1">
      <c r="R490" s="30"/>
    </row>
    <row r="491" spans="18:18" ht="15.75" customHeight="1">
      <c r="R491" s="30"/>
    </row>
    <row r="492" spans="18:18" ht="15.75" customHeight="1">
      <c r="R492" s="30"/>
    </row>
    <row r="493" spans="18:18" ht="15.75" customHeight="1">
      <c r="R493" s="30"/>
    </row>
    <row r="494" spans="18:18" ht="15.75" customHeight="1">
      <c r="R494" s="30"/>
    </row>
    <row r="495" spans="18:18" ht="15.75" customHeight="1">
      <c r="R495" s="30"/>
    </row>
    <row r="496" spans="18:18" ht="15.75" customHeight="1">
      <c r="R496" s="30"/>
    </row>
    <row r="497" spans="18:18" ht="15.75" customHeight="1">
      <c r="R497" s="30"/>
    </row>
    <row r="498" spans="18:18" ht="15.75" customHeight="1">
      <c r="R498" s="30"/>
    </row>
    <row r="499" spans="18:18" ht="15.75" customHeight="1">
      <c r="R499" s="30"/>
    </row>
    <row r="500" spans="18:18" ht="15.75" customHeight="1">
      <c r="R500" s="30"/>
    </row>
    <row r="501" spans="18:18" ht="15.75" customHeight="1">
      <c r="R501" s="30"/>
    </row>
    <row r="502" spans="18:18" ht="15.75" customHeight="1">
      <c r="R502" s="30"/>
    </row>
    <row r="503" spans="18:18" ht="15.75" customHeight="1">
      <c r="R503" s="30"/>
    </row>
    <row r="504" spans="18:18" ht="15.75" customHeight="1">
      <c r="R504" s="30"/>
    </row>
    <row r="505" spans="18:18" ht="15.75" customHeight="1">
      <c r="R505" s="30"/>
    </row>
    <row r="506" spans="18:18" ht="15.75" customHeight="1">
      <c r="R506" s="30"/>
    </row>
    <row r="507" spans="18:18" ht="15.75" customHeight="1">
      <c r="R507" s="30"/>
    </row>
    <row r="508" spans="18:18" ht="15.75" customHeight="1">
      <c r="R508" s="30"/>
    </row>
    <row r="509" spans="18:18" ht="15.75" customHeight="1">
      <c r="R509" s="30"/>
    </row>
    <row r="510" spans="18:18" ht="15.75" customHeight="1">
      <c r="R510" s="30"/>
    </row>
    <row r="511" spans="18:18" ht="15.75" customHeight="1">
      <c r="R511" s="30"/>
    </row>
    <row r="512" spans="18:18" ht="15.75" customHeight="1">
      <c r="R512" s="30"/>
    </row>
    <row r="513" spans="18:18" ht="15.75" customHeight="1">
      <c r="R513" s="30"/>
    </row>
    <row r="514" spans="18:18" ht="15.75" customHeight="1">
      <c r="R514" s="30"/>
    </row>
    <row r="515" spans="18:18" ht="15.75" customHeight="1">
      <c r="R515" s="30"/>
    </row>
    <row r="516" spans="18:18" ht="15.75" customHeight="1">
      <c r="R516" s="30"/>
    </row>
    <row r="517" spans="18:18" ht="15.75" customHeight="1">
      <c r="R517" s="30"/>
    </row>
    <row r="518" spans="18:18" ht="15.75" customHeight="1">
      <c r="R518" s="30"/>
    </row>
    <row r="519" spans="18:18" ht="15.75" customHeight="1">
      <c r="R519" s="30"/>
    </row>
    <row r="520" spans="18:18" ht="15.75" customHeight="1">
      <c r="R520" s="30"/>
    </row>
    <row r="521" spans="18:18" ht="15.75" customHeight="1">
      <c r="R521" s="30"/>
    </row>
    <row r="522" spans="18:18" ht="15.75" customHeight="1">
      <c r="R522" s="30"/>
    </row>
    <row r="523" spans="18:18" ht="15.75" customHeight="1">
      <c r="R523" s="30"/>
    </row>
    <row r="524" spans="18:18" ht="15.75" customHeight="1">
      <c r="R524" s="30"/>
    </row>
    <row r="525" spans="18:18" ht="15.75" customHeight="1">
      <c r="R525" s="30"/>
    </row>
    <row r="526" spans="18:18" ht="15.75" customHeight="1">
      <c r="R526" s="30"/>
    </row>
    <row r="527" spans="18:18" ht="15.75" customHeight="1">
      <c r="R527" s="30"/>
    </row>
    <row r="528" spans="18:18" ht="15.75" customHeight="1">
      <c r="R528" s="30"/>
    </row>
    <row r="529" spans="18:18" ht="15.75" customHeight="1">
      <c r="R529" s="30"/>
    </row>
    <row r="530" spans="18:18" ht="15.75" customHeight="1">
      <c r="R530" s="30"/>
    </row>
    <row r="531" spans="18:18" ht="15.75" customHeight="1">
      <c r="R531" s="30"/>
    </row>
    <row r="532" spans="18:18" ht="15.75" customHeight="1">
      <c r="R532" s="30"/>
    </row>
    <row r="533" spans="18:18" ht="15.75" customHeight="1">
      <c r="R533" s="30"/>
    </row>
    <row r="534" spans="18:18" ht="15.75" customHeight="1">
      <c r="R534" s="30"/>
    </row>
    <row r="535" spans="18:18" ht="15.75" customHeight="1">
      <c r="R535" s="30"/>
    </row>
    <row r="536" spans="18:18" ht="15.75" customHeight="1">
      <c r="R536" s="30"/>
    </row>
    <row r="537" spans="18:18" ht="15.75" customHeight="1">
      <c r="R537" s="30"/>
    </row>
    <row r="538" spans="18:18" ht="15.75" customHeight="1">
      <c r="R538" s="30"/>
    </row>
    <row r="539" spans="18:18" ht="15.75" customHeight="1">
      <c r="R539" s="30"/>
    </row>
    <row r="540" spans="18:18" ht="15.75" customHeight="1">
      <c r="R540" s="30"/>
    </row>
    <row r="541" spans="18:18" ht="15.75" customHeight="1">
      <c r="R541" s="30"/>
    </row>
    <row r="542" spans="18:18" ht="15.75" customHeight="1">
      <c r="R542" s="30"/>
    </row>
    <row r="543" spans="18:18" ht="15.75" customHeight="1">
      <c r="R543" s="30"/>
    </row>
    <row r="544" spans="18:18" ht="15.75" customHeight="1">
      <c r="R544" s="30"/>
    </row>
    <row r="545" spans="18:18" ht="15.75" customHeight="1">
      <c r="R545" s="30"/>
    </row>
    <row r="546" spans="18:18" ht="15.75" customHeight="1">
      <c r="R546" s="30"/>
    </row>
    <row r="547" spans="18:18" ht="15.75" customHeight="1">
      <c r="R547" s="30"/>
    </row>
    <row r="548" spans="18:18" ht="15.75" customHeight="1">
      <c r="R548" s="30"/>
    </row>
    <row r="549" spans="18:18" ht="15.75" customHeight="1">
      <c r="R549" s="30"/>
    </row>
    <row r="550" spans="18:18" ht="15.75" customHeight="1">
      <c r="R550" s="30"/>
    </row>
    <row r="551" spans="18:18" ht="15.75" customHeight="1">
      <c r="R551" s="30"/>
    </row>
    <row r="552" spans="18:18" ht="15.75" customHeight="1">
      <c r="R552" s="30"/>
    </row>
    <row r="553" spans="18:18" ht="15.75" customHeight="1">
      <c r="R553" s="30"/>
    </row>
    <row r="554" spans="18:18" ht="15.75" customHeight="1">
      <c r="R554" s="30"/>
    </row>
    <row r="555" spans="18:18" ht="15.75" customHeight="1">
      <c r="R555" s="30"/>
    </row>
    <row r="556" spans="18:18" ht="15.75" customHeight="1">
      <c r="R556" s="30"/>
    </row>
    <row r="557" spans="18:18" ht="15.75" customHeight="1">
      <c r="R557" s="30"/>
    </row>
    <row r="558" spans="18:18" ht="15.75" customHeight="1">
      <c r="R558" s="30"/>
    </row>
    <row r="559" spans="18:18" ht="15.75" customHeight="1">
      <c r="R559" s="30"/>
    </row>
    <row r="560" spans="18:18" ht="15.75" customHeight="1">
      <c r="R560" s="30"/>
    </row>
    <row r="561" spans="18:18" ht="15.75" customHeight="1">
      <c r="R561" s="30"/>
    </row>
    <row r="562" spans="18:18" ht="15.75" customHeight="1">
      <c r="R562" s="30"/>
    </row>
    <row r="563" spans="18:18" ht="15.75" customHeight="1">
      <c r="R563" s="30"/>
    </row>
    <row r="564" spans="18:18" ht="15.75" customHeight="1">
      <c r="R564" s="30"/>
    </row>
    <row r="565" spans="18:18" ht="15.75" customHeight="1">
      <c r="R565" s="30"/>
    </row>
    <row r="566" spans="18:18" ht="15.75" customHeight="1">
      <c r="R566" s="30"/>
    </row>
    <row r="567" spans="18:18" ht="15.75" customHeight="1">
      <c r="R567" s="30"/>
    </row>
    <row r="568" spans="18:18" ht="15.75" customHeight="1">
      <c r="R568" s="30"/>
    </row>
    <row r="569" spans="18:18" ht="15.75" customHeight="1">
      <c r="R569" s="30"/>
    </row>
    <row r="570" spans="18:18" ht="15.75" customHeight="1">
      <c r="R570" s="30"/>
    </row>
    <row r="571" spans="18:18" ht="15.75" customHeight="1">
      <c r="R571" s="30"/>
    </row>
    <row r="572" spans="18:18" ht="15.75" customHeight="1">
      <c r="R572" s="30"/>
    </row>
    <row r="573" spans="18:18" ht="15.75" customHeight="1">
      <c r="R573" s="30"/>
    </row>
    <row r="574" spans="18:18" ht="15.75" customHeight="1">
      <c r="R574" s="30"/>
    </row>
    <row r="575" spans="18:18" ht="15.75" customHeight="1">
      <c r="R575" s="30"/>
    </row>
    <row r="576" spans="18:18" ht="15.75" customHeight="1">
      <c r="R576" s="30"/>
    </row>
    <row r="577" spans="18:18" ht="15.75" customHeight="1">
      <c r="R577" s="30"/>
    </row>
    <row r="578" spans="18:18" ht="15.75" customHeight="1">
      <c r="R578" s="30"/>
    </row>
    <row r="579" spans="18:18" ht="15.75" customHeight="1">
      <c r="R579" s="30"/>
    </row>
    <row r="580" spans="18:18" ht="15.75" customHeight="1">
      <c r="R580" s="30"/>
    </row>
    <row r="581" spans="18:18" ht="15.75" customHeight="1">
      <c r="R581" s="30"/>
    </row>
    <row r="582" spans="18:18" ht="15.75" customHeight="1">
      <c r="R582" s="30"/>
    </row>
    <row r="583" spans="18:18" ht="15.75" customHeight="1">
      <c r="R583" s="30"/>
    </row>
    <row r="584" spans="18:18" ht="15.75" customHeight="1">
      <c r="R584" s="30"/>
    </row>
    <row r="585" spans="18:18" ht="15.75" customHeight="1">
      <c r="R585" s="30"/>
    </row>
    <row r="586" spans="18:18" ht="15.75" customHeight="1">
      <c r="R586" s="30"/>
    </row>
    <row r="587" spans="18:18" ht="15.75" customHeight="1">
      <c r="R587" s="30"/>
    </row>
    <row r="588" spans="18:18" ht="15.75" customHeight="1">
      <c r="R588" s="30"/>
    </row>
    <row r="589" spans="18:18" ht="15.75" customHeight="1">
      <c r="R589" s="30"/>
    </row>
    <row r="590" spans="18:18" ht="15.75" customHeight="1">
      <c r="R590" s="30"/>
    </row>
    <row r="591" spans="18:18" ht="15.75" customHeight="1">
      <c r="R591" s="30"/>
    </row>
    <row r="592" spans="18:18" ht="15.75" customHeight="1">
      <c r="R592" s="30"/>
    </row>
    <row r="593" spans="18:18" ht="15.75" customHeight="1">
      <c r="R593" s="30"/>
    </row>
    <row r="594" spans="18:18" ht="15.75" customHeight="1">
      <c r="R594" s="30"/>
    </row>
    <row r="595" spans="18:18" ht="15.75" customHeight="1">
      <c r="R595" s="30"/>
    </row>
    <row r="596" spans="18:18" ht="15.75" customHeight="1">
      <c r="R596" s="30"/>
    </row>
    <row r="597" spans="18:18" ht="15.75" customHeight="1">
      <c r="R597" s="30"/>
    </row>
    <row r="598" spans="18:18" ht="15.75" customHeight="1">
      <c r="R598" s="30"/>
    </row>
    <row r="599" spans="18:18" ht="15.75" customHeight="1">
      <c r="R599" s="30"/>
    </row>
    <row r="600" spans="18:18" ht="15.75" customHeight="1">
      <c r="R600" s="30"/>
    </row>
    <row r="601" spans="18:18" ht="15.75" customHeight="1">
      <c r="R601" s="30"/>
    </row>
    <row r="602" spans="18:18" ht="15.75" customHeight="1">
      <c r="R602" s="30"/>
    </row>
    <row r="603" spans="18:18" ht="15.75" customHeight="1">
      <c r="R603" s="30"/>
    </row>
    <row r="604" spans="18:18" ht="15.75" customHeight="1">
      <c r="R604" s="30"/>
    </row>
    <row r="605" spans="18:18" ht="15.75" customHeight="1">
      <c r="R605" s="30"/>
    </row>
    <row r="606" spans="18:18" ht="15.75" customHeight="1">
      <c r="R606" s="30"/>
    </row>
    <row r="607" spans="18:18" ht="15.75" customHeight="1">
      <c r="R607" s="30"/>
    </row>
    <row r="608" spans="18:18" ht="15.75" customHeight="1">
      <c r="R608" s="30"/>
    </row>
    <row r="609" spans="18:18" ht="15.75" customHeight="1">
      <c r="R609" s="30"/>
    </row>
    <row r="610" spans="18:18" ht="15.75" customHeight="1">
      <c r="R610" s="30"/>
    </row>
    <row r="611" spans="18:18" ht="15.75" customHeight="1">
      <c r="R611" s="30"/>
    </row>
    <row r="612" spans="18:18" ht="15.75" customHeight="1">
      <c r="R612" s="30"/>
    </row>
    <row r="613" spans="18:18" ht="15.75" customHeight="1">
      <c r="R613" s="30"/>
    </row>
    <row r="614" spans="18:18" ht="15.75" customHeight="1">
      <c r="R614" s="30"/>
    </row>
    <row r="615" spans="18:18" ht="15.75" customHeight="1">
      <c r="R615" s="30"/>
    </row>
    <row r="616" spans="18:18" ht="15.75" customHeight="1">
      <c r="R616" s="30"/>
    </row>
    <row r="617" spans="18:18" ht="15.75" customHeight="1">
      <c r="R617" s="30"/>
    </row>
    <row r="618" spans="18:18" ht="15.75" customHeight="1">
      <c r="R618" s="30"/>
    </row>
    <row r="619" spans="18:18" ht="15.75" customHeight="1">
      <c r="R619" s="30"/>
    </row>
    <row r="620" spans="18:18" ht="15.75" customHeight="1">
      <c r="R620" s="30"/>
    </row>
    <row r="621" spans="18:18" ht="15.75" customHeight="1">
      <c r="R621" s="30"/>
    </row>
    <row r="622" spans="18:18" ht="15.75" customHeight="1">
      <c r="R622" s="30"/>
    </row>
    <row r="623" spans="18:18" ht="15.75" customHeight="1">
      <c r="R623" s="30"/>
    </row>
    <row r="624" spans="18:18" ht="15.75" customHeight="1">
      <c r="R624" s="30"/>
    </row>
    <row r="625" spans="18:18" ht="15.75" customHeight="1">
      <c r="R625" s="30"/>
    </row>
    <row r="626" spans="18:18" ht="15.75" customHeight="1">
      <c r="R626" s="30"/>
    </row>
    <row r="627" spans="18:18" ht="15.75" customHeight="1">
      <c r="R627" s="30"/>
    </row>
    <row r="628" spans="18:18" ht="15.75" customHeight="1">
      <c r="R628" s="30"/>
    </row>
    <row r="629" spans="18:18" ht="15.75" customHeight="1">
      <c r="R629" s="30"/>
    </row>
    <row r="630" spans="18:18" ht="15.75" customHeight="1">
      <c r="R630" s="30"/>
    </row>
    <row r="631" spans="18:18" ht="15.75" customHeight="1">
      <c r="R631" s="30"/>
    </row>
    <row r="632" spans="18:18" ht="15.75" customHeight="1">
      <c r="R632" s="30"/>
    </row>
    <row r="633" spans="18:18" ht="15.75" customHeight="1">
      <c r="R633" s="30"/>
    </row>
    <row r="634" spans="18:18" ht="15.75" customHeight="1">
      <c r="R634" s="30"/>
    </row>
    <row r="635" spans="18:18" ht="15.75" customHeight="1">
      <c r="R635" s="30"/>
    </row>
    <row r="636" spans="18:18" ht="15.75" customHeight="1">
      <c r="R636" s="30"/>
    </row>
    <row r="637" spans="18:18" ht="15.75" customHeight="1">
      <c r="R637" s="30"/>
    </row>
    <row r="638" spans="18:18" ht="15.75" customHeight="1">
      <c r="R638" s="30"/>
    </row>
    <row r="639" spans="18:18" ht="15.75" customHeight="1">
      <c r="R639" s="30"/>
    </row>
    <row r="640" spans="18:18" ht="15.75" customHeight="1">
      <c r="R640" s="30"/>
    </row>
    <row r="641" spans="18:18" ht="15.75" customHeight="1">
      <c r="R641" s="30"/>
    </row>
    <row r="642" spans="18:18" ht="15.75" customHeight="1">
      <c r="R642" s="30"/>
    </row>
    <row r="643" spans="18:18" ht="15.75" customHeight="1">
      <c r="R643" s="30"/>
    </row>
    <row r="644" spans="18:18" ht="15.75" customHeight="1">
      <c r="R644" s="30"/>
    </row>
    <row r="645" spans="18:18" ht="15.75" customHeight="1">
      <c r="R645" s="30"/>
    </row>
    <row r="646" spans="18:18" ht="15.75" customHeight="1">
      <c r="R646" s="30"/>
    </row>
    <row r="647" spans="18:18" ht="15.75" customHeight="1">
      <c r="R647" s="30"/>
    </row>
    <row r="648" spans="18:18" ht="15.75" customHeight="1">
      <c r="R648" s="30"/>
    </row>
    <row r="649" spans="18:18" ht="15.75" customHeight="1">
      <c r="R649" s="30"/>
    </row>
    <row r="650" spans="18:18" ht="15.75" customHeight="1">
      <c r="R650" s="30"/>
    </row>
    <row r="651" spans="18:18" ht="15.75" customHeight="1">
      <c r="R651" s="30"/>
    </row>
    <row r="652" spans="18:18" ht="15.75" customHeight="1">
      <c r="R652" s="30"/>
    </row>
    <row r="653" spans="18:18" ht="15.75" customHeight="1">
      <c r="R653" s="30"/>
    </row>
    <row r="654" spans="18:18" ht="15.75" customHeight="1">
      <c r="R654" s="30"/>
    </row>
    <row r="655" spans="18:18" ht="15.75" customHeight="1">
      <c r="R655" s="30"/>
    </row>
    <row r="656" spans="18:18" ht="15.75" customHeight="1">
      <c r="R656" s="30"/>
    </row>
    <row r="657" spans="18:18" ht="15.75" customHeight="1">
      <c r="R657" s="30"/>
    </row>
    <row r="658" spans="18:18" ht="15.75" customHeight="1">
      <c r="R658" s="30"/>
    </row>
    <row r="659" spans="18:18" ht="15.75" customHeight="1">
      <c r="R659" s="30"/>
    </row>
    <row r="660" spans="18:18" ht="15.75" customHeight="1">
      <c r="R660" s="30"/>
    </row>
    <row r="661" spans="18:18" ht="15.75" customHeight="1">
      <c r="R661" s="30"/>
    </row>
    <row r="662" spans="18:18" ht="15.75" customHeight="1">
      <c r="R662" s="30"/>
    </row>
    <row r="663" spans="18:18" ht="15.75" customHeight="1">
      <c r="R663" s="30"/>
    </row>
    <row r="664" spans="18:18" ht="15.75" customHeight="1">
      <c r="R664" s="30"/>
    </row>
    <row r="665" spans="18:18" ht="15.75" customHeight="1">
      <c r="R665" s="30"/>
    </row>
    <row r="666" spans="18:18" ht="15.75" customHeight="1">
      <c r="R666" s="30"/>
    </row>
    <row r="667" spans="18:18" ht="15.75" customHeight="1">
      <c r="R667" s="30"/>
    </row>
    <row r="668" spans="18:18" ht="15.75" customHeight="1">
      <c r="R668" s="30"/>
    </row>
    <row r="669" spans="18:18" ht="15.75" customHeight="1">
      <c r="R669" s="30"/>
    </row>
    <row r="670" spans="18:18" ht="15.75" customHeight="1">
      <c r="R670" s="30"/>
    </row>
    <row r="671" spans="18:18" ht="15.75" customHeight="1">
      <c r="R671" s="30"/>
    </row>
    <row r="672" spans="18:18" ht="15.75" customHeight="1">
      <c r="R672" s="30"/>
    </row>
    <row r="673" spans="18:18" ht="15.75" customHeight="1">
      <c r="R673" s="30"/>
    </row>
    <row r="674" spans="18:18" ht="15.75" customHeight="1">
      <c r="R674" s="30"/>
    </row>
    <row r="675" spans="18:18" ht="15.75" customHeight="1">
      <c r="R675" s="30"/>
    </row>
    <row r="676" spans="18:18" ht="15.75" customHeight="1">
      <c r="R676" s="30"/>
    </row>
    <row r="677" spans="18:18" ht="15.75" customHeight="1">
      <c r="R677" s="30"/>
    </row>
    <row r="678" spans="18:18" ht="15.75" customHeight="1">
      <c r="R678" s="30"/>
    </row>
    <row r="679" spans="18:18" ht="15.75" customHeight="1">
      <c r="R679" s="30"/>
    </row>
    <row r="680" spans="18:18" ht="15.75" customHeight="1">
      <c r="R680" s="30"/>
    </row>
    <row r="681" spans="18:18" ht="15.75" customHeight="1">
      <c r="R681" s="30"/>
    </row>
    <row r="682" spans="18:18" ht="15.75" customHeight="1">
      <c r="R682" s="30"/>
    </row>
    <row r="683" spans="18:18" ht="15.75" customHeight="1">
      <c r="R683" s="30"/>
    </row>
    <row r="684" spans="18:18" ht="15.75" customHeight="1">
      <c r="R684" s="30"/>
    </row>
    <row r="685" spans="18:18" ht="15.75" customHeight="1">
      <c r="R685" s="30"/>
    </row>
    <row r="686" spans="18:18" ht="15.75" customHeight="1">
      <c r="R686" s="30"/>
    </row>
    <row r="687" spans="18:18" ht="15.75" customHeight="1">
      <c r="R687" s="30"/>
    </row>
    <row r="688" spans="18:18" ht="15.75" customHeight="1">
      <c r="R688" s="30"/>
    </row>
    <row r="689" spans="18:18" ht="15.75" customHeight="1">
      <c r="R689" s="30"/>
    </row>
    <row r="690" spans="18:18" ht="15.75" customHeight="1">
      <c r="R690" s="30"/>
    </row>
    <row r="691" spans="18:18" ht="15.75" customHeight="1">
      <c r="R691" s="30"/>
    </row>
    <row r="692" spans="18:18" ht="15.75" customHeight="1">
      <c r="R692" s="30"/>
    </row>
    <row r="693" spans="18:18" ht="15.75" customHeight="1">
      <c r="R693" s="30"/>
    </row>
    <row r="694" spans="18:18" ht="15.75" customHeight="1">
      <c r="R694" s="30"/>
    </row>
    <row r="695" spans="18:18" ht="15.75" customHeight="1">
      <c r="R695" s="30"/>
    </row>
    <row r="696" spans="18:18" ht="15.75" customHeight="1">
      <c r="R696" s="30"/>
    </row>
    <row r="697" spans="18:18" ht="15.75" customHeight="1">
      <c r="R697" s="30"/>
    </row>
    <row r="698" spans="18:18" ht="15.75" customHeight="1">
      <c r="R698" s="30"/>
    </row>
    <row r="699" spans="18:18" ht="15.75" customHeight="1">
      <c r="R699" s="30"/>
    </row>
    <row r="700" spans="18:18" ht="15.75" customHeight="1">
      <c r="R700" s="30"/>
    </row>
    <row r="701" spans="18:18" ht="15.75" customHeight="1">
      <c r="R701" s="30"/>
    </row>
    <row r="702" spans="18:18" ht="15.75" customHeight="1">
      <c r="R702" s="30"/>
    </row>
    <row r="703" spans="18:18" ht="15.75" customHeight="1">
      <c r="R703" s="30"/>
    </row>
    <row r="704" spans="18:18" ht="15.75" customHeight="1">
      <c r="R704" s="30"/>
    </row>
    <row r="705" spans="18:18" ht="15.75" customHeight="1">
      <c r="R705" s="30"/>
    </row>
    <row r="706" spans="18:18" ht="15.75" customHeight="1">
      <c r="R706" s="30"/>
    </row>
    <row r="707" spans="18:18" ht="15.75" customHeight="1">
      <c r="R707" s="30"/>
    </row>
    <row r="708" spans="18:18" ht="15.75" customHeight="1">
      <c r="R708" s="30"/>
    </row>
    <row r="709" spans="18:18" ht="15.75" customHeight="1">
      <c r="R709" s="30"/>
    </row>
    <row r="710" spans="18:18" ht="15.75" customHeight="1">
      <c r="R710" s="30"/>
    </row>
    <row r="711" spans="18:18" ht="15.75" customHeight="1">
      <c r="R711" s="30"/>
    </row>
    <row r="712" spans="18:18" ht="15.75" customHeight="1">
      <c r="R712" s="30"/>
    </row>
    <row r="713" spans="18:18" ht="15.75" customHeight="1">
      <c r="R713" s="30"/>
    </row>
    <row r="714" spans="18:18" ht="15.75" customHeight="1">
      <c r="R714" s="30"/>
    </row>
    <row r="715" spans="18:18" ht="15.75" customHeight="1">
      <c r="R715" s="30"/>
    </row>
    <row r="716" spans="18:18" ht="15.75" customHeight="1">
      <c r="R716" s="30"/>
    </row>
    <row r="717" spans="18:18" ht="15.75" customHeight="1">
      <c r="R717" s="30"/>
    </row>
    <row r="718" spans="18:18" ht="15.75" customHeight="1">
      <c r="R718" s="30"/>
    </row>
    <row r="719" spans="18:18" ht="15.75" customHeight="1">
      <c r="R719" s="30"/>
    </row>
    <row r="720" spans="18:18" ht="15.75" customHeight="1">
      <c r="R720" s="30"/>
    </row>
    <row r="721" spans="18:18" ht="15.75" customHeight="1">
      <c r="R721" s="30"/>
    </row>
    <row r="722" spans="18:18" ht="15.75" customHeight="1">
      <c r="R722" s="30"/>
    </row>
    <row r="723" spans="18:18" ht="15.75" customHeight="1">
      <c r="R723" s="30"/>
    </row>
    <row r="724" spans="18:18" ht="15.75" customHeight="1">
      <c r="R724" s="30"/>
    </row>
    <row r="725" spans="18:18" ht="15.75" customHeight="1">
      <c r="R725" s="30"/>
    </row>
    <row r="726" spans="18:18" ht="15.75" customHeight="1">
      <c r="R726" s="30"/>
    </row>
    <row r="727" spans="18:18" ht="15.75" customHeight="1">
      <c r="R727" s="30"/>
    </row>
    <row r="728" spans="18:18" ht="15.75" customHeight="1">
      <c r="R728" s="30"/>
    </row>
    <row r="729" spans="18:18" ht="15.75" customHeight="1">
      <c r="R729" s="30"/>
    </row>
    <row r="730" spans="18:18" ht="15.75" customHeight="1">
      <c r="R730" s="30"/>
    </row>
    <row r="731" spans="18:18" ht="15.75" customHeight="1">
      <c r="R731" s="30"/>
    </row>
    <row r="732" spans="18:18" ht="15.75" customHeight="1">
      <c r="R732" s="30"/>
    </row>
    <row r="733" spans="18:18" ht="15.75" customHeight="1">
      <c r="R733" s="30"/>
    </row>
    <row r="734" spans="18:18" ht="15.75" customHeight="1">
      <c r="R734" s="30"/>
    </row>
    <row r="735" spans="18:18" ht="15.75" customHeight="1">
      <c r="R735" s="30"/>
    </row>
    <row r="736" spans="18:18" ht="15.75" customHeight="1">
      <c r="R736" s="30"/>
    </row>
    <row r="737" spans="18:18" ht="15.75" customHeight="1">
      <c r="R737" s="30"/>
    </row>
    <row r="738" spans="18:18" ht="15.75" customHeight="1">
      <c r="R738" s="30"/>
    </row>
    <row r="739" spans="18:18" ht="15.75" customHeight="1">
      <c r="R739" s="30"/>
    </row>
    <row r="740" spans="18:18" ht="15.75" customHeight="1">
      <c r="R740" s="30"/>
    </row>
    <row r="741" spans="18:18" ht="15.75" customHeight="1">
      <c r="R741" s="30"/>
    </row>
    <row r="742" spans="18:18" ht="15.75" customHeight="1">
      <c r="R742" s="30"/>
    </row>
    <row r="743" spans="18:18" ht="15.75" customHeight="1">
      <c r="R743" s="30"/>
    </row>
    <row r="744" spans="18:18" ht="15.75" customHeight="1">
      <c r="R744" s="30"/>
    </row>
    <row r="745" spans="18:18" ht="15.75" customHeight="1">
      <c r="R745" s="30"/>
    </row>
    <row r="746" spans="18:18" ht="15.75" customHeight="1">
      <c r="R746" s="30"/>
    </row>
    <row r="747" spans="18:18" ht="15.75" customHeight="1">
      <c r="R747" s="30"/>
    </row>
    <row r="748" spans="18:18" ht="15.75" customHeight="1">
      <c r="R748" s="30"/>
    </row>
    <row r="749" spans="18:18" ht="15.75" customHeight="1">
      <c r="R749" s="30"/>
    </row>
    <row r="750" spans="18:18" ht="15.75" customHeight="1">
      <c r="R750" s="30"/>
    </row>
    <row r="751" spans="18:18" ht="15.75" customHeight="1">
      <c r="R751" s="30"/>
    </row>
    <row r="752" spans="18:18" ht="15.75" customHeight="1">
      <c r="R752" s="30"/>
    </row>
    <row r="753" spans="18:18" ht="15.75" customHeight="1">
      <c r="R753" s="30"/>
    </row>
    <row r="754" spans="18:18" ht="15.75" customHeight="1">
      <c r="R754" s="30"/>
    </row>
    <row r="755" spans="18:18" ht="15.75" customHeight="1">
      <c r="R755" s="30"/>
    </row>
    <row r="756" spans="18:18" ht="15.75" customHeight="1">
      <c r="R756" s="30"/>
    </row>
    <row r="757" spans="18:18" ht="15.75" customHeight="1">
      <c r="R757" s="30"/>
    </row>
    <row r="758" spans="18:18" ht="15.75" customHeight="1">
      <c r="R758" s="30"/>
    </row>
    <row r="759" spans="18:18" ht="15.75" customHeight="1">
      <c r="R759" s="30"/>
    </row>
    <row r="760" spans="18:18" ht="15.75" customHeight="1">
      <c r="R760" s="30"/>
    </row>
    <row r="761" spans="18:18" ht="15.75" customHeight="1">
      <c r="R761" s="30"/>
    </row>
    <row r="762" spans="18:18" ht="15.75" customHeight="1">
      <c r="R762" s="30"/>
    </row>
    <row r="763" spans="18:18" ht="15.75" customHeight="1">
      <c r="R763" s="30"/>
    </row>
    <row r="764" spans="18:18" ht="15.75" customHeight="1">
      <c r="R764" s="30"/>
    </row>
    <row r="765" spans="18:18" ht="15.75" customHeight="1">
      <c r="R765" s="30"/>
    </row>
    <row r="766" spans="18:18" ht="15.75" customHeight="1">
      <c r="R766" s="30"/>
    </row>
    <row r="767" spans="18:18" ht="15.75" customHeight="1">
      <c r="R767" s="30"/>
    </row>
    <row r="768" spans="18:18" ht="15.75" customHeight="1">
      <c r="R768" s="30"/>
    </row>
    <row r="769" spans="18:18" ht="15.75" customHeight="1">
      <c r="R769" s="30"/>
    </row>
    <row r="770" spans="18:18" ht="15.75" customHeight="1">
      <c r="R770" s="30"/>
    </row>
    <row r="771" spans="18:18" ht="15.75" customHeight="1">
      <c r="R771" s="30"/>
    </row>
    <row r="772" spans="18:18" ht="15.75" customHeight="1">
      <c r="R772" s="30"/>
    </row>
    <row r="773" spans="18:18" ht="15.75" customHeight="1">
      <c r="R773" s="30"/>
    </row>
    <row r="774" spans="18:18" ht="15.75" customHeight="1">
      <c r="R774" s="30"/>
    </row>
    <row r="775" spans="18:18" ht="15.75" customHeight="1">
      <c r="R775" s="30"/>
    </row>
    <row r="776" spans="18:18" ht="15.75" customHeight="1">
      <c r="R776" s="30"/>
    </row>
    <row r="777" spans="18:18" ht="15.75" customHeight="1">
      <c r="R777" s="30"/>
    </row>
    <row r="778" spans="18:18" ht="15.75" customHeight="1">
      <c r="R778" s="30"/>
    </row>
    <row r="779" spans="18:18" ht="15.75" customHeight="1">
      <c r="R779" s="30"/>
    </row>
    <row r="780" spans="18:18" ht="15.75" customHeight="1">
      <c r="R780" s="30"/>
    </row>
    <row r="781" spans="18:18" ht="15.75" customHeight="1">
      <c r="R781" s="30"/>
    </row>
    <row r="782" spans="18:18" ht="15.75" customHeight="1">
      <c r="R782" s="30"/>
    </row>
    <row r="783" spans="18:18" ht="15.75" customHeight="1">
      <c r="R783" s="30"/>
    </row>
    <row r="784" spans="18:18" ht="15.75" customHeight="1">
      <c r="R784" s="30"/>
    </row>
    <row r="785" spans="18:18" ht="15.75" customHeight="1">
      <c r="R785" s="30"/>
    </row>
    <row r="786" spans="18:18" ht="15.75" customHeight="1">
      <c r="R786" s="30"/>
    </row>
    <row r="787" spans="18:18" ht="15.75" customHeight="1">
      <c r="R787" s="30"/>
    </row>
    <row r="788" spans="18:18" ht="15.75" customHeight="1">
      <c r="R788" s="30"/>
    </row>
    <row r="789" spans="18:18" ht="15.75" customHeight="1">
      <c r="R789" s="30"/>
    </row>
    <row r="790" spans="18:18" ht="15.75" customHeight="1">
      <c r="R790" s="30"/>
    </row>
    <row r="791" spans="18:18" ht="15.75" customHeight="1">
      <c r="R791" s="30"/>
    </row>
    <row r="792" spans="18:18" ht="15.75" customHeight="1">
      <c r="R792" s="30"/>
    </row>
    <row r="793" spans="18:18" ht="15.75" customHeight="1">
      <c r="R793" s="30"/>
    </row>
    <row r="794" spans="18:18" ht="15.75" customHeight="1">
      <c r="R794" s="30"/>
    </row>
    <row r="795" spans="18:18" ht="15.75" customHeight="1">
      <c r="R795" s="30"/>
    </row>
    <row r="796" spans="18:18" ht="15.75" customHeight="1">
      <c r="R796" s="30"/>
    </row>
    <row r="797" spans="18:18" ht="15.75" customHeight="1">
      <c r="R797" s="30"/>
    </row>
    <row r="798" spans="18:18" ht="15.75" customHeight="1">
      <c r="R798" s="30"/>
    </row>
    <row r="799" spans="18:18" ht="15.75" customHeight="1">
      <c r="R799" s="30"/>
    </row>
    <row r="800" spans="18:18" ht="15.75" customHeight="1">
      <c r="R800" s="30"/>
    </row>
    <row r="801" spans="18:18" ht="15.75" customHeight="1">
      <c r="R801" s="30"/>
    </row>
    <row r="802" spans="18:18" ht="15.75" customHeight="1">
      <c r="R802" s="30"/>
    </row>
    <row r="803" spans="18:18" ht="15.75" customHeight="1">
      <c r="R803" s="30"/>
    </row>
    <row r="804" spans="18:18" ht="15.75" customHeight="1">
      <c r="R804" s="30"/>
    </row>
    <row r="805" spans="18:18" ht="15.75" customHeight="1">
      <c r="R805" s="30"/>
    </row>
    <row r="806" spans="18:18" ht="15.75" customHeight="1">
      <c r="R806" s="30"/>
    </row>
    <row r="807" spans="18:18" ht="15.75" customHeight="1">
      <c r="R807" s="30"/>
    </row>
    <row r="808" spans="18:18" ht="15.75" customHeight="1">
      <c r="R808" s="30"/>
    </row>
    <row r="809" spans="18:18" ht="15.75" customHeight="1">
      <c r="R809" s="30"/>
    </row>
    <row r="810" spans="18:18" ht="15.75" customHeight="1">
      <c r="R810" s="30"/>
    </row>
    <row r="811" spans="18:18" ht="15.75" customHeight="1">
      <c r="R811" s="30"/>
    </row>
    <row r="812" spans="18:18" ht="15.75" customHeight="1">
      <c r="R812" s="30"/>
    </row>
    <row r="813" spans="18:18" ht="15.75" customHeight="1">
      <c r="R813" s="30"/>
    </row>
    <row r="814" spans="18:18" ht="15.75" customHeight="1">
      <c r="R814" s="30"/>
    </row>
    <row r="815" spans="18:18" ht="15.75" customHeight="1">
      <c r="R815" s="30"/>
    </row>
    <row r="816" spans="18:18" ht="15.75" customHeight="1">
      <c r="R816" s="30"/>
    </row>
    <row r="817" spans="18:18" ht="15.75" customHeight="1">
      <c r="R817" s="30"/>
    </row>
    <row r="818" spans="18:18" ht="15.75" customHeight="1">
      <c r="R818" s="30"/>
    </row>
    <row r="819" spans="18:18" ht="15.75" customHeight="1">
      <c r="R819" s="30"/>
    </row>
    <row r="820" spans="18:18" ht="15.75" customHeight="1">
      <c r="R820" s="30"/>
    </row>
    <row r="821" spans="18:18" ht="15.75" customHeight="1">
      <c r="R821" s="30"/>
    </row>
    <row r="822" spans="18:18" ht="15.75" customHeight="1">
      <c r="R822" s="30"/>
    </row>
    <row r="823" spans="18:18" ht="15.75" customHeight="1">
      <c r="R823" s="30"/>
    </row>
    <row r="824" spans="18:18" ht="15.75" customHeight="1">
      <c r="R824" s="30"/>
    </row>
    <row r="825" spans="18:18" ht="15.75" customHeight="1">
      <c r="R825" s="30"/>
    </row>
    <row r="826" spans="18:18" ht="15.75" customHeight="1">
      <c r="R826" s="30"/>
    </row>
    <row r="827" spans="18:18" ht="15.75" customHeight="1">
      <c r="R827" s="30"/>
    </row>
    <row r="828" spans="18:18" ht="15.75" customHeight="1">
      <c r="R828" s="30"/>
    </row>
    <row r="829" spans="18:18" ht="15.75" customHeight="1">
      <c r="R829" s="30"/>
    </row>
    <row r="830" spans="18:18" ht="15.75" customHeight="1">
      <c r="R830" s="30"/>
    </row>
    <row r="831" spans="18:18" ht="15.75" customHeight="1">
      <c r="R831" s="30"/>
    </row>
    <row r="832" spans="18:18" ht="15.75" customHeight="1">
      <c r="R832" s="30"/>
    </row>
    <row r="833" spans="18:18" ht="15.75" customHeight="1">
      <c r="R833" s="30"/>
    </row>
    <row r="834" spans="18:18" ht="15.75" customHeight="1">
      <c r="R834" s="30"/>
    </row>
    <row r="835" spans="18:18" ht="15.75" customHeight="1">
      <c r="R835" s="30"/>
    </row>
    <row r="836" spans="18:18" ht="15.75" customHeight="1">
      <c r="R836" s="30"/>
    </row>
    <row r="837" spans="18:18" ht="15.75" customHeight="1">
      <c r="R837" s="30"/>
    </row>
    <row r="838" spans="18:18" ht="15.75" customHeight="1">
      <c r="R838" s="30"/>
    </row>
    <row r="839" spans="18:18" ht="15.75" customHeight="1">
      <c r="R839" s="30"/>
    </row>
    <row r="840" spans="18:18" ht="15.75" customHeight="1">
      <c r="R840" s="30"/>
    </row>
    <row r="841" spans="18:18" ht="15.75" customHeight="1">
      <c r="R841" s="30"/>
    </row>
    <row r="842" spans="18:18" ht="15.75" customHeight="1">
      <c r="R842" s="30"/>
    </row>
    <row r="843" spans="18:18" ht="15.75" customHeight="1">
      <c r="R843" s="30"/>
    </row>
    <row r="844" spans="18:18" ht="15.75" customHeight="1">
      <c r="R844" s="30"/>
    </row>
    <row r="845" spans="18:18" ht="15.75" customHeight="1">
      <c r="R845" s="30"/>
    </row>
    <row r="846" spans="18:18" ht="15.75" customHeight="1">
      <c r="R846" s="30"/>
    </row>
    <row r="847" spans="18:18" ht="15.75" customHeight="1">
      <c r="R847" s="30"/>
    </row>
    <row r="848" spans="18:18" ht="15.75" customHeight="1">
      <c r="R848" s="30"/>
    </row>
    <row r="849" spans="18:18" ht="15.75" customHeight="1">
      <c r="R849" s="30"/>
    </row>
    <row r="850" spans="18:18" ht="15.75" customHeight="1">
      <c r="R850" s="30"/>
    </row>
    <row r="851" spans="18:18" ht="15.75" customHeight="1">
      <c r="R851" s="30"/>
    </row>
    <row r="852" spans="18:18" ht="15.75" customHeight="1">
      <c r="R852" s="30"/>
    </row>
    <row r="853" spans="18:18" ht="15.75" customHeight="1">
      <c r="R853" s="30"/>
    </row>
    <row r="854" spans="18:18" ht="15.75" customHeight="1">
      <c r="R854" s="30"/>
    </row>
    <row r="855" spans="18:18" ht="15.75" customHeight="1">
      <c r="R855" s="30"/>
    </row>
    <row r="856" spans="18:18" ht="15.75" customHeight="1">
      <c r="R856" s="30"/>
    </row>
    <row r="857" spans="18:18" ht="15.75" customHeight="1">
      <c r="R857" s="30"/>
    </row>
    <row r="858" spans="18:18" ht="15.75" customHeight="1">
      <c r="R858" s="30"/>
    </row>
    <row r="859" spans="18:18" ht="15.75" customHeight="1">
      <c r="R859" s="30"/>
    </row>
    <row r="860" spans="18:18" ht="15.75" customHeight="1">
      <c r="R860" s="30"/>
    </row>
    <row r="861" spans="18:18" ht="15.75" customHeight="1">
      <c r="R861" s="30"/>
    </row>
    <row r="862" spans="18:18" ht="15.75" customHeight="1">
      <c r="R862" s="30"/>
    </row>
    <row r="863" spans="18:18" ht="15.75" customHeight="1">
      <c r="R863" s="30"/>
    </row>
    <row r="864" spans="18:18" ht="15.75" customHeight="1">
      <c r="R864" s="30"/>
    </row>
    <row r="865" spans="18:18" ht="15.75" customHeight="1">
      <c r="R865" s="30"/>
    </row>
    <row r="866" spans="18:18" ht="15.75" customHeight="1">
      <c r="R866" s="30"/>
    </row>
    <row r="867" spans="18:18" ht="15.75" customHeight="1">
      <c r="R867" s="30"/>
    </row>
    <row r="868" spans="18:18" ht="15.75" customHeight="1">
      <c r="R868" s="30"/>
    </row>
    <row r="869" spans="18:18" ht="15.75" customHeight="1">
      <c r="R869" s="30"/>
    </row>
    <row r="870" spans="18:18" ht="15.75" customHeight="1">
      <c r="R870" s="30"/>
    </row>
    <row r="871" spans="18:18" ht="15.75" customHeight="1">
      <c r="R871" s="30"/>
    </row>
    <row r="872" spans="18:18" ht="15.75" customHeight="1">
      <c r="R872" s="30"/>
    </row>
    <row r="873" spans="18:18" ht="15.75" customHeight="1">
      <c r="R873" s="30"/>
    </row>
    <row r="874" spans="18:18" ht="15.75" customHeight="1">
      <c r="R874" s="30"/>
    </row>
    <row r="875" spans="18:18" ht="15.75" customHeight="1">
      <c r="R875" s="30"/>
    </row>
    <row r="876" spans="18:18" ht="15.75" customHeight="1">
      <c r="R876" s="30"/>
    </row>
    <row r="877" spans="18:18" ht="15.75" customHeight="1">
      <c r="R877" s="30"/>
    </row>
    <row r="878" spans="18:18" ht="15.75" customHeight="1">
      <c r="R878" s="30"/>
    </row>
    <row r="879" spans="18:18" ht="15.75" customHeight="1">
      <c r="R879" s="30"/>
    </row>
    <row r="880" spans="18:18" ht="15.75" customHeight="1">
      <c r="R880" s="30"/>
    </row>
    <row r="881" spans="18:18" ht="15.75" customHeight="1">
      <c r="R881" s="30"/>
    </row>
    <row r="882" spans="18:18" ht="15.75" customHeight="1">
      <c r="R882" s="30"/>
    </row>
    <row r="883" spans="18:18" ht="15.75" customHeight="1">
      <c r="R883" s="30"/>
    </row>
    <row r="884" spans="18:18" ht="15.75" customHeight="1">
      <c r="R884" s="30"/>
    </row>
    <row r="885" spans="18:18" ht="15.75" customHeight="1">
      <c r="R885" s="30"/>
    </row>
    <row r="886" spans="18:18" ht="15.75" customHeight="1">
      <c r="R886" s="30"/>
    </row>
    <row r="887" spans="18:18" ht="15.75" customHeight="1">
      <c r="R887" s="30"/>
    </row>
    <row r="888" spans="18:18" ht="15.75" customHeight="1">
      <c r="R888" s="30"/>
    </row>
    <row r="889" spans="18:18" ht="15.75" customHeight="1">
      <c r="R889" s="30"/>
    </row>
    <row r="890" spans="18:18" ht="15.75" customHeight="1">
      <c r="R890" s="30"/>
    </row>
    <row r="891" spans="18:18" ht="15.75" customHeight="1">
      <c r="R891" s="30"/>
    </row>
    <row r="892" spans="18:18" ht="15.75" customHeight="1">
      <c r="R892" s="30"/>
    </row>
    <row r="893" spans="18:18" ht="15.75" customHeight="1">
      <c r="R893" s="30"/>
    </row>
    <row r="894" spans="18:18" ht="15.75" customHeight="1">
      <c r="R894" s="30"/>
    </row>
    <row r="895" spans="18:18" ht="15.75" customHeight="1">
      <c r="R895" s="30"/>
    </row>
    <row r="896" spans="18:18" ht="15.75" customHeight="1">
      <c r="R896" s="30"/>
    </row>
    <row r="897" spans="18:18" ht="15.75" customHeight="1">
      <c r="R897" s="30"/>
    </row>
    <row r="898" spans="18:18" ht="15.75" customHeight="1">
      <c r="R898" s="30"/>
    </row>
    <row r="899" spans="18:18" ht="15.75" customHeight="1">
      <c r="R899" s="30"/>
    </row>
    <row r="900" spans="18:18" ht="15.75" customHeight="1">
      <c r="R900" s="30"/>
    </row>
    <row r="901" spans="18:18" ht="15.75" customHeight="1">
      <c r="R901" s="30"/>
    </row>
    <row r="902" spans="18:18" ht="15.75" customHeight="1">
      <c r="R902" s="30"/>
    </row>
    <row r="903" spans="18:18" ht="15.75" customHeight="1">
      <c r="R903" s="30"/>
    </row>
    <row r="904" spans="18:18" ht="15.75" customHeight="1">
      <c r="R904" s="30"/>
    </row>
    <row r="905" spans="18:18" ht="15.75" customHeight="1">
      <c r="R905" s="30"/>
    </row>
    <row r="906" spans="18:18" ht="15.75" customHeight="1">
      <c r="R906" s="30"/>
    </row>
    <row r="907" spans="18:18" ht="15.75" customHeight="1">
      <c r="R907" s="30"/>
    </row>
    <row r="908" spans="18:18" ht="15.75" customHeight="1">
      <c r="R908" s="30"/>
    </row>
    <row r="909" spans="18:18" ht="15.75" customHeight="1">
      <c r="R909" s="30"/>
    </row>
    <row r="910" spans="18:18" ht="15.75" customHeight="1">
      <c r="R910" s="30"/>
    </row>
    <row r="911" spans="18:18" ht="15.75" customHeight="1">
      <c r="R911" s="30"/>
    </row>
    <row r="912" spans="18:18" ht="15.75" customHeight="1">
      <c r="R912" s="30"/>
    </row>
    <row r="913" spans="18:18" ht="15.75" customHeight="1">
      <c r="R913" s="30"/>
    </row>
    <row r="914" spans="18:18" ht="15.75" customHeight="1">
      <c r="R914" s="30"/>
    </row>
    <row r="915" spans="18:18" ht="15.75" customHeight="1">
      <c r="R915" s="30"/>
    </row>
    <row r="916" spans="18:18" ht="15.75" customHeight="1">
      <c r="R916" s="30"/>
    </row>
    <row r="917" spans="18:18" ht="15.75" customHeight="1">
      <c r="R917" s="30"/>
    </row>
    <row r="918" spans="18:18" ht="15.75" customHeight="1">
      <c r="R918" s="30"/>
    </row>
    <row r="919" spans="18:18" ht="15.75" customHeight="1">
      <c r="R919" s="30"/>
    </row>
    <row r="920" spans="18:18" ht="15.75" customHeight="1">
      <c r="R920" s="30"/>
    </row>
    <row r="921" spans="18:18" ht="15.75" customHeight="1">
      <c r="R921" s="30"/>
    </row>
    <row r="922" spans="18:18" ht="15.75" customHeight="1">
      <c r="R922" s="30"/>
    </row>
    <row r="923" spans="18:18" ht="15.75" customHeight="1">
      <c r="R923" s="30"/>
    </row>
    <row r="924" spans="18:18" ht="15.75" customHeight="1">
      <c r="R924" s="30"/>
    </row>
    <row r="925" spans="18:18" ht="15.75" customHeight="1">
      <c r="R925" s="30"/>
    </row>
    <row r="926" spans="18:18" ht="15.75" customHeight="1">
      <c r="R926" s="30"/>
    </row>
    <row r="927" spans="18:18" ht="15.75" customHeight="1">
      <c r="R927" s="30"/>
    </row>
    <row r="928" spans="18:18" ht="15.75" customHeight="1">
      <c r="R928" s="30"/>
    </row>
    <row r="929" spans="18:18" ht="15.75" customHeight="1">
      <c r="R929" s="30"/>
    </row>
    <row r="930" spans="18:18" ht="15.75" customHeight="1">
      <c r="R930" s="30"/>
    </row>
    <row r="931" spans="18:18" ht="15.75" customHeight="1">
      <c r="R931" s="30"/>
    </row>
    <row r="932" spans="18:18" ht="15.75" customHeight="1">
      <c r="R932" s="30"/>
    </row>
    <row r="933" spans="18:18" ht="15.75" customHeight="1">
      <c r="R933" s="30"/>
    </row>
    <row r="934" spans="18:18" ht="15.75" customHeight="1">
      <c r="R934" s="30"/>
    </row>
    <row r="935" spans="18:18" ht="15.75" customHeight="1">
      <c r="R935" s="30"/>
    </row>
    <row r="936" spans="18:18" ht="15.75" customHeight="1">
      <c r="R936" s="30"/>
    </row>
    <row r="937" spans="18:18" ht="15.75" customHeight="1">
      <c r="R937" s="30"/>
    </row>
    <row r="938" spans="18:18" ht="15.75" customHeight="1">
      <c r="R938" s="30"/>
    </row>
    <row r="939" spans="18:18" ht="15.75" customHeight="1">
      <c r="R939" s="30"/>
    </row>
    <row r="940" spans="18:18" ht="15.75" customHeight="1">
      <c r="R940" s="30"/>
    </row>
    <row r="941" spans="18:18" ht="15.75" customHeight="1">
      <c r="R941" s="30"/>
    </row>
    <row r="942" spans="18:18" ht="15.75" customHeight="1">
      <c r="R942" s="30"/>
    </row>
    <row r="943" spans="18:18" ht="15.75" customHeight="1">
      <c r="R943" s="30"/>
    </row>
    <row r="944" spans="18:18" ht="15.75" customHeight="1">
      <c r="R944" s="30"/>
    </row>
    <row r="945" spans="18:18" ht="15.75" customHeight="1">
      <c r="R945" s="30"/>
    </row>
    <row r="946" spans="18:18" ht="15.75" customHeight="1">
      <c r="R946" s="30"/>
    </row>
    <row r="947" spans="18:18" ht="15.75" customHeight="1">
      <c r="R947" s="30"/>
    </row>
    <row r="948" spans="18:18" ht="15.75" customHeight="1">
      <c r="R948" s="30"/>
    </row>
    <row r="949" spans="18:18" ht="15.75" customHeight="1">
      <c r="R949" s="30"/>
    </row>
    <row r="950" spans="18:18" ht="15.75" customHeight="1">
      <c r="R950" s="30"/>
    </row>
    <row r="951" spans="18:18" ht="15.75" customHeight="1">
      <c r="R951" s="30"/>
    </row>
    <row r="952" spans="18:18" ht="15.75" customHeight="1">
      <c r="R952" s="30"/>
    </row>
    <row r="953" spans="18:18" ht="15.75" customHeight="1">
      <c r="R953" s="30"/>
    </row>
    <row r="954" spans="18:18" ht="15.75" customHeight="1">
      <c r="R954" s="30"/>
    </row>
    <row r="955" spans="18:18" ht="15.75" customHeight="1">
      <c r="R955" s="30"/>
    </row>
    <row r="956" spans="18:18" ht="15.75" customHeight="1">
      <c r="R956" s="30"/>
    </row>
    <row r="957" spans="18:18" ht="15.75" customHeight="1">
      <c r="R957" s="30"/>
    </row>
    <row r="958" spans="18:18" ht="15.75" customHeight="1">
      <c r="R958" s="30"/>
    </row>
    <row r="959" spans="18:18" ht="15.75" customHeight="1">
      <c r="R959" s="30"/>
    </row>
    <row r="960" spans="18:18" ht="15.75" customHeight="1">
      <c r="R960" s="30"/>
    </row>
    <row r="961" spans="18:18" ht="15.75" customHeight="1">
      <c r="R961" s="30"/>
    </row>
    <row r="962" spans="18:18" ht="15.75" customHeight="1">
      <c r="R962" s="30"/>
    </row>
    <row r="963" spans="18:18" ht="15.75" customHeight="1">
      <c r="R963" s="30"/>
    </row>
    <row r="964" spans="18:18" ht="15.75" customHeight="1">
      <c r="R964" s="30"/>
    </row>
    <row r="965" spans="18:18" ht="15.75" customHeight="1">
      <c r="R965" s="30"/>
    </row>
    <row r="966" spans="18:18" ht="15.75" customHeight="1">
      <c r="R966" s="30"/>
    </row>
    <row r="967" spans="18:18" ht="15.75" customHeight="1">
      <c r="R967" s="30"/>
    </row>
    <row r="968" spans="18:18" ht="15.75" customHeight="1">
      <c r="R968" s="30"/>
    </row>
    <row r="969" spans="18:18" ht="15.75" customHeight="1">
      <c r="R969" s="30"/>
    </row>
    <row r="970" spans="18:18" ht="15.75" customHeight="1">
      <c r="R970" s="30"/>
    </row>
    <row r="971" spans="18:18" ht="15.75" customHeight="1">
      <c r="R971" s="30"/>
    </row>
    <row r="972" spans="18:18" ht="15.75" customHeight="1">
      <c r="R972" s="30"/>
    </row>
    <row r="973" spans="18:18" ht="15.75" customHeight="1">
      <c r="R973" s="30"/>
    </row>
    <row r="974" spans="18:18" ht="15.75" customHeight="1">
      <c r="R974" s="30"/>
    </row>
    <row r="975" spans="18:18" ht="15.75" customHeight="1">
      <c r="R975" s="30"/>
    </row>
    <row r="976" spans="18:18" ht="15.75" customHeight="1">
      <c r="R976" s="30"/>
    </row>
    <row r="977" spans="18:18" ht="15.75" customHeight="1">
      <c r="R977" s="30"/>
    </row>
    <row r="978" spans="18:18" ht="15.75" customHeight="1">
      <c r="R978" s="30"/>
    </row>
    <row r="979" spans="18:18" ht="15.75" customHeight="1">
      <c r="R979" s="30"/>
    </row>
    <row r="980" spans="18:18" ht="15.75" customHeight="1">
      <c r="R980" s="30"/>
    </row>
    <row r="981" spans="18:18" ht="15.75" customHeight="1">
      <c r="R981" s="30"/>
    </row>
    <row r="982" spans="18:18" ht="15.75" customHeight="1">
      <c r="R982" s="30"/>
    </row>
    <row r="983" spans="18:18" ht="15.75" customHeight="1">
      <c r="R983" s="30"/>
    </row>
    <row r="984" spans="18:18" ht="15.75" customHeight="1">
      <c r="R984" s="30"/>
    </row>
    <row r="985" spans="18:18" ht="15.75" customHeight="1">
      <c r="R985" s="30"/>
    </row>
    <row r="986" spans="18:18" ht="15.75" customHeight="1">
      <c r="R986" s="30"/>
    </row>
    <row r="987" spans="18:18" ht="15.75" customHeight="1">
      <c r="R987" s="30"/>
    </row>
    <row r="988" spans="18:18" ht="15.75" customHeight="1">
      <c r="R988" s="30"/>
    </row>
    <row r="989" spans="18:18" ht="15.75" customHeight="1">
      <c r="R989" s="30"/>
    </row>
    <row r="990" spans="18:18" ht="15.75" customHeight="1">
      <c r="R990" s="30"/>
    </row>
    <row r="991" spans="18:18" ht="15.75" customHeight="1">
      <c r="R991" s="30"/>
    </row>
    <row r="992" spans="18:18" ht="15.75" customHeight="1">
      <c r="R992" s="30"/>
    </row>
    <row r="993" spans="18:18" ht="15.75" customHeight="1">
      <c r="R993" s="30"/>
    </row>
    <row r="994" spans="18:18" ht="15.75" customHeight="1">
      <c r="R994" s="30"/>
    </row>
    <row r="995" spans="18:18" ht="15.75" customHeight="1">
      <c r="R995" s="30"/>
    </row>
    <row r="996" spans="18:18" ht="15.75" customHeight="1">
      <c r="R996" s="30"/>
    </row>
    <row r="997" spans="18:18" ht="15.75" customHeight="1">
      <c r="R997" s="30"/>
    </row>
    <row r="998" spans="18:18" ht="15.75" customHeight="1">
      <c r="R998" s="30"/>
    </row>
    <row r="999" spans="18:18" ht="15.75" customHeight="1">
      <c r="R999" s="30"/>
    </row>
    <row r="1000" spans="18:18" ht="15.75" customHeight="1">
      <c r="R1000" s="3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78</vt:i4>
      </vt:variant>
    </vt:vector>
  </HeadingPairs>
  <TitlesOfParts>
    <vt:vector size="78" baseType="lpstr">
      <vt:lpstr>PL-IFC-103B10</vt:lpstr>
      <vt:lpstr>PL-IFC-103B100</vt:lpstr>
      <vt:lpstr>PL-IFC-103B25</vt:lpstr>
      <vt:lpstr>PL-IFC-103B50</vt:lpstr>
      <vt:lpstr>PL-IFC-103B25P</vt:lpstr>
      <vt:lpstr>PL-IFC-103B50P</vt:lpstr>
      <vt:lpstr>PL-IFC-103N10</vt:lpstr>
      <vt:lpstr>PL-IFC-103N25</vt:lpstr>
      <vt:lpstr>PL-IFC-103N25P</vt:lpstr>
      <vt:lpstr>PL-IFC-103N50</vt:lpstr>
      <vt:lpstr>PL-IFC-103N50P</vt:lpstr>
      <vt:lpstr>PL-IFC-103Y03</vt:lpstr>
      <vt:lpstr>PL-IFC-103Y03P</vt:lpstr>
      <vt:lpstr>PL-IFC-103Y10</vt:lpstr>
      <vt:lpstr>PL-IFC-103Y100</vt:lpstr>
      <vt:lpstr>PL-IFC-103Y100P</vt:lpstr>
      <vt:lpstr>PL-IFC-103Y10-2PK</vt:lpstr>
      <vt:lpstr>PL-IFC-103Y10P</vt:lpstr>
      <vt:lpstr>PL-IFC-103Y10P-2PK</vt:lpstr>
      <vt:lpstr>PL-IFC-103Y200</vt:lpstr>
      <vt:lpstr>PL-IFC-103Y25</vt:lpstr>
      <vt:lpstr>PL-IFC-103Y25P</vt:lpstr>
      <vt:lpstr>PL-IFC-103Y25P-2PK</vt:lpstr>
      <vt:lpstr>PL-IFC-103Y25-PK2</vt:lpstr>
      <vt:lpstr>PL-IFC-103Y50</vt:lpstr>
      <vt:lpstr>PL-IFC-103Y50P</vt:lpstr>
      <vt:lpstr>PL-IFC-103Y75</vt:lpstr>
      <vt:lpstr>PL-IFC-103Y75P</vt:lpstr>
      <vt:lpstr>PL-IFC-123B06</vt:lpstr>
      <vt:lpstr>PL-IFC-123B10</vt:lpstr>
      <vt:lpstr>PL-IFC-123B100</vt:lpstr>
      <vt:lpstr>PL-IFC-123B10-2PK</vt:lpstr>
      <vt:lpstr>PL-IFC-123B10P</vt:lpstr>
      <vt:lpstr>PL-IFC-123B25</vt:lpstr>
      <vt:lpstr>PL-IFC-123B50</vt:lpstr>
      <vt:lpstr>PL-IFC-123B50-2PK</vt:lpstr>
      <vt:lpstr>PL-IFC-123B50P</vt:lpstr>
      <vt:lpstr>PL-IFC-123N06</vt:lpstr>
      <vt:lpstr>PL-IFC-123N10</vt:lpstr>
      <vt:lpstr>PL-IFC-123N100</vt:lpstr>
      <vt:lpstr>PL-IFC-123N25</vt:lpstr>
      <vt:lpstr>PL-IFC-123N50</vt:lpstr>
      <vt:lpstr>PL-IFC-123R06</vt:lpstr>
      <vt:lpstr>PL-IFC-123R10</vt:lpstr>
      <vt:lpstr>PL-IFC-123R100</vt:lpstr>
      <vt:lpstr>PL-IFC-123R25</vt:lpstr>
      <vt:lpstr>PL-IFC-123R50</vt:lpstr>
      <vt:lpstr>PL-IFC-123Y06</vt:lpstr>
      <vt:lpstr>PL-IFC-123Y10</vt:lpstr>
      <vt:lpstr>PL-IFC-123Y100</vt:lpstr>
      <vt:lpstr>PL-IFC-123Y100P</vt:lpstr>
      <vt:lpstr>PL-IFC-123Y100-PK2</vt:lpstr>
      <vt:lpstr>PL-IFC-123Y10-2PK</vt:lpstr>
      <vt:lpstr>PL-IFC-123Y10P</vt:lpstr>
      <vt:lpstr>PL-IFC-123Y15</vt:lpstr>
      <vt:lpstr>PL-IFC-123Y15P</vt:lpstr>
      <vt:lpstr>PL-IFC-123Y200</vt:lpstr>
      <vt:lpstr>PL-IFC-123Y25</vt:lpstr>
      <vt:lpstr>PL-IFC-123Y25P</vt:lpstr>
      <vt:lpstr>PL-IFC-123Y25P-2PK</vt:lpstr>
      <vt:lpstr>PL-IFC-123Y25-PK2</vt:lpstr>
      <vt:lpstr>PL-IFC-123Y2P</vt:lpstr>
      <vt:lpstr>PL-IFC-123Y2P-2PK</vt:lpstr>
      <vt:lpstr>PL-IFC-123Y3GFCI</vt:lpstr>
      <vt:lpstr>PL-IFC-123Y3GFCI-BK</vt:lpstr>
      <vt:lpstr>PL-IFC-123Y3GFCI-SO</vt:lpstr>
      <vt:lpstr>PL-IFC-123Y50</vt:lpstr>
      <vt:lpstr>PL-IFC-123Y50P</vt:lpstr>
      <vt:lpstr>PL-IFC-123Y50-PK2</vt:lpstr>
      <vt:lpstr>PL-IFC-123Y75</vt:lpstr>
      <vt:lpstr>PL-IFC-123Y75P</vt:lpstr>
      <vt:lpstr>PL-IFC-143B10</vt:lpstr>
      <vt:lpstr>PL-IFC-143B10P</vt:lpstr>
      <vt:lpstr>PL-IFC-143B25P</vt:lpstr>
      <vt:lpstr>PL-IFC-143B50</vt:lpstr>
      <vt:lpstr>PL-IFC-143B50P</vt:lpstr>
      <vt:lpstr>PL-IFC-143Y100</vt:lpstr>
      <vt:lpstr>PL-IFC-143Y25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2021-07-19T15:59:52Z</dcterms:modified>
</cp:coreProperties>
</file>